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git\M2project\策划案\个人文件夹\何山\"/>
    </mc:Choice>
  </mc:AlternateContent>
  <xr:revisionPtr revIDLastSave="0" documentId="13_ncr:1_{E7CB0784-DBED-4DFD-9758-8234FA675F19}" xr6:coauthVersionLast="47" xr6:coauthVersionMax="47" xr10:uidLastSave="{00000000-0000-0000-0000-000000000000}"/>
  <bookViews>
    <workbookView xWindow="28680" yWindow="-1260" windowWidth="29040" windowHeight="15840" tabRatio="872" firstSheet="1" activeTab="4" xr2:uid="{00000000-000D-0000-FFFF-FFFF00000000}"/>
  </bookViews>
  <sheets>
    <sheet name="数值表使用指南" sheetId="24" r:id="rId1"/>
    <sheet name="参数调整" sheetId="21" r:id="rId2"/>
    <sheet name="怪物掉落配置方案" sheetId="23" r:id="rId3"/>
    <sheet name="怪物配置" sheetId="18" r:id="rId4"/>
    <sheet name="基本属性" sheetId="1" r:id="rId5"/>
    <sheet name="养成属性分配" sheetId="2" r:id="rId6"/>
    <sheet name="材料产出" sheetId="19" r:id="rId7"/>
    <sheet name="属性价值参考" sheetId="20" r:id="rId8"/>
    <sheet name="伤害计算" sheetId="38" r:id="rId9"/>
    <sheet name="升级" sheetId="3" r:id="rId10"/>
    <sheet name="官印" sheetId="5" r:id="rId11"/>
    <sheet name="官职" sheetId="4" r:id="rId12"/>
    <sheet name="转生" sheetId="6" r:id="rId13"/>
    <sheet name="基本装备" sheetId="7" r:id="rId14"/>
    <sheet name="龙魂炼体" sheetId="8" r:id="rId15"/>
    <sheet name="附件合成" sheetId="9" r:id="rId16"/>
    <sheet name="特戒" sheetId="10" r:id="rId17"/>
    <sheet name="星座装备" sheetId="11" r:id="rId18"/>
    <sheet name="装备强化" sheetId="12" r:id="rId19"/>
    <sheet name="装备注灵" sheetId="13" r:id="rId20"/>
    <sheet name="火龙元神" sheetId="14" r:id="rId21"/>
    <sheet name="天尊洗炼" sheetId="15" r:id="rId22"/>
    <sheet name="称号" sheetId="16" r:id="rId23"/>
    <sheet name="宝石镶嵌" sheetId="17" r:id="rId24"/>
    <sheet name="新养成线1" sheetId="25" r:id="rId25"/>
    <sheet name="新养成线2" sheetId="26" r:id="rId26"/>
    <sheet name="新养成线3" sheetId="27" r:id="rId27"/>
    <sheet name="新养成线4" sheetId="28" r:id="rId28"/>
    <sheet name="新养成线5" sheetId="29" r:id="rId29"/>
    <sheet name="新养成线6" sheetId="30" r:id="rId30"/>
    <sheet name="新养成线7" sheetId="31" r:id="rId31"/>
    <sheet name="新养成线8" sheetId="32" r:id="rId32"/>
    <sheet name="新养成线9" sheetId="33" r:id="rId33"/>
    <sheet name="新养成线10" sheetId="34" r:id="rId34"/>
    <sheet name="新养成线11" sheetId="35" r:id="rId35"/>
    <sheet name="新养成线12" sheetId="36" r:id="rId36"/>
    <sheet name="新养成线13" sheetId="37" r:id="rId37"/>
  </sheets>
  <definedNames>
    <definedName name="_xlnm._FilterDatabase" localSheetId="2" hidden="1">怪物掉落配置方案!$A$2:$D$12314</definedName>
    <definedName name="_xlnm._FilterDatabase" localSheetId="13" hidden="1">基本装备!$A$2:$J$841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5" i="1" l="1"/>
  <c r="W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4" i="1"/>
  <c r="T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4" i="1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3" i="21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3" i="21"/>
  <c r="O39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" i="21"/>
  <c r="O4" i="2"/>
  <c r="K4" i="2"/>
  <c r="K31" i="2" s="1"/>
  <c r="R23" i="8"/>
  <c r="BF30" i="37"/>
  <c r="BE30" i="37"/>
  <c r="BE26" i="37" s="1"/>
  <c r="BD30" i="37"/>
  <c r="BD24" i="37" s="1"/>
  <c r="BC30" i="37"/>
  <c r="BC28" i="37" s="1"/>
  <c r="BB30" i="37"/>
  <c r="BA30" i="37"/>
  <c r="BA11" i="37" s="1"/>
  <c r="AZ30" i="37"/>
  <c r="AZ6" i="37" s="1"/>
  <c r="AY30" i="37"/>
  <c r="AY29" i="37" s="1"/>
  <c r="AX30" i="37"/>
  <c r="AW30" i="37"/>
  <c r="AW26" i="37" s="1"/>
  <c r="AV30" i="37"/>
  <c r="AU30" i="37"/>
  <c r="AU28" i="37" s="1"/>
  <c r="AT30" i="37"/>
  <c r="AS30" i="37"/>
  <c r="AS28" i="37" s="1"/>
  <c r="AR30" i="37"/>
  <c r="AR6" i="37" s="1"/>
  <c r="AQ30" i="37"/>
  <c r="AQ29" i="37" s="1"/>
  <c r="AP30" i="37"/>
  <c r="AO30" i="37"/>
  <c r="AO20" i="37" s="1"/>
  <c r="AN30" i="37"/>
  <c r="AN10" i="37" s="1"/>
  <c r="AM30" i="37"/>
  <c r="AM27" i="37" s="1"/>
  <c r="AL30" i="37"/>
  <c r="AK30" i="37"/>
  <c r="AK9" i="37" s="1"/>
  <c r="BA28" i="37"/>
  <c r="BF29" i="37"/>
  <c r="AX29" i="37"/>
  <c r="AW29" i="37"/>
  <c r="AP29" i="37"/>
  <c r="BF28" i="37"/>
  <c r="AX28" i="37"/>
  <c r="AQ28" i="37"/>
  <c r="AP28" i="37"/>
  <c r="BF27" i="37"/>
  <c r="BE27" i="37"/>
  <c r="BC27" i="37"/>
  <c r="AX27" i="37"/>
  <c r="AP27" i="37"/>
  <c r="AO27" i="37"/>
  <c r="BF26" i="37"/>
  <c r="AY26" i="37"/>
  <c r="AX26" i="37"/>
  <c r="AQ26" i="37"/>
  <c r="AP26" i="37"/>
  <c r="AO26" i="37"/>
  <c r="BF25" i="37"/>
  <c r="BC25" i="37"/>
  <c r="AY25" i="37"/>
  <c r="AX25" i="37"/>
  <c r="AQ25" i="37"/>
  <c r="AP25" i="37"/>
  <c r="BF24" i="37"/>
  <c r="BE24" i="37"/>
  <c r="BC24" i="37"/>
  <c r="AY24" i="37"/>
  <c r="AX24" i="37"/>
  <c r="AP24" i="37"/>
  <c r="AL24" i="37"/>
  <c r="BF23" i="37"/>
  <c r="BE23" i="37"/>
  <c r="BC23" i="37"/>
  <c r="AY23" i="37"/>
  <c r="AX23" i="37"/>
  <c r="AP23" i="37"/>
  <c r="BF22" i="37"/>
  <c r="BE22" i="37"/>
  <c r="BC22" i="37"/>
  <c r="AY22" i="37"/>
  <c r="AX22" i="37"/>
  <c r="AP22" i="37"/>
  <c r="BF21" i="37"/>
  <c r="BE21" i="37"/>
  <c r="BC21" i="37"/>
  <c r="BB21" i="37"/>
  <c r="AY21" i="37"/>
  <c r="AX21" i="37"/>
  <c r="AP21" i="37"/>
  <c r="BF20" i="37"/>
  <c r="BE20" i="37"/>
  <c r="BC20" i="37"/>
  <c r="AY20" i="37"/>
  <c r="AX20" i="37"/>
  <c r="AQ20" i="37"/>
  <c r="AP20" i="37"/>
  <c r="BF19" i="37"/>
  <c r="BE19" i="37"/>
  <c r="AY19" i="37"/>
  <c r="AX19" i="37"/>
  <c r="AU19" i="37"/>
  <c r="AQ19" i="37"/>
  <c r="AP19" i="37"/>
  <c r="BF18" i="37"/>
  <c r="BE18" i="37"/>
  <c r="BA18" i="37"/>
  <c r="AZ18" i="37"/>
  <c r="AY18" i="37"/>
  <c r="AX18" i="37"/>
  <c r="AW18" i="37"/>
  <c r="AT18" i="37"/>
  <c r="AS18" i="37"/>
  <c r="AR18" i="37"/>
  <c r="AP18" i="37"/>
  <c r="AO18" i="37"/>
  <c r="AK18" i="37"/>
  <c r="BF17" i="37"/>
  <c r="BC17" i="37"/>
  <c r="AY17" i="37"/>
  <c r="AX17" i="37"/>
  <c r="AW17" i="37"/>
  <c r="AQ17" i="37"/>
  <c r="AP17" i="37"/>
  <c r="AL17" i="37"/>
  <c r="BF16" i="37"/>
  <c r="BE16" i="37"/>
  <c r="BC16" i="37"/>
  <c r="AY16" i="37"/>
  <c r="AX16" i="37"/>
  <c r="AQ16" i="37"/>
  <c r="AP16" i="37"/>
  <c r="BF15" i="37"/>
  <c r="BE15" i="37"/>
  <c r="AY15" i="37"/>
  <c r="AX15" i="37"/>
  <c r="AW15" i="37"/>
  <c r="AU15" i="37"/>
  <c r="AQ15" i="37"/>
  <c r="AP15" i="37"/>
  <c r="AO15" i="37"/>
  <c r="AL15" i="37"/>
  <c r="BF14" i="37"/>
  <c r="BE14" i="37"/>
  <c r="BA14" i="37"/>
  <c r="AY14" i="37"/>
  <c r="AX14" i="37"/>
  <c r="AW14" i="37"/>
  <c r="AT14" i="37"/>
  <c r="AS14" i="37"/>
  <c r="AQ14" i="37"/>
  <c r="AP14" i="37"/>
  <c r="AO14" i="37"/>
  <c r="AM14" i="37"/>
  <c r="AK14" i="37"/>
  <c r="BF13" i="37"/>
  <c r="BE13" i="37"/>
  <c r="BB13" i="37"/>
  <c r="AY13" i="37"/>
  <c r="AX13" i="37"/>
  <c r="AW13" i="37"/>
  <c r="AP13" i="37"/>
  <c r="AO13" i="37"/>
  <c r="BF12" i="37"/>
  <c r="BE12" i="37"/>
  <c r="BA12" i="37"/>
  <c r="AY12" i="37"/>
  <c r="AX12" i="37"/>
  <c r="AW12" i="37"/>
  <c r="AQ12" i="37"/>
  <c r="AP12" i="37"/>
  <c r="AO12" i="37"/>
  <c r="BF11" i="37"/>
  <c r="BE11" i="37"/>
  <c r="BC11" i="37"/>
  <c r="AY11" i="37"/>
  <c r="AX11" i="37"/>
  <c r="AW11" i="37"/>
  <c r="AQ11" i="37"/>
  <c r="AP11" i="37"/>
  <c r="AO11" i="37"/>
  <c r="AL11" i="37"/>
  <c r="BF10" i="37"/>
  <c r="BE10" i="37"/>
  <c r="BA10" i="37"/>
  <c r="AZ10" i="37"/>
  <c r="AY10" i="37"/>
  <c r="AX10" i="37"/>
  <c r="AW10" i="37"/>
  <c r="AS10" i="37"/>
  <c r="AR10" i="37"/>
  <c r="AP10" i="37"/>
  <c r="AO10" i="37"/>
  <c r="AM10" i="37"/>
  <c r="AL10" i="37"/>
  <c r="AK10" i="37"/>
  <c r="BF9" i="37"/>
  <c r="BE9" i="37"/>
  <c r="AY9" i="37"/>
  <c r="AX9" i="37"/>
  <c r="AW9" i="37"/>
  <c r="AT9" i="37"/>
  <c r="AQ9" i="37"/>
  <c r="AP9" i="37"/>
  <c r="AO9" i="37"/>
  <c r="BF8" i="37"/>
  <c r="BE8" i="37"/>
  <c r="BC8" i="37"/>
  <c r="AY8" i="37"/>
  <c r="AX8" i="37"/>
  <c r="AW8" i="37"/>
  <c r="AS8" i="37"/>
  <c r="AQ8" i="37"/>
  <c r="AP8" i="37"/>
  <c r="AO8" i="37"/>
  <c r="AK8" i="37"/>
  <c r="BF7" i="37"/>
  <c r="BE7" i="37"/>
  <c r="AY7" i="37"/>
  <c r="AX7" i="37"/>
  <c r="AW7" i="37"/>
  <c r="AU7" i="37"/>
  <c r="AQ7" i="37"/>
  <c r="AP7" i="37"/>
  <c r="AO7" i="37"/>
  <c r="AL7" i="37"/>
  <c r="BF6" i="37"/>
  <c r="BE6" i="37"/>
  <c r="AY6" i="37"/>
  <c r="AX6" i="37"/>
  <c r="AW6" i="37"/>
  <c r="AP6" i="37"/>
  <c r="AO6" i="37"/>
  <c r="AL6" i="37"/>
  <c r="BF5" i="37"/>
  <c r="BE5" i="37"/>
  <c r="BA5" i="37"/>
  <c r="AY5" i="37"/>
  <c r="AX5" i="37"/>
  <c r="AW5" i="37"/>
  <c r="AT5" i="37"/>
  <c r="AQ5" i="37"/>
  <c r="AP5" i="37"/>
  <c r="AO5" i="37"/>
  <c r="AM5" i="37"/>
  <c r="BF4" i="37"/>
  <c r="BE4" i="37"/>
  <c r="AY4" i="37"/>
  <c r="AX4" i="37"/>
  <c r="AW4" i="37"/>
  <c r="AQ4" i="37"/>
  <c r="AP4" i="37"/>
  <c r="AO4" i="37"/>
  <c r="BF30" i="36"/>
  <c r="BE30" i="36"/>
  <c r="BD30" i="36"/>
  <c r="BD29" i="36" s="1"/>
  <c r="BC30" i="36"/>
  <c r="BC25" i="36" s="1"/>
  <c r="BB30" i="36"/>
  <c r="BA30" i="36"/>
  <c r="AZ30" i="36"/>
  <c r="AY30" i="36"/>
  <c r="AX30" i="36"/>
  <c r="AW30" i="36"/>
  <c r="AW21" i="36" s="1"/>
  <c r="AV30" i="36"/>
  <c r="AU30" i="36"/>
  <c r="AU23" i="36" s="1"/>
  <c r="AT30" i="36"/>
  <c r="AS30" i="36"/>
  <c r="AR30" i="36"/>
  <c r="AQ30" i="36"/>
  <c r="AP30" i="36"/>
  <c r="AO30" i="36"/>
  <c r="AO26" i="36" s="1"/>
  <c r="AN30" i="36"/>
  <c r="AM30" i="36"/>
  <c r="AM27" i="36" s="1"/>
  <c r="AL30" i="36"/>
  <c r="AK30" i="36"/>
  <c r="BE27" i="36"/>
  <c r="BF29" i="36"/>
  <c r="AX29" i="36"/>
  <c r="AW29" i="36"/>
  <c r="AV29" i="36"/>
  <c r="AP29" i="36"/>
  <c r="BF28" i="36"/>
  <c r="BD28" i="36"/>
  <c r="AX28" i="36"/>
  <c r="AP28" i="36"/>
  <c r="AN28" i="36"/>
  <c r="BF27" i="36"/>
  <c r="AX27" i="36"/>
  <c r="AP27" i="36"/>
  <c r="AN27" i="36"/>
  <c r="BF26" i="36"/>
  <c r="BC26" i="36"/>
  <c r="AX26" i="36"/>
  <c r="AV26" i="36"/>
  <c r="AP26" i="36"/>
  <c r="AN26" i="36"/>
  <c r="AL26" i="36"/>
  <c r="AK26" i="36"/>
  <c r="BF25" i="36"/>
  <c r="BE25" i="36"/>
  <c r="BD25" i="36"/>
  <c r="AX25" i="36"/>
  <c r="AW25" i="36"/>
  <c r="AP25" i="36"/>
  <c r="AO25" i="36"/>
  <c r="AN25" i="36"/>
  <c r="BF24" i="36"/>
  <c r="AX24" i="36"/>
  <c r="AV24" i="36"/>
  <c r="AP24" i="36"/>
  <c r="BF23" i="36"/>
  <c r="BD23" i="36"/>
  <c r="AX23" i="36"/>
  <c r="AV23" i="36"/>
  <c r="AS23" i="36"/>
  <c r="AP23" i="36"/>
  <c r="BF22" i="36"/>
  <c r="BE22" i="36"/>
  <c r="AX22" i="36"/>
  <c r="AW22" i="36"/>
  <c r="AV22" i="36"/>
  <c r="AP22" i="36"/>
  <c r="AN22" i="36"/>
  <c r="BF21" i="36"/>
  <c r="BE21" i="36"/>
  <c r="AX21" i="36"/>
  <c r="AV21" i="36"/>
  <c r="AP21" i="36"/>
  <c r="AN21" i="36"/>
  <c r="BF20" i="36"/>
  <c r="AX20" i="36"/>
  <c r="AV20" i="36"/>
  <c r="AU20" i="36"/>
  <c r="AP20" i="36"/>
  <c r="AN20" i="36"/>
  <c r="BF19" i="36"/>
  <c r="BD19" i="36"/>
  <c r="BC19" i="36"/>
  <c r="AX19" i="36"/>
  <c r="AV19" i="36"/>
  <c r="AT19" i="36"/>
  <c r="AP19" i="36"/>
  <c r="AN19" i="36"/>
  <c r="BF18" i="36"/>
  <c r="BE18" i="36"/>
  <c r="BD18" i="36"/>
  <c r="AX18" i="36"/>
  <c r="AW18" i="36"/>
  <c r="AV18" i="36"/>
  <c r="AU18" i="36"/>
  <c r="AP18" i="36"/>
  <c r="AO18" i="36"/>
  <c r="AN18" i="36"/>
  <c r="BF17" i="36"/>
  <c r="BE17" i="36"/>
  <c r="BD17" i="36"/>
  <c r="BC17" i="36"/>
  <c r="AX17" i="36"/>
  <c r="AW17" i="36"/>
  <c r="AV17" i="36"/>
  <c r="AP17" i="36"/>
  <c r="AO17" i="36"/>
  <c r="AN17" i="36"/>
  <c r="BF16" i="36"/>
  <c r="BD16" i="36"/>
  <c r="AX16" i="36"/>
  <c r="AV16" i="36"/>
  <c r="AP16" i="36"/>
  <c r="AN16" i="36"/>
  <c r="BF15" i="36"/>
  <c r="BD15" i="36"/>
  <c r="AX15" i="36"/>
  <c r="AV15" i="36"/>
  <c r="AU15" i="36"/>
  <c r="AQ15" i="36"/>
  <c r="AP15" i="36"/>
  <c r="AN15" i="36"/>
  <c r="BF14" i="36"/>
  <c r="BE14" i="36"/>
  <c r="BD14" i="36"/>
  <c r="BA14" i="36"/>
  <c r="AX14" i="36"/>
  <c r="AW14" i="36"/>
  <c r="AV14" i="36"/>
  <c r="AU14" i="36"/>
  <c r="AP14" i="36"/>
  <c r="AO14" i="36"/>
  <c r="AN14" i="36"/>
  <c r="BF13" i="36"/>
  <c r="BE13" i="36"/>
  <c r="BD13" i="36"/>
  <c r="BC13" i="36"/>
  <c r="AX13" i="36"/>
  <c r="AW13" i="36"/>
  <c r="AV13" i="36"/>
  <c r="AP13" i="36"/>
  <c r="AO13" i="36"/>
  <c r="AN13" i="36"/>
  <c r="BF12" i="36"/>
  <c r="BD12" i="36"/>
  <c r="AX12" i="36"/>
  <c r="AV12" i="36"/>
  <c r="AP12" i="36"/>
  <c r="AN12" i="36"/>
  <c r="BF11" i="36"/>
  <c r="BD11" i="36"/>
  <c r="AX11" i="36"/>
  <c r="AV11" i="36"/>
  <c r="AU11" i="36"/>
  <c r="AS11" i="36"/>
  <c r="AP11" i="36"/>
  <c r="AN11" i="36"/>
  <c r="BF10" i="36"/>
  <c r="BE10" i="36"/>
  <c r="BD10" i="36"/>
  <c r="AX10" i="36"/>
  <c r="AW10" i="36"/>
  <c r="AV10" i="36"/>
  <c r="AU10" i="36"/>
  <c r="AP10" i="36"/>
  <c r="AO10" i="36"/>
  <c r="AN10" i="36"/>
  <c r="BF9" i="36"/>
  <c r="BE9" i="36"/>
  <c r="BD9" i="36"/>
  <c r="BC9" i="36"/>
  <c r="BB9" i="36"/>
  <c r="AX9" i="36"/>
  <c r="AW9" i="36"/>
  <c r="AV9" i="36"/>
  <c r="AP9" i="36"/>
  <c r="AO9" i="36"/>
  <c r="AN9" i="36"/>
  <c r="BF8" i="36"/>
  <c r="BE8" i="36"/>
  <c r="BD8" i="36"/>
  <c r="AX8" i="36"/>
  <c r="AW8" i="36"/>
  <c r="AV8" i="36"/>
  <c r="AU8" i="36"/>
  <c r="AP8" i="36"/>
  <c r="AO8" i="36"/>
  <c r="AN8" i="36"/>
  <c r="BF7" i="36"/>
  <c r="BE7" i="36"/>
  <c r="BD7" i="36"/>
  <c r="AX7" i="36"/>
  <c r="AW7" i="36"/>
  <c r="AV7" i="36"/>
  <c r="AU7" i="36"/>
  <c r="AP7" i="36"/>
  <c r="AO7" i="36"/>
  <c r="AN7" i="36"/>
  <c r="BF6" i="36"/>
  <c r="BE6" i="36"/>
  <c r="BD6" i="36"/>
  <c r="BC6" i="36"/>
  <c r="AX6" i="36"/>
  <c r="AV6" i="36"/>
  <c r="AQ6" i="36"/>
  <c r="AP6" i="36"/>
  <c r="AO6" i="36"/>
  <c r="AN6" i="36"/>
  <c r="BF5" i="36"/>
  <c r="BE5" i="36"/>
  <c r="BD5" i="36"/>
  <c r="AX5" i="36"/>
  <c r="AW5" i="36"/>
  <c r="AV5" i="36"/>
  <c r="AT5" i="36"/>
  <c r="AP5" i="36"/>
  <c r="AO5" i="36"/>
  <c r="AN5" i="36"/>
  <c r="AM5" i="36"/>
  <c r="BF4" i="36"/>
  <c r="BE4" i="36"/>
  <c r="BD4" i="36"/>
  <c r="AX4" i="36"/>
  <c r="AW4" i="36"/>
  <c r="AV4" i="36"/>
  <c r="AP4" i="36"/>
  <c r="AO4" i="36"/>
  <c r="AN4" i="36"/>
  <c r="BF30" i="35"/>
  <c r="BF13" i="35" s="1"/>
  <c r="BE30" i="35"/>
  <c r="BD30" i="35"/>
  <c r="BC30" i="35"/>
  <c r="BC26" i="35" s="1"/>
  <c r="BB30" i="35"/>
  <c r="BA30" i="35"/>
  <c r="BA28" i="35" s="1"/>
  <c r="AZ30" i="35"/>
  <c r="AZ27" i="35" s="1"/>
  <c r="AY30" i="35"/>
  <c r="AY6" i="35" s="1"/>
  <c r="AX30" i="35"/>
  <c r="AX10" i="35" s="1"/>
  <c r="AW30" i="35"/>
  <c r="AV30" i="35"/>
  <c r="AU30" i="35"/>
  <c r="AU23" i="35" s="1"/>
  <c r="AT30" i="35"/>
  <c r="AT23" i="35" s="1"/>
  <c r="AS30" i="35"/>
  <c r="AS29" i="35" s="1"/>
  <c r="AR30" i="35"/>
  <c r="AR14" i="35" s="1"/>
  <c r="AQ30" i="35"/>
  <c r="AQ6" i="35" s="1"/>
  <c r="AP30" i="35"/>
  <c r="AP20" i="35" s="1"/>
  <c r="AO30" i="35"/>
  <c r="AN30" i="35"/>
  <c r="AM30" i="35"/>
  <c r="AM27" i="35" s="1"/>
  <c r="AL30" i="35"/>
  <c r="AK30" i="35"/>
  <c r="AK25" i="35" s="1"/>
  <c r="BC29" i="35"/>
  <c r="BA29" i="35"/>
  <c r="AM29" i="35"/>
  <c r="AV28" i="35"/>
  <c r="AU28" i="35"/>
  <c r="AS28" i="35"/>
  <c r="AM28" i="35"/>
  <c r="AV27" i="35"/>
  <c r="AU27" i="35"/>
  <c r="AS27" i="35"/>
  <c r="AK27" i="35"/>
  <c r="BA26" i="35"/>
  <c r="AZ26" i="35"/>
  <c r="AU26" i="35"/>
  <c r="AS26" i="35"/>
  <c r="AR26" i="35"/>
  <c r="AM26" i="35"/>
  <c r="BA25" i="35"/>
  <c r="AU25" i="35"/>
  <c r="AS25" i="35"/>
  <c r="AM25" i="35"/>
  <c r="BC24" i="35"/>
  <c r="BA24" i="35"/>
  <c r="AU24" i="35"/>
  <c r="AS24" i="35"/>
  <c r="BC23" i="35"/>
  <c r="BA23" i="35"/>
  <c r="AS23" i="35"/>
  <c r="AN23" i="35"/>
  <c r="AM23" i="35"/>
  <c r="AK23" i="35"/>
  <c r="BC22" i="35"/>
  <c r="BA22" i="35"/>
  <c r="AV22" i="35"/>
  <c r="AS22" i="35"/>
  <c r="AM22" i="35"/>
  <c r="AK22" i="35"/>
  <c r="BC21" i="35"/>
  <c r="BA21" i="35"/>
  <c r="AS21" i="35"/>
  <c r="AN21" i="35"/>
  <c r="AM21" i="35"/>
  <c r="AK21" i="35"/>
  <c r="BE20" i="35"/>
  <c r="AU20" i="35"/>
  <c r="AS20" i="35"/>
  <c r="AM20" i="35"/>
  <c r="AK20" i="35"/>
  <c r="BA19" i="35"/>
  <c r="AU19" i="35"/>
  <c r="AS19" i="35"/>
  <c r="AK19" i="35"/>
  <c r="BC18" i="35"/>
  <c r="BA18" i="35"/>
  <c r="AU18" i="35"/>
  <c r="AS18" i="35"/>
  <c r="AK18" i="35"/>
  <c r="BC17" i="35"/>
  <c r="BA17" i="35"/>
  <c r="AU17" i="35"/>
  <c r="AS17" i="35"/>
  <c r="AK17" i="35"/>
  <c r="BC16" i="35"/>
  <c r="BA16" i="35"/>
  <c r="AU16" i="35"/>
  <c r="AS16" i="35"/>
  <c r="AM16" i="35"/>
  <c r="AK16" i="35"/>
  <c r="BC15" i="35"/>
  <c r="BA15" i="35"/>
  <c r="AV15" i="35"/>
  <c r="AU15" i="35"/>
  <c r="AS15" i="35"/>
  <c r="AM15" i="35"/>
  <c r="AK15" i="35"/>
  <c r="BC14" i="35"/>
  <c r="BA14" i="35"/>
  <c r="AU14" i="35"/>
  <c r="AS14" i="35"/>
  <c r="AM14" i="35"/>
  <c r="AK14" i="35"/>
  <c r="BC13" i="35"/>
  <c r="BA13" i="35"/>
  <c r="AU13" i="35"/>
  <c r="AS13" i="35"/>
  <c r="AM13" i="35"/>
  <c r="AK13" i="35"/>
  <c r="BD12" i="35"/>
  <c r="BC12" i="35"/>
  <c r="BA12" i="35"/>
  <c r="AU12" i="35"/>
  <c r="AS12" i="35"/>
  <c r="AN12" i="35"/>
  <c r="AM12" i="35"/>
  <c r="AK12" i="35"/>
  <c r="BC11" i="35"/>
  <c r="BA11" i="35"/>
  <c r="AU11" i="35"/>
  <c r="AS11" i="35"/>
  <c r="AR11" i="35"/>
  <c r="AN11" i="35"/>
  <c r="AM11" i="35"/>
  <c r="AK11" i="35"/>
  <c r="BC10" i="35"/>
  <c r="BA10" i="35"/>
  <c r="AV10" i="35"/>
  <c r="AU10" i="35"/>
  <c r="AS10" i="35"/>
  <c r="AM10" i="35"/>
  <c r="AK10" i="35"/>
  <c r="BC9" i="35"/>
  <c r="BA9" i="35"/>
  <c r="AU9" i="35"/>
  <c r="AS9" i="35"/>
  <c r="AM9" i="35"/>
  <c r="AK9" i="35"/>
  <c r="BC8" i="35"/>
  <c r="BA8" i="35"/>
  <c r="AV8" i="35"/>
  <c r="AU8" i="35"/>
  <c r="AS8" i="35"/>
  <c r="AM8" i="35"/>
  <c r="AK8" i="35"/>
  <c r="BD7" i="35"/>
  <c r="BC7" i="35"/>
  <c r="BA7" i="35"/>
  <c r="AZ7" i="35"/>
  <c r="AU7" i="35"/>
  <c r="AS7" i="35"/>
  <c r="AM7" i="35"/>
  <c r="AK7" i="35"/>
  <c r="BD6" i="35"/>
  <c r="BC6" i="35"/>
  <c r="BA6" i="35"/>
  <c r="AU6" i="35"/>
  <c r="AS6" i="35"/>
  <c r="AN6" i="35"/>
  <c r="AM6" i="35"/>
  <c r="AK6" i="35"/>
  <c r="BE5" i="35"/>
  <c r="BC5" i="35"/>
  <c r="BA5" i="35"/>
  <c r="AU5" i="35"/>
  <c r="AS5" i="35"/>
  <c r="AM5" i="35"/>
  <c r="AK5" i="35"/>
  <c r="BC4" i="35"/>
  <c r="BA4" i="35"/>
  <c r="AV4" i="35"/>
  <c r="AU4" i="35"/>
  <c r="AS4" i="35"/>
  <c r="AM4" i="35"/>
  <c r="AK4" i="35"/>
  <c r="BF30" i="34"/>
  <c r="BE30" i="34"/>
  <c r="BD30" i="34"/>
  <c r="BC30" i="34"/>
  <c r="BC26" i="34" s="1"/>
  <c r="BB30" i="34"/>
  <c r="BB26" i="34" s="1"/>
  <c r="BA30" i="34"/>
  <c r="BA20" i="34" s="1"/>
  <c r="AZ30" i="34"/>
  <c r="AY30" i="34"/>
  <c r="AY26" i="34" s="1"/>
  <c r="AX30" i="34"/>
  <c r="AW30" i="34"/>
  <c r="AV30" i="34"/>
  <c r="AV14" i="34" s="1"/>
  <c r="AU30" i="34"/>
  <c r="AU23" i="34" s="1"/>
  <c r="AT30" i="34"/>
  <c r="AS30" i="34"/>
  <c r="AR30" i="34"/>
  <c r="AR18" i="34" s="1"/>
  <c r="AQ30" i="34"/>
  <c r="AQ27" i="34" s="1"/>
  <c r="AP30" i="34"/>
  <c r="AP12" i="34" s="1"/>
  <c r="AO30" i="34"/>
  <c r="AN30" i="34"/>
  <c r="AN11" i="34" s="1"/>
  <c r="AM30" i="34"/>
  <c r="AM26" i="34" s="1"/>
  <c r="AL30" i="34"/>
  <c r="AL26" i="34" s="1"/>
  <c r="AK30" i="34"/>
  <c r="BB28" i="34"/>
  <c r="AY27" i="34"/>
  <c r="AT28" i="34"/>
  <c r="BD29" i="34"/>
  <c r="BC29" i="34"/>
  <c r="BA29" i="34"/>
  <c r="BE28" i="34"/>
  <c r="BA28" i="34"/>
  <c r="BA27" i="34"/>
  <c r="AM27" i="34"/>
  <c r="BA26" i="34"/>
  <c r="AX26" i="34"/>
  <c r="AT26" i="34"/>
  <c r="AP26" i="34"/>
  <c r="AU25" i="34"/>
  <c r="BA24" i="34"/>
  <c r="BF23" i="34"/>
  <c r="BC23" i="34"/>
  <c r="AK23" i="34"/>
  <c r="BB22" i="34"/>
  <c r="AY22" i="34"/>
  <c r="AT22" i="34"/>
  <c r="AQ22" i="34"/>
  <c r="AO22" i="34"/>
  <c r="AL22" i="34"/>
  <c r="BF21" i="34"/>
  <c r="BE21" i="34"/>
  <c r="AX21" i="34"/>
  <c r="AO21" i="34"/>
  <c r="AN21" i="34"/>
  <c r="AM21" i="34"/>
  <c r="AX20" i="34"/>
  <c r="AW20" i="34"/>
  <c r="AU20" i="34"/>
  <c r="BE19" i="34"/>
  <c r="BA19" i="34"/>
  <c r="BD18" i="34"/>
  <c r="BC18" i="34"/>
  <c r="BB18" i="34"/>
  <c r="BA18" i="34"/>
  <c r="AY18" i="34"/>
  <c r="AT18" i="34"/>
  <c r="AS18" i="34"/>
  <c r="AQ18" i="34"/>
  <c r="AL18" i="34"/>
  <c r="AK18" i="34"/>
  <c r="BE17" i="34"/>
  <c r="AX17" i="34"/>
  <c r="AO17" i="34"/>
  <c r="AW16" i="34"/>
  <c r="AV16" i="34"/>
  <c r="AU16" i="34"/>
  <c r="AS16" i="34"/>
  <c r="AO16" i="34"/>
  <c r="BD15" i="34"/>
  <c r="BC15" i="34"/>
  <c r="AW15" i="34"/>
  <c r="AS15" i="34"/>
  <c r="AN15" i="34"/>
  <c r="AM15" i="34"/>
  <c r="BB14" i="34"/>
  <c r="AY14" i="34"/>
  <c r="AU14" i="34"/>
  <c r="AT14" i="34"/>
  <c r="AQ14" i="34"/>
  <c r="AL14" i="34"/>
  <c r="AK14" i="34"/>
  <c r="BE13" i="34"/>
  <c r="AO13" i="34"/>
  <c r="AK13" i="34"/>
  <c r="BE12" i="34"/>
  <c r="BC12" i="34"/>
  <c r="AO12" i="34"/>
  <c r="AW11" i="34"/>
  <c r="AM11" i="34"/>
  <c r="BE10" i="34"/>
  <c r="BB10" i="34"/>
  <c r="AY10" i="34"/>
  <c r="AT10" i="34"/>
  <c r="AQ10" i="34"/>
  <c r="AL10" i="34"/>
  <c r="BA9" i="34"/>
  <c r="AX9" i="34"/>
  <c r="AW8" i="34"/>
  <c r="AU8" i="34"/>
  <c r="BE7" i="34"/>
  <c r="BC7" i="34"/>
  <c r="AO7" i="34"/>
  <c r="AK7" i="34"/>
  <c r="BF6" i="34"/>
  <c r="BE6" i="34"/>
  <c r="BB6" i="34"/>
  <c r="AY6" i="34"/>
  <c r="AU6" i="34"/>
  <c r="AT6" i="34"/>
  <c r="AQ6" i="34"/>
  <c r="AL6" i="34"/>
  <c r="BF5" i="34"/>
  <c r="AS5" i="34"/>
  <c r="AN5" i="34"/>
  <c r="AM5" i="34"/>
  <c r="BF30" i="33"/>
  <c r="BF28" i="33" s="1"/>
  <c r="BE30" i="33"/>
  <c r="BD30" i="33"/>
  <c r="BC30" i="33"/>
  <c r="BB30" i="33"/>
  <c r="BB26" i="33" s="1"/>
  <c r="BA30" i="33"/>
  <c r="BA6" i="33" s="1"/>
  <c r="AZ30" i="33"/>
  <c r="AZ6" i="33" s="1"/>
  <c r="AY30" i="33"/>
  <c r="AY6" i="33" s="1"/>
  <c r="AX30" i="33"/>
  <c r="AX29" i="33" s="1"/>
  <c r="AW30" i="33"/>
  <c r="AW29" i="33" s="1"/>
  <c r="AV30" i="33"/>
  <c r="AU30" i="33"/>
  <c r="AU21" i="33" s="1"/>
  <c r="AT30" i="33"/>
  <c r="AT24" i="33" s="1"/>
  <c r="AS30" i="33"/>
  <c r="AR30" i="33"/>
  <c r="AR27" i="33" s="1"/>
  <c r="AQ30" i="33"/>
  <c r="AP30" i="33"/>
  <c r="AP28" i="33" s="1"/>
  <c r="AO30" i="33"/>
  <c r="AO29" i="33" s="1"/>
  <c r="AN30" i="33"/>
  <c r="AM30" i="33"/>
  <c r="AL30" i="33"/>
  <c r="AL18" i="33" s="1"/>
  <c r="AK30" i="33"/>
  <c r="BF29" i="33"/>
  <c r="BE29" i="33"/>
  <c r="BC29" i="33"/>
  <c r="BB29" i="33"/>
  <c r="AN29" i="33"/>
  <c r="BE28" i="33"/>
  <c r="BC28" i="33"/>
  <c r="BB28" i="33"/>
  <c r="AX28" i="33"/>
  <c r="AW28" i="33"/>
  <c r="AV28" i="33"/>
  <c r="AO28" i="33"/>
  <c r="BF27" i="33"/>
  <c r="BE27" i="33"/>
  <c r="BC27" i="33"/>
  <c r="BB27" i="33"/>
  <c r="AW27" i="33"/>
  <c r="AO27" i="33"/>
  <c r="BF26" i="33"/>
  <c r="BE26" i="33"/>
  <c r="AX26" i="33"/>
  <c r="AW26" i="33"/>
  <c r="AV26" i="33"/>
  <c r="AT26" i="33"/>
  <c r="AP26" i="33"/>
  <c r="AO26" i="33"/>
  <c r="BF25" i="33"/>
  <c r="BE25" i="33"/>
  <c r="AX25" i="33"/>
  <c r="AW25" i="33"/>
  <c r="AU25" i="33"/>
  <c r="AP25" i="33"/>
  <c r="AO25" i="33"/>
  <c r="AN25" i="33"/>
  <c r="BF24" i="33"/>
  <c r="BE24" i="33"/>
  <c r="AX24" i="33"/>
  <c r="AW24" i="33"/>
  <c r="AU24" i="33"/>
  <c r="AP24" i="33"/>
  <c r="AO24" i="33"/>
  <c r="BF23" i="33"/>
  <c r="BE23" i="33"/>
  <c r="AX23" i="33"/>
  <c r="AW23" i="33"/>
  <c r="AU23" i="33"/>
  <c r="AP23" i="33"/>
  <c r="AO23" i="33"/>
  <c r="BF22" i="33"/>
  <c r="BE22" i="33"/>
  <c r="AX22" i="33"/>
  <c r="AW22" i="33"/>
  <c r="AV22" i="33"/>
  <c r="AU22" i="33"/>
  <c r="AP22" i="33"/>
  <c r="AO22" i="33"/>
  <c r="BF21" i="33"/>
  <c r="BE21" i="33"/>
  <c r="BD21" i="33"/>
  <c r="AX21" i="33"/>
  <c r="AW21" i="33"/>
  <c r="AP21" i="33"/>
  <c r="AO21" i="33"/>
  <c r="BF20" i="33"/>
  <c r="BE20" i="33"/>
  <c r="AX20" i="33"/>
  <c r="AW20" i="33"/>
  <c r="AU20" i="33"/>
  <c r="AT20" i="33"/>
  <c r="AP20" i="33"/>
  <c r="AO20" i="33"/>
  <c r="AN20" i="33"/>
  <c r="BF19" i="33"/>
  <c r="BE19" i="33"/>
  <c r="AX19" i="33"/>
  <c r="AW19" i="33"/>
  <c r="AU19" i="33"/>
  <c r="AT19" i="33"/>
  <c r="AP19" i="33"/>
  <c r="AO19" i="33"/>
  <c r="BF18" i="33"/>
  <c r="BE18" i="33"/>
  <c r="AX18" i="33"/>
  <c r="AW18" i="33"/>
  <c r="AU18" i="33"/>
  <c r="AP18" i="33"/>
  <c r="AO18" i="33"/>
  <c r="AN18" i="33"/>
  <c r="BF17" i="33"/>
  <c r="BE17" i="33"/>
  <c r="AX17" i="33"/>
  <c r="AW17" i="33"/>
  <c r="AU17" i="33"/>
  <c r="AP17" i="33"/>
  <c r="AO17" i="33"/>
  <c r="BF16" i="33"/>
  <c r="BE16" i="33"/>
  <c r="AX16" i="33"/>
  <c r="AW16" i="33"/>
  <c r="AP16" i="33"/>
  <c r="AO16" i="33"/>
  <c r="AM16" i="33"/>
  <c r="BF15" i="33"/>
  <c r="BE15" i="33"/>
  <c r="AX15" i="33"/>
  <c r="AW15" i="33"/>
  <c r="AP15" i="33"/>
  <c r="AO15" i="33"/>
  <c r="BF14" i="33"/>
  <c r="BE14" i="33"/>
  <c r="BC14" i="33"/>
  <c r="BB14" i="33"/>
  <c r="AX14" i="33"/>
  <c r="AW14" i="33"/>
  <c r="AV14" i="33"/>
  <c r="AP14" i="33"/>
  <c r="AO14" i="33"/>
  <c r="BF13" i="33"/>
  <c r="BE13" i="33"/>
  <c r="BC13" i="33"/>
  <c r="AX13" i="33"/>
  <c r="AW13" i="33"/>
  <c r="AT13" i="33"/>
  <c r="AP13" i="33"/>
  <c r="AO13" i="33"/>
  <c r="BF12" i="33"/>
  <c r="BE12" i="33"/>
  <c r="AX12" i="33"/>
  <c r="AW12" i="33"/>
  <c r="AP12" i="33"/>
  <c r="AO12" i="33"/>
  <c r="AL12" i="33"/>
  <c r="BF11" i="33"/>
  <c r="BE11" i="33"/>
  <c r="AX11" i="33"/>
  <c r="AW11" i="33"/>
  <c r="AP11" i="33"/>
  <c r="AO11" i="33"/>
  <c r="AN11" i="33"/>
  <c r="BF10" i="33"/>
  <c r="BE10" i="33"/>
  <c r="BC10" i="33"/>
  <c r="AX10" i="33"/>
  <c r="AW10" i="33"/>
  <c r="AU10" i="33"/>
  <c r="AP10" i="33"/>
  <c r="AO10" i="33"/>
  <c r="AM10" i="33"/>
  <c r="BF9" i="33"/>
  <c r="BE9" i="33"/>
  <c r="AX9" i="33"/>
  <c r="AW9" i="33"/>
  <c r="AP9" i="33"/>
  <c r="AO9" i="33"/>
  <c r="BF8" i="33"/>
  <c r="BE8" i="33"/>
  <c r="BD8" i="33"/>
  <c r="AX8" i="33"/>
  <c r="AW8" i="33"/>
  <c r="AP8" i="33"/>
  <c r="AO8" i="33"/>
  <c r="AM8" i="33"/>
  <c r="AL8" i="33"/>
  <c r="BF7" i="33"/>
  <c r="BE7" i="33"/>
  <c r="BD7" i="33"/>
  <c r="AX7" i="33"/>
  <c r="AW7" i="33"/>
  <c r="AP7" i="33"/>
  <c r="AO7" i="33"/>
  <c r="BF6" i="33"/>
  <c r="BE6" i="33"/>
  <c r="AX6" i="33"/>
  <c r="AW6" i="33"/>
  <c r="AV6" i="33"/>
  <c r="AU6" i="33"/>
  <c r="AP6" i="33"/>
  <c r="AO6" i="33"/>
  <c r="AM6" i="33"/>
  <c r="AL6" i="33"/>
  <c r="BF5" i="33"/>
  <c r="BE5" i="33"/>
  <c r="AX5" i="33"/>
  <c r="AW5" i="33"/>
  <c r="AP5" i="33"/>
  <c r="AO5" i="33"/>
  <c r="BF4" i="33"/>
  <c r="BE4" i="33"/>
  <c r="AX4" i="33"/>
  <c r="AW4" i="33"/>
  <c r="AU4" i="33"/>
  <c r="AP4" i="33"/>
  <c r="AO4" i="33"/>
  <c r="AN4" i="33"/>
  <c r="AM4" i="33"/>
  <c r="AL4" i="33"/>
  <c r="BF30" i="32"/>
  <c r="BF27" i="32" s="1"/>
  <c r="BE30" i="32"/>
  <c r="BD30" i="32"/>
  <c r="BC30" i="32"/>
  <c r="BC27" i="32" s="1"/>
  <c r="BB30" i="32"/>
  <c r="BA30" i="32"/>
  <c r="AZ30" i="32"/>
  <c r="AY30" i="32"/>
  <c r="AX30" i="32"/>
  <c r="AX10" i="32" s="1"/>
  <c r="AW30" i="32"/>
  <c r="AV30" i="32"/>
  <c r="AU30" i="32"/>
  <c r="AU29" i="32" s="1"/>
  <c r="AT30" i="32"/>
  <c r="AT22" i="32" s="1"/>
  <c r="AS30" i="32"/>
  <c r="AS29" i="32" s="1"/>
  <c r="AR30" i="32"/>
  <c r="AR5" i="32" s="1"/>
  <c r="AQ30" i="32"/>
  <c r="AP30" i="32"/>
  <c r="AP19" i="32" s="1"/>
  <c r="AO30" i="32"/>
  <c r="AN30" i="32"/>
  <c r="AM30" i="32"/>
  <c r="AM29" i="32" s="1"/>
  <c r="AL30" i="32"/>
  <c r="AK30" i="32"/>
  <c r="AT28" i="32"/>
  <c r="BE29" i="32"/>
  <c r="BD29" i="32"/>
  <c r="AW29" i="32"/>
  <c r="AV29" i="32"/>
  <c r="AO29" i="32"/>
  <c r="AN29" i="32"/>
  <c r="BE28" i="32"/>
  <c r="BD28" i="32"/>
  <c r="AW28" i="32"/>
  <c r="AV28" i="32"/>
  <c r="AU28" i="32"/>
  <c r="AO28" i="32"/>
  <c r="AN28" i="32"/>
  <c r="AM28" i="32"/>
  <c r="BE27" i="32"/>
  <c r="BD27" i="32"/>
  <c r="AW27" i="32"/>
  <c r="AV27" i="32"/>
  <c r="AU27" i="32"/>
  <c r="AO27" i="32"/>
  <c r="AN27" i="32"/>
  <c r="BE26" i="32"/>
  <c r="BD26" i="32"/>
  <c r="BC26" i="32"/>
  <c r="AW26" i="32"/>
  <c r="AV26" i="32"/>
  <c r="AU26" i="32"/>
  <c r="AT26" i="32"/>
  <c r="AS26" i="32"/>
  <c r="AO26" i="32"/>
  <c r="AN26" i="32"/>
  <c r="AM26" i="32"/>
  <c r="AK26" i="32"/>
  <c r="BE25" i="32"/>
  <c r="BD25" i="32"/>
  <c r="BC25" i="32"/>
  <c r="AW25" i="32"/>
  <c r="AV25" i="32"/>
  <c r="AU25" i="32"/>
  <c r="AO25" i="32"/>
  <c r="AN25" i="32"/>
  <c r="AM25" i="32"/>
  <c r="AK25" i="32"/>
  <c r="BE24" i="32"/>
  <c r="BD24" i="32"/>
  <c r="BC24" i="32"/>
  <c r="AW24" i="32"/>
  <c r="AV24" i="32"/>
  <c r="AU24" i="32"/>
  <c r="AO24" i="32"/>
  <c r="AN24" i="32"/>
  <c r="AM24" i="32"/>
  <c r="AK24" i="32"/>
  <c r="BE23" i="32"/>
  <c r="BD23" i="32"/>
  <c r="BC23" i="32"/>
  <c r="AW23" i="32"/>
  <c r="AV23" i="32"/>
  <c r="AU23" i="32"/>
  <c r="AO23" i="32"/>
  <c r="AN23" i="32"/>
  <c r="AM23" i="32"/>
  <c r="BE22" i="32"/>
  <c r="BD22" i="32"/>
  <c r="BC22" i="32"/>
  <c r="AW22" i="32"/>
  <c r="AV22" i="32"/>
  <c r="AU22" i="32"/>
  <c r="AO22" i="32"/>
  <c r="AN22" i="32"/>
  <c r="AM22" i="32"/>
  <c r="BE21" i="32"/>
  <c r="BD21" i="32"/>
  <c r="BC21" i="32"/>
  <c r="BA21" i="32"/>
  <c r="AX21" i="32"/>
  <c r="AW21" i="32"/>
  <c r="AV21" i="32"/>
  <c r="AU21" i="32"/>
  <c r="AO21" i="32"/>
  <c r="AN21" i="32"/>
  <c r="AM21" i="32"/>
  <c r="BE20" i="32"/>
  <c r="BD20" i="32"/>
  <c r="BC20" i="32"/>
  <c r="BA20" i="32"/>
  <c r="AW20" i="32"/>
  <c r="AV20" i="32"/>
  <c r="AU20" i="32"/>
  <c r="AO20" i="32"/>
  <c r="AN20" i="32"/>
  <c r="AM20" i="32"/>
  <c r="BE19" i="32"/>
  <c r="BD19" i="32"/>
  <c r="BC19" i="32"/>
  <c r="BA19" i="32"/>
  <c r="AW19" i="32"/>
  <c r="AV19" i="32"/>
  <c r="AU19" i="32"/>
  <c r="AO19" i="32"/>
  <c r="AN19" i="32"/>
  <c r="AM19" i="32"/>
  <c r="BE18" i="32"/>
  <c r="BD18" i="32"/>
  <c r="BC18" i="32"/>
  <c r="BA18" i="32"/>
  <c r="AW18" i="32"/>
  <c r="AV18" i="32"/>
  <c r="AU18" i="32"/>
  <c r="AT18" i="32"/>
  <c r="AO18" i="32"/>
  <c r="AN18" i="32"/>
  <c r="AM18" i="32"/>
  <c r="BF17" i="32"/>
  <c r="BE17" i="32"/>
  <c r="BD17" i="32"/>
  <c r="BC17" i="32"/>
  <c r="AW17" i="32"/>
  <c r="AV17" i="32"/>
  <c r="AU17" i="32"/>
  <c r="AS17" i="32"/>
  <c r="AO17" i="32"/>
  <c r="AN17" i="32"/>
  <c r="AM17" i="32"/>
  <c r="BE16" i="32"/>
  <c r="BD16" i="32"/>
  <c r="BC16" i="32"/>
  <c r="AW16" i="32"/>
  <c r="AV16" i="32"/>
  <c r="AU16" i="32"/>
  <c r="AO16" i="32"/>
  <c r="AN16" i="32"/>
  <c r="AM16" i="32"/>
  <c r="AK16" i="32"/>
  <c r="BE15" i="32"/>
  <c r="BD15" i="32"/>
  <c r="BC15" i="32"/>
  <c r="AX15" i="32"/>
  <c r="AW15" i="32"/>
  <c r="AV15" i="32"/>
  <c r="AU15" i="32"/>
  <c r="AO15" i="32"/>
  <c r="AN15" i="32"/>
  <c r="AM15" i="32"/>
  <c r="AK15" i="32"/>
  <c r="BE14" i="32"/>
  <c r="BD14" i="32"/>
  <c r="BC14" i="32"/>
  <c r="AW14" i="32"/>
  <c r="AV14" i="32"/>
  <c r="AU14" i="32"/>
  <c r="AT14" i="32"/>
  <c r="AO14" i="32"/>
  <c r="AN14" i="32"/>
  <c r="AM14" i="32"/>
  <c r="AL14" i="32"/>
  <c r="BE13" i="32"/>
  <c r="BD13" i="32"/>
  <c r="BC13" i="32"/>
  <c r="AW13" i="32"/>
  <c r="AV13" i="32"/>
  <c r="AU13" i="32"/>
  <c r="AS13" i="32"/>
  <c r="AO13" i="32"/>
  <c r="AN13" i="32"/>
  <c r="AM13" i="32"/>
  <c r="BE12" i="32"/>
  <c r="BD12" i="32"/>
  <c r="BC12" i="32"/>
  <c r="AW12" i="32"/>
  <c r="AV12" i="32"/>
  <c r="AU12" i="32"/>
  <c r="AS12" i="32"/>
  <c r="AO12" i="32"/>
  <c r="AN12" i="32"/>
  <c r="AM12" i="32"/>
  <c r="BE11" i="32"/>
  <c r="BD11" i="32"/>
  <c r="BC11" i="32"/>
  <c r="AW11" i="32"/>
  <c r="AV11" i="32"/>
  <c r="AU11" i="32"/>
  <c r="AO11" i="32"/>
  <c r="AN11" i="32"/>
  <c r="AM11" i="32"/>
  <c r="AK11" i="32"/>
  <c r="BE10" i="32"/>
  <c r="BD10" i="32"/>
  <c r="BC10" i="32"/>
  <c r="AW10" i="32"/>
  <c r="AV10" i="32"/>
  <c r="AU10" i="32"/>
  <c r="AT10" i="32"/>
  <c r="AO10" i="32"/>
  <c r="AN10" i="32"/>
  <c r="AM10" i="32"/>
  <c r="BE9" i="32"/>
  <c r="BD9" i="32"/>
  <c r="BC9" i="32"/>
  <c r="AW9" i="32"/>
  <c r="AV9" i="32"/>
  <c r="AU9" i="32"/>
  <c r="AS9" i="32"/>
  <c r="AO9" i="32"/>
  <c r="AN9" i="32"/>
  <c r="AM9" i="32"/>
  <c r="BE8" i="32"/>
  <c r="BD8" i="32"/>
  <c r="BC8" i="32"/>
  <c r="AW8" i="32"/>
  <c r="AV8" i="32"/>
  <c r="AU8" i="32"/>
  <c r="AP8" i="32"/>
  <c r="AO8" i="32"/>
  <c r="AN8" i="32"/>
  <c r="AM8" i="32"/>
  <c r="AK8" i="32"/>
  <c r="BE7" i="32"/>
  <c r="BD7" i="32"/>
  <c r="BC7" i="32"/>
  <c r="AW7" i="32"/>
  <c r="AV7" i="32"/>
  <c r="AU7" i="32"/>
  <c r="AO7" i="32"/>
  <c r="AN7" i="32"/>
  <c r="AM7" i="32"/>
  <c r="AK7" i="32"/>
  <c r="BE6" i="32"/>
  <c r="BD6" i="32"/>
  <c r="BC6" i="32"/>
  <c r="AW6" i="32"/>
  <c r="AV6" i="32"/>
  <c r="AU6" i="32"/>
  <c r="AT6" i="32"/>
  <c r="AO6" i="32"/>
  <c r="AN6" i="32"/>
  <c r="AM6" i="32"/>
  <c r="AL6" i="32"/>
  <c r="BE5" i="32"/>
  <c r="BD5" i="32"/>
  <c r="BC5" i="32"/>
  <c r="AW5" i="32"/>
  <c r="AV5" i="32"/>
  <c r="AU5" i="32"/>
  <c r="AS5" i="32"/>
  <c r="AO5" i="32"/>
  <c r="AN5" i="32"/>
  <c r="AM5" i="32"/>
  <c r="BE4" i="32"/>
  <c r="BD4" i="32"/>
  <c r="BC4" i="32"/>
  <c r="AW4" i="32"/>
  <c r="AV4" i="32"/>
  <c r="AU4" i="32"/>
  <c r="AS4" i="32"/>
  <c r="AO4" i="32"/>
  <c r="AN4" i="32"/>
  <c r="AM4" i="32"/>
  <c r="BF30" i="31"/>
  <c r="BF13" i="31" s="1"/>
  <c r="BE30" i="31"/>
  <c r="BD30" i="31"/>
  <c r="BD21" i="31" s="1"/>
  <c r="BC30" i="31"/>
  <c r="BC29" i="31" s="1"/>
  <c r="BB30" i="31"/>
  <c r="BA30" i="31"/>
  <c r="AZ30" i="31"/>
  <c r="AY30" i="31"/>
  <c r="AX30" i="31"/>
  <c r="AW30" i="31"/>
  <c r="AW6" i="31" s="1"/>
  <c r="AV30" i="31"/>
  <c r="AV22" i="31" s="1"/>
  <c r="AU30" i="31"/>
  <c r="AU29" i="31" s="1"/>
  <c r="AT30" i="31"/>
  <c r="AS30" i="31"/>
  <c r="AR30" i="31"/>
  <c r="AQ30" i="31"/>
  <c r="AP30" i="31"/>
  <c r="AP10" i="31" s="1"/>
  <c r="AO30" i="31"/>
  <c r="AO17" i="31" s="1"/>
  <c r="AN30" i="31"/>
  <c r="AN27" i="31" s="1"/>
  <c r="AM30" i="31"/>
  <c r="AM29" i="31" s="1"/>
  <c r="AL30" i="31"/>
  <c r="AK30" i="31"/>
  <c r="BB28" i="31"/>
  <c r="AT28" i="31"/>
  <c r="AL28" i="31"/>
  <c r="BF29" i="31"/>
  <c r="BD29" i="31"/>
  <c r="BC28" i="31"/>
  <c r="AU28" i="31"/>
  <c r="BC27" i="31"/>
  <c r="AV27" i="31"/>
  <c r="AU27" i="31"/>
  <c r="AM27" i="31"/>
  <c r="BF26" i="31"/>
  <c r="BC26" i="31"/>
  <c r="BB26" i="31"/>
  <c r="AU26" i="31"/>
  <c r="AT26" i="31"/>
  <c r="AM26" i="31"/>
  <c r="AL26" i="31"/>
  <c r="BF25" i="31"/>
  <c r="BC25" i="31"/>
  <c r="AV25" i="31"/>
  <c r="AU25" i="31"/>
  <c r="AP25" i="31"/>
  <c r="AM25" i="31"/>
  <c r="BC24" i="31"/>
  <c r="AV24" i="31"/>
  <c r="AU24" i="31"/>
  <c r="AM24" i="31"/>
  <c r="BC23" i="31"/>
  <c r="AU23" i="31"/>
  <c r="AM23" i="31"/>
  <c r="BF22" i="31"/>
  <c r="BC22" i="31"/>
  <c r="BB22" i="31"/>
  <c r="AU22" i="31"/>
  <c r="AT22" i="31"/>
  <c r="AM22" i="31"/>
  <c r="AL22" i="31"/>
  <c r="BF21" i="31"/>
  <c r="BC21" i="31"/>
  <c r="AU21" i="31"/>
  <c r="AN21" i="31"/>
  <c r="AM21" i="31"/>
  <c r="BD20" i="31"/>
  <c r="BC20" i="31"/>
  <c r="AU20" i="31"/>
  <c r="AM20" i="31"/>
  <c r="BC19" i="31"/>
  <c r="AU19" i="31"/>
  <c r="AM19" i="31"/>
  <c r="BC18" i="31"/>
  <c r="BB18" i="31"/>
  <c r="AX18" i="31"/>
  <c r="AU18" i="31"/>
  <c r="AT18" i="31"/>
  <c r="AN18" i="31"/>
  <c r="AM18" i="31"/>
  <c r="AL18" i="31"/>
  <c r="BF17" i="31"/>
  <c r="BC17" i="31"/>
  <c r="AU17" i="31"/>
  <c r="AP17" i="31"/>
  <c r="AN17" i="31"/>
  <c r="AM17" i="31"/>
  <c r="BC16" i="31"/>
  <c r="AX16" i="31"/>
  <c r="AV16" i="31"/>
  <c r="AU16" i="31"/>
  <c r="AM16" i="31"/>
  <c r="BF15" i="31"/>
  <c r="BC15" i="31"/>
  <c r="AV15" i="31"/>
  <c r="AU15" i="31"/>
  <c r="AP15" i="31"/>
  <c r="AM15" i="31"/>
  <c r="BD14" i="31"/>
  <c r="BC14" i="31"/>
  <c r="BB14" i="31"/>
  <c r="AX14" i="31"/>
  <c r="AU14" i="31"/>
  <c r="AT14" i="31"/>
  <c r="AM14" i="31"/>
  <c r="AL14" i="31"/>
  <c r="BD13" i="31"/>
  <c r="BC13" i="31"/>
  <c r="AU13" i="31"/>
  <c r="AP13" i="31"/>
  <c r="AM13" i="31"/>
  <c r="BC12" i="31"/>
  <c r="AX12" i="31"/>
  <c r="AU12" i="31"/>
  <c r="AM12" i="31"/>
  <c r="BC11" i="31"/>
  <c r="AU11" i="31"/>
  <c r="AP11" i="31"/>
  <c r="AN11" i="31"/>
  <c r="AM11" i="31"/>
  <c r="BC10" i="31"/>
  <c r="BB10" i="31"/>
  <c r="AV10" i="31"/>
  <c r="AU10" i="31"/>
  <c r="AT10" i="31"/>
  <c r="AM10" i="31"/>
  <c r="AL10" i="31"/>
  <c r="BD9" i="31"/>
  <c r="BC9" i="31"/>
  <c r="AU9" i="31"/>
  <c r="AN9" i="31"/>
  <c r="AM9" i="31"/>
  <c r="BD8" i="31"/>
  <c r="BC8" i="31"/>
  <c r="AU8" i="31"/>
  <c r="AN8" i="31"/>
  <c r="AM8" i="31"/>
  <c r="BD7" i="31"/>
  <c r="BC7" i="31"/>
  <c r="AX7" i="31"/>
  <c r="AU7" i="31"/>
  <c r="AN7" i="31"/>
  <c r="AM7" i="31"/>
  <c r="BD6" i="31"/>
  <c r="BC6" i="31"/>
  <c r="BB6" i="31"/>
  <c r="AU6" i="31"/>
  <c r="AT6" i="31"/>
  <c r="AN6" i="31"/>
  <c r="AM6" i="31"/>
  <c r="AL6" i="31"/>
  <c r="BC5" i="31"/>
  <c r="AV5" i="31"/>
  <c r="AU5" i="31"/>
  <c r="AM5" i="31"/>
  <c r="BC4" i="31"/>
  <c r="AX4" i="31"/>
  <c r="AU4" i="31"/>
  <c r="AS4" i="31"/>
  <c r="AM4" i="31"/>
  <c r="BF30" i="30"/>
  <c r="BE30" i="30"/>
  <c r="BE26" i="30" s="1"/>
  <c r="BD30" i="30"/>
  <c r="BD28" i="30" s="1"/>
  <c r="BC30" i="30"/>
  <c r="BB30" i="30"/>
  <c r="BA30" i="30"/>
  <c r="AZ30" i="30"/>
  <c r="AZ10" i="30" s="1"/>
  <c r="AY30" i="30"/>
  <c r="AX30" i="30"/>
  <c r="AW30" i="30"/>
  <c r="AV30" i="30"/>
  <c r="AV20" i="30" s="1"/>
  <c r="AU30" i="30"/>
  <c r="AT30" i="30"/>
  <c r="AS30" i="30"/>
  <c r="AR30" i="30"/>
  <c r="AQ30" i="30"/>
  <c r="AP30" i="30"/>
  <c r="AO30" i="30"/>
  <c r="AN30" i="30"/>
  <c r="AN27" i="30" s="1"/>
  <c r="AM30" i="30"/>
  <c r="AL30" i="30"/>
  <c r="AL16" i="30" s="1"/>
  <c r="AK30" i="30"/>
  <c r="BC29" i="30"/>
  <c r="BA29" i="30"/>
  <c r="AU29" i="30"/>
  <c r="AM29" i="30"/>
  <c r="BC28" i="30"/>
  <c r="AU28" i="30"/>
  <c r="AM28" i="30"/>
  <c r="BE27" i="30"/>
  <c r="BC27" i="30"/>
  <c r="BA27" i="30"/>
  <c r="AU27" i="30"/>
  <c r="AM27" i="30"/>
  <c r="AK27" i="30"/>
  <c r="BC26" i="30"/>
  <c r="BA26" i="30"/>
  <c r="AU26" i="30"/>
  <c r="AO26" i="30"/>
  <c r="AM26" i="30"/>
  <c r="BC25" i="30"/>
  <c r="BA25" i="30"/>
  <c r="AU25" i="30"/>
  <c r="AM25" i="30"/>
  <c r="AK25" i="30"/>
  <c r="BC24" i="30"/>
  <c r="AU24" i="30"/>
  <c r="AS24" i="30"/>
  <c r="AM24" i="30"/>
  <c r="BC23" i="30"/>
  <c r="BA23" i="30"/>
  <c r="AU23" i="30"/>
  <c r="AO23" i="30"/>
  <c r="AM23" i="30"/>
  <c r="AK23" i="30"/>
  <c r="BC22" i="30"/>
  <c r="AU22" i="30"/>
  <c r="AM22" i="30"/>
  <c r="BC21" i="30"/>
  <c r="AU21" i="30"/>
  <c r="AM21" i="30"/>
  <c r="AK21" i="30"/>
  <c r="BC20" i="30"/>
  <c r="AU20" i="30"/>
  <c r="AM20" i="30"/>
  <c r="BC19" i="30"/>
  <c r="AU19" i="30"/>
  <c r="AS19" i="30"/>
  <c r="AM19" i="30"/>
  <c r="BC18" i="30"/>
  <c r="BA18" i="30"/>
  <c r="AU18" i="30"/>
  <c r="AN18" i="30"/>
  <c r="AM18" i="30"/>
  <c r="AL18" i="30"/>
  <c r="AK18" i="30"/>
  <c r="BC17" i="30"/>
  <c r="BA17" i="30"/>
  <c r="AV17" i="30"/>
  <c r="AU17" i="30"/>
  <c r="AQ17" i="30"/>
  <c r="AM17" i="30"/>
  <c r="AK17" i="30"/>
  <c r="BE16" i="30"/>
  <c r="BC16" i="30"/>
  <c r="AU16" i="30"/>
  <c r="AM16" i="30"/>
  <c r="AK16" i="30"/>
  <c r="BC15" i="30"/>
  <c r="BA15" i="30"/>
  <c r="AU15" i="30"/>
  <c r="AQ15" i="30"/>
  <c r="AO15" i="30"/>
  <c r="AN15" i="30"/>
  <c r="AM15" i="30"/>
  <c r="AK15" i="30"/>
  <c r="BC14" i="30"/>
  <c r="BA14" i="30"/>
  <c r="AW14" i="30"/>
  <c r="AU14" i="30"/>
  <c r="AM14" i="30"/>
  <c r="BC13" i="30"/>
  <c r="BA13" i="30"/>
  <c r="AU13" i="30"/>
  <c r="AS13" i="30"/>
  <c r="AN13" i="30"/>
  <c r="AM13" i="30"/>
  <c r="BC12" i="30"/>
  <c r="AU12" i="30"/>
  <c r="AS12" i="30"/>
  <c r="AM12" i="30"/>
  <c r="AK12" i="30"/>
  <c r="BC11" i="30"/>
  <c r="AU11" i="30"/>
  <c r="AM11" i="30"/>
  <c r="AK11" i="30"/>
  <c r="BE10" i="30"/>
  <c r="BC10" i="30"/>
  <c r="BA10" i="30"/>
  <c r="AY10" i="30"/>
  <c r="AU10" i="30"/>
  <c r="AS10" i="30"/>
  <c r="AQ10" i="30"/>
  <c r="AM10" i="30"/>
  <c r="AK10" i="30"/>
  <c r="BE9" i="30"/>
  <c r="BC9" i="30"/>
  <c r="AU9" i="30"/>
  <c r="AO9" i="30"/>
  <c r="AM9" i="30"/>
  <c r="AK9" i="30"/>
  <c r="BC8" i="30"/>
  <c r="BA8" i="30"/>
  <c r="AW8" i="30"/>
  <c r="AV8" i="30"/>
  <c r="AU8" i="30"/>
  <c r="AQ8" i="30"/>
  <c r="AM8" i="30"/>
  <c r="BE7" i="30"/>
  <c r="BC7" i="30"/>
  <c r="BA7" i="30"/>
  <c r="AU7" i="30"/>
  <c r="AO7" i="30"/>
  <c r="AM7" i="30"/>
  <c r="BC6" i="30"/>
  <c r="AW6" i="30"/>
  <c r="AU6" i="30"/>
  <c r="AM6" i="30"/>
  <c r="AK6" i="30"/>
  <c r="BC5" i="30"/>
  <c r="AU5" i="30"/>
  <c r="AO5" i="30"/>
  <c r="AN5" i="30"/>
  <c r="AM5" i="30"/>
  <c r="BF4" i="30"/>
  <c r="BC4" i="30"/>
  <c r="BA4" i="30"/>
  <c r="AW4" i="30"/>
  <c r="AU4" i="30"/>
  <c r="AM4" i="30"/>
  <c r="BF30" i="29"/>
  <c r="BE30" i="29"/>
  <c r="BD30" i="29"/>
  <c r="BC30" i="29"/>
  <c r="BC9" i="29" s="1"/>
  <c r="BB30" i="29"/>
  <c r="BB29" i="29" s="1"/>
  <c r="BA30" i="29"/>
  <c r="BA28" i="29" s="1"/>
  <c r="AZ30" i="29"/>
  <c r="AZ10" i="29" s="1"/>
  <c r="AY30" i="29"/>
  <c r="AY29" i="29" s="1"/>
  <c r="AX30" i="29"/>
  <c r="AW30" i="29"/>
  <c r="AV30" i="29"/>
  <c r="AU30" i="29"/>
  <c r="AU18" i="29" s="1"/>
  <c r="AT30" i="29"/>
  <c r="AT29" i="29" s="1"/>
  <c r="AS30" i="29"/>
  <c r="AR30" i="29"/>
  <c r="AR27" i="29" s="1"/>
  <c r="AQ30" i="29"/>
  <c r="AQ27" i="29" s="1"/>
  <c r="AP30" i="29"/>
  <c r="AP18" i="29" s="1"/>
  <c r="AO30" i="29"/>
  <c r="AN30" i="29"/>
  <c r="AM30" i="29"/>
  <c r="AM12" i="29" s="1"/>
  <c r="AL30" i="29"/>
  <c r="AL22" i="29" s="1"/>
  <c r="AK30" i="29"/>
  <c r="AK28" i="29" s="1"/>
  <c r="AS28" i="29"/>
  <c r="AQ29" i="29"/>
  <c r="AL29" i="29"/>
  <c r="BB28" i="29"/>
  <c r="AQ28" i="29"/>
  <c r="AL28" i="29"/>
  <c r="BB27" i="29"/>
  <c r="AL27" i="29"/>
  <c r="BB26" i="29"/>
  <c r="BA26" i="29"/>
  <c r="AS26" i="29"/>
  <c r="AL26" i="29"/>
  <c r="AK26" i="29"/>
  <c r="AT25" i="29"/>
  <c r="AQ25" i="29"/>
  <c r="AL25" i="29"/>
  <c r="AT24" i="29"/>
  <c r="AL24" i="29"/>
  <c r="BB23" i="29"/>
  <c r="AL23" i="29"/>
  <c r="BB22" i="29"/>
  <c r="BA22" i="29"/>
  <c r="AT22" i="29"/>
  <c r="AS22" i="29"/>
  <c r="AQ22" i="29"/>
  <c r="AK22" i="29"/>
  <c r="BB21" i="29"/>
  <c r="AT21" i="29"/>
  <c r="BB20" i="29"/>
  <c r="AT20" i="29"/>
  <c r="AM20" i="29"/>
  <c r="AL20" i="29"/>
  <c r="AT19" i="29"/>
  <c r="AL19" i="29"/>
  <c r="BB18" i="29"/>
  <c r="BA18" i="29"/>
  <c r="AZ18" i="29"/>
  <c r="AY18" i="29"/>
  <c r="AT18" i="29"/>
  <c r="AS18" i="29"/>
  <c r="AR18" i="29"/>
  <c r="AQ18" i="29"/>
  <c r="AL18" i="29"/>
  <c r="AK18" i="29"/>
  <c r="BB17" i="29"/>
  <c r="AT17" i="29"/>
  <c r="AQ17" i="29"/>
  <c r="AL17" i="29"/>
  <c r="BB16" i="29"/>
  <c r="AY16" i="29"/>
  <c r="AT16" i="29"/>
  <c r="AQ16" i="29"/>
  <c r="AL16" i="29"/>
  <c r="BB15" i="29"/>
  <c r="BA15" i="29"/>
  <c r="AY15" i="29"/>
  <c r="AT15" i="29"/>
  <c r="AS15" i="29"/>
  <c r="AQ15" i="29"/>
  <c r="AL15" i="29"/>
  <c r="AK15" i="29"/>
  <c r="BB14" i="29"/>
  <c r="BA14" i="29"/>
  <c r="AY14" i="29"/>
  <c r="AT14" i="29"/>
  <c r="AS14" i="29"/>
  <c r="AQ14" i="29"/>
  <c r="AL14" i="29"/>
  <c r="AK14" i="29"/>
  <c r="BB13" i="29"/>
  <c r="AY13" i="29"/>
  <c r="AT13" i="29"/>
  <c r="AQ13" i="29"/>
  <c r="AL13" i="29"/>
  <c r="BB12" i="29"/>
  <c r="BA12" i="29"/>
  <c r="AY12" i="29"/>
  <c r="AT12" i="29"/>
  <c r="AS12" i="29"/>
  <c r="AQ12" i="29"/>
  <c r="AL12" i="29"/>
  <c r="AK12" i="29"/>
  <c r="BB11" i="29"/>
  <c r="BA11" i="29"/>
  <c r="AY11" i="29"/>
  <c r="AT11" i="29"/>
  <c r="AS11" i="29"/>
  <c r="AQ11" i="29"/>
  <c r="AL11" i="29"/>
  <c r="AK11" i="29"/>
  <c r="BC10" i="29"/>
  <c r="BB10" i="29"/>
  <c r="BA10" i="29"/>
  <c r="AY10" i="29"/>
  <c r="AV10" i="29"/>
  <c r="AT10" i="29"/>
  <c r="AS10" i="29"/>
  <c r="AQ10" i="29"/>
  <c r="AL10" i="29"/>
  <c r="AK10" i="29"/>
  <c r="BB9" i="29"/>
  <c r="BA9" i="29"/>
  <c r="AY9" i="29"/>
  <c r="AT9" i="29"/>
  <c r="AS9" i="29"/>
  <c r="AQ9" i="29"/>
  <c r="AL9" i="29"/>
  <c r="AK9" i="29"/>
  <c r="BB8" i="29"/>
  <c r="BA8" i="29"/>
  <c r="AY8" i="29"/>
  <c r="AT8" i="29"/>
  <c r="AS8" i="29"/>
  <c r="AQ8" i="29"/>
  <c r="AL8" i="29"/>
  <c r="AK8" i="29"/>
  <c r="BB7" i="29"/>
  <c r="BA7" i="29"/>
  <c r="AY7" i="29"/>
  <c r="AT7" i="29"/>
  <c r="AS7" i="29"/>
  <c r="AQ7" i="29"/>
  <c r="AL7" i="29"/>
  <c r="AK7" i="29"/>
  <c r="BB6" i="29"/>
  <c r="BA6" i="29"/>
  <c r="AY6" i="29"/>
  <c r="AT6" i="29"/>
  <c r="AS6" i="29"/>
  <c r="AQ6" i="29"/>
  <c r="AL6" i="29"/>
  <c r="AK6" i="29"/>
  <c r="BB5" i="29"/>
  <c r="BA5" i="29"/>
  <c r="AY5" i="29"/>
  <c r="AT5" i="29"/>
  <c r="AS5" i="29"/>
  <c r="AQ5" i="29"/>
  <c r="AL5" i="29"/>
  <c r="AK5" i="29"/>
  <c r="BB4" i="29"/>
  <c r="BA4" i="29"/>
  <c r="AY4" i="29"/>
  <c r="AU4" i="29"/>
  <c r="AT4" i="29"/>
  <c r="AS4" i="29"/>
  <c r="AQ4" i="29"/>
  <c r="AM4" i="29"/>
  <c r="AL4" i="29"/>
  <c r="AK4" i="29"/>
  <c r="BF30" i="28"/>
  <c r="BF8" i="28" s="1"/>
  <c r="BE30" i="28"/>
  <c r="BE26" i="28" s="1"/>
  <c r="BD30" i="28"/>
  <c r="BD28" i="28" s="1"/>
  <c r="BC30" i="28"/>
  <c r="BB30" i="28"/>
  <c r="BA30" i="28"/>
  <c r="AZ30" i="28"/>
  <c r="AZ6" i="28" s="1"/>
  <c r="AY30" i="28"/>
  <c r="AY16" i="28" s="1"/>
  <c r="AX30" i="28"/>
  <c r="AX24" i="28" s="1"/>
  <c r="AW30" i="28"/>
  <c r="AW24" i="28" s="1"/>
  <c r="AV30" i="28"/>
  <c r="AU30" i="28"/>
  <c r="AT30" i="28"/>
  <c r="AS30" i="28"/>
  <c r="AR30" i="28"/>
  <c r="AR6" i="28" s="1"/>
  <c r="AQ30" i="28"/>
  <c r="AQ12" i="28" s="1"/>
  <c r="AP30" i="28"/>
  <c r="AP15" i="28" s="1"/>
  <c r="AO30" i="28"/>
  <c r="AO29" i="28" s="1"/>
  <c r="AN30" i="28"/>
  <c r="AN24" i="28" s="1"/>
  <c r="AM30" i="28"/>
  <c r="AL30" i="28"/>
  <c r="AK30" i="28"/>
  <c r="AW29" i="28"/>
  <c r="AN29" i="28"/>
  <c r="BC28" i="28"/>
  <c r="AW28" i="28"/>
  <c r="AV27" i="28"/>
  <c r="BD26" i="28"/>
  <c r="BB26" i="28"/>
  <c r="BD24" i="28"/>
  <c r="AT24" i="28"/>
  <c r="AT22" i="28"/>
  <c r="AN22" i="28"/>
  <c r="BD21" i="28"/>
  <c r="AT20" i="28"/>
  <c r="AN20" i="28"/>
  <c r="BD19" i="28"/>
  <c r="BA18" i="28"/>
  <c r="AZ18" i="28"/>
  <c r="AV18" i="28"/>
  <c r="AR18" i="28"/>
  <c r="AN17" i="28"/>
  <c r="BD16" i="28"/>
  <c r="BC16" i="28"/>
  <c r="AT15" i="28"/>
  <c r="AN15" i="28"/>
  <c r="BD14" i="28"/>
  <c r="BD13" i="28"/>
  <c r="AV13" i="28"/>
  <c r="AN13" i="28"/>
  <c r="BE12" i="28"/>
  <c r="BF11" i="28"/>
  <c r="BD11" i="28"/>
  <c r="AV11" i="28"/>
  <c r="AZ10" i="28"/>
  <c r="AY10" i="28"/>
  <c r="AX10" i="28"/>
  <c r="AV10" i="28"/>
  <c r="AR10" i="28"/>
  <c r="BA9" i="28"/>
  <c r="AV9" i="28"/>
  <c r="AP9" i="28"/>
  <c r="AY8" i="28"/>
  <c r="AX8" i="28"/>
  <c r="AV8" i="28"/>
  <c r="AU8" i="28"/>
  <c r="AT8" i="28"/>
  <c r="BA7" i="28"/>
  <c r="AP7" i="28"/>
  <c r="AN7" i="28"/>
  <c r="BD6" i="28"/>
  <c r="AY6" i="28"/>
  <c r="AX6" i="28"/>
  <c r="AT6" i="28"/>
  <c r="AN6" i="28"/>
  <c r="AL6" i="28"/>
  <c r="BA5" i="28"/>
  <c r="AP5" i="28"/>
  <c r="BD4" i="28"/>
  <c r="BC4" i="28"/>
  <c r="AY4" i="28"/>
  <c r="AX4" i="28"/>
  <c r="AL4" i="28"/>
  <c r="BF30" i="27"/>
  <c r="BE30" i="27"/>
  <c r="BE12" i="27" s="1"/>
  <c r="BD30" i="27"/>
  <c r="BD25" i="27" s="1"/>
  <c r="BC30" i="27"/>
  <c r="BC17" i="27" s="1"/>
  <c r="BB30" i="27"/>
  <c r="BA30" i="27"/>
  <c r="BA28" i="27" s="1"/>
  <c r="AZ30" i="27"/>
  <c r="AZ26" i="27" s="1"/>
  <c r="AY30" i="27"/>
  <c r="AY26" i="27" s="1"/>
  <c r="AX30" i="27"/>
  <c r="AW30" i="27"/>
  <c r="AW17" i="27" s="1"/>
  <c r="AV30" i="27"/>
  <c r="AV23" i="27" s="1"/>
  <c r="AU30" i="27"/>
  <c r="AU8" i="27" s="1"/>
  <c r="AT30" i="27"/>
  <c r="AS30" i="27"/>
  <c r="AS27" i="27" s="1"/>
  <c r="AR30" i="27"/>
  <c r="AR26" i="27" s="1"/>
  <c r="AQ30" i="27"/>
  <c r="AQ11" i="27" s="1"/>
  <c r="AP30" i="27"/>
  <c r="AO30" i="27"/>
  <c r="AO21" i="27" s="1"/>
  <c r="AN30" i="27"/>
  <c r="AN29" i="27" s="1"/>
  <c r="AM30" i="27"/>
  <c r="AM11" i="27" s="1"/>
  <c r="AL30" i="27"/>
  <c r="AK30" i="27"/>
  <c r="AK24" i="27" s="1"/>
  <c r="AZ27" i="27"/>
  <c r="AY27" i="27"/>
  <c r="BF29" i="27"/>
  <c r="BD29" i="27"/>
  <c r="BB29" i="27"/>
  <c r="AT29" i="27"/>
  <c r="AL29" i="27"/>
  <c r="BF28" i="27"/>
  <c r="BD28" i="27"/>
  <c r="BB28" i="27"/>
  <c r="AT28" i="27"/>
  <c r="AN28" i="27"/>
  <c r="AL28" i="27"/>
  <c r="BF27" i="27"/>
  <c r="BD27" i="27"/>
  <c r="BB27" i="27"/>
  <c r="AT27" i="27"/>
  <c r="AP27" i="27"/>
  <c r="AN27" i="27"/>
  <c r="AL27" i="27"/>
  <c r="BD26" i="27"/>
  <c r="BB26" i="27"/>
  <c r="AX26" i="27"/>
  <c r="AV26" i="27"/>
  <c r="AT26" i="27"/>
  <c r="AN26" i="27"/>
  <c r="AL26" i="27"/>
  <c r="BF25" i="27"/>
  <c r="BB25" i="27"/>
  <c r="AV25" i="27"/>
  <c r="AT25" i="27"/>
  <c r="AN25" i="27"/>
  <c r="AL25" i="27"/>
  <c r="BF24" i="27"/>
  <c r="BD24" i="27"/>
  <c r="BB24" i="27"/>
  <c r="BA24" i="27"/>
  <c r="AV24" i="27"/>
  <c r="AT24" i="27"/>
  <c r="AP24" i="27"/>
  <c r="AN24" i="27"/>
  <c r="AL24" i="27"/>
  <c r="BD23" i="27"/>
  <c r="BB23" i="27"/>
  <c r="AX23" i="27"/>
  <c r="AT23" i="27"/>
  <c r="AS23" i="27"/>
  <c r="AN23" i="27"/>
  <c r="AL23" i="27"/>
  <c r="BF22" i="27"/>
  <c r="BD22" i="27"/>
  <c r="BB22" i="27"/>
  <c r="AV22" i="27"/>
  <c r="AT22" i="27"/>
  <c r="AP22" i="27"/>
  <c r="AO22" i="27"/>
  <c r="AN22" i="27"/>
  <c r="AL22" i="27"/>
  <c r="BF21" i="27"/>
  <c r="BD21" i="27"/>
  <c r="BB21" i="27"/>
  <c r="AX21" i="27"/>
  <c r="AW21" i="27"/>
  <c r="AV21" i="27"/>
  <c r="AT21" i="27"/>
  <c r="AP21" i="27"/>
  <c r="AN21" i="27"/>
  <c r="AL21" i="27"/>
  <c r="BF20" i="27"/>
  <c r="BE20" i="27"/>
  <c r="BD20" i="27"/>
  <c r="BB20" i="27"/>
  <c r="AX20" i="27"/>
  <c r="AV20" i="27"/>
  <c r="AT20" i="27"/>
  <c r="AP20" i="27"/>
  <c r="AO20" i="27"/>
  <c r="AN20" i="27"/>
  <c r="AL20" i="27"/>
  <c r="BF19" i="27"/>
  <c r="BD19" i="27"/>
  <c r="BB19" i="27"/>
  <c r="AX19" i="27"/>
  <c r="AW19" i="27"/>
  <c r="AV19" i="27"/>
  <c r="AT19" i="27"/>
  <c r="AP19" i="27"/>
  <c r="AN19" i="27"/>
  <c r="AL19" i="27"/>
  <c r="BF18" i="27"/>
  <c r="BE18" i="27"/>
  <c r="BD18" i="27"/>
  <c r="BB18" i="27"/>
  <c r="AX18" i="27"/>
  <c r="AV18" i="27"/>
  <c r="AT18" i="27"/>
  <c r="AP18" i="27"/>
  <c r="AO18" i="27"/>
  <c r="AN18" i="27"/>
  <c r="AL18" i="27"/>
  <c r="BF17" i="27"/>
  <c r="BD17" i="27"/>
  <c r="BB17" i="27"/>
  <c r="BA17" i="27"/>
  <c r="AX17" i="27"/>
  <c r="AV17" i="27"/>
  <c r="AT17" i="27"/>
  <c r="AP17" i="27"/>
  <c r="AN17" i="27"/>
  <c r="AL17" i="27"/>
  <c r="BF16" i="27"/>
  <c r="BD16" i="27"/>
  <c r="BB16" i="27"/>
  <c r="AX16" i="27"/>
  <c r="AV16" i="27"/>
  <c r="AT16" i="27"/>
  <c r="AS16" i="27"/>
  <c r="AP16" i="27"/>
  <c r="AN16" i="27"/>
  <c r="AL16" i="27"/>
  <c r="BF15" i="27"/>
  <c r="BD15" i="27"/>
  <c r="BB15" i="27"/>
  <c r="AX15" i="27"/>
  <c r="AW15" i="27"/>
  <c r="AV15" i="27"/>
  <c r="AT15" i="27"/>
  <c r="AP15" i="27"/>
  <c r="AN15" i="27"/>
  <c r="AL15" i="27"/>
  <c r="BF14" i="27"/>
  <c r="BE14" i="27"/>
  <c r="BD14" i="27"/>
  <c r="BB14" i="27"/>
  <c r="BA14" i="27"/>
  <c r="AX14" i="27"/>
  <c r="AW14" i="27"/>
  <c r="AV14" i="27"/>
  <c r="AT14" i="27"/>
  <c r="AP14" i="27"/>
  <c r="AN14" i="27"/>
  <c r="AL14" i="27"/>
  <c r="BF13" i="27"/>
  <c r="BE13" i="27"/>
  <c r="BD13" i="27"/>
  <c r="BC13" i="27"/>
  <c r="BB13" i="27"/>
  <c r="BA13" i="27"/>
  <c r="AX13" i="27"/>
  <c r="AV13" i="27"/>
  <c r="AT13" i="27"/>
  <c r="AP13" i="27"/>
  <c r="AN13" i="27"/>
  <c r="AL13" i="27"/>
  <c r="BF12" i="27"/>
  <c r="BD12" i="27"/>
  <c r="BB12" i="27"/>
  <c r="AX12" i="27"/>
  <c r="AV12" i="27"/>
  <c r="AU12" i="27"/>
  <c r="AT12" i="27"/>
  <c r="AP12" i="27"/>
  <c r="AN12" i="27"/>
  <c r="AL12" i="27"/>
  <c r="AK12" i="27"/>
  <c r="BF11" i="27"/>
  <c r="BD11" i="27"/>
  <c r="BB11" i="27"/>
  <c r="AX11" i="27"/>
  <c r="AW11" i="27"/>
  <c r="AV11" i="27"/>
  <c r="AT11" i="27"/>
  <c r="AP11" i="27"/>
  <c r="AN11" i="27"/>
  <c r="AL11" i="27"/>
  <c r="BF10" i="27"/>
  <c r="BE10" i="27"/>
  <c r="BD10" i="27"/>
  <c r="BB10" i="27"/>
  <c r="BA10" i="27"/>
  <c r="AX10" i="27"/>
  <c r="AV10" i="27"/>
  <c r="AT10" i="27"/>
  <c r="AP10" i="27"/>
  <c r="AO10" i="27"/>
  <c r="AN10" i="27"/>
  <c r="AL10" i="27"/>
  <c r="BF9" i="27"/>
  <c r="BD9" i="27"/>
  <c r="BB9" i="27"/>
  <c r="AX9" i="27"/>
  <c r="AW9" i="27"/>
  <c r="AV9" i="27"/>
  <c r="AT9" i="27"/>
  <c r="AP9" i="27"/>
  <c r="AN9" i="27"/>
  <c r="AL9" i="27"/>
  <c r="BF8" i="27"/>
  <c r="BE8" i="27"/>
  <c r="BD8" i="27"/>
  <c r="BB8" i="27"/>
  <c r="AX8" i="27"/>
  <c r="AV8" i="27"/>
  <c r="AT8" i="27"/>
  <c r="AS8" i="27"/>
  <c r="AP8" i="27"/>
  <c r="AN8" i="27"/>
  <c r="AL8" i="27"/>
  <c r="AK8" i="27"/>
  <c r="BF7" i="27"/>
  <c r="BD7" i="27"/>
  <c r="BB7" i="27"/>
  <c r="AX7" i="27"/>
  <c r="AW7" i="27"/>
  <c r="AV7" i="27"/>
  <c r="AT7" i="27"/>
  <c r="AP7" i="27"/>
  <c r="AN7" i="27"/>
  <c r="AL7" i="27"/>
  <c r="BF6" i="27"/>
  <c r="BE6" i="27"/>
  <c r="BD6" i="27"/>
  <c r="BB6" i="27"/>
  <c r="BA6" i="27"/>
  <c r="AX6" i="27"/>
  <c r="AW6" i="27"/>
  <c r="AV6" i="27"/>
  <c r="AT6" i="27"/>
  <c r="AP6" i="27"/>
  <c r="AN6" i="27"/>
  <c r="AL6" i="27"/>
  <c r="BF5" i="27"/>
  <c r="BE5" i="27"/>
  <c r="BD5" i="27"/>
  <c r="BB5" i="27"/>
  <c r="AX5" i="27"/>
  <c r="AV5" i="27"/>
  <c r="AT5" i="27"/>
  <c r="AS5" i="27"/>
  <c r="AP5" i="27"/>
  <c r="AO5" i="27"/>
  <c r="AN5" i="27"/>
  <c r="AL5" i="27"/>
  <c r="BF4" i="27"/>
  <c r="BD4" i="27"/>
  <c r="BB4" i="27"/>
  <c r="AX4" i="27"/>
  <c r="AW4" i="27"/>
  <c r="AV4" i="27"/>
  <c r="AT4" i="27"/>
  <c r="AS4" i="27"/>
  <c r="AP4" i="27"/>
  <c r="AN4" i="27"/>
  <c r="AL4" i="27"/>
  <c r="BF30" i="26"/>
  <c r="BF19" i="26" s="1"/>
  <c r="BE30" i="26"/>
  <c r="BE27" i="26" s="1"/>
  <c r="BD30" i="26"/>
  <c r="BD29" i="26" s="1"/>
  <c r="BC30" i="26"/>
  <c r="BC28" i="26" s="1"/>
  <c r="BB30" i="26"/>
  <c r="BB29" i="26" s="1"/>
  <c r="BA30" i="26"/>
  <c r="BA25" i="26" s="1"/>
  <c r="AZ30" i="26"/>
  <c r="AZ27" i="26" s="1"/>
  <c r="AY30" i="26"/>
  <c r="AX30" i="26"/>
  <c r="AX20" i="26" s="1"/>
  <c r="AW30" i="26"/>
  <c r="AW12" i="26" s="1"/>
  <c r="AV30" i="26"/>
  <c r="AV28" i="26" s="1"/>
  <c r="AU30" i="26"/>
  <c r="AU18" i="26" s="1"/>
  <c r="AT30" i="26"/>
  <c r="AT29" i="26" s="1"/>
  <c r="AS30" i="26"/>
  <c r="AS25" i="26" s="1"/>
  <c r="AR30" i="26"/>
  <c r="AR18" i="26" s="1"/>
  <c r="AQ30" i="26"/>
  <c r="AP30" i="26"/>
  <c r="AP24" i="26" s="1"/>
  <c r="AO30" i="26"/>
  <c r="AO25" i="26" s="1"/>
  <c r="AN30" i="26"/>
  <c r="AN28" i="26" s="1"/>
  <c r="AM30" i="26"/>
  <c r="AM20" i="26" s="1"/>
  <c r="AL30" i="26"/>
  <c r="AL27" i="26" s="1"/>
  <c r="AK30" i="26"/>
  <c r="AK16" i="26" s="1"/>
  <c r="AK28" i="26"/>
  <c r="BA29" i="26"/>
  <c r="AS29" i="26"/>
  <c r="AL29" i="26"/>
  <c r="BE28" i="26"/>
  <c r="AS28" i="26"/>
  <c r="BE26" i="26"/>
  <c r="BD26" i="26"/>
  <c r="BA26" i="26"/>
  <c r="AZ26" i="26"/>
  <c r="AS26" i="26"/>
  <c r="AR26" i="26"/>
  <c r="AO26" i="26"/>
  <c r="AS24" i="26"/>
  <c r="BE22" i="26"/>
  <c r="BD22" i="26"/>
  <c r="BA22" i="26"/>
  <c r="AZ22" i="26"/>
  <c r="AS22" i="26"/>
  <c r="AR22" i="26"/>
  <c r="AP21" i="26"/>
  <c r="AV20" i="26"/>
  <c r="AU20" i="26"/>
  <c r="AT20" i="26"/>
  <c r="AS20" i="26"/>
  <c r="AK20" i="26"/>
  <c r="BB19" i="26"/>
  <c r="BA19" i="26"/>
  <c r="AN19" i="26"/>
  <c r="AK19" i="26"/>
  <c r="BB18" i="26"/>
  <c r="BA18" i="26"/>
  <c r="AS18" i="26"/>
  <c r="AN18" i="26"/>
  <c r="AM18" i="26"/>
  <c r="AL18" i="26"/>
  <c r="AK18" i="26"/>
  <c r="BA17" i="26"/>
  <c r="AW17" i="26"/>
  <c r="AT17" i="26"/>
  <c r="AK17" i="26"/>
  <c r="BA16" i="26"/>
  <c r="AT16" i="26"/>
  <c r="AS16" i="26"/>
  <c r="BA15" i="26"/>
  <c r="AS15" i="26"/>
  <c r="AP15" i="26"/>
  <c r="AK15" i="26"/>
  <c r="BE14" i="26"/>
  <c r="BA14" i="26"/>
  <c r="AZ14" i="26"/>
  <c r="AU14" i="26"/>
  <c r="AT14" i="26"/>
  <c r="AS14" i="26"/>
  <c r="AR14" i="26"/>
  <c r="AK14" i="26"/>
  <c r="BB13" i="26"/>
  <c r="BA13" i="26"/>
  <c r="AW13" i="26"/>
  <c r="AS13" i="26"/>
  <c r="AK13" i="26"/>
  <c r="BA12" i="26"/>
  <c r="AU12" i="26"/>
  <c r="AT12" i="26"/>
  <c r="AS12" i="26"/>
  <c r="AK12" i="26"/>
  <c r="BC11" i="26"/>
  <c r="BB11" i="26"/>
  <c r="BA11" i="26"/>
  <c r="AS11" i="26"/>
  <c r="AK11" i="26"/>
  <c r="BA10" i="26"/>
  <c r="AS10" i="26"/>
  <c r="AN10" i="26"/>
  <c r="AK10" i="26"/>
  <c r="BA9" i="26"/>
  <c r="AW9" i="26"/>
  <c r="AS9" i="26"/>
  <c r="AK9" i="26"/>
  <c r="BA8" i="26"/>
  <c r="AS8" i="26"/>
  <c r="AN8" i="26"/>
  <c r="AM8" i="26"/>
  <c r="AK8" i="26"/>
  <c r="BE7" i="26"/>
  <c r="BA7" i="26"/>
  <c r="AS7" i="26"/>
  <c r="AK7" i="26"/>
  <c r="BE6" i="26"/>
  <c r="BA6" i="26"/>
  <c r="AW6" i="26"/>
  <c r="AS6" i="26"/>
  <c r="AP6" i="26"/>
  <c r="AO6" i="26"/>
  <c r="AK6" i="26"/>
  <c r="BE5" i="26"/>
  <c r="BB5" i="26"/>
  <c r="BA5" i="26"/>
  <c r="AW5" i="26"/>
  <c r="AS5" i="26"/>
  <c r="AO5" i="26"/>
  <c r="AK5" i="26"/>
  <c r="BE4" i="26"/>
  <c r="BA4" i="26"/>
  <c r="AW4" i="26"/>
  <c r="AS4" i="26"/>
  <c r="AO4" i="26"/>
  <c r="AN4" i="26"/>
  <c r="AM4" i="26"/>
  <c r="AL4" i="26"/>
  <c r="AK4" i="26"/>
  <c r="AV4" i="25"/>
  <c r="AL30" i="25"/>
  <c r="AL29" i="25" s="1"/>
  <c r="AM30" i="25"/>
  <c r="AM25" i="25" s="1"/>
  <c r="AN30" i="25"/>
  <c r="AN23" i="25" s="1"/>
  <c r="AO30" i="25"/>
  <c r="AO28" i="25" s="1"/>
  <c r="AP30" i="25"/>
  <c r="AQ30" i="25"/>
  <c r="AQ11" i="25" s="1"/>
  <c r="AR30" i="25"/>
  <c r="AR25" i="25" s="1"/>
  <c r="AS30" i="25"/>
  <c r="AS27" i="25" s="1"/>
  <c r="AT30" i="25"/>
  <c r="AT21" i="25" s="1"/>
  <c r="AU30" i="25"/>
  <c r="AU14" i="25" s="1"/>
  <c r="AV30" i="25"/>
  <c r="AV28" i="25" s="1"/>
  <c r="AW30" i="25"/>
  <c r="AW18" i="25" s="1"/>
  <c r="AX30" i="25"/>
  <c r="AY30" i="25"/>
  <c r="AY7" i="25" s="1"/>
  <c r="AZ30" i="25"/>
  <c r="AZ20" i="25" s="1"/>
  <c r="BA30" i="25"/>
  <c r="BA10" i="25" s="1"/>
  <c r="BB30" i="25"/>
  <c r="BB25" i="25" s="1"/>
  <c r="BC30" i="25"/>
  <c r="BC19" i="25" s="1"/>
  <c r="BD30" i="25"/>
  <c r="BD12" i="25" s="1"/>
  <c r="BE30" i="25"/>
  <c r="BE26" i="25" s="1"/>
  <c r="BF30" i="25"/>
  <c r="AK30" i="25"/>
  <c r="AK5" i="25" s="1"/>
  <c r="L13" i="17"/>
  <c r="L5" i="17" s="1"/>
  <c r="K13" i="17"/>
  <c r="K4" i="17" s="1"/>
  <c r="J13" i="17"/>
  <c r="J11" i="17" s="1"/>
  <c r="H13" i="17"/>
  <c r="H6" i="17" s="1"/>
  <c r="AE12" i="14"/>
  <c r="AD12" i="14"/>
  <c r="AD8" i="14" s="1"/>
  <c r="F42" i="14" s="1"/>
  <c r="AC12" i="14"/>
  <c r="AB12" i="14"/>
  <c r="AB3" i="14" s="1"/>
  <c r="F15" i="14" s="1"/>
  <c r="AA12" i="14"/>
  <c r="AA10" i="14" s="1"/>
  <c r="F11" i="14" s="1"/>
  <c r="AI30" i="12"/>
  <c r="K269" i="12" s="1"/>
  <c r="AL40" i="12"/>
  <c r="AL32" i="12" s="1"/>
  <c r="K351" i="12" s="1"/>
  <c r="AK40" i="12"/>
  <c r="AK29" i="12" s="1"/>
  <c r="K308" i="12" s="1"/>
  <c r="AJ40" i="12"/>
  <c r="AJ14" i="12" s="1"/>
  <c r="AI40" i="12"/>
  <c r="AI34" i="12" s="1"/>
  <c r="K273" i="12" s="1"/>
  <c r="AH40" i="12"/>
  <c r="AG40" i="12"/>
  <c r="AG27" i="12" s="1"/>
  <c r="K226" i="12" s="1"/>
  <c r="AF40" i="12"/>
  <c r="AF12" i="12" s="1"/>
  <c r="K171" i="12" s="1"/>
  <c r="AE40" i="12"/>
  <c r="AE13" i="12" s="1"/>
  <c r="K132" i="12" s="1"/>
  <c r="AD40" i="12"/>
  <c r="AD24" i="12" s="1"/>
  <c r="K103" i="12" s="1"/>
  <c r="AC40" i="12"/>
  <c r="AC37" i="12" s="1"/>
  <c r="K76" i="12" s="1"/>
  <c r="AB40" i="12"/>
  <c r="AB34" i="12" s="1"/>
  <c r="K33" i="12" s="1"/>
  <c r="T7" i="11"/>
  <c r="L12" i="11"/>
  <c r="U13" i="11"/>
  <c r="U7" i="11" s="1"/>
  <c r="T13" i="11"/>
  <c r="T8" i="11" s="1"/>
  <c r="S13" i="11"/>
  <c r="S6" i="11" s="1"/>
  <c r="R13" i="11"/>
  <c r="Q13" i="11"/>
  <c r="Q12" i="11" s="1"/>
  <c r="P13" i="11"/>
  <c r="P10" i="11" s="1"/>
  <c r="O13" i="11"/>
  <c r="O11" i="11" s="1"/>
  <c r="N13" i="11"/>
  <c r="N12" i="11" s="1"/>
  <c r="M13" i="11"/>
  <c r="M5" i="11" s="1"/>
  <c r="L13" i="11"/>
  <c r="L10" i="11" s="1"/>
  <c r="K13" i="11"/>
  <c r="K6" i="11" s="1"/>
  <c r="J13" i="11"/>
  <c r="AP103" i="9"/>
  <c r="AO103" i="9"/>
  <c r="AN103" i="9"/>
  <c r="AN99" i="9" s="1"/>
  <c r="AK103" i="9"/>
  <c r="AK12" i="9" s="1"/>
  <c r="P215" i="9" s="1"/>
  <c r="AH103" i="9"/>
  <c r="AH4" i="9" s="1"/>
  <c r="AI103" i="9"/>
  <c r="AI6" i="9" s="1"/>
  <c r="AE103" i="9"/>
  <c r="AE29" i="9" s="1"/>
  <c r="P30" i="9" s="1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21" i="8"/>
  <c r="R22" i="8"/>
  <c r="Z23" i="8"/>
  <c r="Z21" i="8" s="1"/>
  <c r="Y23" i="8"/>
  <c r="Y18" i="8" s="1"/>
  <c r="X23" i="8"/>
  <c r="X10" i="8" s="1"/>
  <c r="U23" i="8"/>
  <c r="U13" i="8" s="1"/>
  <c r="BC29" i="7"/>
  <c r="BC12" i="7" s="1"/>
  <c r="BB28" i="7"/>
  <c r="BB29" i="7"/>
  <c r="BB10" i="7" s="1"/>
  <c r="AR29" i="7"/>
  <c r="AR10" i="7" s="1"/>
  <c r="AW29" i="7"/>
  <c r="AW10" i="7" s="1"/>
  <c r="AP18" i="7"/>
  <c r="AP22" i="7"/>
  <c r="AQ29" i="7"/>
  <c r="AQ9" i="7" s="1"/>
  <c r="AP29" i="7"/>
  <c r="AP8" i="7" s="1"/>
  <c r="AK29" i="7"/>
  <c r="AK6" i="7" s="1"/>
  <c r="AJ29" i="7"/>
  <c r="AJ7" i="7" s="1"/>
  <c r="AI29" i="7"/>
  <c r="AH29" i="7"/>
  <c r="AH9" i="7" s="1"/>
  <c r="AG29" i="7"/>
  <c r="AG8" i="7" s="1"/>
  <c r="AH17" i="4"/>
  <c r="K17" i="4" s="1"/>
  <c r="EH4" i="2"/>
  <c r="EH31" i="2" s="1"/>
  <c r="EG4" i="2"/>
  <c r="EG31" i="2" s="1"/>
  <c r="EF4" i="2"/>
  <c r="EF31" i="2" s="1"/>
  <c r="EE4" i="2"/>
  <c r="EE31" i="2" s="1"/>
  <c r="ED4" i="2"/>
  <c r="ED31" i="2" s="1"/>
  <c r="EC4" i="2"/>
  <c r="EB4" i="2"/>
  <c r="EA4" i="2"/>
  <c r="DZ4" i="2"/>
  <c r="DZ31" i="2" s="1"/>
  <c r="DY4" i="2"/>
  <c r="DY31" i="2" s="1"/>
  <c r="DX4" i="2"/>
  <c r="DX31" i="2" s="1"/>
  <c r="DW4" i="2"/>
  <c r="DW31" i="2" s="1"/>
  <c r="DV4" i="2"/>
  <c r="DV31" i="2" s="1"/>
  <c r="DU4" i="2"/>
  <c r="DT4" i="2"/>
  <c r="DS4" i="2"/>
  <c r="DR4" i="2"/>
  <c r="DR31" i="2" s="1"/>
  <c r="DQ4" i="2"/>
  <c r="DP4" i="2"/>
  <c r="DP31" i="2" s="1"/>
  <c r="DO4" i="2"/>
  <c r="DO31" i="2" s="1"/>
  <c r="DN4" i="2"/>
  <c r="DN31" i="2" s="1"/>
  <c r="DM4" i="2"/>
  <c r="DL4" i="2"/>
  <c r="DK4" i="2"/>
  <c r="DJ4" i="2"/>
  <c r="DJ31" i="2" s="1"/>
  <c r="DI4" i="2"/>
  <c r="DI31" i="2" s="1"/>
  <c r="DH4" i="2"/>
  <c r="DH31" i="2" s="1"/>
  <c r="DG4" i="2"/>
  <c r="DG31" i="2" s="1"/>
  <c r="DF4" i="2"/>
  <c r="DF31" i="2" s="1"/>
  <c r="DE4" i="2"/>
  <c r="DD4" i="2"/>
  <c r="DC4" i="2"/>
  <c r="DB4" i="2"/>
  <c r="DB31" i="2" s="1"/>
  <c r="AC30" i="37" s="1"/>
  <c r="DA4" i="2"/>
  <c r="CZ4" i="2"/>
  <c r="CZ31" i="2" s="1"/>
  <c r="AA30" i="37" s="1"/>
  <c r="CY4" i="2"/>
  <c r="CY31" i="2" s="1"/>
  <c r="Z30" i="37" s="1"/>
  <c r="CX4" i="2"/>
  <c r="CX31" i="2" s="1"/>
  <c r="AC30" i="36" s="1"/>
  <c r="CW4" i="2"/>
  <c r="CV4" i="2"/>
  <c r="CU4" i="2"/>
  <c r="CT4" i="2"/>
  <c r="CT31" i="2" s="1"/>
  <c r="AC30" i="35" s="1"/>
  <c r="CS4" i="2"/>
  <c r="CR4" i="2"/>
  <c r="CR31" i="2" s="1"/>
  <c r="AA30" i="35" s="1"/>
  <c r="CQ4" i="2"/>
  <c r="CQ31" i="2" s="1"/>
  <c r="Z30" i="35" s="1"/>
  <c r="CP4" i="2"/>
  <c r="CP31" i="2" s="1"/>
  <c r="AC30" i="34" s="1"/>
  <c r="CO4" i="2"/>
  <c r="CN4" i="2"/>
  <c r="CN31" i="2" s="1"/>
  <c r="AA30" i="34" s="1"/>
  <c r="CM4" i="2"/>
  <c r="CL4" i="2"/>
  <c r="CL31" i="2" s="1"/>
  <c r="AC30" i="33" s="1"/>
  <c r="CK4" i="2"/>
  <c r="CK31" i="2" s="1"/>
  <c r="AB30" i="33" s="1"/>
  <c r="CJ4" i="2"/>
  <c r="CJ31" i="2" s="1"/>
  <c r="AA30" i="33" s="1"/>
  <c r="CI4" i="2"/>
  <c r="CH4" i="2"/>
  <c r="CH31" i="2" s="1"/>
  <c r="AC30" i="32" s="1"/>
  <c r="CG4" i="2"/>
  <c r="CF4" i="2"/>
  <c r="CE4" i="2"/>
  <c r="W39" i="21"/>
  <c r="BV30" i="1" s="1"/>
  <c r="V39" i="21"/>
  <c r="BU30" i="1" s="1"/>
  <c r="X39" i="21"/>
  <c r="BW30" i="1" s="1"/>
  <c r="Y39" i="21"/>
  <c r="BX30" i="1" s="1"/>
  <c r="K31" i="18" s="1"/>
  <c r="Z39" i="21"/>
  <c r="BY30" i="1" s="1"/>
  <c r="AA39" i="21"/>
  <c r="BZ30" i="1" s="1"/>
  <c r="AB39" i="21"/>
  <c r="CA30" i="1" s="1"/>
  <c r="AC39" i="21"/>
  <c r="CB30" i="1" s="1"/>
  <c r="AD39" i="21"/>
  <c r="CC30" i="1" s="1"/>
  <c r="AE39" i="21"/>
  <c r="CD30" i="1" s="1"/>
  <c r="AF39" i="21"/>
  <c r="CE30" i="1" s="1"/>
  <c r="AG39" i="21"/>
  <c r="CF30" i="1" s="1"/>
  <c r="AH39" i="21"/>
  <c r="CG30" i="1" s="1"/>
  <c r="AI39" i="21"/>
  <c r="CH30" i="1" s="1"/>
  <c r="AJ39" i="21"/>
  <c r="CI30" i="1" s="1"/>
  <c r="AK39" i="21"/>
  <c r="CJ30" i="1" s="1"/>
  <c r="AL39" i="21"/>
  <c r="CK30" i="1" s="1"/>
  <c r="AM39" i="21"/>
  <c r="CL30" i="1" s="1"/>
  <c r="AN39" i="21"/>
  <c r="CM30" i="1" s="1"/>
  <c r="AO39" i="21"/>
  <c r="CN30" i="1" s="1"/>
  <c r="AP39" i="21"/>
  <c r="CO30" i="1" s="1"/>
  <c r="AQ39" i="21"/>
  <c r="CP30" i="1" s="1"/>
  <c r="P39" i="21"/>
  <c r="R39" i="21"/>
  <c r="T39" i="21"/>
  <c r="N39" i="21"/>
  <c r="BC4" i="2"/>
  <c r="BC31" i="2" s="1"/>
  <c r="Z30" i="25" s="1"/>
  <c r="AV4" i="2"/>
  <c r="AV31" i="2" s="1"/>
  <c r="L4" i="2"/>
  <c r="L31" i="2" s="1"/>
  <c r="M10" i="38"/>
  <c r="N10" i="38" s="1"/>
  <c r="O10" i="38" s="1"/>
  <c r="P10" i="38" s="1"/>
  <c r="P5" i="38"/>
  <c r="P7" i="38" s="1"/>
  <c r="P3" i="38"/>
  <c r="O3" i="38"/>
  <c r="M5" i="38" s="1"/>
  <c r="O7" i="38" s="1"/>
  <c r="N3" i="38"/>
  <c r="N5" i="38" s="1"/>
  <c r="M3" i="38"/>
  <c r="AJ30" i="37"/>
  <c r="AJ29" i="37"/>
  <c r="AJ28" i="37"/>
  <c r="AJ27" i="37"/>
  <c r="AJ26" i="37"/>
  <c r="AJ25" i="37"/>
  <c r="AJ24" i="37"/>
  <c r="AJ23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J4" i="37"/>
  <c r="AJ30" i="36"/>
  <c r="AJ29" i="36"/>
  <c r="AJ28" i="36"/>
  <c r="AJ27" i="36"/>
  <c r="AJ26" i="36"/>
  <c r="AJ25" i="36"/>
  <c r="AJ24" i="36"/>
  <c r="AJ23" i="36"/>
  <c r="AJ22" i="36"/>
  <c r="AJ21" i="36"/>
  <c r="AJ20" i="36"/>
  <c r="AJ19" i="36"/>
  <c r="AJ18" i="36"/>
  <c r="AJ17" i="36"/>
  <c r="AJ16" i="36"/>
  <c r="AJ15" i="36"/>
  <c r="AJ14" i="36"/>
  <c r="AJ13" i="36"/>
  <c r="AJ12" i="36"/>
  <c r="AJ11" i="36"/>
  <c r="AJ10" i="36"/>
  <c r="AJ9" i="36"/>
  <c r="AJ8" i="36"/>
  <c r="AJ7" i="36"/>
  <c r="AJ6" i="36"/>
  <c r="AJ5" i="36"/>
  <c r="AJ4" i="36"/>
  <c r="AJ30" i="35"/>
  <c r="AJ29" i="35"/>
  <c r="AJ28" i="35"/>
  <c r="AJ27" i="35"/>
  <c r="AJ26" i="35"/>
  <c r="AJ25" i="35"/>
  <c r="AJ24" i="35"/>
  <c r="AJ23" i="35"/>
  <c r="AJ22" i="35"/>
  <c r="AJ21" i="35"/>
  <c r="AJ20" i="35"/>
  <c r="AJ19" i="35"/>
  <c r="AJ18" i="35"/>
  <c r="AJ17" i="35"/>
  <c r="AJ16" i="35"/>
  <c r="AJ15" i="35"/>
  <c r="AJ14" i="35"/>
  <c r="AJ13" i="35"/>
  <c r="AJ12" i="35"/>
  <c r="AJ11" i="35"/>
  <c r="AJ10" i="35"/>
  <c r="AJ9" i="35"/>
  <c r="AJ8" i="35"/>
  <c r="AJ7" i="35"/>
  <c r="AJ6" i="35"/>
  <c r="AJ5" i="35"/>
  <c r="AJ4" i="35"/>
  <c r="AJ30" i="34"/>
  <c r="AJ29" i="34"/>
  <c r="AJ28" i="34"/>
  <c r="AJ27" i="34"/>
  <c r="AJ26" i="34"/>
  <c r="AJ25" i="34"/>
  <c r="AJ24" i="34"/>
  <c r="AJ23" i="34"/>
  <c r="AJ22" i="34"/>
  <c r="AJ21" i="34"/>
  <c r="AJ20" i="34"/>
  <c r="AJ19" i="34"/>
  <c r="AJ18" i="34"/>
  <c r="AJ17" i="34"/>
  <c r="AJ16" i="34"/>
  <c r="AJ15" i="34"/>
  <c r="AJ14" i="34"/>
  <c r="AJ13" i="34"/>
  <c r="AJ12" i="34"/>
  <c r="AJ11" i="34"/>
  <c r="AJ10" i="34"/>
  <c r="AJ9" i="34"/>
  <c r="AJ8" i="34"/>
  <c r="AJ7" i="34"/>
  <c r="AJ6" i="34"/>
  <c r="AJ5" i="34"/>
  <c r="AJ4" i="34"/>
  <c r="AJ30" i="33"/>
  <c r="AJ29" i="33"/>
  <c r="AJ28" i="33"/>
  <c r="AJ27" i="33"/>
  <c r="AJ26" i="33"/>
  <c r="AJ25" i="33"/>
  <c r="AJ24" i="33"/>
  <c r="AJ23" i="33"/>
  <c r="AJ22" i="33"/>
  <c r="AJ21" i="33"/>
  <c r="AJ20" i="33"/>
  <c r="AJ19" i="33"/>
  <c r="AJ18" i="33"/>
  <c r="AJ17" i="33"/>
  <c r="AJ16" i="33"/>
  <c r="AJ15" i="33"/>
  <c r="AJ14" i="33"/>
  <c r="AJ13" i="33"/>
  <c r="AJ12" i="33"/>
  <c r="AJ11" i="33"/>
  <c r="AJ10" i="33"/>
  <c r="AJ9" i="33"/>
  <c r="AJ8" i="33"/>
  <c r="AJ7" i="33"/>
  <c r="AJ6" i="33"/>
  <c r="AJ5" i="33"/>
  <c r="AJ4" i="33"/>
  <c r="AJ30" i="32"/>
  <c r="AJ29" i="32"/>
  <c r="AJ28" i="32"/>
  <c r="AJ27" i="32"/>
  <c r="AJ26" i="32"/>
  <c r="AJ25" i="32"/>
  <c r="AJ24" i="32"/>
  <c r="AJ23" i="32"/>
  <c r="AJ22" i="32"/>
  <c r="AJ21" i="32"/>
  <c r="AJ20" i="32"/>
  <c r="AJ19" i="32"/>
  <c r="AJ18" i="32"/>
  <c r="AJ17" i="32"/>
  <c r="AJ16" i="32"/>
  <c r="AJ15" i="32"/>
  <c r="AJ14" i="32"/>
  <c r="AJ13" i="32"/>
  <c r="AJ12" i="32"/>
  <c r="AJ11" i="32"/>
  <c r="AJ10" i="32"/>
  <c r="AJ9" i="32"/>
  <c r="AJ8" i="32"/>
  <c r="AJ7" i="32"/>
  <c r="AJ6" i="32"/>
  <c r="AJ5" i="32"/>
  <c r="AJ4" i="32"/>
  <c r="AJ30" i="31"/>
  <c r="AJ29" i="31"/>
  <c r="AJ28" i="31"/>
  <c r="AJ27" i="31"/>
  <c r="AJ26" i="31"/>
  <c r="AJ25" i="31"/>
  <c r="AJ24" i="31"/>
  <c r="AJ23" i="31"/>
  <c r="AJ22" i="31"/>
  <c r="AJ21" i="31"/>
  <c r="AJ20" i="31"/>
  <c r="AJ19" i="31"/>
  <c r="AJ18" i="31"/>
  <c r="AJ17" i="31"/>
  <c r="AJ16" i="31"/>
  <c r="AJ15" i="31"/>
  <c r="AJ14" i="31"/>
  <c r="AJ13" i="31"/>
  <c r="AJ12" i="31"/>
  <c r="AJ11" i="31"/>
  <c r="AJ10" i="31"/>
  <c r="AJ9" i="31"/>
  <c r="AJ8" i="31"/>
  <c r="AJ7" i="31"/>
  <c r="AJ6" i="31"/>
  <c r="AJ5" i="31"/>
  <c r="AJ4" i="31"/>
  <c r="AJ30" i="30"/>
  <c r="AJ29" i="30"/>
  <c r="AJ28" i="30"/>
  <c r="AJ27" i="30"/>
  <c r="AJ26" i="30"/>
  <c r="AJ25" i="30"/>
  <c r="AJ24" i="30"/>
  <c r="AJ23" i="30"/>
  <c r="AJ22" i="30"/>
  <c r="AJ21" i="30"/>
  <c r="AJ20" i="30"/>
  <c r="AJ19" i="30"/>
  <c r="AJ18" i="30"/>
  <c r="AJ17" i="30"/>
  <c r="AJ16" i="30"/>
  <c r="AJ15" i="30"/>
  <c r="AJ14" i="30"/>
  <c r="AJ13" i="30"/>
  <c r="AJ12" i="30"/>
  <c r="AJ11" i="30"/>
  <c r="AJ10" i="30"/>
  <c r="AJ9" i="30"/>
  <c r="AJ8" i="30"/>
  <c r="AJ7" i="30"/>
  <c r="AJ6" i="30"/>
  <c r="AJ5" i="30"/>
  <c r="AJ4" i="30"/>
  <c r="AJ30" i="29"/>
  <c r="AJ29" i="29"/>
  <c r="AJ28" i="29"/>
  <c r="AJ27" i="29"/>
  <c r="AJ26" i="29"/>
  <c r="AJ25" i="29"/>
  <c r="AJ24" i="29"/>
  <c r="AJ23" i="29"/>
  <c r="AJ22" i="29"/>
  <c r="AJ21" i="29"/>
  <c r="AJ20" i="29"/>
  <c r="AJ19" i="29"/>
  <c r="AJ18" i="29"/>
  <c r="AJ17" i="29"/>
  <c r="AJ16" i="29"/>
  <c r="AJ15" i="29"/>
  <c r="AJ14" i="29"/>
  <c r="AJ13" i="29"/>
  <c r="AJ12" i="29"/>
  <c r="AJ11" i="29"/>
  <c r="AJ10" i="29"/>
  <c r="AJ9" i="29"/>
  <c r="AJ8" i="29"/>
  <c r="AJ7" i="29"/>
  <c r="AJ6" i="29"/>
  <c r="AJ5" i="29"/>
  <c r="AJ4" i="29"/>
  <c r="AJ30" i="28"/>
  <c r="AJ29" i="28"/>
  <c r="AJ28" i="28"/>
  <c r="AJ27" i="28"/>
  <c r="AJ26" i="28"/>
  <c r="AJ25" i="28"/>
  <c r="AJ24" i="28"/>
  <c r="AJ23" i="28"/>
  <c r="AJ22" i="28"/>
  <c r="AJ21" i="28"/>
  <c r="AJ20" i="28"/>
  <c r="AJ19" i="28"/>
  <c r="AJ18" i="28"/>
  <c r="AJ17" i="28"/>
  <c r="AJ16" i="28"/>
  <c r="AJ15" i="28"/>
  <c r="AJ14" i="28"/>
  <c r="AJ13" i="28"/>
  <c r="AJ12" i="28"/>
  <c r="AJ11" i="28"/>
  <c r="AJ10" i="28"/>
  <c r="AJ9" i="28"/>
  <c r="AJ8" i="28"/>
  <c r="AJ7" i="28"/>
  <c r="AJ6" i="28"/>
  <c r="AJ5" i="28"/>
  <c r="AJ4" i="28"/>
  <c r="AJ30" i="27"/>
  <c r="AJ29" i="27"/>
  <c r="AJ28" i="27"/>
  <c r="AJ27" i="27"/>
  <c r="AJ26" i="27"/>
  <c r="AJ25" i="27"/>
  <c r="AJ24" i="27"/>
  <c r="AJ23" i="27"/>
  <c r="AJ22" i="27"/>
  <c r="AJ21" i="27"/>
  <c r="AJ20" i="27"/>
  <c r="AJ19" i="27"/>
  <c r="AJ18" i="27"/>
  <c r="AJ17" i="27"/>
  <c r="AJ16" i="27"/>
  <c r="AJ15" i="27"/>
  <c r="AJ14" i="27"/>
  <c r="AJ13" i="27"/>
  <c r="AJ12" i="27"/>
  <c r="AJ11" i="27"/>
  <c r="AJ10" i="27"/>
  <c r="AJ9" i="27"/>
  <c r="AJ8" i="27"/>
  <c r="AJ7" i="27"/>
  <c r="AJ6" i="27"/>
  <c r="AJ5" i="27"/>
  <c r="AJ4" i="27"/>
  <c r="AJ30" i="26"/>
  <c r="AJ29" i="26"/>
  <c r="AJ28" i="26"/>
  <c r="AJ27" i="26"/>
  <c r="AJ26" i="26"/>
  <c r="AJ25" i="26"/>
  <c r="AJ24" i="26"/>
  <c r="AJ23" i="26"/>
  <c r="AJ22" i="26"/>
  <c r="AJ21" i="26"/>
  <c r="AJ20" i="26"/>
  <c r="AJ19" i="26"/>
  <c r="AJ18" i="26"/>
  <c r="AJ17" i="26"/>
  <c r="AJ16" i="26"/>
  <c r="AJ15" i="26"/>
  <c r="AJ14" i="26"/>
  <c r="AJ13" i="26"/>
  <c r="AJ12" i="26"/>
  <c r="AJ11" i="26"/>
  <c r="AJ10" i="26"/>
  <c r="AJ9" i="26"/>
  <c r="AJ8" i="26"/>
  <c r="AJ7" i="26"/>
  <c r="AJ6" i="26"/>
  <c r="AJ5" i="26"/>
  <c r="AJ4" i="26"/>
  <c r="EB31" i="2"/>
  <c r="EC31" i="2"/>
  <c r="EA31" i="2"/>
  <c r="DT31" i="2"/>
  <c r="DU31" i="2"/>
  <c r="DS31" i="2"/>
  <c r="DQ31" i="2"/>
  <c r="DL31" i="2"/>
  <c r="DM31" i="2"/>
  <c r="DK31" i="2"/>
  <c r="DD31" i="2"/>
  <c r="DE31" i="2"/>
  <c r="DC31" i="2"/>
  <c r="DA31" i="2"/>
  <c r="AB30" i="37" s="1"/>
  <c r="CV31" i="2"/>
  <c r="AA30" i="36" s="1"/>
  <c r="CW31" i="2"/>
  <c r="AB30" i="36" s="1"/>
  <c r="CU31" i="2"/>
  <c r="Z30" i="36" s="1"/>
  <c r="CS31" i="2"/>
  <c r="AB30" i="35" s="1"/>
  <c r="CO31" i="2"/>
  <c r="AB30" i="34" s="1"/>
  <c r="CM31" i="2"/>
  <c r="Z30" i="34" s="1"/>
  <c r="CI31" i="2"/>
  <c r="Z30" i="33" s="1"/>
  <c r="CF31" i="2"/>
  <c r="AA30" i="32" s="1"/>
  <c r="CG31" i="2"/>
  <c r="AB30" i="32" s="1"/>
  <c r="CE31" i="2"/>
  <c r="Z30" i="32" s="1"/>
  <c r="Z6" i="32" s="1"/>
  <c r="CB4" i="2"/>
  <c r="CB31" i="2" s="1"/>
  <c r="AA30" i="31" s="1"/>
  <c r="CC4" i="2"/>
  <c r="CC31" i="2" s="1"/>
  <c r="AB30" i="31" s="1"/>
  <c r="CD4" i="2"/>
  <c r="CD31" i="2" s="1"/>
  <c r="AC30" i="31" s="1"/>
  <c r="CA4" i="2"/>
  <c r="CA31" i="2" s="1"/>
  <c r="Z30" i="31" s="1"/>
  <c r="BX4" i="2"/>
  <c r="BX31" i="2" s="1"/>
  <c r="AA30" i="30" s="1"/>
  <c r="BY4" i="2"/>
  <c r="BY31" i="2" s="1"/>
  <c r="AB30" i="30" s="1"/>
  <c r="BZ4" i="2"/>
  <c r="BZ31" i="2" s="1"/>
  <c r="AC30" i="30" s="1"/>
  <c r="BW4" i="2"/>
  <c r="BW31" i="2" s="1"/>
  <c r="Z30" i="30" s="1"/>
  <c r="BT4" i="2"/>
  <c r="BT31" i="2" s="1"/>
  <c r="AA30" i="29" s="1"/>
  <c r="AA21" i="29" s="1"/>
  <c r="K21" i="29" s="1"/>
  <c r="BU4" i="2"/>
  <c r="BU31" i="2" s="1"/>
  <c r="AB30" i="29" s="1"/>
  <c r="AB23" i="29" s="1"/>
  <c r="M23" i="29" s="1"/>
  <c r="BV4" i="2"/>
  <c r="BV31" i="2" s="1"/>
  <c r="AC30" i="29" s="1"/>
  <c r="BS4" i="2"/>
  <c r="BS31" i="2" s="1"/>
  <c r="Z30" i="29" s="1"/>
  <c r="BP4" i="2"/>
  <c r="BP31" i="2" s="1"/>
  <c r="AA30" i="28" s="1"/>
  <c r="AA24" i="28" s="1"/>
  <c r="K24" i="28" s="1"/>
  <c r="BQ4" i="2"/>
  <c r="BQ31" i="2" s="1"/>
  <c r="AB30" i="28" s="1"/>
  <c r="BR4" i="2"/>
  <c r="BR31" i="2" s="1"/>
  <c r="AC30" i="28" s="1"/>
  <c r="AC9" i="28" s="1"/>
  <c r="U9" i="28" s="1"/>
  <c r="BO4" i="2"/>
  <c r="BO31" i="2" s="1"/>
  <c r="Z30" i="28" s="1"/>
  <c r="BL4" i="2"/>
  <c r="BL31" i="2" s="1"/>
  <c r="AA30" i="27" s="1"/>
  <c r="BM4" i="2"/>
  <c r="BM31" i="2" s="1"/>
  <c r="AB30" i="27" s="1"/>
  <c r="BN4" i="2"/>
  <c r="BN31" i="2" s="1"/>
  <c r="AC30" i="27" s="1"/>
  <c r="BK4" i="2"/>
  <c r="BK31" i="2" s="1"/>
  <c r="Z30" i="27" s="1"/>
  <c r="Z11" i="27" s="1"/>
  <c r="BH4" i="2"/>
  <c r="BH31" i="2" s="1"/>
  <c r="AA30" i="26" s="1"/>
  <c r="BI4" i="2"/>
  <c r="BI31" i="2" s="1"/>
  <c r="AB30" i="26" s="1"/>
  <c r="BJ4" i="2"/>
  <c r="BJ31" i="2" s="1"/>
  <c r="AC30" i="26" s="1"/>
  <c r="AC20" i="26" s="1"/>
  <c r="U20" i="26" s="1"/>
  <c r="BG4" i="2"/>
  <c r="BG31" i="2" s="1"/>
  <c r="Z30" i="26" s="1"/>
  <c r="BD4" i="2"/>
  <c r="BD31" i="2" s="1"/>
  <c r="AA30" i="25" s="1"/>
  <c r="AA25" i="25" s="1"/>
  <c r="K25" i="25" s="1"/>
  <c r="BE4" i="2"/>
  <c r="BE31" i="2" s="1"/>
  <c r="AB30" i="25" s="1"/>
  <c r="AB29" i="25" s="1"/>
  <c r="BF4" i="2"/>
  <c r="BF31" i="2" s="1"/>
  <c r="AC30" i="25" s="1"/>
  <c r="AC18" i="25" s="1"/>
  <c r="BB4" i="2"/>
  <c r="BB31" i="2" s="1"/>
  <c r="BA4" i="2"/>
  <c r="BA31" i="2" s="1"/>
  <c r="AW4" i="2"/>
  <c r="AW31" i="2" s="1"/>
  <c r="AX4" i="2"/>
  <c r="AX31" i="2" s="1"/>
  <c r="AY4" i="2"/>
  <c r="AY31" i="2" s="1"/>
  <c r="AU4" i="2"/>
  <c r="AU31" i="2" s="1"/>
  <c r="AT4" i="2"/>
  <c r="AT31" i="2" s="1"/>
  <c r="AQ4" i="2"/>
  <c r="AQ31" i="2" s="1"/>
  <c r="AR4" i="2"/>
  <c r="AR31" i="2" s="1"/>
  <c r="AS4" i="2"/>
  <c r="AS31" i="2" s="1"/>
  <c r="AP4" i="2"/>
  <c r="AP31" i="2" s="1"/>
  <c r="AL4" i="2"/>
  <c r="AL31" i="2" s="1"/>
  <c r="AM4" i="2"/>
  <c r="AM31" i="2" s="1"/>
  <c r="AN4" i="2"/>
  <c r="AN31" i="2" s="1"/>
  <c r="AK4" i="2"/>
  <c r="AK31" i="2" s="1"/>
  <c r="AH4" i="2"/>
  <c r="AH31" i="2" s="1"/>
  <c r="AI4" i="2"/>
  <c r="AI31" i="2" s="1"/>
  <c r="AJ4" i="2"/>
  <c r="AJ31" i="2" s="1"/>
  <c r="AG4" i="2"/>
  <c r="AG31" i="2" s="1"/>
  <c r="AD4" i="2"/>
  <c r="AD31" i="2" s="1"/>
  <c r="AE4" i="2"/>
  <c r="AE31" i="2" s="1"/>
  <c r="AF4" i="2"/>
  <c r="AF31" i="2" s="1"/>
  <c r="AC4" i="2"/>
  <c r="AC31" i="2" s="1"/>
  <c r="AA4" i="2"/>
  <c r="AA31" i="2" s="1"/>
  <c r="AB4" i="2"/>
  <c r="AB31" i="2" s="1"/>
  <c r="Z4" i="2"/>
  <c r="Z31" i="2" s="1"/>
  <c r="W4" i="2"/>
  <c r="W31" i="2" s="1"/>
  <c r="X4" i="2"/>
  <c r="X31" i="2" s="1"/>
  <c r="Y4" i="2"/>
  <c r="Y31" i="2" s="1"/>
  <c r="V4" i="2"/>
  <c r="V31" i="2" s="1"/>
  <c r="T4" i="2"/>
  <c r="T31" i="2" s="1"/>
  <c r="U4" i="2"/>
  <c r="S4" i="2"/>
  <c r="S31" i="2" s="1"/>
  <c r="P4" i="2"/>
  <c r="P31" i="2" s="1"/>
  <c r="Q4" i="2"/>
  <c r="Q31" i="2" s="1"/>
  <c r="R4" i="2"/>
  <c r="R31" i="2" s="1"/>
  <c r="M4" i="2"/>
  <c r="N4" i="2"/>
  <c r="N31" i="2" s="1"/>
  <c r="AO31" i="2"/>
  <c r="AZ31" i="2"/>
  <c r="AJ5" i="25"/>
  <c r="AJ6" i="25"/>
  <c r="AJ7" i="25"/>
  <c r="AJ8" i="25"/>
  <c r="AJ9" i="25"/>
  <c r="AJ10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AJ24" i="25"/>
  <c r="AJ25" i="25"/>
  <c r="AJ26" i="25"/>
  <c r="AJ27" i="25"/>
  <c r="AJ28" i="25"/>
  <c r="AJ29" i="25"/>
  <c r="AJ30" i="25"/>
  <c r="AJ4" i="25"/>
  <c r="AX24" i="26" l="1"/>
  <c r="AQ8" i="7"/>
  <c r="U18" i="8"/>
  <c r="S4" i="11"/>
  <c r="AO7" i="25"/>
  <c r="AO16" i="27"/>
  <c r="AN9" i="29"/>
  <c r="AN13" i="29"/>
  <c r="AN8" i="29"/>
  <c r="AV15" i="29"/>
  <c r="AV12" i="29"/>
  <c r="AV5" i="29"/>
  <c r="AV11" i="29"/>
  <c r="AV4" i="29"/>
  <c r="BD18" i="29"/>
  <c r="BD10" i="29"/>
  <c r="BD27" i="29"/>
  <c r="AP17" i="30"/>
  <c r="AP14" i="30"/>
  <c r="AP8" i="30"/>
  <c r="AP7" i="30"/>
  <c r="AP22" i="30"/>
  <c r="AP5" i="30"/>
  <c r="AP6" i="30"/>
  <c r="AP27" i="30"/>
  <c r="AP4" i="30"/>
  <c r="AP16" i="30"/>
  <c r="AP15" i="30"/>
  <c r="AP10" i="30"/>
  <c r="AP9" i="30"/>
  <c r="AP11" i="30"/>
  <c r="AX4" i="30"/>
  <c r="AX20" i="30"/>
  <c r="AX17" i="30"/>
  <c r="AX9" i="30"/>
  <c r="AX8" i="30"/>
  <c r="AX21" i="30"/>
  <c r="AX14" i="30"/>
  <c r="AX13" i="30"/>
  <c r="AX12" i="30"/>
  <c r="AX11" i="30"/>
  <c r="AX7" i="30"/>
  <c r="AX6" i="30"/>
  <c r="BF14" i="30"/>
  <c r="BF23" i="30"/>
  <c r="BF16" i="30"/>
  <c r="BF8" i="30"/>
  <c r="BF10" i="30"/>
  <c r="BF28" i="30"/>
  <c r="BF12" i="30"/>
  <c r="BF11" i="30"/>
  <c r="BF7" i="30"/>
  <c r="BF24" i="30"/>
  <c r="BF6" i="30"/>
  <c r="AX4" i="32"/>
  <c r="AX12" i="32"/>
  <c r="AX26" i="32"/>
  <c r="AL27" i="37"/>
  <c r="AL23" i="37"/>
  <c r="AL8" i="37"/>
  <c r="AL22" i="37"/>
  <c r="AL16" i="37"/>
  <c r="AL21" i="37"/>
  <c r="AL12" i="37"/>
  <c r="AL14" i="37"/>
  <c r="AL9" i="37"/>
  <c r="AL28" i="37"/>
  <c r="AL20" i="37"/>
  <c r="AL18" i="37"/>
  <c r="AL5" i="37"/>
  <c r="AL29" i="37"/>
  <c r="AL25" i="37"/>
  <c r="AL19" i="37"/>
  <c r="AL13" i="37"/>
  <c r="AT29" i="37"/>
  <c r="AT21" i="37"/>
  <c r="AT10" i="37"/>
  <c r="AT28" i="37"/>
  <c r="AT26" i="37"/>
  <c r="AT20" i="37"/>
  <c r="AT15" i="37"/>
  <c r="AT7" i="37"/>
  <c r="AT27" i="37"/>
  <c r="AT25" i="37"/>
  <c r="AT19" i="37"/>
  <c r="AT13" i="37"/>
  <c r="AT11" i="37"/>
  <c r="AT8" i="37"/>
  <c r="AT4" i="37"/>
  <c r="AT17" i="37"/>
  <c r="AT6" i="37"/>
  <c r="AT23" i="37"/>
  <c r="AT16" i="37"/>
  <c r="AT12" i="37"/>
  <c r="BB29" i="37"/>
  <c r="BB27" i="37"/>
  <c r="BB25" i="37"/>
  <c r="BB17" i="37"/>
  <c r="BB14" i="37"/>
  <c r="BB6" i="37"/>
  <c r="BB18" i="37"/>
  <c r="BB12" i="37"/>
  <c r="BB24" i="37"/>
  <c r="BB10" i="37"/>
  <c r="BB5" i="37"/>
  <c r="BB23" i="37"/>
  <c r="BB16" i="37"/>
  <c r="BB9" i="37"/>
  <c r="BB22" i="37"/>
  <c r="BB15" i="37"/>
  <c r="BB7" i="37"/>
  <c r="BB26" i="37"/>
  <c r="BB20" i="37"/>
  <c r="AP28" i="7"/>
  <c r="AR22" i="7"/>
  <c r="L4" i="11"/>
  <c r="AQ10" i="25"/>
  <c r="AP5" i="26"/>
  <c r="AN7" i="26"/>
  <c r="AN9" i="26"/>
  <c r="BD11" i="26"/>
  <c r="AN13" i="26"/>
  <c r="BD16" i="26"/>
  <c r="AN21" i="26"/>
  <c r="AV24" i="26"/>
  <c r="AN29" i="26"/>
  <c r="AO8" i="27"/>
  <c r="AW12" i="27"/>
  <c r="AO13" i="27"/>
  <c r="BE16" i="27"/>
  <c r="BF9" i="30"/>
  <c r="AP13" i="30"/>
  <c r="BF17" i="30"/>
  <c r="BF8" i="32"/>
  <c r="AP8" i="34"/>
  <c r="BD11" i="37"/>
  <c r="AL26" i="37"/>
  <c r="AZ22" i="30"/>
  <c r="AZ26" i="30"/>
  <c r="AZ14" i="30"/>
  <c r="AP25" i="32"/>
  <c r="AP20" i="32"/>
  <c r="AP17" i="32"/>
  <c r="AP6" i="32"/>
  <c r="AP28" i="32"/>
  <c r="AP15" i="32"/>
  <c r="AP9" i="32"/>
  <c r="AP23" i="32"/>
  <c r="AP12" i="32"/>
  <c r="AP7" i="32"/>
  <c r="AP26" i="32"/>
  <c r="AP21" i="32"/>
  <c r="AP18" i="32"/>
  <c r="AP16" i="32"/>
  <c r="AP10" i="32"/>
  <c r="AP4" i="32"/>
  <c r="AP22" i="32"/>
  <c r="AP11" i="32"/>
  <c r="BB23" i="35"/>
  <c r="BB24" i="35"/>
  <c r="BB14" i="35"/>
  <c r="BE29" i="27"/>
  <c r="AP12" i="30"/>
  <c r="AS14" i="31"/>
  <c r="AS5" i="31"/>
  <c r="AS27" i="31"/>
  <c r="AS7" i="31"/>
  <c r="AS8" i="31"/>
  <c r="AS11" i="31"/>
  <c r="AS21" i="31"/>
  <c r="AS10" i="31"/>
  <c r="AP13" i="7"/>
  <c r="AW28" i="7"/>
  <c r="S9" i="11"/>
  <c r="BA11" i="25"/>
  <c r="AX4" i="26"/>
  <c r="AX7" i="26"/>
  <c r="AV8" i="26"/>
  <c r="AN11" i="26"/>
  <c r="AV17" i="26"/>
  <c r="AN22" i="26"/>
  <c r="AN23" i="26"/>
  <c r="BD25" i="26"/>
  <c r="AN27" i="26"/>
  <c r="AO7" i="27"/>
  <c r="BE7" i="27"/>
  <c r="AO12" i="27"/>
  <c r="AO15" i="27"/>
  <c r="BE15" i="27"/>
  <c r="AP28" i="27"/>
  <c r="AP26" i="27"/>
  <c r="AP25" i="27"/>
  <c r="AP23" i="27"/>
  <c r="AP29" i="27"/>
  <c r="AX28" i="27"/>
  <c r="AX25" i="27"/>
  <c r="AX22" i="27"/>
  <c r="AX24" i="27"/>
  <c r="BF26" i="27"/>
  <c r="BF23" i="27"/>
  <c r="BD8" i="29"/>
  <c r="AZ6" i="30"/>
  <c r="BF15" i="30"/>
  <c r="AX25" i="30"/>
  <c r="BF24" i="32"/>
  <c r="AP28" i="34"/>
  <c r="AP21" i="34"/>
  <c r="AP20" i="34"/>
  <c r="AP18" i="34"/>
  <c r="AP14" i="34"/>
  <c r="AP9" i="34"/>
  <c r="AP25" i="34"/>
  <c r="AP23" i="34"/>
  <c r="AP22" i="34"/>
  <c r="AP11" i="34"/>
  <c r="AP7" i="34"/>
  <c r="AP5" i="34"/>
  <c r="AP10" i="34"/>
  <c r="AP24" i="34"/>
  <c r="AP17" i="34"/>
  <c r="AP16" i="34"/>
  <c r="AP15" i="34"/>
  <c r="AP13" i="34"/>
  <c r="AX28" i="34"/>
  <c r="AX11" i="34"/>
  <c r="AX10" i="34"/>
  <c r="AX5" i="34"/>
  <c r="AX27" i="34"/>
  <c r="AX23" i="34"/>
  <c r="AX16" i="34"/>
  <c r="AX7" i="34"/>
  <c r="AX6" i="34"/>
  <c r="AX8" i="34"/>
  <c r="AX15" i="34"/>
  <c r="AX29" i="34"/>
  <c r="AX19" i="34"/>
  <c r="AX18" i="34"/>
  <c r="AX14" i="34"/>
  <c r="AX12" i="34"/>
  <c r="AX4" i="34"/>
  <c r="BF29" i="34"/>
  <c r="BF25" i="34"/>
  <c r="BF16" i="34"/>
  <c r="BF15" i="34"/>
  <c r="BF19" i="34"/>
  <c r="BF14" i="34"/>
  <c r="BF12" i="34"/>
  <c r="BF8" i="34"/>
  <c r="BF26" i="34"/>
  <c r="BF24" i="34"/>
  <c r="BF17" i="34"/>
  <c r="BF13" i="34"/>
  <c r="BF22" i="34"/>
  <c r="BF20" i="34"/>
  <c r="BF10" i="34"/>
  <c r="BF18" i="34"/>
  <c r="BF7" i="34"/>
  <c r="AN27" i="35"/>
  <c r="AN22" i="35"/>
  <c r="AN19" i="35"/>
  <c r="AN16" i="35"/>
  <c r="AN15" i="35"/>
  <c r="AN10" i="35"/>
  <c r="AN5" i="35"/>
  <c r="AN18" i="35"/>
  <c r="AN17" i="35"/>
  <c r="AN9" i="35"/>
  <c r="AN8" i="35"/>
  <c r="AN14" i="35"/>
  <c r="AN4" i="35"/>
  <c r="AN29" i="35"/>
  <c r="AN13" i="35"/>
  <c r="AN7" i="35"/>
  <c r="AV29" i="35"/>
  <c r="AV14" i="35"/>
  <c r="AV13" i="35"/>
  <c r="AV7" i="35"/>
  <c r="AV12" i="35"/>
  <c r="AV6" i="35"/>
  <c r="AV11" i="35"/>
  <c r="AV23" i="35"/>
  <c r="AV20" i="35"/>
  <c r="AV19" i="35"/>
  <c r="AV5" i="35"/>
  <c r="AV26" i="35"/>
  <c r="AV25" i="35"/>
  <c r="AV18" i="35"/>
  <c r="AV9" i="35"/>
  <c r="BD15" i="35"/>
  <c r="BD23" i="35"/>
  <c r="BD11" i="35"/>
  <c r="BD29" i="35"/>
  <c r="BD5" i="35"/>
  <c r="BD24" i="35"/>
  <c r="BD22" i="35"/>
  <c r="BD19" i="35"/>
  <c r="BD10" i="35"/>
  <c r="BD26" i="35"/>
  <c r="BD21" i="35"/>
  <c r="BD20" i="35"/>
  <c r="BD18" i="35"/>
  <c r="BD16" i="35"/>
  <c r="BD9" i="35"/>
  <c r="BD17" i="35"/>
  <c r="BD14" i="35"/>
  <c r="BD8" i="35"/>
  <c r="BD4" i="35"/>
  <c r="BD13" i="35"/>
  <c r="BB4" i="37"/>
  <c r="BB8" i="37"/>
  <c r="BF18" i="29"/>
  <c r="BF29" i="29"/>
  <c r="BF28" i="32"/>
  <c r="BF25" i="32"/>
  <c r="BF9" i="32"/>
  <c r="BF26" i="32"/>
  <c r="BF18" i="32"/>
  <c r="BF15" i="32"/>
  <c r="BF12" i="32"/>
  <c r="BF23" i="32"/>
  <c r="BF21" i="32"/>
  <c r="BF7" i="32"/>
  <c r="BF10" i="32"/>
  <c r="BF4" i="32"/>
  <c r="BF19" i="32"/>
  <c r="BF16" i="32"/>
  <c r="BF13" i="32"/>
  <c r="BF29" i="32"/>
  <c r="BF22" i="32"/>
  <c r="BF14" i="32"/>
  <c r="BF11" i="32"/>
  <c r="AL27" i="35"/>
  <c r="AL19" i="35"/>
  <c r="AL18" i="35"/>
  <c r="AL15" i="35"/>
  <c r="AL5" i="35"/>
  <c r="AW19" i="25"/>
  <c r="AV13" i="26"/>
  <c r="BD19" i="26"/>
  <c r="AW25" i="27"/>
  <c r="AW23" i="27"/>
  <c r="AW29" i="27"/>
  <c r="AW28" i="27"/>
  <c r="AW27" i="27"/>
  <c r="AV29" i="29"/>
  <c r="AP28" i="30"/>
  <c r="BA14" i="31"/>
  <c r="BA13" i="31"/>
  <c r="BA16" i="31"/>
  <c r="BA15" i="31"/>
  <c r="BA10" i="31"/>
  <c r="BA25" i="31"/>
  <c r="BA22" i="31"/>
  <c r="BA9" i="31"/>
  <c r="BA23" i="31"/>
  <c r="BA19" i="31"/>
  <c r="BA12" i="31"/>
  <c r="BF6" i="32"/>
  <c r="AP14" i="32"/>
  <c r="BF20" i="32"/>
  <c r="AK11" i="7"/>
  <c r="AQ24" i="7"/>
  <c r="AW5" i="7"/>
  <c r="O9" i="11"/>
  <c r="AG31" i="12"/>
  <c r="K230" i="12" s="1"/>
  <c r="AV14" i="26"/>
  <c r="AX23" i="26"/>
  <c r="BF27" i="26"/>
  <c r="AO4" i="27"/>
  <c r="AW13" i="27"/>
  <c r="AW16" i="27"/>
  <c r="AO17" i="27"/>
  <c r="AW26" i="27"/>
  <c r="AL8" i="28"/>
  <c r="AL10" i="28"/>
  <c r="AL14" i="28"/>
  <c r="AT10" i="28"/>
  <c r="AT19" i="28"/>
  <c r="AT25" i="28"/>
  <c r="AT4" i="28"/>
  <c r="BB16" i="28"/>
  <c r="BB12" i="28"/>
  <c r="BB17" i="28"/>
  <c r="BB10" i="28"/>
  <c r="BB22" i="28"/>
  <c r="BD13" i="29"/>
  <c r="AX5" i="30"/>
  <c r="AP24" i="32"/>
  <c r="AP6" i="34"/>
  <c r="AX24" i="34"/>
  <c r="AQ19" i="36"/>
  <c r="AQ23" i="36"/>
  <c r="AQ10" i="36"/>
  <c r="AQ14" i="36"/>
  <c r="AQ18" i="36"/>
  <c r="AQ7" i="36"/>
  <c r="AQ11" i="36"/>
  <c r="AQ4" i="36"/>
  <c r="AY23" i="36"/>
  <c r="AY4" i="36"/>
  <c r="AY19" i="36"/>
  <c r="AY6" i="36"/>
  <c r="AL4" i="37"/>
  <c r="BB19" i="37"/>
  <c r="AT24" i="37"/>
  <c r="AZ27" i="30"/>
  <c r="AT26" i="35"/>
  <c r="AT28" i="35"/>
  <c r="AT4" i="35"/>
  <c r="AT22" i="35"/>
  <c r="AT20" i="35"/>
  <c r="AT19" i="35"/>
  <c r="AT5" i="35"/>
  <c r="AV7" i="26"/>
  <c r="AV9" i="26"/>
  <c r="AX21" i="26"/>
  <c r="AV25" i="26"/>
  <c r="BE28" i="27"/>
  <c r="BE27" i="27"/>
  <c r="BE24" i="27"/>
  <c r="BE22" i="27"/>
  <c r="BE26" i="27"/>
  <c r="BE23" i="27"/>
  <c r="AK23" i="31"/>
  <c r="AK19" i="31"/>
  <c r="AK10" i="31"/>
  <c r="AK22" i="31"/>
  <c r="AK29" i="31"/>
  <c r="AK13" i="31"/>
  <c r="AK16" i="31"/>
  <c r="AH15" i="4"/>
  <c r="K15" i="4" s="1"/>
  <c r="AK5" i="7"/>
  <c r="AQ15" i="7"/>
  <c r="P8" i="11"/>
  <c r="AN13" i="25"/>
  <c r="BD5" i="26"/>
  <c r="BD6" i="26"/>
  <c r="BD7" i="26"/>
  <c r="BD8" i="26"/>
  <c r="BD9" i="26"/>
  <c r="AV12" i="26"/>
  <c r="BD18" i="26"/>
  <c r="BD23" i="26"/>
  <c r="BE4" i="27"/>
  <c r="AW8" i="27"/>
  <c r="AO9" i="27"/>
  <c r="BE9" i="27"/>
  <c r="AW10" i="27"/>
  <c r="BE17" i="27"/>
  <c r="AW18" i="27"/>
  <c r="AO19" i="27"/>
  <c r="BE19" i="27"/>
  <c r="AW20" i="27"/>
  <c r="BE21" i="27"/>
  <c r="AW22" i="27"/>
  <c r="AM11" i="28"/>
  <c r="AM14" i="28"/>
  <c r="AU21" i="28"/>
  <c r="AU19" i="28"/>
  <c r="AU14" i="28"/>
  <c r="AU4" i="28"/>
  <c r="AU20" i="28"/>
  <c r="AU6" i="28"/>
  <c r="BC26" i="28"/>
  <c r="BC6" i="28"/>
  <c r="BC29" i="28"/>
  <c r="BC8" i="28"/>
  <c r="BC22" i="28"/>
  <c r="BC27" i="28"/>
  <c r="AV17" i="29"/>
  <c r="AS22" i="31"/>
  <c r="AP27" i="32"/>
  <c r="AP4" i="34"/>
  <c r="BF9" i="34"/>
  <c r="AX13" i="34"/>
  <c r="BF27" i="34"/>
  <c r="AL4" i="35"/>
  <c r="AR27" i="30"/>
  <c r="AR6" i="30"/>
  <c r="AR26" i="30"/>
  <c r="AR10" i="30"/>
  <c r="AX16" i="32"/>
  <c r="AX13" i="32"/>
  <c r="AX27" i="32"/>
  <c r="AX24" i="32"/>
  <c r="AX19" i="32"/>
  <c r="AX8" i="32"/>
  <c r="AX5" i="32"/>
  <c r="AX29" i="32"/>
  <c r="AX22" i="32"/>
  <c r="AX14" i="32"/>
  <c r="AX11" i="32"/>
  <c r="AX17" i="32"/>
  <c r="AX6" i="32"/>
  <c r="AX28" i="32"/>
  <c r="AX25" i="32"/>
  <c r="AX20" i="32"/>
  <c r="AX9" i="32"/>
  <c r="AX23" i="32"/>
  <c r="AX18" i="32"/>
  <c r="AX7" i="32"/>
  <c r="AO28" i="27"/>
  <c r="AO24" i="27"/>
  <c r="AO26" i="27"/>
  <c r="AO25" i="27"/>
  <c r="AO23" i="27"/>
  <c r="AH4" i="4"/>
  <c r="K4" i="4" s="1"/>
  <c r="AQ16" i="7"/>
  <c r="Y6" i="8"/>
  <c r="AN17" i="25"/>
  <c r="BF8" i="26"/>
  <c r="BD13" i="26"/>
  <c r="AV16" i="26"/>
  <c r="AV22" i="26"/>
  <c r="AN24" i="26"/>
  <c r="AW5" i="27"/>
  <c r="AO6" i="27"/>
  <c r="AO11" i="27"/>
  <c r="BE11" i="27"/>
  <c r="AO14" i="27"/>
  <c r="BE25" i="27"/>
  <c r="AO29" i="27"/>
  <c r="AN27" i="28"/>
  <c r="AN11" i="28"/>
  <c r="AN9" i="28"/>
  <c r="AN8" i="28"/>
  <c r="AN26" i="28"/>
  <c r="AN21" i="28"/>
  <c r="AN18" i="28"/>
  <c r="AN28" i="28"/>
  <c r="AN16" i="28"/>
  <c r="AN14" i="28"/>
  <c r="AN10" i="28"/>
  <c r="AN19" i="28"/>
  <c r="AN25" i="28"/>
  <c r="AN12" i="28"/>
  <c r="AN5" i="28"/>
  <c r="AN4" i="28"/>
  <c r="AV25" i="28"/>
  <c r="AV26" i="28"/>
  <c r="AV21" i="28"/>
  <c r="AV19" i="28"/>
  <c r="AV14" i="28"/>
  <c r="AV28" i="28"/>
  <c r="AV23" i="28"/>
  <c r="AV16" i="28"/>
  <c r="AV4" i="28"/>
  <c r="AV5" i="28"/>
  <c r="AV20" i="28"/>
  <c r="AV12" i="28"/>
  <c r="AV6" i="28"/>
  <c r="AV29" i="28"/>
  <c r="AV17" i="28"/>
  <c r="AV15" i="28"/>
  <c r="AV7" i="28"/>
  <c r="BD23" i="28"/>
  <c r="BD5" i="28"/>
  <c r="BD29" i="28"/>
  <c r="BD12" i="28"/>
  <c r="BD8" i="28"/>
  <c r="BD25" i="28"/>
  <c r="BD22" i="28"/>
  <c r="BD20" i="28"/>
  <c r="BD17" i="28"/>
  <c r="BD10" i="28"/>
  <c r="BD7" i="28"/>
  <c r="BD27" i="28"/>
  <c r="BD15" i="28"/>
  <c r="BD18" i="28"/>
  <c r="BD9" i="28"/>
  <c r="BD11" i="29"/>
  <c r="BF5" i="30"/>
  <c r="AX10" i="30"/>
  <c r="AR14" i="30"/>
  <c r="AP5" i="32"/>
  <c r="BF5" i="32"/>
  <c r="AP13" i="32"/>
  <c r="AP29" i="32"/>
  <c r="BF4" i="34"/>
  <c r="BF11" i="34"/>
  <c r="AP19" i="34"/>
  <c r="AX22" i="34"/>
  <c r="AT27" i="35"/>
  <c r="AK24" i="36"/>
  <c r="AK20" i="36"/>
  <c r="AK13" i="36"/>
  <c r="AK9" i="36"/>
  <c r="AK22" i="36"/>
  <c r="AK17" i="36"/>
  <c r="AK4" i="36"/>
  <c r="AK8" i="36"/>
  <c r="AS26" i="36"/>
  <c r="AS19" i="36"/>
  <c r="AS24" i="36"/>
  <c r="AS5" i="36"/>
  <c r="AS29" i="36"/>
  <c r="AS15" i="36"/>
  <c r="BA25" i="36"/>
  <c r="BA20" i="36"/>
  <c r="BA13" i="36"/>
  <c r="BA9" i="36"/>
  <c r="BA17" i="36"/>
  <c r="BA22" i="36"/>
  <c r="BA10" i="36"/>
  <c r="BA18" i="36"/>
  <c r="BB11" i="37"/>
  <c r="AT22" i="37"/>
  <c r="AK29" i="35"/>
  <c r="AK26" i="35"/>
  <c r="AK28" i="35"/>
  <c r="BC28" i="32"/>
  <c r="AP29" i="33"/>
  <c r="BC29" i="32"/>
  <c r="AP27" i="33"/>
  <c r="AM27" i="32"/>
  <c r="AS28" i="32"/>
  <c r="AL28" i="34"/>
  <c r="AG21" i="7"/>
  <c r="AL28" i="26"/>
  <c r="AG7" i="7"/>
  <c r="AL20" i="25"/>
  <c r="AL12" i="26"/>
  <c r="BB20" i="26"/>
  <c r="AL25" i="26"/>
  <c r="AU27" i="26"/>
  <c r="BE8" i="28"/>
  <c r="BF16" i="28"/>
  <c r="AW19" i="28"/>
  <c r="AO21" i="28"/>
  <c r="AH14" i="7"/>
  <c r="AK24" i="7"/>
  <c r="AQ27" i="7"/>
  <c r="AP6" i="7"/>
  <c r="BB16" i="7"/>
  <c r="AN56" i="9"/>
  <c r="S10" i="11"/>
  <c r="S5" i="11"/>
  <c r="AB20" i="12"/>
  <c r="K19" i="12" s="1"/>
  <c r="H10" i="17"/>
  <c r="AM18" i="25"/>
  <c r="AS6" i="25"/>
  <c r="BD20" i="25"/>
  <c r="AV4" i="26"/>
  <c r="AL5" i="26"/>
  <c r="AN6" i="26"/>
  <c r="BB6" i="26"/>
  <c r="AT7" i="26"/>
  <c r="BB8" i="26"/>
  <c r="AT9" i="26"/>
  <c r="AL10" i="26"/>
  <c r="BD10" i="26"/>
  <c r="AX11" i="26"/>
  <c r="AP12" i="26"/>
  <c r="AX13" i="26"/>
  <c r="BC14" i="26"/>
  <c r="AT15" i="26"/>
  <c r="AP16" i="26"/>
  <c r="AL17" i="26"/>
  <c r="BF17" i="26"/>
  <c r="AV18" i="26"/>
  <c r="AV19" i="26"/>
  <c r="AN20" i="26"/>
  <c r="BF20" i="26"/>
  <c r="BD21" i="26"/>
  <c r="AU23" i="26"/>
  <c r="AT25" i="26"/>
  <c r="BB26" i="26"/>
  <c r="BB27" i="26"/>
  <c r="BD28" i="26"/>
  <c r="AS9" i="27"/>
  <c r="BE5" i="28"/>
  <c r="BE7" i="28"/>
  <c r="BE9" i="28"/>
  <c r="BF10" i="28"/>
  <c r="AW14" i="28"/>
  <c r="AW15" i="28"/>
  <c r="AW16" i="28"/>
  <c r="AO17" i="28"/>
  <c r="BE18" i="28"/>
  <c r="BE19" i="28"/>
  <c r="AW20" i="28"/>
  <c r="AW22" i="28"/>
  <c r="AW23" i="28"/>
  <c r="BF26" i="28"/>
  <c r="AO28" i="28"/>
  <c r="AQ29" i="28"/>
  <c r="AV6" i="34"/>
  <c r="BD27" i="37"/>
  <c r="AR29" i="31"/>
  <c r="AR11" i="31"/>
  <c r="AR8" i="31"/>
  <c r="AL16" i="12"/>
  <c r="K335" i="12" s="1"/>
  <c r="AU5" i="26"/>
  <c r="BB12" i="26"/>
  <c r="AM14" i="26"/>
  <c r="AL16" i="26"/>
  <c r="BB17" i="26"/>
  <c r="AL20" i="26"/>
  <c r="AM26" i="26"/>
  <c r="BB28" i="26"/>
  <c r="BE4" i="28"/>
  <c r="AW11" i="28"/>
  <c r="AW13" i="28"/>
  <c r="AO16" i="28"/>
  <c r="AO23" i="28"/>
  <c r="AM26" i="29"/>
  <c r="AM18" i="29"/>
  <c r="AM19" i="29"/>
  <c r="AM16" i="29"/>
  <c r="BC28" i="29"/>
  <c r="BC19" i="29"/>
  <c r="BC16" i="29"/>
  <c r="BC26" i="29"/>
  <c r="BC14" i="29"/>
  <c r="BC29" i="29"/>
  <c r="AH6" i="7"/>
  <c r="AK19" i="7"/>
  <c r="AQ26" i="7"/>
  <c r="AQ22" i="7"/>
  <c r="BB12" i="7"/>
  <c r="AN47" i="9"/>
  <c r="U9" i="11"/>
  <c r="T4" i="11"/>
  <c r="AI38" i="12"/>
  <c r="K277" i="12" s="1"/>
  <c r="H5" i="17"/>
  <c r="AM23" i="25"/>
  <c r="AS19" i="25"/>
  <c r="AN5" i="26"/>
  <c r="BC6" i="26"/>
  <c r="AU7" i="26"/>
  <c r="AL8" i="26"/>
  <c r="BC8" i="26"/>
  <c r="AU9" i="26"/>
  <c r="AM10" i="26"/>
  <c r="BF10" i="26"/>
  <c r="AL13" i="26"/>
  <c r="BD14" i="26"/>
  <c r="AV15" i="26"/>
  <c r="AN17" i="26"/>
  <c r="AL21" i="26"/>
  <c r="AL22" i="26"/>
  <c r="BB22" i="26"/>
  <c r="AV23" i="26"/>
  <c r="AT24" i="26"/>
  <c r="AU25" i="26"/>
  <c r="BC26" i="26"/>
  <c r="BD27" i="26"/>
  <c r="BA4" i="27"/>
  <c r="AK7" i="27"/>
  <c r="AS12" i="27"/>
  <c r="AM15" i="27"/>
  <c r="BA18" i="27"/>
  <c r="AW4" i="28"/>
  <c r="AO5" i="28"/>
  <c r="BF5" i="28"/>
  <c r="AW6" i="28"/>
  <c r="AO7" i="28"/>
  <c r="BF7" i="28"/>
  <c r="AW8" i="28"/>
  <c r="AO9" i="28"/>
  <c r="BF9" i="28"/>
  <c r="AW10" i="28"/>
  <c r="BE11" i="28"/>
  <c r="BE13" i="28"/>
  <c r="AX14" i="28"/>
  <c r="BC15" i="28"/>
  <c r="AP17" i="28"/>
  <c r="AO18" i="28"/>
  <c r="BF19" i="28"/>
  <c r="AX20" i="28"/>
  <c r="AW21" i="28"/>
  <c r="BC23" i="28"/>
  <c r="BE24" i="28"/>
  <c r="AO26" i="28"/>
  <c r="AO27" i="28"/>
  <c r="AM5" i="29"/>
  <c r="AL27" i="36"/>
  <c r="AL23" i="36"/>
  <c r="AL7" i="36"/>
  <c r="AL5" i="36"/>
  <c r="AL22" i="36"/>
  <c r="AL4" i="36"/>
  <c r="AL18" i="36"/>
  <c r="AL14" i="36"/>
  <c r="AL10" i="36"/>
  <c r="AT28" i="36"/>
  <c r="AT8" i="36"/>
  <c r="AT18" i="36"/>
  <c r="AT14" i="36"/>
  <c r="AT10" i="36"/>
  <c r="AT15" i="36"/>
  <c r="AT11" i="36"/>
  <c r="AT7" i="36"/>
  <c r="AT6" i="36"/>
  <c r="AT4" i="36"/>
  <c r="BB18" i="36"/>
  <c r="BB5" i="36"/>
  <c r="BB4" i="36"/>
  <c r="BB19" i="36"/>
  <c r="BB6" i="36"/>
  <c r="BB23" i="36"/>
  <c r="BB8" i="36"/>
  <c r="BB26" i="36"/>
  <c r="BB15" i="36"/>
  <c r="BB11" i="36"/>
  <c r="BD22" i="37"/>
  <c r="AL11" i="26"/>
  <c r="BB23" i="26"/>
  <c r="BB25" i="26"/>
  <c r="BE15" i="28"/>
  <c r="AW17" i="28"/>
  <c r="AO20" i="28"/>
  <c r="BE21" i="28"/>
  <c r="BE23" i="28"/>
  <c r="AW26" i="28"/>
  <c r="AR13" i="32"/>
  <c r="AR18" i="32"/>
  <c r="BD23" i="37"/>
  <c r="AG15" i="7"/>
  <c r="AP19" i="7"/>
  <c r="BC26" i="7"/>
  <c r="AD28" i="12"/>
  <c r="K107" i="12" s="1"/>
  <c r="AD10" i="14"/>
  <c r="F44" i="14" s="1"/>
  <c r="AK6" i="25"/>
  <c r="BB4" i="26"/>
  <c r="AT6" i="26"/>
  <c r="AT10" i="26"/>
  <c r="AT13" i="26"/>
  <c r="AL15" i="26"/>
  <c r="BC15" i="26"/>
  <c r="AT21" i="26"/>
  <c r="AL23" i="26"/>
  <c r="BB24" i="26"/>
  <c r="AU26" i="26"/>
  <c r="AO4" i="28"/>
  <c r="AW5" i="28"/>
  <c r="AO6" i="28"/>
  <c r="AW7" i="28"/>
  <c r="AO8" i="28"/>
  <c r="AW9" i="28"/>
  <c r="AO10" i="28"/>
  <c r="AP11" i="28"/>
  <c r="AO12" i="28"/>
  <c r="AO13" i="28"/>
  <c r="BF15" i="28"/>
  <c r="AW18" i="28"/>
  <c r="AP20" i="28"/>
  <c r="BF20" i="28"/>
  <c r="BE22" i="28"/>
  <c r="AM6" i="29"/>
  <c r="BC7" i="29"/>
  <c r="AU12" i="29"/>
  <c r="AK24" i="33"/>
  <c r="AK8" i="33"/>
  <c r="AK6" i="33"/>
  <c r="AK25" i="33"/>
  <c r="AK5" i="33"/>
  <c r="AK15" i="33"/>
  <c r="AK7" i="33"/>
  <c r="AK19" i="33"/>
  <c r="AK17" i="33"/>
  <c r="AK10" i="33"/>
  <c r="AK9" i="33"/>
  <c r="AK28" i="33"/>
  <c r="AK4" i="33"/>
  <c r="AS25" i="33"/>
  <c r="AS4" i="33"/>
  <c r="AS11" i="33"/>
  <c r="AS9" i="33"/>
  <c r="AS29" i="33"/>
  <c r="AS8" i="33"/>
  <c r="AS6" i="33"/>
  <c r="AS26" i="33"/>
  <c r="AS10" i="33"/>
  <c r="AS5" i="33"/>
  <c r="AS20" i="33"/>
  <c r="AS15" i="33"/>
  <c r="AS7" i="33"/>
  <c r="BA22" i="33"/>
  <c r="BA26" i="33"/>
  <c r="BA8" i="33"/>
  <c r="BA10" i="33"/>
  <c r="BA23" i="33"/>
  <c r="BA5" i="33"/>
  <c r="BA21" i="33"/>
  <c r="BA7" i="33"/>
  <c r="BA4" i="33"/>
  <c r="BA12" i="33"/>
  <c r="BA11" i="33"/>
  <c r="BA9" i="33"/>
  <c r="AN8" i="34"/>
  <c r="AN24" i="34"/>
  <c r="AN22" i="34"/>
  <c r="AN18" i="34"/>
  <c r="AN23" i="34"/>
  <c r="AN19" i="34"/>
  <c r="AN16" i="34"/>
  <c r="AN14" i="34"/>
  <c r="AN6" i="34"/>
  <c r="AN29" i="34"/>
  <c r="AN28" i="34"/>
  <c r="AN12" i="34"/>
  <c r="AN10" i="34"/>
  <c r="AN7" i="34"/>
  <c r="AN27" i="34"/>
  <c r="AN17" i="34"/>
  <c r="AN9" i="34"/>
  <c r="AN4" i="34"/>
  <c r="AN26" i="34"/>
  <c r="AN25" i="34"/>
  <c r="AN20" i="34"/>
  <c r="AN13" i="34"/>
  <c r="AV29" i="34"/>
  <c r="AV28" i="34"/>
  <c r="AV21" i="34"/>
  <c r="AV15" i="34"/>
  <c r="AV5" i="34"/>
  <c r="AV27" i="34"/>
  <c r="AV17" i="34"/>
  <c r="AV11" i="34"/>
  <c r="AV26" i="34"/>
  <c r="AV22" i="34"/>
  <c r="AV18" i="34"/>
  <c r="AV13" i="34"/>
  <c r="AV9" i="34"/>
  <c r="AV4" i="34"/>
  <c r="AV25" i="34"/>
  <c r="AV20" i="34"/>
  <c r="AV24" i="34"/>
  <c r="AV10" i="34"/>
  <c r="AV23" i="34"/>
  <c r="AV19" i="34"/>
  <c r="AV12" i="34"/>
  <c r="AV7" i="34"/>
  <c r="BD20" i="34"/>
  <c r="BD14" i="34"/>
  <c r="BD13" i="34"/>
  <c r="BD6" i="34"/>
  <c r="BD4" i="34"/>
  <c r="BD16" i="34"/>
  <c r="BD10" i="34"/>
  <c r="BD8" i="34"/>
  <c r="BD25" i="34"/>
  <c r="BD24" i="34"/>
  <c r="BD19" i="34"/>
  <c r="BD23" i="34"/>
  <c r="BD12" i="34"/>
  <c r="BD7" i="34"/>
  <c r="BD28" i="34"/>
  <c r="BD27" i="34"/>
  <c r="BD22" i="34"/>
  <c r="BD21" i="34"/>
  <c r="BD11" i="34"/>
  <c r="BD5" i="34"/>
  <c r="BD26" i="34"/>
  <c r="BD17" i="34"/>
  <c r="BD9" i="34"/>
  <c r="AN28" i="37"/>
  <c r="AN25" i="37"/>
  <c r="AN24" i="37"/>
  <c r="AN23" i="37"/>
  <c r="AN22" i="37"/>
  <c r="AN21" i="37"/>
  <c r="AN17" i="37"/>
  <c r="AN12" i="37"/>
  <c r="AN20" i="37"/>
  <c r="AN16" i="37"/>
  <c r="AN11" i="37"/>
  <c r="AN8" i="37"/>
  <c r="AN19" i="37"/>
  <c r="AN15" i="37"/>
  <c r="AN29" i="37"/>
  <c r="AN7" i="37"/>
  <c r="AN6" i="37"/>
  <c r="AN18" i="37"/>
  <c r="AN13" i="37"/>
  <c r="AN4" i="37"/>
  <c r="AN27" i="37"/>
  <c r="AN26" i="37"/>
  <c r="AN9" i="37"/>
  <c r="J5" i="17"/>
  <c r="AT26" i="26"/>
  <c r="AO11" i="28"/>
  <c r="BE14" i="28"/>
  <c r="BE20" i="28"/>
  <c r="AO25" i="28"/>
  <c r="AW27" i="28"/>
  <c r="AZ21" i="32"/>
  <c r="AZ18" i="32"/>
  <c r="AZ6" i="32"/>
  <c r="AZ14" i="32"/>
  <c r="AN5" i="37"/>
  <c r="AG13" i="7"/>
  <c r="AP14" i="7"/>
  <c r="AQ6" i="7"/>
  <c r="BC18" i="7"/>
  <c r="U9" i="8"/>
  <c r="Y4" i="8"/>
  <c r="K8" i="11"/>
  <c r="AK21" i="12"/>
  <c r="K300" i="12" s="1"/>
  <c r="AK21" i="25"/>
  <c r="AO14" i="25"/>
  <c r="AY11" i="25"/>
  <c r="BD4" i="26"/>
  <c r="AT5" i="26"/>
  <c r="AV6" i="26"/>
  <c r="AL7" i="26"/>
  <c r="BB7" i="26"/>
  <c r="AT8" i="26"/>
  <c r="AL9" i="26"/>
  <c r="BB9" i="26"/>
  <c r="AV10" i="26"/>
  <c r="AU13" i="26"/>
  <c r="AL14" i="26"/>
  <c r="AN15" i="26"/>
  <c r="BD15" i="26"/>
  <c r="BB16" i="26"/>
  <c r="AL19" i="26"/>
  <c r="AV21" i="26"/>
  <c r="AT22" i="26"/>
  <c r="AM23" i="26"/>
  <c r="AL24" i="26"/>
  <c r="BD24" i="26"/>
  <c r="AL26" i="26"/>
  <c r="AV26" i="26"/>
  <c r="AT27" i="26"/>
  <c r="AT28" i="26"/>
  <c r="AV29" i="26"/>
  <c r="BA9" i="27"/>
  <c r="AK16" i="27"/>
  <c r="AQ26" i="27"/>
  <c r="AP4" i="28"/>
  <c r="AX5" i="28"/>
  <c r="AP6" i="28"/>
  <c r="AX7" i="28"/>
  <c r="AP8" i="28"/>
  <c r="AX9" i="28"/>
  <c r="AP10" i="28"/>
  <c r="AO14" i="28"/>
  <c r="AO15" i="28"/>
  <c r="BE16" i="28"/>
  <c r="BC17" i="28"/>
  <c r="AO22" i="28"/>
  <c r="BF22" i="28"/>
  <c r="AO24" i="28"/>
  <c r="AW25" i="28"/>
  <c r="BE28" i="28"/>
  <c r="BE29" i="28"/>
  <c r="AU5" i="29"/>
  <c r="AM7" i="29"/>
  <c r="AK11" i="33"/>
  <c r="BD20" i="37"/>
  <c r="AG26" i="7"/>
  <c r="AU19" i="25"/>
  <c r="AV4" i="37"/>
  <c r="AV26" i="37"/>
  <c r="AV13" i="37"/>
  <c r="AV9" i="37"/>
  <c r="AV27" i="37"/>
  <c r="AV25" i="37"/>
  <c r="AV17" i="37"/>
  <c r="AV12" i="37"/>
  <c r="AV8" i="37"/>
  <c r="AV28" i="37"/>
  <c r="AV24" i="37"/>
  <c r="AV23" i="37"/>
  <c r="AV22" i="37"/>
  <c r="AV21" i="37"/>
  <c r="AV20" i="37"/>
  <c r="AV16" i="37"/>
  <c r="AV11" i="37"/>
  <c r="AV19" i="37"/>
  <c r="AV15" i="37"/>
  <c r="AV14" i="37"/>
  <c r="AV10" i="37"/>
  <c r="AV6" i="37"/>
  <c r="AV29" i="37"/>
  <c r="AV18" i="37"/>
  <c r="AV5" i="37"/>
  <c r="BC28" i="7"/>
  <c r="BC4" i="7"/>
  <c r="AN14" i="37"/>
  <c r="AO19" i="28"/>
  <c r="AZ18" i="31"/>
  <c r="AZ16" i="31"/>
  <c r="AZ13" i="31"/>
  <c r="AZ19" i="31"/>
  <c r="BD28" i="37"/>
  <c r="BD6" i="37"/>
  <c r="BD5" i="37"/>
  <c r="BD4" i="37"/>
  <c r="BD26" i="37"/>
  <c r="BD13" i="37"/>
  <c r="BD12" i="37"/>
  <c r="BD9" i="37"/>
  <c r="BD29" i="37"/>
  <c r="BD25" i="37"/>
  <c r="BD17" i="37"/>
  <c r="BD8" i="37"/>
  <c r="BD19" i="37"/>
  <c r="BD15" i="37"/>
  <c r="BD10" i="37"/>
  <c r="BD18" i="37"/>
  <c r="BD14" i="37"/>
  <c r="BD7" i="37"/>
  <c r="BB15" i="26"/>
  <c r="AL6" i="26"/>
  <c r="AT11" i="26"/>
  <c r="AT18" i="26"/>
  <c r="BE6" i="28"/>
  <c r="AP22" i="28"/>
  <c r="BE27" i="28"/>
  <c r="AH19" i="7"/>
  <c r="AJ17" i="7"/>
  <c r="AP26" i="7"/>
  <c r="AP12" i="7"/>
  <c r="BB17" i="7"/>
  <c r="Y14" i="8"/>
  <c r="M11" i="11"/>
  <c r="Q6" i="11"/>
  <c r="AB19" i="12"/>
  <c r="K18" i="12" s="1"/>
  <c r="H12" i="17"/>
  <c r="AL28" i="25"/>
  <c r="AQ26" i="25"/>
  <c r="BA23" i="25"/>
  <c r="AT4" i="26"/>
  <c r="AV5" i="26"/>
  <c r="AM6" i="26"/>
  <c r="BB10" i="26"/>
  <c r="AV11" i="26"/>
  <c r="AN12" i="26"/>
  <c r="BD12" i="26"/>
  <c r="AN14" i="26"/>
  <c r="BB14" i="26"/>
  <c r="AN16" i="26"/>
  <c r="BD17" i="26"/>
  <c r="AT19" i="26"/>
  <c r="BD20" i="26"/>
  <c r="BB21" i="26"/>
  <c r="AT23" i="26"/>
  <c r="AN25" i="26"/>
  <c r="AN26" i="26"/>
  <c r="AV27" i="26"/>
  <c r="AK4" i="27"/>
  <c r="BA5" i="27"/>
  <c r="AK11" i="27"/>
  <c r="AS13" i="27"/>
  <c r="AK15" i="27"/>
  <c r="AS17" i="27"/>
  <c r="BC21" i="27"/>
  <c r="BF4" i="28"/>
  <c r="BF6" i="28"/>
  <c r="BE10" i="28"/>
  <c r="AX11" i="28"/>
  <c r="AW12" i="28"/>
  <c r="AX13" i="28"/>
  <c r="BE17" i="28"/>
  <c r="BE25" i="28"/>
  <c r="AN27" i="29"/>
  <c r="AN23" i="29"/>
  <c r="AN14" i="29"/>
  <c r="AN25" i="29"/>
  <c r="AN28" i="29"/>
  <c r="AV23" i="29"/>
  <c r="AV18" i="29"/>
  <c r="AV16" i="29"/>
  <c r="BD28" i="29"/>
  <c r="BD19" i="29"/>
  <c r="BD21" i="29"/>
  <c r="BD15" i="29"/>
  <c r="BD26" i="29"/>
  <c r="AO27" i="30"/>
  <c r="AO19" i="30"/>
  <c r="AO17" i="30"/>
  <c r="AO4" i="30"/>
  <c r="AO21" i="30"/>
  <c r="AO14" i="30"/>
  <c r="AO11" i="30"/>
  <c r="AO10" i="30"/>
  <c r="AO8" i="30"/>
  <c r="AO6" i="30"/>
  <c r="AO28" i="30"/>
  <c r="AO13" i="30"/>
  <c r="AO12" i="30"/>
  <c r="AW19" i="30"/>
  <c r="AW21" i="30"/>
  <c r="AW16" i="30"/>
  <c r="AW13" i="30"/>
  <c r="AW26" i="30"/>
  <c r="AW9" i="30"/>
  <c r="AW5" i="30"/>
  <c r="AW24" i="30"/>
  <c r="AW12" i="30"/>
  <c r="AW7" i="30"/>
  <c r="AW23" i="30"/>
  <c r="AW10" i="30"/>
  <c r="AW20" i="30"/>
  <c r="AW11" i="30"/>
  <c r="BE29" i="30"/>
  <c r="BE24" i="30"/>
  <c r="BE12" i="30"/>
  <c r="BE14" i="30"/>
  <c r="BE8" i="30"/>
  <c r="BE6" i="30"/>
  <c r="BE4" i="30"/>
  <c r="BE19" i="30"/>
  <c r="BE11" i="30"/>
  <c r="BE25" i="30"/>
  <c r="BE5" i="30"/>
  <c r="AR5" i="31"/>
  <c r="AV8" i="34"/>
  <c r="AV7" i="37"/>
  <c r="BD16" i="37"/>
  <c r="BD21" i="37"/>
  <c r="BD7" i="30"/>
  <c r="BD9" i="30"/>
  <c r="AN24" i="30"/>
  <c r="AR10" i="33"/>
  <c r="AM4" i="34"/>
  <c r="BC5" i="34"/>
  <c r="AM9" i="34"/>
  <c r="AU10" i="34"/>
  <c r="BC11" i="34"/>
  <c r="AM17" i="34"/>
  <c r="BC21" i="34"/>
  <c r="BC22" i="34"/>
  <c r="AU24" i="34"/>
  <c r="BC27" i="34"/>
  <c r="BC28" i="34"/>
  <c r="BF4" i="35"/>
  <c r="AP6" i="35"/>
  <c r="AP9" i="35"/>
  <c r="AP28" i="35"/>
  <c r="AS4" i="36"/>
  <c r="AS6" i="36"/>
  <c r="BA27" i="36"/>
  <c r="AM4" i="37"/>
  <c r="AU6" i="37"/>
  <c r="AU10" i="37"/>
  <c r="BC10" i="37"/>
  <c r="AM13" i="37"/>
  <c r="AU14" i="37"/>
  <c r="BC15" i="37"/>
  <c r="AO17" i="37"/>
  <c r="AM18" i="37"/>
  <c r="BC19" i="37"/>
  <c r="AO21" i="37"/>
  <c r="AO22" i="37"/>
  <c r="AO23" i="37"/>
  <c r="AO24" i="37"/>
  <c r="AO25" i="37"/>
  <c r="AO28" i="37"/>
  <c r="BE28" i="37"/>
  <c r="BD11" i="30"/>
  <c r="AN16" i="30"/>
  <c r="BD19" i="30"/>
  <c r="AN22" i="30"/>
  <c r="AV24" i="30"/>
  <c r="AU4" i="34"/>
  <c r="AM7" i="34"/>
  <c r="AU9" i="34"/>
  <c r="AM10" i="34"/>
  <c r="AM12" i="34"/>
  <c r="AU13" i="34"/>
  <c r="AU18" i="34"/>
  <c r="BC19" i="34"/>
  <c r="AU22" i="34"/>
  <c r="AU26" i="34"/>
  <c r="AM28" i="34"/>
  <c r="AM29" i="34"/>
  <c r="BF7" i="35"/>
  <c r="AX22" i="35"/>
  <c r="AX24" i="35"/>
  <c r="AK5" i="36"/>
  <c r="AK6" i="36"/>
  <c r="AK7" i="36"/>
  <c r="AS25" i="36"/>
  <c r="AK27" i="36"/>
  <c r="AM6" i="37"/>
  <c r="AM7" i="37"/>
  <c r="BC9" i="37"/>
  <c r="AU11" i="37"/>
  <c r="BC12" i="37"/>
  <c r="BC13" i="37"/>
  <c r="AU16" i="37"/>
  <c r="AU20" i="37"/>
  <c r="AU21" i="37"/>
  <c r="AU22" i="37"/>
  <c r="AU23" i="37"/>
  <c r="AU24" i="37"/>
  <c r="BC26" i="37"/>
  <c r="AM29" i="37"/>
  <c r="AN6" i="30"/>
  <c r="AN8" i="30"/>
  <c r="AN14" i="30"/>
  <c r="AV25" i="30"/>
  <c r="AM6" i="34"/>
  <c r="AU11" i="34"/>
  <c r="AM14" i="34"/>
  <c r="AM16" i="34"/>
  <c r="AU17" i="34"/>
  <c r="AM19" i="34"/>
  <c r="AM23" i="34"/>
  <c r="BC24" i="34"/>
  <c r="BC25" i="34"/>
  <c r="AU27" i="34"/>
  <c r="BF12" i="35"/>
  <c r="AP17" i="35"/>
  <c r="AX25" i="35"/>
  <c r="BA8" i="36"/>
  <c r="AM22" i="36"/>
  <c r="BA23" i="36"/>
  <c r="BA24" i="36"/>
  <c r="AS28" i="36"/>
  <c r="BC4" i="37"/>
  <c r="AU8" i="37"/>
  <c r="AU12" i="37"/>
  <c r="AM15" i="37"/>
  <c r="AU17" i="37"/>
  <c r="BE17" i="37"/>
  <c r="AM19" i="37"/>
  <c r="AW19" i="37"/>
  <c r="AU25" i="37"/>
  <c r="BE25" i="37"/>
  <c r="AU27" i="37"/>
  <c r="BE29" i="37"/>
  <c r="BD4" i="30"/>
  <c r="BD6" i="30"/>
  <c r="AN17" i="30"/>
  <c r="BD18" i="30"/>
  <c r="AV26" i="30"/>
  <c r="AZ10" i="33"/>
  <c r="AU5" i="34"/>
  <c r="BC8" i="34"/>
  <c r="BC10" i="34"/>
  <c r="AU15" i="34"/>
  <c r="BC16" i="34"/>
  <c r="AM18" i="34"/>
  <c r="AU21" i="34"/>
  <c r="AM22" i="34"/>
  <c r="AM24" i="34"/>
  <c r="AU28" i="34"/>
  <c r="AU29" i="34"/>
  <c r="AP18" i="35"/>
  <c r="BA6" i="36"/>
  <c r="AS9" i="36"/>
  <c r="AS12" i="36"/>
  <c r="AS16" i="36"/>
  <c r="AS20" i="36"/>
  <c r="AS21" i="36"/>
  <c r="AK23" i="36"/>
  <c r="BC24" i="36"/>
  <c r="AM8" i="37"/>
  <c r="AU9" i="37"/>
  <c r="AM11" i="37"/>
  <c r="AU13" i="37"/>
  <c r="AM16" i="37"/>
  <c r="AW16" i="37"/>
  <c r="AM20" i="37"/>
  <c r="AW20" i="37"/>
  <c r="AW21" i="37"/>
  <c r="AW22" i="37"/>
  <c r="AW23" i="37"/>
  <c r="AW24" i="37"/>
  <c r="AU26" i="37"/>
  <c r="AW28" i="37"/>
  <c r="AO29" i="37"/>
  <c r="AV16" i="30"/>
  <c r="BD24" i="30"/>
  <c r="AZ26" i="33"/>
  <c r="BC4" i="34"/>
  <c r="BC6" i="34"/>
  <c r="AM8" i="34"/>
  <c r="BC13" i="34"/>
  <c r="BC14" i="34"/>
  <c r="BC20" i="34"/>
  <c r="BA4" i="36"/>
  <c r="BA5" i="36"/>
  <c r="BA7" i="36"/>
  <c r="AS8" i="36"/>
  <c r="AK11" i="36"/>
  <c r="AS13" i="36"/>
  <c r="AK15" i="36"/>
  <c r="AS17" i="36"/>
  <c r="AK19" i="36"/>
  <c r="AS27" i="36"/>
  <c r="BA28" i="36"/>
  <c r="BA29" i="36"/>
  <c r="AU4" i="37"/>
  <c r="BC5" i="37"/>
  <c r="BC6" i="37"/>
  <c r="AM12" i="37"/>
  <c r="AM17" i="37"/>
  <c r="AO19" i="37"/>
  <c r="AM21" i="37"/>
  <c r="AM22" i="37"/>
  <c r="AM23" i="37"/>
  <c r="AM24" i="37"/>
  <c r="AM25" i="37"/>
  <c r="AW25" i="37"/>
  <c r="AW27" i="37"/>
  <c r="AM28" i="37"/>
  <c r="AU7" i="34"/>
  <c r="BC9" i="34"/>
  <c r="AU12" i="34"/>
  <c r="AM13" i="34"/>
  <c r="BC17" i="34"/>
  <c r="AU19" i="34"/>
  <c r="AM20" i="34"/>
  <c r="AM25" i="34"/>
  <c r="AK10" i="36"/>
  <c r="BA11" i="36"/>
  <c r="AK14" i="36"/>
  <c r="BA15" i="36"/>
  <c r="AK18" i="36"/>
  <c r="AK25" i="36"/>
  <c r="BA26" i="36"/>
  <c r="AU5" i="37"/>
  <c r="BC7" i="37"/>
  <c r="AM9" i="37"/>
  <c r="BC14" i="37"/>
  <c r="AO16" i="37"/>
  <c r="AU18" i="37"/>
  <c r="BC18" i="37"/>
  <c r="AM26" i="37"/>
  <c r="AU29" i="37"/>
  <c r="AR15" i="7"/>
  <c r="AH12" i="4"/>
  <c r="K12" i="4" s="1"/>
  <c r="AH27" i="7"/>
  <c r="AG23" i="7"/>
  <c r="AG11" i="7"/>
  <c r="AK27" i="7"/>
  <c r="AK13" i="7"/>
  <c r="AP23" i="7"/>
  <c r="AP10" i="7"/>
  <c r="AQ19" i="7"/>
  <c r="AR26" i="7"/>
  <c r="AR9" i="7"/>
  <c r="BC16" i="7"/>
  <c r="AE3" i="14"/>
  <c r="F48" i="14" s="1"/>
  <c r="AE10" i="14"/>
  <c r="F55" i="14" s="1"/>
  <c r="F57" i="14"/>
  <c r="AE4" i="14"/>
  <c r="F49" i="14" s="1"/>
  <c r="AE6" i="14"/>
  <c r="F51" i="14" s="1"/>
  <c r="AE8" i="14"/>
  <c r="F53" i="14" s="1"/>
  <c r="BC5" i="27"/>
  <c r="AU16" i="27"/>
  <c r="AY12" i="26"/>
  <c r="AY22" i="26"/>
  <c r="AY14" i="26"/>
  <c r="AH7" i="4"/>
  <c r="K7" i="4" s="1"/>
  <c r="AH22" i="7"/>
  <c r="AG22" i="7"/>
  <c r="AG10" i="7"/>
  <c r="AK25" i="7"/>
  <c r="AK12" i="7"/>
  <c r="AP21" i="7"/>
  <c r="AP11" i="7"/>
  <c r="AQ14" i="7"/>
  <c r="AR23" i="7"/>
  <c r="AW7" i="7"/>
  <c r="AW12" i="7"/>
  <c r="AW17" i="7"/>
  <c r="AW25" i="7"/>
  <c r="BC9" i="27"/>
  <c r="AM29" i="27"/>
  <c r="AL6" i="30"/>
  <c r="AQ22" i="31"/>
  <c r="AQ10" i="31"/>
  <c r="AQ18" i="31"/>
  <c r="AQ6" i="31"/>
  <c r="AY27" i="31"/>
  <c r="AY18" i="31"/>
  <c r="AY6" i="31"/>
  <c r="AY10" i="31"/>
  <c r="AQ22" i="32"/>
  <c r="AQ10" i="32"/>
  <c r="AY27" i="32"/>
  <c r="AY10" i="32"/>
  <c r="AO12" i="9"/>
  <c r="AO74" i="9"/>
  <c r="AG19" i="7"/>
  <c r="AG6" i="7"/>
  <c r="AK21" i="7"/>
  <c r="AK9" i="7"/>
  <c r="AR21" i="7"/>
  <c r="AY26" i="26"/>
  <c r="AM7" i="27"/>
  <c r="AU23" i="27"/>
  <c r="AM24" i="27"/>
  <c r="AH11" i="7"/>
  <c r="AG18" i="7"/>
  <c r="AJ25" i="7"/>
  <c r="AK20" i="7"/>
  <c r="AK8" i="7"/>
  <c r="AQ28" i="7"/>
  <c r="AP20" i="7"/>
  <c r="AP7" i="7"/>
  <c r="AQ11" i="7"/>
  <c r="AR18" i="7"/>
  <c r="AW20" i="7"/>
  <c r="BC5" i="7"/>
  <c r="BC7" i="7"/>
  <c r="BC19" i="7"/>
  <c r="BC8" i="7"/>
  <c r="BC20" i="7"/>
  <c r="BC10" i="7"/>
  <c r="BC23" i="7"/>
  <c r="BC11" i="7"/>
  <c r="BC24" i="7"/>
  <c r="BC15" i="7"/>
  <c r="BC27" i="7"/>
  <c r="BC3" i="7"/>
  <c r="X4" i="8"/>
  <c r="X17" i="8"/>
  <c r="X16" i="8"/>
  <c r="X14" i="8"/>
  <c r="X12" i="8"/>
  <c r="X7" i="8"/>
  <c r="X6" i="8"/>
  <c r="AU4" i="27"/>
  <c r="AG27" i="7"/>
  <c r="AG14" i="7"/>
  <c r="AJ9" i="7"/>
  <c r="AK17" i="7"/>
  <c r="AK4" i="7"/>
  <c r="AP15" i="7"/>
  <c r="AQ23" i="7"/>
  <c r="AQ7" i="7"/>
  <c r="AR14" i="7"/>
  <c r="AQ22" i="26"/>
  <c r="AQ14" i="26"/>
  <c r="AQ26" i="26"/>
  <c r="AK28" i="7"/>
  <c r="AK16" i="7"/>
  <c r="AK3" i="7"/>
  <c r="AR13" i="7"/>
  <c r="J12" i="11"/>
  <c r="J9" i="11"/>
  <c r="J7" i="11"/>
  <c r="R12" i="11"/>
  <c r="R5" i="11"/>
  <c r="R10" i="11"/>
  <c r="AM22" i="27"/>
  <c r="AM28" i="27"/>
  <c r="AM26" i="27"/>
  <c r="AM17" i="27"/>
  <c r="AM13" i="27"/>
  <c r="AM9" i="27"/>
  <c r="AM5" i="27"/>
  <c r="AM23" i="27"/>
  <c r="AM16" i="27"/>
  <c r="AM12" i="27"/>
  <c r="AM8" i="27"/>
  <c r="AM4" i="27"/>
  <c r="AM27" i="27"/>
  <c r="AM20" i="27"/>
  <c r="AM19" i="27"/>
  <c r="AM25" i="27"/>
  <c r="AM18" i="27"/>
  <c r="AM14" i="27"/>
  <c r="AM10" i="27"/>
  <c r="AM6" i="27"/>
  <c r="AU29" i="27"/>
  <c r="AU27" i="27"/>
  <c r="AU24" i="27"/>
  <c r="AU26" i="27"/>
  <c r="AU20" i="27"/>
  <c r="AU19" i="27"/>
  <c r="AU18" i="27"/>
  <c r="AU14" i="27"/>
  <c r="AU10" i="27"/>
  <c r="AU6" i="27"/>
  <c r="AU25" i="27"/>
  <c r="AU21" i="27"/>
  <c r="AU17" i="27"/>
  <c r="AU13" i="27"/>
  <c r="AU9" i="27"/>
  <c r="AU5" i="27"/>
  <c r="AU22" i="27"/>
  <c r="AU15" i="27"/>
  <c r="AU11" i="27"/>
  <c r="AU7" i="27"/>
  <c r="BC29" i="27"/>
  <c r="BC26" i="27"/>
  <c r="BC15" i="27"/>
  <c r="BC11" i="27"/>
  <c r="BC7" i="27"/>
  <c r="BC18" i="27"/>
  <c r="BC14" i="27"/>
  <c r="BC10" i="27"/>
  <c r="BC6" i="27"/>
  <c r="BC20" i="27"/>
  <c r="BC19" i="27"/>
  <c r="BC25" i="27"/>
  <c r="BC16" i="27"/>
  <c r="BC12" i="27"/>
  <c r="BC8" i="27"/>
  <c r="BC4" i="27"/>
  <c r="AK26" i="28"/>
  <c r="AK14" i="28"/>
  <c r="AK22" i="28"/>
  <c r="AK18" i="28"/>
  <c r="AK12" i="28"/>
  <c r="AK10" i="28"/>
  <c r="AK8" i="28"/>
  <c r="AK6" i="28"/>
  <c r="AK4" i="28"/>
  <c r="AK11" i="28"/>
  <c r="AK28" i="28"/>
  <c r="AK9" i="28"/>
  <c r="AK7" i="28"/>
  <c r="AK5" i="28"/>
  <c r="AS14" i="28"/>
  <c r="AS26" i="28"/>
  <c r="AS11" i="28"/>
  <c r="AS18" i="28"/>
  <c r="AS10" i="28"/>
  <c r="AS9" i="28"/>
  <c r="AS7" i="28"/>
  <c r="AS5" i="28"/>
  <c r="AS8" i="28"/>
  <c r="AS6" i="28"/>
  <c r="AS4" i="28"/>
  <c r="AS22" i="28"/>
  <c r="AS12" i="28"/>
  <c r="AS28" i="28"/>
  <c r="BA26" i="28"/>
  <c r="BA22" i="28"/>
  <c r="BA12" i="28"/>
  <c r="BA28" i="28"/>
  <c r="BA11" i="28"/>
  <c r="BA10" i="28"/>
  <c r="BA8" i="28"/>
  <c r="BA6" i="28"/>
  <c r="BA4" i="28"/>
  <c r="BA14" i="28"/>
  <c r="AL24" i="30"/>
  <c r="AL8" i="30"/>
  <c r="AL5" i="30"/>
  <c r="AL14" i="30"/>
  <c r="AL13" i="30"/>
  <c r="AL28" i="30"/>
  <c r="AL19" i="30"/>
  <c r="AL7" i="30"/>
  <c r="AL4" i="30"/>
  <c r="AL25" i="30"/>
  <c r="AL12" i="30"/>
  <c r="AL10" i="30"/>
  <c r="AL11" i="30"/>
  <c r="AL9" i="30"/>
  <c r="AL26" i="30"/>
  <c r="AL17" i="30"/>
  <c r="AL15" i="30"/>
  <c r="AL27" i="30"/>
  <c r="AL20" i="30"/>
  <c r="AT27" i="30"/>
  <c r="AT29" i="30"/>
  <c r="AT20" i="30"/>
  <c r="AT17" i="30"/>
  <c r="AT26" i="30"/>
  <c r="AT16" i="30"/>
  <c r="AT8" i="30"/>
  <c r="AT23" i="30"/>
  <c r="AT21" i="30"/>
  <c r="AT18" i="30"/>
  <c r="AT14" i="30"/>
  <c r="AT5" i="30"/>
  <c r="AT13" i="30"/>
  <c r="AT10" i="30"/>
  <c r="AE10" i="30" s="1"/>
  <c r="AT19" i="30"/>
  <c r="AT12" i="30"/>
  <c r="AT9" i="30"/>
  <c r="AT28" i="30"/>
  <c r="AT15" i="30"/>
  <c r="AT7" i="30"/>
  <c r="AT4" i="30"/>
  <c r="AT11" i="30"/>
  <c r="AT6" i="30"/>
  <c r="BB28" i="30"/>
  <c r="BB6" i="30"/>
  <c r="BB24" i="30"/>
  <c r="BB19" i="30"/>
  <c r="BB11" i="30"/>
  <c r="BB9" i="30"/>
  <c r="BB20" i="30"/>
  <c r="BB29" i="30"/>
  <c r="BB26" i="30"/>
  <c r="BB17" i="30"/>
  <c r="BB15" i="30"/>
  <c r="BB14" i="30"/>
  <c r="BB10" i="30"/>
  <c r="BB8" i="30"/>
  <c r="BB23" i="30"/>
  <c r="BB13" i="30"/>
  <c r="BB18" i="30"/>
  <c r="BB21" i="30"/>
  <c r="BB5" i="30"/>
  <c r="BB12" i="30"/>
  <c r="BB16" i="30"/>
  <c r="BB7" i="30"/>
  <c r="BB4" i="30"/>
  <c r="P12" i="11"/>
  <c r="P6" i="11"/>
  <c r="AE20" i="12"/>
  <c r="K139" i="12" s="1"/>
  <c r="BD5" i="25"/>
  <c r="AQ27" i="28"/>
  <c r="AQ28" i="28"/>
  <c r="AQ25" i="28"/>
  <c r="AQ16" i="28"/>
  <c r="AQ13" i="28"/>
  <c r="AQ14" i="28"/>
  <c r="AQ15" i="28"/>
  <c r="AY29" i="28"/>
  <c r="AY18" i="28"/>
  <c r="AY17" i="28"/>
  <c r="AY15" i="28"/>
  <c r="AY22" i="28"/>
  <c r="AY19" i="28"/>
  <c r="AY12" i="28"/>
  <c r="AY14" i="28"/>
  <c r="AY13" i="28"/>
  <c r="AX8" i="29"/>
  <c r="AX10" i="29"/>
  <c r="AX18" i="29"/>
  <c r="AX12" i="29"/>
  <c r="AX4" i="29"/>
  <c r="BF23" i="29"/>
  <c r="BF22" i="29"/>
  <c r="BF6" i="29"/>
  <c r="BF13" i="29"/>
  <c r="BF8" i="29"/>
  <c r="BF28" i="29"/>
  <c r="BF10" i="29"/>
  <c r="AO28" i="35"/>
  <c r="AO26" i="35"/>
  <c r="AO20" i="35"/>
  <c r="AO6" i="35"/>
  <c r="AO29" i="35"/>
  <c r="AO21" i="35"/>
  <c r="AO14" i="35"/>
  <c r="AO16" i="35"/>
  <c r="AO23" i="35"/>
  <c r="AO22" i="35"/>
  <c r="AO25" i="35"/>
  <c r="AO12" i="35"/>
  <c r="AO11" i="35"/>
  <c r="AO10" i="35"/>
  <c r="AO9" i="35"/>
  <c r="AO7" i="35"/>
  <c r="AO27" i="35"/>
  <c r="AO19" i="35"/>
  <c r="AO18" i="35"/>
  <c r="AO13" i="35"/>
  <c r="AO5" i="35"/>
  <c r="AO4" i="35"/>
  <c r="AO24" i="35"/>
  <c r="AO17" i="35"/>
  <c r="AO8" i="35"/>
  <c r="AW24" i="35"/>
  <c r="AW17" i="35"/>
  <c r="AW11" i="35"/>
  <c r="AW9" i="35"/>
  <c r="AW8" i="35"/>
  <c r="AW18" i="35"/>
  <c r="AW12" i="35"/>
  <c r="AW10" i="35"/>
  <c r="AW7" i="35"/>
  <c r="AW6" i="35"/>
  <c r="AW13" i="35"/>
  <c r="AW14" i="35"/>
  <c r="AW29" i="35"/>
  <c r="AW16" i="35"/>
  <c r="AW23" i="35"/>
  <c r="AW22" i="35"/>
  <c r="AW26" i="35"/>
  <c r="AW20" i="35"/>
  <c r="AW15" i="35"/>
  <c r="AW4" i="35"/>
  <c r="AW21" i="35"/>
  <c r="AW5" i="35"/>
  <c r="AW25" i="35"/>
  <c r="AW19" i="35"/>
  <c r="AW28" i="35"/>
  <c r="BE15" i="35"/>
  <c r="BE22" i="35"/>
  <c r="BE21" i="35"/>
  <c r="BE16" i="35"/>
  <c r="BE11" i="35"/>
  <c r="BE10" i="35"/>
  <c r="BE9" i="35"/>
  <c r="BE8" i="35"/>
  <c r="BE7" i="35"/>
  <c r="BE6" i="35"/>
  <c r="BE26" i="35"/>
  <c r="BE18" i="35"/>
  <c r="BE17" i="35"/>
  <c r="BE12" i="35"/>
  <c r="BE14" i="35"/>
  <c r="BE13" i="35"/>
  <c r="BE25" i="35"/>
  <c r="BE24" i="35"/>
  <c r="BE19" i="35"/>
  <c r="BE23" i="35"/>
  <c r="BE27" i="35"/>
  <c r="BB15" i="7"/>
  <c r="Y10" i="8"/>
  <c r="AK36" i="9"/>
  <c r="P239" i="9" s="1"/>
  <c r="O12" i="11"/>
  <c r="K11" i="11"/>
  <c r="Q9" i="11"/>
  <c r="O6" i="11"/>
  <c r="Q4" i="11"/>
  <c r="AB36" i="12"/>
  <c r="K35" i="12" s="1"/>
  <c r="AC29" i="12"/>
  <c r="K68" i="12" s="1"/>
  <c r="AC17" i="12"/>
  <c r="K56" i="12" s="1"/>
  <c r="H11" i="17"/>
  <c r="J12" i="17"/>
  <c r="AK14" i="25"/>
  <c r="AL21" i="25"/>
  <c r="AM19" i="25"/>
  <c r="AN16" i="25"/>
  <c r="AO11" i="25"/>
  <c r="AS14" i="25"/>
  <c r="AU27" i="25"/>
  <c r="BA19" i="25"/>
  <c r="BD9" i="25"/>
  <c r="AW8" i="26"/>
  <c r="AO12" i="26"/>
  <c r="AO16" i="26"/>
  <c r="BE20" i="26"/>
  <c r="AW23" i="26"/>
  <c r="AW26" i="26"/>
  <c r="AK29" i="26"/>
  <c r="AX27" i="27"/>
  <c r="AX29" i="27"/>
  <c r="AY5" i="28"/>
  <c r="AY7" i="28"/>
  <c r="AY9" i="28"/>
  <c r="AP26" i="28"/>
  <c r="AP29" i="28"/>
  <c r="AX20" i="29"/>
  <c r="AK26" i="30"/>
  <c r="AK24" i="30"/>
  <c r="AK22" i="30"/>
  <c r="AK8" i="30"/>
  <c r="AK5" i="30"/>
  <c r="AK14" i="30"/>
  <c r="AK13" i="30"/>
  <c r="AK28" i="30"/>
  <c r="AK19" i="30"/>
  <c r="AK7" i="30"/>
  <c r="AK4" i="30"/>
  <c r="AK29" i="30"/>
  <c r="AK20" i="30"/>
  <c r="AS25" i="30"/>
  <c r="AS15" i="30"/>
  <c r="AS11" i="30"/>
  <c r="AS9" i="30"/>
  <c r="AS6" i="30"/>
  <c r="AS29" i="30"/>
  <c r="AS20" i="30"/>
  <c r="AS17" i="30"/>
  <c r="AS27" i="30"/>
  <c r="AS26" i="30"/>
  <c r="AS16" i="30"/>
  <c r="AS8" i="30"/>
  <c r="AS23" i="30"/>
  <c r="AS21" i="30"/>
  <c r="AS18" i="30"/>
  <c r="AS14" i="30"/>
  <c r="AS5" i="30"/>
  <c r="AS28" i="30"/>
  <c r="AS22" i="30"/>
  <c r="AS7" i="30"/>
  <c r="AS4" i="30"/>
  <c r="BA12" i="30"/>
  <c r="BA28" i="30"/>
  <c r="BA6" i="30"/>
  <c r="BA24" i="30"/>
  <c r="BA22" i="30"/>
  <c r="BA19" i="30"/>
  <c r="BA11" i="30"/>
  <c r="BA9" i="30"/>
  <c r="BA20" i="30"/>
  <c r="BA21" i="30"/>
  <c r="BA16" i="30"/>
  <c r="BA5" i="30"/>
  <c r="AN12" i="31"/>
  <c r="AZ8" i="34"/>
  <c r="AZ18" i="34"/>
  <c r="AO15" i="35"/>
  <c r="BB21" i="7"/>
  <c r="BB9" i="7"/>
  <c r="Y16" i="8"/>
  <c r="K9" i="11"/>
  <c r="S7" i="11"/>
  <c r="K4" i="11"/>
  <c r="AK37" i="12"/>
  <c r="K316" i="12" s="1"/>
  <c r="AI14" i="12"/>
  <c r="K253" i="12" s="1"/>
  <c r="AA11" i="14"/>
  <c r="F12" i="14" s="1"/>
  <c r="H9" i="17"/>
  <c r="J6" i="17"/>
  <c r="AK22" i="25"/>
  <c r="AL27" i="25"/>
  <c r="AM26" i="25"/>
  <c r="AN21" i="25"/>
  <c r="AO15" i="25"/>
  <c r="AR8" i="25"/>
  <c r="AS22" i="25"/>
  <c r="AV13" i="25"/>
  <c r="AZ4" i="25"/>
  <c r="BB16" i="25"/>
  <c r="BD28" i="25"/>
  <c r="AW7" i="26"/>
  <c r="AO9" i="26"/>
  <c r="AO11" i="26"/>
  <c r="AW14" i="26"/>
  <c r="BE19" i="26"/>
  <c r="BE21" i="26"/>
  <c r="AK21" i="26"/>
  <c r="AS21" i="27"/>
  <c r="AQ4" i="28"/>
  <c r="AQ6" i="28"/>
  <c r="AQ8" i="28"/>
  <c r="AQ10" i="28"/>
  <c r="AY11" i="28"/>
  <c r="AP18" i="28"/>
  <c r="BF4" i="29"/>
  <c r="BF15" i="29"/>
  <c r="AM21" i="29"/>
  <c r="AM24" i="29"/>
  <c r="AV12" i="31"/>
  <c r="AV17" i="31"/>
  <c r="BD25" i="31"/>
  <c r="AV28" i="31"/>
  <c r="AQ26" i="33"/>
  <c r="AQ16" i="33"/>
  <c r="AQ13" i="33"/>
  <c r="AQ6" i="33"/>
  <c r="AQ5" i="33"/>
  <c r="AQ27" i="33"/>
  <c r="AQ8" i="33"/>
  <c r="AQ7" i="33"/>
  <c r="AQ14" i="33"/>
  <c r="AQ9" i="33"/>
  <c r="AQ22" i="33"/>
  <c r="AQ12" i="33"/>
  <c r="AQ10" i="33"/>
  <c r="AQ4" i="33"/>
  <c r="AQ18" i="33"/>
  <c r="AQ15" i="33"/>
  <c r="AY27" i="33"/>
  <c r="AY15" i="33"/>
  <c r="AY12" i="33"/>
  <c r="AY4" i="33"/>
  <c r="AY13" i="33"/>
  <c r="AY5" i="33"/>
  <c r="AY16" i="33"/>
  <c r="AY8" i="33"/>
  <c r="AY7" i="33"/>
  <c r="AY9" i="33"/>
  <c r="AY22" i="33"/>
  <c r="AY14" i="33"/>
  <c r="AY10" i="33"/>
  <c r="AY26" i="33"/>
  <c r="AY11" i="33"/>
  <c r="BE4" i="35"/>
  <c r="AW27" i="35"/>
  <c r="BE28" i="35"/>
  <c r="BE29" i="35"/>
  <c r="BB22" i="7"/>
  <c r="BB8" i="7"/>
  <c r="Y21" i="8"/>
  <c r="D174" i="8" s="1"/>
  <c r="Q7" i="11"/>
  <c r="Q5" i="11"/>
  <c r="AE36" i="12"/>
  <c r="K155" i="12" s="1"/>
  <c r="AJ25" i="12"/>
  <c r="AJ13" i="12"/>
  <c r="AA3" i="14"/>
  <c r="F4" i="14" s="1"/>
  <c r="H8" i="17"/>
  <c r="J7" i="17"/>
  <c r="AL4" i="25"/>
  <c r="AM7" i="25"/>
  <c r="AM27" i="25"/>
  <c r="AN24" i="25"/>
  <c r="AO19" i="25"/>
  <c r="AR13" i="25"/>
  <c r="AT9" i="25"/>
  <c r="AV21" i="25"/>
  <c r="AZ5" i="25"/>
  <c r="BB17" i="25"/>
  <c r="BD29" i="25"/>
  <c r="BE9" i="26"/>
  <c r="AO14" i="26"/>
  <c r="BE17" i="26"/>
  <c r="AO19" i="26"/>
  <c r="AW22" i="26"/>
  <c r="AO29" i="26"/>
  <c r="AK5" i="27"/>
  <c r="AS6" i="27"/>
  <c r="BA7" i="27"/>
  <c r="AK9" i="27"/>
  <c r="AS10" i="27"/>
  <c r="BA11" i="27"/>
  <c r="AK13" i="27"/>
  <c r="AS14" i="27"/>
  <c r="BA15" i="27"/>
  <c r="AK17" i="27"/>
  <c r="AS18" i="27"/>
  <c r="AK26" i="27"/>
  <c r="AS26" i="27"/>
  <c r="BA26" i="27"/>
  <c r="AQ5" i="28"/>
  <c r="AQ7" i="28"/>
  <c r="AQ9" i="28"/>
  <c r="AP14" i="28"/>
  <c r="AQ18" i="28"/>
  <c r="AX27" i="28"/>
  <c r="AN28" i="30"/>
  <c r="AN19" i="30"/>
  <c r="AN7" i="30"/>
  <c r="AN4" i="30"/>
  <c r="AN25" i="30"/>
  <c r="AN12" i="30"/>
  <c r="AN10" i="30"/>
  <c r="AN20" i="30"/>
  <c r="AN29" i="30"/>
  <c r="AN11" i="30"/>
  <c r="AN9" i="30"/>
  <c r="AN26" i="30"/>
  <c r="AN23" i="30"/>
  <c r="AN21" i="30"/>
  <c r="AV27" i="30"/>
  <c r="AV23" i="30"/>
  <c r="AV21" i="30"/>
  <c r="AV18" i="30"/>
  <c r="AV14" i="30"/>
  <c r="AV5" i="30"/>
  <c r="AV13" i="30"/>
  <c r="AV10" i="30"/>
  <c r="AV28" i="30"/>
  <c r="AV7" i="30"/>
  <c r="AV4" i="30"/>
  <c r="AV22" i="30"/>
  <c r="AV19" i="30"/>
  <c r="AV12" i="30"/>
  <c r="AV15" i="30"/>
  <c r="AV11" i="30"/>
  <c r="AV9" i="30"/>
  <c r="AV6" i="30"/>
  <c r="BD22" i="30"/>
  <c r="BD20" i="30"/>
  <c r="BD29" i="30"/>
  <c r="BD26" i="30"/>
  <c r="BD17" i="30"/>
  <c r="BD15" i="30"/>
  <c r="BD14" i="30"/>
  <c r="BD10" i="30"/>
  <c r="BD8" i="30"/>
  <c r="BD25" i="30"/>
  <c r="BD21" i="30"/>
  <c r="BD16" i="30"/>
  <c r="BD5" i="30"/>
  <c r="BD23" i="30"/>
  <c r="BD13" i="30"/>
  <c r="BD27" i="30"/>
  <c r="BD12" i="30"/>
  <c r="BD19" i="31"/>
  <c r="AN23" i="31"/>
  <c r="BD24" i="31"/>
  <c r="AY18" i="33"/>
  <c r="BB23" i="7"/>
  <c r="BB7" i="7"/>
  <c r="AI84" i="9"/>
  <c r="S11" i="11"/>
  <c r="S8" i="11"/>
  <c r="O7" i="11"/>
  <c r="AE24" i="12"/>
  <c r="K143" i="12" s="1"/>
  <c r="AC13" i="12"/>
  <c r="K52" i="12" s="1"/>
  <c r="AA4" i="14"/>
  <c r="F5" i="14" s="1"/>
  <c r="F13" i="14"/>
  <c r="H4" i="17"/>
  <c r="J9" i="17"/>
  <c r="AL5" i="25"/>
  <c r="AM10" i="25"/>
  <c r="AN5" i="25"/>
  <c r="AN25" i="25"/>
  <c r="AO22" i="25"/>
  <c r="AR16" i="25"/>
  <c r="AT13" i="25"/>
  <c r="AV25" i="25"/>
  <c r="AZ17" i="25"/>
  <c r="BC11" i="25"/>
  <c r="BE15" i="25"/>
  <c r="AO8" i="26"/>
  <c r="BE11" i="26"/>
  <c r="AO13" i="26"/>
  <c r="AO17" i="26"/>
  <c r="AW20" i="26"/>
  <c r="AX6" i="29"/>
  <c r="AX21" i="29"/>
  <c r="AM27" i="29"/>
  <c r="AM14" i="29"/>
  <c r="AM9" i="29"/>
  <c r="AM8" i="29"/>
  <c r="AM17" i="29"/>
  <c r="AM22" i="29"/>
  <c r="AM15" i="29"/>
  <c r="AM11" i="29"/>
  <c r="AM10" i="29"/>
  <c r="AM29" i="29"/>
  <c r="AM28" i="29"/>
  <c r="AM13" i="29"/>
  <c r="AU25" i="29"/>
  <c r="AU29" i="29"/>
  <c r="AU16" i="29"/>
  <c r="AU21" i="29"/>
  <c r="AU20" i="29"/>
  <c r="AU19" i="29"/>
  <c r="AU13" i="29"/>
  <c r="AU7" i="29"/>
  <c r="AU6" i="29"/>
  <c r="AU28" i="29"/>
  <c r="AU27" i="29"/>
  <c r="AU26" i="29"/>
  <c r="AU14" i="29"/>
  <c r="AU9" i="29"/>
  <c r="AU8" i="29"/>
  <c r="AU23" i="29"/>
  <c r="AU17" i="29"/>
  <c r="AU15" i="29"/>
  <c r="AU11" i="29"/>
  <c r="AU10" i="29"/>
  <c r="BC20" i="29"/>
  <c r="BC27" i="29"/>
  <c r="BC18" i="29"/>
  <c r="BC15" i="29"/>
  <c r="BC11" i="29"/>
  <c r="BC12" i="29"/>
  <c r="BC4" i="29"/>
  <c r="BC25" i="29"/>
  <c r="BC24" i="29"/>
  <c r="BC23" i="29"/>
  <c r="BC22" i="29"/>
  <c r="BC17" i="29"/>
  <c r="BC5" i="29"/>
  <c r="BC6" i="29"/>
  <c r="BC21" i="29"/>
  <c r="BC13" i="29"/>
  <c r="BC8" i="29"/>
  <c r="AV29" i="30"/>
  <c r="BD15" i="31"/>
  <c r="BD28" i="31"/>
  <c r="BB26" i="7"/>
  <c r="BB4" i="7"/>
  <c r="Q11" i="11"/>
  <c r="K10" i="11"/>
  <c r="Q8" i="11"/>
  <c r="K7" i="11"/>
  <c r="K5" i="11"/>
  <c r="AA8" i="14"/>
  <c r="F9" i="14" s="1"/>
  <c r="J4" i="17"/>
  <c r="AL12" i="25"/>
  <c r="AM11" i="25"/>
  <c r="AN8" i="25"/>
  <c r="AN29" i="25"/>
  <c r="AO23" i="25"/>
  <c r="AR24" i="25"/>
  <c r="AU6" i="25"/>
  <c r="AW10" i="25"/>
  <c r="AZ25" i="25"/>
  <c r="BC14" i="25"/>
  <c r="BE23" i="25"/>
  <c r="AO7" i="26"/>
  <c r="BE8" i="26"/>
  <c r="BE15" i="26"/>
  <c r="AW16" i="26"/>
  <c r="AO22" i="26"/>
  <c r="BE24" i="26"/>
  <c r="BE25" i="26"/>
  <c r="AW27" i="26"/>
  <c r="AK6" i="27"/>
  <c r="AS7" i="27"/>
  <c r="BA8" i="27"/>
  <c r="AK10" i="27"/>
  <c r="AS11" i="27"/>
  <c r="BA12" i="27"/>
  <c r="AK14" i="27"/>
  <c r="AS15" i="27"/>
  <c r="BA16" i="27"/>
  <c r="AK18" i="27"/>
  <c r="AS29" i="27"/>
  <c r="AQ11" i="28"/>
  <c r="AX23" i="28"/>
  <c r="AM25" i="29"/>
  <c r="AN17" i="29"/>
  <c r="AN22" i="29"/>
  <c r="AN15" i="29"/>
  <c r="AN11" i="29"/>
  <c r="AN10" i="29"/>
  <c r="AN29" i="29"/>
  <c r="AN21" i="29"/>
  <c r="AN20" i="29"/>
  <c r="AN19" i="29"/>
  <c r="AN16" i="29"/>
  <c r="AN12" i="29"/>
  <c r="AN5" i="29"/>
  <c r="AN4" i="29"/>
  <c r="AN26" i="29"/>
  <c r="AN24" i="29"/>
  <c r="AN18" i="29"/>
  <c r="AN7" i="29"/>
  <c r="AN6" i="29"/>
  <c r="AV21" i="29"/>
  <c r="AV20" i="29"/>
  <c r="AV19" i="29"/>
  <c r="AV13" i="29"/>
  <c r="AV7" i="29"/>
  <c r="AV6" i="29"/>
  <c r="AV28" i="29"/>
  <c r="AV27" i="29"/>
  <c r="AV26" i="29"/>
  <c r="AV14" i="29"/>
  <c r="AV9" i="29"/>
  <c r="AV8" i="29"/>
  <c r="AV25" i="29"/>
  <c r="AV24" i="29"/>
  <c r="AV22" i="29"/>
  <c r="BD12" i="29"/>
  <c r="BD4" i="29"/>
  <c r="BD25" i="29"/>
  <c r="BD24" i="29"/>
  <c r="BD23" i="29"/>
  <c r="BD22" i="29"/>
  <c r="BD17" i="29"/>
  <c r="BD5" i="29"/>
  <c r="BD6" i="29"/>
  <c r="BD16" i="29"/>
  <c r="BD7" i="29"/>
  <c r="BD29" i="29"/>
  <c r="BD20" i="29"/>
  <c r="BD14" i="29"/>
  <c r="BD9" i="29"/>
  <c r="H7" i="17"/>
  <c r="AL13" i="25"/>
  <c r="AM15" i="25"/>
  <c r="AN9" i="25"/>
  <c r="AO6" i="25"/>
  <c r="AO27" i="25"/>
  <c r="AR29" i="25"/>
  <c r="AU7" i="25"/>
  <c r="AZ28" i="25"/>
  <c r="BC23" i="25"/>
  <c r="AW11" i="26"/>
  <c r="BE13" i="26"/>
  <c r="AW19" i="26"/>
  <c r="AK20" i="27"/>
  <c r="AP25" i="28"/>
  <c r="AP19" i="28"/>
  <c r="AP12" i="28"/>
  <c r="AP28" i="28"/>
  <c r="AP24" i="28"/>
  <c r="AP21" i="28"/>
  <c r="AP16" i="28"/>
  <c r="AP27" i="28"/>
  <c r="AP23" i="28"/>
  <c r="AP13" i="28"/>
  <c r="AX21" i="28"/>
  <c r="AX18" i="28"/>
  <c r="AX17" i="28"/>
  <c r="AX15" i="28"/>
  <c r="AX26" i="28"/>
  <c r="AX29" i="28"/>
  <c r="AX22" i="28"/>
  <c r="AX19" i="28"/>
  <c r="AX12" i="28"/>
  <c r="AX28" i="28"/>
  <c r="AX25" i="28"/>
  <c r="AX16" i="28"/>
  <c r="BF29" i="28"/>
  <c r="BF14" i="28"/>
  <c r="BF25" i="28"/>
  <c r="BF13" i="28"/>
  <c r="BF24" i="28"/>
  <c r="BF21" i="28"/>
  <c r="BF18" i="28"/>
  <c r="BF17" i="28"/>
  <c r="BF12" i="28"/>
  <c r="BF12" i="29"/>
  <c r="AN28" i="31"/>
  <c r="AN26" i="31"/>
  <c r="AN24" i="31"/>
  <c r="AN16" i="31"/>
  <c r="AN5" i="31"/>
  <c r="AN4" i="31"/>
  <c r="AN29" i="31"/>
  <c r="AN25" i="31"/>
  <c r="AN22" i="31"/>
  <c r="AN20" i="31"/>
  <c r="AN19" i="31"/>
  <c r="AN15" i="31"/>
  <c r="AN14" i="31"/>
  <c r="AN10" i="31"/>
  <c r="AN13" i="31"/>
  <c r="AV29" i="31"/>
  <c r="AV20" i="31"/>
  <c r="AV19" i="31"/>
  <c r="AV14" i="31"/>
  <c r="AV8" i="31"/>
  <c r="AV21" i="31"/>
  <c r="AV7" i="31"/>
  <c r="AV18" i="31"/>
  <c r="AV13" i="31"/>
  <c r="AV11" i="31"/>
  <c r="AV9" i="31"/>
  <c r="AV6" i="31"/>
  <c r="AV26" i="31"/>
  <c r="AV23" i="31"/>
  <c r="AV4" i="31"/>
  <c r="BD12" i="31"/>
  <c r="BD11" i="31"/>
  <c r="BD16" i="31"/>
  <c r="BD10" i="31"/>
  <c r="BD27" i="31"/>
  <c r="BD26" i="31"/>
  <c r="BD23" i="31"/>
  <c r="BD22" i="31"/>
  <c r="BD17" i="31"/>
  <c r="BD5" i="31"/>
  <c r="BD4" i="31"/>
  <c r="BD18" i="31"/>
  <c r="AQ11" i="33"/>
  <c r="AW29" i="30"/>
  <c r="AO29" i="30"/>
  <c r="AO24" i="34"/>
  <c r="AO4" i="34"/>
  <c r="AO8" i="34"/>
  <c r="AO25" i="34"/>
  <c r="AO19" i="34"/>
  <c r="AO23" i="34"/>
  <c r="AO9" i="34"/>
  <c r="AO5" i="34"/>
  <c r="AO26" i="34"/>
  <c r="AO20" i="34"/>
  <c r="AO11" i="34"/>
  <c r="AO10" i="34"/>
  <c r="AO6" i="34"/>
  <c r="AO29" i="34"/>
  <c r="AO27" i="34"/>
  <c r="AO18" i="34"/>
  <c r="AO15" i="34"/>
  <c r="AO14" i="34"/>
  <c r="AW23" i="34"/>
  <c r="AW10" i="34"/>
  <c r="AW9" i="34"/>
  <c r="AW6" i="34"/>
  <c r="AW26" i="34"/>
  <c r="AW17" i="34"/>
  <c r="AW14" i="34"/>
  <c r="AW13" i="34"/>
  <c r="AW7" i="34"/>
  <c r="AW29" i="34"/>
  <c r="AW27" i="34"/>
  <c r="AW24" i="34"/>
  <c r="AW4" i="34"/>
  <c r="AW21" i="34"/>
  <c r="AW12" i="34"/>
  <c r="AW28" i="34"/>
  <c r="AW25" i="34"/>
  <c r="AW22" i="34"/>
  <c r="AW19" i="34"/>
  <c r="AW18" i="34"/>
  <c r="AW5" i="34"/>
  <c r="BE8" i="34"/>
  <c r="BE4" i="34"/>
  <c r="BE22" i="34"/>
  <c r="BE16" i="34"/>
  <c r="BE26" i="34"/>
  <c r="BE25" i="34"/>
  <c r="BE14" i="34"/>
  <c r="BE9" i="34"/>
  <c r="BE5" i="34"/>
  <c r="BE23" i="34"/>
  <c r="BE29" i="34"/>
  <c r="BE27" i="34"/>
  <c r="BE20" i="34"/>
  <c r="BE15" i="34"/>
  <c r="BE11" i="34"/>
  <c r="BE24" i="34"/>
  <c r="BE18" i="34"/>
  <c r="AL24" i="35"/>
  <c r="AL8" i="35"/>
  <c r="AL29" i="35"/>
  <c r="AL12" i="35"/>
  <c r="AL11" i="35"/>
  <c r="AL10" i="35"/>
  <c r="AL9" i="35"/>
  <c r="AL7" i="35"/>
  <c r="AL28" i="35"/>
  <c r="AL26" i="35"/>
  <c r="AL20" i="35"/>
  <c r="AL6" i="35"/>
  <c r="AL14" i="35"/>
  <c r="AL16" i="35"/>
  <c r="AL23" i="35"/>
  <c r="AL22" i="35"/>
  <c r="AT29" i="35"/>
  <c r="AT15" i="35"/>
  <c r="AT16" i="35"/>
  <c r="AT24" i="35"/>
  <c r="AT11" i="35"/>
  <c r="AT9" i="35"/>
  <c r="AT8" i="35"/>
  <c r="AT18" i="35"/>
  <c r="AT12" i="35"/>
  <c r="AT10" i="35"/>
  <c r="AT7" i="35"/>
  <c r="AT6" i="35"/>
  <c r="AT14" i="35"/>
  <c r="BB28" i="35"/>
  <c r="BB27" i="35"/>
  <c r="BB20" i="35"/>
  <c r="BB19" i="35"/>
  <c r="BB5" i="35"/>
  <c r="BB4" i="35"/>
  <c r="BB15" i="35"/>
  <c r="BB22" i="35"/>
  <c r="BB16" i="35"/>
  <c r="BB11" i="35"/>
  <c r="BB10" i="35"/>
  <c r="BB9" i="35"/>
  <c r="BB8" i="35"/>
  <c r="BB7" i="35"/>
  <c r="BB6" i="35"/>
  <c r="BB29" i="35"/>
  <c r="BB26" i="35"/>
  <c r="BB18" i="35"/>
  <c r="BB12" i="35"/>
  <c r="AM28" i="31"/>
  <c r="AP29" i="31"/>
  <c r="AL22" i="32"/>
  <c r="AL26" i="32"/>
  <c r="AL18" i="32"/>
  <c r="AL10" i="32"/>
  <c r="AL28" i="32"/>
  <c r="BB26" i="32"/>
  <c r="BB28" i="32"/>
  <c r="BB18" i="32"/>
  <c r="BB22" i="32"/>
  <c r="BB14" i="32"/>
  <c r="BB10" i="32"/>
  <c r="BB6" i="32"/>
  <c r="AN28" i="33"/>
  <c r="AN24" i="33"/>
  <c r="AN19" i="33"/>
  <c r="AN15" i="33"/>
  <c r="AN21" i="33"/>
  <c r="AN26" i="33"/>
  <c r="AN23" i="33"/>
  <c r="AN16" i="33"/>
  <c r="AN13" i="33"/>
  <c r="AN6" i="33"/>
  <c r="AN5" i="33"/>
  <c r="AN27" i="33"/>
  <c r="AN8" i="33"/>
  <c r="AN7" i="33"/>
  <c r="AN14" i="33"/>
  <c r="AN9" i="33"/>
  <c r="AN22" i="33"/>
  <c r="AN17" i="33"/>
  <c r="AN12" i="33"/>
  <c r="AN10" i="33"/>
  <c r="AV18" i="33"/>
  <c r="AV11" i="33"/>
  <c r="AV10" i="33"/>
  <c r="AV29" i="33"/>
  <c r="AV27" i="33"/>
  <c r="AV25" i="33"/>
  <c r="AV9" i="33"/>
  <c r="AV19" i="33"/>
  <c r="AV17" i="33"/>
  <c r="AV15" i="33"/>
  <c r="AV12" i="33"/>
  <c r="AV24" i="33"/>
  <c r="AV4" i="33"/>
  <c r="AV21" i="33"/>
  <c r="AV13" i="33"/>
  <c r="AV5" i="33"/>
  <c r="AV23" i="33"/>
  <c r="AV20" i="33"/>
  <c r="AV16" i="33"/>
  <c r="AV8" i="33"/>
  <c r="AV7" i="33"/>
  <c r="BD28" i="33"/>
  <c r="BD19" i="33"/>
  <c r="BD17" i="33"/>
  <c r="BD6" i="33"/>
  <c r="BD24" i="33"/>
  <c r="BD13" i="33"/>
  <c r="BD10" i="33"/>
  <c r="BD5" i="33"/>
  <c r="BD23" i="33"/>
  <c r="BD16" i="33"/>
  <c r="BD11" i="33"/>
  <c r="BD29" i="33"/>
  <c r="BD27" i="33"/>
  <c r="BD20" i="33"/>
  <c r="BD18" i="33"/>
  <c r="BD14" i="33"/>
  <c r="BD9" i="33"/>
  <c r="BD25" i="33"/>
  <c r="BD22" i="33"/>
  <c r="BD12" i="33"/>
  <c r="BD26" i="33"/>
  <c r="BD15" i="33"/>
  <c r="BD4" i="33"/>
  <c r="AO28" i="34"/>
  <c r="AX27" i="33"/>
  <c r="AV16" i="35"/>
  <c r="AM17" i="35"/>
  <c r="BC19" i="35"/>
  <c r="BC20" i="35"/>
  <c r="AU21" i="35"/>
  <c r="AM24" i="35"/>
  <c r="AN25" i="35"/>
  <c r="BC25" i="35"/>
  <c r="BC27" i="35"/>
  <c r="BC28" i="35"/>
  <c r="AU29" i="35"/>
  <c r="AU4" i="36"/>
  <c r="AW6" i="36"/>
  <c r="AS7" i="36"/>
  <c r="BB7" i="36"/>
  <c r="AL9" i="36"/>
  <c r="AS10" i="36"/>
  <c r="BB10" i="36"/>
  <c r="AY11" i="36"/>
  <c r="AU13" i="36"/>
  <c r="AS14" i="36"/>
  <c r="BB14" i="36"/>
  <c r="AY15" i="36"/>
  <c r="AU17" i="36"/>
  <c r="AS18" i="36"/>
  <c r="BA19" i="36"/>
  <c r="AK21" i="36"/>
  <c r="BA21" i="36"/>
  <c r="AS22" i="36"/>
  <c r="AK28" i="36"/>
  <c r="AK29" i="36"/>
  <c r="AX25" i="34"/>
  <c r="AP27" i="34"/>
  <c r="AP29" i="34"/>
  <c r="AV21" i="35"/>
  <c r="AN24" i="35"/>
  <c r="BD25" i="35"/>
  <c r="BD27" i="35"/>
  <c r="BD28" i="35"/>
  <c r="AM4" i="36"/>
  <c r="BC5" i="36"/>
  <c r="BC7" i="36"/>
  <c r="AM9" i="36"/>
  <c r="BC10" i="36"/>
  <c r="BC14" i="36"/>
  <c r="BC18" i="36"/>
  <c r="AM21" i="36"/>
  <c r="AU22" i="36"/>
  <c r="AM29" i="36"/>
  <c r="BC29" i="37"/>
  <c r="AU5" i="36"/>
  <c r="AM7" i="36"/>
  <c r="BC8" i="36"/>
  <c r="AM10" i="36"/>
  <c r="BC11" i="36"/>
  <c r="AU12" i="36"/>
  <c r="AM13" i="36"/>
  <c r="AM14" i="36"/>
  <c r="BC15" i="36"/>
  <c r="AU16" i="36"/>
  <c r="AM17" i="36"/>
  <c r="AM18" i="36"/>
  <c r="AU27" i="36"/>
  <c r="BB28" i="37"/>
  <c r="AU19" i="36"/>
  <c r="AV17" i="35"/>
  <c r="AM18" i="35"/>
  <c r="AM19" i="35"/>
  <c r="AN20" i="35"/>
  <c r="BA20" i="35"/>
  <c r="AU22" i="35"/>
  <c r="AK24" i="35"/>
  <c r="AV24" i="35"/>
  <c r="AN26" i="35"/>
  <c r="BA27" i="35"/>
  <c r="AN28" i="35"/>
  <c r="AL6" i="36"/>
  <c r="AU6" i="36"/>
  <c r="AY7" i="36"/>
  <c r="AL8" i="36"/>
  <c r="AT9" i="36"/>
  <c r="AY10" i="36"/>
  <c r="AL11" i="36"/>
  <c r="AK12" i="36"/>
  <c r="BA12" i="36"/>
  <c r="AY14" i="36"/>
  <c r="AL15" i="36"/>
  <c r="AK16" i="36"/>
  <c r="BA16" i="36"/>
  <c r="AY18" i="36"/>
  <c r="AL19" i="36"/>
  <c r="AM20" i="36"/>
  <c r="BC20" i="36"/>
  <c r="BC22" i="36"/>
  <c r="AT23" i="36"/>
  <c r="BC27" i="36"/>
  <c r="BC4" i="36"/>
  <c r="AM6" i="36"/>
  <c r="AM8" i="36"/>
  <c r="AU9" i="36"/>
  <c r="AM11" i="36"/>
  <c r="AM12" i="36"/>
  <c r="BC12" i="36"/>
  <c r="AM15" i="36"/>
  <c r="AM16" i="36"/>
  <c r="BC16" i="36"/>
  <c r="AM19" i="36"/>
  <c r="AM24" i="36"/>
  <c r="AH9" i="4"/>
  <c r="K9" i="4" s="1"/>
  <c r="AH24" i="7"/>
  <c r="AH16" i="7"/>
  <c r="AH8" i="7"/>
  <c r="AJ22" i="7"/>
  <c r="AJ14" i="7"/>
  <c r="AJ6" i="7"/>
  <c r="AW22" i="7"/>
  <c r="AW14" i="7"/>
  <c r="AW8" i="7"/>
  <c r="U22" i="8"/>
  <c r="U12" i="8"/>
  <c r="U21" i="8"/>
  <c r="Z5" i="8"/>
  <c r="Z17" i="8"/>
  <c r="AE61" i="9"/>
  <c r="P62" i="9" s="1"/>
  <c r="AP33" i="9"/>
  <c r="AP25" i="9"/>
  <c r="AP61" i="9"/>
  <c r="AH11" i="12"/>
  <c r="AH14" i="12"/>
  <c r="AH39" i="12"/>
  <c r="AH18" i="12"/>
  <c r="AH22" i="12"/>
  <c r="AH26" i="12"/>
  <c r="AH30" i="12"/>
  <c r="AC3" i="14"/>
  <c r="F26" i="14" s="1"/>
  <c r="AC5" i="14"/>
  <c r="F28" i="14" s="1"/>
  <c r="AC7" i="14"/>
  <c r="F30" i="14" s="1"/>
  <c r="AC9" i="14"/>
  <c r="F32" i="14" s="1"/>
  <c r="AC11" i="14"/>
  <c r="F34" i="14" s="1"/>
  <c r="F35" i="14"/>
  <c r="AC4" i="14"/>
  <c r="F27" i="14" s="1"/>
  <c r="AC6" i="14"/>
  <c r="F29" i="14" s="1"/>
  <c r="AC8" i="14"/>
  <c r="F31" i="14" s="1"/>
  <c r="AC10" i="14"/>
  <c r="F33" i="14" s="1"/>
  <c r="BF23" i="25"/>
  <c r="BF15" i="25"/>
  <c r="BF7" i="25"/>
  <c r="BF22" i="25"/>
  <c r="BF14" i="25"/>
  <c r="BF6" i="25"/>
  <c r="BF28" i="25"/>
  <c r="BF20" i="25"/>
  <c r="BF12" i="25"/>
  <c r="BF4" i="25"/>
  <c r="BF27" i="25"/>
  <c r="BF19" i="25"/>
  <c r="BF11" i="25"/>
  <c r="BF26" i="25"/>
  <c r="BF18" i="25"/>
  <c r="BF10" i="25"/>
  <c r="BF16" i="25"/>
  <c r="BF13" i="25"/>
  <c r="BF9" i="25"/>
  <c r="BF29" i="25"/>
  <c r="BF8" i="25"/>
  <c r="BF25" i="25"/>
  <c r="BF5" i="25"/>
  <c r="BF24" i="25"/>
  <c r="AX23" i="25"/>
  <c r="AX15" i="25"/>
  <c r="AX7" i="25"/>
  <c r="AX22" i="25"/>
  <c r="AX14" i="25"/>
  <c r="AX6" i="25"/>
  <c r="AX28" i="25"/>
  <c r="AX20" i="25"/>
  <c r="AX12" i="25"/>
  <c r="AX4" i="25"/>
  <c r="AX27" i="25"/>
  <c r="AX19" i="25"/>
  <c r="AX11" i="25"/>
  <c r="AX26" i="25"/>
  <c r="AX18" i="25"/>
  <c r="AX10" i="25"/>
  <c r="AX9" i="25"/>
  <c r="AX29" i="25"/>
  <c r="AX8" i="25"/>
  <c r="AX25" i="25"/>
  <c r="AX5" i="25"/>
  <c r="AX24" i="25"/>
  <c r="AX21" i="25"/>
  <c r="AX17" i="25"/>
  <c r="AP23" i="25"/>
  <c r="AP15" i="25"/>
  <c r="AP26" i="25"/>
  <c r="AP18" i="25"/>
  <c r="AP10" i="25"/>
  <c r="AP24" i="25"/>
  <c r="AP13" i="25"/>
  <c r="AP4" i="25"/>
  <c r="AP22" i="25"/>
  <c r="AP12" i="25"/>
  <c r="AP21" i="25"/>
  <c r="AP11" i="25"/>
  <c r="AP20" i="25"/>
  <c r="AP9" i="25"/>
  <c r="AP29" i="25"/>
  <c r="AP19" i="25"/>
  <c r="AP8" i="25"/>
  <c r="AP28" i="25"/>
  <c r="AP17" i="25"/>
  <c r="AP7" i="25"/>
  <c r="AP6" i="25"/>
  <c r="AX16" i="25"/>
  <c r="BF17" i="25"/>
  <c r="AH16" i="4"/>
  <c r="K16" i="4" s="1"/>
  <c r="AH8" i="4"/>
  <c r="K8" i="4" s="1"/>
  <c r="AH23" i="7"/>
  <c r="AH15" i="7"/>
  <c r="AH7" i="7"/>
  <c r="AJ21" i="7"/>
  <c r="AJ13" i="7"/>
  <c r="AW21" i="7"/>
  <c r="AW13" i="7"/>
  <c r="AW9" i="7"/>
  <c r="U4" i="8"/>
  <c r="Y5" i="8"/>
  <c r="Y15" i="8"/>
  <c r="Z7" i="8"/>
  <c r="Z18" i="8"/>
  <c r="D171" i="8" s="1"/>
  <c r="AE36" i="9"/>
  <c r="P37" i="9" s="1"/>
  <c r="J5" i="11"/>
  <c r="J11" i="11"/>
  <c r="R11" i="11"/>
  <c r="R9" i="11"/>
  <c r="R4" i="11"/>
  <c r="R7" i="11"/>
  <c r="J8" i="11"/>
  <c r="R6" i="11"/>
  <c r="F46" i="14"/>
  <c r="AD3" i="14"/>
  <c r="F37" i="14" s="1"/>
  <c r="AD5" i="14"/>
  <c r="F39" i="14" s="1"/>
  <c r="AD7" i="14"/>
  <c r="F41" i="14" s="1"/>
  <c r="AD9" i="14"/>
  <c r="F43" i="14" s="1"/>
  <c r="AD11" i="14"/>
  <c r="F45" i="14" s="1"/>
  <c r="AP14" i="25"/>
  <c r="BF21" i="25"/>
  <c r="AO17" i="29"/>
  <c r="AO14" i="29"/>
  <c r="AO27" i="29"/>
  <c r="AO23" i="29"/>
  <c r="AO16" i="29"/>
  <c r="AO11" i="29"/>
  <c r="AO9" i="29"/>
  <c r="AO7" i="29"/>
  <c r="AO5" i="29"/>
  <c r="AO29" i="29"/>
  <c r="AO28" i="29"/>
  <c r="AO26" i="29"/>
  <c r="AO24" i="29"/>
  <c r="AO19" i="29"/>
  <c r="AO13" i="29"/>
  <c r="AO25" i="29"/>
  <c r="AO20" i="29"/>
  <c r="AO22" i="29"/>
  <c r="AO21" i="29"/>
  <c r="AO15" i="29"/>
  <c r="AO18" i="29"/>
  <c r="AO12" i="29"/>
  <c r="AO10" i="29"/>
  <c r="AO8" i="29"/>
  <c r="AO6" i="29"/>
  <c r="AO4" i="29"/>
  <c r="AW14" i="29"/>
  <c r="AW17" i="29"/>
  <c r="AW11" i="29"/>
  <c r="AW9" i="29"/>
  <c r="AW7" i="29"/>
  <c r="AW5" i="29"/>
  <c r="AW16" i="29"/>
  <c r="AW29" i="29"/>
  <c r="AW28" i="29"/>
  <c r="AW27" i="29"/>
  <c r="AW26" i="29"/>
  <c r="AW23" i="29"/>
  <c r="AW13" i="29"/>
  <c r="AW21" i="29"/>
  <c r="AW18" i="29"/>
  <c r="AW24" i="29"/>
  <c r="AW20" i="29"/>
  <c r="AW19" i="29"/>
  <c r="AW15" i="29"/>
  <c r="AW22" i="29"/>
  <c r="AW12" i="29"/>
  <c r="AW10" i="29"/>
  <c r="AW8" i="29"/>
  <c r="AW6" i="29"/>
  <c r="AW4" i="29"/>
  <c r="AW25" i="29"/>
  <c r="BE25" i="29"/>
  <c r="BE24" i="29"/>
  <c r="BE19" i="29"/>
  <c r="BE20" i="29"/>
  <c r="BE21" i="29"/>
  <c r="BE14" i="29"/>
  <c r="BE11" i="29"/>
  <c r="BE9" i="29"/>
  <c r="BE7" i="29"/>
  <c r="BE5" i="29"/>
  <c r="BE29" i="29"/>
  <c r="BE28" i="29"/>
  <c r="BE27" i="29"/>
  <c r="BE23" i="29"/>
  <c r="BE18" i="29"/>
  <c r="BE12" i="29"/>
  <c r="BE10" i="29"/>
  <c r="BE8" i="29"/>
  <c r="BE6" i="29"/>
  <c r="BE4" i="29"/>
  <c r="BE26" i="29"/>
  <c r="BE17" i="29"/>
  <c r="BE15" i="29"/>
  <c r="BE13" i="29"/>
  <c r="BE22" i="29"/>
  <c r="AJ28" i="7"/>
  <c r="AJ20" i="7"/>
  <c r="AJ12" i="7"/>
  <c r="U14" i="8"/>
  <c r="U6" i="8"/>
  <c r="U5" i="8"/>
  <c r="U15" i="8"/>
  <c r="Z9" i="8"/>
  <c r="Z19" i="8"/>
  <c r="AP16" i="25"/>
  <c r="AH14" i="4"/>
  <c r="K14" i="4" s="1"/>
  <c r="AH6" i="4"/>
  <c r="K6" i="4" s="1"/>
  <c r="AH21" i="7"/>
  <c r="AH13" i="7"/>
  <c r="AG28" i="7"/>
  <c r="AG20" i="7"/>
  <c r="AG12" i="7"/>
  <c r="AJ27" i="7"/>
  <c r="AJ19" i="7"/>
  <c r="AJ11" i="7"/>
  <c r="AK26" i="7"/>
  <c r="AK18" i="7"/>
  <c r="AK10" i="7"/>
  <c r="AP25" i="7"/>
  <c r="AP17" i="7"/>
  <c r="AP9" i="7"/>
  <c r="AQ21" i="7"/>
  <c r="AQ13" i="7"/>
  <c r="AR28" i="7"/>
  <c r="AR20" i="7"/>
  <c r="AR12" i="7"/>
  <c r="AW27" i="7"/>
  <c r="AW19" i="7"/>
  <c r="AW3" i="7"/>
  <c r="AW11" i="7"/>
  <c r="BB24" i="7"/>
  <c r="BB14" i="7"/>
  <c r="BB6" i="7"/>
  <c r="BC25" i="7"/>
  <c r="BC17" i="7"/>
  <c r="BC9" i="7"/>
  <c r="X21" i="8"/>
  <c r="X13" i="8"/>
  <c r="X19" i="8"/>
  <c r="X11" i="8"/>
  <c r="X22" i="8"/>
  <c r="U7" i="8"/>
  <c r="U16" i="8"/>
  <c r="X5" i="8"/>
  <c r="X15" i="8"/>
  <c r="Y7" i="8"/>
  <c r="D160" i="8" s="1"/>
  <c r="Z10" i="8"/>
  <c r="D163" i="8" s="1"/>
  <c r="Z20" i="8"/>
  <c r="L5" i="11"/>
  <c r="L11" i="11"/>
  <c r="L6" i="11"/>
  <c r="L9" i="11"/>
  <c r="T5" i="11"/>
  <c r="T11" i="11"/>
  <c r="T6" i="11"/>
  <c r="T9" i="11"/>
  <c r="J10" i="11"/>
  <c r="T10" i="11"/>
  <c r="R8" i="11"/>
  <c r="AP25" i="25"/>
  <c r="BE16" i="29"/>
  <c r="AH13" i="4"/>
  <c r="K13" i="4" s="1"/>
  <c r="AH5" i="4"/>
  <c r="K5" i="4" s="1"/>
  <c r="AH28" i="7"/>
  <c r="AH20" i="7"/>
  <c r="AH12" i="7"/>
  <c r="AJ26" i="7"/>
  <c r="AJ18" i="7"/>
  <c r="AJ10" i="7"/>
  <c r="AQ18" i="7"/>
  <c r="AQ10" i="7"/>
  <c r="AR27" i="7"/>
  <c r="AR19" i="7"/>
  <c r="AR11" i="7"/>
  <c r="AW26" i="7"/>
  <c r="AW18" i="7"/>
  <c r="AW4" i="7"/>
  <c r="BB25" i="7"/>
  <c r="BB13" i="7"/>
  <c r="BB3" i="7"/>
  <c r="D176" i="8"/>
  <c r="Y19" i="8"/>
  <c r="D172" i="8" s="1"/>
  <c r="Y11" i="8"/>
  <c r="Y17" i="8"/>
  <c r="Y9" i="8"/>
  <c r="U8" i="8"/>
  <c r="U17" i="8"/>
  <c r="Y8" i="8"/>
  <c r="Y20" i="8"/>
  <c r="Z11" i="8"/>
  <c r="M4" i="11"/>
  <c r="M10" i="11"/>
  <c r="M8" i="11"/>
  <c r="M6" i="11"/>
  <c r="U10" i="11"/>
  <c r="U8" i="11"/>
  <c r="U4" i="11"/>
  <c r="U6" i="11"/>
  <c r="M12" i="11"/>
  <c r="U11" i="11"/>
  <c r="K119" i="12"/>
  <c r="AD32" i="12"/>
  <c r="K111" i="12" s="1"/>
  <c r="AD36" i="12"/>
  <c r="K115" i="12" s="1"/>
  <c r="AD12" i="12"/>
  <c r="K91" i="12" s="1"/>
  <c r="AD16" i="12"/>
  <c r="K95" i="12" s="1"/>
  <c r="AD20" i="12"/>
  <c r="K99" i="12" s="1"/>
  <c r="AL13" i="12"/>
  <c r="K332" i="12" s="1"/>
  <c r="K359" i="12"/>
  <c r="AL24" i="12"/>
  <c r="K343" i="12" s="1"/>
  <c r="AL28" i="12"/>
  <c r="K347" i="12" s="1"/>
  <c r="AL36" i="12"/>
  <c r="K355" i="12" s="1"/>
  <c r="AL12" i="12"/>
  <c r="K331" i="12" s="1"/>
  <c r="AH34" i="12"/>
  <c r="AD6" i="14"/>
  <c r="F40" i="14" s="1"/>
  <c r="AP27" i="25"/>
  <c r="Z16" i="8"/>
  <c r="Z8" i="8"/>
  <c r="Z22" i="8"/>
  <c r="Z14" i="8"/>
  <c r="Z6" i="8"/>
  <c r="D159" i="8" s="1"/>
  <c r="Z12" i="8"/>
  <c r="P104" i="9"/>
  <c r="AE96" i="9"/>
  <c r="P97" i="9" s="1"/>
  <c r="N4" i="11"/>
  <c r="N7" i="11"/>
  <c r="N5" i="11"/>
  <c r="N11" i="11"/>
  <c r="N6" i="11"/>
  <c r="AH11" i="4"/>
  <c r="K11" i="4" s="1"/>
  <c r="AH3" i="4"/>
  <c r="K3" i="4" s="1"/>
  <c r="AH26" i="7"/>
  <c r="AH18" i="7"/>
  <c r="AH10" i="7"/>
  <c r="AG25" i="7"/>
  <c r="AG17" i="7"/>
  <c r="AG9" i="7"/>
  <c r="AJ24" i="7"/>
  <c r="AJ16" i="7"/>
  <c r="AJ8" i="7"/>
  <c r="AK23" i="7"/>
  <c r="AK15" i="7"/>
  <c r="AK7" i="7"/>
  <c r="AP27" i="7"/>
  <c r="AP24" i="7"/>
  <c r="AP16" i="7"/>
  <c r="AQ20" i="7"/>
  <c r="AQ12" i="7"/>
  <c r="AR25" i="7"/>
  <c r="AR17" i="7"/>
  <c r="AR7" i="7"/>
  <c r="AW24" i="7"/>
  <c r="AW16" i="7"/>
  <c r="AW6" i="7"/>
  <c r="BB19" i="7"/>
  <c r="BB27" i="7"/>
  <c r="BB11" i="7"/>
  <c r="BB5" i="7"/>
  <c r="BC22" i="7"/>
  <c r="BC14" i="7"/>
  <c r="BC6" i="7"/>
  <c r="U10" i="8"/>
  <c r="U19" i="8"/>
  <c r="X8" i="8"/>
  <c r="X18" i="8"/>
  <c r="Y12" i="8"/>
  <c r="D165" i="8" s="1"/>
  <c r="Y22" i="8"/>
  <c r="Z13" i="8"/>
  <c r="AE93" i="9"/>
  <c r="P94" i="9" s="1"/>
  <c r="AN6" i="9"/>
  <c r="P407" i="9"/>
  <c r="AN65" i="9"/>
  <c r="O10" i="11"/>
  <c r="O5" i="11"/>
  <c r="O8" i="11"/>
  <c r="U12" i="11"/>
  <c r="J4" i="11"/>
  <c r="N9" i="11"/>
  <c r="N8" i="11"/>
  <c r="M7" i="11"/>
  <c r="U5" i="11"/>
  <c r="AD4" i="14"/>
  <c r="F38" i="14" s="1"/>
  <c r="AH10" i="4"/>
  <c r="K10" i="4" s="1"/>
  <c r="AH25" i="7"/>
  <c r="AH17" i="7"/>
  <c r="AG24" i="7"/>
  <c r="AG16" i="7"/>
  <c r="AJ23" i="7"/>
  <c r="AJ15" i="7"/>
  <c r="AK22" i="7"/>
  <c r="AK14" i="7"/>
  <c r="AQ25" i="7"/>
  <c r="AQ17" i="7"/>
  <c r="AR24" i="7"/>
  <c r="AR16" i="7"/>
  <c r="AR6" i="7"/>
  <c r="AW23" i="7"/>
  <c r="AW15" i="7"/>
  <c r="BB20" i="7"/>
  <c r="BB18" i="7"/>
  <c r="BC21" i="7"/>
  <c r="BC13" i="7"/>
  <c r="U11" i="8"/>
  <c r="U20" i="8"/>
  <c r="X9" i="8"/>
  <c r="X20" i="8"/>
  <c r="Y13" i="8"/>
  <c r="Z4" i="8"/>
  <c r="Z15" i="8"/>
  <c r="AE68" i="9"/>
  <c r="P69" i="9" s="1"/>
  <c r="AO9" i="9"/>
  <c r="P9" i="11"/>
  <c r="P4" i="11"/>
  <c r="P7" i="11"/>
  <c r="P5" i="11"/>
  <c r="T12" i="11"/>
  <c r="J6" i="11"/>
  <c r="P11" i="11"/>
  <c r="N10" i="11"/>
  <c r="M9" i="11"/>
  <c r="L8" i="11"/>
  <c r="L7" i="11"/>
  <c r="O4" i="11"/>
  <c r="AG12" i="12"/>
  <c r="K211" i="12" s="1"/>
  <c r="K239" i="12"/>
  <c r="AG35" i="12"/>
  <c r="K234" i="12" s="1"/>
  <c r="AG11" i="12"/>
  <c r="K210" i="12" s="1"/>
  <c r="AG15" i="12"/>
  <c r="K214" i="12" s="1"/>
  <c r="AG19" i="12"/>
  <c r="K218" i="12" s="1"/>
  <c r="AG23" i="12"/>
  <c r="K222" i="12" s="1"/>
  <c r="AL20" i="12"/>
  <c r="K339" i="12" s="1"/>
  <c r="AK28" i="25"/>
  <c r="AK20" i="25"/>
  <c r="AK12" i="25"/>
  <c r="AK4" i="25"/>
  <c r="AK27" i="25"/>
  <c r="AK19" i="25"/>
  <c r="AK11" i="25"/>
  <c r="AK29" i="25"/>
  <c r="AK26" i="25"/>
  <c r="AK18" i="25"/>
  <c r="AK10" i="25"/>
  <c r="AK25" i="25"/>
  <c r="AE25" i="25" s="1"/>
  <c r="AK17" i="25"/>
  <c r="AK9" i="25"/>
  <c r="AK24" i="25"/>
  <c r="AK16" i="25"/>
  <c r="AK8" i="25"/>
  <c r="AK23" i="25"/>
  <c r="AK15" i="25"/>
  <c r="AK7" i="25"/>
  <c r="AY29" i="25"/>
  <c r="AY21" i="25"/>
  <c r="AY13" i="25"/>
  <c r="AY5" i="25"/>
  <c r="AY28" i="25"/>
  <c r="AY20" i="25"/>
  <c r="AY12" i="25"/>
  <c r="AY4" i="25"/>
  <c r="AY26" i="25"/>
  <c r="AY18" i="25"/>
  <c r="AY10" i="25"/>
  <c r="AY25" i="25"/>
  <c r="AY17" i="25"/>
  <c r="AY9" i="25"/>
  <c r="AY24" i="25"/>
  <c r="AY16" i="25"/>
  <c r="AY8" i="25"/>
  <c r="AY27" i="25"/>
  <c r="AY6" i="25"/>
  <c r="AY23" i="25"/>
  <c r="AY22" i="25"/>
  <c r="AY19" i="25"/>
  <c r="AY15" i="25"/>
  <c r="AY14" i="25"/>
  <c r="AQ29" i="25"/>
  <c r="AQ21" i="25"/>
  <c r="AQ13" i="25"/>
  <c r="AQ5" i="25"/>
  <c r="AQ28" i="25"/>
  <c r="AQ20" i="25"/>
  <c r="AQ25" i="25"/>
  <c r="AQ17" i="25"/>
  <c r="AQ24" i="25"/>
  <c r="AQ16" i="25"/>
  <c r="AQ8" i="25"/>
  <c r="AQ22" i="25"/>
  <c r="AQ9" i="25"/>
  <c r="AQ19" i="25"/>
  <c r="AQ7" i="25"/>
  <c r="AQ18" i="25"/>
  <c r="AQ6" i="25"/>
  <c r="AQ15" i="25"/>
  <c r="AQ4" i="25"/>
  <c r="AQ14" i="25"/>
  <c r="AQ27" i="25"/>
  <c r="AQ12" i="25"/>
  <c r="AK13" i="25"/>
  <c r="AP5" i="25"/>
  <c r="AQ23" i="25"/>
  <c r="AX13" i="25"/>
  <c r="AK81" i="9"/>
  <c r="P284" i="9" s="1"/>
  <c r="S12" i="11"/>
  <c r="K12" i="11"/>
  <c r="Q10" i="11"/>
  <c r="AI39" i="12"/>
  <c r="K278" i="12" s="1"/>
  <c r="K279" i="12"/>
  <c r="AB27" i="12"/>
  <c r="K26" i="12" s="1"/>
  <c r="AJ37" i="12"/>
  <c r="AK33" i="12"/>
  <c r="K312" i="12" s="1"/>
  <c r="AI26" i="12"/>
  <c r="K265" i="12" s="1"/>
  <c r="AE16" i="12"/>
  <c r="K135" i="12" s="1"/>
  <c r="AA5" i="14"/>
  <c r="F6" i="14" s="1"/>
  <c r="J8" i="17"/>
  <c r="BE25" i="25"/>
  <c r="BE17" i="25"/>
  <c r="BE9" i="25"/>
  <c r="BE24" i="25"/>
  <c r="BE16" i="25"/>
  <c r="BE8" i="25"/>
  <c r="BE22" i="25"/>
  <c r="BE14" i="25"/>
  <c r="BE6" i="25"/>
  <c r="BE29" i="25"/>
  <c r="BE21" i="25"/>
  <c r="BE13" i="25"/>
  <c r="BE5" i="25"/>
  <c r="BE28" i="25"/>
  <c r="BE20" i="25"/>
  <c r="BE12" i="25"/>
  <c r="BE4" i="25"/>
  <c r="AW25" i="25"/>
  <c r="AW17" i="25"/>
  <c r="AW9" i="25"/>
  <c r="AW24" i="25"/>
  <c r="AW16" i="25"/>
  <c r="AW8" i="25"/>
  <c r="AW22" i="25"/>
  <c r="AW14" i="25"/>
  <c r="AW6" i="25"/>
  <c r="AW29" i="25"/>
  <c r="AW21" i="25"/>
  <c r="AW13" i="25"/>
  <c r="AW5" i="25"/>
  <c r="AW28" i="25"/>
  <c r="AW20" i="25"/>
  <c r="AW12" i="25"/>
  <c r="AW4" i="25"/>
  <c r="AL6" i="25"/>
  <c r="AL14" i="25"/>
  <c r="AL22" i="25"/>
  <c r="AM4" i="25"/>
  <c r="AM12" i="25"/>
  <c r="AM20" i="25"/>
  <c r="AM28" i="25"/>
  <c r="AN10" i="25"/>
  <c r="AN18" i="25"/>
  <c r="AN26" i="25"/>
  <c r="AO8" i="25"/>
  <c r="AO16" i="25"/>
  <c r="AO24" i="25"/>
  <c r="AR17" i="25"/>
  <c r="AS7" i="25"/>
  <c r="AS23" i="25"/>
  <c r="AT16" i="25"/>
  <c r="AU11" i="25"/>
  <c r="AV5" i="25"/>
  <c r="AW23" i="25"/>
  <c r="AZ9" i="25"/>
  <c r="AZ29" i="25"/>
  <c r="BA26" i="25"/>
  <c r="BB21" i="25"/>
  <c r="BC15" i="25"/>
  <c r="BE7" i="25"/>
  <c r="BE27" i="25"/>
  <c r="AQ14" i="27"/>
  <c r="AB28" i="12"/>
  <c r="K27" i="12" s="1"/>
  <c r="AJ33" i="12"/>
  <c r="AI22" i="12"/>
  <c r="K261" i="12" s="1"/>
  <c r="AE12" i="12"/>
  <c r="K131" i="12" s="1"/>
  <c r="AA6" i="14"/>
  <c r="F7" i="14" s="1"/>
  <c r="AB10" i="14"/>
  <c r="F22" i="14" s="1"/>
  <c r="AB8" i="14"/>
  <c r="F20" i="14" s="1"/>
  <c r="AB6" i="14"/>
  <c r="F18" i="14" s="1"/>
  <c r="AB4" i="14"/>
  <c r="F16" i="14" s="1"/>
  <c r="F24" i="14"/>
  <c r="BD27" i="25"/>
  <c r="BD19" i="25"/>
  <c r="BD11" i="25"/>
  <c r="BD26" i="25"/>
  <c r="BD18" i="25"/>
  <c r="BD10" i="25"/>
  <c r="BD24" i="25"/>
  <c r="BD16" i="25"/>
  <c r="BD8" i="25"/>
  <c r="BD23" i="25"/>
  <c r="BD15" i="25"/>
  <c r="BD7" i="25"/>
  <c r="BD22" i="25"/>
  <c r="BD14" i="25"/>
  <c r="BD6" i="25"/>
  <c r="AV27" i="25"/>
  <c r="AV19" i="25"/>
  <c r="AV11" i="25"/>
  <c r="AV26" i="25"/>
  <c r="AV18" i="25"/>
  <c r="AV10" i="25"/>
  <c r="AV24" i="25"/>
  <c r="AV16" i="25"/>
  <c r="AV8" i="25"/>
  <c r="AV23" i="25"/>
  <c r="AV15" i="25"/>
  <c r="AV7" i="25"/>
  <c r="AV22" i="25"/>
  <c r="AV14" i="25"/>
  <c r="AV6" i="25"/>
  <c r="AL7" i="25"/>
  <c r="AL15" i="25"/>
  <c r="AL23" i="25"/>
  <c r="AM5" i="25"/>
  <c r="AM13" i="25"/>
  <c r="AM21" i="25"/>
  <c r="AM29" i="25"/>
  <c r="AN11" i="25"/>
  <c r="AN19" i="25"/>
  <c r="AN27" i="25"/>
  <c r="AO9" i="25"/>
  <c r="AO17" i="25"/>
  <c r="AO25" i="25"/>
  <c r="AR4" i="25"/>
  <c r="AR20" i="25"/>
  <c r="AS10" i="25"/>
  <c r="AS26" i="25"/>
  <c r="AT17" i="25"/>
  <c r="AV9" i="25"/>
  <c r="AV29" i="25"/>
  <c r="AW26" i="25"/>
  <c r="AZ12" i="25"/>
  <c r="BA7" i="25"/>
  <c r="BA27" i="25"/>
  <c r="BB24" i="25"/>
  <c r="BD13" i="25"/>
  <c r="BE10" i="25"/>
  <c r="AM29" i="26"/>
  <c r="AM21" i="26"/>
  <c r="AM19" i="26"/>
  <c r="AM17" i="26"/>
  <c r="AM15" i="26"/>
  <c r="AM13" i="26"/>
  <c r="AM7" i="26"/>
  <c r="AM27" i="26"/>
  <c r="AM24" i="26"/>
  <c r="AM16" i="26"/>
  <c r="AM12" i="26"/>
  <c r="AM25" i="26"/>
  <c r="AM22" i="26"/>
  <c r="AM11" i="26"/>
  <c r="AM9" i="26"/>
  <c r="AM28" i="26"/>
  <c r="AM5" i="26"/>
  <c r="AU29" i="26"/>
  <c r="AU8" i="26"/>
  <c r="AU28" i="26"/>
  <c r="AU4" i="26"/>
  <c r="AU22" i="26"/>
  <c r="AU19" i="26"/>
  <c r="AU17" i="26"/>
  <c r="AU16" i="26"/>
  <c r="AU15" i="26"/>
  <c r="AU24" i="26"/>
  <c r="AU21" i="26"/>
  <c r="AU6" i="26"/>
  <c r="AU11" i="26"/>
  <c r="AU10" i="26"/>
  <c r="BC29" i="26"/>
  <c r="BC24" i="26"/>
  <c r="BC21" i="26"/>
  <c r="BC10" i="26"/>
  <c r="BC9" i="26"/>
  <c r="BC5" i="26"/>
  <c r="BC27" i="26"/>
  <c r="BC25" i="26"/>
  <c r="BC22" i="26"/>
  <c r="BC4" i="26"/>
  <c r="BC13" i="26"/>
  <c r="BC7" i="26"/>
  <c r="BC23" i="26"/>
  <c r="BC20" i="26"/>
  <c r="BC19" i="26"/>
  <c r="BC18" i="26"/>
  <c r="BC17" i="26"/>
  <c r="BC16" i="26"/>
  <c r="BC12" i="26"/>
  <c r="AC14" i="12"/>
  <c r="K53" i="12" s="1"/>
  <c r="K79" i="12"/>
  <c r="AK38" i="12"/>
  <c r="K317" i="12" s="1"/>
  <c r="K319" i="12"/>
  <c r="AB35" i="12"/>
  <c r="K34" i="12" s="1"/>
  <c r="AC33" i="12"/>
  <c r="K72" i="12" s="1"/>
  <c r="AJ29" i="12"/>
  <c r="AK25" i="12"/>
  <c r="K304" i="12" s="1"/>
  <c r="AI18" i="12"/>
  <c r="K257" i="12" s="1"/>
  <c r="AE11" i="14"/>
  <c r="F56" i="14" s="1"/>
  <c r="AA7" i="14"/>
  <c r="F8" i="14" s="1"/>
  <c r="AE9" i="14"/>
  <c r="F54" i="14" s="1"/>
  <c r="AE7" i="14"/>
  <c r="F52" i="14" s="1"/>
  <c r="AE5" i="14"/>
  <c r="F50" i="14" s="1"/>
  <c r="J10" i="17"/>
  <c r="BC29" i="25"/>
  <c r="BC21" i="25"/>
  <c r="BC13" i="25"/>
  <c r="BC5" i="25"/>
  <c r="BC28" i="25"/>
  <c r="BC20" i="25"/>
  <c r="BC12" i="25"/>
  <c r="BC4" i="25"/>
  <c r="BC26" i="25"/>
  <c r="BC18" i="25"/>
  <c r="BC10" i="25"/>
  <c r="BC25" i="25"/>
  <c r="BC17" i="25"/>
  <c r="BC9" i="25"/>
  <c r="BC24" i="25"/>
  <c r="BC16" i="25"/>
  <c r="BC8" i="25"/>
  <c r="AU29" i="25"/>
  <c r="AU21" i="25"/>
  <c r="AU13" i="25"/>
  <c r="AU5" i="25"/>
  <c r="AU28" i="25"/>
  <c r="AU20" i="25"/>
  <c r="AU12" i="25"/>
  <c r="AU4" i="25"/>
  <c r="AU26" i="25"/>
  <c r="AU18" i="25"/>
  <c r="AU10" i="25"/>
  <c r="AU25" i="25"/>
  <c r="AU17" i="25"/>
  <c r="AU9" i="25"/>
  <c r="AU24" i="25"/>
  <c r="AU16" i="25"/>
  <c r="AU8" i="25"/>
  <c r="AL8" i="25"/>
  <c r="AL16" i="25"/>
  <c r="AL24" i="25"/>
  <c r="AM6" i="25"/>
  <c r="AM14" i="25"/>
  <c r="AM22" i="25"/>
  <c r="AN4" i="25"/>
  <c r="AN12" i="25"/>
  <c r="AN20" i="25"/>
  <c r="AN28" i="25"/>
  <c r="AO10" i="25"/>
  <c r="AO18" i="25"/>
  <c r="AO26" i="25"/>
  <c r="AR5" i="25"/>
  <c r="AR21" i="25"/>
  <c r="AS11" i="25"/>
  <c r="AU15" i="25"/>
  <c r="AV12" i="25"/>
  <c r="AW7" i="25"/>
  <c r="AW27" i="25"/>
  <c r="AZ13" i="25"/>
  <c r="BB5" i="25"/>
  <c r="BC22" i="25"/>
  <c r="BD17" i="25"/>
  <c r="BE11" i="25"/>
  <c r="BB23" i="25"/>
  <c r="BB15" i="25"/>
  <c r="BB7" i="25"/>
  <c r="BB22" i="25"/>
  <c r="BB14" i="25"/>
  <c r="BB6" i="25"/>
  <c r="BB28" i="25"/>
  <c r="BB20" i="25"/>
  <c r="BB12" i="25"/>
  <c r="BB4" i="25"/>
  <c r="BB27" i="25"/>
  <c r="BB19" i="25"/>
  <c r="BB11" i="25"/>
  <c r="BB26" i="25"/>
  <c r="BB18" i="25"/>
  <c r="BB10" i="25"/>
  <c r="AT23" i="25"/>
  <c r="AT15" i="25"/>
  <c r="AT7" i="25"/>
  <c r="AT22" i="25"/>
  <c r="AT14" i="25"/>
  <c r="AT6" i="25"/>
  <c r="AT28" i="25"/>
  <c r="AT20" i="25"/>
  <c r="AT12" i="25"/>
  <c r="AT27" i="25"/>
  <c r="AT19" i="25"/>
  <c r="AT11" i="25"/>
  <c r="AT26" i="25"/>
  <c r="AT18" i="25"/>
  <c r="AT10" i="25"/>
  <c r="AL9" i="25"/>
  <c r="AL17" i="25"/>
  <c r="AL25" i="25"/>
  <c r="AT4" i="25"/>
  <c r="AT24" i="25"/>
  <c r="BB8" i="25"/>
  <c r="BB29" i="25"/>
  <c r="AQ10" i="27"/>
  <c r="AQ18" i="27"/>
  <c r="AQ7" i="27"/>
  <c r="AQ5" i="27"/>
  <c r="AQ27" i="27"/>
  <c r="AQ22" i="27"/>
  <c r="AQ8" i="27"/>
  <c r="AQ6" i="27"/>
  <c r="AQ4" i="27"/>
  <c r="AY8" i="27"/>
  <c r="AY6" i="27"/>
  <c r="AY4" i="27"/>
  <c r="AY22" i="27"/>
  <c r="AY10" i="27"/>
  <c r="AY18" i="27"/>
  <c r="AY7" i="27"/>
  <c r="AY5" i="27"/>
  <c r="AY14" i="27"/>
  <c r="AY11" i="27"/>
  <c r="AB11" i="12"/>
  <c r="K10" i="12" s="1"/>
  <c r="AE32" i="12"/>
  <c r="K151" i="12" s="1"/>
  <c r="AC25" i="12"/>
  <c r="K64" i="12" s="1"/>
  <c r="AJ21" i="12"/>
  <c r="AK17" i="12"/>
  <c r="K296" i="12" s="1"/>
  <c r="AA9" i="14"/>
  <c r="F10" i="14" s="1"/>
  <c r="BA25" i="25"/>
  <c r="BA17" i="25"/>
  <c r="BA9" i="25"/>
  <c r="BA24" i="25"/>
  <c r="BA16" i="25"/>
  <c r="BA8" i="25"/>
  <c r="BA22" i="25"/>
  <c r="BA14" i="25"/>
  <c r="BA6" i="25"/>
  <c r="BA29" i="25"/>
  <c r="BA21" i="25"/>
  <c r="BA13" i="25"/>
  <c r="BA5" i="25"/>
  <c r="BA28" i="25"/>
  <c r="BA20" i="25"/>
  <c r="BA12" i="25"/>
  <c r="BA4" i="25"/>
  <c r="AE30" i="25"/>
  <c r="AS25" i="25"/>
  <c r="AS17" i="25"/>
  <c r="AS9" i="25"/>
  <c r="AS24" i="25"/>
  <c r="AS16" i="25"/>
  <c r="AS8" i="25"/>
  <c r="AS29" i="25"/>
  <c r="AS21" i="25"/>
  <c r="AS13" i="25"/>
  <c r="AS5" i="25"/>
  <c r="AS28" i="25"/>
  <c r="AS20" i="25"/>
  <c r="AS12" i="25"/>
  <c r="AS4" i="25"/>
  <c r="AL10" i="25"/>
  <c r="AL18" i="25"/>
  <c r="AL26" i="25"/>
  <c r="AM8" i="25"/>
  <c r="AM16" i="25"/>
  <c r="AM24" i="25"/>
  <c r="AN6" i="25"/>
  <c r="AN14" i="25"/>
  <c r="AN22" i="25"/>
  <c r="AO4" i="25"/>
  <c r="AO12" i="25"/>
  <c r="AO20" i="25"/>
  <c r="AO29" i="25"/>
  <c r="AR9" i="25"/>
  <c r="AS15" i="25"/>
  <c r="AT5" i="25"/>
  <c r="AT25" i="25"/>
  <c r="AU22" i="25"/>
  <c r="AV17" i="25"/>
  <c r="AW11" i="25"/>
  <c r="BA15" i="25"/>
  <c r="BB9" i="25"/>
  <c r="BC6" i="25"/>
  <c r="BC27" i="25"/>
  <c r="BD21" i="25"/>
  <c r="BE18" i="25"/>
  <c r="AP28" i="26"/>
  <c r="AP22" i="26"/>
  <c r="AP11" i="26"/>
  <c r="AP10" i="26"/>
  <c r="AP25" i="26"/>
  <c r="AP9" i="26"/>
  <c r="AP26" i="26"/>
  <c r="AP14" i="26"/>
  <c r="AP8" i="26"/>
  <c r="AP23" i="26"/>
  <c r="AP4" i="26"/>
  <c r="AP29" i="26"/>
  <c r="AP20" i="26"/>
  <c r="AP19" i="26"/>
  <c r="AP18" i="26"/>
  <c r="AP17" i="26"/>
  <c r="AP13" i="26"/>
  <c r="AP7" i="26"/>
  <c r="AX29" i="26"/>
  <c r="AX22" i="26"/>
  <c r="AX19" i="26"/>
  <c r="AX18" i="26"/>
  <c r="AX17" i="26"/>
  <c r="AX16" i="26"/>
  <c r="AX12" i="26"/>
  <c r="AX15" i="26"/>
  <c r="AX6" i="26"/>
  <c r="AX27" i="26"/>
  <c r="AX26" i="26"/>
  <c r="AX14" i="26"/>
  <c r="AX10" i="26"/>
  <c r="AX9" i="26"/>
  <c r="AX5" i="26"/>
  <c r="AX25" i="26"/>
  <c r="AX8" i="26"/>
  <c r="BF29" i="26"/>
  <c r="BF25" i="26"/>
  <c r="BF22" i="26"/>
  <c r="BF4" i="26"/>
  <c r="BF13" i="26"/>
  <c r="BF7" i="26"/>
  <c r="BF28" i="26"/>
  <c r="BF26" i="26"/>
  <c r="BF23" i="26"/>
  <c r="BF18" i="26"/>
  <c r="BF16" i="26"/>
  <c r="BF15" i="26"/>
  <c r="BF14" i="26"/>
  <c r="BF12" i="26"/>
  <c r="BF6" i="26"/>
  <c r="BF11" i="26"/>
  <c r="BF24" i="26"/>
  <c r="BF21" i="26"/>
  <c r="BF9" i="26"/>
  <c r="BF5" i="26"/>
  <c r="AB12" i="12"/>
  <c r="K11" i="12" s="1"/>
  <c r="AJ38" i="12"/>
  <c r="AE28" i="12"/>
  <c r="K147" i="12" s="1"/>
  <c r="AC21" i="12"/>
  <c r="K60" i="12" s="1"/>
  <c r="AJ17" i="12"/>
  <c r="AK13" i="12"/>
  <c r="K292" i="12" s="1"/>
  <c r="AB11" i="14"/>
  <c r="F23" i="14" s="1"/>
  <c r="AB9" i="14"/>
  <c r="F21" i="14" s="1"/>
  <c r="AB7" i="14"/>
  <c r="F19" i="14" s="1"/>
  <c r="AB5" i="14"/>
  <c r="F17" i="14" s="1"/>
  <c r="AZ27" i="25"/>
  <c r="AZ19" i="25"/>
  <c r="AZ11" i="25"/>
  <c r="AZ26" i="25"/>
  <c r="AZ18" i="25"/>
  <c r="AZ10" i="25"/>
  <c r="AZ24" i="25"/>
  <c r="AZ16" i="25"/>
  <c r="AZ8" i="25"/>
  <c r="AZ23" i="25"/>
  <c r="AZ15" i="25"/>
  <c r="AZ7" i="25"/>
  <c r="AZ22" i="25"/>
  <c r="AZ14" i="25"/>
  <c r="AZ6" i="25"/>
  <c r="AR27" i="25"/>
  <c r="AR19" i="25"/>
  <c r="AR11" i="25"/>
  <c r="AR26" i="25"/>
  <c r="AR18" i="25"/>
  <c r="AR10" i="25"/>
  <c r="AR23" i="25"/>
  <c r="AR15" i="25"/>
  <c r="AR7" i="25"/>
  <c r="AR22" i="25"/>
  <c r="AR14" i="25"/>
  <c r="AR6" i="25"/>
  <c r="AL11" i="25"/>
  <c r="AL19" i="25"/>
  <c r="AM9" i="25"/>
  <c r="AM17" i="25"/>
  <c r="AN7" i="25"/>
  <c r="AN15" i="25"/>
  <c r="AO5" i="25"/>
  <c r="AO13" i="25"/>
  <c r="AO21" i="25"/>
  <c r="AR12" i="25"/>
  <c r="AR28" i="25"/>
  <c r="AS18" i="25"/>
  <c r="AT8" i="25"/>
  <c r="AT29" i="25"/>
  <c r="AU23" i="25"/>
  <c r="AV20" i="25"/>
  <c r="AW15" i="25"/>
  <c r="AZ21" i="25"/>
  <c r="BA18" i="25"/>
  <c r="BB13" i="25"/>
  <c r="BC7" i="25"/>
  <c r="BD4" i="25"/>
  <c r="BD25" i="25"/>
  <c r="BE19" i="25"/>
  <c r="AQ18" i="26"/>
  <c r="AQ5" i="26"/>
  <c r="AQ12" i="26"/>
  <c r="AR27" i="27"/>
  <c r="AR18" i="27"/>
  <c r="AZ10" i="27"/>
  <c r="AZ18" i="27"/>
  <c r="AP27" i="29"/>
  <c r="AP23" i="29"/>
  <c r="AP16" i="29"/>
  <c r="AP11" i="29"/>
  <c r="AP9" i="29"/>
  <c r="AP7" i="29"/>
  <c r="AP5" i="29"/>
  <c r="AP29" i="29"/>
  <c r="AP28" i="29"/>
  <c r="AP26" i="29"/>
  <c r="AP24" i="29"/>
  <c r="AP19" i="29"/>
  <c r="AP13" i="29"/>
  <c r="AP25" i="29"/>
  <c r="AP20" i="29"/>
  <c r="AP22" i="29"/>
  <c r="AP21" i="29"/>
  <c r="AP15" i="29"/>
  <c r="AP12" i="29"/>
  <c r="AP10" i="29"/>
  <c r="AP8" i="29"/>
  <c r="AP6" i="29"/>
  <c r="AP4" i="29"/>
  <c r="AP17" i="29"/>
  <c r="AP14" i="29"/>
  <c r="AX14" i="29"/>
  <c r="AX17" i="29"/>
  <c r="AX11" i="29"/>
  <c r="AX9" i="29"/>
  <c r="AX7" i="29"/>
  <c r="AX5" i="29"/>
  <c r="AX16" i="29"/>
  <c r="AX29" i="29"/>
  <c r="AX28" i="29"/>
  <c r="AX27" i="29"/>
  <c r="AX26" i="29"/>
  <c r="AX23" i="29"/>
  <c r="AX13" i="29"/>
  <c r="AX25" i="29"/>
  <c r="AX24" i="29"/>
  <c r="AX22" i="29"/>
  <c r="AX19" i="29"/>
  <c r="AX15" i="29"/>
  <c r="BF20" i="29"/>
  <c r="BF21" i="29"/>
  <c r="BF14" i="29"/>
  <c r="BF11" i="29"/>
  <c r="BF9" i="29"/>
  <c r="BF7" i="29"/>
  <c r="BF5" i="29"/>
  <c r="BF17" i="29"/>
  <c r="BF16" i="29"/>
  <c r="BF25" i="29"/>
  <c r="BF24" i="29"/>
  <c r="BF19" i="29"/>
  <c r="AR26" i="36"/>
  <c r="AR6" i="36"/>
  <c r="AR14" i="36"/>
  <c r="AZ27" i="36"/>
  <c r="AZ6" i="36"/>
  <c r="AZ14" i="36"/>
  <c r="AL18" i="28"/>
  <c r="AL13" i="28"/>
  <c r="AL27" i="28"/>
  <c r="AL23" i="28"/>
  <c r="AL17" i="28"/>
  <c r="AL9" i="28"/>
  <c r="AL7" i="28"/>
  <c r="AL5" i="28"/>
  <c r="AL29" i="28"/>
  <c r="AL28" i="28"/>
  <c r="AL26" i="28"/>
  <c r="AL24" i="28"/>
  <c r="AL16" i="28"/>
  <c r="AL25" i="28"/>
  <c r="AL20" i="28"/>
  <c r="AL19" i="28"/>
  <c r="AL15" i="28"/>
  <c r="AL12" i="28"/>
  <c r="AL22" i="28"/>
  <c r="AL21" i="28"/>
  <c r="AL11" i="28"/>
  <c r="AT18" i="28"/>
  <c r="AT11" i="28"/>
  <c r="AT13" i="28"/>
  <c r="AT9" i="28"/>
  <c r="AT7" i="28"/>
  <c r="AT5" i="28"/>
  <c r="AT29" i="28"/>
  <c r="AT28" i="28"/>
  <c r="AT27" i="28"/>
  <c r="AT26" i="28"/>
  <c r="AT23" i="28"/>
  <c r="AT17" i="28"/>
  <c r="AT16" i="28"/>
  <c r="AT12" i="28"/>
  <c r="AT21" i="28"/>
  <c r="AT14" i="28"/>
  <c r="BB25" i="28"/>
  <c r="BB24" i="28"/>
  <c r="BB19" i="28"/>
  <c r="BB18" i="28"/>
  <c r="BB14" i="28"/>
  <c r="BB20" i="28"/>
  <c r="BB11" i="28"/>
  <c r="BB21" i="28"/>
  <c r="BB9" i="28"/>
  <c r="BB7" i="28"/>
  <c r="BB5" i="28"/>
  <c r="BB13" i="28"/>
  <c r="BB29" i="28"/>
  <c r="BB28" i="28"/>
  <c r="BB27" i="28"/>
  <c r="BB23" i="28"/>
  <c r="BB15" i="28"/>
  <c r="BB8" i="28"/>
  <c r="BB6" i="28"/>
  <c r="BB4" i="28"/>
  <c r="AM27" i="28"/>
  <c r="AM23" i="28"/>
  <c r="AM17" i="28"/>
  <c r="AM9" i="28"/>
  <c r="AM7" i="28"/>
  <c r="AM5" i="28"/>
  <c r="AM29" i="28"/>
  <c r="AM28" i="28"/>
  <c r="AM26" i="28"/>
  <c r="AM24" i="28"/>
  <c r="AM16" i="28"/>
  <c r="AM25" i="28"/>
  <c r="AM20" i="28"/>
  <c r="AM19" i="28"/>
  <c r="AM15" i="28"/>
  <c r="AM12" i="28"/>
  <c r="AM22" i="28"/>
  <c r="AM21" i="28"/>
  <c r="AM10" i="28"/>
  <c r="AM8" i="28"/>
  <c r="AM6" i="28"/>
  <c r="AM4" i="28"/>
  <c r="AM18" i="28"/>
  <c r="AM13" i="28"/>
  <c r="AU13" i="28"/>
  <c r="AU9" i="28"/>
  <c r="AU7" i="28"/>
  <c r="AU5" i="28"/>
  <c r="AU29" i="28"/>
  <c r="AU28" i="28"/>
  <c r="AU27" i="28"/>
  <c r="AU26" i="28"/>
  <c r="AU23" i="28"/>
  <c r="AU17" i="28"/>
  <c r="AU16" i="28"/>
  <c r="AU12" i="28"/>
  <c r="AU25" i="28"/>
  <c r="AU24" i="28"/>
  <c r="AU22" i="28"/>
  <c r="AU15" i="28"/>
  <c r="AU10" i="28"/>
  <c r="AU18" i="28"/>
  <c r="AU11" i="28"/>
  <c r="BC20" i="28"/>
  <c r="BC11" i="28"/>
  <c r="BC21" i="28"/>
  <c r="BC9" i="28"/>
  <c r="BC7" i="28"/>
  <c r="BC5" i="28"/>
  <c r="BC13" i="28"/>
  <c r="BC12" i="28"/>
  <c r="BC10" i="28"/>
  <c r="BC25" i="28"/>
  <c r="BC24" i="28"/>
  <c r="BC19" i="28"/>
  <c r="BC18" i="28"/>
  <c r="BC14" i="28"/>
  <c r="BF26" i="29"/>
  <c r="BF27" i="29"/>
  <c r="BC22" i="27"/>
  <c r="BC23" i="27"/>
  <c r="BC24" i="27"/>
  <c r="AV27" i="27"/>
  <c r="AK28" i="27"/>
  <c r="AV28" i="27"/>
  <c r="AV29" i="27"/>
  <c r="AQ22" i="28"/>
  <c r="AN23" i="28"/>
  <c r="AL21" i="29"/>
  <c r="AU22" i="29"/>
  <c r="AT23" i="29"/>
  <c r="AU24" i="29"/>
  <c r="AT26" i="29"/>
  <c r="AT27" i="29"/>
  <c r="AT28" i="29"/>
  <c r="BF6" i="31"/>
  <c r="BF11" i="31"/>
  <c r="AP21" i="31"/>
  <c r="AU8" i="33"/>
  <c r="AL10" i="33"/>
  <c r="AT10" i="33"/>
  <c r="BB10" i="33"/>
  <c r="AU12" i="33"/>
  <c r="AL16" i="33"/>
  <c r="AT23" i="33"/>
  <c r="AT25" i="33"/>
  <c r="BA25" i="34"/>
  <c r="AP29" i="30"/>
  <c r="AP23" i="30"/>
  <c r="AP25" i="30"/>
  <c r="AP24" i="30"/>
  <c r="AP26" i="30"/>
  <c r="AP21" i="30"/>
  <c r="AP20" i="30"/>
  <c r="AP19" i="30"/>
  <c r="AP18" i="30"/>
  <c r="AX28" i="30"/>
  <c r="AX27" i="30"/>
  <c r="AX22" i="30"/>
  <c r="AX29" i="30"/>
  <c r="AX26" i="30"/>
  <c r="AX23" i="30"/>
  <c r="AX24" i="30"/>
  <c r="AX19" i="30"/>
  <c r="AX18" i="30"/>
  <c r="BF25" i="30"/>
  <c r="BF21" i="30"/>
  <c r="BF20" i="30"/>
  <c r="BF19" i="30"/>
  <c r="BF26" i="30"/>
  <c r="BF18" i="30"/>
  <c r="BF27" i="30"/>
  <c r="AR16" i="32"/>
  <c r="AR11" i="32"/>
  <c r="AR8" i="32"/>
  <c r="AR27" i="32"/>
  <c r="AR25" i="32"/>
  <c r="AR15" i="32"/>
  <c r="AR7" i="32"/>
  <c r="AR22" i="32"/>
  <c r="AR21" i="32"/>
  <c r="AR14" i="32"/>
  <c r="AR10" i="32"/>
  <c r="AR6" i="32"/>
  <c r="AR26" i="32"/>
  <c r="AR17" i="32"/>
  <c r="AR12" i="32"/>
  <c r="AR9" i="32"/>
  <c r="AR4" i="32"/>
  <c r="AZ29" i="32"/>
  <c r="AZ26" i="32"/>
  <c r="AZ13" i="32"/>
  <c r="AZ5" i="32"/>
  <c r="AZ17" i="32"/>
  <c r="AZ12" i="32"/>
  <c r="AZ9" i="32"/>
  <c r="AZ4" i="32"/>
  <c r="AZ16" i="32"/>
  <c r="AZ11" i="32"/>
  <c r="AZ8" i="32"/>
  <c r="AZ25" i="32"/>
  <c r="AZ22" i="32"/>
  <c r="AZ15" i="32"/>
  <c r="AZ7" i="32"/>
  <c r="AZ10" i="32"/>
  <c r="AZ27" i="32"/>
  <c r="AM21" i="27"/>
  <c r="AW24" i="27"/>
  <c r="AO27" i="27"/>
  <c r="BC27" i="27"/>
  <c r="BC28" i="27"/>
  <c r="AV22" i="28"/>
  <c r="BF23" i="28"/>
  <c r="AV24" i="28"/>
  <c r="BF27" i="28"/>
  <c r="BF28" i="28"/>
  <c r="BB19" i="29"/>
  <c r="AY22" i="29"/>
  <c r="AM23" i="29"/>
  <c r="BB24" i="29"/>
  <c r="BB25" i="29"/>
  <c r="BF13" i="30"/>
  <c r="AX15" i="30"/>
  <c r="AX16" i="30"/>
  <c r="BF22" i="30"/>
  <c r="BF29" i="30"/>
  <c r="AQ27" i="30"/>
  <c r="AQ26" i="30"/>
  <c r="AY17" i="30"/>
  <c r="AY26" i="30"/>
  <c r="AO13" i="31"/>
  <c r="AK22" i="32"/>
  <c r="AK20" i="32"/>
  <c r="AK27" i="32"/>
  <c r="AK21" i="32"/>
  <c r="AK28" i="32"/>
  <c r="AK14" i="32"/>
  <c r="AK6" i="32"/>
  <c r="AK29" i="32"/>
  <c r="AK18" i="32"/>
  <c r="AK13" i="32"/>
  <c r="AK10" i="32"/>
  <c r="AK5" i="32"/>
  <c r="AK23" i="32"/>
  <c r="AK17" i="32"/>
  <c r="AK12" i="32"/>
  <c r="AK9" i="32"/>
  <c r="AK4" i="32"/>
  <c r="AK19" i="32"/>
  <c r="AS25" i="32"/>
  <c r="AS24" i="32"/>
  <c r="AS15" i="32"/>
  <c r="AS7" i="32"/>
  <c r="AS22" i="32"/>
  <c r="AS19" i="32"/>
  <c r="AS21" i="32"/>
  <c r="AS20" i="32"/>
  <c r="AS14" i="32"/>
  <c r="AS10" i="32"/>
  <c r="AS6" i="32"/>
  <c r="AS27" i="32"/>
  <c r="AS18" i="32"/>
  <c r="AS23" i="32"/>
  <c r="AS16" i="32"/>
  <c r="AS11" i="32"/>
  <c r="AS8" i="32"/>
  <c r="BA28" i="32"/>
  <c r="BA17" i="32"/>
  <c r="BA12" i="32"/>
  <c r="BA9" i="32"/>
  <c r="BA4" i="32"/>
  <c r="BA16" i="32"/>
  <c r="BA11" i="32"/>
  <c r="BA8" i="32"/>
  <c r="BA25" i="32"/>
  <c r="BA23" i="32"/>
  <c r="BA22" i="32"/>
  <c r="BA15" i="32"/>
  <c r="BA7" i="32"/>
  <c r="BA24" i="32"/>
  <c r="BA10" i="32"/>
  <c r="BA14" i="32"/>
  <c r="BA6" i="32"/>
  <c r="BA29" i="32"/>
  <c r="BA27" i="32"/>
  <c r="BA26" i="32"/>
  <c r="BA13" i="32"/>
  <c r="BA5" i="32"/>
  <c r="AT22" i="33"/>
  <c r="AR27" i="34"/>
  <c r="AR29" i="34"/>
  <c r="AZ29" i="34"/>
  <c r="AZ5" i="34"/>
  <c r="AZ11" i="34"/>
  <c r="AL28" i="33"/>
  <c r="AL27" i="33"/>
  <c r="AL15" i="33"/>
  <c r="AL11" i="33"/>
  <c r="AL29" i="33"/>
  <c r="AL14" i="33"/>
  <c r="AL9" i="33"/>
  <c r="AL7" i="33"/>
  <c r="AL5" i="33"/>
  <c r="AL25" i="33"/>
  <c r="AL24" i="33"/>
  <c r="AL23" i="33"/>
  <c r="AL19" i="33"/>
  <c r="AL13" i="33"/>
  <c r="AL26" i="33"/>
  <c r="AL22" i="33"/>
  <c r="AL21" i="33"/>
  <c r="AL20" i="33"/>
  <c r="AL17" i="33"/>
  <c r="AT16" i="33"/>
  <c r="AT15" i="33"/>
  <c r="AT11" i="33"/>
  <c r="AT29" i="33"/>
  <c r="AT28" i="33"/>
  <c r="AT27" i="33"/>
  <c r="AT9" i="33"/>
  <c r="AT7" i="33"/>
  <c r="AT5" i="33"/>
  <c r="AT14" i="33"/>
  <c r="AT21" i="33"/>
  <c r="AT18" i="33"/>
  <c r="AT17" i="33"/>
  <c r="AT12" i="33"/>
  <c r="AT8" i="33"/>
  <c r="AT6" i="33"/>
  <c r="AT4" i="33"/>
  <c r="BB23" i="33"/>
  <c r="BB22" i="33"/>
  <c r="BB12" i="33"/>
  <c r="BB8" i="33"/>
  <c r="BB6" i="33"/>
  <c r="BB4" i="33"/>
  <c r="BB25" i="33"/>
  <c r="BB24" i="33"/>
  <c r="BB21" i="33"/>
  <c r="BB20" i="33"/>
  <c r="BB19" i="33"/>
  <c r="BB18" i="33"/>
  <c r="BB17" i="33"/>
  <c r="BB16" i="33"/>
  <c r="BB11" i="33"/>
  <c r="BB15" i="33"/>
  <c r="BB9" i="33"/>
  <c r="BB7" i="33"/>
  <c r="BB5" i="33"/>
  <c r="BB13" i="33"/>
  <c r="AK28" i="34"/>
  <c r="AK25" i="34"/>
  <c r="AK20" i="34"/>
  <c r="AK10" i="34"/>
  <c r="AK29" i="34"/>
  <c r="AK26" i="34"/>
  <c r="AK21" i="34"/>
  <c r="AK4" i="34"/>
  <c r="AK22" i="34"/>
  <c r="AK15" i="34"/>
  <c r="AK6" i="34"/>
  <c r="AK5" i="34"/>
  <c r="AK16" i="34"/>
  <c r="AK17" i="34"/>
  <c r="AK12" i="34"/>
  <c r="AK11" i="34"/>
  <c r="AK27" i="34"/>
  <c r="AK24" i="34"/>
  <c r="AK19" i="34"/>
  <c r="AK9" i="34"/>
  <c r="AK8" i="34"/>
  <c r="AS13" i="34"/>
  <c r="AS23" i="34"/>
  <c r="AS10" i="34"/>
  <c r="AS7" i="34"/>
  <c r="AS27" i="34"/>
  <c r="AS24" i="34"/>
  <c r="AS19" i="34"/>
  <c r="AS9" i="34"/>
  <c r="AS8" i="34"/>
  <c r="AS29" i="34"/>
  <c r="AS28" i="34"/>
  <c r="AS26" i="34"/>
  <c r="AS25" i="34"/>
  <c r="AS22" i="34"/>
  <c r="AS20" i="34"/>
  <c r="AS6" i="34"/>
  <c r="AS21" i="34"/>
  <c r="AS4" i="34"/>
  <c r="AS17" i="34"/>
  <c r="AS14" i="34"/>
  <c r="AS12" i="34"/>
  <c r="AS11" i="34"/>
  <c r="BA15" i="34"/>
  <c r="BA14" i="34"/>
  <c r="BA16" i="34"/>
  <c r="BA11" i="34"/>
  <c r="BA17" i="34"/>
  <c r="BA12" i="34"/>
  <c r="BA10" i="34"/>
  <c r="BA13" i="34"/>
  <c r="BA23" i="34"/>
  <c r="BA22" i="34"/>
  <c r="BA8" i="34"/>
  <c r="BA7" i="34"/>
  <c r="BA6" i="34"/>
  <c r="BA21" i="34"/>
  <c r="BA5" i="34"/>
  <c r="BA4" i="34"/>
  <c r="AO27" i="31"/>
  <c r="AO28" i="31"/>
  <c r="AO24" i="31"/>
  <c r="AO20" i="31"/>
  <c r="AO26" i="31"/>
  <c r="AO16" i="31"/>
  <c r="AO23" i="31"/>
  <c r="AO7" i="31"/>
  <c r="AO6" i="31"/>
  <c r="AO4" i="31"/>
  <c r="AO19" i="31"/>
  <c r="AO10" i="31"/>
  <c r="AW23" i="31"/>
  <c r="AW10" i="31"/>
  <c r="AW21" i="31"/>
  <c r="AW9" i="31"/>
  <c r="AW25" i="31"/>
  <c r="AW15" i="31"/>
  <c r="AW26" i="31"/>
  <c r="AW24" i="31"/>
  <c r="AW12" i="31"/>
  <c r="BE21" i="31"/>
  <c r="BE20" i="31"/>
  <c r="BE10" i="31"/>
  <c r="BE7" i="31"/>
  <c r="BE4" i="31"/>
  <c r="BE27" i="31"/>
  <c r="BE29" i="31"/>
  <c r="BE26" i="31"/>
  <c r="BE17" i="31"/>
  <c r="BE6" i="31"/>
  <c r="AM29" i="33"/>
  <c r="AM14" i="33"/>
  <c r="AM9" i="33"/>
  <c r="AM7" i="33"/>
  <c r="AM5" i="33"/>
  <c r="AM25" i="33"/>
  <c r="AM24" i="33"/>
  <c r="AM23" i="33"/>
  <c r="AM19" i="33"/>
  <c r="AM13" i="33"/>
  <c r="AM26" i="33"/>
  <c r="AM22" i="33"/>
  <c r="AM21" i="33"/>
  <c r="AM20" i="33"/>
  <c r="AM17" i="33"/>
  <c r="AM18" i="33"/>
  <c r="AM12" i="33"/>
  <c r="AM28" i="33"/>
  <c r="AM27" i="33"/>
  <c r="AM15" i="33"/>
  <c r="AM11" i="33"/>
  <c r="AU15" i="33"/>
  <c r="AU11" i="33"/>
  <c r="AU29" i="33"/>
  <c r="AU28" i="33"/>
  <c r="AU27" i="33"/>
  <c r="AU9" i="33"/>
  <c r="AU7" i="33"/>
  <c r="AU5" i="33"/>
  <c r="AU14" i="33"/>
  <c r="AU26" i="33"/>
  <c r="AU13" i="33"/>
  <c r="AU16" i="33"/>
  <c r="BC25" i="33"/>
  <c r="BC24" i="33"/>
  <c r="BC21" i="33"/>
  <c r="BC20" i="33"/>
  <c r="BC19" i="33"/>
  <c r="BC18" i="33"/>
  <c r="BC17" i="33"/>
  <c r="BC16" i="33"/>
  <c r="BC11" i="33"/>
  <c r="BC15" i="33"/>
  <c r="BC9" i="33"/>
  <c r="BC7" i="33"/>
  <c r="BC5" i="33"/>
  <c r="BC26" i="33"/>
  <c r="BC23" i="33"/>
  <c r="BC22" i="33"/>
  <c r="BC12" i="33"/>
  <c r="BC8" i="33"/>
  <c r="BC6" i="33"/>
  <c r="BC4" i="33"/>
  <c r="AP27" i="35"/>
  <c r="AP14" i="35"/>
  <c r="AP13" i="35"/>
  <c r="AP5" i="35"/>
  <c r="AP12" i="35"/>
  <c r="AP26" i="35"/>
  <c r="AP25" i="35"/>
  <c r="AP7" i="35"/>
  <c r="AP4" i="35"/>
  <c r="AP24" i="35"/>
  <c r="AP10" i="35"/>
  <c r="AP29" i="35"/>
  <c r="AP22" i="35"/>
  <c r="AP21" i="35"/>
  <c r="AP16" i="35"/>
  <c r="AP8" i="35"/>
  <c r="AX18" i="35"/>
  <c r="AX17" i="35"/>
  <c r="AX16" i="35"/>
  <c r="AX8" i="35"/>
  <c r="AX26" i="35"/>
  <c r="AX14" i="35"/>
  <c r="AX5" i="35"/>
  <c r="AX13" i="35"/>
  <c r="AX12" i="35"/>
  <c r="AX7" i="35"/>
  <c r="AX4" i="35"/>
  <c r="AX29" i="35"/>
  <c r="AX28" i="35"/>
  <c r="AX21" i="35"/>
  <c r="AX20" i="35"/>
  <c r="AX9" i="35"/>
  <c r="AX6" i="35"/>
  <c r="BF25" i="35"/>
  <c r="BF22" i="35"/>
  <c r="BF6" i="35"/>
  <c r="BF28" i="35"/>
  <c r="BF20" i="35"/>
  <c r="BF9" i="35"/>
  <c r="BF29" i="35"/>
  <c r="BF26" i="35"/>
  <c r="BF21" i="35"/>
  <c r="BF18" i="35"/>
  <c r="BF16" i="35"/>
  <c r="BF8" i="35"/>
  <c r="BF27" i="35"/>
  <c r="BF17" i="35"/>
  <c r="BF14" i="35"/>
  <c r="BF5" i="35"/>
  <c r="BF24" i="35"/>
  <c r="BF10" i="35"/>
  <c r="AU28" i="27"/>
  <c r="AP26" i="31"/>
  <c r="AP22" i="31"/>
  <c r="AP16" i="31"/>
  <c r="AP14" i="31"/>
  <c r="AP23" i="31"/>
  <c r="AP18" i="31"/>
  <c r="AP12" i="31"/>
  <c r="AP7" i="31"/>
  <c r="AP6" i="31"/>
  <c r="AP4" i="31"/>
  <c r="AP27" i="31"/>
  <c r="AP19" i="31"/>
  <c r="AP9" i="31"/>
  <c r="AP28" i="31"/>
  <c r="AP24" i="31"/>
  <c r="AP20" i="31"/>
  <c r="AP8" i="31"/>
  <c r="AP5" i="31"/>
  <c r="AX21" i="31"/>
  <c r="AX19" i="31"/>
  <c r="AX11" i="31"/>
  <c r="AX9" i="31"/>
  <c r="AX25" i="31"/>
  <c r="AX29" i="31"/>
  <c r="AX17" i="31"/>
  <c r="AX15" i="31"/>
  <c r="AX13" i="31"/>
  <c r="AX8" i="31"/>
  <c r="AX5" i="31"/>
  <c r="AX26" i="31"/>
  <c r="AX24" i="31"/>
  <c r="AX22" i="31"/>
  <c r="AX28" i="31"/>
  <c r="AX20" i="31"/>
  <c r="AX6" i="31"/>
  <c r="AX27" i="31"/>
  <c r="AX23" i="31"/>
  <c r="AX10" i="31"/>
  <c r="BF24" i="31"/>
  <c r="BF20" i="31"/>
  <c r="BF18" i="31"/>
  <c r="BF10" i="31"/>
  <c r="BF28" i="31"/>
  <c r="BF16" i="31"/>
  <c r="BF14" i="31"/>
  <c r="BF12" i="31"/>
  <c r="BF7" i="31"/>
  <c r="BF4" i="31"/>
  <c r="BF27" i="31"/>
  <c r="BF23" i="31"/>
  <c r="BF19" i="31"/>
  <c r="BF9" i="31"/>
  <c r="BF8" i="31"/>
  <c r="BF5" i="31"/>
  <c r="AR29" i="32"/>
  <c r="AX27" i="35"/>
  <c r="AQ14" i="35"/>
  <c r="AQ26" i="35"/>
  <c r="AY27" i="35"/>
  <c r="AY26" i="35"/>
  <c r="AT22" i="36"/>
  <c r="AT27" i="36"/>
  <c r="AT26" i="36"/>
  <c r="BB28" i="36"/>
  <c r="BB22" i="36"/>
  <c r="AM28" i="36"/>
  <c r="AM26" i="36"/>
  <c r="AM25" i="36"/>
  <c r="AM23" i="36"/>
  <c r="AU24" i="36"/>
  <c r="AU21" i="36"/>
  <c r="AU26" i="36"/>
  <c r="AU25" i="36"/>
  <c r="BC28" i="36"/>
  <c r="BC23" i="36"/>
  <c r="BC29" i="36"/>
  <c r="BC21" i="36"/>
  <c r="BF28" i="34"/>
  <c r="AN23" i="36"/>
  <c r="AN29" i="36"/>
  <c r="AN24" i="36"/>
  <c r="AV27" i="36"/>
  <c r="AV25" i="36"/>
  <c r="AV28" i="36"/>
  <c r="BD22" i="36"/>
  <c r="BD20" i="36"/>
  <c r="BD21" i="36"/>
  <c r="BD27" i="36"/>
  <c r="BD26" i="36"/>
  <c r="BD24" i="36"/>
  <c r="AQ27" i="37"/>
  <c r="AQ24" i="37"/>
  <c r="AQ23" i="37"/>
  <c r="AQ22" i="37"/>
  <c r="AQ18" i="37"/>
  <c r="AQ6" i="37"/>
  <c r="AQ21" i="37"/>
  <c r="AQ13" i="37"/>
  <c r="AQ10" i="37"/>
  <c r="AE10" i="37" s="1"/>
  <c r="AU28" i="36"/>
  <c r="AL28" i="36"/>
  <c r="AO29" i="36"/>
  <c r="AO22" i="36"/>
  <c r="AO21" i="36"/>
  <c r="AW26" i="36"/>
  <c r="AW27" i="36"/>
  <c r="BE29" i="36"/>
  <c r="BE26" i="36"/>
  <c r="BB27" i="36"/>
  <c r="AU29" i="36"/>
  <c r="AO27" i="36"/>
  <c r="AG39" i="12"/>
  <c r="K238" i="12" s="1"/>
  <c r="AF31" i="12"/>
  <c r="K190" i="12" s="1"/>
  <c r="AF27" i="12"/>
  <c r="K186" i="12" s="1"/>
  <c r="AB13" i="12"/>
  <c r="K12" i="12" s="1"/>
  <c r="AB21" i="12"/>
  <c r="K20" i="12" s="1"/>
  <c r="AB29" i="12"/>
  <c r="K28" i="12" s="1"/>
  <c r="AB37" i="12"/>
  <c r="K36" i="12" s="1"/>
  <c r="AF39" i="12"/>
  <c r="K198" i="12" s="1"/>
  <c r="AH38" i="12"/>
  <c r="AI37" i="12"/>
  <c r="K276" i="12" s="1"/>
  <c r="AK36" i="12"/>
  <c r="K315" i="12" s="1"/>
  <c r="AC36" i="12"/>
  <c r="K75" i="12" s="1"/>
  <c r="AE35" i="12"/>
  <c r="K154" i="12" s="1"/>
  <c r="AG34" i="12"/>
  <c r="K233" i="12" s="1"/>
  <c r="AI33" i="12"/>
  <c r="K272" i="12" s="1"/>
  <c r="AK32" i="12"/>
  <c r="K311" i="12" s="1"/>
  <c r="AC32" i="12"/>
  <c r="K71" i="12" s="1"/>
  <c r="AE31" i="12"/>
  <c r="K150" i="12" s="1"/>
  <c r="AG30" i="12"/>
  <c r="K229" i="12" s="1"/>
  <c r="AI29" i="12"/>
  <c r="K268" i="12" s="1"/>
  <c r="AK28" i="12"/>
  <c r="K307" i="12" s="1"/>
  <c r="AC28" i="12"/>
  <c r="K67" i="12" s="1"/>
  <c r="AE27" i="12"/>
  <c r="K146" i="12" s="1"/>
  <c r="AG26" i="12"/>
  <c r="K225" i="12" s="1"/>
  <c r="AI25" i="12"/>
  <c r="K264" i="12" s="1"/>
  <c r="AK24" i="12"/>
  <c r="K303" i="12" s="1"/>
  <c r="AC24" i="12"/>
  <c r="K63" i="12" s="1"/>
  <c r="AE23" i="12"/>
  <c r="K142" i="12" s="1"/>
  <c r="AG22" i="12"/>
  <c r="K221" i="12" s="1"/>
  <c r="AI21" i="12"/>
  <c r="K260" i="12" s="1"/>
  <c r="AK20" i="12"/>
  <c r="K299" i="12" s="1"/>
  <c r="AC20" i="12"/>
  <c r="K59" i="12" s="1"/>
  <c r="AE19" i="12"/>
  <c r="K138" i="12" s="1"/>
  <c r="AG18" i="12"/>
  <c r="K217" i="12" s="1"/>
  <c r="AI17" i="12"/>
  <c r="K256" i="12" s="1"/>
  <c r="AK16" i="12"/>
  <c r="K295" i="12" s="1"/>
  <c r="AC16" i="12"/>
  <c r="K55" i="12" s="1"/>
  <c r="AE15" i="12"/>
  <c r="K134" i="12" s="1"/>
  <c r="AG14" i="12"/>
  <c r="K213" i="12" s="1"/>
  <c r="AI13" i="12"/>
  <c r="K252" i="12" s="1"/>
  <c r="AK12" i="12"/>
  <c r="K291" i="12" s="1"/>
  <c r="AC12" i="12"/>
  <c r="K51" i="12" s="1"/>
  <c r="AE11" i="12"/>
  <c r="K130" i="12" s="1"/>
  <c r="AB14" i="12"/>
  <c r="K13" i="12" s="1"/>
  <c r="AB22" i="12"/>
  <c r="K21" i="12" s="1"/>
  <c r="AB30" i="12"/>
  <c r="K29" i="12" s="1"/>
  <c r="AB38" i="12"/>
  <c r="K37" i="12" s="1"/>
  <c r="AE39" i="12"/>
  <c r="K158" i="12" s="1"/>
  <c r="AG38" i="12"/>
  <c r="K237" i="12" s="1"/>
  <c r="AH37" i="12"/>
  <c r="AJ36" i="12"/>
  <c r="AL35" i="12"/>
  <c r="K354" i="12" s="1"/>
  <c r="AD35" i="12"/>
  <c r="K114" i="12" s="1"/>
  <c r="AF34" i="12"/>
  <c r="K193" i="12" s="1"/>
  <c r="AH33" i="12"/>
  <c r="AJ32" i="12"/>
  <c r="AL31" i="12"/>
  <c r="K350" i="12" s="1"/>
  <c r="AD31" i="12"/>
  <c r="K110" i="12" s="1"/>
  <c r="AF30" i="12"/>
  <c r="K189" i="12" s="1"/>
  <c r="AH29" i="12"/>
  <c r="AJ28" i="12"/>
  <c r="AL27" i="12"/>
  <c r="K346" i="12" s="1"/>
  <c r="AD27" i="12"/>
  <c r="K106" i="12" s="1"/>
  <c r="AF26" i="12"/>
  <c r="K185" i="12" s="1"/>
  <c r="AH25" i="12"/>
  <c r="AJ24" i="12"/>
  <c r="AL23" i="12"/>
  <c r="K342" i="12" s="1"/>
  <c r="AD23" i="12"/>
  <c r="K102" i="12" s="1"/>
  <c r="AF22" i="12"/>
  <c r="K181" i="12" s="1"/>
  <c r="AH21" i="12"/>
  <c r="AJ20" i="12"/>
  <c r="AL19" i="12"/>
  <c r="K338" i="12" s="1"/>
  <c r="AD19" i="12"/>
  <c r="K98" i="12" s="1"/>
  <c r="AF18" i="12"/>
  <c r="K177" i="12" s="1"/>
  <c r="AH17" i="12"/>
  <c r="AJ16" i="12"/>
  <c r="AL15" i="12"/>
  <c r="K334" i="12" s="1"/>
  <c r="AD15" i="12"/>
  <c r="K94" i="12" s="1"/>
  <c r="AF14" i="12"/>
  <c r="K173" i="12" s="1"/>
  <c r="AH13" i="12"/>
  <c r="AJ12" i="12"/>
  <c r="AL11" i="12"/>
  <c r="K330" i="12" s="1"/>
  <c r="AD11" i="12"/>
  <c r="K90" i="12" s="1"/>
  <c r="K39" i="12"/>
  <c r="K199" i="12"/>
  <c r="AF35" i="12"/>
  <c r="K194" i="12" s="1"/>
  <c r="AF19" i="12"/>
  <c r="K178" i="12" s="1"/>
  <c r="AB15" i="12"/>
  <c r="K14" i="12" s="1"/>
  <c r="AB23" i="12"/>
  <c r="K22" i="12" s="1"/>
  <c r="AB31" i="12"/>
  <c r="K30" i="12" s="1"/>
  <c r="AL39" i="12"/>
  <c r="K358" i="12" s="1"/>
  <c r="AD39" i="12"/>
  <c r="K118" i="12" s="1"/>
  <c r="AF38" i="12"/>
  <c r="K197" i="12" s="1"/>
  <c r="AG37" i="12"/>
  <c r="K236" i="12" s="1"/>
  <c r="AI36" i="12"/>
  <c r="K275" i="12" s="1"/>
  <c r="AK35" i="12"/>
  <c r="K314" i="12" s="1"/>
  <c r="AC35" i="12"/>
  <c r="K74" i="12" s="1"/>
  <c r="AE34" i="12"/>
  <c r="K153" i="12" s="1"/>
  <c r="AG33" i="12"/>
  <c r="K232" i="12" s="1"/>
  <c r="AI32" i="12"/>
  <c r="K271" i="12" s="1"/>
  <c r="AK31" i="12"/>
  <c r="K310" i="12" s="1"/>
  <c r="AC31" i="12"/>
  <c r="K70" i="12" s="1"/>
  <c r="AE30" i="12"/>
  <c r="K149" i="12" s="1"/>
  <c r="AG29" i="12"/>
  <c r="K228" i="12" s="1"/>
  <c r="AI28" i="12"/>
  <c r="K267" i="12" s="1"/>
  <c r="AK27" i="12"/>
  <c r="K306" i="12" s="1"/>
  <c r="AC27" i="12"/>
  <c r="K66" i="12" s="1"/>
  <c r="AE26" i="12"/>
  <c r="K145" i="12" s="1"/>
  <c r="AG25" i="12"/>
  <c r="K224" i="12" s="1"/>
  <c r="AI24" i="12"/>
  <c r="K263" i="12" s="1"/>
  <c r="AK23" i="12"/>
  <c r="K302" i="12" s="1"/>
  <c r="AC23" i="12"/>
  <c r="K62" i="12" s="1"/>
  <c r="AE22" i="12"/>
  <c r="K141" i="12" s="1"/>
  <c r="AG21" i="12"/>
  <c r="K220" i="12" s="1"/>
  <c r="AI20" i="12"/>
  <c r="K259" i="12" s="1"/>
  <c r="AK19" i="12"/>
  <c r="K298" i="12" s="1"/>
  <c r="AC19" i="12"/>
  <c r="K58" i="12" s="1"/>
  <c r="AE18" i="12"/>
  <c r="K137" i="12" s="1"/>
  <c r="AG17" i="12"/>
  <c r="K216" i="12" s="1"/>
  <c r="AI16" i="12"/>
  <c r="K255" i="12" s="1"/>
  <c r="AK15" i="12"/>
  <c r="K294" i="12" s="1"/>
  <c r="AC15" i="12"/>
  <c r="K54" i="12" s="1"/>
  <c r="AE14" i="12"/>
  <c r="K133" i="12" s="1"/>
  <c r="AG13" i="12"/>
  <c r="K212" i="12" s="1"/>
  <c r="AI12" i="12"/>
  <c r="K251" i="12" s="1"/>
  <c r="AK11" i="12"/>
  <c r="K290" i="12" s="1"/>
  <c r="AC11" i="12"/>
  <c r="K50" i="12" s="1"/>
  <c r="AB16" i="12"/>
  <c r="K15" i="12" s="1"/>
  <c r="AB24" i="12"/>
  <c r="K23" i="12" s="1"/>
  <c r="AB32" i="12"/>
  <c r="K31" i="12" s="1"/>
  <c r="AK39" i="12"/>
  <c r="K318" i="12" s="1"/>
  <c r="AC39" i="12"/>
  <c r="K78" i="12" s="1"/>
  <c r="AE38" i="12"/>
  <c r="K157" i="12" s="1"/>
  <c r="AF37" i="12"/>
  <c r="K196" i="12" s="1"/>
  <c r="AH36" i="12"/>
  <c r="AJ35" i="12"/>
  <c r="AL34" i="12"/>
  <c r="K353" i="12" s="1"/>
  <c r="AD34" i="12"/>
  <c r="K113" i="12" s="1"/>
  <c r="AF33" i="12"/>
  <c r="K192" i="12" s="1"/>
  <c r="AH32" i="12"/>
  <c r="AJ31" i="12"/>
  <c r="AL30" i="12"/>
  <c r="K349" i="12" s="1"/>
  <c r="AD30" i="12"/>
  <c r="K109" i="12" s="1"/>
  <c r="AF29" i="12"/>
  <c r="K188" i="12" s="1"/>
  <c r="AH28" i="12"/>
  <c r="AJ27" i="12"/>
  <c r="AL26" i="12"/>
  <c r="K345" i="12" s="1"/>
  <c r="AD26" i="12"/>
  <c r="K105" i="12" s="1"/>
  <c r="AF25" i="12"/>
  <c r="K184" i="12" s="1"/>
  <c r="AH24" i="12"/>
  <c r="AJ23" i="12"/>
  <c r="AL22" i="12"/>
  <c r="K341" i="12" s="1"/>
  <c r="AD22" i="12"/>
  <c r="K101" i="12" s="1"/>
  <c r="AF21" i="12"/>
  <c r="K180" i="12" s="1"/>
  <c r="AH20" i="12"/>
  <c r="AJ19" i="12"/>
  <c r="AL18" i="12"/>
  <c r="K337" i="12" s="1"/>
  <c r="AD18" i="12"/>
  <c r="K97" i="12" s="1"/>
  <c r="AF17" i="12"/>
  <c r="K176" i="12" s="1"/>
  <c r="AH16" i="12"/>
  <c r="AJ15" i="12"/>
  <c r="AL14" i="12"/>
  <c r="K333" i="12" s="1"/>
  <c r="AD14" i="12"/>
  <c r="K93" i="12" s="1"/>
  <c r="AF13" i="12"/>
  <c r="K172" i="12" s="1"/>
  <c r="AH12" i="12"/>
  <c r="AJ11" i="12"/>
  <c r="AC38" i="12"/>
  <c r="K77" i="12" s="1"/>
  <c r="K159" i="12"/>
  <c r="AF11" i="12"/>
  <c r="K170" i="12" s="1"/>
  <c r="AB17" i="12"/>
  <c r="K16" i="12" s="1"/>
  <c r="AB25" i="12"/>
  <c r="K24" i="12" s="1"/>
  <c r="AB33" i="12"/>
  <c r="K32" i="12" s="1"/>
  <c r="AJ39" i="12"/>
  <c r="AL38" i="12"/>
  <c r="K357" i="12" s="1"/>
  <c r="AD38" i="12"/>
  <c r="K117" i="12" s="1"/>
  <c r="AE37" i="12"/>
  <c r="K156" i="12" s="1"/>
  <c r="AG36" i="12"/>
  <c r="K235" i="12" s="1"/>
  <c r="AI35" i="12"/>
  <c r="K274" i="12" s="1"/>
  <c r="AK34" i="12"/>
  <c r="K313" i="12" s="1"/>
  <c r="AC34" i="12"/>
  <c r="K73" i="12" s="1"/>
  <c r="AE33" i="12"/>
  <c r="K152" i="12" s="1"/>
  <c r="AG32" i="12"/>
  <c r="K231" i="12" s="1"/>
  <c r="AI31" i="12"/>
  <c r="K270" i="12" s="1"/>
  <c r="AK30" i="12"/>
  <c r="K309" i="12" s="1"/>
  <c r="AC30" i="12"/>
  <c r="K69" i="12" s="1"/>
  <c r="AE29" i="12"/>
  <c r="K148" i="12" s="1"/>
  <c r="AG28" i="12"/>
  <c r="K227" i="12" s="1"/>
  <c r="AI27" i="12"/>
  <c r="K266" i="12" s="1"/>
  <c r="AK26" i="12"/>
  <c r="K305" i="12" s="1"/>
  <c r="AC26" i="12"/>
  <c r="K65" i="12" s="1"/>
  <c r="AE25" i="12"/>
  <c r="K144" i="12" s="1"/>
  <c r="AG24" i="12"/>
  <c r="K223" i="12" s="1"/>
  <c r="AI23" i="12"/>
  <c r="K262" i="12" s="1"/>
  <c r="AK22" i="12"/>
  <c r="K301" i="12" s="1"/>
  <c r="AC22" i="12"/>
  <c r="K61" i="12" s="1"/>
  <c r="AE21" i="12"/>
  <c r="K140" i="12" s="1"/>
  <c r="AG20" i="12"/>
  <c r="K219" i="12" s="1"/>
  <c r="AI19" i="12"/>
  <c r="K258" i="12" s="1"/>
  <c r="AK18" i="12"/>
  <c r="K297" i="12" s="1"/>
  <c r="AC18" i="12"/>
  <c r="K57" i="12" s="1"/>
  <c r="AE17" i="12"/>
  <c r="K136" i="12" s="1"/>
  <c r="AG16" i="12"/>
  <c r="K215" i="12" s="1"/>
  <c r="AI15" i="12"/>
  <c r="K254" i="12" s="1"/>
  <c r="AK14" i="12"/>
  <c r="K293" i="12" s="1"/>
  <c r="AI11" i="12"/>
  <c r="K250" i="12" s="1"/>
  <c r="AF23" i="12"/>
  <c r="K182" i="12" s="1"/>
  <c r="AF15" i="12"/>
  <c r="K174" i="12" s="1"/>
  <c r="AB39" i="12"/>
  <c r="K38" i="12" s="1"/>
  <c r="AB18" i="12"/>
  <c r="K17" i="12" s="1"/>
  <c r="AB26" i="12"/>
  <c r="K25" i="12" s="1"/>
  <c r="AL37" i="12"/>
  <c r="K356" i="12" s="1"/>
  <c r="AD37" i="12"/>
  <c r="K116" i="12" s="1"/>
  <c r="AF36" i="12"/>
  <c r="K195" i="12" s="1"/>
  <c r="AH35" i="12"/>
  <c r="AJ34" i="12"/>
  <c r="AL33" i="12"/>
  <c r="K352" i="12" s="1"/>
  <c r="AD33" i="12"/>
  <c r="K112" i="12" s="1"/>
  <c r="AF32" i="12"/>
  <c r="K191" i="12" s="1"/>
  <c r="AH31" i="12"/>
  <c r="AJ30" i="12"/>
  <c r="AL29" i="12"/>
  <c r="K348" i="12" s="1"/>
  <c r="AD29" i="12"/>
  <c r="K108" i="12" s="1"/>
  <c r="AF28" i="12"/>
  <c r="K187" i="12" s="1"/>
  <c r="AH27" i="12"/>
  <c r="AJ26" i="12"/>
  <c r="AL25" i="12"/>
  <c r="K344" i="12" s="1"/>
  <c r="AD25" i="12"/>
  <c r="K104" i="12" s="1"/>
  <c r="AF24" i="12"/>
  <c r="K183" i="12" s="1"/>
  <c r="AH23" i="12"/>
  <c r="AJ22" i="12"/>
  <c r="AL21" i="12"/>
  <c r="K340" i="12" s="1"/>
  <c r="AD21" i="12"/>
  <c r="K100" i="12" s="1"/>
  <c r="AF20" i="12"/>
  <c r="K179" i="12" s="1"/>
  <c r="AH19" i="12"/>
  <c r="AJ18" i="12"/>
  <c r="AL17" i="12"/>
  <c r="K336" i="12" s="1"/>
  <c r="AD17" i="12"/>
  <c r="K96" i="12" s="1"/>
  <c r="AF16" i="12"/>
  <c r="K175" i="12" s="1"/>
  <c r="AH15" i="12"/>
  <c r="AD13" i="12"/>
  <c r="K92" i="12" s="1"/>
  <c r="AH22" i="9"/>
  <c r="AH98" i="9"/>
  <c r="AN97" i="9"/>
  <c r="AH89" i="9"/>
  <c r="AK88" i="9"/>
  <c r="P291" i="9" s="1"/>
  <c r="AI83" i="9"/>
  <c r="AK79" i="9"/>
  <c r="P282" i="9" s="1"/>
  <c r="AN74" i="9"/>
  <c r="P378" i="9" s="1"/>
  <c r="AK72" i="9"/>
  <c r="P275" i="9" s="1"/>
  <c r="AK63" i="9"/>
  <c r="P266" i="9" s="1"/>
  <c r="AK62" i="9"/>
  <c r="P265" i="9" s="1"/>
  <c r="AH53" i="9"/>
  <c r="AI45" i="9"/>
  <c r="AN44" i="9"/>
  <c r="AN40" i="9"/>
  <c r="AK29" i="9"/>
  <c r="P232" i="9" s="1"/>
  <c r="AH18" i="9"/>
  <c r="AI11" i="9"/>
  <c r="AP89" i="9"/>
  <c r="AP59" i="9"/>
  <c r="AP22" i="9"/>
  <c r="AE92" i="9"/>
  <c r="P93" i="9" s="1"/>
  <c r="AE60" i="9"/>
  <c r="P61" i="9" s="1"/>
  <c r="AE21" i="9"/>
  <c r="P22" i="9" s="1"/>
  <c r="AI101" i="9"/>
  <c r="AN96" i="9"/>
  <c r="AH88" i="9"/>
  <c r="AK86" i="9"/>
  <c r="P289" i="9" s="1"/>
  <c r="AH81" i="9"/>
  <c r="AK78" i="9"/>
  <c r="P281" i="9" s="1"/>
  <c r="AH72" i="9"/>
  <c r="AK67" i="9"/>
  <c r="P270" i="9" s="1"/>
  <c r="AH62" i="9"/>
  <c r="AK57" i="9"/>
  <c r="P260" i="9" s="1"/>
  <c r="AK53" i="9"/>
  <c r="P256" i="9" s="1"/>
  <c r="AK51" i="9"/>
  <c r="P254" i="9" s="1"/>
  <c r="AK43" i="9"/>
  <c r="P246" i="9" s="1"/>
  <c r="AO38" i="9"/>
  <c r="AK26" i="9"/>
  <c r="P229" i="9" s="1"/>
  <c r="AI16" i="9"/>
  <c r="AI7" i="9"/>
  <c r="AP86" i="9"/>
  <c r="AP51" i="9"/>
  <c r="AP21" i="9"/>
  <c r="AH99" i="9"/>
  <c r="P201" i="9" s="1"/>
  <c r="AE88" i="9"/>
  <c r="P89" i="9" s="1"/>
  <c r="AE53" i="9"/>
  <c r="P54" i="9" s="1"/>
  <c r="AE20" i="9"/>
  <c r="P21" i="9" s="1"/>
  <c r="AI99" i="9"/>
  <c r="AO97" i="9"/>
  <c r="AI93" i="9"/>
  <c r="AK85" i="9"/>
  <c r="P288" i="9" s="1"/>
  <c r="AH80" i="9"/>
  <c r="AN83" i="9"/>
  <c r="AI71" i="9"/>
  <c r="AK65" i="9"/>
  <c r="P268" i="9" s="1"/>
  <c r="AI61" i="9"/>
  <c r="AK55" i="9"/>
  <c r="P258" i="9" s="1"/>
  <c r="AN53" i="9"/>
  <c r="AK49" i="9"/>
  <c r="P252" i="9" s="1"/>
  <c r="AH39" i="9"/>
  <c r="AH33" i="9"/>
  <c r="AK25" i="9"/>
  <c r="P228" i="9" s="1"/>
  <c r="AI15" i="9"/>
  <c r="AH6" i="9"/>
  <c r="AP85" i="9"/>
  <c r="AP48" i="9"/>
  <c r="AP13" i="9"/>
  <c r="AH91" i="9"/>
  <c r="AH64" i="9"/>
  <c r="AH26" i="9"/>
  <c r="AE84" i="9"/>
  <c r="P85" i="9" s="1"/>
  <c r="AE52" i="9"/>
  <c r="P53" i="9" s="1"/>
  <c r="AE13" i="9"/>
  <c r="P14" i="9" s="1"/>
  <c r="AI98" i="9"/>
  <c r="AO96" i="9"/>
  <c r="AI97" i="9"/>
  <c r="AO91" i="9"/>
  <c r="AI79" i="9"/>
  <c r="AO82" i="9"/>
  <c r="AH69" i="9"/>
  <c r="AK64" i="9"/>
  <c r="P267" i="9" s="1"/>
  <c r="AH59" i="9"/>
  <c r="AK54" i="9"/>
  <c r="P257" i="9" s="1"/>
  <c r="AH51" i="9"/>
  <c r="AK48" i="9"/>
  <c r="P251" i="9" s="1"/>
  <c r="AI37" i="9"/>
  <c r="AN33" i="9"/>
  <c r="AO27" i="9"/>
  <c r="AK18" i="9"/>
  <c r="P221" i="9" s="1"/>
  <c r="AH5" i="9"/>
  <c r="AP77" i="9"/>
  <c r="AP46" i="9"/>
  <c r="AP9" i="9"/>
  <c r="AH54" i="9"/>
  <c r="AH12" i="9"/>
  <c r="AE77" i="9"/>
  <c r="P78" i="9" s="1"/>
  <c r="AE45" i="9"/>
  <c r="P46" i="9" s="1"/>
  <c r="AE5" i="9"/>
  <c r="P6" i="9" s="1"/>
  <c r="AH102" i="9"/>
  <c r="AK99" i="9"/>
  <c r="P302" i="9" s="1"/>
  <c r="AP99" i="9"/>
  <c r="AI92" i="9"/>
  <c r="AN91" i="9"/>
  <c r="P395" i="9" s="1"/>
  <c r="AH77" i="9"/>
  <c r="AN82" i="9"/>
  <c r="AH68" i="9"/>
  <c r="AO69" i="9"/>
  <c r="AH58" i="9"/>
  <c r="AO60" i="9"/>
  <c r="AH50" i="9"/>
  <c r="AO51" i="9"/>
  <c r="AH37" i="9"/>
  <c r="AI32" i="9"/>
  <c r="AN27" i="9"/>
  <c r="AK15" i="9"/>
  <c r="P218" i="9" s="1"/>
  <c r="AK7" i="9"/>
  <c r="P210" i="9" s="1"/>
  <c r="AP73" i="9"/>
  <c r="AP38" i="9"/>
  <c r="AP8" i="9"/>
  <c r="AE76" i="9"/>
  <c r="P77" i="9" s="1"/>
  <c r="AE44" i="9"/>
  <c r="P45" i="9" s="1"/>
  <c r="AE4" i="9"/>
  <c r="P5" i="9" s="1"/>
  <c r="AI102" i="9"/>
  <c r="AK97" i="9"/>
  <c r="P300" i="9" s="1"/>
  <c r="AP97" i="9"/>
  <c r="AI87" i="9"/>
  <c r="AO87" i="9"/>
  <c r="AH76" i="9"/>
  <c r="AO78" i="9"/>
  <c r="AI67" i="9"/>
  <c r="AN69" i="9"/>
  <c r="P373" i="9" s="1"/>
  <c r="AI57" i="9"/>
  <c r="AN60" i="9"/>
  <c r="P364" i="9" s="1"/>
  <c r="AI49" i="9"/>
  <c r="AN51" i="9"/>
  <c r="P355" i="9" s="1"/>
  <c r="AK41" i="9"/>
  <c r="P244" i="9" s="1"/>
  <c r="AI28" i="9"/>
  <c r="AI23" i="9"/>
  <c r="AN17" i="9"/>
  <c r="AK4" i="9"/>
  <c r="P207" i="9" s="1"/>
  <c r="AP72" i="9"/>
  <c r="AP35" i="9"/>
  <c r="AH83" i="9"/>
  <c r="P185" i="9" s="1"/>
  <c r="AH46" i="9"/>
  <c r="AE95" i="9"/>
  <c r="P96" i="9" s="1"/>
  <c r="AE69" i="9"/>
  <c r="P70" i="9" s="1"/>
  <c r="AE37" i="9"/>
  <c r="P38" i="9" s="1"/>
  <c r="AH101" i="9"/>
  <c r="P203" i="9" s="1"/>
  <c r="AK96" i="9"/>
  <c r="P299" i="9" s="1"/>
  <c r="AP96" i="9"/>
  <c r="AI85" i="9"/>
  <c r="AN87" i="9"/>
  <c r="AI75" i="9"/>
  <c r="AN78" i="9"/>
  <c r="AH65" i="9"/>
  <c r="AO65" i="9"/>
  <c r="AH55" i="9"/>
  <c r="AO56" i="9"/>
  <c r="P360" i="9" s="1"/>
  <c r="AH47" i="9"/>
  <c r="AO47" i="9"/>
  <c r="P351" i="9" s="1"/>
  <c r="AK37" i="9"/>
  <c r="P240" i="9" s="1"/>
  <c r="AH27" i="9"/>
  <c r="AO23" i="9"/>
  <c r="AK13" i="9"/>
  <c r="P216" i="9" s="1"/>
  <c r="AN11" i="9"/>
  <c r="AP64" i="9"/>
  <c r="AO70" i="9"/>
  <c r="AO66" i="9"/>
  <c r="AO61" i="9"/>
  <c r="AO57" i="9"/>
  <c r="AO52" i="9"/>
  <c r="AO48" i="9"/>
  <c r="AO29" i="9"/>
  <c r="AO18" i="9"/>
  <c r="AE101" i="9"/>
  <c r="P102" i="9" s="1"/>
  <c r="AE86" i="9"/>
  <c r="P87" i="9" s="1"/>
  <c r="AE79" i="9"/>
  <c r="P80" i="9" s="1"/>
  <c r="AE71" i="9"/>
  <c r="P72" i="9" s="1"/>
  <c r="AE63" i="9"/>
  <c r="P64" i="9" s="1"/>
  <c r="AE55" i="9"/>
  <c r="P56" i="9" s="1"/>
  <c r="AE47" i="9"/>
  <c r="P48" i="9" s="1"/>
  <c r="AE39" i="9"/>
  <c r="P40" i="9" s="1"/>
  <c r="AE31" i="9"/>
  <c r="P32" i="9" s="1"/>
  <c r="AE23" i="9"/>
  <c r="P24" i="9" s="1"/>
  <c r="AE15" i="9"/>
  <c r="P16" i="9" s="1"/>
  <c r="AE7" i="9"/>
  <c r="P8" i="9" s="1"/>
  <c r="AO10" i="9"/>
  <c r="AO5" i="9"/>
  <c r="AO17" i="9"/>
  <c r="AO21" i="9"/>
  <c r="AO26" i="9"/>
  <c r="AO30" i="9"/>
  <c r="AO33" i="9"/>
  <c r="AO35" i="9"/>
  <c r="AO39" i="9"/>
  <c r="AO44" i="9"/>
  <c r="AO8" i="9"/>
  <c r="AO99" i="9"/>
  <c r="P403" i="9" s="1"/>
  <c r="AO92" i="9"/>
  <c r="AO88" i="9"/>
  <c r="AO84" i="9"/>
  <c r="AO79" i="9"/>
  <c r="AO75" i="9"/>
  <c r="AO73" i="9"/>
  <c r="AE102" i="9"/>
  <c r="P103" i="9" s="1"/>
  <c r="AE94" i="9"/>
  <c r="P95" i="9" s="1"/>
  <c r="AE87" i="9"/>
  <c r="P88" i="9" s="1"/>
  <c r="AE78" i="9"/>
  <c r="P79" i="9" s="1"/>
  <c r="AE70" i="9"/>
  <c r="P71" i="9" s="1"/>
  <c r="AE62" i="9"/>
  <c r="P63" i="9" s="1"/>
  <c r="AE54" i="9"/>
  <c r="P55" i="9" s="1"/>
  <c r="AE46" i="9"/>
  <c r="P47" i="9" s="1"/>
  <c r="AE38" i="9"/>
  <c r="P39" i="9" s="1"/>
  <c r="AE30" i="9"/>
  <c r="P31" i="9" s="1"/>
  <c r="AE22" i="9"/>
  <c r="P23" i="9" s="1"/>
  <c r="AE14" i="9"/>
  <c r="P15" i="9" s="1"/>
  <c r="AE6" i="9"/>
  <c r="P7" i="9" s="1"/>
  <c r="AP4" i="9"/>
  <c r="AP12" i="9"/>
  <c r="AP20" i="9"/>
  <c r="AP28" i="9"/>
  <c r="AP36" i="9"/>
  <c r="AP44" i="9"/>
  <c r="AP52" i="9"/>
  <c r="AP60" i="9"/>
  <c r="AP68" i="9"/>
  <c r="AP76" i="9"/>
  <c r="AP84" i="9"/>
  <c r="AP92" i="9"/>
  <c r="AP7" i="9"/>
  <c r="AP15" i="9"/>
  <c r="AP23" i="9"/>
  <c r="AP31" i="9"/>
  <c r="AP39" i="9"/>
  <c r="AP47" i="9"/>
  <c r="AP55" i="9"/>
  <c r="AP63" i="9"/>
  <c r="AP71" i="9"/>
  <c r="AP79" i="9"/>
  <c r="AP87" i="9"/>
  <c r="AP10" i="9"/>
  <c r="AP18" i="9"/>
  <c r="AP26" i="9"/>
  <c r="AP34" i="9"/>
  <c r="AP42" i="9"/>
  <c r="AP50" i="9"/>
  <c r="AP58" i="9"/>
  <c r="AP66" i="9"/>
  <c r="AP74" i="9"/>
  <c r="AP82" i="9"/>
  <c r="AP90" i="9"/>
  <c r="AH100" i="9"/>
  <c r="AI100" i="9"/>
  <c r="AK98" i="9"/>
  <c r="P301" i="9" s="1"/>
  <c r="AN98" i="9"/>
  <c r="AO98" i="9"/>
  <c r="AP98" i="9"/>
  <c r="AH90" i="9"/>
  <c r="AI94" i="9"/>
  <c r="AI86" i="9"/>
  <c r="AK87" i="9"/>
  <c r="P290" i="9" s="1"/>
  <c r="AN92" i="9"/>
  <c r="AN88" i="9"/>
  <c r="AN84" i="9"/>
  <c r="AI80" i="9"/>
  <c r="AI76" i="9"/>
  <c r="AK80" i="9"/>
  <c r="P283" i="9" s="1"/>
  <c r="AO83" i="9"/>
  <c r="AN79" i="9"/>
  <c r="AN75" i="9"/>
  <c r="AI72" i="9"/>
  <c r="AI68" i="9"/>
  <c r="AI64" i="9"/>
  <c r="AK66" i="9"/>
  <c r="P269" i="9" s="1"/>
  <c r="AN70" i="9"/>
  <c r="AN66" i="9"/>
  <c r="AI62" i="9"/>
  <c r="AI58" i="9"/>
  <c r="AI54" i="9"/>
  <c r="AK56" i="9"/>
  <c r="P259" i="9" s="1"/>
  <c r="AN61" i="9"/>
  <c r="P365" i="9" s="1"/>
  <c r="AN57" i="9"/>
  <c r="AI53" i="9"/>
  <c r="AI50" i="9"/>
  <c r="AI46" i="9"/>
  <c r="AK50" i="9"/>
  <c r="P253" i="9" s="1"/>
  <c r="AN52" i="9"/>
  <c r="AN48" i="9"/>
  <c r="AH43" i="9"/>
  <c r="AI38" i="9"/>
  <c r="AK39" i="9"/>
  <c r="P242" i="9" s="1"/>
  <c r="AN39" i="9"/>
  <c r="AK33" i="9"/>
  <c r="P236" i="9" s="1"/>
  <c r="AH28" i="9"/>
  <c r="AK28" i="9"/>
  <c r="P231" i="9" s="1"/>
  <c r="AO28" i="9"/>
  <c r="AN23" i="9"/>
  <c r="AH17" i="9"/>
  <c r="AK17" i="9"/>
  <c r="P220" i="9" s="1"/>
  <c r="AN18" i="9"/>
  <c r="AO13" i="9"/>
  <c r="AK5" i="9"/>
  <c r="P208" i="9" s="1"/>
  <c r="AO11" i="9"/>
  <c r="AP88" i="9"/>
  <c r="AP75" i="9"/>
  <c r="AP62" i="9"/>
  <c r="AP49" i="9"/>
  <c r="AP37" i="9"/>
  <c r="AP24" i="9"/>
  <c r="AP11" i="9"/>
  <c r="AE28" i="9"/>
  <c r="P29" i="9" s="1"/>
  <c r="AE12" i="9"/>
  <c r="P13" i="9" s="1"/>
  <c r="AE97" i="9"/>
  <c r="P98" i="9" s="1"/>
  <c r="AE91" i="9"/>
  <c r="P92" i="9" s="1"/>
  <c r="AE83" i="9"/>
  <c r="P84" i="9" s="1"/>
  <c r="AE75" i="9"/>
  <c r="P76" i="9" s="1"/>
  <c r="AE67" i="9"/>
  <c r="P68" i="9" s="1"/>
  <c r="AE59" i="9"/>
  <c r="P60" i="9" s="1"/>
  <c r="AE51" i="9"/>
  <c r="P52" i="9" s="1"/>
  <c r="AE43" i="9"/>
  <c r="P44" i="9" s="1"/>
  <c r="AE35" i="9"/>
  <c r="P36" i="9" s="1"/>
  <c r="AE27" i="9"/>
  <c r="P28" i="9" s="1"/>
  <c r="AE19" i="9"/>
  <c r="P20" i="9" s="1"/>
  <c r="AE11" i="9"/>
  <c r="P12" i="9" s="1"/>
  <c r="AI5" i="9"/>
  <c r="AI9" i="9"/>
  <c r="AI14" i="9"/>
  <c r="AI18" i="9"/>
  <c r="AI22" i="9"/>
  <c r="AI27" i="9"/>
  <c r="AI31" i="9"/>
  <c r="AI36" i="9"/>
  <c r="AI40" i="9"/>
  <c r="AI43" i="9"/>
  <c r="AI4" i="9"/>
  <c r="P106" i="9" s="1"/>
  <c r="AI8" i="9"/>
  <c r="AI12" i="9"/>
  <c r="AI17" i="9"/>
  <c r="AI21" i="9"/>
  <c r="AI26" i="9"/>
  <c r="AI30" i="9"/>
  <c r="AI33" i="9"/>
  <c r="AI35" i="9"/>
  <c r="AI39" i="9"/>
  <c r="AK102" i="9"/>
  <c r="P305" i="9" s="1"/>
  <c r="AH97" i="9"/>
  <c r="AI96" i="9"/>
  <c r="AK95" i="9"/>
  <c r="P298" i="9" s="1"/>
  <c r="AN95" i="9"/>
  <c r="AO95" i="9"/>
  <c r="AP95" i="9"/>
  <c r="AH87" i="9"/>
  <c r="AI91" i="9"/>
  <c r="AK92" i="9"/>
  <c r="P295" i="9" s="1"/>
  <c r="AK84" i="9"/>
  <c r="P287" i="9" s="1"/>
  <c r="AO90" i="9"/>
  <c r="AO86" i="9"/>
  <c r="AK83" i="9"/>
  <c r="P286" i="9" s="1"/>
  <c r="AH79" i="9"/>
  <c r="AH75" i="9"/>
  <c r="AK77" i="9"/>
  <c r="P280" i="9" s="1"/>
  <c r="AO81" i="9"/>
  <c r="AO77" i="9"/>
  <c r="AH73" i="9"/>
  <c r="AH71" i="9"/>
  <c r="AH67" i="9"/>
  <c r="AK71" i="9"/>
  <c r="P274" i="9" s="1"/>
  <c r="AO72" i="9"/>
  <c r="AO68" i="9"/>
  <c r="AO64" i="9"/>
  <c r="AH61" i="9"/>
  <c r="P163" i="9" s="1"/>
  <c r="AH57" i="9"/>
  <c r="AK61" i="9"/>
  <c r="P264" i="9" s="1"/>
  <c r="AN63" i="9"/>
  <c r="AO59" i="9"/>
  <c r="AO55" i="9"/>
  <c r="AO53" i="9"/>
  <c r="AH49" i="9"/>
  <c r="AH45" i="9"/>
  <c r="AK47" i="9"/>
  <c r="P250" i="9" s="1"/>
  <c r="AO50" i="9"/>
  <c r="AO46" i="9"/>
  <c r="AI42" i="9"/>
  <c r="AH36" i="9"/>
  <c r="AK34" i="9"/>
  <c r="P237" i="9" s="1"/>
  <c r="AO36" i="9"/>
  <c r="AH32" i="9"/>
  <c r="AI25" i="9"/>
  <c r="AO32" i="9"/>
  <c r="AN26" i="9"/>
  <c r="AH21" i="9"/>
  <c r="AH15" i="9"/>
  <c r="AN22" i="9"/>
  <c r="AO15" i="9"/>
  <c r="AI10" i="9"/>
  <c r="AN10" i="9"/>
  <c r="AO6" i="9"/>
  <c r="AP83" i="9"/>
  <c r="AP70" i="9"/>
  <c r="AP57" i="9"/>
  <c r="AP45" i="9"/>
  <c r="AP32" i="9"/>
  <c r="AP19" i="9"/>
  <c r="AP6" i="9"/>
  <c r="AE98" i="9"/>
  <c r="P99" i="9" s="1"/>
  <c r="AE90" i="9"/>
  <c r="P91" i="9" s="1"/>
  <c r="AE82" i="9"/>
  <c r="P83" i="9" s="1"/>
  <c r="AE74" i="9"/>
  <c r="P75" i="9" s="1"/>
  <c r="AE66" i="9"/>
  <c r="P67" i="9" s="1"/>
  <c r="AE58" i="9"/>
  <c r="P59" i="9" s="1"/>
  <c r="AE50" i="9"/>
  <c r="P51" i="9" s="1"/>
  <c r="AE42" i="9"/>
  <c r="P43" i="9" s="1"/>
  <c r="AE34" i="9"/>
  <c r="P35" i="9" s="1"/>
  <c r="AE26" i="9"/>
  <c r="P27" i="9" s="1"/>
  <c r="AE18" i="9"/>
  <c r="P19" i="9" s="1"/>
  <c r="AE10" i="9"/>
  <c r="P11" i="9" s="1"/>
  <c r="P205" i="9"/>
  <c r="AH7" i="9"/>
  <c r="AH11" i="9"/>
  <c r="AH13" i="9"/>
  <c r="AH16" i="9"/>
  <c r="AH20" i="9"/>
  <c r="AH25" i="9"/>
  <c r="AH29" i="9"/>
  <c r="AH34" i="9"/>
  <c r="AH38" i="9"/>
  <c r="AH42" i="9"/>
  <c r="AN102" i="9"/>
  <c r="AH96" i="9"/>
  <c r="AI95" i="9"/>
  <c r="AK94" i="9"/>
  <c r="P297" i="9" s="1"/>
  <c r="AN94" i="9"/>
  <c r="AO94" i="9"/>
  <c r="AP94" i="9"/>
  <c r="AH86" i="9"/>
  <c r="AI90" i="9"/>
  <c r="AK91" i="9"/>
  <c r="P294" i="9" s="1"/>
  <c r="AK93" i="9"/>
  <c r="P296" i="9" s="1"/>
  <c r="AN90" i="9"/>
  <c r="AN86" i="9"/>
  <c r="AI82" i="9"/>
  <c r="AI78" i="9"/>
  <c r="AI74" i="9"/>
  <c r="AK76" i="9"/>
  <c r="P279" i="9" s="1"/>
  <c r="AN81" i="9"/>
  <c r="AN77" i="9"/>
  <c r="AI73" i="9"/>
  <c r="AI70" i="9"/>
  <c r="AI66" i="9"/>
  <c r="AK70" i="9"/>
  <c r="P273" i="9" s="1"/>
  <c r="AN72" i="9"/>
  <c r="P376" i="9" s="1"/>
  <c r="AN68" i="9"/>
  <c r="AN64" i="9"/>
  <c r="AI60" i="9"/>
  <c r="AI56" i="9"/>
  <c r="AK60" i="9"/>
  <c r="P263" i="9" s="1"/>
  <c r="AO63" i="9"/>
  <c r="AN59" i="9"/>
  <c r="AN55" i="9"/>
  <c r="P359" i="9" s="1"/>
  <c r="AI52" i="9"/>
  <c r="AI48" i="9"/>
  <c r="AI44" i="9"/>
  <c r="AK46" i="9"/>
  <c r="P249" i="9" s="1"/>
  <c r="AN50" i="9"/>
  <c r="AN46" i="9"/>
  <c r="AI41" i="9"/>
  <c r="AH35" i="9"/>
  <c r="AO42" i="9"/>
  <c r="AN36" i="9"/>
  <c r="AH31" i="9"/>
  <c r="AI24" i="9"/>
  <c r="AO31" i="9"/>
  <c r="AO25" i="9"/>
  <c r="AI20" i="9"/>
  <c r="AH14" i="9"/>
  <c r="AN21" i="9"/>
  <c r="AO14" i="9"/>
  <c r="AH10" i="9"/>
  <c r="AN8" i="9"/>
  <c r="AO4" i="9"/>
  <c r="AP81" i="9"/>
  <c r="AP69" i="9"/>
  <c r="AP56" i="9"/>
  <c r="AP43" i="9"/>
  <c r="AP30" i="9"/>
  <c r="AP17" i="9"/>
  <c r="AP5" i="9"/>
  <c r="P108" i="9"/>
  <c r="AO43" i="9"/>
  <c r="AO22" i="9"/>
  <c r="AO16" i="9"/>
  <c r="AE99" i="9"/>
  <c r="P100" i="9" s="1"/>
  <c r="AE89" i="9"/>
  <c r="P90" i="9" s="1"/>
  <c r="AE81" i="9"/>
  <c r="P82" i="9" s="1"/>
  <c r="AE73" i="9"/>
  <c r="P74" i="9" s="1"/>
  <c r="AE65" i="9"/>
  <c r="P66" i="9" s="1"/>
  <c r="AE57" i="9"/>
  <c r="P58" i="9" s="1"/>
  <c r="AE49" i="9"/>
  <c r="P50" i="9" s="1"/>
  <c r="AE41" i="9"/>
  <c r="P42" i="9" s="1"/>
  <c r="AE33" i="9"/>
  <c r="P34" i="9" s="1"/>
  <c r="AE25" i="9"/>
  <c r="P26" i="9" s="1"/>
  <c r="AE17" i="9"/>
  <c r="P18" i="9" s="1"/>
  <c r="AE9" i="9"/>
  <c r="P10" i="9" s="1"/>
  <c r="P306" i="9"/>
  <c r="AK8" i="9"/>
  <c r="P211" i="9" s="1"/>
  <c r="AK16" i="9"/>
  <c r="P219" i="9" s="1"/>
  <c r="AK24" i="9"/>
  <c r="P227" i="9" s="1"/>
  <c r="AK32" i="9"/>
  <c r="P235" i="9" s="1"/>
  <c r="AK40" i="9"/>
  <c r="P243" i="9" s="1"/>
  <c r="AK11" i="9"/>
  <c r="P214" i="9" s="1"/>
  <c r="AK19" i="9"/>
  <c r="P222" i="9" s="1"/>
  <c r="AK23" i="9"/>
  <c r="P226" i="9" s="1"/>
  <c r="AK27" i="9"/>
  <c r="P230" i="9" s="1"/>
  <c r="AK35" i="9"/>
  <c r="P238" i="9" s="1"/>
  <c r="AK6" i="9"/>
  <c r="P209" i="9" s="1"/>
  <c r="AK14" i="9"/>
  <c r="P217" i="9" s="1"/>
  <c r="AK22" i="9"/>
  <c r="P225" i="9" s="1"/>
  <c r="AK30" i="9"/>
  <c r="P233" i="9" s="1"/>
  <c r="AK38" i="9"/>
  <c r="P241" i="9" s="1"/>
  <c r="AO102" i="9"/>
  <c r="AH95" i="9"/>
  <c r="AK101" i="9"/>
  <c r="P304" i="9" s="1"/>
  <c r="AN101" i="9"/>
  <c r="AO101" i="9"/>
  <c r="AP101" i="9"/>
  <c r="AH93" i="9"/>
  <c r="AH85" i="9"/>
  <c r="AI89" i="9"/>
  <c r="AK90" i="9"/>
  <c r="P293" i="9" s="1"/>
  <c r="AN93" i="9"/>
  <c r="AO89" i="9"/>
  <c r="AO85" i="9"/>
  <c r="AH82" i="9"/>
  <c r="AH78" i="9"/>
  <c r="AH74" i="9"/>
  <c r="AK75" i="9"/>
  <c r="P278" i="9" s="1"/>
  <c r="AO80" i="9"/>
  <c r="AO76" i="9"/>
  <c r="AK73" i="9"/>
  <c r="P276" i="9" s="1"/>
  <c r="AH70" i="9"/>
  <c r="AH66" i="9"/>
  <c r="AK69" i="9"/>
  <c r="P272" i="9" s="1"/>
  <c r="AO71" i="9"/>
  <c r="AO67" i="9"/>
  <c r="AH63" i="9"/>
  <c r="AH60" i="9"/>
  <c r="AH56" i="9"/>
  <c r="AK59" i="9"/>
  <c r="P262" i="9" s="1"/>
  <c r="AO62" i="9"/>
  <c r="AO58" i="9"/>
  <c r="AO54" i="9"/>
  <c r="AH52" i="9"/>
  <c r="AH48" i="9"/>
  <c r="AH44" i="9"/>
  <c r="AK45" i="9"/>
  <c r="P248" i="9" s="1"/>
  <c r="AO49" i="9"/>
  <c r="AO45" i="9"/>
  <c r="AH41" i="9"/>
  <c r="AI34" i="9"/>
  <c r="AO41" i="9"/>
  <c r="AN35" i="9"/>
  <c r="AH30" i="9"/>
  <c r="AH24" i="9"/>
  <c r="AN31" i="9"/>
  <c r="P335" i="9" s="1"/>
  <c r="AO24" i="9"/>
  <c r="AI19" i="9"/>
  <c r="AK21" i="9"/>
  <c r="P224" i="9" s="1"/>
  <c r="AO20" i="9"/>
  <c r="AN14" i="9"/>
  <c r="AH9" i="9"/>
  <c r="AK10" i="9"/>
  <c r="P213" i="9" s="1"/>
  <c r="AP93" i="9"/>
  <c r="AP80" i="9"/>
  <c r="AP67" i="9"/>
  <c r="AP54" i="9"/>
  <c r="AP41" i="9"/>
  <c r="AP29" i="9"/>
  <c r="AP16" i="9"/>
  <c r="AO37" i="9"/>
  <c r="AO7" i="9"/>
  <c r="AE100" i="9"/>
  <c r="P101" i="9" s="1"/>
  <c r="AE85" i="9"/>
  <c r="P86" i="9" s="1"/>
  <c r="AE80" i="9"/>
  <c r="P81" i="9" s="1"/>
  <c r="AE72" i="9"/>
  <c r="P73" i="9" s="1"/>
  <c r="AE64" i="9"/>
  <c r="P65" i="9" s="1"/>
  <c r="AE56" i="9"/>
  <c r="P57" i="9" s="1"/>
  <c r="AE48" i="9"/>
  <c r="P49" i="9" s="1"/>
  <c r="AE40" i="9"/>
  <c r="P41" i="9" s="1"/>
  <c r="AE32" i="9"/>
  <c r="P33" i="9" s="1"/>
  <c r="AE24" i="9"/>
  <c r="P25" i="9" s="1"/>
  <c r="AE16" i="9"/>
  <c r="P17" i="9" s="1"/>
  <c r="AE8" i="9"/>
  <c r="P9" i="9" s="1"/>
  <c r="AN9" i="9"/>
  <c r="AN13" i="9"/>
  <c r="AN16" i="9"/>
  <c r="AN20" i="9"/>
  <c r="AN25" i="9"/>
  <c r="AN29" i="9"/>
  <c r="AN34" i="9"/>
  <c r="AN38" i="9"/>
  <c r="P342" i="9" s="1"/>
  <c r="AN42" i="9"/>
  <c r="AN4" i="9"/>
  <c r="AN12" i="9"/>
  <c r="P316" i="9" s="1"/>
  <c r="AN7" i="9"/>
  <c r="P311" i="9" s="1"/>
  <c r="AN15" i="9"/>
  <c r="AN19" i="9"/>
  <c r="AN24" i="9"/>
  <c r="AN28" i="9"/>
  <c r="P332" i="9" s="1"/>
  <c r="AN32" i="9"/>
  <c r="P336" i="9" s="1"/>
  <c r="AN37" i="9"/>
  <c r="AN41" i="9"/>
  <c r="AN43" i="9"/>
  <c r="AP102" i="9"/>
  <c r="AH94" i="9"/>
  <c r="AK100" i="9"/>
  <c r="P303" i="9" s="1"/>
  <c r="AN100" i="9"/>
  <c r="AO100" i="9"/>
  <c r="AP100" i="9"/>
  <c r="AH92" i="9"/>
  <c r="AH84" i="9"/>
  <c r="P186" i="9" s="1"/>
  <c r="AI88" i="9"/>
  <c r="AK89" i="9"/>
  <c r="P292" i="9" s="1"/>
  <c r="AO93" i="9"/>
  <c r="AN89" i="9"/>
  <c r="AN85" i="9"/>
  <c r="AI81" i="9"/>
  <c r="AI77" i="9"/>
  <c r="P179" i="9" s="1"/>
  <c r="AK82" i="9"/>
  <c r="P285" i="9" s="1"/>
  <c r="AK74" i="9"/>
  <c r="P277" i="9" s="1"/>
  <c r="AN80" i="9"/>
  <c r="AN76" i="9"/>
  <c r="AN73" i="9"/>
  <c r="AI69" i="9"/>
  <c r="AI65" i="9"/>
  <c r="AK68" i="9"/>
  <c r="P271" i="9" s="1"/>
  <c r="AN71" i="9"/>
  <c r="AN67" i="9"/>
  <c r="AI63" i="9"/>
  <c r="AI59" i="9"/>
  <c r="AI55" i="9"/>
  <c r="P157" i="9" s="1"/>
  <c r="AK58" i="9"/>
  <c r="P261" i="9" s="1"/>
  <c r="AN62" i="9"/>
  <c r="AN58" i="9"/>
  <c r="AN54" i="9"/>
  <c r="AI51" i="9"/>
  <c r="AI47" i="9"/>
  <c r="AK52" i="9"/>
  <c r="P255" i="9" s="1"/>
  <c r="AK44" i="9"/>
  <c r="P247" i="9" s="1"/>
  <c r="AN49" i="9"/>
  <c r="AN45" i="9"/>
  <c r="AH40" i="9"/>
  <c r="AK42" i="9"/>
  <c r="P245" i="9" s="1"/>
  <c r="AO40" i="9"/>
  <c r="AO34" i="9"/>
  <c r="AI29" i="9"/>
  <c r="AK31" i="9"/>
  <c r="P234" i="9" s="1"/>
  <c r="AN30" i="9"/>
  <c r="AH23" i="9"/>
  <c r="AH19" i="9"/>
  <c r="AK20" i="9"/>
  <c r="P223" i="9" s="1"/>
  <c r="AO19" i="9"/>
  <c r="AI13" i="9"/>
  <c r="AH8" i="9"/>
  <c r="AK9" i="9"/>
  <c r="P212" i="9" s="1"/>
  <c r="AN5" i="9"/>
  <c r="AP91" i="9"/>
  <c r="AP78" i="9"/>
  <c r="AP65" i="9"/>
  <c r="AP53" i="9"/>
  <c r="AP40" i="9"/>
  <c r="AP27" i="9"/>
  <c r="AP14" i="9"/>
  <c r="AK4" i="37"/>
  <c r="AK6" i="37"/>
  <c r="AS6" i="37"/>
  <c r="BA6" i="37"/>
  <c r="BA8" i="37"/>
  <c r="AK11" i="37"/>
  <c r="AR14" i="37"/>
  <c r="AZ14" i="37"/>
  <c r="AZ27" i="37"/>
  <c r="AS5" i="37"/>
  <c r="AS12" i="37"/>
  <c r="AK22" i="37"/>
  <c r="AS22" i="37"/>
  <c r="BA22" i="37"/>
  <c r="AR26" i="37"/>
  <c r="AZ26" i="37"/>
  <c r="AK5" i="37"/>
  <c r="BA7" i="37"/>
  <c r="BA9" i="37"/>
  <c r="AK12" i="37"/>
  <c r="AK26" i="37"/>
  <c r="AS26" i="37"/>
  <c r="BA26" i="37"/>
  <c r="AR22" i="37"/>
  <c r="AS7" i="37"/>
  <c r="AS9" i="37"/>
  <c r="AY27" i="37"/>
  <c r="AK28" i="37"/>
  <c r="BA4" i="37"/>
  <c r="AK7" i="37"/>
  <c r="AY28" i="37"/>
  <c r="AR27" i="37"/>
  <c r="AZ22" i="37"/>
  <c r="AS4" i="37"/>
  <c r="AS11" i="37"/>
  <c r="AK15" i="37"/>
  <c r="AS15" i="37"/>
  <c r="BA15" i="37"/>
  <c r="AK19" i="37"/>
  <c r="AS19" i="37"/>
  <c r="BA19" i="37"/>
  <c r="AK23" i="37"/>
  <c r="AS23" i="37"/>
  <c r="BA23" i="37"/>
  <c r="AK27" i="37"/>
  <c r="AS27" i="37"/>
  <c r="BA27" i="37"/>
  <c r="AR5" i="37"/>
  <c r="AZ5" i="37"/>
  <c r="AR9" i="37"/>
  <c r="AZ9" i="37"/>
  <c r="AR13" i="37"/>
  <c r="AZ13" i="37"/>
  <c r="AR17" i="37"/>
  <c r="AZ17" i="37"/>
  <c r="AR21" i="37"/>
  <c r="AZ21" i="37"/>
  <c r="AR25" i="37"/>
  <c r="AZ25" i="37"/>
  <c r="AR29" i="37"/>
  <c r="AZ29" i="37"/>
  <c r="AK13" i="37"/>
  <c r="AS13" i="37"/>
  <c r="BA13" i="37"/>
  <c r="AK17" i="37"/>
  <c r="AS17" i="37"/>
  <c r="BA17" i="37"/>
  <c r="AK21" i="37"/>
  <c r="AS21" i="37"/>
  <c r="BA21" i="37"/>
  <c r="AK25" i="37"/>
  <c r="AS25" i="37"/>
  <c r="BA25" i="37"/>
  <c r="AK29" i="37"/>
  <c r="AS29" i="37"/>
  <c r="BA29" i="37"/>
  <c r="AE30" i="37"/>
  <c r="AR4" i="37"/>
  <c r="AZ4" i="37"/>
  <c r="AR8" i="37"/>
  <c r="AZ8" i="37"/>
  <c r="AR12" i="37"/>
  <c r="AZ12" i="37"/>
  <c r="AR16" i="37"/>
  <c r="AZ16" i="37"/>
  <c r="AR20" i="37"/>
  <c r="AZ20" i="37"/>
  <c r="AR24" i="37"/>
  <c r="AZ24" i="37"/>
  <c r="AR28" i="37"/>
  <c r="AZ28" i="37"/>
  <c r="AK16" i="37"/>
  <c r="AS16" i="37"/>
  <c r="BA16" i="37"/>
  <c r="AK20" i="37"/>
  <c r="AS20" i="37"/>
  <c r="BA20" i="37"/>
  <c r="AK24" i="37"/>
  <c r="AS24" i="37"/>
  <c r="BA24" i="37"/>
  <c r="AR7" i="37"/>
  <c r="AZ7" i="37"/>
  <c r="AR11" i="37"/>
  <c r="AZ11" i="37"/>
  <c r="AR15" i="37"/>
  <c r="AZ15" i="37"/>
  <c r="AR19" i="37"/>
  <c r="AZ19" i="37"/>
  <c r="AR23" i="37"/>
  <c r="AZ23" i="37"/>
  <c r="AQ27" i="36"/>
  <c r="AR18" i="36"/>
  <c r="AZ18" i="36"/>
  <c r="AR27" i="36"/>
  <c r="AQ22" i="36"/>
  <c r="AY22" i="36"/>
  <c r="AR22" i="36"/>
  <c r="AZ22" i="36"/>
  <c r="AQ26" i="36"/>
  <c r="AY26" i="36"/>
  <c r="AY27" i="36"/>
  <c r="AE30" i="36"/>
  <c r="AR10" i="36"/>
  <c r="AZ10" i="36"/>
  <c r="AZ26" i="36"/>
  <c r="AQ5" i="36"/>
  <c r="AY5" i="36"/>
  <c r="AQ9" i="36"/>
  <c r="AY9" i="36"/>
  <c r="AO12" i="36"/>
  <c r="AW12" i="36"/>
  <c r="BE12" i="36"/>
  <c r="AQ13" i="36"/>
  <c r="AY13" i="36"/>
  <c r="AO16" i="36"/>
  <c r="AW16" i="36"/>
  <c r="BE16" i="36"/>
  <c r="AQ17" i="36"/>
  <c r="AY17" i="36"/>
  <c r="AO20" i="36"/>
  <c r="AW20" i="36"/>
  <c r="BE20" i="36"/>
  <c r="AQ21" i="36"/>
  <c r="AY21" i="36"/>
  <c r="AO24" i="36"/>
  <c r="AW24" i="36"/>
  <c r="BE24" i="36"/>
  <c r="AQ25" i="36"/>
  <c r="AY25" i="36"/>
  <c r="AO28" i="36"/>
  <c r="AW28" i="36"/>
  <c r="BE28" i="36"/>
  <c r="AQ29" i="36"/>
  <c r="AY29" i="36"/>
  <c r="AR5" i="36"/>
  <c r="AZ5" i="36"/>
  <c r="AR9" i="36"/>
  <c r="AZ9" i="36"/>
  <c r="AR13" i="36"/>
  <c r="AZ13" i="36"/>
  <c r="AR17" i="36"/>
  <c r="AZ17" i="36"/>
  <c r="AR21" i="36"/>
  <c r="AZ21" i="36"/>
  <c r="AR25" i="36"/>
  <c r="AZ25" i="36"/>
  <c r="AR29" i="36"/>
  <c r="AZ29" i="36"/>
  <c r="AQ8" i="36"/>
  <c r="AY8" i="36"/>
  <c r="AO11" i="36"/>
  <c r="AW11" i="36"/>
  <c r="BE11" i="36"/>
  <c r="AQ12" i="36"/>
  <c r="AY12" i="36"/>
  <c r="AO15" i="36"/>
  <c r="AW15" i="36"/>
  <c r="BE15" i="36"/>
  <c r="AQ16" i="36"/>
  <c r="AY16" i="36"/>
  <c r="AO19" i="36"/>
  <c r="AW19" i="36"/>
  <c r="BE19" i="36"/>
  <c r="AQ20" i="36"/>
  <c r="AY20" i="36"/>
  <c r="AO23" i="36"/>
  <c r="AW23" i="36"/>
  <c r="BE23" i="36"/>
  <c r="AQ24" i="36"/>
  <c r="AY24" i="36"/>
  <c r="AQ28" i="36"/>
  <c r="AY28" i="36"/>
  <c r="AR4" i="36"/>
  <c r="AZ4" i="36"/>
  <c r="AR8" i="36"/>
  <c r="AZ8" i="36"/>
  <c r="AR12" i="36"/>
  <c r="AZ12" i="36"/>
  <c r="AL13" i="36"/>
  <c r="AT13" i="36"/>
  <c r="BB13" i="36"/>
  <c r="AR16" i="36"/>
  <c r="AZ16" i="36"/>
  <c r="AL17" i="36"/>
  <c r="AT17" i="36"/>
  <c r="BB17" i="36"/>
  <c r="AR20" i="36"/>
  <c r="AZ20" i="36"/>
  <c r="AL21" i="36"/>
  <c r="AT21" i="36"/>
  <c r="BB21" i="36"/>
  <c r="AR24" i="36"/>
  <c r="AZ24" i="36"/>
  <c r="AL25" i="36"/>
  <c r="AT25" i="36"/>
  <c r="BB25" i="36"/>
  <c r="AR28" i="36"/>
  <c r="AZ28" i="36"/>
  <c r="AL29" i="36"/>
  <c r="AT29" i="36"/>
  <c r="BB29" i="36"/>
  <c r="AR7" i="36"/>
  <c r="AZ7" i="36"/>
  <c r="AR11" i="36"/>
  <c r="AZ11" i="36"/>
  <c r="AL12" i="36"/>
  <c r="AT12" i="36"/>
  <c r="BB12" i="36"/>
  <c r="AR15" i="36"/>
  <c r="AZ15" i="36"/>
  <c r="AL16" i="36"/>
  <c r="AT16" i="36"/>
  <c r="BB16" i="36"/>
  <c r="AR19" i="36"/>
  <c r="AZ19" i="36"/>
  <c r="AL20" i="36"/>
  <c r="AT20" i="36"/>
  <c r="BB20" i="36"/>
  <c r="AR23" i="36"/>
  <c r="AZ23" i="36"/>
  <c r="AL24" i="36"/>
  <c r="AT24" i="36"/>
  <c r="BB24" i="36"/>
  <c r="AR5" i="35"/>
  <c r="AR9" i="35"/>
  <c r="AR7" i="35"/>
  <c r="AZ13" i="35"/>
  <c r="AQ22" i="35"/>
  <c r="AY22" i="35"/>
  <c r="AQ27" i="35"/>
  <c r="AR22" i="35"/>
  <c r="AZ22" i="35"/>
  <c r="AR27" i="35"/>
  <c r="AQ10" i="35"/>
  <c r="AY10" i="35"/>
  <c r="AR13" i="35"/>
  <c r="AQ18" i="35"/>
  <c r="AY18" i="35"/>
  <c r="AR6" i="35"/>
  <c r="AZ6" i="35"/>
  <c r="AR10" i="35"/>
  <c r="AZ10" i="35"/>
  <c r="AR18" i="35"/>
  <c r="AZ18" i="35"/>
  <c r="AY14" i="35"/>
  <c r="AZ5" i="35"/>
  <c r="AZ9" i="35"/>
  <c r="AZ11" i="35"/>
  <c r="AZ14" i="35"/>
  <c r="AQ5" i="35"/>
  <c r="AY5" i="35"/>
  <c r="AQ9" i="35"/>
  <c r="AY9" i="35"/>
  <c r="AQ13" i="35"/>
  <c r="AY13" i="35"/>
  <c r="AQ17" i="35"/>
  <c r="AY17" i="35"/>
  <c r="AQ21" i="35"/>
  <c r="AY21" i="35"/>
  <c r="AQ25" i="35"/>
  <c r="AY25" i="35"/>
  <c r="AQ29" i="35"/>
  <c r="AY29" i="35"/>
  <c r="AR17" i="35"/>
  <c r="AZ17" i="35"/>
  <c r="AR21" i="35"/>
  <c r="AZ21" i="35"/>
  <c r="AR25" i="35"/>
  <c r="AZ25" i="35"/>
  <c r="AR29" i="35"/>
  <c r="AZ29" i="35"/>
  <c r="AQ4" i="35"/>
  <c r="AY4" i="35"/>
  <c r="AQ8" i="35"/>
  <c r="AY8" i="35"/>
  <c r="AQ12" i="35"/>
  <c r="AY12" i="35"/>
  <c r="AQ16" i="35"/>
  <c r="AY16" i="35"/>
  <c r="AQ20" i="35"/>
  <c r="AY20" i="35"/>
  <c r="AQ24" i="35"/>
  <c r="AY24" i="35"/>
  <c r="AQ28" i="35"/>
  <c r="AY28" i="35"/>
  <c r="AE30" i="35"/>
  <c r="AR4" i="35"/>
  <c r="AZ4" i="35"/>
  <c r="AR8" i="35"/>
  <c r="AZ8" i="35"/>
  <c r="AP11" i="35"/>
  <c r="AX11" i="35"/>
  <c r="BF11" i="35"/>
  <c r="AR12" i="35"/>
  <c r="AZ12" i="35"/>
  <c r="AL13" i="35"/>
  <c r="AT13" i="35"/>
  <c r="BB13" i="35"/>
  <c r="AP15" i="35"/>
  <c r="AX15" i="35"/>
  <c r="BF15" i="35"/>
  <c r="AR16" i="35"/>
  <c r="AZ16" i="35"/>
  <c r="AL17" i="35"/>
  <c r="AT17" i="35"/>
  <c r="BB17" i="35"/>
  <c r="AP19" i="35"/>
  <c r="AX19" i="35"/>
  <c r="BF19" i="35"/>
  <c r="AR20" i="35"/>
  <c r="AZ20" i="35"/>
  <c r="AL21" i="35"/>
  <c r="AT21" i="35"/>
  <c r="BB21" i="35"/>
  <c r="AP23" i="35"/>
  <c r="AX23" i="35"/>
  <c r="BF23" i="35"/>
  <c r="AR24" i="35"/>
  <c r="AZ24" i="35"/>
  <c r="AL25" i="35"/>
  <c r="AT25" i="35"/>
  <c r="BB25" i="35"/>
  <c r="AR28" i="35"/>
  <c r="AZ28" i="35"/>
  <c r="AQ7" i="35"/>
  <c r="AY7" i="35"/>
  <c r="AQ11" i="35"/>
  <c r="AY11" i="35"/>
  <c r="AQ15" i="35"/>
  <c r="AY15" i="35"/>
  <c r="AQ19" i="35"/>
  <c r="AY19" i="35"/>
  <c r="AQ23" i="35"/>
  <c r="AY23" i="35"/>
  <c r="AR15" i="35"/>
  <c r="AZ15" i="35"/>
  <c r="AR19" i="35"/>
  <c r="AZ19" i="35"/>
  <c r="AR23" i="35"/>
  <c r="AZ23" i="35"/>
  <c r="AZ4" i="34"/>
  <c r="AZ7" i="34"/>
  <c r="AR14" i="34"/>
  <c r="AZ14" i="34"/>
  <c r="AR25" i="34"/>
  <c r="AR28" i="34"/>
  <c r="AR4" i="34"/>
  <c r="AR7" i="34"/>
  <c r="AZ9" i="34"/>
  <c r="AZ12" i="34"/>
  <c r="AZ15" i="34"/>
  <c r="AR22" i="34"/>
  <c r="AZ22" i="34"/>
  <c r="AQ26" i="34"/>
  <c r="AR5" i="34"/>
  <c r="AR8" i="34"/>
  <c r="AR11" i="34"/>
  <c r="AZ13" i="34"/>
  <c r="AZ16" i="34"/>
  <c r="AZ19" i="34"/>
  <c r="AR26" i="34"/>
  <c r="AZ26" i="34"/>
  <c r="AR9" i="34"/>
  <c r="AR12" i="34"/>
  <c r="AR15" i="34"/>
  <c r="AZ17" i="34"/>
  <c r="AZ20" i="34"/>
  <c r="AZ23" i="34"/>
  <c r="AR13" i="34"/>
  <c r="AR16" i="34"/>
  <c r="AR19" i="34"/>
  <c r="AZ21" i="34"/>
  <c r="AZ24" i="34"/>
  <c r="AZ27" i="34"/>
  <c r="AR6" i="34"/>
  <c r="AZ6" i="34"/>
  <c r="AR17" i="34"/>
  <c r="AR20" i="34"/>
  <c r="AR23" i="34"/>
  <c r="AZ25" i="34"/>
  <c r="AZ28" i="34"/>
  <c r="AR10" i="34"/>
  <c r="AZ10" i="34"/>
  <c r="AR21" i="34"/>
  <c r="AR24" i="34"/>
  <c r="AE30" i="34"/>
  <c r="AL7" i="34"/>
  <c r="AT7" i="34"/>
  <c r="BB7" i="34"/>
  <c r="AL11" i="34"/>
  <c r="AT11" i="34"/>
  <c r="BB11" i="34"/>
  <c r="AL15" i="34"/>
  <c r="AT15" i="34"/>
  <c r="BB15" i="34"/>
  <c r="AL19" i="34"/>
  <c r="AT19" i="34"/>
  <c r="BB19" i="34"/>
  <c r="AL23" i="34"/>
  <c r="AT23" i="34"/>
  <c r="BB23" i="34"/>
  <c r="AL27" i="34"/>
  <c r="AT27" i="34"/>
  <c r="BB27" i="34"/>
  <c r="AQ5" i="34"/>
  <c r="AY5" i="34"/>
  <c r="AQ9" i="34"/>
  <c r="AY9" i="34"/>
  <c r="AQ13" i="34"/>
  <c r="AY13" i="34"/>
  <c r="AQ17" i="34"/>
  <c r="AY17" i="34"/>
  <c r="AQ21" i="34"/>
  <c r="AY21" i="34"/>
  <c r="AQ25" i="34"/>
  <c r="AY25" i="34"/>
  <c r="AQ29" i="34"/>
  <c r="AY29" i="34"/>
  <c r="AQ4" i="34"/>
  <c r="AY4" i="34"/>
  <c r="AQ8" i="34"/>
  <c r="AY8" i="34"/>
  <c r="AQ12" i="34"/>
  <c r="AY12" i="34"/>
  <c r="AQ16" i="34"/>
  <c r="AY16" i="34"/>
  <c r="AQ20" i="34"/>
  <c r="AY20" i="34"/>
  <c r="AQ24" i="34"/>
  <c r="AY24" i="34"/>
  <c r="AQ28" i="34"/>
  <c r="AY28" i="34"/>
  <c r="AL5" i="34"/>
  <c r="AT5" i="34"/>
  <c r="BB5" i="34"/>
  <c r="AL9" i="34"/>
  <c r="AT9" i="34"/>
  <c r="BB9" i="34"/>
  <c r="AL13" i="34"/>
  <c r="AT13" i="34"/>
  <c r="BB13" i="34"/>
  <c r="AL17" i="34"/>
  <c r="AT17" i="34"/>
  <c r="BB17" i="34"/>
  <c r="AL21" i="34"/>
  <c r="AT21" i="34"/>
  <c r="BB21" i="34"/>
  <c r="AL25" i="34"/>
  <c r="AT25" i="34"/>
  <c r="BB25" i="34"/>
  <c r="AL29" i="34"/>
  <c r="AT29" i="34"/>
  <c r="BB29" i="34"/>
  <c r="AQ7" i="34"/>
  <c r="AY7" i="34"/>
  <c r="AQ11" i="34"/>
  <c r="AY11" i="34"/>
  <c r="AQ15" i="34"/>
  <c r="AY15" i="34"/>
  <c r="AQ19" i="34"/>
  <c r="AY19" i="34"/>
  <c r="AQ23" i="34"/>
  <c r="AY23" i="34"/>
  <c r="AL4" i="34"/>
  <c r="AT4" i="34"/>
  <c r="BB4" i="34"/>
  <c r="AL8" i="34"/>
  <c r="AT8" i="34"/>
  <c r="BB8" i="34"/>
  <c r="AL12" i="34"/>
  <c r="AT12" i="34"/>
  <c r="BB12" i="34"/>
  <c r="AL16" i="34"/>
  <c r="AT16" i="34"/>
  <c r="BB16" i="34"/>
  <c r="AL20" i="34"/>
  <c r="AT20" i="34"/>
  <c r="BB20" i="34"/>
  <c r="AL24" i="34"/>
  <c r="AT24" i="34"/>
  <c r="BB24" i="34"/>
  <c r="AK13" i="33"/>
  <c r="BA15" i="33"/>
  <c r="AS17" i="33"/>
  <c r="AS19" i="33"/>
  <c r="BA20" i="33"/>
  <c r="AK22" i="33"/>
  <c r="AK27" i="33"/>
  <c r="AS28" i="33"/>
  <c r="BA29" i="33"/>
  <c r="AE30" i="33"/>
  <c r="AS12" i="33"/>
  <c r="AR14" i="33"/>
  <c r="AZ14" i="33"/>
  <c r="AR18" i="33"/>
  <c r="AZ18" i="33"/>
  <c r="AS23" i="33"/>
  <c r="BA24" i="33"/>
  <c r="AK26" i="33"/>
  <c r="AZ27" i="33"/>
  <c r="AK12" i="33"/>
  <c r="AK14" i="33"/>
  <c r="AS14" i="33"/>
  <c r="BA14" i="33"/>
  <c r="BA16" i="33"/>
  <c r="AK18" i="33"/>
  <c r="AS18" i="33"/>
  <c r="BA18" i="33"/>
  <c r="AK20" i="33"/>
  <c r="AS21" i="33"/>
  <c r="BA27" i="33"/>
  <c r="AK29" i="33"/>
  <c r="AS16" i="33"/>
  <c r="AK23" i="33"/>
  <c r="AS24" i="33"/>
  <c r="BA25" i="33"/>
  <c r="BA13" i="33"/>
  <c r="AK16" i="33"/>
  <c r="BA17" i="33"/>
  <c r="BA19" i="33"/>
  <c r="AK21" i="33"/>
  <c r="AZ22" i="33"/>
  <c r="AS27" i="33"/>
  <c r="BA28" i="33"/>
  <c r="AR6" i="33"/>
  <c r="AS13" i="33"/>
  <c r="AS22" i="33"/>
  <c r="AR22" i="33"/>
  <c r="AR26" i="33"/>
  <c r="AQ17" i="33"/>
  <c r="AY17" i="33"/>
  <c r="AQ21" i="33"/>
  <c r="AY21" i="33"/>
  <c r="AQ25" i="33"/>
  <c r="AY25" i="33"/>
  <c r="AQ29" i="33"/>
  <c r="AY29" i="33"/>
  <c r="AR5" i="33"/>
  <c r="AZ5" i="33"/>
  <c r="AR9" i="33"/>
  <c r="AZ9" i="33"/>
  <c r="AR13" i="33"/>
  <c r="AZ13" i="33"/>
  <c r="AR17" i="33"/>
  <c r="AZ17" i="33"/>
  <c r="AR21" i="33"/>
  <c r="AZ21" i="33"/>
  <c r="AR25" i="33"/>
  <c r="AZ25" i="33"/>
  <c r="AR29" i="33"/>
  <c r="AZ29" i="33"/>
  <c r="AQ20" i="33"/>
  <c r="AY20" i="33"/>
  <c r="AQ24" i="33"/>
  <c r="AY24" i="33"/>
  <c r="AQ28" i="33"/>
  <c r="AY28" i="33"/>
  <c r="AR4" i="33"/>
  <c r="AZ4" i="33"/>
  <c r="AR8" i="33"/>
  <c r="AZ8" i="33"/>
  <c r="AR12" i="33"/>
  <c r="AZ12" i="33"/>
  <c r="AR16" i="33"/>
  <c r="AZ16" i="33"/>
  <c r="AR20" i="33"/>
  <c r="AZ20" i="33"/>
  <c r="AR24" i="33"/>
  <c r="AZ24" i="33"/>
  <c r="AR28" i="33"/>
  <c r="AZ28" i="33"/>
  <c r="AQ19" i="33"/>
  <c r="AY19" i="33"/>
  <c r="AQ23" i="33"/>
  <c r="AY23" i="33"/>
  <c r="AR7" i="33"/>
  <c r="AZ7" i="33"/>
  <c r="AR11" i="33"/>
  <c r="AZ11" i="33"/>
  <c r="AR15" i="33"/>
  <c r="AZ15" i="33"/>
  <c r="AR19" i="33"/>
  <c r="AZ19" i="33"/>
  <c r="AR23" i="33"/>
  <c r="AZ23" i="33"/>
  <c r="AE30" i="32"/>
  <c r="AQ14" i="32"/>
  <c r="AY14" i="32"/>
  <c r="AQ18" i="32"/>
  <c r="AY18" i="32"/>
  <c r="AQ26" i="32"/>
  <c r="AY26" i="32"/>
  <c r="AQ27" i="32"/>
  <c r="AQ6" i="32"/>
  <c r="AY6" i="32"/>
  <c r="AY22" i="32"/>
  <c r="AL7" i="32"/>
  <c r="AT7" i="32"/>
  <c r="BB7" i="32"/>
  <c r="AL11" i="32"/>
  <c r="AT11" i="32"/>
  <c r="BB11" i="32"/>
  <c r="AL15" i="32"/>
  <c r="AT15" i="32"/>
  <c r="BB15" i="32"/>
  <c r="AL19" i="32"/>
  <c r="AT19" i="32"/>
  <c r="BB19" i="32"/>
  <c r="AL23" i="32"/>
  <c r="AT23" i="32"/>
  <c r="BB23" i="32"/>
  <c r="AL27" i="32"/>
  <c r="AT27" i="32"/>
  <c r="BB27" i="32"/>
  <c r="AQ5" i="32"/>
  <c r="AY5" i="32"/>
  <c r="AQ9" i="32"/>
  <c r="AY9" i="32"/>
  <c r="AQ13" i="32"/>
  <c r="AY13" i="32"/>
  <c r="AQ17" i="32"/>
  <c r="AY17" i="32"/>
  <c r="AQ21" i="32"/>
  <c r="AY21" i="32"/>
  <c r="AQ25" i="32"/>
  <c r="AY25" i="32"/>
  <c r="AQ29" i="32"/>
  <c r="AY29" i="32"/>
  <c r="AQ4" i="32"/>
  <c r="AY4" i="32"/>
  <c r="AQ8" i="32"/>
  <c r="AY8" i="32"/>
  <c r="AQ12" i="32"/>
  <c r="AY12" i="32"/>
  <c r="AQ16" i="32"/>
  <c r="AY16" i="32"/>
  <c r="AQ20" i="32"/>
  <c r="AY20" i="32"/>
  <c r="AQ24" i="32"/>
  <c r="AY24" i="32"/>
  <c r="AQ28" i="32"/>
  <c r="AY28" i="32"/>
  <c r="AL5" i="32"/>
  <c r="AT5" i="32"/>
  <c r="BB5" i="32"/>
  <c r="AL9" i="32"/>
  <c r="AT9" i="32"/>
  <c r="BB9" i="32"/>
  <c r="AL13" i="32"/>
  <c r="AT13" i="32"/>
  <c r="BB13" i="32"/>
  <c r="AL17" i="32"/>
  <c r="AT17" i="32"/>
  <c r="BB17" i="32"/>
  <c r="AR20" i="32"/>
  <c r="AZ20" i="32"/>
  <c r="AL21" i="32"/>
  <c r="AT21" i="32"/>
  <c r="BB21" i="32"/>
  <c r="AR24" i="32"/>
  <c r="AZ24" i="32"/>
  <c r="AL25" i="32"/>
  <c r="AT25" i="32"/>
  <c r="BB25" i="32"/>
  <c r="AR28" i="32"/>
  <c r="AZ28" i="32"/>
  <c r="AL29" i="32"/>
  <c r="AT29" i="32"/>
  <c r="BB29" i="32"/>
  <c r="AQ7" i="32"/>
  <c r="AY7" i="32"/>
  <c r="AQ11" i="32"/>
  <c r="AY11" i="32"/>
  <c r="AQ15" i="32"/>
  <c r="AY15" i="32"/>
  <c r="AQ19" i="32"/>
  <c r="AY19" i="32"/>
  <c r="AQ23" i="32"/>
  <c r="AY23" i="32"/>
  <c r="AL4" i="32"/>
  <c r="AT4" i="32"/>
  <c r="BB4" i="32"/>
  <c r="AL8" i="32"/>
  <c r="AT8" i="32"/>
  <c r="BB8" i="32"/>
  <c r="AL12" i="32"/>
  <c r="AT12" i="32"/>
  <c r="BB12" i="32"/>
  <c r="AL16" i="32"/>
  <c r="AT16" i="32"/>
  <c r="BB16" i="32"/>
  <c r="AR19" i="32"/>
  <c r="AZ19" i="32"/>
  <c r="AL20" i="32"/>
  <c r="AT20" i="32"/>
  <c r="BB20" i="32"/>
  <c r="AR23" i="32"/>
  <c r="AZ23" i="32"/>
  <c r="AL24" i="32"/>
  <c r="AT24" i="32"/>
  <c r="BB24" i="32"/>
  <c r="AE30" i="31"/>
  <c r="AR4" i="31"/>
  <c r="BA5" i="31"/>
  <c r="AR7" i="31"/>
  <c r="BA8" i="31"/>
  <c r="AO9" i="31"/>
  <c r="AZ9" i="31"/>
  <c r="BA11" i="31"/>
  <c r="AO12" i="31"/>
  <c r="AZ12" i="31"/>
  <c r="AO15" i="31"/>
  <c r="AZ15" i="31"/>
  <c r="AW17" i="31"/>
  <c r="AK18" i="31"/>
  <c r="AS18" i="31"/>
  <c r="BA18" i="31"/>
  <c r="AW20" i="31"/>
  <c r="AK21" i="31"/>
  <c r="AR22" i="31"/>
  <c r="AZ22" i="31"/>
  <c r="BA24" i="31"/>
  <c r="AO25" i="31"/>
  <c r="AZ25" i="31"/>
  <c r="AS28" i="31"/>
  <c r="BE28" i="31"/>
  <c r="AS29" i="31"/>
  <c r="AZ27" i="31"/>
  <c r="AR9" i="31"/>
  <c r="AR12" i="31"/>
  <c r="AR15" i="31"/>
  <c r="AZ17" i="31"/>
  <c r="AZ20" i="31"/>
  <c r="AR25" i="31"/>
  <c r="AK4" i="31"/>
  <c r="BE5" i="31"/>
  <c r="AK7" i="31"/>
  <c r="BE8" i="31"/>
  <c r="AS9" i="31"/>
  <c r="BE11" i="31"/>
  <c r="AS12" i="31"/>
  <c r="AR13" i="31"/>
  <c r="AO14" i="31"/>
  <c r="AW14" i="31"/>
  <c r="BE14" i="31"/>
  <c r="AS15" i="31"/>
  <c r="AR16" i="31"/>
  <c r="BA17" i="31"/>
  <c r="AR19" i="31"/>
  <c r="BA20" i="31"/>
  <c r="AO21" i="31"/>
  <c r="AZ21" i="31"/>
  <c r="AS24" i="31"/>
  <c r="BE24" i="31"/>
  <c r="AS25" i="31"/>
  <c r="AK28" i="31"/>
  <c r="AW28" i="31"/>
  <c r="AW29" i="31"/>
  <c r="AW4" i="31"/>
  <c r="AK5" i="31"/>
  <c r="AR6" i="31"/>
  <c r="AZ6" i="31"/>
  <c r="AW7" i="31"/>
  <c r="AK8" i="31"/>
  <c r="BE9" i="31"/>
  <c r="AK11" i="31"/>
  <c r="BE12" i="31"/>
  <c r="AS13" i="31"/>
  <c r="BE15" i="31"/>
  <c r="AS16" i="31"/>
  <c r="AR17" i="31"/>
  <c r="AO18" i="31"/>
  <c r="AW18" i="31"/>
  <c r="BE18" i="31"/>
  <c r="AS19" i="31"/>
  <c r="AR20" i="31"/>
  <c r="BA21" i="31"/>
  <c r="AS23" i="31"/>
  <c r="BE23" i="31"/>
  <c r="BE25" i="31"/>
  <c r="AQ26" i="31"/>
  <c r="AY26" i="31"/>
  <c r="AK27" i="31"/>
  <c r="AW27" i="31"/>
  <c r="AQ27" i="31"/>
  <c r="AW5" i="31"/>
  <c r="AK6" i="31"/>
  <c r="AS6" i="31"/>
  <c r="BA6" i="31"/>
  <c r="AW8" i="31"/>
  <c r="AK9" i="31"/>
  <c r="AR10" i="31"/>
  <c r="AZ10" i="31"/>
  <c r="AW11" i="31"/>
  <c r="AK12" i="31"/>
  <c r="BE13" i="31"/>
  <c r="AQ14" i="31"/>
  <c r="AY14" i="31"/>
  <c r="AK15" i="31"/>
  <c r="BE16" i="31"/>
  <c r="AS17" i="31"/>
  <c r="BE19" i="31"/>
  <c r="AS20" i="31"/>
  <c r="AR21" i="31"/>
  <c r="AO22" i="31"/>
  <c r="AW22" i="31"/>
  <c r="BE22" i="31"/>
  <c r="AK25" i="31"/>
  <c r="AR26" i="31"/>
  <c r="AZ26" i="31"/>
  <c r="BA28" i="31"/>
  <c r="AO29" i="31"/>
  <c r="AZ29" i="31"/>
  <c r="AR27" i="31"/>
  <c r="AZ4" i="31"/>
  <c r="AZ7" i="31"/>
  <c r="AR14" i="31"/>
  <c r="AZ14" i="31"/>
  <c r="AK24" i="31"/>
  <c r="AK26" i="31"/>
  <c r="AS26" i="31"/>
  <c r="BA26" i="31"/>
  <c r="BA27" i="31"/>
  <c r="BA29" i="31"/>
  <c r="BA4" i="31"/>
  <c r="AO5" i="31"/>
  <c r="AZ5" i="31"/>
  <c r="BA7" i="31"/>
  <c r="AO8" i="31"/>
  <c r="AZ8" i="31"/>
  <c r="AO11" i="31"/>
  <c r="AZ11" i="31"/>
  <c r="AW13" i="31"/>
  <c r="AK14" i="31"/>
  <c r="AW16" i="31"/>
  <c r="AK17" i="31"/>
  <c r="AR18" i="31"/>
  <c r="AW19" i="31"/>
  <c r="AK20" i="31"/>
  <c r="AY22" i="31"/>
  <c r="AL7" i="31"/>
  <c r="AT7" i="31"/>
  <c r="BB7" i="31"/>
  <c r="AL11" i="31"/>
  <c r="AT11" i="31"/>
  <c r="BB11" i="31"/>
  <c r="AL15" i="31"/>
  <c r="AT15" i="31"/>
  <c r="BB15" i="31"/>
  <c r="AL19" i="31"/>
  <c r="AT19" i="31"/>
  <c r="BB19" i="31"/>
  <c r="AL23" i="31"/>
  <c r="AT23" i="31"/>
  <c r="BB23" i="31"/>
  <c r="AL27" i="31"/>
  <c r="AT27" i="31"/>
  <c r="BB27" i="31"/>
  <c r="AQ5" i="31"/>
  <c r="AY5" i="31"/>
  <c r="AQ9" i="31"/>
  <c r="AY9" i="31"/>
  <c r="AQ13" i="31"/>
  <c r="AY13" i="31"/>
  <c r="AQ17" i="31"/>
  <c r="AY17" i="31"/>
  <c r="AQ21" i="31"/>
  <c r="AY21" i="31"/>
  <c r="AQ25" i="31"/>
  <c r="AY25" i="31"/>
  <c r="AQ29" i="31"/>
  <c r="AY29" i="31"/>
  <c r="AQ4" i="31"/>
  <c r="AY4" i="31"/>
  <c r="AQ8" i="31"/>
  <c r="AY8" i="31"/>
  <c r="AQ12" i="31"/>
  <c r="AY12" i="31"/>
  <c r="AQ16" i="31"/>
  <c r="AY16" i="31"/>
  <c r="AQ20" i="31"/>
  <c r="AY20" i="31"/>
  <c r="AQ24" i="31"/>
  <c r="AY24" i="31"/>
  <c r="AQ28" i="31"/>
  <c r="AY28" i="31"/>
  <c r="AL5" i="31"/>
  <c r="AT5" i="31"/>
  <c r="BB5" i="31"/>
  <c r="AL9" i="31"/>
  <c r="AT9" i="31"/>
  <c r="BB9" i="31"/>
  <c r="AL13" i="31"/>
  <c r="AT13" i="31"/>
  <c r="BB13" i="31"/>
  <c r="AL17" i="31"/>
  <c r="AT17" i="31"/>
  <c r="BB17" i="31"/>
  <c r="AL21" i="31"/>
  <c r="AT21" i="31"/>
  <c r="BB21" i="31"/>
  <c r="AR24" i="31"/>
  <c r="AZ24" i="31"/>
  <c r="AL25" i="31"/>
  <c r="AT25" i="31"/>
  <c r="BB25" i="31"/>
  <c r="AR28" i="31"/>
  <c r="AZ28" i="31"/>
  <c r="AL29" i="31"/>
  <c r="AT29" i="31"/>
  <c r="BB29" i="31"/>
  <c r="AQ7" i="31"/>
  <c r="AY7" i="31"/>
  <c r="AQ11" i="31"/>
  <c r="AY11" i="31"/>
  <c r="AQ15" i="31"/>
  <c r="AY15" i="31"/>
  <c r="AQ19" i="31"/>
  <c r="AY19" i="31"/>
  <c r="AQ23" i="31"/>
  <c r="AY23" i="31"/>
  <c r="AL4" i="31"/>
  <c r="AT4" i="31"/>
  <c r="BB4" i="31"/>
  <c r="AL8" i="31"/>
  <c r="AT8" i="31"/>
  <c r="BB8" i="31"/>
  <c r="AL12" i="31"/>
  <c r="AT12" i="31"/>
  <c r="BB12" i="31"/>
  <c r="AL16" i="31"/>
  <c r="AT16" i="31"/>
  <c r="BB16" i="31"/>
  <c r="AL20" i="31"/>
  <c r="AT20" i="31"/>
  <c r="BB20" i="31"/>
  <c r="AR23" i="31"/>
  <c r="AZ23" i="31"/>
  <c r="AL24" i="31"/>
  <c r="AT24" i="31"/>
  <c r="BB24" i="31"/>
  <c r="AY5" i="30"/>
  <c r="AY12" i="30"/>
  <c r="AY19" i="30"/>
  <c r="AY27" i="30"/>
  <c r="AQ5" i="30"/>
  <c r="AQ12" i="30"/>
  <c r="BE13" i="30"/>
  <c r="AQ14" i="30"/>
  <c r="AY14" i="30"/>
  <c r="AO16" i="30"/>
  <c r="AO18" i="30"/>
  <c r="AW18" i="30"/>
  <c r="BE18" i="30"/>
  <c r="AQ19" i="30"/>
  <c r="BE20" i="30"/>
  <c r="AO22" i="30"/>
  <c r="AW22" i="30"/>
  <c r="BE22" i="30"/>
  <c r="AO24" i="30"/>
  <c r="AW25" i="30"/>
  <c r="AW27" i="30"/>
  <c r="BE28" i="30"/>
  <c r="AE30" i="30"/>
  <c r="AY7" i="30"/>
  <c r="AY9" i="30"/>
  <c r="AY16" i="30"/>
  <c r="AQ7" i="30"/>
  <c r="AQ9" i="30"/>
  <c r="BE15" i="30"/>
  <c r="AQ16" i="30"/>
  <c r="BE17" i="30"/>
  <c r="AQ18" i="30"/>
  <c r="AY18" i="30"/>
  <c r="AO20" i="30"/>
  <c r="BE21" i="30"/>
  <c r="AQ22" i="30"/>
  <c r="AY22" i="30"/>
  <c r="BE23" i="30"/>
  <c r="AO25" i="30"/>
  <c r="AW28" i="30"/>
  <c r="AY4" i="30"/>
  <c r="AY11" i="30"/>
  <c r="AY13" i="30"/>
  <c r="AW15" i="30"/>
  <c r="AW17" i="30"/>
  <c r="AR18" i="30"/>
  <c r="AZ18" i="30"/>
  <c r="AY20" i="30"/>
  <c r="AL21" i="30"/>
  <c r="AR22" i="30"/>
  <c r="AL23" i="30"/>
  <c r="AT24" i="30"/>
  <c r="BB25" i="30"/>
  <c r="BB27" i="30"/>
  <c r="AL29" i="30"/>
  <c r="AQ4" i="30"/>
  <c r="AQ6" i="30"/>
  <c r="AY6" i="30"/>
  <c r="AQ11" i="30"/>
  <c r="AQ13" i="30"/>
  <c r="AQ20" i="30"/>
  <c r="AY8" i="30"/>
  <c r="AY15" i="30"/>
  <c r="AL22" i="30"/>
  <c r="AT22" i="30"/>
  <c r="BB22" i="30"/>
  <c r="AT25" i="30"/>
  <c r="AQ21" i="30"/>
  <c r="AY21" i="30"/>
  <c r="AQ25" i="30"/>
  <c r="AY25" i="30"/>
  <c r="AQ29" i="30"/>
  <c r="AY29" i="30"/>
  <c r="AR5" i="30"/>
  <c r="AZ5" i="30"/>
  <c r="AR9" i="30"/>
  <c r="AZ9" i="30"/>
  <c r="AR13" i="30"/>
  <c r="AZ13" i="30"/>
  <c r="AR17" i="30"/>
  <c r="AZ17" i="30"/>
  <c r="AR21" i="30"/>
  <c r="AZ21" i="30"/>
  <c r="AR25" i="30"/>
  <c r="AZ25" i="30"/>
  <c r="AR29" i="30"/>
  <c r="AZ29" i="30"/>
  <c r="AQ24" i="30"/>
  <c r="AY24" i="30"/>
  <c r="AQ28" i="30"/>
  <c r="AY28" i="30"/>
  <c r="AR4" i="30"/>
  <c r="AZ4" i="30"/>
  <c r="AR8" i="30"/>
  <c r="AZ8" i="30"/>
  <c r="AR12" i="30"/>
  <c r="AZ12" i="30"/>
  <c r="AR16" i="30"/>
  <c r="AZ16" i="30"/>
  <c r="AR20" i="30"/>
  <c r="AZ20" i="30"/>
  <c r="AR24" i="30"/>
  <c r="AZ24" i="30"/>
  <c r="AR28" i="30"/>
  <c r="AZ28" i="30"/>
  <c r="AQ23" i="30"/>
  <c r="AY23" i="30"/>
  <c r="AR7" i="30"/>
  <c r="AZ7" i="30"/>
  <c r="AR11" i="30"/>
  <c r="AZ11" i="30"/>
  <c r="AR15" i="30"/>
  <c r="AZ15" i="30"/>
  <c r="AR19" i="30"/>
  <c r="AZ19" i="30"/>
  <c r="AR23" i="30"/>
  <c r="AZ23" i="30"/>
  <c r="AZ27" i="29"/>
  <c r="AR22" i="29"/>
  <c r="AZ22" i="29"/>
  <c r="AQ26" i="29"/>
  <c r="AY26" i="29"/>
  <c r="AY19" i="29"/>
  <c r="AR26" i="29"/>
  <c r="AZ26" i="29"/>
  <c r="AR6" i="29"/>
  <c r="AZ6" i="29"/>
  <c r="AY17" i="29"/>
  <c r="AY20" i="29"/>
  <c r="AY23" i="29"/>
  <c r="AR14" i="29"/>
  <c r="AE14" i="29" s="1"/>
  <c r="AZ14" i="29"/>
  <c r="AQ19" i="29"/>
  <c r="AY21" i="29"/>
  <c r="AY24" i="29"/>
  <c r="AY27" i="29"/>
  <c r="AR10" i="29"/>
  <c r="AQ20" i="29"/>
  <c r="AQ23" i="29"/>
  <c r="AY25" i="29"/>
  <c r="AY28" i="29"/>
  <c r="AQ21" i="29"/>
  <c r="AQ24" i="29"/>
  <c r="AE30" i="29"/>
  <c r="AK19" i="29"/>
  <c r="AS19" i="29"/>
  <c r="BA19" i="29"/>
  <c r="AK23" i="29"/>
  <c r="AS23" i="29"/>
  <c r="BA23" i="29"/>
  <c r="AK27" i="29"/>
  <c r="AS27" i="29"/>
  <c r="BA27" i="29"/>
  <c r="AR5" i="29"/>
  <c r="AZ5" i="29"/>
  <c r="AR9" i="29"/>
  <c r="AZ9" i="29"/>
  <c r="AR13" i="29"/>
  <c r="AZ13" i="29"/>
  <c r="AR17" i="29"/>
  <c r="AZ17" i="29"/>
  <c r="AR21" i="29"/>
  <c r="AZ21" i="29"/>
  <c r="AR25" i="29"/>
  <c r="AZ25" i="29"/>
  <c r="AR29" i="29"/>
  <c r="AZ29" i="29"/>
  <c r="AK13" i="29"/>
  <c r="AS13" i="29"/>
  <c r="BA13" i="29"/>
  <c r="AK17" i="29"/>
  <c r="AS17" i="29"/>
  <c r="BA17" i="29"/>
  <c r="AK21" i="29"/>
  <c r="AS21" i="29"/>
  <c r="BA21" i="29"/>
  <c r="AK25" i="29"/>
  <c r="AS25" i="29"/>
  <c r="BA25" i="29"/>
  <c r="AK29" i="29"/>
  <c r="AS29" i="29"/>
  <c r="BA29" i="29"/>
  <c r="AR4" i="29"/>
  <c r="AZ4" i="29"/>
  <c r="AR8" i="29"/>
  <c r="AZ8" i="29"/>
  <c r="AR12" i="29"/>
  <c r="AE12" i="29" s="1"/>
  <c r="AZ12" i="29"/>
  <c r="AR16" i="29"/>
  <c r="AZ16" i="29"/>
  <c r="AR20" i="29"/>
  <c r="AZ20" i="29"/>
  <c r="AR24" i="29"/>
  <c r="AZ24" i="29"/>
  <c r="AR28" i="29"/>
  <c r="AE28" i="29" s="1"/>
  <c r="AZ28" i="29"/>
  <c r="AK16" i="29"/>
  <c r="AS16" i="29"/>
  <c r="BA16" i="29"/>
  <c r="AK20" i="29"/>
  <c r="AS20" i="29"/>
  <c r="BA20" i="29"/>
  <c r="AK24" i="29"/>
  <c r="AS24" i="29"/>
  <c r="BA24" i="29"/>
  <c r="AR7" i="29"/>
  <c r="AZ7" i="29"/>
  <c r="AR11" i="29"/>
  <c r="AZ11" i="29"/>
  <c r="AR15" i="29"/>
  <c r="AZ15" i="29"/>
  <c r="AR19" i="29"/>
  <c r="AZ19" i="29"/>
  <c r="AR23" i="29"/>
  <c r="AZ23" i="29"/>
  <c r="AR14" i="28"/>
  <c r="AZ14" i="28"/>
  <c r="AZ27" i="28"/>
  <c r="AR22" i="28"/>
  <c r="AZ22" i="28"/>
  <c r="AQ26" i="28"/>
  <c r="AY26" i="28"/>
  <c r="AR26" i="28"/>
  <c r="AZ26" i="28"/>
  <c r="AY20" i="28"/>
  <c r="AY23" i="28"/>
  <c r="AQ19" i="28"/>
  <c r="AY21" i="28"/>
  <c r="AY24" i="28"/>
  <c r="AY27" i="28"/>
  <c r="AQ17" i="28"/>
  <c r="AQ20" i="28"/>
  <c r="AQ23" i="28"/>
  <c r="AY25" i="28"/>
  <c r="AY28" i="28"/>
  <c r="AR27" i="28"/>
  <c r="AQ21" i="28"/>
  <c r="AQ24" i="28"/>
  <c r="AK15" i="28"/>
  <c r="AS15" i="28"/>
  <c r="BA15" i="28"/>
  <c r="AK19" i="28"/>
  <c r="AS19" i="28"/>
  <c r="BA19" i="28"/>
  <c r="AK23" i="28"/>
  <c r="AS23" i="28"/>
  <c r="BA23" i="28"/>
  <c r="AK27" i="28"/>
  <c r="AS27" i="28"/>
  <c r="BA27" i="28"/>
  <c r="AR5" i="28"/>
  <c r="AZ5" i="28"/>
  <c r="AR9" i="28"/>
  <c r="AZ9" i="28"/>
  <c r="AR13" i="28"/>
  <c r="AZ13" i="28"/>
  <c r="AR17" i="28"/>
  <c r="AZ17" i="28"/>
  <c r="AR21" i="28"/>
  <c r="AZ21" i="28"/>
  <c r="AR25" i="28"/>
  <c r="AZ25" i="28"/>
  <c r="AR29" i="28"/>
  <c r="AZ29" i="28"/>
  <c r="AK13" i="28"/>
  <c r="AS13" i="28"/>
  <c r="BA13" i="28"/>
  <c r="AK17" i="28"/>
  <c r="AS17" i="28"/>
  <c r="BA17" i="28"/>
  <c r="AK21" i="28"/>
  <c r="AS21" i="28"/>
  <c r="BA21" i="28"/>
  <c r="AK25" i="28"/>
  <c r="AS25" i="28"/>
  <c r="BA25" i="28"/>
  <c r="AK29" i="28"/>
  <c r="AS29" i="28"/>
  <c r="BA29" i="28"/>
  <c r="AR4" i="28"/>
  <c r="AZ4" i="28"/>
  <c r="AR8" i="28"/>
  <c r="AZ8" i="28"/>
  <c r="AR12" i="28"/>
  <c r="AZ12" i="28"/>
  <c r="AR16" i="28"/>
  <c r="AZ16" i="28"/>
  <c r="AR20" i="28"/>
  <c r="AZ20" i="28"/>
  <c r="AR24" i="28"/>
  <c r="AZ24" i="28"/>
  <c r="AR28" i="28"/>
  <c r="AZ28" i="28"/>
  <c r="AK16" i="28"/>
  <c r="AS16" i="28"/>
  <c r="BA16" i="28"/>
  <c r="AK20" i="28"/>
  <c r="AS20" i="28"/>
  <c r="BA20" i="28"/>
  <c r="AK24" i="28"/>
  <c r="AS24" i="28"/>
  <c r="BA24" i="28"/>
  <c r="AE30" i="28"/>
  <c r="AR7" i="28"/>
  <c r="AZ7" i="28"/>
  <c r="AR11" i="28"/>
  <c r="AZ11" i="28"/>
  <c r="AR15" i="28"/>
  <c r="AZ15" i="28"/>
  <c r="AR19" i="28"/>
  <c r="AZ19" i="28"/>
  <c r="AR23" i="28"/>
  <c r="AZ23" i="28"/>
  <c r="AK19" i="27"/>
  <c r="AS20" i="27"/>
  <c r="BA21" i="27"/>
  <c r="BA23" i="27"/>
  <c r="AK25" i="27"/>
  <c r="AK27" i="27"/>
  <c r="AS28" i="27"/>
  <c r="BA29" i="27"/>
  <c r="BA19" i="27"/>
  <c r="AK21" i="27"/>
  <c r="AK23" i="27"/>
  <c r="AS24" i="27"/>
  <c r="BA25" i="27"/>
  <c r="BA27" i="27"/>
  <c r="AK29" i="27"/>
  <c r="AR14" i="27"/>
  <c r="AZ14" i="27"/>
  <c r="AR22" i="27"/>
  <c r="AZ22" i="27"/>
  <c r="AS19" i="27"/>
  <c r="BA20" i="27"/>
  <c r="AK22" i="27"/>
  <c r="AS22" i="27"/>
  <c r="BA22" i="27"/>
  <c r="AS25" i="27"/>
  <c r="AR6" i="27"/>
  <c r="AE6" i="27" s="1"/>
  <c r="AZ6" i="27"/>
  <c r="AR10" i="27"/>
  <c r="AE30" i="27"/>
  <c r="AQ9" i="27"/>
  <c r="AY9" i="27"/>
  <c r="AQ13" i="27"/>
  <c r="AY13" i="27"/>
  <c r="AQ17" i="27"/>
  <c r="AY17" i="27"/>
  <c r="AQ21" i="27"/>
  <c r="AY21" i="27"/>
  <c r="AQ25" i="27"/>
  <c r="AY25" i="27"/>
  <c r="AQ29" i="27"/>
  <c r="AY29" i="27"/>
  <c r="AR5" i="27"/>
  <c r="AZ5" i="27"/>
  <c r="AR9" i="27"/>
  <c r="AZ9" i="27"/>
  <c r="AR13" i="27"/>
  <c r="AZ13" i="27"/>
  <c r="AR17" i="27"/>
  <c r="AZ17" i="27"/>
  <c r="AR21" i="27"/>
  <c r="AZ21" i="27"/>
  <c r="AR25" i="27"/>
  <c r="AZ25" i="27"/>
  <c r="AR29" i="27"/>
  <c r="AZ29" i="27"/>
  <c r="AQ12" i="27"/>
  <c r="AY12" i="27"/>
  <c r="AQ16" i="27"/>
  <c r="AY16" i="27"/>
  <c r="AQ20" i="27"/>
  <c r="AY20" i="27"/>
  <c r="AQ24" i="27"/>
  <c r="AY24" i="27"/>
  <c r="AQ28" i="27"/>
  <c r="AY28" i="27"/>
  <c r="AR4" i="27"/>
  <c r="AZ4" i="27"/>
  <c r="AR8" i="27"/>
  <c r="AZ8" i="27"/>
  <c r="AR12" i="27"/>
  <c r="AZ12" i="27"/>
  <c r="AR16" i="27"/>
  <c r="AZ16" i="27"/>
  <c r="AR20" i="27"/>
  <c r="AZ20" i="27"/>
  <c r="AR24" i="27"/>
  <c r="AZ24" i="27"/>
  <c r="AR28" i="27"/>
  <c r="AZ28" i="27"/>
  <c r="AQ15" i="27"/>
  <c r="AY15" i="27"/>
  <c r="AQ19" i="27"/>
  <c r="AY19" i="27"/>
  <c r="AQ23" i="27"/>
  <c r="AY23" i="27"/>
  <c r="AR7" i="27"/>
  <c r="AZ7" i="27"/>
  <c r="AR11" i="27"/>
  <c r="AZ11" i="27"/>
  <c r="AR15" i="27"/>
  <c r="AZ15" i="27"/>
  <c r="AR19" i="27"/>
  <c r="AZ19" i="27"/>
  <c r="AR23" i="27"/>
  <c r="AZ23" i="27"/>
  <c r="AY7" i="26"/>
  <c r="AY9" i="26"/>
  <c r="AQ7" i="26"/>
  <c r="AQ9" i="26"/>
  <c r="AW24" i="26"/>
  <c r="AW28" i="26"/>
  <c r="BE29" i="26"/>
  <c r="AY4" i="26"/>
  <c r="AY11" i="26"/>
  <c r="AY13" i="26"/>
  <c r="AW15" i="26"/>
  <c r="AW21" i="26"/>
  <c r="AO23" i="26"/>
  <c r="BA23" i="26"/>
  <c r="AW25" i="26"/>
  <c r="AO27" i="26"/>
  <c r="BA27" i="26"/>
  <c r="AX28" i="26"/>
  <c r="AQ4" i="26"/>
  <c r="AQ6" i="26"/>
  <c r="AY6" i="26"/>
  <c r="AO10" i="26"/>
  <c r="AW10" i="26"/>
  <c r="BE10" i="26"/>
  <c r="AQ11" i="26"/>
  <c r="BE12" i="26"/>
  <c r="AQ13" i="26"/>
  <c r="AO15" i="26"/>
  <c r="BE16" i="26"/>
  <c r="AS17" i="26"/>
  <c r="AO18" i="26"/>
  <c r="AW18" i="26"/>
  <c r="BE18" i="26"/>
  <c r="AS19" i="26"/>
  <c r="AO20" i="26"/>
  <c r="BA20" i="26"/>
  <c r="AO24" i="26"/>
  <c r="BA24" i="26"/>
  <c r="AP27" i="26"/>
  <c r="AO28" i="26"/>
  <c r="BA28" i="26"/>
  <c r="AW29" i="26"/>
  <c r="AQ27" i="26"/>
  <c r="AR6" i="26"/>
  <c r="AZ6" i="26"/>
  <c r="AY8" i="26"/>
  <c r="AY15" i="26"/>
  <c r="AO21" i="26"/>
  <c r="BA21" i="26"/>
  <c r="AS23" i="26"/>
  <c r="AS27" i="26"/>
  <c r="AR27" i="26"/>
  <c r="AQ8" i="26"/>
  <c r="AQ10" i="26"/>
  <c r="AY10" i="26"/>
  <c r="AQ15" i="26"/>
  <c r="AY18" i="26"/>
  <c r="AY27" i="26"/>
  <c r="AY5" i="26"/>
  <c r="AR10" i="26"/>
  <c r="AZ10" i="26"/>
  <c r="AZ18" i="26"/>
  <c r="AS21" i="26"/>
  <c r="BE23" i="26"/>
  <c r="AK23" i="26"/>
  <c r="AK22" i="26"/>
  <c r="AK24" i="26"/>
  <c r="AK25" i="26"/>
  <c r="AK27" i="26"/>
  <c r="AK26" i="26"/>
  <c r="AE30" i="26"/>
  <c r="AQ17" i="26"/>
  <c r="AY17" i="26"/>
  <c r="AQ21" i="26"/>
  <c r="AY21" i="26"/>
  <c r="AQ25" i="26"/>
  <c r="AY25" i="26"/>
  <c r="AQ29" i="26"/>
  <c r="AY29" i="26"/>
  <c r="AR5" i="26"/>
  <c r="AZ5" i="26"/>
  <c r="AR9" i="26"/>
  <c r="AZ9" i="26"/>
  <c r="AR13" i="26"/>
  <c r="AZ13" i="26"/>
  <c r="AR17" i="26"/>
  <c r="AZ17" i="26"/>
  <c r="AR21" i="26"/>
  <c r="AZ21" i="26"/>
  <c r="AR25" i="26"/>
  <c r="AZ25" i="26"/>
  <c r="AR29" i="26"/>
  <c r="AZ29" i="26"/>
  <c r="AQ16" i="26"/>
  <c r="AY16" i="26"/>
  <c r="AQ20" i="26"/>
  <c r="AY20" i="26"/>
  <c r="AQ24" i="26"/>
  <c r="AY24" i="26"/>
  <c r="AQ28" i="26"/>
  <c r="AY28" i="26"/>
  <c r="AR4" i="26"/>
  <c r="AZ4" i="26"/>
  <c r="AR8" i="26"/>
  <c r="AZ8" i="26"/>
  <c r="AR12" i="26"/>
  <c r="AZ12" i="26"/>
  <c r="AR16" i="26"/>
  <c r="AZ16" i="26"/>
  <c r="AR20" i="26"/>
  <c r="AZ20" i="26"/>
  <c r="AR24" i="26"/>
  <c r="AZ24" i="26"/>
  <c r="AR28" i="26"/>
  <c r="AZ28" i="26"/>
  <c r="AQ19" i="26"/>
  <c r="AY19" i="26"/>
  <c r="AQ23" i="26"/>
  <c r="AY23" i="26"/>
  <c r="AR7" i="26"/>
  <c r="AZ7" i="26"/>
  <c r="AR11" i="26"/>
  <c r="AZ11" i="26"/>
  <c r="AR15" i="26"/>
  <c r="AZ15" i="26"/>
  <c r="AR19" i="26"/>
  <c r="AZ19" i="26"/>
  <c r="AR23" i="26"/>
  <c r="AZ23" i="26"/>
  <c r="L6" i="17"/>
  <c r="L7" i="17"/>
  <c r="L8" i="17"/>
  <c r="L9" i="17"/>
  <c r="L10" i="17"/>
  <c r="L11" i="17"/>
  <c r="L4" i="17"/>
  <c r="L12" i="17"/>
  <c r="K12" i="17"/>
  <c r="K5" i="17"/>
  <c r="K6" i="17"/>
  <c r="K7" i="17"/>
  <c r="K8" i="17"/>
  <c r="K9" i="17"/>
  <c r="K10" i="17"/>
  <c r="K11" i="17"/>
  <c r="AR8" i="7"/>
  <c r="AR5" i="7"/>
  <c r="AR4" i="7"/>
  <c r="AR3" i="7"/>
  <c r="G4" i="2"/>
  <c r="O5" i="38"/>
  <c r="Z7" i="26"/>
  <c r="J7" i="26" s="1"/>
  <c r="Z26" i="26"/>
  <c r="J26" i="26" s="1"/>
  <c r="AA17" i="27"/>
  <c r="K17" i="27" s="1"/>
  <c r="AA13" i="27"/>
  <c r="K13" i="27" s="1"/>
  <c r="AA15" i="27"/>
  <c r="K15" i="27" s="1"/>
  <c r="AA10" i="27"/>
  <c r="K10" i="27" s="1"/>
  <c r="AA20" i="26"/>
  <c r="K20" i="26" s="1"/>
  <c r="AA12" i="26"/>
  <c r="K12" i="26" s="1"/>
  <c r="AA8" i="26"/>
  <c r="K8" i="26" s="1"/>
  <c r="AA6" i="26"/>
  <c r="K6" i="26" s="1"/>
  <c r="AA28" i="26"/>
  <c r="K28" i="26" s="1"/>
  <c r="AA25" i="26"/>
  <c r="K25" i="26" s="1"/>
  <c r="AA22" i="26"/>
  <c r="K22" i="26" s="1"/>
  <c r="AA4" i="26"/>
  <c r="K4" i="26" s="1"/>
  <c r="AA17" i="26"/>
  <c r="K17" i="26" s="1"/>
  <c r="AC11" i="29"/>
  <c r="S11" i="29" s="1"/>
  <c r="AC16" i="29"/>
  <c r="U16" i="29" s="1"/>
  <c r="AB25" i="27"/>
  <c r="L25" i="27" s="1"/>
  <c r="AB19" i="27"/>
  <c r="M19" i="27" s="1"/>
  <c r="Z24" i="26"/>
  <c r="J24" i="26" s="1"/>
  <c r="AA9" i="29"/>
  <c r="K9" i="29" s="1"/>
  <c r="AA6" i="29"/>
  <c r="K6" i="29" s="1"/>
  <c r="AA13" i="29"/>
  <c r="K13" i="29" s="1"/>
  <c r="Q30" i="30"/>
  <c r="AB27" i="30"/>
  <c r="N27" i="30" s="1"/>
  <c r="P30" i="30"/>
  <c r="AB24" i="30"/>
  <c r="N24" i="30" s="1"/>
  <c r="AB23" i="30"/>
  <c r="P23" i="30" s="1"/>
  <c r="AB19" i="30"/>
  <c r="AB8" i="30"/>
  <c r="M8" i="30" s="1"/>
  <c r="O30" i="30"/>
  <c r="AB10" i="30"/>
  <c r="N30" i="30"/>
  <c r="AB22" i="30"/>
  <c r="M22" i="30" s="1"/>
  <c r="AB14" i="30"/>
  <c r="N14" i="30" s="1"/>
  <c r="L30" i="30"/>
  <c r="AB17" i="30"/>
  <c r="AB13" i="30"/>
  <c r="P13" i="30" s="1"/>
  <c r="AB9" i="30"/>
  <c r="M9" i="30" s="1"/>
  <c r="AB5" i="30"/>
  <c r="L5" i="30" s="1"/>
  <c r="AB25" i="30"/>
  <c r="M25" i="30" s="1"/>
  <c r="AB18" i="30"/>
  <c r="M18" i="30" s="1"/>
  <c r="AB15" i="30"/>
  <c r="N15" i="30" s="1"/>
  <c r="AB11" i="30"/>
  <c r="M11" i="30" s="1"/>
  <c r="AB29" i="30"/>
  <c r="O29" i="30" s="1"/>
  <c r="AB28" i="30"/>
  <c r="M28" i="30" s="1"/>
  <c r="AB26" i="30"/>
  <c r="O26" i="30" s="1"/>
  <c r="AB21" i="30"/>
  <c r="N21" i="30" s="1"/>
  <c r="AB20" i="30"/>
  <c r="L20" i="30" s="1"/>
  <c r="AB12" i="30"/>
  <c r="O12" i="30" s="1"/>
  <c r="AB7" i="30"/>
  <c r="O7" i="30" s="1"/>
  <c r="AB6" i="30"/>
  <c r="Q6" i="30" s="1"/>
  <c r="AB4" i="30"/>
  <c r="AB16" i="30"/>
  <c r="M16" i="30" s="1"/>
  <c r="M30" i="30"/>
  <c r="Q30" i="26"/>
  <c r="O30" i="26"/>
  <c r="AB11" i="26"/>
  <c r="L11" i="26" s="1"/>
  <c r="N30" i="26"/>
  <c r="AB19" i="26"/>
  <c r="N19" i="26" s="1"/>
  <c r="AB15" i="26"/>
  <c r="M15" i="26" s="1"/>
  <c r="AB14" i="26"/>
  <c r="M14" i="26" s="1"/>
  <c r="L30" i="26"/>
  <c r="AB10" i="26"/>
  <c r="N10" i="26" s="1"/>
  <c r="AB18" i="26"/>
  <c r="N18" i="26" s="1"/>
  <c r="AB13" i="26"/>
  <c r="M13" i="26" s="1"/>
  <c r="AB5" i="26"/>
  <c r="M5" i="26" s="1"/>
  <c r="AB25" i="26"/>
  <c r="Q25" i="26" s="1"/>
  <c r="AB17" i="26"/>
  <c r="AB9" i="26"/>
  <c r="O9" i="26" s="1"/>
  <c r="AB8" i="26"/>
  <c r="N8" i="26" s="1"/>
  <c r="AB6" i="26"/>
  <c r="O6" i="26" s="1"/>
  <c r="AB29" i="26"/>
  <c r="O29" i="26" s="1"/>
  <c r="AB28" i="26"/>
  <c r="N28" i="26" s="1"/>
  <c r="AB23" i="26"/>
  <c r="O23" i="26" s="1"/>
  <c r="AB22" i="26"/>
  <c r="O22" i="26" s="1"/>
  <c r="AB20" i="26"/>
  <c r="N20" i="26" s="1"/>
  <c r="AB12" i="26"/>
  <c r="N12" i="26" s="1"/>
  <c r="AB4" i="26"/>
  <c r="M4" i="26" s="1"/>
  <c r="AB27" i="26"/>
  <c r="P27" i="26" s="1"/>
  <c r="AB21" i="26"/>
  <c r="O21" i="26" s="1"/>
  <c r="M30" i="26"/>
  <c r="AB26" i="26"/>
  <c r="O26" i="26" s="1"/>
  <c r="AB24" i="26"/>
  <c r="O24" i="26" s="1"/>
  <c r="AB16" i="26"/>
  <c r="N16" i="26" s="1"/>
  <c r="AB7" i="26"/>
  <c r="O7" i="26" s="1"/>
  <c r="J11" i="27"/>
  <c r="R30" i="30"/>
  <c r="T30" i="30"/>
  <c r="AC24" i="30"/>
  <c r="U24" i="30" s="1"/>
  <c r="AC23" i="30"/>
  <c r="S23" i="30" s="1"/>
  <c r="AC19" i="30"/>
  <c r="AC8" i="30"/>
  <c r="S8" i="30" s="1"/>
  <c r="AC10" i="30"/>
  <c r="U10" i="30" s="1"/>
  <c r="AC22" i="30"/>
  <c r="S22" i="30" s="1"/>
  <c r="AC14" i="30"/>
  <c r="U14" i="30" s="1"/>
  <c r="AC17" i="30"/>
  <c r="U17" i="30" s="1"/>
  <c r="AC13" i="30"/>
  <c r="S13" i="30" s="1"/>
  <c r="AC9" i="30"/>
  <c r="S9" i="30" s="1"/>
  <c r="AC5" i="30"/>
  <c r="U30" i="30"/>
  <c r="AC16" i="30"/>
  <c r="S16" i="30" s="1"/>
  <c r="AC28" i="30"/>
  <c r="U28" i="30" s="1"/>
  <c r="AC26" i="30"/>
  <c r="U26" i="30" s="1"/>
  <c r="AC21" i="30"/>
  <c r="U21" i="30" s="1"/>
  <c r="AC20" i="30"/>
  <c r="S20" i="30" s="1"/>
  <c r="AC12" i="30"/>
  <c r="U12" i="30" s="1"/>
  <c r="AC7" i="30"/>
  <c r="U7" i="30" s="1"/>
  <c r="AC6" i="30"/>
  <c r="AC4" i="30"/>
  <c r="U4" i="30" s="1"/>
  <c r="AC15" i="30"/>
  <c r="S15" i="30" s="1"/>
  <c r="AC25" i="30"/>
  <c r="R25" i="30" s="1"/>
  <c r="AC11" i="30"/>
  <c r="S11" i="30" s="1"/>
  <c r="AC18" i="30"/>
  <c r="S18" i="30" s="1"/>
  <c r="AC28" i="32"/>
  <c r="U28" i="32" s="1"/>
  <c r="AC18" i="32"/>
  <c r="T18" i="32" s="1"/>
  <c r="AC10" i="32"/>
  <c r="R10" i="32" s="1"/>
  <c r="AC29" i="32"/>
  <c r="R29" i="32" s="1"/>
  <c r="AC23" i="32"/>
  <c r="U23" i="32" s="1"/>
  <c r="AC22" i="32"/>
  <c r="R22" i="32" s="1"/>
  <c r="AC17" i="32"/>
  <c r="R17" i="32" s="1"/>
  <c r="AC14" i="32"/>
  <c r="U14" i="32" s="1"/>
  <c r="AC11" i="32"/>
  <c r="R11" i="32" s="1"/>
  <c r="AC9" i="32"/>
  <c r="AC8" i="32"/>
  <c r="U8" i="32" s="1"/>
  <c r="AC24" i="32"/>
  <c r="R24" i="32" s="1"/>
  <c r="AC13" i="32"/>
  <c r="R13" i="32" s="1"/>
  <c r="AC16" i="32"/>
  <c r="R16" i="32" s="1"/>
  <c r="AC20" i="32"/>
  <c r="S20" i="32" s="1"/>
  <c r="AC19" i="32"/>
  <c r="U19" i="32" s="1"/>
  <c r="AC21" i="32"/>
  <c r="R21" i="32" s="1"/>
  <c r="AC15" i="32"/>
  <c r="AC7" i="32"/>
  <c r="R7" i="32" s="1"/>
  <c r="AC6" i="32"/>
  <c r="U6" i="32" s="1"/>
  <c r="AC5" i="32"/>
  <c r="U5" i="32" s="1"/>
  <c r="AC4" i="32"/>
  <c r="S4" i="32" s="1"/>
  <c r="AC12" i="32"/>
  <c r="T12" i="32" s="1"/>
  <c r="J30" i="26"/>
  <c r="Z28" i="26"/>
  <c r="J28" i="26" s="1"/>
  <c r="Z23" i="26"/>
  <c r="J23" i="26" s="1"/>
  <c r="Z22" i="26"/>
  <c r="J22" i="26" s="1"/>
  <c r="Z20" i="26"/>
  <c r="Z12" i="26"/>
  <c r="J12" i="26" s="1"/>
  <c r="Z4" i="26"/>
  <c r="Z21" i="26"/>
  <c r="J21" i="26" s="1"/>
  <c r="Z16" i="26"/>
  <c r="J16" i="26" s="1"/>
  <c r="Z11" i="26"/>
  <c r="Z19" i="26"/>
  <c r="Z15" i="26"/>
  <c r="J15" i="26" s="1"/>
  <c r="Z14" i="26"/>
  <c r="J14" i="26" s="1"/>
  <c r="Z10" i="26"/>
  <c r="J10" i="26" s="1"/>
  <c r="AD30" i="26"/>
  <c r="Z25" i="26"/>
  <c r="J25" i="26" s="1"/>
  <c r="Z17" i="26"/>
  <c r="J17" i="26" s="1"/>
  <c r="Z9" i="26"/>
  <c r="J9" i="26" s="1"/>
  <c r="Z8" i="26"/>
  <c r="Z6" i="26"/>
  <c r="J6" i="26" s="1"/>
  <c r="Z5" i="26"/>
  <c r="J5" i="26" s="1"/>
  <c r="AA9" i="26"/>
  <c r="K9" i="26" s="1"/>
  <c r="AC11" i="26"/>
  <c r="R11" i="26" s="1"/>
  <c r="Z13" i="26"/>
  <c r="Z4" i="27"/>
  <c r="J4" i="27" s="1"/>
  <c r="U30" i="34"/>
  <c r="R30" i="34"/>
  <c r="AC26" i="34"/>
  <c r="S26" i="34" s="1"/>
  <c r="AC28" i="34"/>
  <c r="T28" i="34" s="1"/>
  <c r="AC27" i="34"/>
  <c r="T27" i="34" s="1"/>
  <c r="AC24" i="34"/>
  <c r="S24" i="34" s="1"/>
  <c r="AC20" i="34"/>
  <c r="T20" i="34" s="1"/>
  <c r="AC19" i="34"/>
  <c r="S19" i="34" s="1"/>
  <c r="AC18" i="34"/>
  <c r="S18" i="34" s="1"/>
  <c r="AC8" i="34"/>
  <c r="AC15" i="34"/>
  <c r="U15" i="34" s="1"/>
  <c r="AC9" i="34"/>
  <c r="T9" i="34" s="1"/>
  <c r="AC6" i="34"/>
  <c r="U6" i="34" s="1"/>
  <c r="AC17" i="34"/>
  <c r="T17" i="34" s="1"/>
  <c r="AC14" i="34"/>
  <c r="S14" i="34" s="1"/>
  <c r="AC7" i="34"/>
  <c r="U7" i="34" s="1"/>
  <c r="AC22" i="34"/>
  <c r="S22" i="34" s="1"/>
  <c r="AC12" i="34"/>
  <c r="AC10" i="34"/>
  <c r="T10" i="34" s="1"/>
  <c r="AC29" i="34"/>
  <c r="T29" i="34" s="1"/>
  <c r="AC21" i="34"/>
  <c r="U21" i="34" s="1"/>
  <c r="AC16" i="34"/>
  <c r="U16" i="34" s="1"/>
  <c r="AC5" i="34"/>
  <c r="T5" i="34" s="1"/>
  <c r="AC4" i="34"/>
  <c r="U4" i="34" s="1"/>
  <c r="AC23" i="34"/>
  <c r="S23" i="34" s="1"/>
  <c r="AC25" i="34"/>
  <c r="AC11" i="34"/>
  <c r="S11" i="34" s="1"/>
  <c r="AC13" i="34"/>
  <c r="T13" i="34" s="1"/>
  <c r="P30" i="32"/>
  <c r="AB28" i="32"/>
  <c r="L28" i="32" s="1"/>
  <c r="AB21" i="32"/>
  <c r="M21" i="32" s="1"/>
  <c r="AB15" i="32"/>
  <c r="M15" i="32" s="1"/>
  <c r="AB18" i="32"/>
  <c r="P18" i="32" s="1"/>
  <c r="AB10" i="32"/>
  <c r="M30" i="32"/>
  <c r="AB29" i="32"/>
  <c r="M29" i="32" s="1"/>
  <c r="AB23" i="32"/>
  <c r="N23" i="32" s="1"/>
  <c r="AB22" i="32"/>
  <c r="O22" i="32" s="1"/>
  <c r="AB17" i="32"/>
  <c r="N17" i="32" s="1"/>
  <c r="AB14" i="32"/>
  <c r="M14" i="32" s="1"/>
  <c r="AB11" i="32"/>
  <c r="P11" i="32" s="1"/>
  <c r="AB9" i="32"/>
  <c r="M9" i="32" s="1"/>
  <c r="AB25" i="32"/>
  <c r="Q25" i="32" s="1"/>
  <c r="AB8" i="32"/>
  <c r="M8" i="32" s="1"/>
  <c r="AB24" i="32"/>
  <c r="O24" i="32" s="1"/>
  <c r="AB13" i="32"/>
  <c r="M13" i="32" s="1"/>
  <c r="L30" i="32"/>
  <c r="AB27" i="32"/>
  <c r="M27" i="32" s="1"/>
  <c r="AB12" i="32"/>
  <c r="M12" i="32" s="1"/>
  <c r="AB20" i="32"/>
  <c r="N20" i="32" s="1"/>
  <c r="AB19" i="32"/>
  <c r="N19" i="32" s="1"/>
  <c r="AB26" i="32"/>
  <c r="O26" i="32" s="1"/>
  <c r="AB16" i="32"/>
  <c r="N16" i="32" s="1"/>
  <c r="AB7" i="32"/>
  <c r="L7" i="32" s="1"/>
  <c r="AB6" i="32"/>
  <c r="M6" i="32" s="1"/>
  <c r="AB5" i="32"/>
  <c r="M5" i="32" s="1"/>
  <c r="AB4" i="32"/>
  <c r="P4" i="32" s="1"/>
  <c r="Q30" i="32"/>
  <c r="Z23" i="28"/>
  <c r="J23" i="28" s="1"/>
  <c r="Z28" i="28"/>
  <c r="J28" i="28" s="1"/>
  <c r="Q30" i="34"/>
  <c r="O30" i="34"/>
  <c r="AB26" i="34"/>
  <c r="N30" i="34"/>
  <c r="L30" i="34"/>
  <c r="AB24" i="34"/>
  <c r="N24" i="34" s="1"/>
  <c r="AB21" i="34"/>
  <c r="O21" i="34" s="1"/>
  <c r="AB16" i="34"/>
  <c r="P16" i="34" s="1"/>
  <c r="AB5" i="34"/>
  <c r="P5" i="34" s="1"/>
  <c r="AB20" i="34"/>
  <c r="L20" i="34" s="1"/>
  <c r="AB18" i="34"/>
  <c r="Q18" i="34" s="1"/>
  <c r="AB8" i="34"/>
  <c r="Q8" i="34" s="1"/>
  <c r="AB28" i="34"/>
  <c r="M28" i="34" s="1"/>
  <c r="AB15" i="34"/>
  <c r="O15" i="34" s="1"/>
  <c r="AB9" i="34"/>
  <c r="O9" i="34" s="1"/>
  <c r="AB17" i="34"/>
  <c r="N17" i="34" s="1"/>
  <c r="AB14" i="34"/>
  <c r="Q14" i="34" s="1"/>
  <c r="AB13" i="34"/>
  <c r="P13" i="34" s="1"/>
  <c r="AB11" i="34"/>
  <c r="M11" i="34" s="1"/>
  <c r="AB10" i="34"/>
  <c r="P10" i="34" s="1"/>
  <c r="AB12" i="34"/>
  <c r="P12" i="34" s="1"/>
  <c r="AB22" i="34"/>
  <c r="L22" i="34" s="1"/>
  <c r="AA24" i="37"/>
  <c r="K24" i="37" s="1"/>
  <c r="AA16" i="37"/>
  <c r="K16" i="37" s="1"/>
  <c r="AA13" i="37"/>
  <c r="K13" i="37" s="1"/>
  <c r="AA23" i="37"/>
  <c r="K23" i="37" s="1"/>
  <c r="AA20" i="37"/>
  <c r="AA12" i="37"/>
  <c r="K12" i="37" s="1"/>
  <c r="AA10" i="37"/>
  <c r="K10" i="37" s="1"/>
  <c r="AA8" i="37"/>
  <c r="K8" i="37" s="1"/>
  <c r="AA6" i="37"/>
  <c r="K6" i="37" s="1"/>
  <c r="AA27" i="37"/>
  <c r="K27" i="37" s="1"/>
  <c r="AA5" i="37"/>
  <c r="K5" i="37" s="1"/>
  <c r="AA26" i="37"/>
  <c r="K26" i="37" s="1"/>
  <c r="AA19" i="37"/>
  <c r="K19" i="37" s="1"/>
  <c r="AA4" i="37"/>
  <c r="K4" i="37" s="1"/>
  <c r="AA28" i="37"/>
  <c r="K28" i="37" s="1"/>
  <c r="AA25" i="37"/>
  <c r="K25" i="37" s="1"/>
  <c r="AA17" i="37"/>
  <c r="K17" i="37" s="1"/>
  <c r="AA15" i="37"/>
  <c r="K15" i="37" s="1"/>
  <c r="AA9" i="37"/>
  <c r="K9" i="37" s="1"/>
  <c r="K30" i="37"/>
  <c r="AA22" i="37"/>
  <c r="K22" i="37" s="1"/>
  <c r="AA18" i="37"/>
  <c r="K18" i="37" s="1"/>
  <c r="AA14" i="37"/>
  <c r="K14" i="37" s="1"/>
  <c r="AA7" i="37"/>
  <c r="K7" i="37" s="1"/>
  <c r="AA29" i="37"/>
  <c r="K29" i="37" s="1"/>
  <c r="AA21" i="37"/>
  <c r="K21" i="37" s="1"/>
  <c r="AA11" i="37"/>
  <c r="K11" i="37" s="1"/>
  <c r="Z24" i="32"/>
  <c r="J24" i="32" s="1"/>
  <c r="Z27" i="32"/>
  <c r="J27" i="32" s="1"/>
  <c r="Z12" i="32"/>
  <c r="Z20" i="32"/>
  <c r="J20" i="32" s="1"/>
  <c r="Z19" i="32"/>
  <c r="J19" i="32" s="1"/>
  <c r="Z15" i="32"/>
  <c r="J15" i="32" s="1"/>
  <c r="Z18" i="32"/>
  <c r="J18" i="32" s="1"/>
  <c r="Z10" i="32"/>
  <c r="J10" i="32" s="1"/>
  <c r="Z17" i="32"/>
  <c r="Z14" i="32"/>
  <c r="Z11" i="32"/>
  <c r="J11" i="32" s="1"/>
  <c r="Z9" i="32"/>
  <c r="J9" i="32" s="1"/>
  <c r="Z13" i="32"/>
  <c r="J13" i="32" s="1"/>
  <c r="Z16" i="32"/>
  <c r="J16" i="32" s="1"/>
  <c r="Z8" i="32"/>
  <c r="J8" i="32" s="1"/>
  <c r="Z4" i="32"/>
  <c r="J4" i="32" s="1"/>
  <c r="Z5" i="32"/>
  <c r="J5" i="32" s="1"/>
  <c r="Z7" i="32"/>
  <c r="N30" i="36"/>
  <c r="AB25" i="36"/>
  <c r="M25" i="36" s="1"/>
  <c r="AB24" i="36"/>
  <c r="M24" i="36" s="1"/>
  <c r="AB22" i="36"/>
  <c r="N22" i="36" s="1"/>
  <c r="AB16" i="36"/>
  <c r="P16" i="36" s="1"/>
  <c r="AB15" i="36"/>
  <c r="M15" i="36" s="1"/>
  <c r="AB12" i="36"/>
  <c r="M12" i="36" s="1"/>
  <c r="AB5" i="36"/>
  <c r="O5" i="36" s="1"/>
  <c r="AB4" i="36"/>
  <c r="M4" i="36" s="1"/>
  <c r="M30" i="36"/>
  <c r="AB26" i="36"/>
  <c r="L26" i="36" s="1"/>
  <c r="AB23" i="36"/>
  <c r="M23" i="36" s="1"/>
  <c r="AB20" i="36"/>
  <c r="P20" i="36" s="1"/>
  <c r="AB19" i="36"/>
  <c r="M19" i="36" s="1"/>
  <c r="AB14" i="36"/>
  <c r="N14" i="36" s="1"/>
  <c r="AB18" i="36"/>
  <c r="L18" i="36" s="1"/>
  <c r="AB17" i="36"/>
  <c r="O17" i="36" s="1"/>
  <c r="AB13" i="36"/>
  <c r="AB11" i="36"/>
  <c r="L11" i="36" s="1"/>
  <c r="AB29" i="36"/>
  <c r="Q29" i="36" s="1"/>
  <c r="AB28" i="36"/>
  <c r="O28" i="36" s="1"/>
  <c r="AB27" i="36"/>
  <c r="O27" i="36" s="1"/>
  <c r="AB10" i="36"/>
  <c r="N10" i="36" s="1"/>
  <c r="Q30" i="36"/>
  <c r="AB9" i="36"/>
  <c r="M9" i="36" s="1"/>
  <c r="O30" i="36"/>
  <c r="AB8" i="36"/>
  <c r="L8" i="36" s="1"/>
  <c r="L30" i="36"/>
  <c r="AB7" i="36"/>
  <c r="O7" i="36" s="1"/>
  <c r="AB21" i="36"/>
  <c r="N21" i="36" s="1"/>
  <c r="P30" i="36"/>
  <c r="AB6" i="36"/>
  <c r="M6" i="36" s="1"/>
  <c r="Z18" i="26"/>
  <c r="J18" i="26" s="1"/>
  <c r="AC22" i="26"/>
  <c r="S22" i="26" s="1"/>
  <c r="AC28" i="26"/>
  <c r="U28" i="26" s="1"/>
  <c r="Z23" i="37"/>
  <c r="J23" i="37" s="1"/>
  <c r="Z11" i="37"/>
  <c r="J11" i="37" s="1"/>
  <c r="Z7" i="37"/>
  <c r="J7" i="37" s="1"/>
  <c r="Z13" i="37"/>
  <c r="J13" i="37" s="1"/>
  <c r="Z20" i="37"/>
  <c r="J20" i="37" s="1"/>
  <c r="Z12" i="37"/>
  <c r="Z10" i="37"/>
  <c r="Z8" i="37"/>
  <c r="Z6" i="37"/>
  <c r="J6" i="37" s="1"/>
  <c r="Z5" i="37"/>
  <c r="J5" i="37" s="1"/>
  <c r="Z28" i="37"/>
  <c r="Z4" i="37"/>
  <c r="J4" i="37" s="1"/>
  <c r="Z17" i="37"/>
  <c r="J17" i="37" s="1"/>
  <c r="Z9" i="37"/>
  <c r="J9" i="37" s="1"/>
  <c r="Z25" i="37"/>
  <c r="J25" i="37" s="1"/>
  <c r="Z27" i="34"/>
  <c r="J27" i="34" s="1"/>
  <c r="Z11" i="34"/>
  <c r="J11" i="34" s="1"/>
  <c r="Z10" i="34"/>
  <c r="J10" i="34" s="1"/>
  <c r="Z4" i="34"/>
  <c r="J4" i="34" s="1"/>
  <c r="Z21" i="34"/>
  <c r="J21" i="34" s="1"/>
  <c r="Z20" i="34"/>
  <c r="J20" i="34" s="1"/>
  <c r="Z19" i="34"/>
  <c r="J19" i="34" s="1"/>
  <c r="Z18" i="34"/>
  <c r="J18" i="34" s="1"/>
  <c r="Z16" i="34"/>
  <c r="J16" i="34" s="1"/>
  <c r="Z8" i="34"/>
  <c r="J8" i="34" s="1"/>
  <c r="Z6" i="34"/>
  <c r="J6" i="34" s="1"/>
  <c r="Z5" i="34"/>
  <c r="J5" i="34" s="1"/>
  <c r="Z9" i="34"/>
  <c r="J9" i="34" s="1"/>
  <c r="Z15" i="34"/>
  <c r="J15" i="34" s="1"/>
  <c r="Z23" i="34"/>
  <c r="J23" i="34" s="1"/>
  <c r="Z22" i="34"/>
  <c r="J22" i="34" s="1"/>
  <c r="Z13" i="34"/>
  <c r="J13" i="34" s="1"/>
  <c r="Z14" i="34"/>
  <c r="J14" i="34" s="1"/>
  <c r="Z7" i="34"/>
  <c r="J7" i="34" s="1"/>
  <c r="AC4" i="26"/>
  <c r="R4" i="26" s="1"/>
  <c r="AC12" i="26"/>
  <c r="U12" i="26" s="1"/>
  <c r="Z28" i="27"/>
  <c r="J28" i="27" s="1"/>
  <c r="Z27" i="27"/>
  <c r="J27" i="27" s="1"/>
  <c r="Z20" i="27"/>
  <c r="J20" i="27" s="1"/>
  <c r="Z15" i="27"/>
  <c r="J15" i="27" s="1"/>
  <c r="Z13" i="27"/>
  <c r="J13" i="27" s="1"/>
  <c r="Z24" i="27"/>
  <c r="J24" i="27" s="1"/>
  <c r="Z22" i="27"/>
  <c r="J22" i="27" s="1"/>
  <c r="Z19" i="27"/>
  <c r="J19" i="27" s="1"/>
  <c r="Z29" i="27"/>
  <c r="J29" i="27" s="1"/>
  <c r="Z26" i="27"/>
  <c r="J26" i="27" s="1"/>
  <c r="Z18" i="27"/>
  <c r="J18" i="27" s="1"/>
  <c r="Z14" i="27"/>
  <c r="J14" i="27" s="1"/>
  <c r="Z9" i="27"/>
  <c r="J9" i="27" s="1"/>
  <c r="Z17" i="27"/>
  <c r="J17" i="27" s="1"/>
  <c r="Z12" i="27"/>
  <c r="J12" i="27" s="1"/>
  <c r="Z10" i="27"/>
  <c r="Z8" i="27"/>
  <c r="J8" i="27" s="1"/>
  <c r="Z25" i="27"/>
  <c r="J25" i="27" s="1"/>
  <c r="Z16" i="27"/>
  <c r="J16" i="27" s="1"/>
  <c r="Z7" i="27"/>
  <c r="J7" i="27" s="1"/>
  <c r="Z6" i="27"/>
  <c r="J6" i="27" s="1"/>
  <c r="Z23" i="27"/>
  <c r="Z21" i="27"/>
  <c r="Z28" i="29"/>
  <c r="J28" i="29" s="1"/>
  <c r="Z19" i="29"/>
  <c r="J19" i="29" s="1"/>
  <c r="Z15" i="29"/>
  <c r="J15" i="29" s="1"/>
  <c r="Z14" i="29"/>
  <c r="J14" i="29" s="1"/>
  <c r="Z25" i="29"/>
  <c r="J25" i="29" s="1"/>
  <c r="Z23" i="29"/>
  <c r="J23" i="29" s="1"/>
  <c r="Z22" i="29"/>
  <c r="J22" i="29" s="1"/>
  <c r="Z16" i="29"/>
  <c r="J16" i="29" s="1"/>
  <c r="Z17" i="29"/>
  <c r="J17" i="29" s="1"/>
  <c r="Z21" i="29"/>
  <c r="J21" i="29" s="1"/>
  <c r="Z18" i="29"/>
  <c r="J18" i="29" s="1"/>
  <c r="Z11" i="29"/>
  <c r="Z10" i="29"/>
  <c r="J10" i="29" s="1"/>
  <c r="Z20" i="29"/>
  <c r="J20" i="29" s="1"/>
  <c r="Z12" i="29"/>
  <c r="Z7" i="29"/>
  <c r="J7" i="29" s="1"/>
  <c r="Z13" i="29"/>
  <c r="J13" i="29" s="1"/>
  <c r="Z9" i="29"/>
  <c r="J9" i="29" s="1"/>
  <c r="Z8" i="29"/>
  <c r="Z6" i="29"/>
  <c r="Z5" i="29"/>
  <c r="J5" i="29" s="1"/>
  <c r="J30" i="31"/>
  <c r="Z18" i="31"/>
  <c r="J18" i="31" s="1"/>
  <c r="Z24" i="31"/>
  <c r="J24" i="31" s="1"/>
  <c r="Z11" i="31"/>
  <c r="J11" i="31" s="1"/>
  <c r="Z25" i="31"/>
  <c r="J25" i="31" s="1"/>
  <c r="Z20" i="31"/>
  <c r="J20" i="31" s="1"/>
  <c r="Z14" i="31"/>
  <c r="J14" i="31" s="1"/>
  <c r="Z4" i="31"/>
  <c r="J4" i="31" s="1"/>
  <c r="Z5" i="31"/>
  <c r="Z8" i="31"/>
  <c r="J8" i="31" s="1"/>
  <c r="Z29" i="33"/>
  <c r="J29" i="33" s="1"/>
  <c r="Z27" i="33"/>
  <c r="J27" i="33" s="1"/>
  <c r="Z23" i="33"/>
  <c r="J23" i="33" s="1"/>
  <c r="Z18" i="33"/>
  <c r="Z7" i="33"/>
  <c r="Z6" i="33"/>
  <c r="J6" i="33" s="1"/>
  <c r="Z17" i="33"/>
  <c r="J17" i="33" s="1"/>
  <c r="Z26" i="33"/>
  <c r="J26" i="33" s="1"/>
  <c r="Z21" i="33"/>
  <c r="J21" i="33" s="1"/>
  <c r="Z16" i="33"/>
  <c r="J16" i="33" s="1"/>
  <c r="Z15" i="33"/>
  <c r="J15" i="33" s="1"/>
  <c r="Z14" i="33"/>
  <c r="J14" i="33" s="1"/>
  <c r="Z10" i="33"/>
  <c r="Z20" i="33"/>
  <c r="J20" i="33" s="1"/>
  <c r="Z11" i="33"/>
  <c r="J11" i="33" s="1"/>
  <c r="Z5" i="33"/>
  <c r="J5" i="33" s="1"/>
  <c r="Z4" i="33"/>
  <c r="J4" i="33" s="1"/>
  <c r="Z22" i="33"/>
  <c r="J22" i="33" s="1"/>
  <c r="Z12" i="33"/>
  <c r="J12" i="33" s="1"/>
  <c r="Z8" i="33"/>
  <c r="J8" i="33" s="1"/>
  <c r="Z9" i="33"/>
  <c r="J9" i="33" s="1"/>
  <c r="Z13" i="33"/>
  <c r="J13" i="33" s="1"/>
  <c r="Z28" i="33"/>
  <c r="J28" i="33" s="1"/>
  <c r="Z27" i="35"/>
  <c r="J27" i="35" s="1"/>
  <c r="Z16" i="35"/>
  <c r="J16" i="35" s="1"/>
  <c r="Z15" i="35"/>
  <c r="J15" i="35" s="1"/>
  <c r="Z7" i="35"/>
  <c r="J7" i="35" s="1"/>
  <c r="Z4" i="35"/>
  <c r="J4" i="35" s="1"/>
  <c r="Z9" i="35"/>
  <c r="Z14" i="35"/>
  <c r="J14" i="35" s="1"/>
  <c r="Z11" i="35"/>
  <c r="J11" i="35" s="1"/>
  <c r="Z10" i="35"/>
  <c r="J10" i="35" s="1"/>
  <c r="Z6" i="35"/>
  <c r="J6" i="35" s="1"/>
  <c r="Z13" i="35"/>
  <c r="J13" i="35" s="1"/>
  <c r="Z18" i="35"/>
  <c r="J18" i="35" s="1"/>
  <c r="Z5" i="35"/>
  <c r="J5" i="35" s="1"/>
  <c r="Z19" i="35"/>
  <c r="Z17" i="35"/>
  <c r="J17" i="35" s="1"/>
  <c r="Z12" i="35"/>
  <c r="J12" i="35" s="1"/>
  <c r="Z8" i="35"/>
  <c r="J8" i="35" s="1"/>
  <c r="AA21" i="26"/>
  <c r="K21" i="26" s="1"/>
  <c r="AA16" i="26"/>
  <c r="K16" i="26" s="1"/>
  <c r="AA11" i="26"/>
  <c r="K11" i="26" s="1"/>
  <c r="AA19" i="26"/>
  <c r="K19" i="26" s="1"/>
  <c r="AA15" i="26"/>
  <c r="K15" i="26" s="1"/>
  <c r="AA14" i="26"/>
  <c r="K14" i="26" s="1"/>
  <c r="AA10" i="26"/>
  <c r="K10" i="26" s="1"/>
  <c r="AA18" i="26"/>
  <c r="K18" i="26" s="1"/>
  <c r="AA13" i="26"/>
  <c r="K13" i="26" s="1"/>
  <c r="AA5" i="26"/>
  <c r="K5" i="26" s="1"/>
  <c r="K30" i="26"/>
  <c r="AA27" i="26"/>
  <c r="K27" i="26" s="1"/>
  <c r="AA26" i="26"/>
  <c r="K26" i="26" s="1"/>
  <c r="AA24" i="26"/>
  <c r="K24" i="26" s="1"/>
  <c r="AA7" i="26"/>
  <c r="K7" i="26" s="1"/>
  <c r="Z4" i="29"/>
  <c r="J4" i="29" s="1"/>
  <c r="Z27" i="30"/>
  <c r="J27" i="30" s="1"/>
  <c r="Z25" i="30"/>
  <c r="J25" i="30" s="1"/>
  <c r="Z18" i="30"/>
  <c r="J18" i="30" s="1"/>
  <c r="Z15" i="30"/>
  <c r="J15" i="30" s="1"/>
  <c r="Z11" i="30"/>
  <c r="Z26" i="30"/>
  <c r="J26" i="30" s="1"/>
  <c r="Z21" i="30"/>
  <c r="J21" i="30" s="1"/>
  <c r="Z20" i="30"/>
  <c r="Z12" i="30"/>
  <c r="J12" i="30" s="1"/>
  <c r="Z7" i="30"/>
  <c r="J7" i="30" s="1"/>
  <c r="Z6" i="30"/>
  <c r="Z4" i="30"/>
  <c r="J4" i="30" s="1"/>
  <c r="Z24" i="30"/>
  <c r="J24" i="30" s="1"/>
  <c r="Z23" i="30"/>
  <c r="Z19" i="30"/>
  <c r="Z8" i="30"/>
  <c r="J8" i="30" s="1"/>
  <c r="Z10" i="30"/>
  <c r="J10" i="30" s="1"/>
  <c r="Z17" i="30"/>
  <c r="J17" i="30" s="1"/>
  <c r="Z13" i="30"/>
  <c r="J13" i="30" s="1"/>
  <c r="Z9" i="30"/>
  <c r="J9" i="30" s="1"/>
  <c r="Z5" i="30"/>
  <c r="J5" i="30" s="1"/>
  <c r="Z16" i="30"/>
  <c r="J16" i="30" s="1"/>
  <c r="Z14" i="30"/>
  <c r="J14" i="30" s="1"/>
  <c r="AA27" i="36"/>
  <c r="K27" i="36" s="1"/>
  <c r="K30" i="36"/>
  <c r="AA21" i="36"/>
  <c r="K21" i="36" s="1"/>
  <c r="AA25" i="36"/>
  <c r="K25" i="36" s="1"/>
  <c r="AA22" i="36"/>
  <c r="K22" i="36" s="1"/>
  <c r="AA16" i="36"/>
  <c r="K16" i="36" s="1"/>
  <c r="AA15" i="36"/>
  <c r="K15" i="36" s="1"/>
  <c r="AA12" i="36"/>
  <c r="K12" i="36" s="1"/>
  <c r="AA5" i="36"/>
  <c r="K5" i="36" s="1"/>
  <c r="AA4" i="36"/>
  <c r="K4" i="36" s="1"/>
  <c r="AA20" i="36"/>
  <c r="K20" i="36" s="1"/>
  <c r="AA14" i="36"/>
  <c r="K14" i="36" s="1"/>
  <c r="AA18" i="36"/>
  <c r="K18" i="36" s="1"/>
  <c r="AA17" i="36"/>
  <c r="K17" i="36" s="1"/>
  <c r="AA13" i="36"/>
  <c r="K13" i="36" s="1"/>
  <c r="AA11" i="36"/>
  <c r="K11" i="36" s="1"/>
  <c r="AA10" i="36"/>
  <c r="K10" i="36" s="1"/>
  <c r="AA7" i="36"/>
  <c r="K7" i="36" s="1"/>
  <c r="AA6" i="36"/>
  <c r="K6" i="36" s="1"/>
  <c r="AA8" i="36"/>
  <c r="K8" i="36" s="1"/>
  <c r="AA9" i="36"/>
  <c r="K9" i="36" s="1"/>
  <c r="R30" i="26"/>
  <c r="AC19" i="26"/>
  <c r="R19" i="26" s="1"/>
  <c r="AC15" i="26"/>
  <c r="R15" i="26" s="1"/>
  <c r="AC14" i="26"/>
  <c r="R14" i="26" s="1"/>
  <c r="AC10" i="26"/>
  <c r="T10" i="26" s="1"/>
  <c r="AC18" i="26"/>
  <c r="R18" i="26" s="1"/>
  <c r="AC13" i="26"/>
  <c r="R13" i="26" s="1"/>
  <c r="AC5" i="26"/>
  <c r="R5" i="26" s="1"/>
  <c r="AC25" i="26"/>
  <c r="R25" i="26" s="1"/>
  <c r="AC17" i="26"/>
  <c r="R17" i="26" s="1"/>
  <c r="AC9" i="26"/>
  <c r="T9" i="26" s="1"/>
  <c r="AC8" i="26"/>
  <c r="R8" i="26" s="1"/>
  <c r="AC6" i="26"/>
  <c r="R6" i="26" s="1"/>
  <c r="U30" i="26"/>
  <c r="AC27" i="26"/>
  <c r="S27" i="26" s="1"/>
  <c r="AC26" i="26"/>
  <c r="R26" i="26" s="1"/>
  <c r="AC24" i="26"/>
  <c r="T24" i="26" s="1"/>
  <c r="AC7" i="26"/>
  <c r="T7" i="26" s="1"/>
  <c r="AC21" i="26"/>
  <c r="U21" i="26" s="1"/>
  <c r="AC16" i="26"/>
  <c r="R16" i="26" s="1"/>
  <c r="AA23" i="26"/>
  <c r="K23" i="26" s="1"/>
  <c r="AA29" i="26"/>
  <c r="K29" i="26" s="1"/>
  <c r="Z5" i="27"/>
  <c r="O30" i="35"/>
  <c r="AB28" i="35"/>
  <c r="L28" i="35" s="1"/>
  <c r="AB24" i="35"/>
  <c r="P24" i="35" s="1"/>
  <c r="AB23" i="35"/>
  <c r="N23" i="35" s="1"/>
  <c r="AB22" i="35"/>
  <c r="N22" i="35" s="1"/>
  <c r="M30" i="35"/>
  <c r="AB29" i="35"/>
  <c r="Q29" i="35" s="1"/>
  <c r="AB21" i="35"/>
  <c r="AB14" i="35"/>
  <c r="N14" i="35" s="1"/>
  <c r="AB11" i="35"/>
  <c r="N11" i="35" s="1"/>
  <c r="AB10" i="35"/>
  <c r="M10" i="35" s="1"/>
  <c r="AB6" i="35"/>
  <c r="M6" i="35" s="1"/>
  <c r="AB20" i="35"/>
  <c r="M20" i="35" s="1"/>
  <c r="Q30" i="35"/>
  <c r="AB19" i="35"/>
  <c r="Q19" i="35" s="1"/>
  <c r="AB18" i="35"/>
  <c r="M18" i="35" s="1"/>
  <c r="AB17" i="35"/>
  <c r="N17" i="35" s="1"/>
  <c r="AB13" i="35"/>
  <c r="N13" i="35" s="1"/>
  <c r="AB8" i="35"/>
  <c r="P8" i="35" s="1"/>
  <c r="P30" i="35"/>
  <c r="AB26" i="35"/>
  <c r="M26" i="35" s="1"/>
  <c r="AB16" i="35"/>
  <c r="O16" i="35" s="1"/>
  <c r="AB15" i="35"/>
  <c r="M15" i="35" s="1"/>
  <c r="AB7" i="35"/>
  <c r="AB4" i="35"/>
  <c r="AB9" i="35"/>
  <c r="P9" i="35" s="1"/>
  <c r="AB5" i="35"/>
  <c r="Q5" i="35" s="1"/>
  <c r="AB25" i="35"/>
  <c r="N25" i="35" s="1"/>
  <c r="L30" i="35"/>
  <c r="AB27" i="35"/>
  <c r="N27" i="35" s="1"/>
  <c r="AB12" i="35"/>
  <c r="M12" i="35" s="1"/>
  <c r="Q30" i="28"/>
  <c r="O30" i="28"/>
  <c r="AB20" i="28"/>
  <c r="Q20" i="28" s="1"/>
  <c r="N30" i="28"/>
  <c r="AB14" i="28"/>
  <c r="N14" i="28" s="1"/>
  <c r="AB13" i="28"/>
  <c r="Q13" i="28" s="1"/>
  <c r="AB8" i="28"/>
  <c r="N8" i="28" s="1"/>
  <c r="AB7" i="28"/>
  <c r="Q7" i="28" s="1"/>
  <c r="AB5" i="28"/>
  <c r="L30" i="28"/>
  <c r="AB16" i="28"/>
  <c r="AB11" i="28"/>
  <c r="O11" i="28" s="1"/>
  <c r="AB10" i="28"/>
  <c r="Q10" i="28" s="1"/>
  <c r="AB26" i="28"/>
  <c r="N26" i="28" s="1"/>
  <c r="AB22" i="28"/>
  <c r="O22" i="28" s="1"/>
  <c r="AB21" i="28"/>
  <c r="M30" i="28"/>
  <c r="AB27" i="28"/>
  <c r="P27" i="28" s="1"/>
  <c r="AB25" i="28"/>
  <c r="Q25" i="28" s="1"/>
  <c r="AB24" i="28"/>
  <c r="M24" i="28" s="1"/>
  <c r="AB18" i="28"/>
  <c r="O18" i="28" s="1"/>
  <c r="AB6" i="28"/>
  <c r="AB29" i="28"/>
  <c r="L29" i="28" s="1"/>
  <c r="AB9" i="28"/>
  <c r="AB4" i="28"/>
  <c r="AB19" i="28"/>
  <c r="AB17" i="28"/>
  <c r="AB15" i="28"/>
  <c r="P15" i="28" s="1"/>
  <c r="AB23" i="28"/>
  <c r="O23" i="28" s="1"/>
  <c r="AB12" i="28"/>
  <c r="AB28" i="28"/>
  <c r="O28" i="28" s="1"/>
  <c r="AC23" i="26"/>
  <c r="S23" i="26" s="1"/>
  <c r="AC29" i="26"/>
  <c r="T29" i="26" s="1"/>
  <c r="AA24" i="27"/>
  <c r="K24" i="27" s="1"/>
  <c r="AA22" i="27"/>
  <c r="K22" i="27" s="1"/>
  <c r="AA19" i="27"/>
  <c r="K19" i="27" s="1"/>
  <c r="AA29" i="27"/>
  <c r="K29" i="27" s="1"/>
  <c r="AA26" i="27"/>
  <c r="K26" i="27" s="1"/>
  <c r="AA18" i="27"/>
  <c r="K18" i="27" s="1"/>
  <c r="AA14" i="27"/>
  <c r="K14" i="27" s="1"/>
  <c r="AA9" i="27"/>
  <c r="K9" i="27" s="1"/>
  <c r="AA23" i="27"/>
  <c r="K23" i="27" s="1"/>
  <c r="AA21" i="27"/>
  <c r="K21" i="27" s="1"/>
  <c r="AA11" i="27"/>
  <c r="K11" i="27" s="1"/>
  <c r="K30" i="27"/>
  <c r="AA28" i="27"/>
  <c r="K28" i="27" s="1"/>
  <c r="AA25" i="27"/>
  <c r="K25" i="27" s="1"/>
  <c r="AA16" i="27"/>
  <c r="K16" i="27" s="1"/>
  <c r="AA7" i="27"/>
  <c r="K7" i="27" s="1"/>
  <c r="AA20" i="27"/>
  <c r="K20" i="27" s="1"/>
  <c r="AA12" i="27"/>
  <c r="K12" i="27" s="1"/>
  <c r="AA6" i="27"/>
  <c r="K6" i="27" s="1"/>
  <c r="AA5" i="27"/>
  <c r="K5" i="27" s="1"/>
  <c r="AA4" i="27"/>
  <c r="K4" i="27" s="1"/>
  <c r="AA27" i="27"/>
  <c r="K27" i="27" s="1"/>
  <c r="AA8" i="27"/>
  <c r="AA22" i="34"/>
  <c r="K22" i="34" s="1"/>
  <c r="AA29" i="34"/>
  <c r="K29" i="34" s="1"/>
  <c r="AA24" i="34"/>
  <c r="K24" i="34" s="1"/>
  <c r="AA25" i="34"/>
  <c r="K25" i="34" s="1"/>
  <c r="AA26" i="34"/>
  <c r="K26" i="34" s="1"/>
  <c r="AA28" i="34"/>
  <c r="K28" i="34" s="1"/>
  <c r="AA23" i="34"/>
  <c r="K23" i="34" s="1"/>
  <c r="AA10" i="34"/>
  <c r="AA4" i="34"/>
  <c r="K4" i="34" s="1"/>
  <c r="AA21" i="34"/>
  <c r="K21" i="34" s="1"/>
  <c r="AA19" i="34"/>
  <c r="K19" i="34" s="1"/>
  <c r="AA16" i="34"/>
  <c r="K16" i="34" s="1"/>
  <c r="AA5" i="34"/>
  <c r="K5" i="34" s="1"/>
  <c r="AA15" i="34"/>
  <c r="K15" i="34" s="1"/>
  <c r="K30" i="34"/>
  <c r="AA7" i="34"/>
  <c r="AA27" i="34"/>
  <c r="K27" i="34" s="1"/>
  <c r="AA11" i="34"/>
  <c r="K11" i="34" s="1"/>
  <c r="AA20" i="32"/>
  <c r="K20" i="32" s="1"/>
  <c r="AA19" i="32"/>
  <c r="K19" i="32" s="1"/>
  <c r="AA28" i="32"/>
  <c r="K28" i="32" s="1"/>
  <c r="AA21" i="32"/>
  <c r="K21" i="32" s="1"/>
  <c r="AA15" i="32"/>
  <c r="K15" i="32" s="1"/>
  <c r="AA18" i="32"/>
  <c r="AA10" i="32"/>
  <c r="K10" i="32" s="1"/>
  <c r="K30" i="32"/>
  <c r="AA29" i="32"/>
  <c r="K29" i="32" s="1"/>
  <c r="AA23" i="32"/>
  <c r="K23" i="32" s="1"/>
  <c r="AA22" i="32"/>
  <c r="K22" i="32" s="1"/>
  <c r="AA17" i="32"/>
  <c r="K17" i="32" s="1"/>
  <c r="AA14" i="32"/>
  <c r="K14" i="32" s="1"/>
  <c r="AA11" i="32"/>
  <c r="K11" i="32" s="1"/>
  <c r="AA9" i="32"/>
  <c r="K9" i="32" s="1"/>
  <c r="AA25" i="32"/>
  <c r="K25" i="32" s="1"/>
  <c r="AA26" i="32"/>
  <c r="K26" i="32" s="1"/>
  <c r="AA16" i="32"/>
  <c r="K16" i="32" s="1"/>
  <c r="AA27" i="32"/>
  <c r="K27" i="32" s="1"/>
  <c r="AA12" i="32"/>
  <c r="K12" i="32" s="1"/>
  <c r="AA13" i="32"/>
  <c r="K13" i="32" s="1"/>
  <c r="AA7" i="32"/>
  <c r="K7" i="32" s="1"/>
  <c r="AA6" i="32"/>
  <c r="K6" i="32" s="1"/>
  <c r="AA5" i="32"/>
  <c r="K5" i="32" s="1"/>
  <c r="AA24" i="32"/>
  <c r="K24" i="32" s="1"/>
  <c r="AA4" i="32"/>
  <c r="K4" i="32" s="1"/>
  <c r="AA8" i="32"/>
  <c r="K8" i="32" s="1"/>
  <c r="AA29" i="30"/>
  <c r="K29" i="30" s="1"/>
  <c r="AA28" i="30"/>
  <c r="K28" i="30" s="1"/>
  <c r="AA26" i="30"/>
  <c r="AA21" i="30"/>
  <c r="K21" i="30" s="1"/>
  <c r="AA20" i="30"/>
  <c r="K20" i="30" s="1"/>
  <c r="AA12" i="30"/>
  <c r="K12" i="30" s="1"/>
  <c r="AA7" i="30"/>
  <c r="K7" i="30" s="1"/>
  <c r="AA6" i="30"/>
  <c r="K6" i="30" s="1"/>
  <c r="AA4" i="30"/>
  <c r="K4" i="30" s="1"/>
  <c r="AA27" i="30"/>
  <c r="K27" i="30" s="1"/>
  <c r="AA24" i="30"/>
  <c r="K24" i="30" s="1"/>
  <c r="AA23" i="30"/>
  <c r="K23" i="30" s="1"/>
  <c r="AA19" i="30"/>
  <c r="K19" i="30" s="1"/>
  <c r="AA8" i="30"/>
  <c r="K8" i="30" s="1"/>
  <c r="AA10" i="30"/>
  <c r="K10" i="30" s="1"/>
  <c r="AA22" i="30"/>
  <c r="K22" i="30" s="1"/>
  <c r="AA14" i="30"/>
  <c r="K14" i="30" s="1"/>
  <c r="K30" i="30"/>
  <c r="AA16" i="30"/>
  <c r="K16" i="30" s="1"/>
  <c r="AA25" i="30"/>
  <c r="K25" i="30" s="1"/>
  <c r="AA18" i="30"/>
  <c r="K18" i="30" s="1"/>
  <c r="AA15" i="30"/>
  <c r="K15" i="30" s="1"/>
  <c r="AA11" i="30"/>
  <c r="K11" i="30" s="1"/>
  <c r="AA17" i="30"/>
  <c r="K17" i="30" s="1"/>
  <c r="AA9" i="30"/>
  <c r="K9" i="30" s="1"/>
  <c r="AA13" i="30"/>
  <c r="K13" i="30" s="1"/>
  <c r="AA5" i="30"/>
  <c r="K5" i="30" s="1"/>
  <c r="AA19" i="28"/>
  <c r="K19" i="28" s="1"/>
  <c r="AA17" i="28"/>
  <c r="K17" i="28" s="1"/>
  <c r="AA15" i="28"/>
  <c r="K15" i="28" s="1"/>
  <c r="AA20" i="28"/>
  <c r="K20" i="28" s="1"/>
  <c r="AA14" i="28"/>
  <c r="K14" i="28" s="1"/>
  <c r="AA13" i="28"/>
  <c r="K13" i="28" s="1"/>
  <c r="AA8" i="28"/>
  <c r="K8" i="28" s="1"/>
  <c r="AA7" i="28"/>
  <c r="K7" i="28" s="1"/>
  <c r="AA5" i="28"/>
  <c r="K5" i="28" s="1"/>
  <c r="AA16" i="28"/>
  <c r="K16" i="28" s="1"/>
  <c r="AA11" i="28"/>
  <c r="K11" i="28" s="1"/>
  <c r="AA10" i="28"/>
  <c r="K10" i="28" s="1"/>
  <c r="AA26" i="28"/>
  <c r="K26" i="28" s="1"/>
  <c r="AA22" i="28"/>
  <c r="K22" i="28" s="1"/>
  <c r="AA21" i="28"/>
  <c r="K21" i="28" s="1"/>
  <c r="AA28" i="28"/>
  <c r="K28" i="28" s="1"/>
  <c r="AA23" i="28"/>
  <c r="K23" i="28" s="1"/>
  <c r="AA12" i="28"/>
  <c r="K12" i="28" s="1"/>
  <c r="AA29" i="28"/>
  <c r="K29" i="28" s="1"/>
  <c r="AA9" i="28"/>
  <c r="K9" i="28" s="1"/>
  <c r="AA4" i="28"/>
  <c r="K4" i="28" s="1"/>
  <c r="AA18" i="28"/>
  <c r="K18" i="28" s="1"/>
  <c r="AC29" i="28"/>
  <c r="U29" i="28" s="1"/>
  <c r="AC28" i="35"/>
  <c r="T28" i="35" s="1"/>
  <c r="AC21" i="35"/>
  <c r="U21" i="35" s="1"/>
  <c r="AC14" i="35"/>
  <c r="U14" i="35" s="1"/>
  <c r="AC11" i="35"/>
  <c r="U11" i="35" s="1"/>
  <c r="AC10" i="35"/>
  <c r="R10" i="35" s="1"/>
  <c r="AC6" i="35"/>
  <c r="R6" i="35" s="1"/>
  <c r="AC20" i="35"/>
  <c r="R20" i="35" s="1"/>
  <c r="AC19" i="35"/>
  <c r="AC18" i="35"/>
  <c r="U18" i="35" s="1"/>
  <c r="AC17" i="35"/>
  <c r="U17" i="35" s="1"/>
  <c r="AC13" i="35"/>
  <c r="R13" i="35" s="1"/>
  <c r="AC8" i="35"/>
  <c r="R8" i="35" s="1"/>
  <c r="AC12" i="35"/>
  <c r="R12" i="35" s="1"/>
  <c r="AC5" i="35"/>
  <c r="R5" i="35" s="1"/>
  <c r="AC25" i="35"/>
  <c r="R25" i="35" s="1"/>
  <c r="AC9" i="35"/>
  <c r="AC23" i="35"/>
  <c r="U23" i="35" s="1"/>
  <c r="AC7" i="35"/>
  <c r="S7" i="35" s="1"/>
  <c r="AC16" i="35"/>
  <c r="U16" i="35" s="1"/>
  <c r="AC22" i="35"/>
  <c r="U22" i="35" s="1"/>
  <c r="AC24" i="35"/>
  <c r="R24" i="35" s="1"/>
  <c r="AC4" i="35"/>
  <c r="R4" i="35" s="1"/>
  <c r="AC26" i="35"/>
  <c r="R26" i="35" s="1"/>
  <c r="AC15" i="35"/>
  <c r="T15" i="35" s="1"/>
  <c r="AC26" i="33"/>
  <c r="R26" i="33" s="1"/>
  <c r="AC16" i="33"/>
  <c r="S16" i="33" s="1"/>
  <c r="AC15" i="33"/>
  <c r="R15" i="33" s="1"/>
  <c r="AC14" i="33"/>
  <c r="U14" i="33" s="1"/>
  <c r="AC10" i="33"/>
  <c r="T10" i="33" s="1"/>
  <c r="AC20" i="33"/>
  <c r="U20" i="33" s="1"/>
  <c r="AC11" i="33"/>
  <c r="T11" i="33" s="1"/>
  <c r="AC5" i="33"/>
  <c r="AC28" i="33"/>
  <c r="R28" i="33" s="1"/>
  <c r="AC13" i="33"/>
  <c r="R13" i="33" s="1"/>
  <c r="AC9" i="33"/>
  <c r="U9" i="33" s="1"/>
  <c r="AC4" i="33"/>
  <c r="U4" i="33" s="1"/>
  <c r="AC24" i="33"/>
  <c r="S24" i="33" s="1"/>
  <c r="AC22" i="33"/>
  <c r="R22" i="33" s="1"/>
  <c r="AC19" i="33"/>
  <c r="T19" i="33" s="1"/>
  <c r="AC12" i="33"/>
  <c r="AC8" i="33"/>
  <c r="S8" i="33" s="1"/>
  <c r="AC6" i="33"/>
  <c r="U6" i="33" s="1"/>
  <c r="AC17" i="33"/>
  <c r="R17" i="33" s="1"/>
  <c r="R30" i="33"/>
  <c r="AC7" i="33"/>
  <c r="U7" i="33" s="1"/>
  <c r="AC27" i="33"/>
  <c r="R27" i="33" s="1"/>
  <c r="AC23" i="33"/>
  <c r="U23" i="33" s="1"/>
  <c r="AC18" i="33"/>
  <c r="AC28" i="31"/>
  <c r="T28" i="31" s="1"/>
  <c r="AC14" i="31"/>
  <c r="U14" i="31" s="1"/>
  <c r="AC13" i="31"/>
  <c r="U13" i="31" s="1"/>
  <c r="AC4" i="31"/>
  <c r="U4" i="31" s="1"/>
  <c r="AC21" i="31"/>
  <c r="R21" i="31" s="1"/>
  <c r="AC15" i="31"/>
  <c r="R15" i="31" s="1"/>
  <c r="AC5" i="31"/>
  <c r="U5" i="31" s="1"/>
  <c r="AC16" i="31"/>
  <c r="S16" i="31" s="1"/>
  <c r="AC22" i="31"/>
  <c r="R22" i="31" s="1"/>
  <c r="AC6" i="31"/>
  <c r="R6" i="31" s="1"/>
  <c r="R30" i="31"/>
  <c r="AC17" i="31"/>
  <c r="R17" i="31" s="1"/>
  <c r="AC8" i="31"/>
  <c r="R8" i="31" s="1"/>
  <c r="AC7" i="31"/>
  <c r="R7" i="31" s="1"/>
  <c r="AC24" i="31"/>
  <c r="U24" i="31" s="1"/>
  <c r="AC19" i="31"/>
  <c r="T19" i="31" s="1"/>
  <c r="AC11" i="31"/>
  <c r="U11" i="31" s="1"/>
  <c r="AC10" i="31"/>
  <c r="R10" i="31" s="1"/>
  <c r="AC25" i="31"/>
  <c r="R25" i="31" s="1"/>
  <c r="AC20" i="31"/>
  <c r="R20" i="31" s="1"/>
  <c r="AC12" i="31"/>
  <c r="R12" i="31" s="1"/>
  <c r="AC23" i="31"/>
  <c r="R23" i="31" s="1"/>
  <c r="AC9" i="31"/>
  <c r="U9" i="31" s="1"/>
  <c r="AC18" i="31"/>
  <c r="R18" i="31" s="1"/>
  <c r="U30" i="29"/>
  <c r="AC24" i="29"/>
  <c r="T24" i="29" s="1"/>
  <c r="AC17" i="29"/>
  <c r="S17" i="29" s="1"/>
  <c r="R30" i="29"/>
  <c r="AC20" i="29"/>
  <c r="U20" i="29" s="1"/>
  <c r="AC21" i="29"/>
  <c r="S21" i="29" s="1"/>
  <c r="AC18" i="29"/>
  <c r="U18" i="29" s="1"/>
  <c r="AC27" i="29"/>
  <c r="U27" i="29" s="1"/>
  <c r="AC19" i="29"/>
  <c r="S19" i="29" s="1"/>
  <c r="AC15" i="29"/>
  <c r="U15" i="29" s="1"/>
  <c r="AC14" i="29"/>
  <c r="U14" i="29" s="1"/>
  <c r="AC29" i="29"/>
  <c r="U29" i="29" s="1"/>
  <c r="AC26" i="29"/>
  <c r="U26" i="29" s="1"/>
  <c r="AC25" i="29"/>
  <c r="U25" i="29" s="1"/>
  <c r="AC23" i="29"/>
  <c r="U23" i="29" s="1"/>
  <c r="AC22" i="29"/>
  <c r="S22" i="29" s="1"/>
  <c r="AC7" i="29"/>
  <c r="R7" i="29" s="1"/>
  <c r="AC4" i="29"/>
  <c r="T4" i="29" s="1"/>
  <c r="AC13" i="29"/>
  <c r="U13" i="29" s="1"/>
  <c r="AC9" i="29"/>
  <c r="R9" i="29" s="1"/>
  <c r="AC8" i="29"/>
  <c r="R8" i="29" s="1"/>
  <c r="AC6" i="29"/>
  <c r="U6" i="29" s="1"/>
  <c r="AC5" i="29"/>
  <c r="T5" i="29" s="1"/>
  <c r="AC28" i="29"/>
  <c r="AC12" i="29"/>
  <c r="S12" i="29" s="1"/>
  <c r="S30" i="27"/>
  <c r="AC29" i="27"/>
  <c r="S29" i="27" s="1"/>
  <c r="AC26" i="27"/>
  <c r="S26" i="27" s="1"/>
  <c r="AC18" i="27"/>
  <c r="T18" i="27" s="1"/>
  <c r="AC14" i="27"/>
  <c r="S14" i="27" s="1"/>
  <c r="AC9" i="27"/>
  <c r="U9" i="27" s="1"/>
  <c r="R30" i="27"/>
  <c r="AC23" i="27"/>
  <c r="S23" i="27" s="1"/>
  <c r="AC21" i="27"/>
  <c r="S21" i="27" s="1"/>
  <c r="AC11" i="27"/>
  <c r="R11" i="27" s="1"/>
  <c r="AC6" i="27"/>
  <c r="R6" i="27" s="1"/>
  <c r="AC17" i="27"/>
  <c r="T17" i="27" s="1"/>
  <c r="AC12" i="27"/>
  <c r="AC10" i="27"/>
  <c r="U10" i="27" s="1"/>
  <c r="AC8" i="27"/>
  <c r="S8" i="27" s="1"/>
  <c r="AC28" i="27"/>
  <c r="S28" i="27" s="1"/>
  <c r="AC25" i="27"/>
  <c r="S25" i="27" s="1"/>
  <c r="AC16" i="27"/>
  <c r="T16" i="27" s="1"/>
  <c r="AC7" i="27"/>
  <c r="S7" i="27" s="1"/>
  <c r="AC27" i="27"/>
  <c r="S27" i="27" s="1"/>
  <c r="AC20" i="27"/>
  <c r="S20" i="27" s="1"/>
  <c r="AC15" i="27"/>
  <c r="T15" i="27" s="1"/>
  <c r="AC13" i="27"/>
  <c r="S13" i="27" s="1"/>
  <c r="U30" i="27"/>
  <c r="AC24" i="27"/>
  <c r="S24" i="27" s="1"/>
  <c r="AC22" i="27"/>
  <c r="S22" i="27" s="1"/>
  <c r="AC19" i="27"/>
  <c r="T19" i="27" s="1"/>
  <c r="AC4" i="28"/>
  <c r="R4" i="28" s="1"/>
  <c r="AA6" i="28"/>
  <c r="K6" i="28" s="1"/>
  <c r="AA27" i="28"/>
  <c r="K27" i="28" s="1"/>
  <c r="AA14" i="29"/>
  <c r="K14" i="29" s="1"/>
  <c r="O30" i="33"/>
  <c r="AB17" i="33"/>
  <c r="N17" i="33" s="1"/>
  <c r="AB26" i="33"/>
  <c r="M26" i="33" s="1"/>
  <c r="AB21" i="33"/>
  <c r="N21" i="33" s="1"/>
  <c r="AB16" i="33"/>
  <c r="O16" i="33" s="1"/>
  <c r="AB15" i="33"/>
  <c r="O15" i="33" s="1"/>
  <c r="AB14" i="33"/>
  <c r="O14" i="33" s="1"/>
  <c r="AB10" i="33"/>
  <c r="L10" i="33" s="1"/>
  <c r="AB20" i="33"/>
  <c r="P20" i="33" s="1"/>
  <c r="AB11" i="33"/>
  <c r="N11" i="33" s="1"/>
  <c r="AB5" i="33"/>
  <c r="P5" i="33" s="1"/>
  <c r="M30" i="33"/>
  <c r="AB29" i="33"/>
  <c r="M29" i="33" s="1"/>
  <c r="AB28" i="33"/>
  <c r="M28" i="33" s="1"/>
  <c r="AB25" i="33"/>
  <c r="AB13" i="33"/>
  <c r="P13" i="33" s="1"/>
  <c r="AB9" i="33"/>
  <c r="Q9" i="33" s="1"/>
  <c r="AB4" i="33"/>
  <c r="N4" i="33" s="1"/>
  <c r="Q30" i="33"/>
  <c r="AB27" i="33"/>
  <c r="M27" i="33" s="1"/>
  <c r="AB23" i="33"/>
  <c r="N23" i="33" s="1"/>
  <c r="AB18" i="33"/>
  <c r="L18" i="33" s="1"/>
  <c r="AB7" i="33"/>
  <c r="P30" i="33"/>
  <c r="AB6" i="33"/>
  <c r="N6" i="33" s="1"/>
  <c r="AB12" i="33"/>
  <c r="M12" i="33" s="1"/>
  <c r="AB22" i="33"/>
  <c r="P22" i="33" s="1"/>
  <c r="AB24" i="33"/>
  <c r="O24" i="33" s="1"/>
  <c r="AB19" i="33"/>
  <c r="M19" i="33" s="1"/>
  <c r="AB8" i="33"/>
  <c r="N8" i="33" s="1"/>
  <c r="AB29" i="31"/>
  <c r="Q29" i="31" s="1"/>
  <c r="AB25" i="31"/>
  <c r="P25" i="31" s="1"/>
  <c r="AB20" i="31"/>
  <c r="P20" i="31" s="1"/>
  <c r="AB12" i="31"/>
  <c r="O12" i="31" s="1"/>
  <c r="P30" i="31"/>
  <c r="AB26" i="31"/>
  <c r="L26" i="31" s="1"/>
  <c r="AB14" i="31"/>
  <c r="N14" i="31" s="1"/>
  <c r="AB13" i="31"/>
  <c r="L13" i="31" s="1"/>
  <c r="AB4" i="31"/>
  <c r="O4" i="31" s="1"/>
  <c r="AB21" i="31"/>
  <c r="P21" i="31" s="1"/>
  <c r="AB15" i="31"/>
  <c r="N15" i="31" s="1"/>
  <c r="AB5" i="31"/>
  <c r="P5" i="31" s="1"/>
  <c r="AB27" i="31"/>
  <c r="M27" i="31" s="1"/>
  <c r="AB16" i="31"/>
  <c r="M16" i="31" s="1"/>
  <c r="AB22" i="31"/>
  <c r="P22" i="31" s="1"/>
  <c r="AB6" i="31"/>
  <c r="P6" i="31" s="1"/>
  <c r="AB23" i="31"/>
  <c r="N23" i="31" s="1"/>
  <c r="AB18" i="31"/>
  <c r="P18" i="31" s="1"/>
  <c r="AB9" i="31"/>
  <c r="O9" i="31" s="1"/>
  <c r="AB24" i="31"/>
  <c r="P24" i="31" s="1"/>
  <c r="AB19" i="31"/>
  <c r="P19" i="31" s="1"/>
  <c r="AB11" i="31"/>
  <c r="L11" i="31" s="1"/>
  <c r="AB10" i="31"/>
  <c r="M10" i="31" s="1"/>
  <c r="AB7" i="31"/>
  <c r="L7" i="31" s="1"/>
  <c r="AB28" i="31"/>
  <c r="O28" i="31" s="1"/>
  <c r="AB8" i="31"/>
  <c r="L8" i="31" s="1"/>
  <c r="Q30" i="31"/>
  <c r="AB17" i="31"/>
  <c r="P17" i="31" s="1"/>
  <c r="P30" i="29"/>
  <c r="M30" i="29"/>
  <c r="AB28" i="29"/>
  <c r="O28" i="29" s="1"/>
  <c r="AB16" i="29"/>
  <c r="AB24" i="29"/>
  <c r="AB17" i="29"/>
  <c r="Q30" i="29"/>
  <c r="AB20" i="29"/>
  <c r="P20" i="29" s="1"/>
  <c r="AB21" i="29"/>
  <c r="AB18" i="29"/>
  <c r="AB27" i="29"/>
  <c r="M27" i="29" s="1"/>
  <c r="AB19" i="29"/>
  <c r="P19" i="29" s="1"/>
  <c r="AB15" i="29"/>
  <c r="L15" i="29" s="1"/>
  <c r="AB14" i="29"/>
  <c r="P14" i="29" s="1"/>
  <c r="AB29" i="29"/>
  <c r="O29" i="29" s="1"/>
  <c r="AB22" i="29"/>
  <c r="P22" i="29" s="1"/>
  <c r="AB12" i="29"/>
  <c r="AB7" i="29"/>
  <c r="P7" i="29" s="1"/>
  <c r="AB26" i="29"/>
  <c r="M26" i="29" s="1"/>
  <c r="AB4" i="29"/>
  <c r="AB13" i="29"/>
  <c r="AB9" i="29"/>
  <c r="L9" i="29" s="1"/>
  <c r="AB8" i="29"/>
  <c r="P8" i="29" s="1"/>
  <c r="AB6" i="29"/>
  <c r="AB5" i="29"/>
  <c r="AB11" i="29"/>
  <c r="AB10" i="29"/>
  <c r="Q30" i="27"/>
  <c r="AB29" i="27"/>
  <c r="L29" i="27" s="1"/>
  <c r="AB26" i="27"/>
  <c r="Q26" i="27" s="1"/>
  <c r="AB18" i="27"/>
  <c r="Q18" i="27" s="1"/>
  <c r="AB14" i="27"/>
  <c r="AB9" i="27"/>
  <c r="O30" i="27"/>
  <c r="AB23" i="27"/>
  <c r="AB21" i="27"/>
  <c r="L21" i="27" s="1"/>
  <c r="AB11" i="27"/>
  <c r="M30" i="27"/>
  <c r="AB17" i="27"/>
  <c r="Q17" i="27" s="1"/>
  <c r="AB12" i="27"/>
  <c r="O12" i="27" s="1"/>
  <c r="AB10" i="27"/>
  <c r="Q10" i="27" s="1"/>
  <c r="AB8" i="27"/>
  <c r="M8" i="27" s="1"/>
  <c r="AB27" i="27"/>
  <c r="Q27" i="27" s="1"/>
  <c r="AB20" i="27"/>
  <c r="M20" i="27" s="1"/>
  <c r="AB15" i="27"/>
  <c r="P15" i="27" s="1"/>
  <c r="AB13" i="27"/>
  <c r="N13" i="27" s="1"/>
  <c r="Q30" i="37"/>
  <c r="L30" i="37"/>
  <c r="AB23" i="37"/>
  <c r="P23" i="37" s="1"/>
  <c r="AB20" i="37"/>
  <c r="M20" i="37" s="1"/>
  <c r="AB12" i="37"/>
  <c r="M12" i="37" s="1"/>
  <c r="AB10" i="37"/>
  <c r="M10" i="37" s="1"/>
  <c r="AB8" i="37"/>
  <c r="O8" i="37" s="1"/>
  <c r="AB6" i="37"/>
  <c r="O6" i="37" s="1"/>
  <c r="AB27" i="37"/>
  <c r="M27" i="37" s="1"/>
  <c r="AB5" i="37"/>
  <c r="Q5" i="37" s="1"/>
  <c r="AB26" i="37"/>
  <c r="M26" i="37" s="1"/>
  <c r="AB19" i="37"/>
  <c r="N19" i="37" s="1"/>
  <c r="AB4" i="37"/>
  <c r="M4" i="37" s="1"/>
  <c r="P30" i="37"/>
  <c r="AB29" i="37"/>
  <c r="AB18" i="37"/>
  <c r="M18" i="37" s="1"/>
  <c r="AB22" i="37"/>
  <c r="AB21" i="37"/>
  <c r="M21" i="37" s="1"/>
  <c r="AB14" i="37"/>
  <c r="N14" i="37" s="1"/>
  <c r="AB11" i="37"/>
  <c r="O11" i="37" s="1"/>
  <c r="AB7" i="37"/>
  <c r="M7" i="37" s="1"/>
  <c r="AB28" i="37"/>
  <c r="M28" i="37" s="1"/>
  <c r="AB16" i="37"/>
  <c r="O16" i="37" s="1"/>
  <c r="AB24" i="37"/>
  <c r="Q24" i="37" s="1"/>
  <c r="AB15" i="37"/>
  <c r="O15" i="37" s="1"/>
  <c r="AB13" i="37"/>
  <c r="M13" i="37" s="1"/>
  <c r="AB25" i="37"/>
  <c r="M25" i="37" s="1"/>
  <c r="AB9" i="37"/>
  <c r="M9" i="37" s="1"/>
  <c r="AB17" i="37"/>
  <c r="Q17" i="37" s="1"/>
  <c r="AB4" i="27"/>
  <c r="Q4" i="27" s="1"/>
  <c r="AB5" i="27"/>
  <c r="L30" i="27"/>
  <c r="K30" i="28"/>
  <c r="AA5" i="29"/>
  <c r="K5" i="29" s="1"/>
  <c r="AA27" i="35"/>
  <c r="K27" i="35" s="1"/>
  <c r="AA25" i="35"/>
  <c r="K25" i="35" s="1"/>
  <c r="AA9" i="35"/>
  <c r="K9" i="35" s="1"/>
  <c r="AA28" i="35"/>
  <c r="K28" i="35" s="1"/>
  <c r="AA24" i="35"/>
  <c r="K24" i="35" s="1"/>
  <c r="AA23" i="35"/>
  <c r="K23" i="35" s="1"/>
  <c r="AA22" i="35"/>
  <c r="K22" i="35" s="1"/>
  <c r="AA29" i="35"/>
  <c r="K29" i="35" s="1"/>
  <c r="AA21" i="35"/>
  <c r="K21" i="35" s="1"/>
  <c r="AA14" i="35"/>
  <c r="K14" i="35" s="1"/>
  <c r="AA11" i="35"/>
  <c r="K11" i="35" s="1"/>
  <c r="AA10" i="35"/>
  <c r="K10" i="35" s="1"/>
  <c r="AA6" i="35"/>
  <c r="AA20" i="35"/>
  <c r="K20" i="35" s="1"/>
  <c r="AA19" i="35"/>
  <c r="K19" i="35" s="1"/>
  <c r="AA18" i="35"/>
  <c r="K18" i="35" s="1"/>
  <c r="AA17" i="35"/>
  <c r="K17" i="35" s="1"/>
  <c r="AA13" i="35"/>
  <c r="K13" i="35" s="1"/>
  <c r="AA8" i="35"/>
  <c r="K8" i="35" s="1"/>
  <c r="K30" i="35"/>
  <c r="AA12" i="35"/>
  <c r="AA5" i="35"/>
  <c r="K5" i="35" s="1"/>
  <c r="AA26" i="35"/>
  <c r="K26" i="35" s="1"/>
  <c r="AA15" i="35"/>
  <c r="K15" i="35" s="1"/>
  <c r="AA7" i="35"/>
  <c r="K7" i="35" s="1"/>
  <c r="AA16" i="35"/>
  <c r="K16" i="35" s="1"/>
  <c r="AA4" i="35"/>
  <c r="K4" i="35" s="1"/>
  <c r="K30" i="33"/>
  <c r="AA6" i="33"/>
  <c r="AA17" i="33"/>
  <c r="K17" i="33" s="1"/>
  <c r="AA26" i="33"/>
  <c r="K26" i="33" s="1"/>
  <c r="AA21" i="33"/>
  <c r="K21" i="33" s="1"/>
  <c r="AA16" i="33"/>
  <c r="K16" i="33" s="1"/>
  <c r="AA15" i="33"/>
  <c r="K15" i="33" s="1"/>
  <c r="AA14" i="33"/>
  <c r="K14" i="33" s="1"/>
  <c r="AA10" i="33"/>
  <c r="K10" i="33" s="1"/>
  <c r="AA20" i="33"/>
  <c r="AA11" i="33"/>
  <c r="K11" i="33" s="1"/>
  <c r="AA5" i="33"/>
  <c r="K5" i="33" s="1"/>
  <c r="AA29" i="33"/>
  <c r="K29" i="33" s="1"/>
  <c r="AA28" i="33"/>
  <c r="K28" i="33" s="1"/>
  <c r="AA25" i="33"/>
  <c r="K25" i="33" s="1"/>
  <c r="AA13" i="33"/>
  <c r="K13" i="33" s="1"/>
  <c r="AA9" i="33"/>
  <c r="K9" i="33" s="1"/>
  <c r="AA24" i="33"/>
  <c r="K24" i="33" s="1"/>
  <c r="AA22" i="33"/>
  <c r="K22" i="33" s="1"/>
  <c r="AA19" i="33"/>
  <c r="K19" i="33" s="1"/>
  <c r="AA12" i="33"/>
  <c r="K12" i="33" s="1"/>
  <c r="AA8" i="33"/>
  <c r="K8" i="33" s="1"/>
  <c r="AA27" i="33"/>
  <c r="K27" i="33" s="1"/>
  <c r="AA23" i="33"/>
  <c r="K23" i="33" s="1"/>
  <c r="AA18" i="33"/>
  <c r="K18" i="33" s="1"/>
  <c r="AA7" i="33"/>
  <c r="K7" i="33" s="1"/>
  <c r="AA4" i="33"/>
  <c r="K4" i="33" s="1"/>
  <c r="AA24" i="31"/>
  <c r="K24" i="31" s="1"/>
  <c r="AA19" i="31"/>
  <c r="K19" i="31" s="1"/>
  <c r="AA11" i="31"/>
  <c r="K11" i="31" s="1"/>
  <c r="AA10" i="31"/>
  <c r="K10" i="31" s="1"/>
  <c r="AA29" i="31"/>
  <c r="K29" i="31" s="1"/>
  <c r="AA25" i="31"/>
  <c r="K25" i="31" s="1"/>
  <c r="AA20" i="31"/>
  <c r="K20" i="31" s="1"/>
  <c r="AA12" i="31"/>
  <c r="K12" i="31" s="1"/>
  <c r="K30" i="31"/>
  <c r="AA26" i="31"/>
  <c r="K26" i="31" s="1"/>
  <c r="AA14" i="31"/>
  <c r="K14" i="31" s="1"/>
  <c r="AA13" i="31"/>
  <c r="K13" i="31" s="1"/>
  <c r="AA4" i="31"/>
  <c r="K4" i="31" s="1"/>
  <c r="AA21" i="31"/>
  <c r="K21" i="31" s="1"/>
  <c r="AA15" i="31"/>
  <c r="K15" i="31" s="1"/>
  <c r="AA5" i="31"/>
  <c r="K5" i="31" s="1"/>
  <c r="AA27" i="31"/>
  <c r="K27" i="31" s="1"/>
  <c r="AA16" i="31"/>
  <c r="K16" i="31" s="1"/>
  <c r="AA28" i="31"/>
  <c r="K28" i="31" s="1"/>
  <c r="AA17" i="31"/>
  <c r="K17" i="31" s="1"/>
  <c r="AA8" i="31"/>
  <c r="K8" i="31" s="1"/>
  <c r="AA7" i="31"/>
  <c r="K7" i="31" s="1"/>
  <c r="AA23" i="31"/>
  <c r="K23" i="31" s="1"/>
  <c r="AA18" i="31"/>
  <c r="K18" i="31" s="1"/>
  <c r="AA9" i="31"/>
  <c r="K9" i="31" s="1"/>
  <c r="AA22" i="31"/>
  <c r="K22" i="31" s="1"/>
  <c r="AA6" i="31"/>
  <c r="K6" i="31" s="1"/>
  <c r="AA29" i="29"/>
  <c r="K29" i="29" s="1"/>
  <c r="AA26" i="29"/>
  <c r="K26" i="29" s="1"/>
  <c r="AA25" i="29"/>
  <c r="K25" i="29" s="1"/>
  <c r="AA23" i="29"/>
  <c r="AA22" i="29"/>
  <c r="K22" i="29" s="1"/>
  <c r="AA28" i="29"/>
  <c r="K28" i="29" s="1"/>
  <c r="AA16" i="29"/>
  <c r="K16" i="29" s="1"/>
  <c r="AA24" i="29"/>
  <c r="K24" i="29" s="1"/>
  <c r="AA17" i="29"/>
  <c r="K17" i="29" s="1"/>
  <c r="K30" i="29"/>
  <c r="AA20" i="29"/>
  <c r="K20" i="29" s="1"/>
  <c r="AA12" i="29"/>
  <c r="K12" i="29" s="1"/>
  <c r="AA15" i="29"/>
  <c r="K15" i="29" s="1"/>
  <c r="AA7" i="29"/>
  <c r="K7" i="29" s="1"/>
  <c r="AA18" i="29"/>
  <c r="K18" i="29" s="1"/>
  <c r="AA4" i="29"/>
  <c r="K4" i="29" s="1"/>
  <c r="AA19" i="29"/>
  <c r="K19" i="29" s="1"/>
  <c r="AA27" i="29"/>
  <c r="K27" i="29" s="1"/>
  <c r="AA11" i="29"/>
  <c r="K11" i="29" s="1"/>
  <c r="AA10" i="29"/>
  <c r="K10" i="29" s="1"/>
  <c r="AC4" i="27"/>
  <c r="R4" i="27" s="1"/>
  <c r="AC5" i="27"/>
  <c r="R5" i="27" s="1"/>
  <c r="AB6" i="27"/>
  <c r="AB7" i="27"/>
  <c r="AB22" i="27"/>
  <c r="L22" i="27" s="1"/>
  <c r="AB24" i="27"/>
  <c r="Q24" i="27" s="1"/>
  <c r="AB28" i="27"/>
  <c r="T30" i="27"/>
  <c r="AA25" i="28"/>
  <c r="K25" i="28" s="1"/>
  <c r="R30" i="37"/>
  <c r="AC12" i="37"/>
  <c r="S12" i="37" s="1"/>
  <c r="AC10" i="37"/>
  <c r="S10" i="37" s="1"/>
  <c r="AC8" i="37"/>
  <c r="S8" i="37" s="1"/>
  <c r="AC6" i="37"/>
  <c r="S6" i="37" s="1"/>
  <c r="AC27" i="37"/>
  <c r="AC5" i="37"/>
  <c r="U5" i="37" s="1"/>
  <c r="AC26" i="37"/>
  <c r="T26" i="37" s="1"/>
  <c r="AC19" i="37"/>
  <c r="S19" i="37" s="1"/>
  <c r="AC4" i="37"/>
  <c r="U4" i="37" s="1"/>
  <c r="U30" i="37"/>
  <c r="AC29" i="37"/>
  <c r="S29" i="37" s="1"/>
  <c r="AC18" i="37"/>
  <c r="AC28" i="37"/>
  <c r="AC25" i="37"/>
  <c r="U25" i="37" s="1"/>
  <c r="AC17" i="37"/>
  <c r="S17" i="37" s="1"/>
  <c r="AC15" i="37"/>
  <c r="S15" i="37" s="1"/>
  <c r="AC9" i="37"/>
  <c r="S9" i="37" s="1"/>
  <c r="AC24" i="37"/>
  <c r="S24" i="37" s="1"/>
  <c r="AC16" i="37"/>
  <c r="U16" i="37" s="1"/>
  <c r="AC13" i="37"/>
  <c r="AC22" i="37"/>
  <c r="T22" i="37" s="1"/>
  <c r="AC20" i="37"/>
  <c r="U20" i="37" s="1"/>
  <c r="AC14" i="37"/>
  <c r="S14" i="37" s="1"/>
  <c r="T30" i="37"/>
  <c r="AC21" i="37"/>
  <c r="S21" i="37" s="1"/>
  <c r="AC11" i="37"/>
  <c r="S11" i="37" s="1"/>
  <c r="AC7" i="37"/>
  <c r="S7" i="37" s="1"/>
  <c r="AC23" i="37"/>
  <c r="Z23" i="36"/>
  <c r="J23" i="36" s="1"/>
  <c r="Z5" i="36"/>
  <c r="J5" i="36" s="1"/>
  <c r="Z4" i="36"/>
  <c r="J4" i="36" s="1"/>
  <c r="Z20" i="36"/>
  <c r="J20" i="36" s="1"/>
  <c r="Z28" i="36"/>
  <c r="J28" i="36" s="1"/>
  <c r="Z6" i="36"/>
  <c r="J6" i="36" s="1"/>
  <c r="Z7" i="36"/>
  <c r="AB16" i="27"/>
  <c r="Q16" i="27" s="1"/>
  <c r="AC10" i="29"/>
  <c r="R10" i="29" s="1"/>
  <c r="AB25" i="29"/>
  <c r="M25" i="29" s="1"/>
  <c r="U30" i="28"/>
  <c r="AC14" i="28"/>
  <c r="R14" i="28" s="1"/>
  <c r="AC13" i="28"/>
  <c r="S13" i="28" s="1"/>
  <c r="AC8" i="28"/>
  <c r="U8" i="28" s="1"/>
  <c r="AC7" i="28"/>
  <c r="T7" i="28" s="1"/>
  <c r="AC5" i="28"/>
  <c r="T5" i="28" s="1"/>
  <c r="AC16" i="28"/>
  <c r="U16" i="28" s="1"/>
  <c r="AC11" i="28"/>
  <c r="U11" i="28" s="1"/>
  <c r="AC10" i="28"/>
  <c r="T10" i="28" s="1"/>
  <c r="AC26" i="28"/>
  <c r="U26" i="28" s="1"/>
  <c r="AC22" i="28"/>
  <c r="T22" i="28" s="1"/>
  <c r="AC21" i="28"/>
  <c r="R21" i="28" s="1"/>
  <c r="AC27" i="28"/>
  <c r="T27" i="28" s="1"/>
  <c r="AC25" i="28"/>
  <c r="T25" i="28" s="1"/>
  <c r="AC24" i="28"/>
  <c r="S24" i="28" s="1"/>
  <c r="AC18" i="28"/>
  <c r="U18" i="28" s="1"/>
  <c r="AC6" i="28"/>
  <c r="R6" i="28" s="1"/>
  <c r="AC28" i="28"/>
  <c r="U28" i="28" s="1"/>
  <c r="AC23" i="28"/>
  <c r="U23" i="28" s="1"/>
  <c r="AC12" i="28"/>
  <c r="R12" i="28" s="1"/>
  <c r="AC19" i="28"/>
  <c r="T19" i="28" s="1"/>
  <c r="AC17" i="28"/>
  <c r="R17" i="28" s="1"/>
  <c r="AC15" i="28"/>
  <c r="U15" i="28" s="1"/>
  <c r="R30" i="28"/>
  <c r="AC20" i="28"/>
  <c r="U20" i="28" s="1"/>
  <c r="AC26" i="36"/>
  <c r="R26" i="36" s="1"/>
  <c r="AC23" i="36"/>
  <c r="U23" i="36" s="1"/>
  <c r="AC20" i="36"/>
  <c r="S20" i="36" s="1"/>
  <c r="AC19" i="36"/>
  <c r="AC14" i="36"/>
  <c r="R14" i="36" s="1"/>
  <c r="AC18" i="36"/>
  <c r="S18" i="36" s="1"/>
  <c r="AC17" i="36"/>
  <c r="S17" i="36" s="1"/>
  <c r="AC13" i="36"/>
  <c r="S13" i="36" s="1"/>
  <c r="AC11" i="36"/>
  <c r="T11" i="36" s="1"/>
  <c r="AC28" i="36"/>
  <c r="R28" i="36" s="1"/>
  <c r="AC27" i="36"/>
  <c r="S27" i="36" s="1"/>
  <c r="AC10" i="36"/>
  <c r="R30" i="36"/>
  <c r="AC9" i="36"/>
  <c r="R9" i="36" s="1"/>
  <c r="AC7" i="36"/>
  <c r="R7" i="36" s="1"/>
  <c r="AC6" i="36"/>
  <c r="T6" i="36" s="1"/>
  <c r="AC21" i="36"/>
  <c r="R21" i="36" s="1"/>
  <c r="AC25" i="36"/>
  <c r="R25" i="36" s="1"/>
  <c r="AC22" i="36"/>
  <c r="S22" i="36" s="1"/>
  <c r="AC24" i="36"/>
  <c r="AC16" i="36"/>
  <c r="R16" i="36" s="1"/>
  <c r="AC5" i="36"/>
  <c r="S5" i="36" s="1"/>
  <c r="AC15" i="36"/>
  <c r="U15" i="36" s="1"/>
  <c r="AC4" i="36"/>
  <c r="T4" i="36" s="1"/>
  <c r="AC12" i="36"/>
  <c r="S12" i="36" s="1"/>
  <c r="AC8" i="36"/>
  <c r="R8" i="36" s="1"/>
  <c r="AA8" i="29"/>
  <c r="K8" i="29" s="1"/>
  <c r="N30" i="37"/>
  <c r="Z14" i="37"/>
  <c r="Z22" i="37"/>
  <c r="AD30" i="37"/>
  <c r="Z19" i="37"/>
  <c r="Z27" i="37"/>
  <c r="J30" i="37"/>
  <c r="Z16" i="37"/>
  <c r="Z24" i="37"/>
  <c r="Z21" i="37"/>
  <c r="Z29" i="37"/>
  <c r="Z18" i="37"/>
  <c r="Z26" i="37"/>
  <c r="Z15" i="37"/>
  <c r="S30" i="37"/>
  <c r="M30" i="37"/>
  <c r="O30" i="37"/>
  <c r="AA23" i="36"/>
  <c r="K23" i="36" s="1"/>
  <c r="AA28" i="36"/>
  <c r="K28" i="36" s="1"/>
  <c r="Q10" i="36"/>
  <c r="AA26" i="36"/>
  <c r="AA19" i="36"/>
  <c r="K19" i="36" s="1"/>
  <c r="AA24" i="36"/>
  <c r="K24" i="36" s="1"/>
  <c r="AA29" i="36"/>
  <c r="K29" i="36" s="1"/>
  <c r="Z13" i="36"/>
  <c r="J13" i="36" s="1"/>
  <c r="Z15" i="36"/>
  <c r="J15" i="36" s="1"/>
  <c r="Z17" i="36"/>
  <c r="J17" i="36" s="1"/>
  <c r="Z22" i="36"/>
  <c r="Z25" i="36"/>
  <c r="J25" i="36" s="1"/>
  <c r="J30" i="36"/>
  <c r="Z9" i="36"/>
  <c r="J9" i="36" s="1"/>
  <c r="Z19" i="36"/>
  <c r="J19" i="36" s="1"/>
  <c r="Z27" i="36"/>
  <c r="J27" i="36" s="1"/>
  <c r="Z12" i="36"/>
  <c r="J12" i="36" s="1"/>
  <c r="Z24" i="36"/>
  <c r="J24" i="36" s="1"/>
  <c r="Z11" i="36"/>
  <c r="Z14" i="36"/>
  <c r="J14" i="36" s="1"/>
  <c r="Z16" i="36"/>
  <c r="Z21" i="36"/>
  <c r="J21" i="36" s="1"/>
  <c r="Z29" i="36"/>
  <c r="J29" i="36" s="1"/>
  <c r="Z8" i="36"/>
  <c r="Z18" i="36"/>
  <c r="J18" i="36" s="1"/>
  <c r="Z26" i="36"/>
  <c r="J26" i="36" s="1"/>
  <c r="Z10" i="36"/>
  <c r="J10" i="36" s="1"/>
  <c r="U30" i="36"/>
  <c r="S30" i="36"/>
  <c r="T30" i="36"/>
  <c r="AD30" i="36"/>
  <c r="AC29" i="36"/>
  <c r="N30" i="35"/>
  <c r="Z28" i="35"/>
  <c r="J28" i="35" s="1"/>
  <c r="Z20" i="35"/>
  <c r="J20" i="35" s="1"/>
  <c r="Z22" i="35"/>
  <c r="J22" i="35" s="1"/>
  <c r="Z24" i="35"/>
  <c r="Z26" i="35"/>
  <c r="J26" i="35" s="1"/>
  <c r="J30" i="35"/>
  <c r="Z29" i="35"/>
  <c r="J29" i="35" s="1"/>
  <c r="Z21" i="35"/>
  <c r="J21" i="35" s="1"/>
  <c r="Z23" i="35"/>
  <c r="J23" i="35" s="1"/>
  <c r="Z25" i="35"/>
  <c r="J25" i="35" s="1"/>
  <c r="S30" i="35"/>
  <c r="AD30" i="35"/>
  <c r="AC27" i="35"/>
  <c r="R30" i="35"/>
  <c r="T30" i="35"/>
  <c r="U30" i="35"/>
  <c r="AC29" i="35"/>
  <c r="AB7" i="34"/>
  <c r="M7" i="34" s="1"/>
  <c r="AA9" i="34"/>
  <c r="K9" i="34" s="1"/>
  <c r="AA13" i="34"/>
  <c r="K13" i="34" s="1"/>
  <c r="AA17" i="34"/>
  <c r="K17" i="34" s="1"/>
  <c r="AA20" i="34"/>
  <c r="K20" i="34" s="1"/>
  <c r="M30" i="34"/>
  <c r="L13" i="34"/>
  <c r="AB4" i="34"/>
  <c r="AA6" i="34"/>
  <c r="K6" i="34" s="1"/>
  <c r="AB19" i="34"/>
  <c r="AB23" i="34"/>
  <c r="AB25" i="34"/>
  <c r="AB27" i="34"/>
  <c r="AB29" i="34"/>
  <c r="P30" i="34"/>
  <c r="AB6" i="34"/>
  <c r="M6" i="34" s="1"/>
  <c r="AA8" i="34"/>
  <c r="K8" i="34" s="1"/>
  <c r="AA12" i="34"/>
  <c r="K12" i="34" s="1"/>
  <c r="AA14" i="34"/>
  <c r="K14" i="34" s="1"/>
  <c r="AA18" i="34"/>
  <c r="K18" i="34" s="1"/>
  <c r="Q20" i="34"/>
  <c r="Z26" i="34"/>
  <c r="J30" i="34"/>
  <c r="AD30" i="34"/>
  <c r="Z25" i="34"/>
  <c r="Z29" i="34"/>
  <c r="Z12" i="34"/>
  <c r="Z17" i="34"/>
  <c r="Z24" i="34"/>
  <c r="Z28" i="34"/>
  <c r="S30" i="34"/>
  <c r="T8" i="34"/>
  <c r="T30" i="34"/>
  <c r="M13" i="34"/>
  <c r="U14" i="34"/>
  <c r="N13" i="34"/>
  <c r="L30" i="33"/>
  <c r="N30" i="33"/>
  <c r="Z25" i="33"/>
  <c r="J25" i="33" s="1"/>
  <c r="J30" i="33"/>
  <c r="Z19" i="33"/>
  <c r="J19" i="33" s="1"/>
  <c r="Z24" i="33"/>
  <c r="U30" i="33"/>
  <c r="S30" i="33"/>
  <c r="T30" i="33"/>
  <c r="AD30" i="33"/>
  <c r="AC29" i="33"/>
  <c r="AC21" i="33"/>
  <c r="AC25" i="33"/>
  <c r="Q21" i="32"/>
  <c r="N30" i="32"/>
  <c r="R18" i="32"/>
  <c r="O30" i="32"/>
  <c r="Z22" i="32"/>
  <c r="Z28" i="32"/>
  <c r="AD30" i="32"/>
  <c r="AF30" i="32" s="1"/>
  <c r="Z25" i="32"/>
  <c r="J25" i="32" s="1"/>
  <c r="J30" i="32"/>
  <c r="Z23" i="32"/>
  <c r="Z29" i="32"/>
  <c r="J6" i="32"/>
  <c r="Z21" i="32"/>
  <c r="Z26" i="32"/>
  <c r="J26" i="32" s="1"/>
  <c r="S12" i="32"/>
  <c r="S30" i="32"/>
  <c r="R30" i="32"/>
  <c r="T10" i="32"/>
  <c r="T30" i="32"/>
  <c r="U30" i="32"/>
  <c r="AC25" i="32"/>
  <c r="AC26" i="32"/>
  <c r="AC27" i="32"/>
  <c r="Z6" i="31"/>
  <c r="Z12" i="31"/>
  <c r="Z26" i="31"/>
  <c r="J26" i="31" s="1"/>
  <c r="Z27" i="31"/>
  <c r="J27" i="31" s="1"/>
  <c r="Z28" i="31"/>
  <c r="Z29" i="31"/>
  <c r="J29" i="31" s="1"/>
  <c r="Z7" i="31"/>
  <c r="Z13" i="31"/>
  <c r="Z19" i="31"/>
  <c r="AD30" i="31"/>
  <c r="Z15" i="31"/>
  <c r="Z21" i="31"/>
  <c r="Z9" i="31"/>
  <c r="Z16" i="31"/>
  <c r="Z22" i="31"/>
  <c r="Z10" i="31"/>
  <c r="Z17" i="31"/>
  <c r="Z23" i="31"/>
  <c r="S30" i="31"/>
  <c r="AC27" i="31"/>
  <c r="L30" i="31"/>
  <c r="T30" i="31"/>
  <c r="M30" i="31"/>
  <c r="U30" i="31"/>
  <c r="AC29" i="31"/>
  <c r="N30" i="31"/>
  <c r="O30" i="31"/>
  <c r="AC26" i="31"/>
  <c r="R7" i="30"/>
  <c r="P20" i="30"/>
  <c r="AC27" i="30"/>
  <c r="S27" i="30" s="1"/>
  <c r="AC29" i="30"/>
  <c r="S29" i="30" s="1"/>
  <c r="R19" i="30"/>
  <c r="J30" i="30"/>
  <c r="AD30" i="30"/>
  <c r="Z29" i="30"/>
  <c r="Z22" i="30"/>
  <c r="Z28" i="30"/>
  <c r="S30" i="30"/>
  <c r="N11" i="30"/>
  <c r="O23" i="29"/>
  <c r="L30" i="29"/>
  <c r="N23" i="29"/>
  <c r="P23" i="29"/>
  <c r="N30" i="29"/>
  <c r="Q23" i="29"/>
  <c r="O30" i="29"/>
  <c r="L23" i="29"/>
  <c r="Z27" i="29"/>
  <c r="J30" i="29"/>
  <c r="Z29" i="29"/>
  <c r="J29" i="29" s="1"/>
  <c r="Z24" i="29"/>
  <c r="J24" i="29" s="1"/>
  <c r="Z26" i="29"/>
  <c r="J26" i="29" s="1"/>
  <c r="S30" i="29"/>
  <c r="AD30" i="29"/>
  <c r="T11" i="29"/>
  <c r="T30" i="29"/>
  <c r="P9" i="28"/>
  <c r="M11" i="28"/>
  <c r="P30" i="28"/>
  <c r="Z8" i="28"/>
  <c r="Z18" i="28"/>
  <c r="Z9" i="28"/>
  <c r="Z6" i="28"/>
  <c r="Z7" i="28"/>
  <c r="Z17" i="28"/>
  <c r="Z24" i="28"/>
  <c r="Z26" i="28"/>
  <c r="J30" i="28"/>
  <c r="AD30" i="28"/>
  <c r="Z5" i="28"/>
  <c r="Z16" i="28"/>
  <c r="Z22" i="28"/>
  <c r="Z4" i="28"/>
  <c r="Z15" i="28"/>
  <c r="Z29" i="28"/>
  <c r="Z10" i="28"/>
  <c r="Z14" i="28"/>
  <c r="Z27" i="28"/>
  <c r="Z12" i="28"/>
  <c r="Z13" i="28"/>
  <c r="Z21" i="28"/>
  <c r="Z25" i="28"/>
  <c r="Z19" i="28"/>
  <c r="Z11" i="28"/>
  <c r="Z20" i="28"/>
  <c r="S9" i="28"/>
  <c r="S30" i="28"/>
  <c r="R9" i="28"/>
  <c r="T9" i="28"/>
  <c r="T30" i="28"/>
  <c r="N30" i="27"/>
  <c r="P30" i="27"/>
  <c r="J30" i="27"/>
  <c r="AD30" i="27"/>
  <c r="R20" i="26"/>
  <c r="L21" i="26"/>
  <c r="P25" i="26"/>
  <c r="P30" i="26"/>
  <c r="P24" i="26"/>
  <c r="Q22" i="26"/>
  <c r="Z27" i="26"/>
  <c r="Z29" i="26"/>
  <c r="S12" i="26"/>
  <c r="S18" i="26"/>
  <c r="S20" i="26"/>
  <c r="S30" i="26"/>
  <c r="T12" i="26"/>
  <c r="T20" i="26"/>
  <c r="T30" i="26"/>
  <c r="R12" i="26"/>
  <c r="M29" i="26"/>
  <c r="N11" i="26"/>
  <c r="AB17" i="25"/>
  <c r="L17" i="25" s="1"/>
  <c r="AB19" i="25"/>
  <c r="L19" i="25" s="1"/>
  <c r="AB25" i="25"/>
  <c r="P25" i="25" s="1"/>
  <c r="AB21" i="25"/>
  <c r="L21" i="25" s="1"/>
  <c r="AB5" i="25"/>
  <c r="N5" i="25" s="1"/>
  <c r="AB27" i="25"/>
  <c r="N27" i="25" s="1"/>
  <c r="M30" i="25"/>
  <c r="AB9" i="25"/>
  <c r="O9" i="25" s="1"/>
  <c r="AC8" i="25"/>
  <c r="T8" i="25" s="1"/>
  <c r="AB11" i="25"/>
  <c r="N11" i="25" s="1"/>
  <c r="AC25" i="25"/>
  <c r="T25" i="25" s="1"/>
  <c r="O30" i="25"/>
  <c r="AB13" i="25"/>
  <c r="N13" i="25" s="1"/>
  <c r="U31" i="2"/>
  <c r="U18" i="25"/>
  <c r="S18" i="25"/>
  <c r="R18" i="25"/>
  <c r="T18" i="25"/>
  <c r="AA9" i="25"/>
  <c r="K9" i="25" s="1"/>
  <c r="AA10" i="25"/>
  <c r="K10" i="25" s="1"/>
  <c r="AA21" i="25"/>
  <c r="K21" i="25" s="1"/>
  <c r="AC4" i="25"/>
  <c r="AC27" i="25"/>
  <c r="O29" i="25"/>
  <c r="Q29" i="25"/>
  <c r="N29" i="25"/>
  <c r="P29" i="25"/>
  <c r="M29" i="25"/>
  <c r="AA13" i="25"/>
  <c r="K13" i="25" s="1"/>
  <c r="AA24" i="25"/>
  <c r="K24" i="25" s="1"/>
  <c r="AC10" i="25"/>
  <c r="K30" i="25"/>
  <c r="S30" i="25"/>
  <c r="AA4" i="25"/>
  <c r="K4" i="25" s="1"/>
  <c r="AA14" i="25"/>
  <c r="K14" i="25" s="1"/>
  <c r="AC12" i="25"/>
  <c r="AA29" i="25"/>
  <c r="K29" i="25" s="1"/>
  <c r="AA27" i="25"/>
  <c r="K27" i="25" s="1"/>
  <c r="AA23" i="25"/>
  <c r="K23" i="25" s="1"/>
  <c r="AA19" i="25"/>
  <c r="K19" i="25" s="1"/>
  <c r="AA15" i="25"/>
  <c r="K15" i="25" s="1"/>
  <c r="AA11" i="25"/>
  <c r="K11" i="25" s="1"/>
  <c r="AA7" i="25"/>
  <c r="K7" i="25" s="1"/>
  <c r="J30" i="25"/>
  <c r="Z25" i="25"/>
  <c r="Z21" i="25"/>
  <c r="Z17" i="25"/>
  <c r="Z13" i="25"/>
  <c r="Z9" i="25"/>
  <c r="Z5" i="25"/>
  <c r="Z28" i="25"/>
  <c r="Z24" i="25"/>
  <c r="Z20" i="25"/>
  <c r="Z16" i="25"/>
  <c r="Z12" i="25"/>
  <c r="Z8" i="25"/>
  <c r="Z4" i="25"/>
  <c r="Z27" i="25"/>
  <c r="Z23" i="25"/>
  <c r="Z19" i="25"/>
  <c r="Z15" i="25"/>
  <c r="Z11" i="25"/>
  <c r="Z7" i="25"/>
  <c r="Z26" i="25"/>
  <c r="Z22" i="25"/>
  <c r="Z18" i="25"/>
  <c r="Z14" i="25"/>
  <c r="Z10" i="25"/>
  <c r="Z6" i="25"/>
  <c r="AD30" i="25"/>
  <c r="AA22" i="25"/>
  <c r="K22" i="25" s="1"/>
  <c r="AA5" i="25"/>
  <c r="K5" i="25" s="1"/>
  <c r="AA16" i="25"/>
  <c r="K16" i="25" s="1"/>
  <c r="AA26" i="25"/>
  <c r="K26" i="25" s="1"/>
  <c r="AC16" i="25"/>
  <c r="L29" i="25"/>
  <c r="AA6" i="25"/>
  <c r="K6" i="25" s="1"/>
  <c r="AA17" i="25"/>
  <c r="K17" i="25" s="1"/>
  <c r="AA28" i="25"/>
  <c r="K28" i="25" s="1"/>
  <c r="AB26" i="25"/>
  <c r="AB18" i="25"/>
  <c r="AB10" i="25"/>
  <c r="L30" i="25"/>
  <c r="AB24" i="25"/>
  <c r="AB16" i="25"/>
  <c r="AB8" i="25"/>
  <c r="Q30" i="25"/>
  <c r="AB23" i="25"/>
  <c r="AB15" i="25"/>
  <c r="AB7" i="25"/>
  <c r="N30" i="25"/>
  <c r="AB22" i="25"/>
  <c r="AB14" i="25"/>
  <c r="AB6" i="25"/>
  <c r="P30" i="25"/>
  <c r="AB28" i="25"/>
  <c r="AB20" i="25"/>
  <c r="AB12" i="25"/>
  <c r="AB4" i="25"/>
  <c r="AA20" i="25"/>
  <c r="K20" i="25" s="1"/>
  <c r="AA12" i="25"/>
  <c r="K12" i="25" s="1"/>
  <c r="AC26" i="25"/>
  <c r="AC17" i="25"/>
  <c r="AC9" i="25"/>
  <c r="R30" i="25"/>
  <c r="T30" i="25"/>
  <c r="AC24" i="25"/>
  <c r="AC15" i="25"/>
  <c r="AC7" i="25"/>
  <c r="AC23" i="25"/>
  <c r="AC22" i="25"/>
  <c r="AC14" i="25"/>
  <c r="AC6" i="25"/>
  <c r="AC29" i="25"/>
  <c r="AC21" i="25"/>
  <c r="AC13" i="25"/>
  <c r="AC5" i="25"/>
  <c r="AC28" i="25"/>
  <c r="AC19" i="25"/>
  <c r="AC11" i="25"/>
  <c r="U30" i="25"/>
  <c r="AA8" i="25"/>
  <c r="K8" i="25" s="1"/>
  <c r="AA18" i="25"/>
  <c r="K18" i="25" s="1"/>
  <c r="Z29" i="25"/>
  <c r="AC20" i="25"/>
  <c r="S5" i="26" l="1"/>
  <c r="P308" i="9"/>
  <c r="P129" i="9"/>
  <c r="P331" i="9"/>
  <c r="O11" i="32"/>
  <c r="P334" i="9"/>
  <c r="P353" i="9"/>
  <c r="P171" i="9"/>
  <c r="P389" i="9"/>
  <c r="P313" i="9"/>
  <c r="P339" i="9"/>
  <c r="P124" i="9"/>
  <c r="D167" i="8"/>
  <c r="AE18" i="34"/>
  <c r="AE14" i="34"/>
  <c r="AE14" i="26"/>
  <c r="U18" i="34"/>
  <c r="N14" i="32"/>
  <c r="N12" i="32"/>
  <c r="AE14" i="37"/>
  <c r="P394" i="9"/>
  <c r="P127" i="9"/>
  <c r="P356" i="9"/>
  <c r="P392" i="9"/>
  <c r="P402" i="9"/>
  <c r="AE27" i="35"/>
  <c r="P405" i="9"/>
  <c r="M20" i="30"/>
  <c r="P29" i="26"/>
  <c r="M15" i="30"/>
  <c r="L7" i="30"/>
  <c r="AG30" i="31"/>
  <c r="P28" i="34"/>
  <c r="P143" i="9"/>
  <c r="P180" i="9"/>
  <c r="P195" i="9"/>
  <c r="P112" i="9"/>
  <c r="P133" i="9"/>
  <c r="P381" i="9"/>
  <c r="P135" i="9"/>
  <c r="P379" i="9"/>
  <c r="P152" i="9"/>
  <c r="P139" i="9"/>
  <c r="P128" i="9"/>
  <c r="D170" i="8"/>
  <c r="Q19" i="27"/>
  <c r="T20" i="30"/>
  <c r="M11" i="32"/>
  <c r="P153" i="9"/>
  <c r="P371" i="9"/>
  <c r="P190" i="9"/>
  <c r="P319" i="9"/>
  <c r="P148" i="9"/>
  <c r="P164" i="9"/>
  <c r="D173" i="8"/>
  <c r="AE6" i="28"/>
  <c r="S29" i="26"/>
  <c r="N25" i="30"/>
  <c r="L27" i="30"/>
  <c r="M11" i="26"/>
  <c r="Q18" i="26"/>
  <c r="N12" i="30"/>
  <c r="T24" i="30"/>
  <c r="Q6" i="32"/>
  <c r="R4" i="29"/>
  <c r="S21" i="30"/>
  <c r="Q20" i="30"/>
  <c r="N9" i="36"/>
  <c r="AE26" i="26"/>
  <c r="AE4" i="36"/>
  <c r="P309" i="9"/>
  <c r="P346" i="9"/>
  <c r="S13" i="26"/>
  <c r="P28" i="26"/>
  <c r="Q25" i="27"/>
  <c r="M27" i="30"/>
  <c r="T17" i="30"/>
  <c r="O6" i="32"/>
  <c r="M5" i="36"/>
  <c r="P350" i="9"/>
  <c r="P326" i="9"/>
  <c r="P193" i="9"/>
  <c r="P114" i="9"/>
  <c r="P327" i="9"/>
  <c r="P182" i="9"/>
  <c r="AE22" i="34"/>
  <c r="M18" i="26"/>
  <c r="P160" i="9"/>
  <c r="R16" i="29"/>
  <c r="R14" i="32"/>
  <c r="T27" i="26"/>
  <c r="T22" i="29"/>
  <c r="O14" i="29"/>
  <c r="Q27" i="30"/>
  <c r="R24" i="30"/>
  <c r="N15" i="32"/>
  <c r="U10" i="32"/>
  <c r="S19" i="32"/>
  <c r="U19" i="34"/>
  <c r="T7" i="34"/>
  <c r="AE26" i="34"/>
  <c r="P328" i="9"/>
  <c r="P338" i="9"/>
  <c r="AE26" i="35"/>
  <c r="D157" i="8"/>
  <c r="AE18" i="37"/>
  <c r="U26" i="26"/>
  <c r="Q21" i="26"/>
  <c r="O28" i="26"/>
  <c r="M26" i="28"/>
  <c r="M12" i="30"/>
  <c r="Q12" i="30"/>
  <c r="U10" i="31"/>
  <c r="N6" i="32"/>
  <c r="T17" i="32"/>
  <c r="S5" i="34"/>
  <c r="AE10" i="29"/>
  <c r="P340" i="9"/>
  <c r="P368" i="9"/>
  <c r="P385" i="9"/>
  <c r="P173" i="9"/>
  <c r="P399" i="9"/>
  <c r="P383" i="9"/>
  <c r="T5" i="26"/>
  <c r="T20" i="32"/>
  <c r="D169" i="8"/>
  <c r="Q28" i="26"/>
  <c r="M10" i="34"/>
  <c r="S24" i="30"/>
  <c r="U17" i="32"/>
  <c r="M8" i="34"/>
  <c r="N18" i="36"/>
  <c r="AE7" i="27"/>
  <c r="AE4" i="29"/>
  <c r="AE22" i="29"/>
  <c r="AE26" i="31"/>
  <c r="AE17" i="32"/>
  <c r="AE22" i="32"/>
  <c r="AE15" i="33"/>
  <c r="AE9" i="33"/>
  <c r="AE9" i="37"/>
  <c r="P349" i="9"/>
  <c r="P366" i="9"/>
  <c r="P183" i="9"/>
  <c r="P341" i="9"/>
  <c r="P111" i="9"/>
  <c r="P147" i="9"/>
  <c r="AE10" i="33"/>
  <c r="AE26" i="27"/>
  <c r="M19" i="32"/>
  <c r="S7" i="32"/>
  <c r="P125" i="9"/>
  <c r="P169" i="9"/>
  <c r="U26" i="34"/>
  <c r="S15" i="34"/>
  <c r="P107" i="9"/>
  <c r="AE27" i="27"/>
  <c r="AE22" i="25"/>
  <c r="AE23" i="25"/>
  <c r="AE9" i="25"/>
  <c r="AE7" i="33"/>
  <c r="M28" i="26"/>
  <c r="S26" i="26"/>
  <c r="U5" i="26"/>
  <c r="Q29" i="26"/>
  <c r="P21" i="26"/>
  <c r="L15" i="26"/>
  <c r="S16" i="29"/>
  <c r="L12" i="30"/>
  <c r="P12" i="30"/>
  <c r="M17" i="32"/>
  <c r="T19" i="32"/>
  <c r="P21" i="32"/>
  <c r="U20" i="34"/>
  <c r="M5" i="34"/>
  <c r="N17" i="36"/>
  <c r="AE9" i="36"/>
  <c r="AE18" i="36"/>
  <c r="P325" i="9"/>
  <c r="P406" i="9"/>
  <c r="P314" i="9"/>
  <c r="P159" i="9"/>
  <c r="P322" i="9"/>
  <c r="P343" i="9"/>
  <c r="AE27" i="33"/>
  <c r="AE18" i="29"/>
  <c r="P161" i="9"/>
  <c r="P380" i="9"/>
  <c r="P374" i="9"/>
  <c r="AE18" i="28"/>
  <c r="N21" i="26"/>
  <c r="M21" i="26"/>
  <c r="T26" i="26"/>
  <c r="L28" i="26"/>
  <c r="S17" i="30"/>
  <c r="R21" i="30"/>
  <c r="N5" i="32"/>
  <c r="S17" i="32"/>
  <c r="P27" i="32"/>
  <c r="S4" i="34"/>
  <c r="M27" i="36"/>
  <c r="P5" i="36"/>
  <c r="AI30" i="37"/>
  <c r="AE4" i="28"/>
  <c r="AE14" i="30"/>
  <c r="AE18" i="32"/>
  <c r="AE6" i="33"/>
  <c r="AE20" i="35"/>
  <c r="P109" i="9"/>
  <c r="P199" i="9"/>
  <c r="P178" i="9"/>
  <c r="P321" i="9"/>
  <c r="D162" i="8"/>
  <c r="AE10" i="28"/>
  <c r="AE6" i="36"/>
  <c r="T13" i="26"/>
  <c r="T16" i="29"/>
  <c r="R11" i="30"/>
  <c r="N21" i="32"/>
  <c r="R20" i="34"/>
  <c r="O5" i="34"/>
  <c r="AE18" i="26"/>
  <c r="AF18" i="26" s="1"/>
  <c r="AE10" i="26"/>
  <c r="AE17" i="36"/>
  <c r="P324" i="9"/>
  <c r="P141" i="9"/>
  <c r="P120" i="9"/>
  <c r="P352" i="9"/>
  <c r="P170" i="9"/>
  <c r="D164" i="8"/>
  <c r="R17" i="30"/>
  <c r="M25" i="32"/>
  <c r="T7" i="32"/>
  <c r="S10" i="32"/>
  <c r="N13" i="26"/>
  <c r="T21" i="30"/>
  <c r="R19" i="32"/>
  <c r="S8" i="32"/>
  <c r="U10" i="34"/>
  <c r="S20" i="34"/>
  <c r="AE27" i="30"/>
  <c r="P345" i="9"/>
  <c r="P181" i="9"/>
  <c r="P156" i="9"/>
  <c r="P174" i="9"/>
  <c r="AE15" i="25"/>
  <c r="AE6" i="26"/>
  <c r="AE6" i="25"/>
  <c r="AE17" i="25"/>
  <c r="AE14" i="25"/>
  <c r="AE7" i="25"/>
  <c r="P310" i="9"/>
  <c r="D158" i="8"/>
  <c r="AE27" i="25"/>
  <c r="AH30" i="27"/>
  <c r="P19" i="27"/>
  <c r="M9" i="29"/>
  <c r="M14" i="30"/>
  <c r="N7" i="30"/>
  <c r="Q7" i="30"/>
  <c r="N11" i="32"/>
  <c r="S21" i="32"/>
  <c r="AE11" i="26"/>
  <c r="AE12" i="26"/>
  <c r="AE24" i="26"/>
  <c r="AE9" i="26"/>
  <c r="AE21" i="26"/>
  <c r="AE23" i="27"/>
  <c r="AE8" i="27"/>
  <c r="AE20" i="27"/>
  <c r="AE16" i="28"/>
  <c r="AE11" i="30"/>
  <c r="AE8" i="30"/>
  <c r="AE29" i="30"/>
  <c r="AE13" i="30"/>
  <c r="AE28" i="31"/>
  <c r="AE6" i="31"/>
  <c r="AE14" i="32"/>
  <c r="AE20" i="34"/>
  <c r="AE9" i="34"/>
  <c r="AE25" i="35"/>
  <c r="AE21" i="35"/>
  <c r="AE17" i="35"/>
  <c r="AE13" i="35"/>
  <c r="AE4" i="35"/>
  <c r="AE13" i="36"/>
  <c r="AE26" i="36"/>
  <c r="AE5" i="37"/>
  <c r="P377" i="9"/>
  <c r="P393" i="9"/>
  <c r="P404" i="9"/>
  <c r="P397" i="9"/>
  <c r="P354" i="9"/>
  <c r="P390" i="9"/>
  <c r="P398" i="9"/>
  <c r="P138" i="9"/>
  <c r="P177" i="9"/>
  <c r="P189" i="9"/>
  <c r="P388" i="9"/>
  <c r="P382" i="9"/>
  <c r="P357" i="9"/>
  <c r="P401" i="9"/>
  <c r="AE18" i="27"/>
  <c r="AE19" i="25"/>
  <c r="AE24" i="25"/>
  <c r="L4" i="32"/>
  <c r="T22" i="34"/>
  <c r="Q5" i="34"/>
  <c r="AE10" i="27"/>
  <c r="AE25" i="36"/>
  <c r="P318" i="9"/>
  <c r="P150" i="9"/>
  <c r="P312" i="9"/>
  <c r="P386" i="9"/>
  <c r="P400" i="9"/>
  <c r="AE11" i="25"/>
  <c r="AE16" i="25"/>
  <c r="AE28" i="25"/>
  <c r="N5" i="26"/>
  <c r="Q26" i="26"/>
  <c r="P24" i="30"/>
  <c r="O4" i="32"/>
  <c r="M18" i="32"/>
  <c r="S28" i="32"/>
  <c r="Q11" i="32"/>
  <c r="M14" i="34"/>
  <c r="N26" i="26"/>
  <c r="U13" i="26"/>
  <c r="P26" i="26"/>
  <c r="L23" i="26"/>
  <c r="M28" i="28"/>
  <c r="M7" i="30"/>
  <c r="AH30" i="30"/>
  <c r="T23" i="30"/>
  <c r="M4" i="32"/>
  <c r="T11" i="32"/>
  <c r="R28" i="32"/>
  <c r="N6" i="36"/>
  <c r="AE15" i="27"/>
  <c r="AE4" i="27"/>
  <c r="AE16" i="27"/>
  <c r="AE5" i="27"/>
  <c r="AE17" i="27"/>
  <c r="AE28" i="28"/>
  <c r="AE12" i="28"/>
  <c r="AE29" i="29"/>
  <c r="AE9" i="29"/>
  <c r="AE7" i="30"/>
  <c r="AE4" i="30"/>
  <c r="AE9" i="30"/>
  <c r="AE26" i="33"/>
  <c r="AE18" i="33"/>
  <c r="AE29" i="35"/>
  <c r="AE6" i="35"/>
  <c r="P149" i="9"/>
  <c r="P384" i="9"/>
  <c r="P323" i="9"/>
  <c r="P333" i="9"/>
  <c r="P154" i="9"/>
  <c r="P191" i="9"/>
  <c r="P122" i="9"/>
  <c r="P330" i="9"/>
  <c r="P367" i="9"/>
  <c r="P130" i="9"/>
  <c r="P396" i="9"/>
  <c r="P391" i="9"/>
  <c r="AE20" i="25"/>
  <c r="AE8" i="25"/>
  <c r="D166" i="8"/>
  <c r="D175" i="8"/>
  <c r="N23" i="26"/>
  <c r="Q14" i="30"/>
  <c r="L11" i="32"/>
  <c r="AE5" i="28"/>
  <c r="AE22" i="28"/>
  <c r="AE24" i="29"/>
  <c r="AE17" i="29"/>
  <c r="AE12" i="31"/>
  <c r="AE25" i="31"/>
  <c r="AE10" i="31"/>
  <c r="AE8" i="33"/>
  <c r="AE20" i="33"/>
  <c r="AE29" i="33"/>
  <c r="AE22" i="33"/>
  <c r="AE7" i="37"/>
  <c r="P329" i="9"/>
  <c r="P337" i="9"/>
  <c r="AE12" i="25"/>
  <c r="AE26" i="25"/>
  <c r="N18" i="32"/>
  <c r="L19" i="27"/>
  <c r="O24" i="30"/>
  <c r="P7" i="30"/>
  <c r="AE4" i="26"/>
  <c r="AE16" i="26"/>
  <c r="AE29" i="26"/>
  <c r="AE11" i="27"/>
  <c r="AE11" i="28"/>
  <c r="AE5" i="31"/>
  <c r="AE29" i="31"/>
  <c r="AE15" i="31"/>
  <c r="AE26" i="32"/>
  <c r="AE25" i="34"/>
  <c r="AE10" i="36"/>
  <c r="AE22" i="36"/>
  <c r="P358" i="9"/>
  <c r="P375" i="9"/>
  <c r="P347" i="9"/>
  <c r="P372" i="9"/>
  <c r="P370" i="9"/>
  <c r="P344" i="9"/>
  <c r="AE26" i="30"/>
  <c r="AE14" i="36"/>
  <c r="AE21" i="25"/>
  <c r="AE4" i="25"/>
  <c r="AE18" i="25"/>
  <c r="D161" i="8"/>
  <c r="D168" i="8"/>
  <c r="AE22" i="26"/>
  <c r="Q28" i="28"/>
  <c r="U23" i="34"/>
  <c r="M26" i="26"/>
  <c r="L26" i="26"/>
  <c r="P23" i="26"/>
  <c r="T12" i="30"/>
  <c r="T21" i="32"/>
  <c r="S11" i="32"/>
  <c r="R5" i="34"/>
  <c r="AE8" i="29"/>
  <c r="AE6" i="30"/>
  <c r="AE19" i="32"/>
  <c r="AE19" i="33"/>
  <c r="AE4" i="33"/>
  <c r="AE13" i="33"/>
  <c r="AE24" i="34"/>
  <c r="AE13" i="34"/>
  <c r="AE6" i="34"/>
  <c r="AE14" i="35"/>
  <c r="AE27" i="36"/>
  <c r="P121" i="9"/>
  <c r="P142" i="9"/>
  <c r="P362" i="9"/>
  <c r="P194" i="9"/>
  <c r="P320" i="9"/>
  <c r="P168" i="9"/>
  <c r="P184" i="9"/>
  <c r="P188" i="9"/>
  <c r="P113" i="9"/>
  <c r="P134" i="9"/>
  <c r="P155" i="9"/>
  <c r="P315" i="9"/>
  <c r="P166" i="9"/>
  <c r="P387" i="9"/>
  <c r="P348" i="9"/>
  <c r="AE13" i="25"/>
  <c r="AE5" i="25"/>
  <c r="AE10" i="25"/>
  <c r="P369" i="9"/>
  <c r="M24" i="30"/>
  <c r="S12" i="30"/>
  <c r="N4" i="32"/>
  <c r="T28" i="32"/>
  <c r="L24" i="30"/>
  <c r="R12" i="30"/>
  <c r="M23" i="26"/>
  <c r="S4" i="26"/>
  <c r="Q23" i="26"/>
  <c r="P22" i="28"/>
  <c r="Q24" i="30"/>
  <c r="T16" i="31"/>
  <c r="U21" i="32"/>
  <c r="U11" i="32"/>
  <c r="Q4" i="32"/>
  <c r="U16" i="33"/>
  <c r="U5" i="34"/>
  <c r="AE24" i="27"/>
  <c r="AE7" i="28"/>
  <c r="AE20" i="28"/>
  <c r="AE21" i="28"/>
  <c r="AE14" i="28"/>
  <c r="AE11" i="29"/>
  <c r="AE12" i="30"/>
  <c r="AE7" i="32"/>
  <c r="AE14" i="33"/>
  <c r="AE10" i="34"/>
  <c r="AE5" i="35"/>
  <c r="AG5" i="35" s="1"/>
  <c r="AE22" i="35"/>
  <c r="AE28" i="37"/>
  <c r="AE12" i="37"/>
  <c r="AE29" i="37"/>
  <c r="AE6" i="37"/>
  <c r="P167" i="9"/>
  <c r="P317" i="9"/>
  <c r="P363" i="9"/>
  <c r="P151" i="9"/>
  <c r="P119" i="9"/>
  <c r="P361" i="9"/>
  <c r="P192" i="9"/>
  <c r="AE10" i="32"/>
  <c r="AE29" i="25"/>
  <c r="P165" i="9"/>
  <c r="P197" i="9"/>
  <c r="P117" i="9"/>
  <c r="P187" i="9"/>
  <c r="P118" i="9"/>
  <c r="P204" i="9"/>
  <c r="P116" i="9"/>
  <c r="P137" i="9"/>
  <c r="P144" i="9"/>
  <c r="P172" i="9"/>
  <c r="P200" i="9"/>
  <c r="P136" i="9"/>
  <c r="P196" i="9"/>
  <c r="P126" i="9"/>
  <c r="P158" i="9"/>
  <c r="P132" i="9"/>
  <c r="P146" i="9"/>
  <c r="P162" i="9"/>
  <c r="P131" i="9"/>
  <c r="P202" i="9"/>
  <c r="P176" i="9"/>
  <c r="P198" i="9"/>
  <c r="P123" i="9"/>
  <c r="P145" i="9"/>
  <c r="P115" i="9"/>
  <c r="P110" i="9"/>
  <c r="P140" i="9"/>
  <c r="P175" i="9"/>
  <c r="AE13" i="37"/>
  <c r="AE26" i="37"/>
  <c r="AE21" i="37"/>
  <c r="AE17" i="37"/>
  <c r="AE8" i="37"/>
  <c r="AE11" i="37"/>
  <c r="AE25" i="37"/>
  <c r="AE22" i="37"/>
  <c r="AE20" i="37"/>
  <c r="AE19" i="37"/>
  <c r="AE4" i="37"/>
  <c r="AE27" i="37"/>
  <c r="AE16" i="37"/>
  <c r="AE15" i="37"/>
  <c r="AE24" i="37"/>
  <c r="AE23" i="37"/>
  <c r="AE7" i="36"/>
  <c r="AE28" i="36"/>
  <c r="AE20" i="36"/>
  <c r="AE29" i="36"/>
  <c r="AE5" i="36"/>
  <c r="AE16" i="36"/>
  <c r="AE12" i="36"/>
  <c r="AE21" i="36"/>
  <c r="AE8" i="36"/>
  <c r="AE24" i="36"/>
  <c r="AE19" i="36"/>
  <c r="AE11" i="36"/>
  <c r="AE23" i="36"/>
  <c r="AE15" i="36"/>
  <c r="AE10" i="35"/>
  <c r="AE16" i="35"/>
  <c r="AE7" i="35"/>
  <c r="AE28" i="35"/>
  <c r="AE12" i="35"/>
  <c r="AE9" i="35"/>
  <c r="AE24" i="35"/>
  <c r="AE8" i="35"/>
  <c r="AE18" i="35"/>
  <c r="AE23" i="35"/>
  <c r="AE19" i="35"/>
  <c r="AE15" i="35"/>
  <c r="AE11" i="35"/>
  <c r="AE21" i="34"/>
  <c r="AE8" i="34"/>
  <c r="AE29" i="34"/>
  <c r="AE17" i="34"/>
  <c r="AE27" i="34"/>
  <c r="AE16" i="34"/>
  <c r="AE5" i="34"/>
  <c r="AE4" i="34"/>
  <c r="AE28" i="34"/>
  <c r="AE12" i="34"/>
  <c r="AE7" i="34"/>
  <c r="AE15" i="34"/>
  <c r="AI30" i="34"/>
  <c r="AE23" i="34"/>
  <c r="AE11" i="34"/>
  <c r="AE19" i="34"/>
  <c r="AE16" i="33"/>
  <c r="AE28" i="33"/>
  <c r="AE21" i="33"/>
  <c r="AE11" i="33"/>
  <c r="AE12" i="33"/>
  <c r="AE24" i="33"/>
  <c r="AE5" i="33"/>
  <c r="AE17" i="33"/>
  <c r="AE23" i="33"/>
  <c r="AE25" i="33"/>
  <c r="AE24" i="32"/>
  <c r="AE8" i="32"/>
  <c r="AE29" i="32"/>
  <c r="AE5" i="32"/>
  <c r="AE15" i="32"/>
  <c r="AE16" i="32"/>
  <c r="AE21" i="32"/>
  <c r="AE13" i="32"/>
  <c r="AE28" i="32"/>
  <c r="AE23" i="32"/>
  <c r="AE4" i="32"/>
  <c r="AE11" i="32"/>
  <c r="AE6" i="32"/>
  <c r="AE12" i="32"/>
  <c r="AE25" i="32"/>
  <c r="AE9" i="32"/>
  <c r="AE27" i="32"/>
  <c r="AE20" i="32"/>
  <c r="AE27" i="31"/>
  <c r="AE20" i="31"/>
  <c r="AE8" i="31"/>
  <c r="AE13" i="31"/>
  <c r="AE23" i="31"/>
  <c r="AE14" i="31"/>
  <c r="AE11" i="31"/>
  <c r="AE24" i="31"/>
  <c r="AE16" i="31"/>
  <c r="AE4" i="31"/>
  <c r="AE21" i="31"/>
  <c r="AE22" i="31"/>
  <c r="AE9" i="31"/>
  <c r="AE19" i="31"/>
  <c r="AE18" i="31"/>
  <c r="AE17" i="31"/>
  <c r="AE7" i="31"/>
  <c r="AE20" i="30"/>
  <c r="AE21" i="30"/>
  <c r="AE19" i="30"/>
  <c r="AE23" i="30"/>
  <c r="AE16" i="30"/>
  <c r="AE28" i="30"/>
  <c r="AE5" i="30"/>
  <c r="AE18" i="30"/>
  <c r="AE15" i="30"/>
  <c r="AE24" i="30"/>
  <c r="AE17" i="30"/>
  <c r="AE25" i="30"/>
  <c r="AE22" i="30"/>
  <c r="AE15" i="29"/>
  <c r="AE5" i="29"/>
  <c r="AE26" i="29"/>
  <c r="AE25" i="29"/>
  <c r="AE20" i="29"/>
  <c r="AE13" i="29"/>
  <c r="AE7" i="29"/>
  <c r="AE21" i="29"/>
  <c r="AE16" i="29"/>
  <c r="AH16" i="29" s="1"/>
  <c r="AE6" i="29"/>
  <c r="AE23" i="29"/>
  <c r="AE19" i="29"/>
  <c r="AE27" i="29"/>
  <c r="AE26" i="28"/>
  <c r="AE29" i="28"/>
  <c r="AE9" i="28"/>
  <c r="AE24" i="28"/>
  <c r="AE17" i="28"/>
  <c r="AE8" i="28"/>
  <c r="AE25" i="28"/>
  <c r="AE13" i="28"/>
  <c r="AE27" i="28"/>
  <c r="AE15" i="28"/>
  <c r="AF30" i="28"/>
  <c r="AE23" i="28"/>
  <c r="AE19" i="28"/>
  <c r="AE14" i="27"/>
  <c r="AE21" i="27"/>
  <c r="AE28" i="27"/>
  <c r="AE12" i="27"/>
  <c r="AE29" i="27"/>
  <c r="AE13" i="27"/>
  <c r="AE19" i="27"/>
  <c r="AE22" i="27"/>
  <c r="AE25" i="27"/>
  <c r="AE9" i="27"/>
  <c r="AE7" i="26"/>
  <c r="AE8" i="26"/>
  <c r="AE20" i="26"/>
  <c r="AE5" i="26"/>
  <c r="AE17" i="26"/>
  <c r="AE27" i="26"/>
  <c r="AE15" i="26"/>
  <c r="AE28" i="26"/>
  <c r="AE13" i="26"/>
  <c r="AE25" i="26"/>
  <c r="AE23" i="26"/>
  <c r="AE19" i="26"/>
  <c r="AH30" i="26"/>
  <c r="N5" i="36"/>
  <c r="L5" i="36"/>
  <c r="M18" i="36"/>
  <c r="Q5" i="36"/>
  <c r="S14" i="32"/>
  <c r="T14" i="32"/>
  <c r="O5" i="32"/>
  <c r="P15" i="32"/>
  <c r="N27" i="32"/>
  <c r="L27" i="32"/>
  <c r="M17" i="34"/>
  <c r="M16" i="34"/>
  <c r="Q17" i="34"/>
  <c r="N19" i="27"/>
  <c r="Q7" i="26"/>
  <c r="L17" i="27"/>
  <c r="T8" i="32"/>
  <c r="U11" i="34"/>
  <c r="U7" i="32"/>
  <c r="R10" i="34"/>
  <c r="R8" i="32"/>
  <c r="S10" i="34"/>
  <c r="U10" i="26"/>
  <c r="P8" i="28"/>
  <c r="M21" i="36"/>
  <c r="P27" i="36"/>
  <c r="S29" i="28"/>
  <c r="M27" i="35"/>
  <c r="T4" i="26"/>
  <c r="R8" i="27"/>
  <c r="M22" i="28"/>
  <c r="P28" i="28"/>
  <c r="M18" i="31"/>
  <c r="Q18" i="31"/>
  <c r="M20" i="36"/>
  <c r="P28" i="36"/>
  <c r="S10" i="26"/>
  <c r="O8" i="28"/>
  <c r="M8" i="28"/>
  <c r="M16" i="35"/>
  <c r="P27" i="35"/>
  <c r="R10" i="26"/>
  <c r="U16" i="26"/>
  <c r="S8" i="26"/>
  <c r="N28" i="28"/>
  <c r="T29" i="28"/>
  <c r="L28" i="28"/>
  <c r="L22" i="28"/>
  <c r="N25" i="31"/>
  <c r="M8" i="31"/>
  <c r="R19" i="33"/>
  <c r="L27" i="35"/>
  <c r="N15" i="36"/>
  <c r="P7" i="36"/>
  <c r="S6" i="26"/>
  <c r="Q22" i="28"/>
  <c r="Q29" i="28"/>
  <c r="N18" i="31"/>
  <c r="Q16" i="35"/>
  <c r="M16" i="36"/>
  <c r="U4" i="26"/>
  <c r="M21" i="31"/>
  <c r="T6" i="26"/>
  <c r="N22" i="28"/>
  <c r="O29" i="28"/>
  <c r="P16" i="35"/>
  <c r="U8" i="27"/>
  <c r="R29" i="28"/>
  <c r="U6" i="26"/>
  <c r="M29" i="28"/>
  <c r="N16" i="35"/>
  <c r="L16" i="35"/>
  <c r="Q27" i="36"/>
  <c r="S5" i="29"/>
  <c r="O17" i="34"/>
  <c r="N7" i="36"/>
  <c r="Q20" i="36"/>
  <c r="Q7" i="36"/>
  <c r="U25" i="35"/>
  <c r="U15" i="27"/>
  <c r="T16" i="26"/>
  <c r="M28" i="36"/>
  <c r="M7" i="36"/>
  <c r="S16" i="26"/>
  <c r="N15" i="29"/>
  <c r="L20" i="36"/>
  <c r="L16" i="36"/>
  <c r="S14" i="26"/>
  <c r="P17" i="34"/>
  <c r="L17" i="34"/>
  <c r="N16" i="36"/>
  <c r="L7" i="36"/>
  <c r="N20" i="35"/>
  <c r="O13" i="33"/>
  <c r="M15" i="31"/>
  <c r="R23" i="35"/>
  <c r="U8" i="33"/>
  <c r="O6" i="33"/>
  <c r="T28" i="27"/>
  <c r="P17" i="27"/>
  <c r="P29" i="29"/>
  <c r="U12" i="28"/>
  <c r="R23" i="28"/>
  <c r="R16" i="27"/>
  <c r="S21" i="35"/>
  <c r="O11" i="33"/>
  <c r="M25" i="31"/>
  <c r="Q13" i="33"/>
  <c r="O19" i="27"/>
  <c r="R18" i="35"/>
  <c r="T21" i="27"/>
  <c r="T6" i="31"/>
  <c r="S6" i="31"/>
  <c r="Q5" i="31"/>
  <c r="U13" i="33"/>
  <c r="Q11" i="33"/>
  <c r="U7" i="35"/>
  <c r="M5" i="37"/>
  <c r="T25" i="27"/>
  <c r="S15" i="29"/>
  <c r="L5" i="31"/>
  <c r="Q24" i="31"/>
  <c r="S13" i="33"/>
  <c r="R16" i="33"/>
  <c r="T24" i="27"/>
  <c r="T15" i="29"/>
  <c r="R15" i="29"/>
  <c r="N17" i="31"/>
  <c r="L24" i="31"/>
  <c r="R21" i="35"/>
  <c r="U21" i="27"/>
  <c r="R21" i="27"/>
  <c r="S4" i="29"/>
  <c r="M12" i="31"/>
  <c r="R14" i="31"/>
  <c r="T16" i="33"/>
  <c r="Q17" i="33"/>
  <c r="U25" i="27"/>
  <c r="S23" i="28"/>
  <c r="U4" i="29"/>
  <c r="O24" i="31"/>
  <c r="T14" i="31"/>
  <c r="T6" i="33"/>
  <c r="T21" i="35"/>
  <c r="S17" i="35"/>
  <c r="U24" i="27"/>
  <c r="R25" i="27"/>
  <c r="T23" i="28"/>
  <c r="S22" i="28"/>
  <c r="S24" i="29"/>
  <c r="O5" i="31"/>
  <c r="U6" i="31"/>
  <c r="L12" i="31"/>
  <c r="S14" i="31"/>
  <c r="T17" i="35"/>
  <c r="R7" i="35"/>
  <c r="R24" i="27"/>
  <c r="M24" i="31"/>
  <c r="M5" i="31"/>
  <c r="T10" i="31"/>
  <c r="S10" i="31"/>
  <c r="M17" i="33"/>
  <c r="T13" i="33"/>
  <c r="P17" i="33"/>
  <c r="T7" i="35"/>
  <c r="L17" i="31"/>
  <c r="M11" i="33"/>
  <c r="L17" i="33"/>
  <c r="N24" i="31"/>
  <c r="M4" i="33"/>
  <c r="O17" i="33"/>
  <c r="T13" i="28"/>
  <c r="O17" i="31"/>
  <c r="N12" i="31"/>
  <c r="Q17" i="31"/>
  <c r="P11" i="33"/>
  <c r="L11" i="33"/>
  <c r="O13" i="37"/>
  <c r="N5" i="31"/>
  <c r="M17" i="31"/>
  <c r="O5" i="37"/>
  <c r="O21" i="37"/>
  <c r="R10" i="30"/>
  <c r="M22" i="31"/>
  <c r="N9" i="26"/>
  <c r="L7" i="26"/>
  <c r="T27" i="27"/>
  <c r="M25" i="35"/>
  <c r="S6" i="35"/>
  <c r="R20" i="33"/>
  <c r="R14" i="27"/>
  <c r="T20" i="27"/>
  <c r="O14" i="28"/>
  <c r="S15" i="31"/>
  <c r="T21" i="29"/>
  <c r="R16" i="28"/>
  <c r="U20" i="27"/>
  <c r="M15" i="37"/>
  <c r="T26" i="28"/>
  <c r="S7" i="29"/>
  <c r="N9" i="31"/>
  <c r="M9" i="31"/>
  <c r="L20" i="31"/>
  <c r="U28" i="31"/>
  <c r="M9" i="33"/>
  <c r="S23" i="35"/>
  <c r="U28" i="35"/>
  <c r="O12" i="35"/>
  <c r="O29" i="35"/>
  <c r="N12" i="36"/>
  <c r="M10" i="36"/>
  <c r="T23" i="26"/>
  <c r="U23" i="27"/>
  <c r="T23" i="27"/>
  <c r="R23" i="27"/>
  <c r="P18" i="27"/>
  <c r="R28" i="28"/>
  <c r="L9" i="31"/>
  <c r="R28" i="31"/>
  <c r="Q20" i="31"/>
  <c r="N9" i="33"/>
  <c r="M6" i="33"/>
  <c r="T26" i="33"/>
  <c r="Q13" i="34"/>
  <c r="AD4" i="34"/>
  <c r="N15" i="35"/>
  <c r="T18" i="35"/>
  <c r="R28" i="35"/>
  <c r="Q12" i="35"/>
  <c r="T23" i="36"/>
  <c r="S28" i="28"/>
  <c r="M20" i="31"/>
  <c r="U26" i="33"/>
  <c r="T28" i="33"/>
  <c r="S18" i="35"/>
  <c r="O20" i="31"/>
  <c r="U18" i="26"/>
  <c r="T18" i="26"/>
  <c r="T14" i="28"/>
  <c r="S26" i="28"/>
  <c r="M29" i="29"/>
  <c r="T19" i="29"/>
  <c r="N20" i="31"/>
  <c r="S11" i="31"/>
  <c r="S26" i="33"/>
  <c r="U28" i="33"/>
  <c r="P20" i="34"/>
  <c r="O20" i="34"/>
  <c r="M29" i="35"/>
  <c r="L19" i="35"/>
  <c r="U5" i="27"/>
  <c r="L18" i="27"/>
  <c r="U14" i="28"/>
  <c r="U7" i="29"/>
  <c r="O15" i="31"/>
  <c r="L15" i="31"/>
  <c r="M20" i="33"/>
  <c r="T8" i="33"/>
  <c r="S28" i="33"/>
  <c r="S7" i="34"/>
  <c r="R7" i="34"/>
  <c r="AD18" i="26"/>
  <c r="U28" i="27"/>
  <c r="R28" i="27"/>
  <c r="S14" i="28"/>
  <c r="T7" i="29"/>
  <c r="T12" i="29"/>
  <c r="S28" i="31"/>
  <c r="R11" i="31"/>
  <c r="O13" i="34"/>
  <c r="S28" i="35"/>
  <c r="M14" i="36"/>
  <c r="R26" i="28"/>
  <c r="U22" i="31"/>
  <c r="T22" i="31"/>
  <c r="T11" i="31"/>
  <c r="S22" i="31"/>
  <c r="R8" i="33"/>
  <c r="N19" i="35"/>
  <c r="M19" i="35"/>
  <c r="T23" i="35"/>
  <c r="T19" i="26"/>
  <c r="P9" i="26"/>
  <c r="U17" i="27"/>
  <c r="R4" i="30"/>
  <c r="U12" i="31"/>
  <c r="Q9" i="26"/>
  <c r="L9" i="26"/>
  <c r="T20" i="29"/>
  <c r="S8" i="31"/>
  <c r="T6" i="32"/>
  <c r="Q22" i="34"/>
  <c r="M26" i="32"/>
  <c r="L26" i="32"/>
  <c r="N7" i="26"/>
  <c r="S17" i="27"/>
  <c r="L10" i="31"/>
  <c r="U10" i="33"/>
  <c r="M12" i="26"/>
  <c r="M13" i="30"/>
  <c r="T16" i="30"/>
  <c r="N8" i="32"/>
  <c r="N14" i="26"/>
  <c r="M9" i="26"/>
  <c r="L14" i="26"/>
  <c r="P7" i="26"/>
  <c r="S4" i="28"/>
  <c r="S29" i="32"/>
  <c r="M7" i="26"/>
  <c r="S24" i="32"/>
  <c r="AD19" i="32"/>
  <c r="AI19" i="32" s="1"/>
  <c r="O8" i="32"/>
  <c r="S28" i="34"/>
  <c r="AD22" i="29"/>
  <c r="T28" i="28"/>
  <c r="S20" i="35"/>
  <c r="N28" i="29"/>
  <c r="S21" i="36"/>
  <c r="N4" i="26"/>
  <c r="R27" i="27"/>
  <c r="R18" i="27"/>
  <c r="N27" i="29"/>
  <c r="S26" i="29"/>
  <c r="P26" i="29"/>
  <c r="R26" i="29"/>
  <c r="S28" i="30"/>
  <c r="AD7" i="30"/>
  <c r="AH7" i="30" s="1"/>
  <c r="O14" i="31"/>
  <c r="N22" i="31"/>
  <c r="U21" i="31"/>
  <c r="S21" i="31"/>
  <c r="AD8" i="31"/>
  <c r="AH8" i="31" s="1"/>
  <c r="M24" i="32"/>
  <c r="M16" i="32"/>
  <c r="R5" i="32"/>
  <c r="S5" i="32"/>
  <c r="L24" i="32"/>
  <c r="M16" i="33"/>
  <c r="Q29" i="33"/>
  <c r="P29" i="33"/>
  <c r="Q15" i="34"/>
  <c r="Q24" i="34"/>
  <c r="U24" i="35"/>
  <c r="M8" i="35"/>
  <c r="Q8" i="35"/>
  <c r="N26" i="36"/>
  <c r="N11" i="36"/>
  <c r="R17" i="27"/>
  <c r="N24" i="28"/>
  <c r="P11" i="28"/>
  <c r="N26" i="29"/>
  <c r="S8" i="29"/>
  <c r="R20" i="29"/>
  <c r="N9" i="30"/>
  <c r="L26" i="30"/>
  <c r="T8" i="31"/>
  <c r="M23" i="32"/>
  <c r="R10" i="33"/>
  <c r="AD23" i="33"/>
  <c r="AF23" i="33" s="1"/>
  <c r="P19" i="33"/>
  <c r="S27" i="34"/>
  <c r="R6" i="34"/>
  <c r="M24" i="35"/>
  <c r="M5" i="35"/>
  <c r="P5" i="35"/>
  <c r="T28" i="26"/>
  <c r="AD17" i="27"/>
  <c r="AI17" i="27" s="1"/>
  <c r="U4" i="28"/>
  <c r="N11" i="28"/>
  <c r="P28" i="29"/>
  <c r="O10" i="31"/>
  <c r="S13" i="32"/>
  <c r="S10" i="33"/>
  <c r="T7" i="33"/>
  <c r="L16" i="33"/>
  <c r="P16" i="33"/>
  <c r="R21" i="34"/>
  <c r="O24" i="34"/>
  <c r="L8" i="26"/>
  <c r="M8" i="26"/>
  <c r="M28" i="29"/>
  <c r="T26" i="29"/>
  <c r="P27" i="29"/>
  <c r="N26" i="30"/>
  <c r="M26" i="30"/>
  <c r="P26" i="30"/>
  <c r="U8" i="31"/>
  <c r="L22" i="31"/>
  <c r="T12" i="31"/>
  <c r="U13" i="32"/>
  <c r="T5" i="32"/>
  <c r="Q23" i="33"/>
  <c r="T21" i="34"/>
  <c r="L24" i="34"/>
  <c r="O12" i="37"/>
  <c r="N15" i="28"/>
  <c r="S20" i="29"/>
  <c r="L26" i="29"/>
  <c r="O22" i="31"/>
  <c r="T21" i="31"/>
  <c r="S12" i="31"/>
  <c r="T13" i="32"/>
  <c r="S23" i="32"/>
  <c r="Q24" i="32"/>
  <c r="L23" i="32"/>
  <c r="T24" i="33"/>
  <c r="P24" i="34"/>
  <c r="U10" i="35"/>
  <c r="T12" i="35"/>
  <c r="S25" i="36"/>
  <c r="T4" i="28"/>
  <c r="T8" i="29"/>
  <c r="L28" i="29"/>
  <c r="T28" i="30"/>
  <c r="N24" i="32"/>
  <c r="R23" i="32"/>
  <c r="M23" i="33"/>
  <c r="U24" i="33"/>
  <c r="U27" i="34"/>
  <c r="S21" i="34"/>
  <c r="P15" i="34"/>
  <c r="R27" i="34"/>
  <c r="U12" i="35"/>
  <c r="O4" i="37"/>
  <c r="S18" i="27"/>
  <c r="U27" i="27"/>
  <c r="U18" i="27"/>
  <c r="O24" i="28"/>
  <c r="U8" i="29"/>
  <c r="Q28" i="29"/>
  <c r="R28" i="30"/>
  <c r="Q26" i="30"/>
  <c r="N10" i="31"/>
  <c r="M14" i="31"/>
  <c r="Q22" i="31"/>
  <c r="T23" i="32"/>
  <c r="P24" i="32"/>
  <c r="M15" i="34"/>
  <c r="T6" i="34"/>
  <c r="S6" i="34"/>
  <c r="M24" i="34"/>
  <c r="N24" i="35"/>
  <c r="Q29" i="32"/>
  <c r="N16" i="30"/>
  <c r="Q16" i="30"/>
  <c r="P16" i="30"/>
  <c r="N27" i="31"/>
  <c r="T13" i="31"/>
  <c r="P26" i="32"/>
  <c r="U29" i="34"/>
  <c r="S29" i="34"/>
  <c r="O28" i="34"/>
  <c r="P14" i="35"/>
  <c r="Q17" i="36"/>
  <c r="L17" i="36"/>
  <c r="Q8" i="32"/>
  <c r="N13" i="30"/>
  <c r="Q13" i="30"/>
  <c r="T10" i="30"/>
  <c r="S4" i="30"/>
  <c r="U24" i="32"/>
  <c r="T29" i="32"/>
  <c r="R6" i="32"/>
  <c r="AD6" i="32"/>
  <c r="U9" i="34"/>
  <c r="Q28" i="34"/>
  <c r="O27" i="31"/>
  <c r="T24" i="32"/>
  <c r="AD5" i="32"/>
  <c r="AH5" i="32" s="1"/>
  <c r="S13" i="34"/>
  <c r="R13" i="34"/>
  <c r="R29" i="34"/>
  <c r="T14" i="29"/>
  <c r="S10" i="30"/>
  <c r="T4" i="30"/>
  <c r="N19" i="31"/>
  <c r="L27" i="31"/>
  <c r="S25" i="31"/>
  <c r="Q19" i="31"/>
  <c r="U13" i="34"/>
  <c r="R9" i="34"/>
  <c r="N4" i="36"/>
  <c r="M17" i="36"/>
  <c r="U29" i="32"/>
  <c r="L29" i="32"/>
  <c r="P29" i="32"/>
  <c r="P17" i="36"/>
  <c r="AD5" i="26"/>
  <c r="S6" i="32"/>
  <c r="M12" i="34"/>
  <c r="S9" i="34"/>
  <c r="M17" i="35"/>
  <c r="S13" i="35"/>
  <c r="T14" i="35"/>
  <c r="P16" i="27"/>
  <c r="S17" i="28"/>
  <c r="U17" i="28"/>
  <c r="T17" i="28"/>
  <c r="S5" i="28"/>
  <c r="S28" i="36"/>
  <c r="AD28" i="29"/>
  <c r="AG28" i="29" s="1"/>
  <c r="AD12" i="33"/>
  <c r="AH12" i="33" s="1"/>
  <c r="S25" i="28"/>
  <c r="U14" i="36"/>
  <c r="M6" i="37"/>
  <c r="T6" i="28"/>
  <c r="T16" i="28"/>
  <c r="P9" i="29"/>
  <c r="O21" i="31"/>
  <c r="Q21" i="31"/>
  <c r="U12" i="33"/>
  <c r="N6" i="37"/>
  <c r="U4" i="27"/>
  <c r="S10" i="28"/>
  <c r="U28" i="29"/>
  <c r="R27" i="29"/>
  <c r="Q9" i="29"/>
  <c r="AD13" i="30"/>
  <c r="O8" i="31"/>
  <c r="N21" i="31"/>
  <c r="Q25" i="31"/>
  <c r="T20" i="33"/>
  <c r="T8" i="27"/>
  <c r="T28" i="29"/>
  <c r="N9" i="29"/>
  <c r="O18" i="31"/>
  <c r="O7" i="31"/>
  <c r="N8" i="31"/>
  <c r="L21" i="31"/>
  <c r="M13" i="33"/>
  <c r="L13" i="33"/>
  <c r="O17" i="37"/>
  <c r="M24" i="37"/>
  <c r="T27" i="29"/>
  <c r="S27" i="29"/>
  <c r="S18" i="31"/>
  <c r="P18" i="33"/>
  <c r="O9" i="29"/>
  <c r="O25" i="31"/>
  <c r="L25" i="31"/>
  <c r="L18" i="31"/>
  <c r="T14" i="36"/>
  <c r="O10" i="37"/>
  <c r="N7" i="37"/>
  <c r="T8" i="26"/>
  <c r="T9" i="27"/>
  <c r="T11" i="28"/>
  <c r="S11" i="28"/>
  <c r="R23" i="29"/>
  <c r="Q15" i="29"/>
  <c r="T9" i="31"/>
  <c r="R24" i="31"/>
  <c r="M10" i="33"/>
  <c r="S11" i="33"/>
  <c r="R11" i="33"/>
  <c r="U11" i="33"/>
  <c r="O10" i="33"/>
  <c r="T25" i="35"/>
  <c r="O18" i="37"/>
  <c r="Q6" i="37"/>
  <c r="AD15" i="29"/>
  <c r="S23" i="29"/>
  <c r="L29" i="31"/>
  <c r="R5" i="31"/>
  <c r="S5" i="31"/>
  <c r="M22" i="35"/>
  <c r="AD9" i="30"/>
  <c r="R9" i="31"/>
  <c r="T20" i="35"/>
  <c r="S26" i="35"/>
  <c r="U14" i="26"/>
  <c r="U8" i="26"/>
  <c r="T14" i="26"/>
  <c r="S15" i="27"/>
  <c r="S20" i="28"/>
  <c r="T18" i="29"/>
  <c r="R18" i="29"/>
  <c r="AD24" i="31"/>
  <c r="N13" i="33"/>
  <c r="M14" i="33"/>
  <c r="T23" i="33"/>
  <c r="N26" i="35"/>
  <c r="T21" i="37"/>
  <c r="T24" i="31"/>
  <c r="T5" i="31"/>
  <c r="S24" i="31"/>
  <c r="S23" i="33"/>
  <c r="R15" i="27"/>
  <c r="T23" i="29"/>
  <c r="S18" i="29"/>
  <c r="S9" i="31"/>
  <c r="U19" i="33"/>
  <c r="AD15" i="34"/>
  <c r="AI15" i="34" s="1"/>
  <c r="AD28" i="27"/>
  <c r="S26" i="36"/>
  <c r="P27" i="25"/>
  <c r="S14" i="36"/>
  <c r="S16" i="36"/>
  <c r="T16" i="36"/>
  <c r="R17" i="37"/>
  <c r="P23" i="33"/>
  <c r="AD16" i="33"/>
  <c r="L23" i="33"/>
  <c r="U16" i="36"/>
  <c r="O7" i="37"/>
  <c r="Q7" i="37"/>
  <c r="U6" i="28"/>
  <c r="R20" i="28"/>
  <c r="L14" i="31"/>
  <c r="R24" i="33"/>
  <c r="Q16" i="33"/>
  <c r="O19" i="33"/>
  <c r="S24" i="35"/>
  <c r="S10" i="35"/>
  <c r="O5" i="35"/>
  <c r="O24" i="37"/>
  <c r="M17" i="37"/>
  <c r="U5" i="28"/>
  <c r="T10" i="35"/>
  <c r="R5" i="28"/>
  <c r="T20" i="28"/>
  <c r="S6" i="28"/>
  <c r="N16" i="33"/>
  <c r="O23" i="33"/>
  <c r="T24" i="35"/>
  <c r="S12" i="35"/>
  <c r="T8" i="36"/>
  <c r="T19" i="37"/>
  <c r="T25" i="36"/>
  <c r="S23" i="36"/>
  <c r="T28" i="36"/>
  <c r="AD18" i="27"/>
  <c r="O21" i="33"/>
  <c r="U25" i="36"/>
  <c r="R4" i="37"/>
  <c r="S7" i="28"/>
  <c r="AD24" i="30"/>
  <c r="AH24" i="30" s="1"/>
  <c r="S4" i="37"/>
  <c r="N27" i="33"/>
  <c r="M25" i="25"/>
  <c r="R23" i="36"/>
  <c r="S8" i="36"/>
  <c r="U6" i="36"/>
  <c r="T29" i="29"/>
  <c r="AD9" i="37"/>
  <c r="AD26" i="26"/>
  <c r="AI26" i="26" s="1"/>
  <c r="AD22" i="34"/>
  <c r="U28" i="36"/>
  <c r="T25" i="26"/>
  <c r="AD12" i="30"/>
  <c r="AD16" i="29"/>
  <c r="AD12" i="27"/>
  <c r="AD5" i="31"/>
  <c r="AD10" i="30"/>
  <c r="AI10" i="30" s="1"/>
  <c r="AI30" i="26"/>
  <c r="M4" i="27"/>
  <c r="L20" i="27"/>
  <c r="L4" i="27"/>
  <c r="Q20" i="27"/>
  <c r="T15" i="28"/>
  <c r="U10" i="29"/>
  <c r="T10" i="29"/>
  <c r="S25" i="29"/>
  <c r="S6" i="29"/>
  <c r="O6" i="31"/>
  <c r="N13" i="31"/>
  <c r="M13" i="31"/>
  <c r="U7" i="31"/>
  <c r="L6" i="31"/>
  <c r="Q6" i="31"/>
  <c r="S22" i="32"/>
  <c r="S20" i="33"/>
  <c r="L8" i="33"/>
  <c r="AD23" i="35"/>
  <c r="AG23" i="35" s="1"/>
  <c r="S5" i="35"/>
  <c r="U6" i="35"/>
  <c r="P23" i="35"/>
  <c r="O28" i="37"/>
  <c r="R25" i="25"/>
  <c r="M11" i="25"/>
  <c r="U11" i="26"/>
  <c r="M6" i="26"/>
  <c r="Q28" i="27"/>
  <c r="R20" i="27"/>
  <c r="Q23" i="28"/>
  <c r="M7" i="31"/>
  <c r="S22" i="33"/>
  <c r="T5" i="35"/>
  <c r="AD18" i="29"/>
  <c r="AI18" i="29" s="1"/>
  <c r="S25" i="25"/>
  <c r="O27" i="26"/>
  <c r="AD4" i="27"/>
  <c r="AI4" i="27" s="1"/>
  <c r="M23" i="28"/>
  <c r="T24" i="28"/>
  <c r="S16" i="28"/>
  <c r="P14" i="28"/>
  <c r="Q21" i="30"/>
  <c r="O13" i="31"/>
  <c r="S23" i="31"/>
  <c r="N22" i="32"/>
  <c r="N13" i="32"/>
  <c r="AD17" i="33"/>
  <c r="T22" i="33"/>
  <c r="T27" i="33"/>
  <c r="O8" i="33"/>
  <c r="M23" i="35"/>
  <c r="U5" i="35"/>
  <c r="S26" i="37"/>
  <c r="Q25" i="25"/>
  <c r="Q21" i="25"/>
  <c r="U25" i="25"/>
  <c r="M27" i="26"/>
  <c r="R21" i="26"/>
  <c r="R15" i="28"/>
  <c r="S15" i="28"/>
  <c r="T25" i="29"/>
  <c r="AI30" i="30"/>
  <c r="M6" i="31"/>
  <c r="O7" i="32"/>
  <c r="AD8" i="32"/>
  <c r="Q28" i="32"/>
  <c r="N15" i="33"/>
  <c r="U22" i="33"/>
  <c r="U27" i="33"/>
  <c r="P15" i="33"/>
  <c r="P6" i="35"/>
  <c r="M29" i="36"/>
  <c r="L22" i="36"/>
  <c r="O25" i="25"/>
  <c r="O21" i="25"/>
  <c r="M10" i="26"/>
  <c r="Q6" i="26"/>
  <c r="N23" i="28"/>
  <c r="AD23" i="28"/>
  <c r="L23" i="28"/>
  <c r="M14" i="28"/>
  <c r="R25" i="29"/>
  <c r="T23" i="31"/>
  <c r="S27" i="33"/>
  <c r="AD5" i="34"/>
  <c r="AI5" i="34" s="1"/>
  <c r="AD10" i="35"/>
  <c r="S4" i="35"/>
  <c r="U13" i="36"/>
  <c r="S10" i="29"/>
  <c r="M5" i="30"/>
  <c r="N7" i="31"/>
  <c r="U23" i="31"/>
  <c r="U15" i="31"/>
  <c r="T7" i="31"/>
  <c r="M8" i="33"/>
  <c r="Q15" i="33"/>
  <c r="T9" i="36"/>
  <c r="P22" i="36"/>
  <c r="L27" i="26"/>
  <c r="P23" i="28"/>
  <c r="N6" i="31"/>
  <c r="T15" i="31"/>
  <c r="S7" i="31"/>
  <c r="AF19" i="32"/>
  <c r="Q28" i="33"/>
  <c r="P19" i="25"/>
  <c r="P11" i="25"/>
  <c r="U9" i="26"/>
  <c r="T11" i="26"/>
  <c r="T15" i="26"/>
  <c r="AD12" i="26"/>
  <c r="AG12" i="26" s="1"/>
  <c r="U19" i="27"/>
  <c r="N25" i="29"/>
  <c r="U9" i="29"/>
  <c r="O7" i="29"/>
  <c r="L21" i="30"/>
  <c r="O26" i="31"/>
  <c r="O16" i="31"/>
  <c r="M28" i="31"/>
  <c r="S17" i="31"/>
  <c r="J5" i="31"/>
  <c r="L22" i="32"/>
  <c r="N18" i="33"/>
  <c r="M18" i="33"/>
  <c r="S4" i="33"/>
  <c r="S19" i="33"/>
  <c r="AD27" i="33"/>
  <c r="AI27" i="33" s="1"/>
  <c r="AD11" i="33"/>
  <c r="AG11" i="33" s="1"/>
  <c r="T24" i="34"/>
  <c r="L21" i="34"/>
  <c r="Q9" i="34"/>
  <c r="Q21" i="34"/>
  <c r="R11" i="35"/>
  <c r="T4" i="35"/>
  <c r="Q11" i="35"/>
  <c r="O11" i="35"/>
  <c r="U11" i="36"/>
  <c r="U17" i="36"/>
  <c r="R18" i="36"/>
  <c r="O20" i="37"/>
  <c r="O9" i="37"/>
  <c r="T5" i="37"/>
  <c r="AD7" i="37"/>
  <c r="AG7" i="37" s="1"/>
  <c r="AD27" i="36"/>
  <c r="AF27" i="36" s="1"/>
  <c r="AD11" i="37"/>
  <c r="AH11" i="37" s="1"/>
  <c r="AD9" i="27"/>
  <c r="AF9" i="27" s="1"/>
  <c r="AD21" i="29"/>
  <c r="AD4" i="35"/>
  <c r="AD27" i="34"/>
  <c r="AI27" i="34" s="1"/>
  <c r="N26" i="31"/>
  <c r="M21" i="25"/>
  <c r="P5" i="25"/>
  <c r="Q11" i="25"/>
  <c r="AD6" i="26"/>
  <c r="AG6" i="26" s="1"/>
  <c r="AD21" i="26"/>
  <c r="L6" i="26"/>
  <c r="U26" i="27"/>
  <c r="T26" i="27"/>
  <c r="R26" i="27"/>
  <c r="R19" i="27"/>
  <c r="T18" i="28"/>
  <c r="T9" i="29"/>
  <c r="AD26" i="29"/>
  <c r="AF26" i="29" s="1"/>
  <c r="AD20" i="29"/>
  <c r="N5" i="30"/>
  <c r="R26" i="30"/>
  <c r="N16" i="31"/>
  <c r="M26" i="31"/>
  <c r="U20" i="31"/>
  <c r="T17" i="31"/>
  <c r="U22" i="32"/>
  <c r="U16" i="32"/>
  <c r="R23" i="33"/>
  <c r="R14" i="33"/>
  <c r="AD4" i="33"/>
  <c r="AF4" i="33" s="1"/>
  <c r="R17" i="34"/>
  <c r="M28" i="35"/>
  <c r="U4" i="35"/>
  <c r="AD18" i="36"/>
  <c r="AF18" i="36" s="1"/>
  <c r="U18" i="36"/>
  <c r="T5" i="36"/>
  <c r="S9" i="36"/>
  <c r="L23" i="36"/>
  <c r="R12" i="36"/>
  <c r="O19" i="37"/>
  <c r="M11" i="37"/>
  <c r="R11" i="29"/>
  <c r="S21" i="26"/>
  <c r="S11" i="26"/>
  <c r="AD9" i="26"/>
  <c r="AI9" i="26" s="1"/>
  <c r="S19" i="27"/>
  <c r="L8" i="27"/>
  <c r="U7" i="27"/>
  <c r="T7" i="27"/>
  <c r="M25" i="28"/>
  <c r="N20" i="28"/>
  <c r="S26" i="30"/>
  <c r="AD14" i="30"/>
  <c r="T14" i="30"/>
  <c r="AD15" i="30"/>
  <c r="AH15" i="30" s="1"/>
  <c r="M28" i="32"/>
  <c r="M22" i="32"/>
  <c r="S14" i="33"/>
  <c r="L21" i="33"/>
  <c r="M9" i="34"/>
  <c r="P9" i="34"/>
  <c r="P21" i="34"/>
  <c r="M13" i="35"/>
  <c r="R22" i="35"/>
  <c r="T22" i="35"/>
  <c r="S22" i="35"/>
  <c r="Q28" i="35"/>
  <c r="O23" i="36"/>
  <c r="Q22" i="36"/>
  <c r="R25" i="37"/>
  <c r="U11" i="29"/>
  <c r="P21" i="25"/>
  <c r="N19" i="25"/>
  <c r="R9" i="26"/>
  <c r="N21" i="25"/>
  <c r="T21" i="26"/>
  <c r="AD6" i="27"/>
  <c r="AI6" i="27" s="1"/>
  <c r="N25" i="28"/>
  <c r="R18" i="28"/>
  <c r="O20" i="28"/>
  <c r="L20" i="28"/>
  <c r="AD19" i="29"/>
  <c r="AG19" i="29" s="1"/>
  <c r="AD9" i="29"/>
  <c r="N10" i="30"/>
  <c r="M21" i="30"/>
  <c r="M10" i="30"/>
  <c r="S25" i="30"/>
  <c r="AD21" i="30"/>
  <c r="R14" i="30"/>
  <c r="T4" i="31"/>
  <c r="AD26" i="32"/>
  <c r="N28" i="32"/>
  <c r="N7" i="32"/>
  <c r="T16" i="32"/>
  <c r="AD16" i="32"/>
  <c r="Q22" i="32"/>
  <c r="P22" i="32"/>
  <c r="M24" i="33"/>
  <c r="M15" i="33"/>
  <c r="T14" i="33"/>
  <c r="P21" i="33"/>
  <c r="T16" i="34"/>
  <c r="R16" i="34"/>
  <c r="N28" i="35"/>
  <c r="U26" i="35"/>
  <c r="U20" i="35"/>
  <c r="AD5" i="35"/>
  <c r="T6" i="35"/>
  <c r="S11" i="35"/>
  <c r="M19" i="37"/>
  <c r="S22" i="37"/>
  <c r="L15" i="37"/>
  <c r="AD10" i="32"/>
  <c r="AD8" i="26"/>
  <c r="AD15" i="32"/>
  <c r="AD5" i="30"/>
  <c r="AI5" i="30" s="1"/>
  <c r="T26" i="30"/>
  <c r="U17" i="31"/>
  <c r="L16" i="31"/>
  <c r="S4" i="31"/>
  <c r="S16" i="32"/>
  <c r="AD24" i="32"/>
  <c r="AD13" i="32"/>
  <c r="AD4" i="32"/>
  <c r="AG4" i="32" s="1"/>
  <c r="R4" i="33"/>
  <c r="L24" i="33"/>
  <c r="Q21" i="33"/>
  <c r="U17" i="34"/>
  <c r="S17" i="34"/>
  <c r="M11" i="35"/>
  <c r="AD26" i="35"/>
  <c r="AD11" i="35"/>
  <c r="M22" i="36"/>
  <c r="AD17" i="37"/>
  <c r="AH17" i="37" s="1"/>
  <c r="L25" i="28"/>
  <c r="O19" i="25"/>
  <c r="AD19" i="27"/>
  <c r="P20" i="28"/>
  <c r="S9" i="29"/>
  <c r="R29" i="29"/>
  <c r="AD8" i="30"/>
  <c r="AF8" i="30" s="1"/>
  <c r="O11" i="31"/>
  <c r="M11" i="31"/>
  <c r="R4" i="31"/>
  <c r="M7" i="32"/>
  <c r="T4" i="32"/>
  <c r="L13" i="32"/>
  <c r="M21" i="33"/>
  <c r="T4" i="33"/>
  <c r="S16" i="34"/>
  <c r="T11" i="35"/>
  <c r="T8" i="35"/>
  <c r="P11" i="35"/>
  <c r="L11" i="35"/>
  <c r="S9" i="26"/>
  <c r="U15" i="26"/>
  <c r="N8" i="27"/>
  <c r="Q8" i="27"/>
  <c r="S14" i="30"/>
  <c r="T20" i="31"/>
  <c r="M19" i="25"/>
  <c r="N6" i="26"/>
  <c r="S15" i="26"/>
  <c r="P6" i="26"/>
  <c r="R7" i="27"/>
  <c r="R11" i="28"/>
  <c r="S18" i="28"/>
  <c r="M20" i="28"/>
  <c r="S29" i="29"/>
  <c r="O21" i="30"/>
  <c r="P21" i="30"/>
  <c r="N11" i="31"/>
  <c r="S20" i="31"/>
  <c r="T22" i="32"/>
  <c r="L15" i="33"/>
  <c r="AD19" i="34"/>
  <c r="M9" i="35"/>
  <c r="T26" i="35"/>
  <c r="S25" i="35"/>
  <c r="AD28" i="35"/>
  <c r="AI28" i="35" s="1"/>
  <c r="U8" i="35"/>
  <c r="U12" i="36"/>
  <c r="R17" i="36"/>
  <c r="O22" i="36"/>
  <c r="S16" i="37"/>
  <c r="M17" i="25"/>
  <c r="N25" i="26"/>
  <c r="M19" i="26"/>
  <c r="T17" i="26"/>
  <c r="S28" i="26"/>
  <c r="P22" i="26"/>
  <c r="L22" i="26"/>
  <c r="AD14" i="26"/>
  <c r="T29" i="27"/>
  <c r="Q27" i="28"/>
  <c r="S14" i="29"/>
  <c r="AD18" i="30"/>
  <c r="S5" i="30"/>
  <c r="T25" i="31"/>
  <c r="AH30" i="31"/>
  <c r="AD9" i="32"/>
  <c r="Q9" i="32"/>
  <c r="AD15" i="33"/>
  <c r="AF15" i="33" s="1"/>
  <c r="U15" i="33"/>
  <c r="T16" i="35"/>
  <c r="T13" i="35"/>
  <c r="T20" i="36"/>
  <c r="R24" i="37"/>
  <c r="AD13" i="34"/>
  <c r="Q5" i="25"/>
  <c r="Q13" i="25"/>
  <c r="P17" i="25"/>
  <c r="O5" i="25"/>
  <c r="O13" i="25"/>
  <c r="N24" i="26"/>
  <c r="S17" i="26"/>
  <c r="P19" i="26"/>
  <c r="AD22" i="26"/>
  <c r="L9" i="27"/>
  <c r="O10" i="27"/>
  <c r="L27" i="28"/>
  <c r="S13" i="29"/>
  <c r="O6" i="30"/>
  <c r="S13" i="31"/>
  <c r="AI30" i="31"/>
  <c r="N10" i="32"/>
  <c r="P20" i="32"/>
  <c r="R9" i="33"/>
  <c r="AD22" i="33"/>
  <c r="AI22" i="33" s="1"/>
  <c r="AD28" i="33"/>
  <c r="Q26" i="33"/>
  <c r="P26" i="33"/>
  <c r="O5" i="33"/>
  <c r="M14" i="35"/>
  <c r="AD17" i="35"/>
  <c r="U13" i="35"/>
  <c r="N8" i="36"/>
  <c r="M26" i="36"/>
  <c r="U20" i="36"/>
  <c r="T12" i="36"/>
  <c r="AD15" i="36"/>
  <c r="P8" i="36"/>
  <c r="Q23" i="37"/>
  <c r="T11" i="37"/>
  <c r="M25" i="27"/>
  <c r="R14" i="29"/>
  <c r="S7" i="30"/>
  <c r="AD25" i="32"/>
  <c r="N5" i="33"/>
  <c r="M22" i="33"/>
  <c r="M5" i="33"/>
  <c r="AD8" i="33"/>
  <c r="AD26" i="33"/>
  <c r="AI26" i="33" s="1"/>
  <c r="T9" i="33"/>
  <c r="AD21" i="34"/>
  <c r="AF21" i="34" s="1"/>
  <c r="M4" i="35"/>
  <c r="M8" i="36"/>
  <c r="Q11" i="36"/>
  <c r="L14" i="37"/>
  <c r="N25" i="27"/>
  <c r="M25" i="26"/>
  <c r="R7" i="26"/>
  <c r="O27" i="28"/>
  <c r="N17" i="25"/>
  <c r="N22" i="26"/>
  <c r="M24" i="26"/>
  <c r="U17" i="26"/>
  <c r="S7" i="26"/>
  <c r="J8" i="26"/>
  <c r="U29" i="27"/>
  <c r="U22" i="27"/>
  <c r="U16" i="27"/>
  <c r="AD7" i="27"/>
  <c r="AG7" i="27" s="1"/>
  <c r="U21" i="28"/>
  <c r="T8" i="28"/>
  <c r="S8" i="28"/>
  <c r="T17" i="29"/>
  <c r="AD17" i="29"/>
  <c r="AG17" i="29" s="1"/>
  <c r="L23" i="30"/>
  <c r="U25" i="31"/>
  <c r="R13" i="31"/>
  <c r="AD25" i="31"/>
  <c r="M10" i="32"/>
  <c r="S9" i="33"/>
  <c r="T17" i="33"/>
  <c r="O26" i="33"/>
  <c r="AD16" i="35"/>
  <c r="AF16" i="35" s="1"/>
  <c r="S7" i="36"/>
  <c r="T7" i="36"/>
  <c r="AD25" i="37"/>
  <c r="O25" i="27"/>
  <c r="M23" i="30"/>
  <c r="L5" i="25"/>
  <c r="L13" i="25"/>
  <c r="R8" i="25"/>
  <c r="U7" i="26"/>
  <c r="AD28" i="26"/>
  <c r="L19" i="31"/>
  <c r="U17" i="33"/>
  <c r="AD13" i="33"/>
  <c r="AI13" i="33" s="1"/>
  <c r="R16" i="35"/>
  <c r="S16" i="35"/>
  <c r="S14" i="35"/>
  <c r="AD12" i="36"/>
  <c r="T21" i="36"/>
  <c r="T26" i="36"/>
  <c r="U7" i="36"/>
  <c r="U8" i="36"/>
  <c r="M23" i="37"/>
  <c r="N15" i="37"/>
  <c r="T4" i="37"/>
  <c r="L23" i="37"/>
  <c r="P25" i="27"/>
  <c r="Q9" i="27"/>
  <c r="M5" i="25"/>
  <c r="M22" i="26"/>
  <c r="Q24" i="26"/>
  <c r="R28" i="26"/>
  <c r="S16" i="27"/>
  <c r="M9" i="27"/>
  <c r="R22" i="27"/>
  <c r="N27" i="28"/>
  <c r="M27" i="28"/>
  <c r="R8" i="28"/>
  <c r="AD25" i="29"/>
  <c r="AG25" i="29" s="1"/>
  <c r="R13" i="29"/>
  <c r="Q23" i="30"/>
  <c r="O19" i="31"/>
  <c r="M19" i="31"/>
  <c r="S17" i="33"/>
  <c r="S15" i="33"/>
  <c r="AD16" i="34"/>
  <c r="AI16" i="34" s="1"/>
  <c r="O11" i="34"/>
  <c r="R14" i="35"/>
  <c r="AD14" i="35"/>
  <c r="U21" i="36"/>
  <c r="T17" i="36"/>
  <c r="R15" i="36"/>
  <c r="U26" i="36"/>
  <c r="T27" i="36"/>
  <c r="AD20" i="36"/>
  <c r="AH20" i="36" s="1"/>
  <c r="O26" i="37"/>
  <c r="AD4" i="37"/>
  <c r="AH4" i="37" s="1"/>
  <c r="AD17" i="26"/>
  <c r="AF17" i="26" s="1"/>
  <c r="AD15" i="26"/>
  <c r="AG15" i="26" s="1"/>
  <c r="M13" i="25"/>
  <c r="U19" i="26"/>
  <c r="S19" i="26"/>
  <c r="AD23" i="26"/>
  <c r="L24" i="26"/>
  <c r="AD24" i="26"/>
  <c r="T22" i="27"/>
  <c r="R29" i="27"/>
  <c r="T21" i="28"/>
  <c r="T12" i="28"/>
  <c r="S21" i="28"/>
  <c r="S12" i="28"/>
  <c r="T13" i="29"/>
  <c r="L6" i="30"/>
  <c r="T7" i="30"/>
  <c r="AF30" i="31"/>
  <c r="AD11" i="31"/>
  <c r="T15" i="33"/>
  <c r="Q5" i="33"/>
  <c r="AD13" i="35"/>
  <c r="M11" i="36"/>
  <c r="S15" i="36"/>
  <c r="T22" i="36"/>
  <c r="R20" i="36"/>
  <c r="AD14" i="31"/>
  <c r="AD14" i="29"/>
  <c r="AD16" i="27"/>
  <c r="AD20" i="27"/>
  <c r="S19" i="36"/>
  <c r="R19" i="36"/>
  <c r="U19" i="36"/>
  <c r="T19" i="36"/>
  <c r="AD19" i="36"/>
  <c r="N17" i="30"/>
  <c r="O17" i="30"/>
  <c r="Q17" i="30"/>
  <c r="P17" i="30"/>
  <c r="L25" i="25"/>
  <c r="Q19" i="25"/>
  <c r="O27" i="25"/>
  <c r="P13" i="25"/>
  <c r="S8" i="25"/>
  <c r="AH30" i="32"/>
  <c r="AI30" i="32"/>
  <c r="R24" i="36"/>
  <c r="AD24" i="36"/>
  <c r="AI24" i="36" s="1"/>
  <c r="S24" i="36"/>
  <c r="T24" i="36"/>
  <c r="N29" i="30"/>
  <c r="P29" i="30"/>
  <c r="L29" i="30"/>
  <c r="M17" i="26"/>
  <c r="M27" i="25"/>
  <c r="U8" i="25"/>
  <c r="N17" i="26"/>
  <c r="AD29" i="29"/>
  <c r="AI29" i="29" s="1"/>
  <c r="AD24" i="29"/>
  <c r="AH24" i="29" s="1"/>
  <c r="J27" i="29"/>
  <c r="AD27" i="29"/>
  <c r="AI27" i="29" s="1"/>
  <c r="M29" i="30"/>
  <c r="AF7" i="30"/>
  <c r="J24" i="33"/>
  <c r="AD24" i="33"/>
  <c r="AF24" i="33" s="1"/>
  <c r="J22" i="36"/>
  <c r="AD22" i="36"/>
  <c r="U23" i="37"/>
  <c r="T23" i="37"/>
  <c r="R23" i="37"/>
  <c r="S23" i="37"/>
  <c r="U13" i="37"/>
  <c r="T13" i="37"/>
  <c r="AD13" i="37"/>
  <c r="R13" i="37"/>
  <c r="S13" i="37"/>
  <c r="U18" i="37"/>
  <c r="S18" i="37"/>
  <c r="R18" i="37"/>
  <c r="T18" i="37"/>
  <c r="U6" i="37"/>
  <c r="R6" i="37"/>
  <c r="T6" i="37"/>
  <c r="AD6" i="37"/>
  <c r="L24" i="27"/>
  <c r="P24" i="27"/>
  <c r="N24" i="27"/>
  <c r="M24" i="27"/>
  <c r="O24" i="27"/>
  <c r="J7" i="36"/>
  <c r="AD7" i="36"/>
  <c r="AI7" i="36" s="1"/>
  <c r="N19" i="30"/>
  <c r="O19" i="30"/>
  <c r="L19" i="30"/>
  <c r="Q19" i="30"/>
  <c r="P19" i="30"/>
  <c r="M19" i="30"/>
  <c r="Q27" i="25"/>
  <c r="L11" i="25"/>
  <c r="N25" i="25"/>
  <c r="O11" i="25"/>
  <c r="Q15" i="26"/>
  <c r="AD7" i="32"/>
  <c r="J7" i="32"/>
  <c r="AD14" i="32"/>
  <c r="J14" i="32"/>
  <c r="K20" i="37"/>
  <c r="AD20" i="37"/>
  <c r="N11" i="34"/>
  <c r="L11" i="34"/>
  <c r="Q11" i="34"/>
  <c r="P11" i="34"/>
  <c r="AD11" i="34"/>
  <c r="N18" i="34"/>
  <c r="O18" i="34"/>
  <c r="L18" i="34"/>
  <c r="P18" i="34"/>
  <c r="M18" i="34"/>
  <c r="N26" i="34"/>
  <c r="L26" i="34"/>
  <c r="Q26" i="34"/>
  <c r="M26" i="34"/>
  <c r="O26" i="34"/>
  <c r="P26" i="34"/>
  <c r="O20" i="32"/>
  <c r="M20" i="32"/>
  <c r="L20" i="32"/>
  <c r="Q20" i="32"/>
  <c r="P9" i="32"/>
  <c r="L9" i="32"/>
  <c r="O9" i="32"/>
  <c r="N9" i="32"/>
  <c r="P10" i="32"/>
  <c r="L10" i="32"/>
  <c r="Q10" i="32"/>
  <c r="O10" i="32"/>
  <c r="U25" i="34"/>
  <c r="T25" i="34"/>
  <c r="R25" i="34"/>
  <c r="S25" i="34"/>
  <c r="T12" i="34"/>
  <c r="R12" i="34"/>
  <c r="U12" i="34"/>
  <c r="S12" i="34"/>
  <c r="U8" i="34"/>
  <c r="R8" i="34"/>
  <c r="S8" i="34"/>
  <c r="AD19" i="26"/>
  <c r="J19" i="26"/>
  <c r="U15" i="32"/>
  <c r="S15" i="32"/>
  <c r="R15" i="32"/>
  <c r="T15" i="32"/>
  <c r="R9" i="32"/>
  <c r="U9" i="32"/>
  <c r="S9" i="32"/>
  <c r="T9" i="32"/>
  <c r="U18" i="32"/>
  <c r="S18" i="32"/>
  <c r="U5" i="30"/>
  <c r="R5" i="30"/>
  <c r="T5" i="30"/>
  <c r="U19" i="30"/>
  <c r="T19" i="30"/>
  <c r="S19" i="30"/>
  <c r="L4" i="30"/>
  <c r="Q4" i="30"/>
  <c r="P4" i="30"/>
  <c r="N4" i="30"/>
  <c r="M4" i="30"/>
  <c r="O4" i="30"/>
  <c r="AD4" i="30"/>
  <c r="L27" i="25"/>
  <c r="M17" i="30"/>
  <c r="Q4" i="28"/>
  <c r="P4" i="28"/>
  <c r="O4" i="28"/>
  <c r="N4" i="28"/>
  <c r="L4" i="28"/>
  <c r="M4" i="28"/>
  <c r="L5" i="28"/>
  <c r="Q5" i="28"/>
  <c r="O5" i="28"/>
  <c r="N5" i="28"/>
  <c r="P5" i="28"/>
  <c r="M5" i="28"/>
  <c r="N7" i="35"/>
  <c r="Q7" i="35"/>
  <c r="P7" i="35"/>
  <c r="O7" i="35"/>
  <c r="L7" i="35"/>
  <c r="M7" i="35"/>
  <c r="O18" i="35"/>
  <c r="AD18" i="35"/>
  <c r="L18" i="35"/>
  <c r="N18" i="35"/>
  <c r="Q18" i="35"/>
  <c r="P18" i="35"/>
  <c r="O21" i="35"/>
  <c r="Q21" i="35"/>
  <c r="L21" i="35"/>
  <c r="P21" i="35"/>
  <c r="M21" i="35"/>
  <c r="N21" i="35"/>
  <c r="U24" i="26"/>
  <c r="R24" i="26"/>
  <c r="S24" i="26"/>
  <c r="U25" i="26"/>
  <c r="AD25" i="26"/>
  <c r="S25" i="26"/>
  <c r="AD11" i="30"/>
  <c r="J11" i="30"/>
  <c r="J19" i="35"/>
  <c r="AD19" i="35"/>
  <c r="AG19" i="35" s="1"/>
  <c r="J9" i="35"/>
  <c r="AD9" i="35"/>
  <c r="J10" i="33"/>
  <c r="AD10" i="33"/>
  <c r="AI10" i="33" s="1"/>
  <c r="J7" i="33"/>
  <c r="AD7" i="33"/>
  <c r="AG7" i="33" s="1"/>
  <c r="AD6" i="29"/>
  <c r="J6" i="29"/>
  <c r="AD11" i="29"/>
  <c r="J11" i="29"/>
  <c r="AD10" i="37"/>
  <c r="J10" i="37"/>
  <c r="U22" i="26"/>
  <c r="R22" i="26"/>
  <c r="T22" i="26"/>
  <c r="O13" i="36"/>
  <c r="L13" i="36"/>
  <c r="Q13" i="36"/>
  <c r="M13" i="36"/>
  <c r="P13" i="36"/>
  <c r="N13" i="36"/>
  <c r="AD13" i="36"/>
  <c r="N25" i="36"/>
  <c r="O25" i="36"/>
  <c r="L25" i="36"/>
  <c r="P25" i="36"/>
  <c r="Q25" i="36"/>
  <c r="O15" i="26"/>
  <c r="N15" i="26"/>
  <c r="Q17" i="25"/>
  <c r="P15" i="26"/>
  <c r="AD17" i="30"/>
  <c r="K26" i="36"/>
  <c r="AD26" i="36"/>
  <c r="K26" i="30"/>
  <c r="AD26" i="30"/>
  <c r="K18" i="32"/>
  <c r="AD18" i="32"/>
  <c r="K7" i="34"/>
  <c r="AD7" i="34"/>
  <c r="K10" i="34"/>
  <c r="AD10" i="34"/>
  <c r="K8" i="27"/>
  <c r="AD8" i="27"/>
  <c r="U23" i="26"/>
  <c r="R23" i="26"/>
  <c r="U24" i="36"/>
  <c r="T10" i="36"/>
  <c r="S10" i="36"/>
  <c r="R10" i="36"/>
  <c r="U10" i="36"/>
  <c r="R19" i="28"/>
  <c r="S19" i="28"/>
  <c r="U27" i="28"/>
  <c r="R27" i="28"/>
  <c r="S27" i="28"/>
  <c r="U7" i="28"/>
  <c r="R7" i="28"/>
  <c r="O16" i="26"/>
  <c r="Q16" i="26"/>
  <c r="P16" i="26"/>
  <c r="L16" i="26"/>
  <c r="M16" i="26"/>
  <c r="O17" i="26"/>
  <c r="Q17" i="26"/>
  <c r="P17" i="26"/>
  <c r="L17" i="26"/>
  <c r="O17" i="25"/>
  <c r="U19" i="28"/>
  <c r="T13" i="27"/>
  <c r="U13" i="27"/>
  <c r="R13" i="27"/>
  <c r="R28" i="29"/>
  <c r="S28" i="29"/>
  <c r="U22" i="29"/>
  <c r="R22" i="29"/>
  <c r="U18" i="31"/>
  <c r="T18" i="31"/>
  <c r="U19" i="31"/>
  <c r="R19" i="31"/>
  <c r="S19" i="31"/>
  <c r="R16" i="31"/>
  <c r="U16" i="31"/>
  <c r="S18" i="33"/>
  <c r="U18" i="33"/>
  <c r="T18" i="33"/>
  <c r="R18" i="33"/>
  <c r="R12" i="33"/>
  <c r="S12" i="33"/>
  <c r="T12" i="33"/>
  <c r="R5" i="33"/>
  <c r="S5" i="33"/>
  <c r="AD5" i="33"/>
  <c r="U5" i="33"/>
  <c r="T5" i="33"/>
  <c r="U15" i="35"/>
  <c r="R15" i="35"/>
  <c r="AD15" i="35"/>
  <c r="S15" i="35"/>
  <c r="R9" i="35"/>
  <c r="U9" i="35"/>
  <c r="T9" i="35"/>
  <c r="S9" i="35"/>
  <c r="U19" i="35"/>
  <c r="T19" i="35"/>
  <c r="S19" i="35"/>
  <c r="R19" i="35"/>
  <c r="O20" i="26"/>
  <c r="Q20" i="26"/>
  <c r="P20" i="26"/>
  <c r="L20" i="26"/>
  <c r="M20" i="26"/>
  <c r="AF30" i="30"/>
  <c r="AG30" i="30"/>
  <c r="L17" i="30"/>
  <c r="Q29" i="30"/>
  <c r="J24" i="35"/>
  <c r="AD24" i="35"/>
  <c r="AG24" i="35" s="1"/>
  <c r="K23" i="29"/>
  <c r="AD23" i="29"/>
  <c r="AI23" i="29" s="1"/>
  <c r="K20" i="33"/>
  <c r="AD20" i="33"/>
  <c r="AI20" i="33" s="1"/>
  <c r="K6" i="33"/>
  <c r="AD6" i="33"/>
  <c r="K12" i="35"/>
  <c r="AD12" i="35"/>
  <c r="AH12" i="35" s="1"/>
  <c r="K6" i="35"/>
  <c r="AD6" i="35"/>
  <c r="Q5" i="27"/>
  <c r="P5" i="27"/>
  <c r="O5" i="27"/>
  <c r="N5" i="27"/>
  <c r="M5" i="27"/>
  <c r="L5" i="27"/>
  <c r="P16" i="37"/>
  <c r="Q16" i="37"/>
  <c r="M16" i="37"/>
  <c r="N16" i="37"/>
  <c r="L16" i="37"/>
  <c r="P29" i="37"/>
  <c r="Q29" i="37"/>
  <c r="L29" i="37"/>
  <c r="O29" i="37"/>
  <c r="N29" i="37"/>
  <c r="M29" i="37"/>
  <c r="P8" i="37"/>
  <c r="N8" i="37"/>
  <c r="L8" i="37"/>
  <c r="Q8" i="37"/>
  <c r="M8" i="37"/>
  <c r="Q15" i="27"/>
  <c r="O15" i="27"/>
  <c r="N15" i="27"/>
  <c r="L15" i="27"/>
  <c r="M15" i="27"/>
  <c r="Q11" i="27"/>
  <c r="P11" i="27"/>
  <c r="O11" i="27"/>
  <c r="N11" i="27"/>
  <c r="L11" i="27"/>
  <c r="M11" i="27"/>
  <c r="M29" i="27"/>
  <c r="N29" i="27"/>
  <c r="Q29" i="27"/>
  <c r="P29" i="27"/>
  <c r="O29" i="27"/>
  <c r="P13" i="29"/>
  <c r="Q13" i="29"/>
  <c r="N13" i="29"/>
  <c r="M13" i="29"/>
  <c r="L13" i="29"/>
  <c r="O13" i="29"/>
  <c r="M15" i="29"/>
  <c r="O15" i="29"/>
  <c r="P15" i="29"/>
  <c r="N24" i="29"/>
  <c r="M24" i="29"/>
  <c r="L24" i="29"/>
  <c r="Q24" i="29"/>
  <c r="P24" i="29"/>
  <c r="O24" i="29"/>
  <c r="P28" i="31"/>
  <c r="Q28" i="31"/>
  <c r="N28" i="31"/>
  <c r="L28" i="31"/>
  <c r="P23" i="31"/>
  <c r="O23" i="31"/>
  <c r="Q23" i="31"/>
  <c r="L23" i="31"/>
  <c r="M23" i="31"/>
  <c r="P4" i="31"/>
  <c r="M4" i="31"/>
  <c r="AD4" i="31"/>
  <c r="N4" i="31"/>
  <c r="Q4" i="31"/>
  <c r="L4" i="31"/>
  <c r="P29" i="31"/>
  <c r="N29" i="31"/>
  <c r="M29" i="31"/>
  <c r="O29" i="31"/>
  <c r="P7" i="33"/>
  <c r="L7" i="33"/>
  <c r="M7" i="33"/>
  <c r="O7" i="33"/>
  <c r="N7" i="33"/>
  <c r="Q7" i="33"/>
  <c r="N25" i="33"/>
  <c r="L25" i="33"/>
  <c r="Q25" i="33"/>
  <c r="P25" i="33"/>
  <c r="O25" i="33"/>
  <c r="M25" i="33"/>
  <c r="P14" i="33"/>
  <c r="L14" i="33"/>
  <c r="Q14" i="33"/>
  <c r="N14" i="33"/>
  <c r="AD14" i="34"/>
  <c r="AH14" i="34" s="1"/>
  <c r="U24" i="28"/>
  <c r="R24" i="28"/>
  <c r="P15" i="37"/>
  <c r="Q15" i="37"/>
  <c r="P22" i="37"/>
  <c r="Q22" i="37"/>
  <c r="P27" i="37"/>
  <c r="Q27" i="37"/>
  <c r="L27" i="37"/>
  <c r="M17" i="27"/>
  <c r="N17" i="27"/>
  <c r="O17" i="27"/>
  <c r="M18" i="27"/>
  <c r="O18" i="27"/>
  <c r="N18" i="27"/>
  <c r="Q8" i="29"/>
  <c r="O8" i="29"/>
  <c r="N8" i="29"/>
  <c r="M8" i="29"/>
  <c r="L8" i="29"/>
  <c r="N29" i="29"/>
  <c r="Q29" i="29"/>
  <c r="L29" i="29"/>
  <c r="P9" i="31"/>
  <c r="Q9" i="31"/>
  <c r="P15" i="31"/>
  <c r="Q15" i="31"/>
  <c r="P6" i="33"/>
  <c r="Q6" i="33"/>
  <c r="L6" i="33"/>
  <c r="P9" i="33"/>
  <c r="L9" i="33"/>
  <c r="O9" i="33"/>
  <c r="N20" i="33"/>
  <c r="L20" i="33"/>
  <c r="Q20" i="33"/>
  <c r="O20" i="33"/>
  <c r="U24" i="29"/>
  <c r="R24" i="29"/>
  <c r="S6" i="33"/>
  <c r="R6" i="33"/>
  <c r="Q17" i="28"/>
  <c r="P17" i="28"/>
  <c r="O17" i="28"/>
  <c r="N17" i="28"/>
  <c r="L17" i="28"/>
  <c r="M17" i="28"/>
  <c r="O25" i="28"/>
  <c r="P25" i="28"/>
  <c r="N16" i="28"/>
  <c r="M16" i="28"/>
  <c r="L16" i="28"/>
  <c r="P16" i="28"/>
  <c r="O16" i="28"/>
  <c r="Q16" i="28"/>
  <c r="N9" i="35"/>
  <c r="Q9" i="35"/>
  <c r="O9" i="35"/>
  <c r="L9" i="35"/>
  <c r="O13" i="35"/>
  <c r="P13" i="35"/>
  <c r="L13" i="35"/>
  <c r="Q13" i="35"/>
  <c r="O28" i="35"/>
  <c r="P28" i="35"/>
  <c r="AD19" i="30"/>
  <c r="J19" i="30"/>
  <c r="AD13" i="27"/>
  <c r="N29" i="36"/>
  <c r="O29" i="36"/>
  <c r="P29" i="36"/>
  <c r="L29" i="36"/>
  <c r="N23" i="36"/>
  <c r="Q23" i="36"/>
  <c r="P23" i="36"/>
  <c r="AD20" i="32"/>
  <c r="N12" i="34"/>
  <c r="Q12" i="34"/>
  <c r="O12" i="34"/>
  <c r="L12" i="34"/>
  <c r="N28" i="34"/>
  <c r="L28" i="34"/>
  <c r="AD28" i="28"/>
  <c r="N26" i="32"/>
  <c r="Q26" i="32"/>
  <c r="P8" i="32"/>
  <c r="L8" i="32"/>
  <c r="N29" i="32"/>
  <c r="O29" i="32"/>
  <c r="U28" i="34"/>
  <c r="R28" i="34"/>
  <c r="AD20" i="26"/>
  <c r="J20" i="26"/>
  <c r="U16" i="30"/>
  <c r="R16" i="30"/>
  <c r="AD11" i="27"/>
  <c r="O4" i="26"/>
  <c r="Q4" i="26"/>
  <c r="P4" i="26"/>
  <c r="L4" i="26"/>
  <c r="O8" i="26"/>
  <c r="Q8" i="26"/>
  <c r="P8" i="26"/>
  <c r="O9" i="30"/>
  <c r="Q9" i="30"/>
  <c r="P9" i="30"/>
  <c r="L9" i="30"/>
  <c r="T13" i="36"/>
  <c r="AD17" i="36"/>
  <c r="AF17" i="36" s="1"/>
  <c r="U9" i="36"/>
  <c r="O25" i="37"/>
  <c r="N27" i="37"/>
  <c r="R5" i="37"/>
  <c r="T25" i="37"/>
  <c r="R20" i="37"/>
  <c r="U25" i="28"/>
  <c r="R25" i="28"/>
  <c r="L16" i="27"/>
  <c r="O16" i="27"/>
  <c r="N16" i="27"/>
  <c r="M16" i="27"/>
  <c r="U22" i="37"/>
  <c r="R22" i="37"/>
  <c r="U28" i="37"/>
  <c r="T28" i="37"/>
  <c r="R28" i="37"/>
  <c r="U27" i="37"/>
  <c r="R27" i="37"/>
  <c r="L28" i="27"/>
  <c r="O28" i="27"/>
  <c r="N28" i="27"/>
  <c r="M28" i="27"/>
  <c r="P28" i="27"/>
  <c r="P24" i="37"/>
  <c r="N24" i="37"/>
  <c r="L24" i="37"/>
  <c r="P18" i="37"/>
  <c r="N18" i="37"/>
  <c r="L18" i="37"/>
  <c r="Q18" i="37"/>
  <c r="P6" i="37"/>
  <c r="L6" i="37"/>
  <c r="Q13" i="27"/>
  <c r="O13" i="27"/>
  <c r="M13" i="27"/>
  <c r="P13" i="27"/>
  <c r="L13" i="27"/>
  <c r="L26" i="27"/>
  <c r="M26" i="27"/>
  <c r="P26" i="27"/>
  <c r="O26" i="27"/>
  <c r="N26" i="27"/>
  <c r="Q14" i="29"/>
  <c r="L14" i="29"/>
  <c r="N14" i="29"/>
  <c r="M14" i="29"/>
  <c r="O17" i="29"/>
  <c r="N17" i="29"/>
  <c r="M17" i="29"/>
  <c r="L17" i="29"/>
  <c r="Q17" i="29"/>
  <c r="P17" i="29"/>
  <c r="P8" i="31"/>
  <c r="Q8" i="31"/>
  <c r="N10" i="33"/>
  <c r="P10" i="33"/>
  <c r="Q10" i="33"/>
  <c r="U12" i="29"/>
  <c r="R12" i="29"/>
  <c r="U19" i="29"/>
  <c r="R19" i="29"/>
  <c r="U29" i="26"/>
  <c r="R29" i="26"/>
  <c r="Q19" i="28"/>
  <c r="P19" i="28"/>
  <c r="O19" i="28"/>
  <c r="M19" i="28"/>
  <c r="L19" i="28"/>
  <c r="N19" i="28"/>
  <c r="N4" i="35"/>
  <c r="Q4" i="35"/>
  <c r="P4" i="35"/>
  <c r="L4" i="35"/>
  <c r="O4" i="35"/>
  <c r="O17" i="35"/>
  <c r="P17" i="35"/>
  <c r="L17" i="35"/>
  <c r="Q17" i="35"/>
  <c r="O14" i="35"/>
  <c r="L14" i="35"/>
  <c r="Q14" i="35"/>
  <c r="AD16" i="30"/>
  <c r="AD23" i="30"/>
  <c r="J23" i="30"/>
  <c r="AD5" i="29"/>
  <c r="AD10" i="29"/>
  <c r="AD14" i="27"/>
  <c r="AD15" i="27"/>
  <c r="AD8" i="37"/>
  <c r="J8" i="37"/>
  <c r="O8" i="36"/>
  <c r="Q8" i="36"/>
  <c r="O11" i="36"/>
  <c r="P11" i="36"/>
  <c r="O26" i="36"/>
  <c r="Q26" i="36"/>
  <c r="P26" i="36"/>
  <c r="N24" i="36"/>
  <c r="Q24" i="36"/>
  <c r="P24" i="36"/>
  <c r="O24" i="36"/>
  <c r="L24" i="36"/>
  <c r="AD11" i="32"/>
  <c r="AD12" i="32"/>
  <c r="J12" i="32"/>
  <c r="N10" i="34"/>
  <c r="Q10" i="34"/>
  <c r="O10" i="34"/>
  <c r="L10" i="34"/>
  <c r="N8" i="34"/>
  <c r="O8" i="34"/>
  <c r="L8" i="34"/>
  <c r="P8" i="34"/>
  <c r="O19" i="32"/>
  <c r="Q19" i="32"/>
  <c r="P19" i="32"/>
  <c r="L19" i="32"/>
  <c r="N25" i="32"/>
  <c r="L25" i="32"/>
  <c r="P25" i="32"/>
  <c r="O25" i="32"/>
  <c r="T11" i="34"/>
  <c r="R11" i="34"/>
  <c r="T15" i="34"/>
  <c r="R15" i="34"/>
  <c r="T26" i="34"/>
  <c r="R26" i="34"/>
  <c r="U6" i="30"/>
  <c r="T6" i="30"/>
  <c r="S6" i="30"/>
  <c r="R6" i="30"/>
  <c r="U8" i="30"/>
  <c r="R8" i="30"/>
  <c r="T8" i="30"/>
  <c r="O12" i="26"/>
  <c r="Q12" i="26"/>
  <c r="P12" i="26"/>
  <c r="L12" i="26"/>
  <c r="O14" i="26"/>
  <c r="P14" i="26"/>
  <c r="Q14" i="26"/>
  <c r="O16" i="30"/>
  <c r="L16" i="30"/>
  <c r="N28" i="30"/>
  <c r="Q28" i="30"/>
  <c r="P28" i="30"/>
  <c r="O28" i="30"/>
  <c r="L28" i="30"/>
  <c r="O13" i="30"/>
  <c r="L13" i="30"/>
  <c r="O8" i="30"/>
  <c r="P8" i="30"/>
  <c r="N8" i="30"/>
  <c r="L8" i="30"/>
  <c r="Q8" i="30"/>
  <c r="S6" i="36"/>
  <c r="O23" i="37"/>
  <c r="S5" i="37"/>
  <c r="T20" i="37"/>
  <c r="U7" i="37"/>
  <c r="T7" i="37"/>
  <c r="R7" i="37"/>
  <c r="U29" i="37"/>
  <c r="R29" i="37"/>
  <c r="U8" i="37"/>
  <c r="R8" i="37"/>
  <c r="T8" i="37"/>
  <c r="M22" i="27"/>
  <c r="Q22" i="27"/>
  <c r="O22" i="27"/>
  <c r="N22" i="27"/>
  <c r="P22" i="27"/>
  <c r="N4" i="27"/>
  <c r="P4" i="27"/>
  <c r="O4" i="27"/>
  <c r="P28" i="37"/>
  <c r="Q28" i="37"/>
  <c r="N28" i="37"/>
  <c r="L28" i="37"/>
  <c r="P10" i="37"/>
  <c r="N10" i="37"/>
  <c r="L10" i="37"/>
  <c r="Q10" i="37"/>
  <c r="N20" i="27"/>
  <c r="P20" i="27"/>
  <c r="O20" i="27"/>
  <c r="M21" i="27"/>
  <c r="O21" i="27"/>
  <c r="N21" i="27"/>
  <c r="Q21" i="27"/>
  <c r="P21" i="27"/>
  <c r="P4" i="29"/>
  <c r="O4" i="29"/>
  <c r="N4" i="29"/>
  <c r="M4" i="29"/>
  <c r="L4" i="29"/>
  <c r="Q4" i="29"/>
  <c r="Q19" i="29"/>
  <c r="O19" i="29"/>
  <c r="M19" i="29"/>
  <c r="L19" i="29"/>
  <c r="N19" i="29"/>
  <c r="M16" i="29"/>
  <c r="L16" i="29"/>
  <c r="P16" i="29"/>
  <c r="O16" i="29"/>
  <c r="Q16" i="29"/>
  <c r="N16" i="29"/>
  <c r="P7" i="31"/>
  <c r="Q7" i="31"/>
  <c r="P13" i="31"/>
  <c r="Q13" i="31"/>
  <c r="P8" i="33"/>
  <c r="Q8" i="33"/>
  <c r="O18" i="33"/>
  <c r="Q18" i="33"/>
  <c r="N28" i="33"/>
  <c r="O28" i="33"/>
  <c r="L28" i="33"/>
  <c r="P28" i="33"/>
  <c r="S10" i="27"/>
  <c r="R10" i="27"/>
  <c r="T10" i="27"/>
  <c r="S9" i="27"/>
  <c r="R9" i="27"/>
  <c r="U5" i="29"/>
  <c r="R5" i="29"/>
  <c r="AD7" i="26"/>
  <c r="Q9" i="28"/>
  <c r="O9" i="28"/>
  <c r="N9" i="28"/>
  <c r="M9" i="28"/>
  <c r="L9" i="28"/>
  <c r="O21" i="28"/>
  <c r="N21" i="28"/>
  <c r="M21" i="28"/>
  <c r="L21" i="28"/>
  <c r="Q21" i="28"/>
  <c r="P21" i="28"/>
  <c r="O7" i="28"/>
  <c r="L7" i="28"/>
  <c r="N7" i="28"/>
  <c r="M7" i="28"/>
  <c r="P7" i="28"/>
  <c r="N12" i="35"/>
  <c r="P12" i="35"/>
  <c r="L12" i="35"/>
  <c r="O15" i="35"/>
  <c r="Q15" i="35"/>
  <c r="P15" i="35"/>
  <c r="L15" i="35"/>
  <c r="O19" i="35"/>
  <c r="P19" i="35"/>
  <c r="N29" i="35"/>
  <c r="P29" i="35"/>
  <c r="L29" i="35"/>
  <c r="AD14" i="33"/>
  <c r="AD18" i="33"/>
  <c r="J18" i="33"/>
  <c r="AD20" i="31"/>
  <c r="AD8" i="29"/>
  <c r="J8" i="29"/>
  <c r="AD25" i="27"/>
  <c r="AD26" i="27"/>
  <c r="AD27" i="27"/>
  <c r="AD12" i="37"/>
  <c r="J12" i="37"/>
  <c r="O9" i="36"/>
  <c r="P9" i="36"/>
  <c r="L9" i="36"/>
  <c r="Q9" i="36"/>
  <c r="O4" i="36"/>
  <c r="L4" i="36"/>
  <c r="Q4" i="36"/>
  <c r="P4" i="36"/>
  <c r="AD17" i="32"/>
  <c r="J17" i="32"/>
  <c r="N20" i="34"/>
  <c r="M20" i="34"/>
  <c r="O12" i="32"/>
  <c r="Q12" i="32"/>
  <c r="P12" i="32"/>
  <c r="L12" i="32"/>
  <c r="O18" i="32"/>
  <c r="L18" i="32"/>
  <c r="Q18" i="32"/>
  <c r="T23" i="34"/>
  <c r="R23" i="34"/>
  <c r="U22" i="34"/>
  <c r="R22" i="34"/>
  <c r="T18" i="34"/>
  <c r="R18" i="34"/>
  <c r="AD11" i="26"/>
  <c r="J11" i="26"/>
  <c r="U9" i="30"/>
  <c r="T9" i="30"/>
  <c r="R9" i="30"/>
  <c r="U23" i="30"/>
  <c r="R23" i="30"/>
  <c r="O25" i="26"/>
  <c r="L25" i="26"/>
  <c r="O19" i="26"/>
  <c r="L19" i="26"/>
  <c r="Q19" i="26"/>
  <c r="M6" i="30"/>
  <c r="P6" i="30"/>
  <c r="N6" i="30"/>
  <c r="O11" i="30"/>
  <c r="Q11" i="30"/>
  <c r="P11" i="30"/>
  <c r="L11" i="30"/>
  <c r="N23" i="30"/>
  <c r="O23" i="30"/>
  <c r="L5" i="33"/>
  <c r="M4" i="34"/>
  <c r="R17" i="35"/>
  <c r="S8" i="35"/>
  <c r="AD25" i="36"/>
  <c r="R5" i="36"/>
  <c r="R6" i="36"/>
  <c r="U22" i="36"/>
  <c r="T15" i="36"/>
  <c r="U27" i="36"/>
  <c r="O22" i="37"/>
  <c r="O14" i="37"/>
  <c r="S28" i="37"/>
  <c r="S20" i="37"/>
  <c r="N22" i="37"/>
  <c r="L22" i="37"/>
  <c r="R16" i="37"/>
  <c r="T29" i="37"/>
  <c r="U22" i="28"/>
  <c r="R22" i="28"/>
  <c r="U13" i="28"/>
  <c r="R13" i="28"/>
  <c r="U11" i="37"/>
  <c r="R11" i="37"/>
  <c r="U24" i="37"/>
  <c r="T24" i="37"/>
  <c r="U10" i="37"/>
  <c r="R10" i="37"/>
  <c r="T10" i="37"/>
  <c r="Q7" i="27"/>
  <c r="P7" i="27"/>
  <c r="L7" i="27"/>
  <c r="O7" i="27"/>
  <c r="M7" i="27"/>
  <c r="N7" i="27"/>
  <c r="P17" i="37"/>
  <c r="N17" i="37"/>
  <c r="L17" i="37"/>
  <c r="P7" i="37"/>
  <c r="L7" i="37"/>
  <c r="P4" i="37"/>
  <c r="N4" i="37"/>
  <c r="L4" i="37"/>
  <c r="Q4" i="37"/>
  <c r="P12" i="37"/>
  <c r="N12" i="37"/>
  <c r="L12" i="37"/>
  <c r="Q12" i="37"/>
  <c r="L27" i="27"/>
  <c r="P27" i="27"/>
  <c r="O27" i="27"/>
  <c r="M27" i="27"/>
  <c r="N27" i="27"/>
  <c r="L23" i="27"/>
  <c r="O23" i="27"/>
  <c r="N23" i="27"/>
  <c r="M23" i="27"/>
  <c r="Q23" i="27"/>
  <c r="P23" i="27"/>
  <c r="Q10" i="29"/>
  <c r="P10" i="29"/>
  <c r="O10" i="29"/>
  <c r="M10" i="29"/>
  <c r="L10" i="29"/>
  <c r="N10" i="29"/>
  <c r="O26" i="29"/>
  <c r="Q26" i="29"/>
  <c r="O27" i="29"/>
  <c r="Q27" i="29"/>
  <c r="L27" i="29"/>
  <c r="P10" i="31"/>
  <c r="Q10" i="31"/>
  <c r="P14" i="31"/>
  <c r="Q14" i="31"/>
  <c r="N19" i="33"/>
  <c r="Q19" i="33"/>
  <c r="L19" i="33"/>
  <c r="N29" i="33"/>
  <c r="O29" i="33"/>
  <c r="L29" i="33"/>
  <c r="S12" i="27"/>
  <c r="T12" i="27"/>
  <c r="R12" i="27"/>
  <c r="U12" i="27"/>
  <c r="T14" i="27"/>
  <c r="U14" i="27"/>
  <c r="T6" i="29"/>
  <c r="R6" i="29"/>
  <c r="U21" i="29"/>
  <c r="R21" i="29"/>
  <c r="N29" i="28"/>
  <c r="P29" i="28"/>
  <c r="Q8" i="28"/>
  <c r="L8" i="28"/>
  <c r="O27" i="35"/>
  <c r="Q27" i="35"/>
  <c r="AD5" i="27"/>
  <c r="J5" i="27"/>
  <c r="U27" i="26"/>
  <c r="R27" i="26"/>
  <c r="AD6" i="30"/>
  <c r="J6" i="30"/>
  <c r="AD29" i="27"/>
  <c r="O6" i="36"/>
  <c r="Q6" i="36"/>
  <c r="P6" i="36"/>
  <c r="L6" i="36"/>
  <c r="O18" i="36"/>
  <c r="P18" i="36"/>
  <c r="Q18" i="36"/>
  <c r="N14" i="34"/>
  <c r="P14" i="34"/>
  <c r="O14" i="34"/>
  <c r="L14" i="34"/>
  <c r="N5" i="34"/>
  <c r="L5" i="34"/>
  <c r="P5" i="32"/>
  <c r="L5" i="32"/>
  <c r="Q5" i="32"/>
  <c r="O27" i="32"/>
  <c r="Q27" i="32"/>
  <c r="O14" i="32"/>
  <c r="L14" i="32"/>
  <c r="Q14" i="32"/>
  <c r="P14" i="32"/>
  <c r="O15" i="32"/>
  <c r="Q15" i="32"/>
  <c r="L15" i="32"/>
  <c r="T4" i="34"/>
  <c r="R4" i="34"/>
  <c r="T19" i="34"/>
  <c r="R19" i="34"/>
  <c r="AD16" i="26"/>
  <c r="U18" i="30"/>
  <c r="T18" i="30"/>
  <c r="R18" i="30"/>
  <c r="U20" i="30"/>
  <c r="R20" i="30"/>
  <c r="U13" i="30"/>
  <c r="T13" i="30"/>
  <c r="R13" i="30"/>
  <c r="O5" i="26"/>
  <c r="P5" i="26"/>
  <c r="L5" i="26"/>
  <c r="Q5" i="26"/>
  <c r="O15" i="30"/>
  <c r="Q15" i="30"/>
  <c r="L15" i="30"/>
  <c r="P15" i="30"/>
  <c r="O14" i="30"/>
  <c r="L14" i="30"/>
  <c r="P14" i="30"/>
  <c r="AD7" i="35"/>
  <c r="AI7" i="35" s="1"/>
  <c r="AD8" i="35"/>
  <c r="R22" i="36"/>
  <c r="AD4" i="36"/>
  <c r="AD5" i="36"/>
  <c r="T18" i="36"/>
  <c r="R27" i="36"/>
  <c r="AD6" i="36"/>
  <c r="AG6" i="36" s="1"/>
  <c r="S27" i="37"/>
  <c r="T16" i="37"/>
  <c r="T27" i="37"/>
  <c r="R11" i="36"/>
  <c r="S11" i="36"/>
  <c r="U21" i="37"/>
  <c r="R21" i="37"/>
  <c r="U9" i="37"/>
  <c r="T9" i="37"/>
  <c r="R9" i="37"/>
  <c r="U12" i="37"/>
  <c r="R12" i="37"/>
  <c r="T12" i="37"/>
  <c r="Q6" i="27"/>
  <c r="P6" i="27"/>
  <c r="O6" i="27"/>
  <c r="N6" i="27"/>
  <c r="M6" i="27"/>
  <c r="L6" i="27"/>
  <c r="P9" i="37"/>
  <c r="Q9" i="37"/>
  <c r="N9" i="37"/>
  <c r="L9" i="37"/>
  <c r="P11" i="37"/>
  <c r="Q11" i="37"/>
  <c r="N11" i="37"/>
  <c r="L11" i="37"/>
  <c r="P19" i="37"/>
  <c r="L19" i="37"/>
  <c r="Q19" i="37"/>
  <c r="P20" i="37"/>
  <c r="Q20" i="37"/>
  <c r="L20" i="37"/>
  <c r="N20" i="37"/>
  <c r="O8" i="27"/>
  <c r="P8" i="27"/>
  <c r="L11" i="29"/>
  <c r="Q11" i="29"/>
  <c r="P11" i="29"/>
  <c r="N11" i="29"/>
  <c r="M11" i="29"/>
  <c r="O11" i="29"/>
  <c r="Q7" i="29"/>
  <c r="M7" i="29"/>
  <c r="L7" i="29"/>
  <c r="N7" i="29"/>
  <c r="P18" i="29"/>
  <c r="O18" i="29"/>
  <c r="N18" i="29"/>
  <c r="M18" i="29"/>
  <c r="Q18" i="29"/>
  <c r="L18" i="29"/>
  <c r="P11" i="31"/>
  <c r="Q11" i="31"/>
  <c r="P16" i="31"/>
  <c r="Q16" i="31"/>
  <c r="P26" i="31"/>
  <c r="Q26" i="31"/>
  <c r="N24" i="33"/>
  <c r="Q24" i="33"/>
  <c r="P24" i="33"/>
  <c r="O27" i="33"/>
  <c r="Q27" i="33"/>
  <c r="P27" i="33"/>
  <c r="L27" i="33"/>
  <c r="S7" i="33"/>
  <c r="R7" i="33"/>
  <c r="Q12" i="28"/>
  <c r="P12" i="28"/>
  <c r="O12" i="28"/>
  <c r="N12" i="28"/>
  <c r="M12" i="28"/>
  <c r="L12" i="28"/>
  <c r="P6" i="28"/>
  <c r="O6" i="28"/>
  <c r="N6" i="28"/>
  <c r="M6" i="28"/>
  <c r="L6" i="28"/>
  <c r="Q6" i="28"/>
  <c r="O26" i="28"/>
  <c r="L26" i="28"/>
  <c r="Q26" i="28"/>
  <c r="P26" i="28"/>
  <c r="O13" i="28"/>
  <c r="L13" i="28"/>
  <c r="N13" i="28"/>
  <c r="M13" i="28"/>
  <c r="P13" i="28"/>
  <c r="O26" i="35"/>
  <c r="Q26" i="35"/>
  <c r="P26" i="35"/>
  <c r="L26" i="35"/>
  <c r="O20" i="35"/>
  <c r="P20" i="35"/>
  <c r="Q20" i="35"/>
  <c r="L20" i="35"/>
  <c r="O22" i="35"/>
  <c r="Q22" i="35"/>
  <c r="P22" i="35"/>
  <c r="L22" i="35"/>
  <c r="AD25" i="30"/>
  <c r="AD13" i="29"/>
  <c r="AD10" i="27"/>
  <c r="J10" i="27"/>
  <c r="O10" i="36"/>
  <c r="P10" i="36"/>
  <c r="L10" i="36"/>
  <c r="O14" i="36"/>
  <c r="Q14" i="36"/>
  <c r="L14" i="36"/>
  <c r="P14" i="36"/>
  <c r="O12" i="36"/>
  <c r="Q12" i="36"/>
  <c r="P12" i="36"/>
  <c r="L12" i="36"/>
  <c r="N16" i="34"/>
  <c r="Q16" i="34"/>
  <c r="L16" i="34"/>
  <c r="O16" i="34"/>
  <c r="P6" i="32"/>
  <c r="L6" i="32"/>
  <c r="O17" i="32"/>
  <c r="L17" i="32"/>
  <c r="Q17" i="32"/>
  <c r="P17" i="32"/>
  <c r="O21" i="32"/>
  <c r="L21" i="32"/>
  <c r="T14" i="34"/>
  <c r="R14" i="34"/>
  <c r="AD13" i="26"/>
  <c r="J13" i="26"/>
  <c r="U12" i="32"/>
  <c r="R12" i="32"/>
  <c r="U20" i="32"/>
  <c r="R20" i="32"/>
  <c r="U11" i="30"/>
  <c r="T11" i="30"/>
  <c r="O13" i="26"/>
  <c r="P13" i="26"/>
  <c r="L13" i="26"/>
  <c r="Q13" i="26"/>
  <c r="O11" i="26"/>
  <c r="Q11" i="26"/>
  <c r="P11" i="26"/>
  <c r="N18" i="30"/>
  <c r="Q18" i="30"/>
  <c r="O18" i="30"/>
  <c r="L18" i="30"/>
  <c r="P18" i="30"/>
  <c r="N22" i="30"/>
  <c r="Q22" i="30"/>
  <c r="P22" i="30"/>
  <c r="O22" i="30"/>
  <c r="L22" i="30"/>
  <c r="S4" i="36"/>
  <c r="R4" i="36"/>
  <c r="U10" i="28"/>
  <c r="R10" i="28"/>
  <c r="U15" i="37"/>
  <c r="T15" i="37"/>
  <c r="R15" i="37"/>
  <c r="U19" i="37"/>
  <c r="R19" i="37"/>
  <c r="S5" i="27"/>
  <c r="T5" i="27"/>
  <c r="P25" i="37"/>
  <c r="Q25" i="37"/>
  <c r="N25" i="37"/>
  <c r="L25" i="37"/>
  <c r="P14" i="37"/>
  <c r="Q14" i="37"/>
  <c r="P26" i="37"/>
  <c r="N26" i="37"/>
  <c r="L26" i="37"/>
  <c r="Q26" i="37"/>
  <c r="L10" i="27"/>
  <c r="P10" i="27"/>
  <c r="N10" i="27"/>
  <c r="M10" i="27"/>
  <c r="N9" i="27"/>
  <c r="P9" i="27"/>
  <c r="O9" i="27"/>
  <c r="Q5" i="29"/>
  <c r="P5" i="29"/>
  <c r="O5" i="29"/>
  <c r="N5" i="29"/>
  <c r="L5" i="29"/>
  <c r="M5" i="29"/>
  <c r="M12" i="29"/>
  <c r="N12" i="29"/>
  <c r="L12" i="29"/>
  <c r="P12" i="29"/>
  <c r="O12" i="29"/>
  <c r="Q12" i="29"/>
  <c r="Q21" i="29"/>
  <c r="P21" i="29"/>
  <c r="O21" i="29"/>
  <c r="N21" i="29"/>
  <c r="L21" i="29"/>
  <c r="M21" i="29"/>
  <c r="P27" i="31"/>
  <c r="Q27" i="31"/>
  <c r="N22" i="33"/>
  <c r="Q22" i="33"/>
  <c r="O22" i="33"/>
  <c r="L22" i="33"/>
  <c r="N26" i="33"/>
  <c r="L26" i="33"/>
  <c r="S6" i="27"/>
  <c r="U6" i="27"/>
  <c r="T6" i="27"/>
  <c r="Q18" i="28"/>
  <c r="N18" i="28"/>
  <c r="M18" i="28"/>
  <c r="L18" i="28"/>
  <c r="P18" i="28"/>
  <c r="O10" i="28"/>
  <c r="M10" i="28"/>
  <c r="L10" i="28"/>
  <c r="P10" i="28"/>
  <c r="N10" i="28"/>
  <c r="Q14" i="28"/>
  <c r="L14" i="28"/>
  <c r="O25" i="35"/>
  <c r="Q25" i="35"/>
  <c r="P25" i="35"/>
  <c r="L25" i="35"/>
  <c r="N6" i="35"/>
  <c r="O6" i="35"/>
  <c r="Q6" i="35"/>
  <c r="L6" i="35"/>
  <c r="O23" i="35"/>
  <c r="Q23" i="35"/>
  <c r="L23" i="35"/>
  <c r="AD7" i="29"/>
  <c r="AD21" i="27"/>
  <c r="J21" i="27"/>
  <c r="AD22" i="27"/>
  <c r="AD28" i="37"/>
  <c r="J28" i="37"/>
  <c r="O21" i="36"/>
  <c r="Q21" i="36"/>
  <c r="P21" i="36"/>
  <c r="L21" i="36"/>
  <c r="N27" i="36"/>
  <c r="L27" i="36"/>
  <c r="N19" i="36"/>
  <c r="Q19" i="36"/>
  <c r="P19" i="36"/>
  <c r="L19" i="36"/>
  <c r="O19" i="36"/>
  <c r="O15" i="36"/>
  <c r="Q15" i="36"/>
  <c r="P15" i="36"/>
  <c r="L15" i="36"/>
  <c r="N9" i="34"/>
  <c r="L9" i="34"/>
  <c r="N21" i="34"/>
  <c r="M21" i="34"/>
  <c r="P7" i="32"/>
  <c r="Q7" i="32"/>
  <c r="O13" i="32"/>
  <c r="Q13" i="32"/>
  <c r="P13" i="32"/>
  <c r="O28" i="32"/>
  <c r="P28" i="32"/>
  <c r="U24" i="34"/>
  <c r="R24" i="34"/>
  <c r="AF30" i="26"/>
  <c r="AG30" i="26"/>
  <c r="AD4" i="26"/>
  <c r="J4" i="26"/>
  <c r="U4" i="32"/>
  <c r="R4" i="32"/>
  <c r="U25" i="30"/>
  <c r="T25" i="30"/>
  <c r="N29" i="26"/>
  <c r="L29" i="26"/>
  <c r="O18" i="26"/>
  <c r="L18" i="26"/>
  <c r="P18" i="26"/>
  <c r="N20" i="30"/>
  <c r="O20" i="30"/>
  <c r="O25" i="30"/>
  <c r="Q25" i="30"/>
  <c r="P25" i="30"/>
  <c r="L25" i="30"/>
  <c r="O27" i="30"/>
  <c r="P27" i="30"/>
  <c r="AD27" i="32"/>
  <c r="AF27" i="32" s="1"/>
  <c r="AH30" i="34"/>
  <c r="AD22" i="35"/>
  <c r="AH22" i="35" s="1"/>
  <c r="R13" i="36"/>
  <c r="U4" i="36"/>
  <c r="U5" i="36"/>
  <c r="AD23" i="36"/>
  <c r="O27" i="37"/>
  <c r="M22" i="37"/>
  <c r="M14" i="37"/>
  <c r="S25" i="37"/>
  <c r="AD23" i="37"/>
  <c r="N23" i="37"/>
  <c r="O25" i="29"/>
  <c r="Q25" i="29"/>
  <c r="L25" i="29"/>
  <c r="P25" i="29"/>
  <c r="U14" i="37"/>
  <c r="T14" i="37"/>
  <c r="R14" i="37"/>
  <c r="U17" i="37"/>
  <c r="T17" i="37"/>
  <c r="U26" i="37"/>
  <c r="R26" i="37"/>
  <c r="S4" i="27"/>
  <c r="T4" i="27"/>
  <c r="P13" i="37"/>
  <c r="Q13" i="37"/>
  <c r="N13" i="37"/>
  <c r="L13" i="37"/>
  <c r="P21" i="37"/>
  <c r="Q21" i="37"/>
  <c r="N21" i="37"/>
  <c r="L21" i="37"/>
  <c r="P5" i="37"/>
  <c r="N5" i="37"/>
  <c r="L5" i="37"/>
  <c r="Q12" i="27"/>
  <c r="P12" i="27"/>
  <c r="N12" i="27"/>
  <c r="L12" i="27"/>
  <c r="M12" i="27"/>
  <c r="Q14" i="27"/>
  <c r="N14" i="27"/>
  <c r="M14" i="27"/>
  <c r="L14" i="27"/>
  <c r="P14" i="27"/>
  <c r="O14" i="27"/>
  <c r="Q6" i="29"/>
  <c r="P6" i="29"/>
  <c r="O6" i="29"/>
  <c r="N6" i="29"/>
  <c r="L6" i="29"/>
  <c r="M6" i="29"/>
  <c r="Q22" i="29"/>
  <c r="N22" i="29"/>
  <c r="M22" i="29"/>
  <c r="O22" i="29"/>
  <c r="L22" i="29"/>
  <c r="Q20" i="29"/>
  <c r="M20" i="29"/>
  <c r="L20" i="29"/>
  <c r="O20" i="29"/>
  <c r="N20" i="29"/>
  <c r="P12" i="31"/>
  <c r="Q12" i="31"/>
  <c r="N12" i="33"/>
  <c r="Q12" i="33"/>
  <c r="P12" i="33"/>
  <c r="O12" i="33"/>
  <c r="L12" i="33"/>
  <c r="P4" i="33"/>
  <c r="Q4" i="33"/>
  <c r="O4" i="33"/>
  <c r="L4" i="33"/>
  <c r="S11" i="27"/>
  <c r="U11" i="27"/>
  <c r="T11" i="27"/>
  <c r="U17" i="29"/>
  <c r="R17" i="29"/>
  <c r="AD9" i="33"/>
  <c r="Q15" i="28"/>
  <c r="O15" i="28"/>
  <c r="M15" i="28"/>
  <c r="L15" i="28"/>
  <c r="P24" i="28"/>
  <c r="Q24" i="28"/>
  <c r="L24" i="28"/>
  <c r="Q11" i="28"/>
  <c r="L11" i="28"/>
  <c r="N5" i="35"/>
  <c r="L5" i="35"/>
  <c r="N8" i="35"/>
  <c r="L8" i="35"/>
  <c r="O8" i="35"/>
  <c r="N10" i="35"/>
  <c r="O10" i="35"/>
  <c r="L10" i="35"/>
  <c r="Q10" i="35"/>
  <c r="P10" i="35"/>
  <c r="O24" i="35"/>
  <c r="Q24" i="35"/>
  <c r="L24" i="35"/>
  <c r="AD20" i="30"/>
  <c r="J20" i="30"/>
  <c r="AD4" i="29"/>
  <c r="AD18" i="31"/>
  <c r="AD12" i="29"/>
  <c r="J12" i="29"/>
  <c r="AD23" i="27"/>
  <c r="J23" i="27"/>
  <c r="AD24" i="27"/>
  <c r="AD5" i="37"/>
  <c r="N28" i="36"/>
  <c r="Q28" i="36"/>
  <c r="L28" i="36"/>
  <c r="N20" i="36"/>
  <c r="O20" i="36"/>
  <c r="O16" i="36"/>
  <c r="Q16" i="36"/>
  <c r="N22" i="34"/>
  <c r="P22" i="34"/>
  <c r="O22" i="34"/>
  <c r="M22" i="34"/>
  <c r="N15" i="34"/>
  <c r="L15" i="34"/>
  <c r="O16" i="32"/>
  <c r="Q16" i="32"/>
  <c r="P16" i="32"/>
  <c r="L16" i="32"/>
  <c r="O23" i="32"/>
  <c r="P23" i="32"/>
  <c r="Q23" i="32"/>
  <c r="AD10" i="26"/>
  <c r="U15" i="30"/>
  <c r="T15" i="30"/>
  <c r="R15" i="30"/>
  <c r="U22" i="30"/>
  <c r="T22" i="30"/>
  <c r="R22" i="30"/>
  <c r="N27" i="26"/>
  <c r="Q27" i="26"/>
  <c r="O10" i="26"/>
  <c r="L10" i="26"/>
  <c r="Q10" i="26"/>
  <c r="P10" i="26"/>
  <c r="O5" i="30"/>
  <c r="Q5" i="30"/>
  <c r="P5" i="30"/>
  <c r="O10" i="30"/>
  <c r="L10" i="30"/>
  <c r="Q10" i="30"/>
  <c r="P10" i="30"/>
  <c r="AD29" i="37"/>
  <c r="J29" i="37"/>
  <c r="AF30" i="37"/>
  <c r="AD15" i="37"/>
  <c r="J15" i="37"/>
  <c r="AD24" i="37"/>
  <c r="J24" i="37"/>
  <c r="AD22" i="37"/>
  <c r="J22" i="37"/>
  <c r="AD21" i="37"/>
  <c r="J21" i="37"/>
  <c r="AG30" i="37"/>
  <c r="AD16" i="37"/>
  <c r="J16" i="37"/>
  <c r="AH30" i="37"/>
  <c r="AD26" i="37"/>
  <c r="J26" i="37"/>
  <c r="AD14" i="37"/>
  <c r="J14" i="37"/>
  <c r="AD18" i="37"/>
  <c r="J18" i="37"/>
  <c r="AD27" i="37"/>
  <c r="J27" i="37"/>
  <c r="AD19" i="37"/>
  <c r="J19" i="37"/>
  <c r="AD28" i="36"/>
  <c r="AI28" i="36" s="1"/>
  <c r="AD9" i="36"/>
  <c r="AG9" i="36" s="1"/>
  <c r="J16" i="36"/>
  <c r="AD16" i="36"/>
  <c r="AD14" i="36"/>
  <c r="J11" i="36"/>
  <c r="AD11" i="36"/>
  <c r="AD10" i="36"/>
  <c r="J8" i="36"/>
  <c r="AD8" i="36"/>
  <c r="AD21" i="36"/>
  <c r="AH21" i="36" s="1"/>
  <c r="AG20" i="36"/>
  <c r="AI18" i="36"/>
  <c r="AH18" i="36"/>
  <c r="AG18" i="36"/>
  <c r="AI30" i="36"/>
  <c r="AH30" i="36"/>
  <c r="AG30" i="36"/>
  <c r="AF30" i="36"/>
  <c r="S29" i="36"/>
  <c r="AD29" i="36"/>
  <c r="U29" i="36"/>
  <c r="T29" i="36"/>
  <c r="R29" i="36"/>
  <c r="AD25" i="35"/>
  <c r="AI25" i="35" s="1"/>
  <c r="AD21" i="35"/>
  <c r="AG21" i="35" s="1"/>
  <c r="AD20" i="35"/>
  <c r="AI20" i="35" s="1"/>
  <c r="AI26" i="35"/>
  <c r="AH26" i="35"/>
  <c r="AG26" i="35"/>
  <c r="AF26" i="35"/>
  <c r="R29" i="35"/>
  <c r="U29" i="35"/>
  <c r="T29" i="35"/>
  <c r="AD29" i="35"/>
  <c r="S29" i="35"/>
  <c r="R27" i="35"/>
  <c r="U27" i="35"/>
  <c r="T27" i="35"/>
  <c r="AD27" i="35"/>
  <c r="S27" i="35"/>
  <c r="AG4" i="35"/>
  <c r="AF4" i="35"/>
  <c r="AI30" i="35"/>
  <c r="AH30" i="35"/>
  <c r="AG30" i="35"/>
  <c r="AF30" i="35"/>
  <c r="AI23" i="35"/>
  <c r="AG4" i="34"/>
  <c r="AF15" i="34"/>
  <c r="N29" i="34"/>
  <c r="P29" i="34"/>
  <c r="Q29" i="34"/>
  <c r="O29" i="34"/>
  <c r="M29" i="34"/>
  <c r="L29" i="34"/>
  <c r="AD6" i="34"/>
  <c r="N7" i="34"/>
  <c r="Q7" i="34"/>
  <c r="P7" i="34"/>
  <c r="O7" i="34"/>
  <c r="L7" i="34"/>
  <c r="N23" i="34"/>
  <c r="Q23" i="34"/>
  <c r="P23" i="34"/>
  <c r="O23" i="34"/>
  <c r="M23" i="34"/>
  <c r="L23" i="34"/>
  <c r="AH15" i="34"/>
  <c r="N27" i="34"/>
  <c r="P27" i="34"/>
  <c r="O27" i="34"/>
  <c r="M27" i="34"/>
  <c r="L27" i="34"/>
  <c r="Q27" i="34"/>
  <c r="N19" i="34"/>
  <c r="Q19" i="34"/>
  <c r="P19" i="34"/>
  <c r="O19" i="34"/>
  <c r="M19" i="34"/>
  <c r="L19" i="34"/>
  <c r="AD8" i="34"/>
  <c r="AF30" i="34"/>
  <c r="AD18" i="34"/>
  <c r="AG30" i="34"/>
  <c r="N25" i="34"/>
  <c r="P25" i="34"/>
  <c r="O25" i="34"/>
  <c r="M25" i="34"/>
  <c r="L25" i="34"/>
  <c r="Q25" i="34"/>
  <c r="AD20" i="34"/>
  <c r="N6" i="34"/>
  <c r="P6" i="34"/>
  <c r="O6" i="34"/>
  <c r="L6" i="34"/>
  <c r="Q6" i="34"/>
  <c r="N4" i="34"/>
  <c r="Q4" i="34"/>
  <c r="P4" i="34"/>
  <c r="O4" i="34"/>
  <c r="L4" i="34"/>
  <c r="AD23" i="34"/>
  <c r="AD9" i="34"/>
  <c r="AD25" i="34"/>
  <c r="J25" i="34"/>
  <c r="AD28" i="34"/>
  <c r="J28" i="34"/>
  <c r="AD24" i="34"/>
  <c r="J24" i="34"/>
  <c r="AD17" i="34"/>
  <c r="J17" i="34"/>
  <c r="AD12" i="34"/>
  <c r="J12" i="34"/>
  <c r="AD26" i="34"/>
  <c r="J26" i="34"/>
  <c r="AD29" i="34"/>
  <c r="J29" i="34"/>
  <c r="AD19" i="33"/>
  <c r="AG19" i="33" s="1"/>
  <c r="S25" i="33"/>
  <c r="AD25" i="33"/>
  <c r="U25" i="33"/>
  <c r="T25" i="33"/>
  <c r="R25" i="33"/>
  <c r="S21" i="33"/>
  <c r="U21" i="33"/>
  <c r="T21" i="33"/>
  <c r="AD21" i="33"/>
  <c r="R21" i="33"/>
  <c r="S29" i="33"/>
  <c r="AD29" i="33"/>
  <c r="U29" i="33"/>
  <c r="T29" i="33"/>
  <c r="R29" i="33"/>
  <c r="AI30" i="33"/>
  <c r="AH30" i="33"/>
  <c r="AG30" i="33"/>
  <c r="AF30" i="33"/>
  <c r="AH17" i="33"/>
  <c r="AG15" i="32"/>
  <c r="AG30" i="32"/>
  <c r="AD28" i="32"/>
  <c r="J28" i="32"/>
  <c r="AD29" i="32"/>
  <c r="J29" i="32"/>
  <c r="AD23" i="32"/>
  <c r="J23" i="32"/>
  <c r="AD22" i="32"/>
  <c r="J22" i="32"/>
  <c r="AD21" i="32"/>
  <c r="J21" i="32"/>
  <c r="AF26" i="32"/>
  <c r="R27" i="32"/>
  <c r="U27" i="32"/>
  <c r="T27" i="32"/>
  <c r="S27" i="32"/>
  <c r="R26" i="32"/>
  <c r="U26" i="32"/>
  <c r="T26" i="32"/>
  <c r="S26" i="32"/>
  <c r="U25" i="32"/>
  <c r="R25" i="32"/>
  <c r="T25" i="32"/>
  <c r="S25" i="32"/>
  <c r="AH24" i="31"/>
  <c r="AD13" i="31"/>
  <c r="J13" i="31"/>
  <c r="AD23" i="31"/>
  <c r="J23" i="31"/>
  <c r="AD7" i="31"/>
  <c r="J7" i="31"/>
  <c r="AD17" i="31"/>
  <c r="J17" i="31"/>
  <c r="AD21" i="31"/>
  <c r="J21" i="31"/>
  <c r="AD10" i="31"/>
  <c r="J10" i="31"/>
  <c r="AD28" i="31"/>
  <c r="J28" i="31"/>
  <c r="AD15" i="31"/>
  <c r="J15" i="31"/>
  <c r="AD22" i="31"/>
  <c r="J22" i="31"/>
  <c r="AD16" i="31"/>
  <c r="J16" i="31"/>
  <c r="AD12" i="31"/>
  <c r="J12" i="31"/>
  <c r="AD9" i="31"/>
  <c r="J9" i="31"/>
  <c r="AD19" i="31"/>
  <c r="J19" i="31"/>
  <c r="AD6" i="31"/>
  <c r="J6" i="31"/>
  <c r="R29" i="31"/>
  <c r="U29" i="31"/>
  <c r="T29" i="31"/>
  <c r="S29" i="31"/>
  <c r="AD29" i="31"/>
  <c r="U26" i="31"/>
  <c r="T26" i="31"/>
  <c r="R26" i="31"/>
  <c r="S26" i="31"/>
  <c r="R27" i="31"/>
  <c r="U27" i="31"/>
  <c r="T27" i="31"/>
  <c r="S27" i="31"/>
  <c r="AD27" i="31"/>
  <c r="AD26" i="31"/>
  <c r="U29" i="30"/>
  <c r="R29" i="30"/>
  <c r="T29" i="30"/>
  <c r="U27" i="30"/>
  <c r="R27" i="30"/>
  <c r="T27" i="30"/>
  <c r="AD27" i="30"/>
  <c r="AD29" i="30"/>
  <c r="J29" i="30"/>
  <c r="AD28" i="30"/>
  <c r="J28" i="30"/>
  <c r="AD22" i="30"/>
  <c r="J22" i="30"/>
  <c r="AI30" i="29"/>
  <c r="AH30" i="29"/>
  <c r="AG30" i="29"/>
  <c r="AF30" i="29"/>
  <c r="AI26" i="29"/>
  <c r="AG26" i="29"/>
  <c r="AH22" i="29"/>
  <c r="AG22" i="29"/>
  <c r="AF22" i="29"/>
  <c r="AH18" i="29"/>
  <c r="AG18" i="29"/>
  <c r="AF18" i="29"/>
  <c r="AH25" i="29"/>
  <c r="AI28" i="29"/>
  <c r="AF24" i="29"/>
  <c r="AI20" i="29"/>
  <c r="AH20" i="29"/>
  <c r="AG20" i="29"/>
  <c r="AG30" i="28"/>
  <c r="AD7" i="28"/>
  <c r="J7" i="28"/>
  <c r="AI30" i="28"/>
  <c r="AD27" i="28"/>
  <c r="J27" i="28"/>
  <c r="AD16" i="28"/>
  <c r="J16" i="28"/>
  <c r="AD6" i="28"/>
  <c r="J6" i="28"/>
  <c r="AD17" i="28"/>
  <c r="J17" i="28"/>
  <c r="AH30" i="28"/>
  <c r="AD12" i="28"/>
  <c r="J12" i="28"/>
  <c r="AD22" i="28"/>
  <c r="J22" i="28"/>
  <c r="AD20" i="28"/>
  <c r="J20" i="28"/>
  <c r="AD14" i="28"/>
  <c r="J14" i="28"/>
  <c r="AD5" i="28"/>
  <c r="J5" i="28"/>
  <c r="AD9" i="28"/>
  <c r="J9" i="28"/>
  <c r="AD13" i="28"/>
  <c r="J13" i="28"/>
  <c r="AD11" i="28"/>
  <c r="J11" i="28"/>
  <c r="AD10" i="28"/>
  <c r="J10" i="28"/>
  <c r="AD18" i="28"/>
  <c r="J18" i="28"/>
  <c r="AD19" i="28"/>
  <c r="J19" i="28"/>
  <c r="AD29" i="28"/>
  <c r="J29" i="28"/>
  <c r="AD8" i="28"/>
  <c r="J8" i="28"/>
  <c r="AD25" i="28"/>
  <c r="J25" i="28"/>
  <c r="AD15" i="28"/>
  <c r="J15" i="28"/>
  <c r="AD26" i="28"/>
  <c r="J26" i="28"/>
  <c r="AD21" i="28"/>
  <c r="J21" i="28"/>
  <c r="AD4" i="28"/>
  <c r="J4" i="28"/>
  <c r="AD24" i="28"/>
  <c r="J24" i="28"/>
  <c r="AF4" i="27"/>
  <c r="AI30" i="27"/>
  <c r="AG30" i="27"/>
  <c r="AF30" i="27"/>
  <c r="AD29" i="26"/>
  <c r="J29" i="26"/>
  <c r="AD27" i="26"/>
  <c r="J27" i="26"/>
  <c r="AI6" i="26"/>
  <c r="AH6" i="26"/>
  <c r="AF6" i="26"/>
  <c r="P9" i="25"/>
  <c r="N9" i="25"/>
  <c r="M9" i="25"/>
  <c r="L9" i="25"/>
  <c r="Q9" i="25"/>
  <c r="U24" i="25"/>
  <c r="S24" i="25"/>
  <c r="R24" i="25"/>
  <c r="T24" i="25"/>
  <c r="AD11" i="25"/>
  <c r="J11" i="25"/>
  <c r="R29" i="25"/>
  <c r="T29" i="25"/>
  <c r="U29" i="25"/>
  <c r="S29" i="25"/>
  <c r="L12" i="25"/>
  <c r="Q12" i="25"/>
  <c r="N12" i="25"/>
  <c r="P12" i="25"/>
  <c r="M12" i="25"/>
  <c r="O12" i="25"/>
  <c r="M7" i="25"/>
  <c r="O7" i="25"/>
  <c r="L7" i="25"/>
  <c r="Q7" i="25"/>
  <c r="P7" i="25"/>
  <c r="N7" i="25"/>
  <c r="N10" i="25"/>
  <c r="P10" i="25"/>
  <c r="M10" i="25"/>
  <c r="L10" i="25"/>
  <c r="Q10" i="25"/>
  <c r="O10" i="25"/>
  <c r="J6" i="25"/>
  <c r="AD6" i="25"/>
  <c r="AD15" i="25"/>
  <c r="J15" i="25"/>
  <c r="AD20" i="25"/>
  <c r="J20" i="25"/>
  <c r="J25" i="25"/>
  <c r="AD25" i="25"/>
  <c r="U10" i="25"/>
  <c r="S10" i="25"/>
  <c r="R10" i="25"/>
  <c r="T10" i="25"/>
  <c r="J16" i="25"/>
  <c r="AD16" i="25"/>
  <c r="R6" i="25"/>
  <c r="T6" i="25"/>
  <c r="U6" i="25"/>
  <c r="S6" i="25"/>
  <c r="L20" i="25"/>
  <c r="N20" i="25"/>
  <c r="P20" i="25"/>
  <c r="O20" i="25"/>
  <c r="Q20" i="25"/>
  <c r="M20" i="25"/>
  <c r="M15" i="25"/>
  <c r="O15" i="25"/>
  <c r="L15" i="25"/>
  <c r="Q15" i="25"/>
  <c r="N15" i="25"/>
  <c r="P15" i="25"/>
  <c r="N18" i="25"/>
  <c r="P18" i="25"/>
  <c r="M18" i="25"/>
  <c r="O18" i="25"/>
  <c r="L18" i="25"/>
  <c r="Q18" i="25"/>
  <c r="J10" i="25"/>
  <c r="AD10" i="25"/>
  <c r="AD19" i="25"/>
  <c r="J19" i="25"/>
  <c r="J24" i="25"/>
  <c r="AD24" i="25"/>
  <c r="T20" i="25"/>
  <c r="U20" i="25"/>
  <c r="S20" i="25"/>
  <c r="R20" i="25"/>
  <c r="U11" i="25"/>
  <c r="S11" i="25"/>
  <c r="R11" i="25"/>
  <c r="T11" i="25"/>
  <c r="R14" i="25"/>
  <c r="T14" i="25"/>
  <c r="U14" i="25"/>
  <c r="S14" i="25"/>
  <c r="U9" i="25"/>
  <c r="S9" i="25"/>
  <c r="R9" i="25"/>
  <c r="T9" i="25"/>
  <c r="L28" i="25"/>
  <c r="N28" i="25"/>
  <c r="P28" i="25"/>
  <c r="O28" i="25"/>
  <c r="M28" i="25"/>
  <c r="Q28" i="25"/>
  <c r="M23" i="25"/>
  <c r="O23" i="25"/>
  <c r="L23" i="25"/>
  <c r="Q23" i="25"/>
  <c r="P23" i="25"/>
  <c r="N23" i="25"/>
  <c r="N26" i="25"/>
  <c r="P26" i="25"/>
  <c r="M26" i="25"/>
  <c r="L26" i="25"/>
  <c r="O26" i="25"/>
  <c r="Q26" i="25"/>
  <c r="J14" i="25"/>
  <c r="AD14" i="25"/>
  <c r="J23" i="25"/>
  <c r="AD23" i="25"/>
  <c r="AD28" i="25"/>
  <c r="J28" i="25"/>
  <c r="AF30" i="25"/>
  <c r="AI30" i="25"/>
  <c r="AH30" i="25"/>
  <c r="AG30" i="25"/>
  <c r="U19" i="25"/>
  <c r="S19" i="25"/>
  <c r="R19" i="25"/>
  <c r="T19" i="25"/>
  <c r="R22" i="25"/>
  <c r="T22" i="25"/>
  <c r="U22" i="25"/>
  <c r="S22" i="25"/>
  <c r="U17" i="25"/>
  <c r="S17" i="25"/>
  <c r="R17" i="25"/>
  <c r="T17" i="25"/>
  <c r="J18" i="25"/>
  <c r="AD18" i="25"/>
  <c r="AD27" i="25"/>
  <c r="J27" i="25"/>
  <c r="AD5" i="25"/>
  <c r="J5" i="25"/>
  <c r="U27" i="25"/>
  <c r="S27" i="25"/>
  <c r="R27" i="25"/>
  <c r="T27" i="25"/>
  <c r="T28" i="25"/>
  <c r="U28" i="25"/>
  <c r="S28" i="25"/>
  <c r="R28" i="25"/>
  <c r="U23" i="25"/>
  <c r="S23" i="25"/>
  <c r="R23" i="25"/>
  <c r="T23" i="25"/>
  <c r="U26" i="25"/>
  <c r="S26" i="25"/>
  <c r="R26" i="25"/>
  <c r="T26" i="25"/>
  <c r="L6" i="25"/>
  <c r="Q6" i="25"/>
  <c r="N6" i="25"/>
  <c r="P6" i="25"/>
  <c r="M6" i="25"/>
  <c r="O6" i="25"/>
  <c r="P8" i="25"/>
  <c r="O8" i="25"/>
  <c r="L8" i="25"/>
  <c r="Q8" i="25"/>
  <c r="N8" i="25"/>
  <c r="M8" i="25"/>
  <c r="J22" i="25"/>
  <c r="AD22" i="25"/>
  <c r="AD4" i="25"/>
  <c r="J4" i="25"/>
  <c r="J9" i="25"/>
  <c r="AD9" i="25"/>
  <c r="U4" i="25"/>
  <c r="R4" i="25"/>
  <c r="S4" i="25"/>
  <c r="T4" i="25"/>
  <c r="R21" i="25"/>
  <c r="T21" i="25"/>
  <c r="U21" i="25"/>
  <c r="S21" i="25"/>
  <c r="J21" i="25"/>
  <c r="AD21" i="25"/>
  <c r="U7" i="25"/>
  <c r="S7" i="25"/>
  <c r="R7" i="25"/>
  <c r="T7" i="25"/>
  <c r="L14" i="25"/>
  <c r="Q14" i="25"/>
  <c r="N14" i="25"/>
  <c r="P14" i="25"/>
  <c r="M14" i="25"/>
  <c r="O14" i="25"/>
  <c r="P16" i="25"/>
  <c r="O16" i="25"/>
  <c r="Q16" i="25"/>
  <c r="L16" i="25"/>
  <c r="N16" i="25"/>
  <c r="M16" i="25"/>
  <c r="J26" i="25"/>
  <c r="AD26" i="25"/>
  <c r="J8" i="25"/>
  <c r="AD8" i="25"/>
  <c r="J13" i="25"/>
  <c r="AD13" i="25"/>
  <c r="M4" i="25"/>
  <c r="O4" i="25"/>
  <c r="L4" i="25"/>
  <c r="Q4" i="25"/>
  <c r="P4" i="25"/>
  <c r="N4" i="25"/>
  <c r="R5" i="25"/>
  <c r="T5" i="25"/>
  <c r="U5" i="25"/>
  <c r="S5" i="25"/>
  <c r="AD29" i="25"/>
  <c r="J29" i="25"/>
  <c r="R13" i="25"/>
  <c r="T13" i="25"/>
  <c r="U13" i="25"/>
  <c r="S13" i="25"/>
  <c r="U15" i="25"/>
  <c r="S15" i="25"/>
  <c r="R15" i="25"/>
  <c r="T15" i="25"/>
  <c r="L22" i="25"/>
  <c r="Q22" i="25"/>
  <c r="N22" i="25"/>
  <c r="P22" i="25"/>
  <c r="O22" i="25"/>
  <c r="M22" i="25"/>
  <c r="P24" i="25"/>
  <c r="O24" i="25"/>
  <c r="L24" i="25"/>
  <c r="Q24" i="25"/>
  <c r="N24" i="25"/>
  <c r="M24" i="25"/>
  <c r="U16" i="25"/>
  <c r="S16" i="25"/>
  <c r="R16" i="25"/>
  <c r="T16" i="25"/>
  <c r="AD7" i="25"/>
  <c r="J7" i="25"/>
  <c r="AD12" i="25"/>
  <c r="J12" i="25"/>
  <c r="J17" i="25"/>
  <c r="AD17" i="25"/>
  <c r="T12" i="25"/>
  <c r="S12" i="25"/>
  <c r="U12" i="25"/>
  <c r="R12" i="25"/>
  <c r="AI16" i="29" l="1"/>
  <c r="AI4" i="36"/>
  <c r="AH24" i="32"/>
  <c r="AF16" i="29"/>
  <c r="AF5" i="35"/>
  <c r="AH5" i="35"/>
  <c r="AF15" i="36"/>
  <c r="AI15" i="29"/>
  <c r="AI14" i="35"/>
  <c r="AH22" i="34"/>
  <c r="AH9" i="30"/>
  <c r="AI5" i="26"/>
  <c r="AI7" i="34"/>
  <c r="AF23" i="28"/>
  <c r="AH18" i="26"/>
  <c r="AG16" i="29"/>
  <c r="AG25" i="36"/>
  <c r="AG13" i="36"/>
  <c r="AI5" i="35"/>
  <c r="AI21" i="29"/>
  <c r="AG4" i="27"/>
  <c r="AH10" i="35"/>
  <c r="AF5" i="31"/>
  <c r="AI9" i="37"/>
  <c r="AF20" i="29"/>
  <c r="AI22" i="29"/>
  <c r="AI7" i="30"/>
  <c r="AG28" i="33"/>
  <c r="AG17" i="33"/>
  <c r="AI13" i="30"/>
  <c r="AI26" i="32"/>
  <c r="AI25" i="26"/>
  <c r="AH10" i="32"/>
  <c r="AH4" i="34"/>
  <c r="AG18" i="26"/>
  <c r="AG13" i="35"/>
  <c r="AH17" i="27"/>
  <c r="AH17" i="29"/>
  <c r="AH4" i="27"/>
  <c r="AI5" i="36"/>
  <c r="AG23" i="26"/>
  <c r="AI8" i="33"/>
  <c r="AG11" i="35"/>
  <c r="AI12" i="27"/>
  <c r="AF5" i="26"/>
  <c r="AF25" i="26"/>
  <c r="AG17" i="27"/>
  <c r="AF21" i="29"/>
  <c r="AI4" i="34"/>
  <c r="AF13" i="35"/>
  <c r="AH22" i="36"/>
  <c r="AF17" i="35"/>
  <c r="AG13" i="32"/>
  <c r="AI15" i="32"/>
  <c r="AG26" i="32"/>
  <c r="AG9" i="29"/>
  <c r="AI4" i="35"/>
  <c r="AG5" i="26"/>
  <c r="AF17" i="27"/>
  <c r="AH21" i="29"/>
  <c r="AI28" i="33"/>
  <c r="AF4" i="34"/>
  <c r="AG15" i="35"/>
  <c r="AG26" i="36"/>
  <c r="AI18" i="35"/>
  <c r="AG19" i="36"/>
  <c r="AG14" i="31"/>
  <c r="AI25" i="31"/>
  <c r="AF22" i="26"/>
  <c r="AI8" i="26"/>
  <c r="AG21" i="29"/>
  <c r="AI12" i="30"/>
  <c r="AG16" i="33"/>
  <c r="AF28" i="27"/>
  <c r="AF24" i="31"/>
  <c r="AH5" i="26"/>
  <c r="AI13" i="34"/>
  <c r="AG9" i="32"/>
  <c r="AF25" i="29"/>
  <c r="AG14" i="36"/>
  <c r="AI23" i="36"/>
  <c r="AF6" i="35"/>
  <c r="AI9" i="35"/>
  <c r="AH19" i="34"/>
  <c r="AH21" i="30"/>
  <c r="AF18" i="27"/>
  <c r="AI6" i="32"/>
  <c r="AG25" i="37"/>
  <c r="AH20" i="37"/>
  <c r="AI12" i="36"/>
  <c r="AH8" i="35"/>
  <c r="AH5" i="33"/>
  <c r="AH16" i="32"/>
  <c r="AG25" i="32"/>
  <c r="AG18" i="30"/>
  <c r="AI19" i="27"/>
  <c r="AG27" i="36"/>
  <c r="AI20" i="36"/>
  <c r="AG15" i="36"/>
  <c r="AH5" i="34"/>
  <c r="AH22" i="33"/>
  <c r="AH28" i="33"/>
  <c r="AG23" i="33"/>
  <c r="AH23" i="33"/>
  <c r="AI23" i="33"/>
  <c r="AF28" i="33"/>
  <c r="AF15" i="32"/>
  <c r="AH26" i="32"/>
  <c r="AH25" i="26"/>
  <c r="AG26" i="33"/>
  <c r="AH19" i="32"/>
  <c r="AG19" i="32"/>
  <c r="AG7" i="30"/>
  <c r="AH15" i="36"/>
  <c r="AI15" i="36"/>
  <c r="AH23" i="35"/>
  <c r="AF26" i="33"/>
  <c r="AF27" i="29"/>
  <c r="AG8" i="31"/>
  <c r="AF13" i="33"/>
  <c r="AG27" i="29"/>
  <c r="AG5" i="30"/>
  <c r="AF8" i="31"/>
  <c r="AG24" i="29"/>
  <c r="AI15" i="35"/>
  <c r="AG12" i="27"/>
  <c r="AF27" i="33"/>
  <c r="AF11" i="37"/>
  <c r="AF25" i="32"/>
  <c r="AH26" i="33"/>
  <c r="AI12" i="33"/>
  <c r="AH9" i="35"/>
  <c r="AG22" i="33"/>
  <c r="AG11" i="37"/>
  <c r="AF12" i="33"/>
  <c r="AI24" i="29"/>
  <c r="AF15" i="29"/>
  <c r="AH15" i="35"/>
  <c r="AF15" i="35"/>
  <c r="AI25" i="29"/>
  <c r="AI13" i="35"/>
  <c r="AF8" i="33"/>
  <c r="AH13" i="35"/>
  <c r="AH6" i="32"/>
  <c r="AG16" i="32"/>
  <c r="AF12" i="27"/>
  <c r="AF20" i="33"/>
  <c r="AH12" i="27"/>
  <c r="AI8" i="31"/>
  <c r="AI26" i="36"/>
  <c r="AH28" i="29"/>
  <c r="AF5" i="32"/>
  <c r="AI10" i="35"/>
  <c r="AG24" i="33"/>
  <c r="AI24" i="31"/>
  <c r="AI5" i="32"/>
  <c r="AI24" i="33"/>
  <c r="AH11" i="35"/>
  <c r="AF4" i="32"/>
  <c r="AF10" i="35"/>
  <c r="AF28" i="29"/>
  <c r="AG5" i="32"/>
  <c r="AG10" i="35"/>
  <c r="AF9" i="37"/>
  <c r="AH28" i="27"/>
  <c r="AG22" i="34"/>
  <c r="AI12" i="26"/>
  <c r="AG27" i="33"/>
  <c r="AI22" i="34"/>
  <c r="AH27" i="33"/>
  <c r="AH27" i="29"/>
  <c r="AI18" i="26"/>
  <c r="AG15" i="33"/>
  <c r="AI17" i="35"/>
  <c r="AF6" i="32"/>
  <c r="AF22" i="34"/>
  <c r="AG6" i="32"/>
  <c r="AH15" i="33"/>
  <c r="AH16" i="35"/>
  <c r="AH27" i="36"/>
  <c r="AF5" i="33"/>
  <c r="AI16" i="35"/>
  <c r="AI27" i="36"/>
  <c r="AG5" i="33"/>
  <c r="AG4" i="33"/>
  <c r="AG17" i="35"/>
  <c r="AI11" i="35"/>
  <c r="AH25" i="32"/>
  <c r="AG14" i="35"/>
  <c r="AG12" i="33"/>
  <c r="AF10" i="30"/>
  <c r="AH13" i="30"/>
  <c r="AF14" i="35"/>
  <c r="AI25" i="32"/>
  <c r="AH14" i="35"/>
  <c r="AF26" i="26"/>
  <c r="AG26" i="26"/>
  <c r="AG12" i="36"/>
  <c r="AF9" i="30"/>
  <c r="AI17" i="33"/>
  <c r="AG28" i="35"/>
  <c r="AH23" i="28"/>
  <c r="AF17" i="33"/>
  <c r="AF13" i="34"/>
  <c r="AF11" i="35"/>
  <c r="AH28" i="35"/>
  <c r="AH12" i="36"/>
  <c r="AF4" i="37"/>
  <c r="AF5" i="30"/>
  <c r="AH13" i="34"/>
  <c r="AF28" i="35"/>
  <c r="AF12" i="36"/>
  <c r="AI23" i="28"/>
  <c r="AH5" i="30"/>
  <c r="AG13" i="34"/>
  <c r="AF13" i="32"/>
  <c r="AI16" i="32"/>
  <c r="AH16" i="33"/>
  <c r="AF16" i="33"/>
  <c r="AI20" i="37"/>
  <c r="AG24" i="31"/>
  <c r="AI19" i="35"/>
  <c r="AH17" i="35"/>
  <c r="AF23" i="35"/>
  <c r="AG16" i="35"/>
  <c r="AH26" i="36"/>
  <c r="AF17" i="37"/>
  <c r="AG15" i="29"/>
  <c r="AH9" i="27"/>
  <c r="AH19" i="36"/>
  <c r="AI17" i="29"/>
  <c r="AH24" i="33"/>
  <c r="AF20" i="36"/>
  <c r="AI16" i="33"/>
  <c r="AG15" i="34"/>
  <c r="AF12" i="30"/>
  <c r="AG7" i="34"/>
  <c r="AF25" i="31"/>
  <c r="AH10" i="30"/>
  <c r="AG13" i="33"/>
  <c r="AG8" i="33"/>
  <c r="AG25" i="31"/>
  <c r="AH19" i="29"/>
  <c r="AH25" i="31"/>
  <c r="AH13" i="33"/>
  <c r="AH8" i="33"/>
  <c r="AH27" i="34"/>
  <c r="AI19" i="29"/>
  <c r="AH19" i="33"/>
  <c r="AG10" i="30"/>
  <c r="AG27" i="34"/>
  <c r="AI5" i="33"/>
  <c r="AG14" i="34"/>
  <c r="AH15" i="29"/>
  <c r="AF24" i="30"/>
  <c r="AG24" i="30"/>
  <c r="AH9" i="37"/>
  <c r="AI24" i="30"/>
  <c r="AG9" i="37"/>
  <c r="AI11" i="37"/>
  <c r="AF14" i="34"/>
  <c r="AI7" i="33"/>
  <c r="AF13" i="36"/>
  <c r="AI28" i="27"/>
  <c r="AG23" i="28"/>
  <c r="AG9" i="30"/>
  <c r="AH7" i="33"/>
  <c r="AG28" i="27"/>
  <c r="AI9" i="27"/>
  <c r="AH26" i="26"/>
  <c r="AG12" i="30"/>
  <c r="AG24" i="32"/>
  <c r="AH12" i="30"/>
  <c r="AH17" i="26"/>
  <c r="AH7" i="34"/>
  <c r="AF13" i="30"/>
  <c r="AG13" i="30"/>
  <c r="AI17" i="37"/>
  <c r="AI9" i="30"/>
  <c r="AH24" i="35"/>
  <c r="AF16" i="32"/>
  <c r="AF19" i="36"/>
  <c r="AH13" i="32"/>
  <c r="AH8" i="26"/>
  <c r="AG25" i="26"/>
  <c r="AI9" i="29"/>
  <c r="AI24" i="32"/>
  <c r="AI5" i="31"/>
  <c r="AF7" i="34"/>
  <c r="AG22" i="36"/>
  <c r="AH15" i="32"/>
  <c r="AI19" i="36"/>
  <c r="AF26" i="36"/>
  <c r="AF24" i="32"/>
  <c r="AI22" i="36"/>
  <c r="AG9" i="27"/>
  <c r="AI12" i="35"/>
  <c r="AF7" i="36"/>
  <c r="AH13" i="36"/>
  <c r="AG17" i="37"/>
  <c r="AF21" i="30"/>
  <c r="AF27" i="34"/>
  <c r="AG7" i="36"/>
  <c r="AG24" i="36"/>
  <c r="AI13" i="36"/>
  <c r="AH7" i="36"/>
  <c r="AH24" i="36"/>
  <c r="AG8" i="26"/>
  <c r="AF24" i="36"/>
  <c r="AF19" i="35"/>
  <c r="AF17" i="29"/>
  <c r="AH19" i="35"/>
  <c r="AF24" i="35"/>
  <c r="AG9" i="35"/>
  <c r="AF22" i="36"/>
  <c r="AG17" i="36"/>
  <c r="AI21" i="30"/>
  <c r="AI13" i="32"/>
  <c r="AI14" i="31"/>
  <c r="AH14" i="36"/>
  <c r="AG5" i="31"/>
  <c r="AG21" i="30"/>
  <c r="AI9" i="32"/>
  <c r="AF19" i="27"/>
  <c r="AG21" i="34"/>
  <c r="AH9" i="26"/>
  <c r="AF8" i="26"/>
  <c r="AH5" i="31"/>
  <c r="AI21" i="34"/>
  <c r="AF23" i="26"/>
  <c r="AG19" i="27"/>
  <c r="AF9" i="29"/>
  <c r="AG22" i="35"/>
  <c r="AH9" i="29"/>
  <c r="AH25" i="36"/>
  <c r="AF25" i="37"/>
  <c r="AI8" i="30"/>
  <c r="AG27" i="32"/>
  <c r="AI14" i="34"/>
  <c r="AH19" i="27"/>
  <c r="AH25" i="37"/>
  <c r="AG18" i="27"/>
  <c r="AI18" i="27"/>
  <c r="AH18" i="27"/>
  <c r="AH27" i="32"/>
  <c r="AI15" i="33"/>
  <c r="AH18" i="30"/>
  <c r="AG5" i="34"/>
  <c r="AF19" i="34"/>
  <c r="AH25" i="35"/>
  <c r="AF10" i="32"/>
  <c r="AI25" i="37"/>
  <c r="AF7" i="37"/>
  <c r="AG25" i="35"/>
  <c r="AF21" i="36"/>
  <c r="AG10" i="32"/>
  <c r="AI10" i="32"/>
  <c r="AG22" i="26"/>
  <c r="AF8" i="32"/>
  <c r="AI8" i="32"/>
  <c r="AH8" i="32"/>
  <c r="AG8" i="32"/>
  <c r="AI19" i="34"/>
  <c r="AG19" i="34"/>
  <c r="AF19" i="29"/>
  <c r="AG6" i="35"/>
  <c r="AI8" i="35"/>
  <c r="AF5" i="36"/>
  <c r="AF5" i="34"/>
  <c r="AH29" i="29"/>
  <c r="AI17" i="26"/>
  <c r="AF21" i="26"/>
  <c r="AI21" i="26"/>
  <c r="AH21" i="26"/>
  <c r="AG21" i="26"/>
  <c r="AH26" i="29"/>
  <c r="AF22" i="33"/>
  <c r="AG20" i="33"/>
  <c r="AH6" i="35"/>
  <c r="AF9" i="36"/>
  <c r="AH17" i="36"/>
  <c r="AG17" i="26"/>
  <c r="AI4" i="32"/>
  <c r="AH4" i="32"/>
  <c r="AI15" i="30"/>
  <c r="AF15" i="30"/>
  <c r="AG15" i="30"/>
  <c r="AF6" i="27"/>
  <c r="AH6" i="27"/>
  <c r="AG6" i="27"/>
  <c r="AH9" i="36"/>
  <c r="AF18" i="35"/>
  <c r="AI15" i="26"/>
  <c r="AF14" i="30"/>
  <c r="AI14" i="30"/>
  <c r="AH14" i="30"/>
  <c r="AG14" i="30"/>
  <c r="AH4" i="33"/>
  <c r="AI4" i="33"/>
  <c r="AI6" i="35"/>
  <c r="AF23" i="29"/>
  <c r="AI9" i="36"/>
  <c r="AF29" i="29"/>
  <c r="AG23" i="29"/>
  <c r="AH4" i="35"/>
  <c r="AI24" i="35"/>
  <c r="AG18" i="35"/>
  <c r="AI21" i="36"/>
  <c r="AG9" i="26"/>
  <c r="AF9" i="26"/>
  <c r="AI17" i="36"/>
  <c r="AG29" i="29"/>
  <c r="AH23" i="29"/>
  <c r="AF8" i="35"/>
  <c r="AH18" i="35"/>
  <c r="AG8" i="30"/>
  <c r="AI7" i="37"/>
  <c r="AH7" i="37"/>
  <c r="AH11" i="33"/>
  <c r="AI11" i="33"/>
  <c r="AF11" i="33"/>
  <c r="AG8" i="35"/>
  <c r="AF12" i="26"/>
  <c r="AH12" i="26"/>
  <c r="AF22" i="35"/>
  <c r="AH8" i="30"/>
  <c r="AI21" i="35"/>
  <c r="AI14" i="36"/>
  <c r="AF20" i="27"/>
  <c r="AI20" i="27"/>
  <c r="AH20" i="27"/>
  <c r="AG20" i="27"/>
  <c r="AI4" i="37"/>
  <c r="AG4" i="37"/>
  <c r="AH21" i="35"/>
  <c r="AF25" i="35"/>
  <c r="AG4" i="36"/>
  <c r="AH21" i="34"/>
  <c r="AI16" i="27"/>
  <c r="AF16" i="27"/>
  <c r="AH16" i="27"/>
  <c r="AG16" i="27"/>
  <c r="AI23" i="26"/>
  <c r="AH23" i="26"/>
  <c r="AI22" i="26"/>
  <c r="AH22" i="26"/>
  <c r="AF18" i="30"/>
  <c r="AI18" i="30"/>
  <c r="AH14" i="29"/>
  <c r="AG14" i="29"/>
  <c r="AI14" i="29"/>
  <c r="AF14" i="29"/>
  <c r="AF7" i="27"/>
  <c r="AI7" i="27"/>
  <c r="AH7" i="27"/>
  <c r="AH14" i="31"/>
  <c r="AF14" i="31"/>
  <c r="AH9" i="32"/>
  <c r="AF9" i="32"/>
  <c r="AI19" i="33"/>
  <c r="AI22" i="35"/>
  <c r="AG5" i="36"/>
  <c r="AF15" i="26"/>
  <c r="AH11" i="31"/>
  <c r="AG11" i="31"/>
  <c r="AF11" i="31"/>
  <c r="AI11" i="31"/>
  <c r="AG16" i="34"/>
  <c r="AH16" i="34"/>
  <c r="AF16" i="34"/>
  <c r="AI28" i="26"/>
  <c r="AG28" i="26"/>
  <c r="AF28" i="26"/>
  <c r="AH28" i="26"/>
  <c r="AF7" i="35"/>
  <c r="AH6" i="36"/>
  <c r="AH5" i="36"/>
  <c r="AH15" i="26"/>
  <c r="AI6" i="36"/>
  <c r="AF24" i="26"/>
  <c r="AH24" i="26"/>
  <c r="AI24" i="26"/>
  <c r="AG24" i="26"/>
  <c r="AF14" i="26"/>
  <c r="AG14" i="26"/>
  <c r="AI14" i="26"/>
  <c r="AH14" i="26"/>
  <c r="AG23" i="27"/>
  <c r="AI23" i="27"/>
  <c r="AF23" i="27"/>
  <c r="AH23" i="27"/>
  <c r="AI25" i="36"/>
  <c r="AI28" i="37"/>
  <c r="AG28" i="37"/>
  <c r="AF28" i="37"/>
  <c r="AH28" i="37"/>
  <c r="AI18" i="33"/>
  <c r="AH18" i="33"/>
  <c r="AG18" i="33"/>
  <c r="AF18" i="33"/>
  <c r="AI10" i="26"/>
  <c r="AH10" i="26"/>
  <c r="AG10" i="26"/>
  <c r="AF10" i="26"/>
  <c r="AI27" i="32"/>
  <c r="AH20" i="33"/>
  <c r="AF12" i="35"/>
  <c r="AF20" i="35"/>
  <c r="AH7" i="35"/>
  <c r="AF14" i="36"/>
  <c r="AF23" i="36"/>
  <c r="AI12" i="29"/>
  <c r="AH12" i="29"/>
  <c r="AG12" i="29"/>
  <c r="AF12" i="29"/>
  <c r="AI23" i="37"/>
  <c r="AH23" i="37"/>
  <c r="AG23" i="37"/>
  <c r="AF23" i="37"/>
  <c r="AI22" i="27"/>
  <c r="AH22" i="27"/>
  <c r="AF22" i="27"/>
  <c r="AG22" i="27"/>
  <c r="AG13" i="29"/>
  <c r="AF13" i="29"/>
  <c r="AI13" i="29"/>
  <c r="AH13" i="29"/>
  <c r="AG27" i="27"/>
  <c r="AI27" i="27"/>
  <c r="AF27" i="27"/>
  <c r="AH27" i="27"/>
  <c r="AG14" i="33"/>
  <c r="AF14" i="33"/>
  <c r="AI14" i="33"/>
  <c r="AH14" i="33"/>
  <c r="AI16" i="30"/>
  <c r="AG16" i="30"/>
  <c r="AF16" i="30"/>
  <c r="AH16" i="30"/>
  <c r="AG20" i="26"/>
  <c r="AF20" i="26"/>
  <c r="AH20" i="26"/>
  <c r="AI20" i="26"/>
  <c r="AI20" i="32"/>
  <c r="AG20" i="32"/>
  <c r="AH20" i="32"/>
  <c r="AF20" i="32"/>
  <c r="AF13" i="27"/>
  <c r="AI13" i="27"/>
  <c r="AG13" i="27"/>
  <c r="AH13" i="27"/>
  <c r="AG8" i="27"/>
  <c r="AF8" i="27"/>
  <c r="AH8" i="27"/>
  <c r="AI8" i="27"/>
  <c r="AI26" i="30"/>
  <c r="AF26" i="30"/>
  <c r="AH26" i="30"/>
  <c r="AG26" i="30"/>
  <c r="AF6" i="29"/>
  <c r="AH6" i="29"/>
  <c r="AG6" i="29"/>
  <c r="AI6" i="29"/>
  <c r="AG4" i="30"/>
  <c r="AI4" i="30"/>
  <c r="AH4" i="30"/>
  <c r="AF4" i="30"/>
  <c r="AI19" i="26"/>
  <c r="AG19" i="26"/>
  <c r="AF19" i="26"/>
  <c r="AH19" i="26"/>
  <c r="AF20" i="37"/>
  <c r="AG20" i="37"/>
  <c r="AG7" i="35"/>
  <c r="AI4" i="26"/>
  <c r="AH4" i="26"/>
  <c r="AF4" i="26"/>
  <c r="AG4" i="26"/>
  <c r="AI10" i="27"/>
  <c r="AH10" i="27"/>
  <c r="AG10" i="27"/>
  <c r="AF10" i="27"/>
  <c r="AI12" i="37"/>
  <c r="AH12" i="37"/>
  <c r="AG12" i="37"/>
  <c r="AF12" i="37"/>
  <c r="AH23" i="30"/>
  <c r="AF23" i="30"/>
  <c r="AG23" i="30"/>
  <c r="AI23" i="30"/>
  <c r="AF19" i="33"/>
  <c r="AF7" i="33"/>
  <c r="AG12" i="35"/>
  <c r="AG20" i="35"/>
  <c r="AF28" i="36"/>
  <c r="AG23" i="36"/>
  <c r="AI18" i="31"/>
  <c r="AH18" i="31"/>
  <c r="AF18" i="31"/>
  <c r="AG18" i="31"/>
  <c r="AI25" i="30"/>
  <c r="AG25" i="30"/>
  <c r="AF25" i="30"/>
  <c r="AH25" i="30"/>
  <c r="AI5" i="27"/>
  <c r="AG5" i="27"/>
  <c r="AF5" i="27"/>
  <c r="AH5" i="27"/>
  <c r="AI26" i="27"/>
  <c r="AH26" i="27"/>
  <c r="AG26" i="27"/>
  <c r="AF26" i="27"/>
  <c r="AI8" i="37"/>
  <c r="AG8" i="37"/>
  <c r="AF8" i="37"/>
  <c r="AH8" i="37"/>
  <c r="AI28" i="28"/>
  <c r="AH28" i="28"/>
  <c r="AG28" i="28"/>
  <c r="AF28" i="28"/>
  <c r="AI6" i="33"/>
  <c r="AH6" i="33"/>
  <c r="AG6" i="33"/>
  <c r="AF6" i="33"/>
  <c r="AI6" i="37"/>
  <c r="AH6" i="37"/>
  <c r="AG6" i="37"/>
  <c r="AF6" i="37"/>
  <c r="AH20" i="35"/>
  <c r="AF9" i="35"/>
  <c r="AG28" i="36"/>
  <c r="AF4" i="36"/>
  <c r="AH23" i="36"/>
  <c r="AH4" i="29"/>
  <c r="AG4" i="29"/>
  <c r="AF4" i="29"/>
  <c r="AI4" i="29"/>
  <c r="AI21" i="27"/>
  <c r="AF21" i="27"/>
  <c r="AH21" i="27"/>
  <c r="AG21" i="27"/>
  <c r="AF25" i="27"/>
  <c r="AI25" i="27"/>
  <c r="AH25" i="27"/>
  <c r="AG25" i="27"/>
  <c r="AI12" i="32"/>
  <c r="AH12" i="32"/>
  <c r="AG12" i="32"/>
  <c r="AF12" i="32"/>
  <c r="AG15" i="27"/>
  <c r="AF15" i="27"/>
  <c r="AI15" i="27"/>
  <c r="AH15" i="27"/>
  <c r="AI19" i="30"/>
  <c r="AF19" i="30"/>
  <c r="AH19" i="30"/>
  <c r="AG19" i="30"/>
  <c r="AG10" i="34"/>
  <c r="AF10" i="34"/>
  <c r="AI10" i="34"/>
  <c r="AH10" i="34"/>
  <c r="AI5" i="37"/>
  <c r="AH5" i="37"/>
  <c r="AG5" i="37"/>
  <c r="AF5" i="37"/>
  <c r="AI9" i="33"/>
  <c r="AG9" i="33"/>
  <c r="AH9" i="33"/>
  <c r="AF9" i="33"/>
  <c r="AG29" i="27"/>
  <c r="AI29" i="27"/>
  <c r="AF29" i="27"/>
  <c r="AH29" i="27"/>
  <c r="AI14" i="27"/>
  <c r="AH14" i="27"/>
  <c r="AG14" i="27"/>
  <c r="AF14" i="27"/>
  <c r="AI11" i="34"/>
  <c r="AH11" i="34"/>
  <c r="AG11" i="34"/>
  <c r="AF11" i="34"/>
  <c r="AI14" i="32"/>
  <c r="AG14" i="32"/>
  <c r="AF14" i="32"/>
  <c r="AH14" i="32"/>
  <c r="AI13" i="37"/>
  <c r="AG13" i="37"/>
  <c r="AF13" i="37"/>
  <c r="AH13" i="37"/>
  <c r="AG7" i="29"/>
  <c r="AF7" i="29"/>
  <c r="AH7" i="29"/>
  <c r="AI7" i="29"/>
  <c r="AF21" i="35"/>
  <c r="AH4" i="36"/>
  <c r="AF25" i="36"/>
  <c r="AF6" i="36"/>
  <c r="AI24" i="27"/>
  <c r="AF24" i="27"/>
  <c r="AH24" i="27"/>
  <c r="AG24" i="27"/>
  <c r="AG20" i="30"/>
  <c r="AI20" i="30"/>
  <c r="AH20" i="30"/>
  <c r="AF20" i="30"/>
  <c r="AH13" i="26"/>
  <c r="AG13" i="26"/>
  <c r="AF13" i="26"/>
  <c r="AI13" i="26"/>
  <c r="AH11" i="26"/>
  <c r="AG11" i="26"/>
  <c r="AI11" i="26"/>
  <c r="AF11" i="26"/>
  <c r="AI10" i="29"/>
  <c r="AH10" i="29"/>
  <c r="AG10" i="29"/>
  <c r="AF10" i="29"/>
  <c r="AG11" i="27"/>
  <c r="AH11" i="27"/>
  <c r="AF11" i="27"/>
  <c r="AI11" i="27"/>
  <c r="AI4" i="31"/>
  <c r="AG4" i="31"/>
  <c r="AH4" i="31"/>
  <c r="AF4" i="31"/>
  <c r="AI10" i="37"/>
  <c r="AH10" i="37"/>
  <c r="AG10" i="37"/>
  <c r="AF10" i="37"/>
  <c r="AI11" i="30"/>
  <c r="AF11" i="30"/>
  <c r="AH11" i="30"/>
  <c r="AG11" i="30"/>
  <c r="AH28" i="36"/>
  <c r="AI11" i="32"/>
  <c r="AG11" i="32"/>
  <c r="AF11" i="32"/>
  <c r="AH11" i="32"/>
  <c r="AI8" i="29"/>
  <c r="AH8" i="29"/>
  <c r="AG8" i="29"/>
  <c r="AF8" i="29"/>
  <c r="AH16" i="26"/>
  <c r="AG16" i="26"/>
  <c r="AF16" i="26"/>
  <c r="AI16" i="26"/>
  <c r="AH6" i="30"/>
  <c r="AF6" i="30"/>
  <c r="AI6" i="30"/>
  <c r="AG6" i="30"/>
  <c r="AI17" i="32"/>
  <c r="AG17" i="32"/>
  <c r="AF17" i="32"/>
  <c r="AH17" i="32"/>
  <c r="AI20" i="31"/>
  <c r="AH20" i="31"/>
  <c r="AG20" i="31"/>
  <c r="AF20" i="31"/>
  <c r="AG7" i="26"/>
  <c r="AF7" i="26"/>
  <c r="AI7" i="26"/>
  <c r="AH7" i="26"/>
  <c r="AG5" i="29"/>
  <c r="AF5" i="29"/>
  <c r="AI5" i="29"/>
  <c r="AH5" i="29"/>
  <c r="AI17" i="30"/>
  <c r="AG17" i="30"/>
  <c r="AF17" i="30"/>
  <c r="AH17" i="30"/>
  <c r="AF10" i="33"/>
  <c r="AH10" i="33"/>
  <c r="AG10" i="33"/>
  <c r="AI7" i="32"/>
  <c r="AG7" i="32"/>
  <c r="AF7" i="32"/>
  <c r="AH7" i="32"/>
  <c r="AI18" i="32"/>
  <c r="AG18" i="32"/>
  <c r="AH18" i="32"/>
  <c r="AF18" i="32"/>
  <c r="AG11" i="29"/>
  <c r="AF11" i="29"/>
  <c r="AH11" i="29"/>
  <c r="AI11" i="29"/>
  <c r="AG22" i="37"/>
  <c r="AI22" i="37"/>
  <c r="AF22" i="37"/>
  <c r="AH22" i="37"/>
  <c r="AI26" i="37"/>
  <c r="AH26" i="37"/>
  <c r="AG26" i="37"/>
  <c r="AF26" i="37"/>
  <c r="AI27" i="37"/>
  <c r="AH27" i="37"/>
  <c r="AG27" i="37"/>
  <c r="AF27" i="37"/>
  <c r="AG24" i="37"/>
  <c r="AI24" i="37"/>
  <c r="AF24" i="37"/>
  <c r="AH24" i="37"/>
  <c r="AI16" i="37"/>
  <c r="AH16" i="37"/>
  <c r="AG16" i="37"/>
  <c r="AF16" i="37"/>
  <c r="AG19" i="37"/>
  <c r="AI19" i="37"/>
  <c r="AF19" i="37"/>
  <c r="AH19" i="37"/>
  <c r="AG18" i="37"/>
  <c r="AF18" i="37"/>
  <c r="AH18" i="37"/>
  <c r="AI18" i="37"/>
  <c r="AI15" i="37"/>
  <c r="AH15" i="37"/>
  <c r="AG15" i="37"/>
  <c r="AF15" i="37"/>
  <c r="AI14" i="37"/>
  <c r="AH14" i="37"/>
  <c r="AG14" i="37"/>
  <c r="AF14" i="37"/>
  <c r="AI21" i="37"/>
  <c r="AH21" i="37"/>
  <c r="AG21" i="37"/>
  <c r="AF21" i="37"/>
  <c r="AG29" i="37"/>
  <c r="AI29" i="37"/>
  <c r="AF29" i="37"/>
  <c r="AH29" i="37"/>
  <c r="AG21" i="36"/>
  <c r="AF10" i="36"/>
  <c r="AI10" i="36"/>
  <c r="AG10" i="36"/>
  <c r="AH10" i="36"/>
  <c r="AG11" i="36"/>
  <c r="AF11" i="36"/>
  <c r="AH11" i="36"/>
  <c r="AI11" i="36"/>
  <c r="AF16" i="36"/>
  <c r="AI16" i="36"/>
  <c r="AH16" i="36"/>
  <c r="AG16" i="36"/>
  <c r="AF8" i="36"/>
  <c r="AI8" i="36"/>
  <c r="AH8" i="36"/>
  <c r="AG8" i="36"/>
  <c r="AI29" i="36"/>
  <c r="AH29" i="36"/>
  <c r="AG29" i="36"/>
  <c r="AF29" i="36"/>
  <c r="AI29" i="35"/>
  <c r="AH29" i="35"/>
  <c r="AG29" i="35"/>
  <c r="AF29" i="35"/>
  <c r="AI27" i="35"/>
  <c r="AH27" i="35"/>
  <c r="AG27" i="35"/>
  <c r="AF27" i="35"/>
  <c r="AI20" i="34"/>
  <c r="AH20" i="34"/>
  <c r="AG20" i="34"/>
  <c r="AF20" i="34"/>
  <c r="AI8" i="34"/>
  <c r="AH8" i="34"/>
  <c r="AG8" i="34"/>
  <c r="AF8" i="34"/>
  <c r="AI18" i="34"/>
  <c r="AH18" i="34"/>
  <c r="AG18" i="34"/>
  <c r="AF18" i="34"/>
  <c r="AH6" i="34"/>
  <c r="AG6" i="34"/>
  <c r="AF6" i="34"/>
  <c r="AI6" i="34"/>
  <c r="AI9" i="34"/>
  <c r="AH9" i="34"/>
  <c r="AG9" i="34"/>
  <c r="AF9" i="34"/>
  <c r="AI23" i="34"/>
  <c r="AH23" i="34"/>
  <c r="AG23" i="34"/>
  <c r="AF23" i="34"/>
  <c r="AI17" i="34"/>
  <c r="AH17" i="34"/>
  <c r="AG17" i="34"/>
  <c r="AF17" i="34"/>
  <c r="AI29" i="34"/>
  <c r="AH29" i="34"/>
  <c r="AG29" i="34"/>
  <c r="AF29" i="34"/>
  <c r="AI24" i="34"/>
  <c r="AH24" i="34"/>
  <c r="AG24" i="34"/>
  <c r="AF24" i="34"/>
  <c r="AG26" i="34"/>
  <c r="AF26" i="34"/>
  <c r="AH26" i="34"/>
  <c r="AI26" i="34"/>
  <c r="AG28" i="34"/>
  <c r="AF28" i="34"/>
  <c r="AH28" i="34"/>
  <c r="AI28" i="34"/>
  <c r="AG12" i="34"/>
  <c r="AF12" i="34"/>
  <c r="AH12" i="34"/>
  <c r="AI12" i="34"/>
  <c r="AG25" i="34"/>
  <c r="AH25" i="34"/>
  <c r="AF25" i="34"/>
  <c r="AI25" i="34"/>
  <c r="AI25" i="33"/>
  <c r="AH25" i="33"/>
  <c r="AG25" i="33"/>
  <c r="AF25" i="33"/>
  <c r="AI29" i="33"/>
  <c r="AH29" i="33"/>
  <c r="AG29" i="33"/>
  <c r="AF29" i="33"/>
  <c r="AI21" i="33"/>
  <c r="AH21" i="33"/>
  <c r="AG21" i="33"/>
  <c r="AF21" i="33"/>
  <c r="AI22" i="32"/>
  <c r="AH22" i="32"/>
  <c r="AG22" i="32"/>
  <c r="AF22" i="32"/>
  <c r="AI23" i="32"/>
  <c r="AH23" i="32"/>
  <c r="AG23" i="32"/>
  <c r="AF23" i="32"/>
  <c r="AI29" i="32"/>
  <c r="AH29" i="32"/>
  <c r="AG29" i="32"/>
  <c r="AF29" i="32"/>
  <c r="AF21" i="32"/>
  <c r="AI21" i="32"/>
  <c r="AH21" i="32"/>
  <c r="AG21" i="32"/>
  <c r="AI28" i="32"/>
  <c r="AH28" i="32"/>
  <c r="AG28" i="32"/>
  <c r="AF28" i="32"/>
  <c r="AG9" i="31"/>
  <c r="AH9" i="31"/>
  <c r="AF9" i="31"/>
  <c r="AI9" i="31"/>
  <c r="AI15" i="31"/>
  <c r="AH15" i="31"/>
  <c r="AG15" i="31"/>
  <c r="AF15" i="31"/>
  <c r="AG17" i="31"/>
  <c r="AF17" i="31"/>
  <c r="AH17" i="31"/>
  <c r="AI17" i="31"/>
  <c r="AG12" i="31"/>
  <c r="AF12" i="31"/>
  <c r="AH12" i="31"/>
  <c r="AI12" i="31"/>
  <c r="AI28" i="31"/>
  <c r="AH28" i="31"/>
  <c r="AG28" i="31"/>
  <c r="AF28" i="31"/>
  <c r="AI7" i="31"/>
  <c r="AH7" i="31"/>
  <c r="AG7" i="31"/>
  <c r="AF7" i="31"/>
  <c r="AI6" i="31"/>
  <c r="AH6" i="31"/>
  <c r="AG6" i="31"/>
  <c r="AF6" i="31"/>
  <c r="AI16" i="31"/>
  <c r="AH16" i="31"/>
  <c r="AG16" i="31"/>
  <c r="AF16" i="31"/>
  <c r="AI10" i="31"/>
  <c r="AH10" i="31"/>
  <c r="AG10" i="31"/>
  <c r="AF10" i="31"/>
  <c r="AI23" i="31"/>
  <c r="AH23" i="31"/>
  <c r="AG23" i="31"/>
  <c r="AF23" i="31"/>
  <c r="AI19" i="31"/>
  <c r="AH19" i="31"/>
  <c r="AG19" i="31"/>
  <c r="AF19" i="31"/>
  <c r="AG22" i="31"/>
  <c r="AF22" i="31"/>
  <c r="AH22" i="31"/>
  <c r="AI22" i="31"/>
  <c r="AG21" i="31"/>
  <c r="AF21" i="31"/>
  <c r="AH21" i="31"/>
  <c r="AI21" i="31"/>
  <c r="AG13" i="31"/>
  <c r="AF13" i="31"/>
  <c r="AH13" i="31"/>
  <c r="AI13" i="31"/>
  <c r="AI26" i="31"/>
  <c r="AH26" i="31"/>
  <c r="AG26" i="31"/>
  <c r="AF26" i="31"/>
  <c r="AI27" i="31"/>
  <c r="AH27" i="31"/>
  <c r="AG27" i="31"/>
  <c r="AF27" i="31"/>
  <c r="AI29" i="31"/>
  <c r="AH29" i="31"/>
  <c r="AG29" i="31"/>
  <c r="AF29" i="31"/>
  <c r="AI27" i="30"/>
  <c r="AH27" i="30"/>
  <c r="AG27" i="30"/>
  <c r="AF27" i="30"/>
  <c r="AF22" i="30"/>
  <c r="AG22" i="30"/>
  <c r="AI22" i="30"/>
  <c r="AH22" i="30"/>
  <c r="AF28" i="30"/>
  <c r="AI28" i="30"/>
  <c r="AG28" i="30"/>
  <c r="AH28" i="30"/>
  <c r="AI29" i="30"/>
  <c r="AH29" i="30"/>
  <c r="AG29" i="30"/>
  <c r="AF29" i="30"/>
  <c r="AI6" i="28"/>
  <c r="AH6" i="28"/>
  <c r="AG6" i="28"/>
  <c r="AF6" i="28"/>
  <c r="AF4" i="28"/>
  <c r="AG4" i="28"/>
  <c r="AI4" i="28"/>
  <c r="AH4" i="28"/>
  <c r="AI25" i="28"/>
  <c r="AG25" i="28"/>
  <c r="AH25" i="28"/>
  <c r="AF25" i="28"/>
  <c r="AF18" i="28"/>
  <c r="AG18" i="28"/>
  <c r="AH18" i="28"/>
  <c r="AI18" i="28"/>
  <c r="AI9" i="28"/>
  <c r="AG9" i="28"/>
  <c r="AH9" i="28"/>
  <c r="AF9" i="28"/>
  <c r="AF22" i="28"/>
  <c r="AH22" i="28"/>
  <c r="AG22" i="28"/>
  <c r="AI22" i="28"/>
  <c r="AI16" i="28"/>
  <c r="AH16" i="28"/>
  <c r="AG16" i="28"/>
  <c r="AF16" i="28"/>
  <c r="AF21" i="28"/>
  <c r="AG21" i="28"/>
  <c r="AI21" i="28"/>
  <c r="AH21" i="28"/>
  <c r="AI8" i="28"/>
  <c r="AH8" i="28"/>
  <c r="AG8" i="28"/>
  <c r="AF8" i="28"/>
  <c r="AF10" i="28"/>
  <c r="AG10" i="28"/>
  <c r="AH10" i="28"/>
  <c r="AI10" i="28"/>
  <c r="AF5" i="28"/>
  <c r="AI5" i="28"/>
  <c r="AH5" i="28"/>
  <c r="AG5" i="28"/>
  <c r="AF12" i="28"/>
  <c r="AH12" i="28"/>
  <c r="AG12" i="28"/>
  <c r="AI12" i="28"/>
  <c r="AF27" i="28"/>
  <c r="AI27" i="28"/>
  <c r="AH27" i="28"/>
  <c r="AG27" i="28"/>
  <c r="AI26" i="28"/>
  <c r="AH26" i="28"/>
  <c r="AG26" i="28"/>
  <c r="AF26" i="28"/>
  <c r="AF29" i="28"/>
  <c r="AG29" i="28"/>
  <c r="AH29" i="28"/>
  <c r="AI29" i="28"/>
  <c r="AF11" i="28"/>
  <c r="AG11" i="28"/>
  <c r="AH11" i="28"/>
  <c r="AI11" i="28"/>
  <c r="AI14" i="28"/>
  <c r="AH14" i="28"/>
  <c r="AG14" i="28"/>
  <c r="AF14" i="28"/>
  <c r="AI17" i="28"/>
  <c r="AH17" i="28"/>
  <c r="AG17" i="28"/>
  <c r="AF17" i="28"/>
  <c r="AF24" i="28"/>
  <c r="AH24" i="28"/>
  <c r="AG24" i="28"/>
  <c r="AI24" i="28"/>
  <c r="AI15" i="28"/>
  <c r="AG15" i="28"/>
  <c r="AH15" i="28"/>
  <c r="AF15" i="28"/>
  <c r="AI19" i="28"/>
  <c r="AG19" i="28"/>
  <c r="AH19" i="28"/>
  <c r="AF19" i="28"/>
  <c r="AI13" i="28"/>
  <c r="AH13" i="28"/>
  <c r="AG13" i="28"/>
  <c r="AF13" i="28"/>
  <c r="AI20" i="28"/>
  <c r="AH20" i="28"/>
  <c r="AG20" i="28"/>
  <c r="AF20" i="28"/>
  <c r="AF7" i="28"/>
  <c r="AI7" i="28"/>
  <c r="AH7" i="28"/>
  <c r="AG7" i="28"/>
  <c r="AI27" i="26"/>
  <c r="AH27" i="26"/>
  <c r="AG27" i="26"/>
  <c r="AF27" i="26"/>
  <c r="AI29" i="26"/>
  <c r="AH29" i="26"/>
  <c r="AG29" i="26"/>
  <c r="AF29" i="26"/>
  <c r="AH15" i="25"/>
  <c r="AF15" i="25"/>
  <c r="AG15" i="25"/>
  <c r="AI15" i="25"/>
  <c r="AH13" i="25"/>
  <c r="AF13" i="25"/>
  <c r="AG13" i="25"/>
  <c r="AI13" i="25"/>
  <c r="AH9" i="25"/>
  <c r="AF9" i="25"/>
  <c r="AI9" i="25"/>
  <c r="AG9" i="25"/>
  <c r="AF24" i="25"/>
  <c r="AG24" i="25"/>
  <c r="AH24" i="25"/>
  <c r="AI24" i="25"/>
  <c r="AF6" i="25"/>
  <c r="AG6" i="25"/>
  <c r="AH6" i="25"/>
  <c r="AI6" i="25"/>
  <c r="AF12" i="25"/>
  <c r="AG12" i="25"/>
  <c r="AH12" i="25"/>
  <c r="AI12" i="25"/>
  <c r="AF28" i="25"/>
  <c r="AG28" i="25"/>
  <c r="AH28" i="25"/>
  <c r="AI28" i="25"/>
  <c r="AH11" i="25"/>
  <c r="AF11" i="25"/>
  <c r="AG11" i="25"/>
  <c r="AI11" i="25"/>
  <c r="AF8" i="25"/>
  <c r="AG8" i="25"/>
  <c r="AH8" i="25"/>
  <c r="AI8" i="25"/>
  <c r="AH23" i="25"/>
  <c r="AF23" i="25"/>
  <c r="AG23" i="25"/>
  <c r="AI23" i="25"/>
  <c r="AH25" i="25"/>
  <c r="AF25" i="25"/>
  <c r="AI25" i="25"/>
  <c r="AG25" i="25"/>
  <c r="AH21" i="25"/>
  <c r="AF21" i="25"/>
  <c r="AG21" i="25"/>
  <c r="AI21" i="25"/>
  <c r="AH7" i="25"/>
  <c r="AF7" i="25"/>
  <c r="AG7" i="25"/>
  <c r="AI7" i="25"/>
  <c r="AF4" i="25"/>
  <c r="AG4" i="25"/>
  <c r="AH4" i="25"/>
  <c r="AI4" i="25"/>
  <c r="AH5" i="25"/>
  <c r="AF5" i="25"/>
  <c r="AG5" i="25"/>
  <c r="AI5" i="25"/>
  <c r="AH19" i="25"/>
  <c r="AF19" i="25"/>
  <c r="AG19" i="25"/>
  <c r="AI19" i="25"/>
  <c r="AH17" i="25"/>
  <c r="AF17" i="25"/>
  <c r="AG17" i="25"/>
  <c r="AI17" i="25"/>
  <c r="AF18" i="25"/>
  <c r="AG18" i="25"/>
  <c r="AH18" i="25"/>
  <c r="AI18" i="25"/>
  <c r="AF26" i="25"/>
  <c r="AG26" i="25"/>
  <c r="AH26" i="25"/>
  <c r="AI26" i="25"/>
  <c r="AF22" i="25"/>
  <c r="AG22" i="25"/>
  <c r="AH22" i="25"/>
  <c r="AI22" i="25"/>
  <c r="AF14" i="25"/>
  <c r="AG14" i="25"/>
  <c r="AH14" i="25"/>
  <c r="AI14" i="25"/>
  <c r="AF10" i="25"/>
  <c r="AG10" i="25"/>
  <c r="AH10" i="25"/>
  <c r="AI10" i="25"/>
  <c r="AF16" i="25"/>
  <c r="AG16" i="25"/>
  <c r="AH16" i="25"/>
  <c r="AI16" i="25"/>
  <c r="AH29" i="25"/>
  <c r="AF29" i="25"/>
  <c r="AG29" i="25"/>
  <c r="AI29" i="25"/>
  <c r="AH27" i="25"/>
  <c r="AF27" i="25"/>
  <c r="AG27" i="25"/>
  <c r="AI27" i="25"/>
  <c r="AF20" i="25"/>
  <c r="AG20" i="25"/>
  <c r="AH20" i="25"/>
  <c r="AI20" i="25"/>
  <c r="B339" i="18" l="1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1" i="18"/>
  <c r="B310" i="18"/>
  <c r="B309" i="18"/>
  <c r="B308" i="18"/>
  <c r="B307" i="18"/>
  <c r="B306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17" i="18"/>
  <c r="B89" i="18"/>
  <c r="B61" i="18"/>
  <c r="B33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D11397" i="23"/>
  <c r="D11398" i="23"/>
  <c r="D11399" i="23"/>
  <c r="D11400" i="23"/>
  <c r="D11401" i="23"/>
  <c r="D11402" i="23"/>
  <c r="D11403" i="23"/>
  <c r="D11404" i="23"/>
  <c r="D11405" i="23"/>
  <c r="D11406" i="23"/>
  <c r="D11407" i="23"/>
  <c r="D11408" i="23"/>
  <c r="D11409" i="23"/>
  <c r="D11410" i="23"/>
  <c r="D11411" i="23"/>
  <c r="D11412" i="23"/>
  <c r="D11413" i="23"/>
  <c r="D11414" i="23"/>
  <c r="D11415" i="23"/>
  <c r="D11416" i="23"/>
  <c r="D11417" i="23"/>
  <c r="D11418" i="23"/>
  <c r="D11419" i="23"/>
  <c r="D11420" i="23"/>
  <c r="D11421" i="23"/>
  <c r="D11422" i="23"/>
  <c r="D11423" i="23"/>
  <c r="D11748" i="23"/>
  <c r="D11749" i="23"/>
  <c r="D11750" i="23"/>
  <c r="D11751" i="23"/>
  <c r="D11752" i="23"/>
  <c r="D11753" i="23"/>
  <c r="D11754" i="23"/>
  <c r="D11755" i="23"/>
  <c r="D11756" i="23"/>
  <c r="D11757" i="23"/>
  <c r="D11758" i="23"/>
  <c r="D11759" i="23"/>
  <c r="D11760" i="23"/>
  <c r="D11761" i="23"/>
  <c r="D11762" i="23"/>
  <c r="D11763" i="23"/>
  <c r="D11764" i="23"/>
  <c r="D11765" i="23"/>
  <c r="D11766" i="23"/>
  <c r="D11767" i="23"/>
  <c r="D11768" i="23"/>
  <c r="D11769" i="23"/>
  <c r="D11770" i="23"/>
  <c r="D11771" i="23"/>
  <c r="D11772" i="23"/>
  <c r="D11773" i="23"/>
  <c r="D11774" i="23"/>
  <c r="D12099" i="23"/>
  <c r="D12100" i="23"/>
  <c r="D12101" i="23"/>
  <c r="D12102" i="23"/>
  <c r="D12103" i="23"/>
  <c r="D12104" i="23"/>
  <c r="D12105" i="23"/>
  <c r="D12106" i="23"/>
  <c r="D12107" i="23"/>
  <c r="D12108" i="23"/>
  <c r="D12109" i="23"/>
  <c r="D12110" i="23"/>
  <c r="D12111" i="23"/>
  <c r="D12112" i="23"/>
  <c r="D12113" i="23"/>
  <c r="D12114" i="23"/>
  <c r="D12115" i="23"/>
  <c r="D12116" i="23"/>
  <c r="D12117" i="23"/>
  <c r="D12118" i="23"/>
  <c r="D12119" i="23"/>
  <c r="D12120" i="23"/>
  <c r="D12121" i="23"/>
  <c r="D12122" i="23"/>
  <c r="D12123" i="23"/>
  <c r="D12124" i="23"/>
  <c r="D12125" i="23"/>
  <c r="D10371" i="23"/>
  <c r="D10372" i="23"/>
  <c r="D10373" i="23"/>
  <c r="D10374" i="23"/>
  <c r="D10375" i="23"/>
  <c r="D10376" i="23"/>
  <c r="D10377" i="23"/>
  <c r="D10378" i="23"/>
  <c r="D10379" i="23"/>
  <c r="D10380" i="23"/>
  <c r="D10381" i="23"/>
  <c r="D10382" i="23"/>
  <c r="D10383" i="23"/>
  <c r="D10384" i="23"/>
  <c r="D10385" i="23"/>
  <c r="D10386" i="23"/>
  <c r="D10387" i="23"/>
  <c r="D10388" i="23"/>
  <c r="D10389" i="23"/>
  <c r="D10390" i="23"/>
  <c r="D10391" i="23"/>
  <c r="D10392" i="23"/>
  <c r="D10393" i="23"/>
  <c r="D10394" i="23"/>
  <c r="D10395" i="23"/>
  <c r="D10396" i="23"/>
  <c r="D10397" i="23"/>
  <c r="D10722" i="23"/>
  <c r="D10723" i="23"/>
  <c r="D10724" i="23"/>
  <c r="D10725" i="23"/>
  <c r="D10726" i="23"/>
  <c r="D10727" i="23"/>
  <c r="D10728" i="23"/>
  <c r="D10729" i="23"/>
  <c r="D10730" i="23"/>
  <c r="D10731" i="23"/>
  <c r="D10732" i="23"/>
  <c r="D10733" i="23"/>
  <c r="D10734" i="23"/>
  <c r="D10735" i="23"/>
  <c r="D10736" i="23"/>
  <c r="D10737" i="23"/>
  <c r="D10738" i="23"/>
  <c r="D10739" i="23"/>
  <c r="D10740" i="23"/>
  <c r="D10741" i="23"/>
  <c r="D10742" i="23"/>
  <c r="D10743" i="23"/>
  <c r="D10744" i="23"/>
  <c r="D10745" i="23"/>
  <c r="D10746" i="23"/>
  <c r="D10747" i="23"/>
  <c r="D10748" i="23"/>
  <c r="D11073" i="23"/>
  <c r="D11074" i="23"/>
  <c r="D11075" i="23"/>
  <c r="D11076" i="23"/>
  <c r="D11077" i="23"/>
  <c r="D11078" i="23"/>
  <c r="D11079" i="23"/>
  <c r="D11080" i="23"/>
  <c r="D11081" i="23"/>
  <c r="D11082" i="23"/>
  <c r="D11083" i="23"/>
  <c r="D11084" i="23"/>
  <c r="D11085" i="23"/>
  <c r="D11086" i="23"/>
  <c r="D11087" i="23"/>
  <c r="D11088" i="23"/>
  <c r="D11089" i="23"/>
  <c r="D11090" i="23"/>
  <c r="D11091" i="23"/>
  <c r="D11092" i="23"/>
  <c r="D11093" i="23"/>
  <c r="D11094" i="23"/>
  <c r="D11095" i="23"/>
  <c r="D11096" i="23"/>
  <c r="D11097" i="23"/>
  <c r="D11098" i="23"/>
  <c r="D11099" i="23"/>
  <c r="D9345" i="23"/>
  <c r="D9346" i="23"/>
  <c r="D9347" i="23"/>
  <c r="D9348" i="23"/>
  <c r="D9349" i="23"/>
  <c r="D9350" i="23"/>
  <c r="D9351" i="23"/>
  <c r="D9352" i="23"/>
  <c r="D9353" i="23"/>
  <c r="D9354" i="23"/>
  <c r="D9355" i="23"/>
  <c r="D9356" i="23"/>
  <c r="D9357" i="23"/>
  <c r="D9358" i="23"/>
  <c r="D9359" i="23"/>
  <c r="D9360" i="23"/>
  <c r="D9361" i="23"/>
  <c r="D9362" i="23"/>
  <c r="D9363" i="23"/>
  <c r="D9364" i="23"/>
  <c r="D9365" i="23"/>
  <c r="D9366" i="23"/>
  <c r="D9367" i="23"/>
  <c r="D9368" i="23"/>
  <c r="D9369" i="23"/>
  <c r="D9370" i="23"/>
  <c r="D9371" i="23"/>
  <c r="D9696" i="23"/>
  <c r="D9697" i="23"/>
  <c r="D9698" i="23"/>
  <c r="D9699" i="23"/>
  <c r="D9700" i="23"/>
  <c r="D9701" i="23"/>
  <c r="D9702" i="23"/>
  <c r="D9703" i="23"/>
  <c r="D9704" i="23"/>
  <c r="D9705" i="23"/>
  <c r="D9706" i="23"/>
  <c r="D9707" i="23"/>
  <c r="D9708" i="23"/>
  <c r="D9709" i="23"/>
  <c r="D9710" i="23"/>
  <c r="D9711" i="23"/>
  <c r="D9712" i="23"/>
  <c r="D9713" i="23"/>
  <c r="D9714" i="23"/>
  <c r="D9715" i="23"/>
  <c r="D9716" i="23"/>
  <c r="D9717" i="23"/>
  <c r="D9718" i="23"/>
  <c r="D9719" i="23"/>
  <c r="D9720" i="23"/>
  <c r="D9721" i="23"/>
  <c r="D9722" i="23"/>
  <c r="D10047" i="23"/>
  <c r="D10048" i="23"/>
  <c r="D10049" i="23"/>
  <c r="D10050" i="23"/>
  <c r="D10051" i="23"/>
  <c r="D10052" i="23"/>
  <c r="D10053" i="23"/>
  <c r="D10054" i="23"/>
  <c r="D10055" i="23"/>
  <c r="D10056" i="23"/>
  <c r="D10057" i="23"/>
  <c r="D10058" i="23"/>
  <c r="D10059" i="23"/>
  <c r="D10060" i="23"/>
  <c r="D10061" i="23"/>
  <c r="D10062" i="23"/>
  <c r="D10063" i="23"/>
  <c r="D10064" i="23"/>
  <c r="D10065" i="23"/>
  <c r="D10066" i="23"/>
  <c r="D10067" i="23"/>
  <c r="D10068" i="23"/>
  <c r="D10069" i="23"/>
  <c r="D10070" i="23"/>
  <c r="D10071" i="23"/>
  <c r="D10072" i="23"/>
  <c r="D10073" i="23"/>
  <c r="D8319" i="23"/>
  <c r="D8320" i="23"/>
  <c r="D8321" i="23"/>
  <c r="D8322" i="23"/>
  <c r="D8323" i="23"/>
  <c r="D8324" i="23"/>
  <c r="D8325" i="23"/>
  <c r="D8326" i="23"/>
  <c r="D8327" i="23"/>
  <c r="D8328" i="23"/>
  <c r="D8329" i="23"/>
  <c r="D8330" i="23"/>
  <c r="D8331" i="23"/>
  <c r="D8332" i="23"/>
  <c r="D8333" i="23"/>
  <c r="D8334" i="23"/>
  <c r="D8335" i="23"/>
  <c r="D8336" i="23"/>
  <c r="D8337" i="23"/>
  <c r="D8338" i="23"/>
  <c r="D8339" i="23"/>
  <c r="D8340" i="23"/>
  <c r="D8341" i="23"/>
  <c r="D8342" i="23"/>
  <c r="D8343" i="23"/>
  <c r="D8344" i="23"/>
  <c r="D8345" i="23"/>
  <c r="D8670" i="23"/>
  <c r="D8671" i="23"/>
  <c r="D8672" i="23"/>
  <c r="D8673" i="23"/>
  <c r="D8674" i="23"/>
  <c r="D8675" i="23"/>
  <c r="D8676" i="23"/>
  <c r="D8677" i="23"/>
  <c r="D8678" i="23"/>
  <c r="D8679" i="23"/>
  <c r="D8680" i="23"/>
  <c r="D8681" i="23"/>
  <c r="D8682" i="23"/>
  <c r="D8683" i="23"/>
  <c r="D8684" i="23"/>
  <c r="D8685" i="23"/>
  <c r="D8686" i="23"/>
  <c r="D8687" i="23"/>
  <c r="D8688" i="23"/>
  <c r="D8689" i="23"/>
  <c r="D8690" i="23"/>
  <c r="D8691" i="23"/>
  <c r="D8692" i="23"/>
  <c r="D8693" i="23"/>
  <c r="D8694" i="23"/>
  <c r="D8695" i="23"/>
  <c r="D8696" i="23"/>
  <c r="D9021" i="23"/>
  <c r="D9022" i="23"/>
  <c r="D9023" i="23"/>
  <c r="D9024" i="23"/>
  <c r="D9025" i="23"/>
  <c r="D9026" i="23"/>
  <c r="D9027" i="23"/>
  <c r="D9028" i="23"/>
  <c r="D9029" i="23"/>
  <c r="D9030" i="23"/>
  <c r="D9031" i="23"/>
  <c r="D9032" i="23"/>
  <c r="D9033" i="23"/>
  <c r="D9034" i="23"/>
  <c r="D9035" i="23"/>
  <c r="D9036" i="23"/>
  <c r="D9037" i="23"/>
  <c r="D9038" i="23"/>
  <c r="D9039" i="23"/>
  <c r="D9040" i="23"/>
  <c r="D9041" i="23"/>
  <c r="D9042" i="23"/>
  <c r="D9043" i="23"/>
  <c r="D9044" i="23"/>
  <c r="D9045" i="23"/>
  <c r="D9046" i="23"/>
  <c r="D9047" i="23"/>
  <c r="D7293" i="23"/>
  <c r="D7294" i="23"/>
  <c r="D7295" i="23"/>
  <c r="D7296" i="23"/>
  <c r="D7297" i="23"/>
  <c r="D7298" i="23"/>
  <c r="D7299" i="23"/>
  <c r="D7300" i="23"/>
  <c r="D7301" i="23"/>
  <c r="D7302" i="23"/>
  <c r="D7303" i="23"/>
  <c r="D7304" i="23"/>
  <c r="D7305" i="23"/>
  <c r="D7306" i="23"/>
  <c r="D7307" i="23"/>
  <c r="D7308" i="23"/>
  <c r="D7309" i="23"/>
  <c r="D7310" i="23"/>
  <c r="D7311" i="23"/>
  <c r="D7312" i="23"/>
  <c r="D7313" i="23"/>
  <c r="D7314" i="23"/>
  <c r="D7315" i="23"/>
  <c r="D7316" i="23"/>
  <c r="D7317" i="23"/>
  <c r="D7318" i="23"/>
  <c r="D7319" i="23"/>
  <c r="D7644" i="23"/>
  <c r="D7645" i="23"/>
  <c r="D7646" i="23"/>
  <c r="D7647" i="23"/>
  <c r="D7648" i="23"/>
  <c r="D7649" i="23"/>
  <c r="D7650" i="23"/>
  <c r="D7651" i="23"/>
  <c r="D7652" i="23"/>
  <c r="D7653" i="23"/>
  <c r="D7654" i="23"/>
  <c r="D7655" i="23"/>
  <c r="D7656" i="23"/>
  <c r="D7657" i="23"/>
  <c r="D7658" i="23"/>
  <c r="D7659" i="23"/>
  <c r="D7660" i="23"/>
  <c r="D7661" i="23"/>
  <c r="D7662" i="23"/>
  <c r="D7663" i="23"/>
  <c r="D7664" i="23"/>
  <c r="D7665" i="23"/>
  <c r="D7666" i="23"/>
  <c r="D7667" i="23"/>
  <c r="D7668" i="23"/>
  <c r="D7669" i="23"/>
  <c r="D7670" i="23"/>
  <c r="D7995" i="23"/>
  <c r="D7996" i="23"/>
  <c r="D7997" i="23"/>
  <c r="D7998" i="23"/>
  <c r="D7999" i="23"/>
  <c r="D8000" i="23"/>
  <c r="D8001" i="23"/>
  <c r="D8002" i="23"/>
  <c r="D8003" i="23"/>
  <c r="D8004" i="23"/>
  <c r="D8005" i="23"/>
  <c r="D8006" i="23"/>
  <c r="D8007" i="23"/>
  <c r="D8008" i="23"/>
  <c r="D8009" i="23"/>
  <c r="D8010" i="23"/>
  <c r="D8011" i="23"/>
  <c r="D8012" i="23"/>
  <c r="D8013" i="23"/>
  <c r="D8014" i="23"/>
  <c r="D8015" i="23"/>
  <c r="D8016" i="23"/>
  <c r="D8017" i="23"/>
  <c r="D8018" i="23"/>
  <c r="D8019" i="23"/>
  <c r="D8020" i="23"/>
  <c r="D8021" i="23"/>
  <c r="D6267" i="23"/>
  <c r="D6268" i="23"/>
  <c r="D6269" i="23"/>
  <c r="D6270" i="23"/>
  <c r="D6271" i="23"/>
  <c r="D6272" i="23"/>
  <c r="D6273" i="23"/>
  <c r="D6274" i="23"/>
  <c r="D6275" i="23"/>
  <c r="D6276" i="23"/>
  <c r="D6277" i="23"/>
  <c r="D6278" i="23"/>
  <c r="D6279" i="23"/>
  <c r="D6280" i="23"/>
  <c r="D6281" i="23"/>
  <c r="D6282" i="23"/>
  <c r="D6283" i="23"/>
  <c r="D6284" i="23"/>
  <c r="D6285" i="23"/>
  <c r="D6286" i="23"/>
  <c r="D6287" i="23"/>
  <c r="D6288" i="23"/>
  <c r="D6289" i="23"/>
  <c r="D6290" i="23"/>
  <c r="D6291" i="23"/>
  <c r="D6292" i="23"/>
  <c r="D6293" i="23"/>
  <c r="D6618" i="23"/>
  <c r="D6619" i="23"/>
  <c r="D6620" i="23"/>
  <c r="D6621" i="23"/>
  <c r="D6622" i="23"/>
  <c r="D6623" i="23"/>
  <c r="D6624" i="23"/>
  <c r="D6625" i="23"/>
  <c r="D6626" i="23"/>
  <c r="D6627" i="23"/>
  <c r="D6628" i="23"/>
  <c r="D6629" i="23"/>
  <c r="D6630" i="23"/>
  <c r="D6631" i="23"/>
  <c r="D6632" i="23"/>
  <c r="D6633" i="23"/>
  <c r="D6634" i="23"/>
  <c r="D6635" i="23"/>
  <c r="D6636" i="23"/>
  <c r="D6637" i="23"/>
  <c r="D6638" i="23"/>
  <c r="D6639" i="23"/>
  <c r="D6640" i="23"/>
  <c r="D6641" i="23"/>
  <c r="D6642" i="23"/>
  <c r="D6643" i="23"/>
  <c r="D6644" i="23"/>
  <c r="D6969" i="23"/>
  <c r="D6970" i="23"/>
  <c r="D6971" i="23"/>
  <c r="D6972" i="23"/>
  <c r="D6973" i="23"/>
  <c r="D6974" i="23"/>
  <c r="D6975" i="23"/>
  <c r="D6976" i="23"/>
  <c r="D6977" i="23"/>
  <c r="D6978" i="23"/>
  <c r="D6979" i="23"/>
  <c r="D6980" i="23"/>
  <c r="D6981" i="23"/>
  <c r="D6982" i="23"/>
  <c r="D6983" i="23"/>
  <c r="D6984" i="23"/>
  <c r="D6985" i="23"/>
  <c r="D6986" i="23"/>
  <c r="D6987" i="23"/>
  <c r="D6988" i="23"/>
  <c r="D6989" i="23"/>
  <c r="D6990" i="23"/>
  <c r="D6991" i="23"/>
  <c r="D6992" i="23"/>
  <c r="D6993" i="23"/>
  <c r="D6994" i="23"/>
  <c r="D6995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943" i="23"/>
  <c r="D5944" i="23"/>
  <c r="D5945" i="23"/>
  <c r="D5946" i="23"/>
  <c r="D5947" i="23"/>
  <c r="D5948" i="23"/>
  <c r="D5949" i="23"/>
  <c r="D5950" i="23"/>
  <c r="D5951" i="23"/>
  <c r="D5952" i="23"/>
  <c r="D5953" i="23"/>
  <c r="D5954" i="23"/>
  <c r="D5955" i="23"/>
  <c r="D5956" i="23"/>
  <c r="D5957" i="23"/>
  <c r="D5958" i="23"/>
  <c r="D5959" i="23"/>
  <c r="D5960" i="23"/>
  <c r="D5961" i="23"/>
  <c r="D5962" i="23"/>
  <c r="D5963" i="23"/>
  <c r="D5964" i="23"/>
  <c r="D5965" i="23"/>
  <c r="D5966" i="23"/>
  <c r="D5967" i="23"/>
  <c r="D5968" i="23"/>
  <c r="D5969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B11450" i="23"/>
  <c r="B11449" i="23"/>
  <c r="B11448" i="23"/>
  <c r="B11447" i="23"/>
  <c r="B11446" i="23"/>
  <c r="B11445" i="23"/>
  <c r="B11444" i="23"/>
  <c r="B11443" i="23"/>
  <c r="B11442" i="23"/>
  <c r="B11441" i="23"/>
  <c r="B11440" i="23"/>
  <c r="B11439" i="23"/>
  <c r="B11438" i="23"/>
  <c r="B11437" i="23"/>
  <c r="B11436" i="23"/>
  <c r="B11435" i="23"/>
  <c r="B11434" i="23"/>
  <c r="B11433" i="23"/>
  <c r="B11432" i="23"/>
  <c r="B11431" i="23"/>
  <c r="B11430" i="23"/>
  <c r="B11429" i="23"/>
  <c r="B11428" i="23"/>
  <c r="B11427" i="23"/>
  <c r="B11426" i="23"/>
  <c r="B11425" i="23"/>
  <c r="B11424" i="23"/>
  <c r="B11477" i="23"/>
  <c r="B11476" i="23"/>
  <c r="B11475" i="23"/>
  <c r="B11474" i="23"/>
  <c r="B11473" i="23"/>
  <c r="B11472" i="23"/>
  <c r="B11471" i="23"/>
  <c r="B11470" i="23"/>
  <c r="B11469" i="23"/>
  <c r="B11468" i="23"/>
  <c r="B11467" i="23"/>
  <c r="B11466" i="23"/>
  <c r="B11465" i="23"/>
  <c r="B11464" i="23"/>
  <c r="B11463" i="23"/>
  <c r="B11462" i="23"/>
  <c r="B11461" i="23"/>
  <c r="B11460" i="23"/>
  <c r="B11459" i="23"/>
  <c r="B11458" i="23"/>
  <c r="B11457" i="23"/>
  <c r="B11456" i="23"/>
  <c r="B11455" i="23"/>
  <c r="B11454" i="23"/>
  <c r="B11453" i="23"/>
  <c r="B11452" i="23"/>
  <c r="B11451" i="23"/>
  <c r="B11504" i="23"/>
  <c r="B11503" i="23"/>
  <c r="B11502" i="23"/>
  <c r="B11501" i="23"/>
  <c r="B11500" i="23"/>
  <c r="B11499" i="23"/>
  <c r="B11498" i="23"/>
  <c r="B11497" i="23"/>
  <c r="B11496" i="23"/>
  <c r="B11495" i="23"/>
  <c r="B11494" i="23"/>
  <c r="B11493" i="23"/>
  <c r="B11492" i="23"/>
  <c r="B11491" i="23"/>
  <c r="B11490" i="23"/>
  <c r="B11489" i="23"/>
  <c r="B11488" i="23"/>
  <c r="B11487" i="23"/>
  <c r="B11486" i="23"/>
  <c r="B11485" i="23"/>
  <c r="B11484" i="23"/>
  <c r="B11483" i="23"/>
  <c r="B11482" i="23"/>
  <c r="B11481" i="23"/>
  <c r="B11480" i="23"/>
  <c r="B11479" i="23"/>
  <c r="B11478" i="23"/>
  <c r="B11531" i="23"/>
  <c r="B11530" i="23"/>
  <c r="B11529" i="23"/>
  <c r="B11528" i="23"/>
  <c r="B11527" i="23"/>
  <c r="B11526" i="23"/>
  <c r="B11525" i="23"/>
  <c r="B11524" i="23"/>
  <c r="B11523" i="23"/>
  <c r="B11522" i="23"/>
  <c r="B11521" i="23"/>
  <c r="B11520" i="23"/>
  <c r="B11519" i="23"/>
  <c r="B11518" i="23"/>
  <c r="B11517" i="23"/>
  <c r="B11516" i="23"/>
  <c r="B11515" i="23"/>
  <c r="B11514" i="23"/>
  <c r="B11513" i="23"/>
  <c r="B11512" i="23"/>
  <c r="B11511" i="23"/>
  <c r="B11510" i="23"/>
  <c r="B11509" i="23"/>
  <c r="B11508" i="23"/>
  <c r="B11507" i="23"/>
  <c r="B11506" i="23"/>
  <c r="B11505" i="23"/>
  <c r="B11558" i="23"/>
  <c r="B11557" i="23"/>
  <c r="B11556" i="23"/>
  <c r="B11555" i="23"/>
  <c r="B11554" i="23"/>
  <c r="B11553" i="23"/>
  <c r="B11552" i="23"/>
  <c r="B11551" i="23"/>
  <c r="B11550" i="23"/>
  <c r="B11549" i="23"/>
  <c r="B11548" i="23"/>
  <c r="B11547" i="23"/>
  <c r="B11546" i="23"/>
  <c r="B11545" i="23"/>
  <c r="B11544" i="23"/>
  <c r="B11543" i="23"/>
  <c r="B11542" i="23"/>
  <c r="B11541" i="23"/>
  <c r="B11540" i="23"/>
  <c r="B11539" i="23"/>
  <c r="B11538" i="23"/>
  <c r="B11537" i="23"/>
  <c r="B11536" i="23"/>
  <c r="B11535" i="23"/>
  <c r="B11534" i="23"/>
  <c r="B11533" i="23"/>
  <c r="B11532" i="23"/>
  <c r="B11585" i="23"/>
  <c r="B11584" i="23"/>
  <c r="B11583" i="23"/>
  <c r="B11582" i="23"/>
  <c r="B11581" i="23"/>
  <c r="B11580" i="23"/>
  <c r="B11579" i="23"/>
  <c r="B11578" i="23"/>
  <c r="B11577" i="23"/>
  <c r="B11576" i="23"/>
  <c r="B11575" i="23"/>
  <c r="B11574" i="23"/>
  <c r="B11573" i="23"/>
  <c r="B11572" i="23"/>
  <c r="B11571" i="23"/>
  <c r="B11570" i="23"/>
  <c r="B11569" i="23"/>
  <c r="B11568" i="23"/>
  <c r="B11567" i="23"/>
  <c r="B11566" i="23"/>
  <c r="B11565" i="23"/>
  <c r="B11564" i="23"/>
  <c r="B11563" i="23"/>
  <c r="B11562" i="23"/>
  <c r="B11561" i="23"/>
  <c r="B11560" i="23"/>
  <c r="B11559" i="23"/>
  <c r="B11612" i="23"/>
  <c r="B11611" i="23"/>
  <c r="B11610" i="23"/>
  <c r="B11609" i="23"/>
  <c r="B11608" i="23"/>
  <c r="B11607" i="23"/>
  <c r="B11606" i="23"/>
  <c r="B11605" i="23"/>
  <c r="B11604" i="23"/>
  <c r="B11603" i="23"/>
  <c r="B11602" i="23"/>
  <c r="B11601" i="23"/>
  <c r="B11600" i="23"/>
  <c r="B11599" i="23"/>
  <c r="B11598" i="23"/>
  <c r="B11597" i="23"/>
  <c r="B11596" i="23"/>
  <c r="B11595" i="23"/>
  <c r="B11594" i="23"/>
  <c r="B11593" i="23"/>
  <c r="B11592" i="23"/>
  <c r="B11591" i="23"/>
  <c r="B11590" i="23"/>
  <c r="B11589" i="23"/>
  <c r="B11588" i="23"/>
  <c r="B11587" i="23"/>
  <c r="B11586" i="23"/>
  <c r="B11639" i="23"/>
  <c r="B11638" i="23"/>
  <c r="B11637" i="23"/>
  <c r="B11636" i="23"/>
  <c r="B11635" i="23"/>
  <c r="B11634" i="23"/>
  <c r="B11633" i="23"/>
  <c r="B11632" i="23"/>
  <c r="B11631" i="23"/>
  <c r="B11630" i="23"/>
  <c r="B11629" i="23"/>
  <c r="B11628" i="23"/>
  <c r="B11627" i="23"/>
  <c r="B11626" i="23"/>
  <c r="B11625" i="23"/>
  <c r="B11624" i="23"/>
  <c r="B11623" i="23"/>
  <c r="B11622" i="23"/>
  <c r="B11621" i="23"/>
  <c r="B11620" i="23"/>
  <c r="B11619" i="23"/>
  <c r="B11618" i="23"/>
  <c r="B11617" i="23"/>
  <c r="B11616" i="23"/>
  <c r="B11615" i="23"/>
  <c r="B11614" i="23"/>
  <c r="B11613" i="23"/>
  <c r="B11666" i="23"/>
  <c r="B11665" i="23"/>
  <c r="B11664" i="23"/>
  <c r="B11663" i="23"/>
  <c r="B11662" i="23"/>
  <c r="B11661" i="23"/>
  <c r="B11660" i="23"/>
  <c r="B11659" i="23"/>
  <c r="B11658" i="23"/>
  <c r="B11657" i="23"/>
  <c r="B11656" i="23"/>
  <c r="B11655" i="23"/>
  <c r="B11654" i="23"/>
  <c r="B11653" i="23"/>
  <c r="B11652" i="23"/>
  <c r="B11651" i="23"/>
  <c r="B11650" i="23"/>
  <c r="B11649" i="23"/>
  <c r="B11648" i="23"/>
  <c r="B11647" i="23"/>
  <c r="B11646" i="23"/>
  <c r="B11645" i="23"/>
  <c r="B11644" i="23"/>
  <c r="B11643" i="23"/>
  <c r="B11642" i="23"/>
  <c r="B11641" i="23"/>
  <c r="B11640" i="23"/>
  <c r="B11423" i="23"/>
  <c r="B11422" i="23"/>
  <c r="B11421" i="23"/>
  <c r="B11420" i="23"/>
  <c r="B11419" i="23"/>
  <c r="B11418" i="23"/>
  <c r="B11417" i="23"/>
  <c r="B11416" i="23"/>
  <c r="B11415" i="23"/>
  <c r="B11414" i="23"/>
  <c r="B11413" i="23"/>
  <c r="B11412" i="23"/>
  <c r="B11411" i="23"/>
  <c r="B11410" i="23"/>
  <c r="B11409" i="23"/>
  <c r="B11408" i="23"/>
  <c r="B11407" i="23"/>
  <c r="B11406" i="23"/>
  <c r="B11405" i="23"/>
  <c r="B11404" i="23"/>
  <c r="B11403" i="23"/>
  <c r="B11402" i="23"/>
  <c r="B11401" i="23"/>
  <c r="B11400" i="23"/>
  <c r="B11399" i="23"/>
  <c r="B11398" i="23"/>
  <c r="B11397" i="23"/>
  <c r="B11774" i="23"/>
  <c r="B11773" i="23"/>
  <c r="B11772" i="23"/>
  <c r="B11771" i="23"/>
  <c r="B11770" i="23"/>
  <c r="B11769" i="23"/>
  <c r="B11768" i="23"/>
  <c r="B11767" i="23"/>
  <c r="B11766" i="23"/>
  <c r="B11765" i="23"/>
  <c r="B11764" i="23"/>
  <c r="B11763" i="23"/>
  <c r="B11762" i="23"/>
  <c r="B11761" i="23"/>
  <c r="B11760" i="23"/>
  <c r="B11759" i="23"/>
  <c r="B11758" i="23"/>
  <c r="B11757" i="23"/>
  <c r="B11756" i="23"/>
  <c r="B11755" i="23"/>
  <c r="B11754" i="23"/>
  <c r="B11753" i="23"/>
  <c r="B11752" i="23"/>
  <c r="B11751" i="23"/>
  <c r="B11750" i="23"/>
  <c r="B11749" i="23"/>
  <c r="B11748" i="23"/>
  <c r="B12125" i="23"/>
  <c r="B12124" i="23"/>
  <c r="B12123" i="23"/>
  <c r="B12122" i="23"/>
  <c r="B12121" i="23"/>
  <c r="B12120" i="23"/>
  <c r="B12119" i="23"/>
  <c r="B12118" i="23"/>
  <c r="B12117" i="23"/>
  <c r="B12116" i="23"/>
  <c r="B12115" i="23"/>
  <c r="B12114" i="23"/>
  <c r="B12113" i="23"/>
  <c r="B12112" i="23"/>
  <c r="B12111" i="23"/>
  <c r="B12110" i="23"/>
  <c r="B12109" i="23"/>
  <c r="B12108" i="23"/>
  <c r="B12107" i="23"/>
  <c r="B12106" i="23"/>
  <c r="B12105" i="23"/>
  <c r="B12104" i="23"/>
  <c r="B12103" i="23"/>
  <c r="B12102" i="23"/>
  <c r="B12101" i="23"/>
  <c r="B12100" i="23"/>
  <c r="B12099" i="23"/>
  <c r="B11801" i="23"/>
  <c r="B11800" i="23"/>
  <c r="B11799" i="23"/>
  <c r="B11798" i="23"/>
  <c r="B11797" i="23"/>
  <c r="B11796" i="23"/>
  <c r="B11795" i="23"/>
  <c r="B11794" i="23"/>
  <c r="B11793" i="23"/>
  <c r="B11792" i="23"/>
  <c r="B11791" i="23"/>
  <c r="B11790" i="23"/>
  <c r="B11789" i="23"/>
  <c r="B11788" i="23"/>
  <c r="B11787" i="23"/>
  <c r="B11786" i="23"/>
  <c r="B11785" i="23"/>
  <c r="B11784" i="23"/>
  <c r="B11783" i="23"/>
  <c r="B11782" i="23"/>
  <c r="B11781" i="23"/>
  <c r="B11780" i="23"/>
  <c r="B11779" i="23"/>
  <c r="B11778" i="23"/>
  <c r="B11777" i="23"/>
  <c r="B11776" i="23"/>
  <c r="B11775" i="23"/>
  <c r="B12260" i="23"/>
  <c r="B12259" i="23"/>
  <c r="B12258" i="23"/>
  <c r="B12257" i="23"/>
  <c r="B12256" i="23"/>
  <c r="B12255" i="23"/>
  <c r="B12254" i="23"/>
  <c r="B12253" i="23"/>
  <c r="B12252" i="23"/>
  <c r="B12251" i="23"/>
  <c r="B12250" i="23"/>
  <c r="B12249" i="23"/>
  <c r="B12248" i="23"/>
  <c r="B12247" i="23"/>
  <c r="B12246" i="23"/>
  <c r="B12245" i="23"/>
  <c r="B12244" i="23"/>
  <c r="B12243" i="23"/>
  <c r="B12242" i="23"/>
  <c r="B12241" i="23"/>
  <c r="B12240" i="23"/>
  <c r="B12239" i="23"/>
  <c r="B12238" i="23"/>
  <c r="B12237" i="23"/>
  <c r="B12236" i="23"/>
  <c r="B12235" i="23"/>
  <c r="B12234" i="23"/>
  <c r="B11396" i="23"/>
  <c r="B11395" i="23"/>
  <c r="B11394" i="23"/>
  <c r="B11393" i="23"/>
  <c r="B11392" i="23"/>
  <c r="B11391" i="23"/>
  <c r="B11390" i="23"/>
  <c r="B11389" i="23"/>
  <c r="B11388" i="23"/>
  <c r="B11387" i="23"/>
  <c r="B11386" i="23"/>
  <c r="B11385" i="23"/>
  <c r="B11384" i="23"/>
  <c r="B11383" i="23"/>
  <c r="B11382" i="23"/>
  <c r="B11381" i="23"/>
  <c r="B11380" i="23"/>
  <c r="B11379" i="23"/>
  <c r="B11378" i="23"/>
  <c r="B11377" i="23"/>
  <c r="B11376" i="23"/>
  <c r="B11375" i="23"/>
  <c r="B11374" i="23"/>
  <c r="B11373" i="23"/>
  <c r="B11372" i="23"/>
  <c r="B11371" i="23"/>
  <c r="B11370" i="23"/>
  <c r="B11747" i="23"/>
  <c r="B11746" i="23"/>
  <c r="B11745" i="23"/>
  <c r="B11744" i="23"/>
  <c r="B11743" i="23"/>
  <c r="B11742" i="23"/>
  <c r="B11741" i="23"/>
  <c r="B11740" i="23"/>
  <c r="B11739" i="23"/>
  <c r="B11738" i="23"/>
  <c r="B11737" i="23"/>
  <c r="B11736" i="23"/>
  <c r="B11735" i="23"/>
  <c r="B11734" i="23"/>
  <c r="B11733" i="23"/>
  <c r="B11732" i="23"/>
  <c r="B11731" i="23"/>
  <c r="B11730" i="23"/>
  <c r="B11729" i="23"/>
  <c r="B11728" i="23"/>
  <c r="B11727" i="23"/>
  <c r="B11726" i="23"/>
  <c r="B11725" i="23"/>
  <c r="B11724" i="23"/>
  <c r="B11723" i="23"/>
  <c r="B11722" i="23"/>
  <c r="B11721" i="23"/>
  <c r="B12044" i="23"/>
  <c r="B12043" i="23"/>
  <c r="B12042" i="23"/>
  <c r="B12041" i="23"/>
  <c r="B12040" i="23"/>
  <c r="B12039" i="23"/>
  <c r="B12038" i="23"/>
  <c r="B12037" i="23"/>
  <c r="B12036" i="23"/>
  <c r="B12035" i="23"/>
  <c r="B12034" i="23"/>
  <c r="B12033" i="23"/>
  <c r="B12032" i="23"/>
  <c r="B12031" i="23"/>
  <c r="B12030" i="23"/>
  <c r="B12029" i="23"/>
  <c r="B12028" i="23"/>
  <c r="B12027" i="23"/>
  <c r="B12026" i="23"/>
  <c r="B12025" i="23"/>
  <c r="B12024" i="23"/>
  <c r="B12023" i="23"/>
  <c r="B12022" i="23"/>
  <c r="B12021" i="23"/>
  <c r="B12020" i="23"/>
  <c r="B12019" i="23"/>
  <c r="B12018" i="23"/>
  <c r="B11855" i="23"/>
  <c r="B11854" i="23"/>
  <c r="B11853" i="23"/>
  <c r="B11852" i="23"/>
  <c r="B11851" i="23"/>
  <c r="B11850" i="23"/>
  <c r="B11849" i="23"/>
  <c r="B11848" i="23"/>
  <c r="B11847" i="23"/>
  <c r="B11846" i="23"/>
  <c r="B11845" i="23"/>
  <c r="B11844" i="23"/>
  <c r="B11843" i="23"/>
  <c r="B11842" i="23"/>
  <c r="B11841" i="23"/>
  <c r="B11840" i="23"/>
  <c r="B11839" i="23"/>
  <c r="B11838" i="23"/>
  <c r="B11837" i="23"/>
  <c r="B11836" i="23"/>
  <c r="B11835" i="23"/>
  <c r="B11834" i="23"/>
  <c r="B11833" i="23"/>
  <c r="B11832" i="23"/>
  <c r="B11831" i="23"/>
  <c r="B11830" i="23"/>
  <c r="B11829" i="23"/>
  <c r="B11936" i="23"/>
  <c r="B11935" i="23"/>
  <c r="B11934" i="23"/>
  <c r="B11933" i="23"/>
  <c r="B11932" i="23"/>
  <c r="B11931" i="23"/>
  <c r="B11930" i="23"/>
  <c r="B11929" i="23"/>
  <c r="B11928" i="23"/>
  <c r="B11927" i="23"/>
  <c r="B11926" i="23"/>
  <c r="B11925" i="23"/>
  <c r="B11924" i="23"/>
  <c r="B11923" i="23"/>
  <c r="B11922" i="23"/>
  <c r="B11921" i="23"/>
  <c r="B11920" i="23"/>
  <c r="B11919" i="23"/>
  <c r="B11918" i="23"/>
  <c r="B11917" i="23"/>
  <c r="B11916" i="23"/>
  <c r="B11915" i="23"/>
  <c r="B11914" i="23"/>
  <c r="B11913" i="23"/>
  <c r="B11912" i="23"/>
  <c r="B11911" i="23"/>
  <c r="B11910" i="23"/>
  <c r="B12206" i="23"/>
  <c r="B12205" i="23"/>
  <c r="B12204" i="23"/>
  <c r="B12203" i="23"/>
  <c r="B12202" i="23"/>
  <c r="B12201" i="23"/>
  <c r="B12200" i="23"/>
  <c r="B12199" i="23"/>
  <c r="B12198" i="23"/>
  <c r="B12197" i="23"/>
  <c r="B12196" i="23"/>
  <c r="B12195" i="23"/>
  <c r="B12194" i="23"/>
  <c r="B12193" i="23"/>
  <c r="B12192" i="23"/>
  <c r="B12191" i="23"/>
  <c r="B12190" i="23"/>
  <c r="B12189" i="23"/>
  <c r="B12188" i="23"/>
  <c r="B12187" i="23"/>
  <c r="B12186" i="23"/>
  <c r="B12185" i="23"/>
  <c r="B12184" i="23"/>
  <c r="B12183" i="23"/>
  <c r="B12182" i="23"/>
  <c r="B12181" i="23"/>
  <c r="B12180" i="23"/>
  <c r="B12152" i="23"/>
  <c r="B12151" i="23"/>
  <c r="B12150" i="23"/>
  <c r="B12149" i="23"/>
  <c r="B12148" i="23"/>
  <c r="B12147" i="23"/>
  <c r="B12146" i="23"/>
  <c r="B12145" i="23"/>
  <c r="B12144" i="23"/>
  <c r="B12143" i="23"/>
  <c r="B12142" i="23"/>
  <c r="B12141" i="23"/>
  <c r="B12140" i="23"/>
  <c r="B12139" i="23"/>
  <c r="B12138" i="23"/>
  <c r="B12137" i="23"/>
  <c r="B12136" i="23"/>
  <c r="B12135" i="23"/>
  <c r="B12134" i="23"/>
  <c r="B12133" i="23"/>
  <c r="B12132" i="23"/>
  <c r="B12131" i="23"/>
  <c r="B12130" i="23"/>
  <c r="B12129" i="23"/>
  <c r="B12128" i="23"/>
  <c r="B12127" i="23"/>
  <c r="B12126" i="23"/>
  <c r="B12098" i="23"/>
  <c r="B12097" i="23"/>
  <c r="B12096" i="23"/>
  <c r="B12095" i="23"/>
  <c r="B12094" i="23"/>
  <c r="B12093" i="23"/>
  <c r="B12092" i="23"/>
  <c r="B12091" i="23"/>
  <c r="B12090" i="23"/>
  <c r="B12089" i="23"/>
  <c r="B12088" i="23"/>
  <c r="B12087" i="23"/>
  <c r="B12086" i="23"/>
  <c r="B12085" i="23"/>
  <c r="B12084" i="23"/>
  <c r="B12083" i="23"/>
  <c r="B12082" i="23"/>
  <c r="B12081" i="23"/>
  <c r="B12080" i="23"/>
  <c r="B12079" i="23"/>
  <c r="B12078" i="23"/>
  <c r="B12077" i="23"/>
  <c r="B12076" i="23"/>
  <c r="B12075" i="23"/>
  <c r="B12074" i="23"/>
  <c r="B12073" i="23"/>
  <c r="B12072" i="23"/>
  <c r="B11909" i="23"/>
  <c r="B11908" i="23"/>
  <c r="B11907" i="23"/>
  <c r="B11906" i="23"/>
  <c r="B11905" i="23"/>
  <c r="B11904" i="23"/>
  <c r="B11903" i="23"/>
  <c r="B11902" i="23"/>
  <c r="B11901" i="23"/>
  <c r="B11900" i="23"/>
  <c r="B11899" i="23"/>
  <c r="B11898" i="23"/>
  <c r="B11897" i="23"/>
  <c r="B11896" i="23"/>
  <c r="B11895" i="23"/>
  <c r="B11894" i="23"/>
  <c r="B11893" i="23"/>
  <c r="B11892" i="23"/>
  <c r="B11891" i="23"/>
  <c r="B11890" i="23"/>
  <c r="B11889" i="23"/>
  <c r="B11888" i="23"/>
  <c r="B11887" i="23"/>
  <c r="B11886" i="23"/>
  <c r="B11885" i="23"/>
  <c r="B11884" i="23"/>
  <c r="B11883" i="23"/>
  <c r="B11342" i="23"/>
  <c r="B11341" i="23"/>
  <c r="B11340" i="23"/>
  <c r="B11339" i="23"/>
  <c r="B11338" i="23"/>
  <c r="B11337" i="23"/>
  <c r="B11336" i="23"/>
  <c r="B11335" i="23"/>
  <c r="B11334" i="23"/>
  <c r="B11333" i="23"/>
  <c r="B11332" i="23"/>
  <c r="B11331" i="23"/>
  <c r="B11330" i="23"/>
  <c r="B11329" i="23"/>
  <c r="B11328" i="23"/>
  <c r="B11327" i="23"/>
  <c r="B11326" i="23"/>
  <c r="B11325" i="23"/>
  <c r="B11324" i="23"/>
  <c r="B11323" i="23"/>
  <c r="B11322" i="23"/>
  <c r="B11321" i="23"/>
  <c r="B11320" i="23"/>
  <c r="B11319" i="23"/>
  <c r="B11318" i="23"/>
  <c r="B11317" i="23"/>
  <c r="B11316" i="23"/>
  <c r="B11882" i="23"/>
  <c r="B11881" i="23"/>
  <c r="B11880" i="23"/>
  <c r="B11879" i="23"/>
  <c r="B11878" i="23"/>
  <c r="B11877" i="23"/>
  <c r="B11876" i="23"/>
  <c r="B11875" i="23"/>
  <c r="B11874" i="23"/>
  <c r="B11873" i="23"/>
  <c r="B11872" i="23"/>
  <c r="B11871" i="23"/>
  <c r="B11870" i="23"/>
  <c r="B11869" i="23"/>
  <c r="B11868" i="23"/>
  <c r="B11867" i="23"/>
  <c r="B11866" i="23"/>
  <c r="B11865" i="23"/>
  <c r="B11864" i="23"/>
  <c r="B11863" i="23"/>
  <c r="B11862" i="23"/>
  <c r="B11861" i="23"/>
  <c r="B11860" i="23"/>
  <c r="B11859" i="23"/>
  <c r="B11858" i="23"/>
  <c r="B11857" i="23"/>
  <c r="B11856" i="23"/>
  <c r="B11693" i="23"/>
  <c r="B11692" i="23"/>
  <c r="B11691" i="23"/>
  <c r="B11690" i="23"/>
  <c r="B11689" i="23"/>
  <c r="B11688" i="23"/>
  <c r="B11687" i="23"/>
  <c r="B11686" i="23"/>
  <c r="B11685" i="23"/>
  <c r="B11684" i="23"/>
  <c r="B11683" i="23"/>
  <c r="B11682" i="23"/>
  <c r="B11681" i="23"/>
  <c r="B11680" i="23"/>
  <c r="B11679" i="23"/>
  <c r="B11678" i="23"/>
  <c r="B11677" i="23"/>
  <c r="B11676" i="23"/>
  <c r="B11675" i="23"/>
  <c r="B11674" i="23"/>
  <c r="B11673" i="23"/>
  <c r="B11672" i="23"/>
  <c r="B11671" i="23"/>
  <c r="B11670" i="23"/>
  <c r="B11669" i="23"/>
  <c r="B11668" i="23"/>
  <c r="B11667" i="23"/>
  <c r="B12287" i="23"/>
  <c r="B12286" i="23"/>
  <c r="B12285" i="23"/>
  <c r="B12284" i="23"/>
  <c r="B12283" i="23"/>
  <c r="B12282" i="23"/>
  <c r="B12281" i="23"/>
  <c r="B12280" i="23"/>
  <c r="B12279" i="23"/>
  <c r="B12278" i="23"/>
  <c r="B12277" i="23"/>
  <c r="B12276" i="23"/>
  <c r="B12275" i="23"/>
  <c r="B12274" i="23"/>
  <c r="B12273" i="23"/>
  <c r="B12272" i="23"/>
  <c r="B12271" i="23"/>
  <c r="B12270" i="23"/>
  <c r="B12269" i="23"/>
  <c r="B12268" i="23"/>
  <c r="B12267" i="23"/>
  <c r="B12266" i="23"/>
  <c r="B12265" i="23"/>
  <c r="B12264" i="23"/>
  <c r="B12263" i="23"/>
  <c r="B12262" i="23"/>
  <c r="B12261" i="23"/>
  <c r="B12017" i="23"/>
  <c r="B12016" i="23"/>
  <c r="B12015" i="23"/>
  <c r="B12014" i="23"/>
  <c r="B12013" i="23"/>
  <c r="B12012" i="23"/>
  <c r="B12011" i="23"/>
  <c r="B12010" i="23"/>
  <c r="B12009" i="23"/>
  <c r="B12008" i="23"/>
  <c r="B12007" i="23"/>
  <c r="B12006" i="23"/>
  <c r="B12005" i="23"/>
  <c r="B12004" i="23"/>
  <c r="B12003" i="23"/>
  <c r="B12002" i="23"/>
  <c r="B12001" i="23"/>
  <c r="B12000" i="23"/>
  <c r="B11999" i="23"/>
  <c r="B11998" i="23"/>
  <c r="B11997" i="23"/>
  <c r="B11996" i="23"/>
  <c r="B11995" i="23"/>
  <c r="B11994" i="23"/>
  <c r="B11993" i="23"/>
  <c r="B11992" i="23"/>
  <c r="B11991" i="23"/>
  <c r="B12314" i="23"/>
  <c r="B12313" i="23"/>
  <c r="B12312" i="23"/>
  <c r="B12311" i="23"/>
  <c r="B12310" i="23"/>
  <c r="B12309" i="23"/>
  <c r="B12308" i="23"/>
  <c r="B12307" i="23"/>
  <c r="B12306" i="23"/>
  <c r="B12305" i="23"/>
  <c r="B12304" i="23"/>
  <c r="B12303" i="23"/>
  <c r="B12302" i="23"/>
  <c r="B12301" i="23"/>
  <c r="B12300" i="23"/>
  <c r="B12299" i="23"/>
  <c r="B12298" i="23"/>
  <c r="B12297" i="23"/>
  <c r="B12296" i="23"/>
  <c r="B12295" i="23"/>
  <c r="B12294" i="23"/>
  <c r="B12293" i="23"/>
  <c r="B12292" i="23"/>
  <c r="B12291" i="23"/>
  <c r="B12290" i="23"/>
  <c r="B12289" i="23"/>
  <c r="B12288" i="23"/>
  <c r="B11963" i="23"/>
  <c r="B11962" i="23"/>
  <c r="B11961" i="23"/>
  <c r="B11960" i="23"/>
  <c r="B11959" i="23"/>
  <c r="B11958" i="23"/>
  <c r="B11957" i="23"/>
  <c r="B11956" i="23"/>
  <c r="B11955" i="23"/>
  <c r="B11954" i="23"/>
  <c r="B11953" i="23"/>
  <c r="B11952" i="23"/>
  <c r="B11951" i="23"/>
  <c r="B11950" i="23"/>
  <c r="B11949" i="23"/>
  <c r="B11948" i="23"/>
  <c r="B11947" i="23"/>
  <c r="B11946" i="23"/>
  <c r="B11945" i="23"/>
  <c r="B11944" i="23"/>
  <c r="B11943" i="23"/>
  <c r="B11942" i="23"/>
  <c r="B11941" i="23"/>
  <c r="B11940" i="23"/>
  <c r="B11939" i="23"/>
  <c r="B11938" i="23"/>
  <c r="B11937" i="23"/>
  <c r="B11990" i="23"/>
  <c r="B11989" i="23"/>
  <c r="B11988" i="23"/>
  <c r="B11987" i="23"/>
  <c r="B11986" i="23"/>
  <c r="B11985" i="23"/>
  <c r="B11984" i="23"/>
  <c r="B11983" i="23"/>
  <c r="B11982" i="23"/>
  <c r="B11981" i="23"/>
  <c r="B11980" i="23"/>
  <c r="B11979" i="23"/>
  <c r="B11978" i="23"/>
  <c r="B11977" i="23"/>
  <c r="B11976" i="23"/>
  <c r="B11975" i="23"/>
  <c r="B11974" i="23"/>
  <c r="B11973" i="23"/>
  <c r="B11972" i="23"/>
  <c r="B11971" i="23"/>
  <c r="B11970" i="23"/>
  <c r="B11969" i="23"/>
  <c r="B11968" i="23"/>
  <c r="B11967" i="23"/>
  <c r="B11966" i="23"/>
  <c r="B11965" i="23"/>
  <c r="B11964" i="23"/>
  <c r="B11720" i="23"/>
  <c r="B11719" i="23"/>
  <c r="B11718" i="23"/>
  <c r="B11717" i="23"/>
  <c r="B11716" i="23"/>
  <c r="B11715" i="23"/>
  <c r="B11714" i="23"/>
  <c r="B11713" i="23"/>
  <c r="B11712" i="23"/>
  <c r="B11711" i="23"/>
  <c r="B11710" i="23"/>
  <c r="B11709" i="23"/>
  <c r="B11708" i="23"/>
  <c r="B11707" i="23"/>
  <c r="B11706" i="23"/>
  <c r="B11705" i="23"/>
  <c r="B11704" i="23"/>
  <c r="B11703" i="23"/>
  <c r="B11702" i="23"/>
  <c r="B11701" i="23"/>
  <c r="B11700" i="23"/>
  <c r="B11699" i="23"/>
  <c r="B11698" i="23"/>
  <c r="B11697" i="23"/>
  <c r="B11696" i="23"/>
  <c r="B11695" i="23"/>
  <c r="B11694" i="23"/>
  <c r="B11315" i="23"/>
  <c r="B11314" i="23"/>
  <c r="B11313" i="23"/>
  <c r="B11312" i="23"/>
  <c r="B11311" i="23"/>
  <c r="B11310" i="23"/>
  <c r="B11309" i="23"/>
  <c r="B11308" i="23"/>
  <c r="B11307" i="23"/>
  <c r="B11306" i="23"/>
  <c r="B11305" i="23"/>
  <c r="B11304" i="23"/>
  <c r="B11303" i="23"/>
  <c r="B11302" i="23"/>
  <c r="B11301" i="23"/>
  <c r="B11300" i="23"/>
  <c r="B11299" i="23"/>
  <c r="B11298" i="23"/>
  <c r="B11297" i="23"/>
  <c r="B11296" i="23"/>
  <c r="B11295" i="23"/>
  <c r="B11294" i="23"/>
  <c r="B11293" i="23"/>
  <c r="B11292" i="23"/>
  <c r="B11291" i="23"/>
  <c r="B11290" i="23"/>
  <c r="B11289" i="23"/>
  <c r="B11828" i="23"/>
  <c r="B11827" i="23"/>
  <c r="B11826" i="23"/>
  <c r="B11825" i="23"/>
  <c r="B11824" i="23"/>
  <c r="B11823" i="23"/>
  <c r="B11822" i="23"/>
  <c r="B11821" i="23"/>
  <c r="B11820" i="23"/>
  <c r="B11819" i="23"/>
  <c r="B11818" i="23"/>
  <c r="B11817" i="23"/>
  <c r="B11816" i="23"/>
  <c r="B11815" i="23"/>
  <c r="B11814" i="23"/>
  <c r="B11813" i="23"/>
  <c r="B11812" i="23"/>
  <c r="B11811" i="23"/>
  <c r="B11810" i="23"/>
  <c r="B11809" i="23"/>
  <c r="B11808" i="23"/>
  <c r="B11807" i="23"/>
  <c r="B11806" i="23"/>
  <c r="B11805" i="23"/>
  <c r="B11804" i="23"/>
  <c r="B11803" i="23"/>
  <c r="B11802" i="23"/>
  <c r="B12179" i="23"/>
  <c r="B12178" i="23"/>
  <c r="B12177" i="23"/>
  <c r="B12176" i="23"/>
  <c r="B12175" i="23"/>
  <c r="B12174" i="23"/>
  <c r="B12173" i="23"/>
  <c r="B12172" i="23"/>
  <c r="B12171" i="23"/>
  <c r="B12170" i="23"/>
  <c r="B12169" i="23"/>
  <c r="B12168" i="23"/>
  <c r="B12167" i="23"/>
  <c r="B12166" i="23"/>
  <c r="B12165" i="23"/>
  <c r="B12164" i="23"/>
  <c r="B12163" i="23"/>
  <c r="B12162" i="23"/>
  <c r="B12161" i="23"/>
  <c r="B12160" i="23"/>
  <c r="B12159" i="23"/>
  <c r="B12158" i="23"/>
  <c r="B12157" i="23"/>
  <c r="B12156" i="23"/>
  <c r="B12155" i="23"/>
  <c r="B12154" i="23"/>
  <c r="B12153" i="23"/>
  <c r="B12233" i="23"/>
  <c r="B12232" i="23"/>
  <c r="B12231" i="23"/>
  <c r="B12230" i="23"/>
  <c r="B12229" i="23"/>
  <c r="B12228" i="23"/>
  <c r="B12227" i="23"/>
  <c r="B12226" i="23"/>
  <c r="B12225" i="23"/>
  <c r="B12224" i="23"/>
  <c r="B12223" i="23"/>
  <c r="B12222" i="23"/>
  <c r="B12221" i="23"/>
  <c r="B12220" i="23"/>
  <c r="B12219" i="23"/>
  <c r="B12218" i="23"/>
  <c r="B12217" i="23"/>
  <c r="B12216" i="23"/>
  <c r="B12215" i="23"/>
  <c r="B12214" i="23"/>
  <c r="B12213" i="23"/>
  <c r="B12212" i="23"/>
  <c r="B12211" i="23"/>
  <c r="B12210" i="23"/>
  <c r="B12209" i="23"/>
  <c r="B12208" i="23"/>
  <c r="B12207" i="23"/>
  <c r="B11369" i="23"/>
  <c r="B11368" i="23"/>
  <c r="B11367" i="23"/>
  <c r="B11366" i="23"/>
  <c r="B11365" i="23"/>
  <c r="B11364" i="23"/>
  <c r="B11363" i="23"/>
  <c r="B11362" i="23"/>
  <c r="B11361" i="23"/>
  <c r="B11360" i="23"/>
  <c r="B11359" i="23"/>
  <c r="B11358" i="23"/>
  <c r="B11357" i="23"/>
  <c r="B11356" i="23"/>
  <c r="B11355" i="23"/>
  <c r="B11354" i="23"/>
  <c r="B11353" i="23"/>
  <c r="B11352" i="23"/>
  <c r="B11351" i="23"/>
  <c r="B11350" i="23"/>
  <c r="B11349" i="23"/>
  <c r="B11348" i="23"/>
  <c r="B11347" i="23"/>
  <c r="B11346" i="23"/>
  <c r="B11345" i="23"/>
  <c r="B11344" i="23"/>
  <c r="B11343" i="23"/>
  <c r="B12071" i="23"/>
  <c r="B12070" i="23"/>
  <c r="B12069" i="23"/>
  <c r="B12068" i="23"/>
  <c r="B12067" i="23"/>
  <c r="B12066" i="23"/>
  <c r="B12065" i="23"/>
  <c r="B12064" i="23"/>
  <c r="B12063" i="23"/>
  <c r="B12062" i="23"/>
  <c r="B12061" i="23"/>
  <c r="B12060" i="23"/>
  <c r="B12059" i="23"/>
  <c r="B12058" i="23"/>
  <c r="B12057" i="23"/>
  <c r="B12056" i="23"/>
  <c r="B12055" i="23"/>
  <c r="B12054" i="23"/>
  <c r="B12053" i="23"/>
  <c r="B12052" i="23"/>
  <c r="B12051" i="23"/>
  <c r="B12050" i="23"/>
  <c r="B12049" i="23"/>
  <c r="B12048" i="23"/>
  <c r="B12047" i="23"/>
  <c r="B12046" i="23"/>
  <c r="B12045" i="23"/>
  <c r="C11450" i="23"/>
  <c r="C11449" i="23"/>
  <c r="C11448" i="23"/>
  <c r="C11447" i="23"/>
  <c r="C11446" i="23"/>
  <c r="C11445" i="23"/>
  <c r="C11444" i="23"/>
  <c r="C11443" i="23"/>
  <c r="C11442" i="23"/>
  <c r="C11441" i="23"/>
  <c r="C11440" i="23"/>
  <c r="C11439" i="23"/>
  <c r="C11438" i="23"/>
  <c r="C11437" i="23"/>
  <c r="C11436" i="23"/>
  <c r="C11435" i="23"/>
  <c r="C11434" i="23"/>
  <c r="C11433" i="23"/>
  <c r="C11432" i="23"/>
  <c r="C11431" i="23"/>
  <c r="C11430" i="23"/>
  <c r="C11429" i="23"/>
  <c r="C11428" i="23"/>
  <c r="C11427" i="23"/>
  <c r="C11426" i="23"/>
  <c r="C11425" i="23"/>
  <c r="C11424" i="23"/>
  <c r="C11477" i="23"/>
  <c r="C11476" i="23"/>
  <c r="C11475" i="23"/>
  <c r="C11474" i="23"/>
  <c r="C11473" i="23"/>
  <c r="C11472" i="23"/>
  <c r="C11471" i="23"/>
  <c r="C11470" i="23"/>
  <c r="C11469" i="23"/>
  <c r="C11468" i="23"/>
  <c r="C11467" i="23"/>
  <c r="C11466" i="23"/>
  <c r="C11465" i="23"/>
  <c r="C11464" i="23"/>
  <c r="C11463" i="23"/>
  <c r="C11462" i="23"/>
  <c r="C11461" i="23"/>
  <c r="C11460" i="23"/>
  <c r="C11459" i="23"/>
  <c r="C11458" i="23"/>
  <c r="C11457" i="23"/>
  <c r="C11456" i="23"/>
  <c r="C11455" i="23"/>
  <c r="C11454" i="23"/>
  <c r="C11453" i="23"/>
  <c r="C11452" i="23"/>
  <c r="C11451" i="23"/>
  <c r="C11504" i="23"/>
  <c r="C11503" i="23"/>
  <c r="C11502" i="23"/>
  <c r="C11501" i="23"/>
  <c r="C11500" i="23"/>
  <c r="C11499" i="23"/>
  <c r="C11498" i="23"/>
  <c r="C11497" i="23"/>
  <c r="C11496" i="23"/>
  <c r="C11495" i="23"/>
  <c r="C11494" i="23"/>
  <c r="C11493" i="23"/>
  <c r="C11492" i="23"/>
  <c r="C11491" i="23"/>
  <c r="C11490" i="23"/>
  <c r="C11489" i="23"/>
  <c r="C11488" i="23"/>
  <c r="C11487" i="23"/>
  <c r="C11486" i="23"/>
  <c r="C11485" i="23"/>
  <c r="C11484" i="23"/>
  <c r="C11483" i="23"/>
  <c r="C11482" i="23"/>
  <c r="C11481" i="23"/>
  <c r="C11480" i="23"/>
  <c r="C11479" i="23"/>
  <c r="C11478" i="23"/>
  <c r="C11531" i="23"/>
  <c r="C11530" i="23"/>
  <c r="C11529" i="23"/>
  <c r="C11528" i="23"/>
  <c r="C11527" i="23"/>
  <c r="C11526" i="23"/>
  <c r="C11525" i="23"/>
  <c r="C11524" i="23"/>
  <c r="C11523" i="23"/>
  <c r="C11522" i="23"/>
  <c r="C11521" i="23"/>
  <c r="C11520" i="23"/>
  <c r="C11519" i="23"/>
  <c r="C11518" i="23"/>
  <c r="C11517" i="23"/>
  <c r="C11516" i="23"/>
  <c r="C11515" i="23"/>
  <c r="C11514" i="23"/>
  <c r="C11513" i="23"/>
  <c r="C11512" i="23"/>
  <c r="C11511" i="23"/>
  <c r="C11510" i="23"/>
  <c r="C11509" i="23"/>
  <c r="C11508" i="23"/>
  <c r="C11507" i="23"/>
  <c r="C11506" i="23"/>
  <c r="C11505" i="23"/>
  <c r="C11558" i="23"/>
  <c r="C11557" i="23"/>
  <c r="C11556" i="23"/>
  <c r="C11555" i="23"/>
  <c r="C11554" i="23"/>
  <c r="C11553" i="23"/>
  <c r="C11552" i="23"/>
  <c r="C11551" i="23"/>
  <c r="C11550" i="23"/>
  <c r="C11549" i="23"/>
  <c r="C11548" i="23"/>
  <c r="C11547" i="23"/>
  <c r="C11546" i="23"/>
  <c r="C11545" i="23"/>
  <c r="C11544" i="23"/>
  <c r="C11543" i="23"/>
  <c r="C11542" i="23"/>
  <c r="C11541" i="23"/>
  <c r="C11540" i="23"/>
  <c r="C11539" i="23"/>
  <c r="C11538" i="23"/>
  <c r="C11537" i="23"/>
  <c r="C11536" i="23"/>
  <c r="C11535" i="23"/>
  <c r="C11534" i="23"/>
  <c r="C11533" i="23"/>
  <c r="C11532" i="23"/>
  <c r="C11585" i="23"/>
  <c r="C11584" i="23"/>
  <c r="C11583" i="23"/>
  <c r="C11582" i="23"/>
  <c r="C11581" i="23"/>
  <c r="C11580" i="23"/>
  <c r="C11579" i="23"/>
  <c r="C11578" i="23"/>
  <c r="C11577" i="23"/>
  <c r="C11576" i="23"/>
  <c r="C11575" i="23"/>
  <c r="C11574" i="23"/>
  <c r="C11573" i="23"/>
  <c r="C11572" i="23"/>
  <c r="C11571" i="23"/>
  <c r="C11570" i="23"/>
  <c r="C11569" i="23"/>
  <c r="C11568" i="23"/>
  <c r="C11567" i="23"/>
  <c r="C11566" i="23"/>
  <c r="C11565" i="23"/>
  <c r="C11564" i="23"/>
  <c r="C11563" i="23"/>
  <c r="C11562" i="23"/>
  <c r="C11561" i="23"/>
  <c r="C11560" i="23"/>
  <c r="C11559" i="23"/>
  <c r="C11612" i="23"/>
  <c r="C11611" i="23"/>
  <c r="C11610" i="23"/>
  <c r="C11609" i="23"/>
  <c r="C11608" i="23"/>
  <c r="C11607" i="23"/>
  <c r="C11606" i="23"/>
  <c r="C11605" i="23"/>
  <c r="C11604" i="23"/>
  <c r="C11603" i="23"/>
  <c r="C11602" i="23"/>
  <c r="C11601" i="23"/>
  <c r="C11600" i="23"/>
  <c r="C11599" i="23"/>
  <c r="C11598" i="23"/>
  <c r="C11597" i="23"/>
  <c r="C11596" i="23"/>
  <c r="C11595" i="23"/>
  <c r="C11594" i="23"/>
  <c r="C11593" i="23"/>
  <c r="C11592" i="23"/>
  <c r="C11591" i="23"/>
  <c r="C11590" i="23"/>
  <c r="C11589" i="23"/>
  <c r="C11588" i="23"/>
  <c r="C11587" i="23"/>
  <c r="C11586" i="23"/>
  <c r="C11639" i="23"/>
  <c r="C11638" i="23"/>
  <c r="C11637" i="23"/>
  <c r="C11636" i="23"/>
  <c r="C11635" i="23"/>
  <c r="C11634" i="23"/>
  <c r="C11633" i="23"/>
  <c r="C11632" i="23"/>
  <c r="C11631" i="23"/>
  <c r="C11630" i="23"/>
  <c r="C11629" i="23"/>
  <c r="C11628" i="23"/>
  <c r="C11627" i="23"/>
  <c r="C11626" i="23"/>
  <c r="C11625" i="23"/>
  <c r="C11624" i="23"/>
  <c r="C11623" i="23"/>
  <c r="C11622" i="23"/>
  <c r="C11621" i="23"/>
  <c r="C11620" i="23"/>
  <c r="C11619" i="23"/>
  <c r="C11618" i="23"/>
  <c r="C11617" i="23"/>
  <c r="C11616" i="23"/>
  <c r="C11615" i="23"/>
  <c r="C11614" i="23"/>
  <c r="C11613" i="23"/>
  <c r="C11666" i="23"/>
  <c r="C11665" i="23"/>
  <c r="C11664" i="23"/>
  <c r="C11663" i="23"/>
  <c r="C11662" i="23"/>
  <c r="C11661" i="23"/>
  <c r="C11660" i="23"/>
  <c r="C11659" i="23"/>
  <c r="C11658" i="23"/>
  <c r="C11657" i="23"/>
  <c r="C11656" i="23"/>
  <c r="C11655" i="23"/>
  <c r="C11654" i="23"/>
  <c r="C11653" i="23"/>
  <c r="C11652" i="23"/>
  <c r="C11651" i="23"/>
  <c r="C11650" i="23"/>
  <c r="C11649" i="23"/>
  <c r="C11648" i="23"/>
  <c r="C11647" i="23"/>
  <c r="C11646" i="23"/>
  <c r="C11645" i="23"/>
  <c r="C11644" i="23"/>
  <c r="C11643" i="23"/>
  <c r="C11642" i="23"/>
  <c r="C11641" i="23"/>
  <c r="C11640" i="23"/>
  <c r="C11423" i="23"/>
  <c r="C11422" i="23"/>
  <c r="C11421" i="23"/>
  <c r="C11420" i="23"/>
  <c r="C11419" i="23"/>
  <c r="C11418" i="23"/>
  <c r="C11417" i="23"/>
  <c r="C11416" i="23"/>
  <c r="C11415" i="23"/>
  <c r="C11414" i="23"/>
  <c r="C11413" i="23"/>
  <c r="C11412" i="23"/>
  <c r="C11411" i="23"/>
  <c r="C11410" i="23"/>
  <c r="C11409" i="23"/>
  <c r="C11408" i="23"/>
  <c r="C11407" i="23"/>
  <c r="C11406" i="23"/>
  <c r="C11405" i="23"/>
  <c r="C11404" i="23"/>
  <c r="C11403" i="23"/>
  <c r="C11402" i="23"/>
  <c r="C11401" i="23"/>
  <c r="C11400" i="23"/>
  <c r="C11399" i="23"/>
  <c r="C11398" i="23"/>
  <c r="C11397" i="23"/>
  <c r="C11774" i="23"/>
  <c r="C11773" i="23"/>
  <c r="C11772" i="23"/>
  <c r="C11771" i="23"/>
  <c r="C11770" i="23"/>
  <c r="C11769" i="23"/>
  <c r="C11768" i="23"/>
  <c r="C11767" i="23"/>
  <c r="C11766" i="23"/>
  <c r="C11765" i="23"/>
  <c r="C11764" i="23"/>
  <c r="C11763" i="23"/>
  <c r="C11762" i="23"/>
  <c r="C11761" i="23"/>
  <c r="C11760" i="23"/>
  <c r="C11759" i="23"/>
  <c r="C11758" i="23"/>
  <c r="C11757" i="23"/>
  <c r="C11756" i="23"/>
  <c r="C11755" i="23"/>
  <c r="C11754" i="23"/>
  <c r="C11753" i="23"/>
  <c r="C11752" i="23"/>
  <c r="C11751" i="23"/>
  <c r="C11750" i="23"/>
  <c r="C11749" i="23"/>
  <c r="C11748" i="23"/>
  <c r="C12125" i="23"/>
  <c r="C12124" i="23"/>
  <c r="C12123" i="23"/>
  <c r="C12122" i="23"/>
  <c r="C12121" i="23"/>
  <c r="C12120" i="23"/>
  <c r="C12119" i="23"/>
  <c r="C12118" i="23"/>
  <c r="C12117" i="23"/>
  <c r="C12116" i="23"/>
  <c r="C12115" i="23"/>
  <c r="C12114" i="23"/>
  <c r="C12113" i="23"/>
  <c r="C12112" i="23"/>
  <c r="C12111" i="23"/>
  <c r="C12110" i="23"/>
  <c r="C12109" i="23"/>
  <c r="C12108" i="23"/>
  <c r="C12107" i="23"/>
  <c r="C12106" i="23"/>
  <c r="C12105" i="23"/>
  <c r="C12104" i="23"/>
  <c r="C12103" i="23"/>
  <c r="C12102" i="23"/>
  <c r="C12101" i="23"/>
  <c r="C12100" i="23"/>
  <c r="C12099" i="23"/>
  <c r="C11801" i="23"/>
  <c r="C11800" i="23"/>
  <c r="C11799" i="23"/>
  <c r="C11798" i="23"/>
  <c r="C11797" i="23"/>
  <c r="C11796" i="23"/>
  <c r="C11795" i="23"/>
  <c r="C11794" i="23"/>
  <c r="C11793" i="23"/>
  <c r="C11792" i="23"/>
  <c r="C11791" i="23"/>
  <c r="C11790" i="23"/>
  <c r="C11789" i="23"/>
  <c r="C11788" i="23"/>
  <c r="C11787" i="23"/>
  <c r="C11786" i="23"/>
  <c r="C11785" i="23"/>
  <c r="C11784" i="23"/>
  <c r="C11783" i="23"/>
  <c r="C11782" i="23"/>
  <c r="C11781" i="23"/>
  <c r="C11780" i="23"/>
  <c r="C11779" i="23"/>
  <c r="C11778" i="23"/>
  <c r="C11777" i="23"/>
  <c r="C11776" i="23"/>
  <c r="C11775" i="23"/>
  <c r="C12260" i="23"/>
  <c r="C12259" i="23"/>
  <c r="C12258" i="23"/>
  <c r="C12257" i="23"/>
  <c r="C12256" i="23"/>
  <c r="C12255" i="23"/>
  <c r="C12254" i="23"/>
  <c r="C12253" i="23"/>
  <c r="C12252" i="23"/>
  <c r="C12251" i="23"/>
  <c r="C12250" i="23"/>
  <c r="C12249" i="23"/>
  <c r="C12248" i="23"/>
  <c r="C12247" i="23"/>
  <c r="C12246" i="23"/>
  <c r="C12245" i="23"/>
  <c r="C12244" i="23"/>
  <c r="C12243" i="23"/>
  <c r="C12242" i="23"/>
  <c r="C12241" i="23"/>
  <c r="C12240" i="23"/>
  <c r="C12239" i="23"/>
  <c r="C12238" i="23"/>
  <c r="C12237" i="23"/>
  <c r="C12236" i="23"/>
  <c r="C12235" i="23"/>
  <c r="C12234" i="23"/>
  <c r="C11396" i="23"/>
  <c r="C11395" i="23"/>
  <c r="C11394" i="23"/>
  <c r="C11393" i="23"/>
  <c r="C11392" i="23"/>
  <c r="C11391" i="23"/>
  <c r="C11390" i="23"/>
  <c r="C11389" i="23"/>
  <c r="C11388" i="23"/>
  <c r="C11387" i="23"/>
  <c r="C11386" i="23"/>
  <c r="C11385" i="23"/>
  <c r="C11384" i="23"/>
  <c r="C11383" i="23"/>
  <c r="C11382" i="23"/>
  <c r="C11381" i="23"/>
  <c r="C11380" i="23"/>
  <c r="C11379" i="23"/>
  <c r="C11378" i="23"/>
  <c r="C11377" i="23"/>
  <c r="C11376" i="23"/>
  <c r="C11375" i="23"/>
  <c r="C11374" i="23"/>
  <c r="C11373" i="23"/>
  <c r="C11372" i="23"/>
  <c r="C11371" i="23"/>
  <c r="C11370" i="23"/>
  <c r="C11747" i="23"/>
  <c r="C11746" i="23"/>
  <c r="C11745" i="23"/>
  <c r="C11744" i="23"/>
  <c r="C11743" i="23"/>
  <c r="C11742" i="23"/>
  <c r="C11741" i="23"/>
  <c r="C11740" i="23"/>
  <c r="C11739" i="23"/>
  <c r="C11738" i="23"/>
  <c r="C11737" i="23"/>
  <c r="C11736" i="23"/>
  <c r="C11735" i="23"/>
  <c r="C11734" i="23"/>
  <c r="C11733" i="23"/>
  <c r="C11732" i="23"/>
  <c r="C11731" i="23"/>
  <c r="C11730" i="23"/>
  <c r="C11729" i="23"/>
  <c r="C11728" i="23"/>
  <c r="C11727" i="23"/>
  <c r="C11726" i="23"/>
  <c r="C11725" i="23"/>
  <c r="C11724" i="23"/>
  <c r="C11723" i="23"/>
  <c r="C11722" i="23"/>
  <c r="C11721" i="23"/>
  <c r="C12044" i="23"/>
  <c r="C12043" i="23"/>
  <c r="C12042" i="23"/>
  <c r="C12041" i="23"/>
  <c r="C12040" i="23"/>
  <c r="C12039" i="23"/>
  <c r="C12038" i="23"/>
  <c r="C12037" i="23"/>
  <c r="C12036" i="23"/>
  <c r="C12035" i="23"/>
  <c r="C12034" i="23"/>
  <c r="C12033" i="23"/>
  <c r="C12032" i="23"/>
  <c r="C12031" i="23"/>
  <c r="C12030" i="23"/>
  <c r="C12029" i="23"/>
  <c r="C12028" i="23"/>
  <c r="C12027" i="23"/>
  <c r="C12026" i="23"/>
  <c r="C12025" i="23"/>
  <c r="C12024" i="23"/>
  <c r="C12023" i="23"/>
  <c r="C12022" i="23"/>
  <c r="C12021" i="23"/>
  <c r="C12020" i="23"/>
  <c r="C12019" i="23"/>
  <c r="C12018" i="23"/>
  <c r="C11855" i="23"/>
  <c r="C11854" i="23"/>
  <c r="C11853" i="23"/>
  <c r="C11852" i="23"/>
  <c r="C11851" i="23"/>
  <c r="C11850" i="23"/>
  <c r="C11849" i="23"/>
  <c r="C11848" i="23"/>
  <c r="C11847" i="23"/>
  <c r="C11846" i="23"/>
  <c r="C11845" i="23"/>
  <c r="C11844" i="23"/>
  <c r="C11843" i="23"/>
  <c r="C11842" i="23"/>
  <c r="C11841" i="23"/>
  <c r="C11840" i="23"/>
  <c r="C11839" i="23"/>
  <c r="C11838" i="23"/>
  <c r="C11837" i="23"/>
  <c r="C11836" i="23"/>
  <c r="C11835" i="23"/>
  <c r="C11834" i="23"/>
  <c r="C11833" i="23"/>
  <c r="C11832" i="23"/>
  <c r="C11831" i="23"/>
  <c r="C11830" i="23"/>
  <c r="C11829" i="23"/>
  <c r="C11936" i="23"/>
  <c r="C11935" i="23"/>
  <c r="C11934" i="23"/>
  <c r="C11933" i="23"/>
  <c r="C11932" i="23"/>
  <c r="C11931" i="23"/>
  <c r="C11930" i="23"/>
  <c r="C11929" i="23"/>
  <c r="C11928" i="23"/>
  <c r="C11927" i="23"/>
  <c r="C11926" i="23"/>
  <c r="C11925" i="23"/>
  <c r="C11924" i="23"/>
  <c r="C11923" i="23"/>
  <c r="C11922" i="23"/>
  <c r="C11921" i="23"/>
  <c r="C11920" i="23"/>
  <c r="C11919" i="23"/>
  <c r="C11918" i="23"/>
  <c r="C11917" i="23"/>
  <c r="C11916" i="23"/>
  <c r="C11915" i="23"/>
  <c r="C11914" i="23"/>
  <c r="C11913" i="23"/>
  <c r="C11912" i="23"/>
  <c r="C11911" i="23"/>
  <c r="C11910" i="23"/>
  <c r="C12206" i="23"/>
  <c r="C12205" i="23"/>
  <c r="C12204" i="23"/>
  <c r="C12203" i="23"/>
  <c r="C12202" i="23"/>
  <c r="C12201" i="23"/>
  <c r="C12200" i="23"/>
  <c r="C12199" i="23"/>
  <c r="C12198" i="23"/>
  <c r="C12197" i="23"/>
  <c r="C12196" i="23"/>
  <c r="C12195" i="23"/>
  <c r="C12194" i="23"/>
  <c r="C12193" i="23"/>
  <c r="C12192" i="23"/>
  <c r="C12191" i="23"/>
  <c r="C12190" i="23"/>
  <c r="C12189" i="23"/>
  <c r="C12188" i="23"/>
  <c r="C12187" i="23"/>
  <c r="C12186" i="23"/>
  <c r="C12185" i="23"/>
  <c r="C12184" i="23"/>
  <c r="C12183" i="23"/>
  <c r="C12182" i="23"/>
  <c r="C12181" i="23"/>
  <c r="C12180" i="23"/>
  <c r="C12152" i="23"/>
  <c r="C12151" i="23"/>
  <c r="C12150" i="23"/>
  <c r="C12149" i="23"/>
  <c r="C12148" i="23"/>
  <c r="C12147" i="23"/>
  <c r="C12146" i="23"/>
  <c r="C12145" i="23"/>
  <c r="C12144" i="23"/>
  <c r="C12143" i="23"/>
  <c r="C12142" i="23"/>
  <c r="C12141" i="23"/>
  <c r="C12140" i="23"/>
  <c r="C12139" i="23"/>
  <c r="C12138" i="23"/>
  <c r="C12137" i="23"/>
  <c r="C12136" i="23"/>
  <c r="C12135" i="23"/>
  <c r="C12134" i="23"/>
  <c r="C12133" i="23"/>
  <c r="C12132" i="23"/>
  <c r="C12131" i="23"/>
  <c r="C12130" i="23"/>
  <c r="C12129" i="23"/>
  <c r="C12128" i="23"/>
  <c r="C12127" i="23"/>
  <c r="C12126" i="23"/>
  <c r="C12098" i="23"/>
  <c r="C12097" i="23"/>
  <c r="C12096" i="23"/>
  <c r="C12095" i="23"/>
  <c r="C12094" i="23"/>
  <c r="C12093" i="23"/>
  <c r="C12092" i="23"/>
  <c r="C12091" i="23"/>
  <c r="C12090" i="23"/>
  <c r="C12089" i="23"/>
  <c r="C12088" i="23"/>
  <c r="C12087" i="23"/>
  <c r="C12086" i="23"/>
  <c r="C12085" i="23"/>
  <c r="C12084" i="23"/>
  <c r="C12083" i="23"/>
  <c r="C12082" i="23"/>
  <c r="C12081" i="23"/>
  <c r="C12080" i="23"/>
  <c r="C12079" i="23"/>
  <c r="C12078" i="23"/>
  <c r="C12077" i="23"/>
  <c r="C12076" i="23"/>
  <c r="C12075" i="23"/>
  <c r="C12074" i="23"/>
  <c r="C12073" i="23"/>
  <c r="C12072" i="23"/>
  <c r="C11909" i="23"/>
  <c r="C11908" i="23"/>
  <c r="C11907" i="23"/>
  <c r="C11906" i="23"/>
  <c r="C11905" i="23"/>
  <c r="C11904" i="23"/>
  <c r="C11903" i="23"/>
  <c r="C11902" i="23"/>
  <c r="C11901" i="23"/>
  <c r="C11900" i="23"/>
  <c r="C11899" i="23"/>
  <c r="C11898" i="23"/>
  <c r="C11897" i="23"/>
  <c r="C11896" i="23"/>
  <c r="C11895" i="23"/>
  <c r="C11894" i="23"/>
  <c r="C11893" i="23"/>
  <c r="C11892" i="23"/>
  <c r="C11891" i="23"/>
  <c r="C11890" i="23"/>
  <c r="C11889" i="23"/>
  <c r="C11888" i="23"/>
  <c r="C11887" i="23"/>
  <c r="C11886" i="23"/>
  <c r="C11885" i="23"/>
  <c r="C11884" i="23"/>
  <c r="C11883" i="23"/>
  <c r="C11342" i="23"/>
  <c r="C11341" i="23"/>
  <c r="C11340" i="23"/>
  <c r="C11339" i="23"/>
  <c r="C11338" i="23"/>
  <c r="C11337" i="23"/>
  <c r="C11336" i="23"/>
  <c r="C11335" i="23"/>
  <c r="C11334" i="23"/>
  <c r="C11333" i="23"/>
  <c r="C11332" i="23"/>
  <c r="C11331" i="23"/>
  <c r="C11330" i="23"/>
  <c r="C11329" i="23"/>
  <c r="C11328" i="23"/>
  <c r="C11327" i="23"/>
  <c r="C11326" i="23"/>
  <c r="C11325" i="23"/>
  <c r="C11324" i="23"/>
  <c r="C11323" i="23"/>
  <c r="C11322" i="23"/>
  <c r="C11321" i="23"/>
  <c r="C11320" i="23"/>
  <c r="C11319" i="23"/>
  <c r="C11318" i="23"/>
  <c r="C11317" i="23"/>
  <c r="C11316" i="23"/>
  <c r="C11882" i="23"/>
  <c r="C11881" i="23"/>
  <c r="C11880" i="23"/>
  <c r="C11879" i="23"/>
  <c r="C11878" i="23"/>
  <c r="C11877" i="23"/>
  <c r="C11876" i="23"/>
  <c r="C11875" i="23"/>
  <c r="C11874" i="23"/>
  <c r="C11873" i="23"/>
  <c r="C11872" i="23"/>
  <c r="C11871" i="23"/>
  <c r="C11870" i="23"/>
  <c r="C11869" i="23"/>
  <c r="C11868" i="23"/>
  <c r="C11867" i="23"/>
  <c r="C11866" i="23"/>
  <c r="C11865" i="23"/>
  <c r="C11864" i="23"/>
  <c r="C11863" i="23"/>
  <c r="C11862" i="23"/>
  <c r="C11861" i="23"/>
  <c r="C11860" i="23"/>
  <c r="C11859" i="23"/>
  <c r="C11858" i="23"/>
  <c r="C11857" i="23"/>
  <c r="C11856" i="23"/>
  <c r="C11693" i="23"/>
  <c r="C11692" i="23"/>
  <c r="C11691" i="23"/>
  <c r="C11690" i="23"/>
  <c r="C11689" i="23"/>
  <c r="C11688" i="23"/>
  <c r="C11687" i="23"/>
  <c r="C11686" i="23"/>
  <c r="C11685" i="23"/>
  <c r="C11684" i="23"/>
  <c r="C11683" i="23"/>
  <c r="C11682" i="23"/>
  <c r="C11681" i="23"/>
  <c r="C11680" i="23"/>
  <c r="C11679" i="23"/>
  <c r="C11678" i="23"/>
  <c r="C11677" i="23"/>
  <c r="C11676" i="23"/>
  <c r="C11675" i="23"/>
  <c r="C11674" i="23"/>
  <c r="C11673" i="23"/>
  <c r="C11672" i="23"/>
  <c r="C11671" i="23"/>
  <c r="C11670" i="23"/>
  <c r="C11669" i="23"/>
  <c r="C11668" i="23"/>
  <c r="C11667" i="23"/>
  <c r="C12287" i="23"/>
  <c r="C12286" i="23"/>
  <c r="C12285" i="23"/>
  <c r="C12284" i="23"/>
  <c r="C12283" i="23"/>
  <c r="C12282" i="23"/>
  <c r="C12281" i="23"/>
  <c r="C12280" i="23"/>
  <c r="C12279" i="23"/>
  <c r="C12278" i="23"/>
  <c r="C12277" i="23"/>
  <c r="C12276" i="23"/>
  <c r="C12275" i="23"/>
  <c r="C12274" i="23"/>
  <c r="C12273" i="23"/>
  <c r="C12272" i="23"/>
  <c r="C12271" i="23"/>
  <c r="C12270" i="23"/>
  <c r="C12269" i="23"/>
  <c r="C12268" i="23"/>
  <c r="C12267" i="23"/>
  <c r="C12266" i="23"/>
  <c r="C12265" i="23"/>
  <c r="C12264" i="23"/>
  <c r="C12263" i="23"/>
  <c r="C12262" i="23"/>
  <c r="C12261" i="23"/>
  <c r="C12017" i="23"/>
  <c r="C12016" i="23"/>
  <c r="C12015" i="23"/>
  <c r="C12014" i="23"/>
  <c r="C12013" i="23"/>
  <c r="C12012" i="23"/>
  <c r="C12011" i="23"/>
  <c r="C12010" i="23"/>
  <c r="C12009" i="23"/>
  <c r="C12008" i="23"/>
  <c r="C12007" i="23"/>
  <c r="C12006" i="23"/>
  <c r="C12005" i="23"/>
  <c r="C12004" i="23"/>
  <c r="C12003" i="23"/>
  <c r="C12002" i="23"/>
  <c r="C12001" i="23"/>
  <c r="C12000" i="23"/>
  <c r="C11999" i="23"/>
  <c r="C11998" i="23"/>
  <c r="C11997" i="23"/>
  <c r="C11996" i="23"/>
  <c r="C11995" i="23"/>
  <c r="C11994" i="23"/>
  <c r="C11993" i="23"/>
  <c r="C11992" i="23"/>
  <c r="C11991" i="23"/>
  <c r="C12314" i="23"/>
  <c r="C12313" i="23"/>
  <c r="C12312" i="23"/>
  <c r="C12311" i="23"/>
  <c r="C12310" i="23"/>
  <c r="C12309" i="23"/>
  <c r="C12308" i="23"/>
  <c r="C12307" i="23"/>
  <c r="C12306" i="23"/>
  <c r="C12305" i="23"/>
  <c r="C12304" i="23"/>
  <c r="C12303" i="23"/>
  <c r="C12302" i="23"/>
  <c r="C12301" i="23"/>
  <c r="C12300" i="23"/>
  <c r="C12299" i="23"/>
  <c r="C12298" i="23"/>
  <c r="C12297" i="23"/>
  <c r="C12296" i="23"/>
  <c r="C12295" i="23"/>
  <c r="C12294" i="23"/>
  <c r="C12293" i="23"/>
  <c r="C12292" i="23"/>
  <c r="C12291" i="23"/>
  <c r="C12290" i="23"/>
  <c r="C12289" i="23"/>
  <c r="C12288" i="23"/>
  <c r="C11963" i="23"/>
  <c r="C11962" i="23"/>
  <c r="C11961" i="23"/>
  <c r="C11960" i="23"/>
  <c r="C11959" i="23"/>
  <c r="C11958" i="23"/>
  <c r="C11957" i="23"/>
  <c r="C11956" i="23"/>
  <c r="C11955" i="23"/>
  <c r="C11954" i="23"/>
  <c r="C11953" i="23"/>
  <c r="C11952" i="23"/>
  <c r="C11951" i="23"/>
  <c r="C11950" i="23"/>
  <c r="C11949" i="23"/>
  <c r="C11948" i="23"/>
  <c r="C11947" i="23"/>
  <c r="C11946" i="23"/>
  <c r="C11945" i="23"/>
  <c r="C11944" i="23"/>
  <c r="C11943" i="23"/>
  <c r="C11942" i="23"/>
  <c r="C11941" i="23"/>
  <c r="C11940" i="23"/>
  <c r="C11939" i="23"/>
  <c r="C11938" i="23"/>
  <c r="C11937" i="23"/>
  <c r="C11990" i="23"/>
  <c r="C11989" i="23"/>
  <c r="C11988" i="23"/>
  <c r="C11987" i="23"/>
  <c r="C11986" i="23"/>
  <c r="C11985" i="23"/>
  <c r="C11984" i="23"/>
  <c r="C11983" i="23"/>
  <c r="C11982" i="23"/>
  <c r="C11981" i="23"/>
  <c r="C11980" i="23"/>
  <c r="C11979" i="23"/>
  <c r="C11978" i="23"/>
  <c r="C11977" i="23"/>
  <c r="C11976" i="23"/>
  <c r="C11975" i="23"/>
  <c r="C11974" i="23"/>
  <c r="C11973" i="23"/>
  <c r="C11972" i="23"/>
  <c r="C11971" i="23"/>
  <c r="C11970" i="23"/>
  <c r="C11969" i="23"/>
  <c r="C11968" i="23"/>
  <c r="C11967" i="23"/>
  <c r="C11966" i="23"/>
  <c r="C11965" i="23"/>
  <c r="C11964" i="23"/>
  <c r="C11720" i="23"/>
  <c r="C11719" i="23"/>
  <c r="C11718" i="23"/>
  <c r="C11717" i="23"/>
  <c r="C11716" i="23"/>
  <c r="C11715" i="23"/>
  <c r="C11714" i="23"/>
  <c r="C11713" i="23"/>
  <c r="C11712" i="23"/>
  <c r="C11711" i="23"/>
  <c r="C11710" i="23"/>
  <c r="C11709" i="23"/>
  <c r="C11708" i="23"/>
  <c r="C11707" i="23"/>
  <c r="C11706" i="23"/>
  <c r="C11705" i="23"/>
  <c r="C11704" i="23"/>
  <c r="C11703" i="23"/>
  <c r="C11702" i="23"/>
  <c r="C11701" i="23"/>
  <c r="C11700" i="23"/>
  <c r="C11699" i="23"/>
  <c r="C11698" i="23"/>
  <c r="C11697" i="23"/>
  <c r="C11696" i="23"/>
  <c r="C11695" i="23"/>
  <c r="C11694" i="23"/>
  <c r="C11315" i="23"/>
  <c r="C11314" i="23"/>
  <c r="C11313" i="23"/>
  <c r="C11312" i="23"/>
  <c r="C11311" i="23"/>
  <c r="C11310" i="23"/>
  <c r="C11309" i="23"/>
  <c r="C11308" i="23"/>
  <c r="C11307" i="23"/>
  <c r="C11306" i="23"/>
  <c r="C11305" i="23"/>
  <c r="C11304" i="23"/>
  <c r="C11303" i="23"/>
  <c r="C11302" i="23"/>
  <c r="C11301" i="23"/>
  <c r="C11300" i="23"/>
  <c r="C11299" i="23"/>
  <c r="C11298" i="23"/>
  <c r="C11297" i="23"/>
  <c r="C11296" i="23"/>
  <c r="C11295" i="23"/>
  <c r="C11294" i="23"/>
  <c r="C11293" i="23"/>
  <c r="C11292" i="23"/>
  <c r="C11291" i="23"/>
  <c r="C11290" i="23"/>
  <c r="C11289" i="23"/>
  <c r="C11828" i="23"/>
  <c r="C11827" i="23"/>
  <c r="C11826" i="23"/>
  <c r="C11825" i="23"/>
  <c r="C11824" i="23"/>
  <c r="C11823" i="23"/>
  <c r="C11822" i="23"/>
  <c r="C11821" i="23"/>
  <c r="C11820" i="23"/>
  <c r="C11819" i="23"/>
  <c r="C11818" i="23"/>
  <c r="C11817" i="23"/>
  <c r="C11816" i="23"/>
  <c r="C11815" i="23"/>
  <c r="C11814" i="23"/>
  <c r="C11813" i="23"/>
  <c r="C11812" i="23"/>
  <c r="C11811" i="23"/>
  <c r="C11810" i="23"/>
  <c r="C11809" i="23"/>
  <c r="C11808" i="23"/>
  <c r="C11807" i="23"/>
  <c r="C11806" i="23"/>
  <c r="C11805" i="23"/>
  <c r="C11804" i="23"/>
  <c r="C11803" i="23"/>
  <c r="C11802" i="23"/>
  <c r="C12179" i="23"/>
  <c r="C12178" i="23"/>
  <c r="C12177" i="23"/>
  <c r="C12176" i="23"/>
  <c r="C12175" i="23"/>
  <c r="C12174" i="23"/>
  <c r="C12173" i="23"/>
  <c r="C12172" i="23"/>
  <c r="C12171" i="23"/>
  <c r="C12170" i="23"/>
  <c r="C12169" i="23"/>
  <c r="C12168" i="23"/>
  <c r="C12167" i="23"/>
  <c r="C12166" i="23"/>
  <c r="C12165" i="23"/>
  <c r="C12164" i="23"/>
  <c r="C12163" i="23"/>
  <c r="C12162" i="23"/>
  <c r="C12161" i="23"/>
  <c r="C12160" i="23"/>
  <c r="C12159" i="23"/>
  <c r="C12158" i="23"/>
  <c r="C12157" i="23"/>
  <c r="C12156" i="23"/>
  <c r="C12155" i="23"/>
  <c r="C12154" i="23"/>
  <c r="C12153" i="23"/>
  <c r="C12233" i="23"/>
  <c r="C12232" i="23"/>
  <c r="C12231" i="23"/>
  <c r="C12230" i="23"/>
  <c r="C12229" i="23"/>
  <c r="C12228" i="23"/>
  <c r="C12227" i="23"/>
  <c r="C12226" i="23"/>
  <c r="C12225" i="23"/>
  <c r="C12224" i="23"/>
  <c r="C12223" i="23"/>
  <c r="C12222" i="23"/>
  <c r="C12221" i="23"/>
  <c r="C12220" i="23"/>
  <c r="C12219" i="23"/>
  <c r="C12218" i="23"/>
  <c r="C12217" i="23"/>
  <c r="C12216" i="23"/>
  <c r="C12215" i="23"/>
  <c r="C12214" i="23"/>
  <c r="C12213" i="23"/>
  <c r="C12212" i="23"/>
  <c r="C12211" i="23"/>
  <c r="C12210" i="23"/>
  <c r="C12209" i="23"/>
  <c r="C12208" i="23"/>
  <c r="C12207" i="23"/>
  <c r="C11369" i="23"/>
  <c r="C11368" i="23"/>
  <c r="C11367" i="23"/>
  <c r="C11366" i="23"/>
  <c r="C11365" i="23"/>
  <c r="C11364" i="23"/>
  <c r="C11363" i="23"/>
  <c r="C11362" i="23"/>
  <c r="C11361" i="23"/>
  <c r="C11360" i="23"/>
  <c r="C11359" i="23"/>
  <c r="C11358" i="23"/>
  <c r="C11357" i="23"/>
  <c r="C11356" i="23"/>
  <c r="C11355" i="23"/>
  <c r="C11354" i="23"/>
  <c r="C11353" i="23"/>
  <c r="C11352" i="23"/>
  <c r="C11351" i="23"/>
  <c r="C11350" i="23"/>
  <c r="C11349" i="23"/>
  <c r="C11348" i="23"/>
  <c r="C11347" i="23"/>
  <c r="C11346" i="23"/>
  <c r="C11345" i="23"/>
  <c r="C11344" i="23"/>
  <c r="C11343" i="23"/>
  <c r="C12071" i="23"/>
  <c r="C12070" i="23"/>
  <c r="C12069" i="23"/>
  <c r="C12068" i="23"/>
  <c r="C12067" i="23"/>
  <c r="C12066" i="23"/>
  <c r="C12065" i="23"/>
  <c r="C12064" i="23"/>
  <c r="C12063" i="23"/>
  <c r="C12062" i="23"/>
  <c r="C12061" i="23"/>
  <c r="C12060" i="23"/>
  <c r="C12059" i="23"/>
  <c r="C12058" i="23"/>
  <c r="C12057" i="23"/>
  <c r="C12056" i="23"/>
  <c r="C12055" i="23"/>
  <c r="C12054" i="23"/>
  <c r="C12053" i="23"/>
  <c r="C12052" i="23"/>
  <c r="C12051" i="23"/>
  <c r="C12050" i="23"/>
  <c r="C12049" i="23"/>
  <c r="C12048" i="23"/>
  <c r="C12047" i="23"/>
  <c r="C12046" i="23"/>
  <c r="C12045" i="23"/>
  <c r="B10424" i="23"/>
  <c r="B10423" i="23"/>
  <c r="B10422" i="23"/>
  <c r="B10421" i="23"/>
  <c r="B10420" i="23"/>
  <c r="B10419" i="23"/>
  <c r="B10418" i="23"/>
  <c r="B10417" i="23"/>
  <c r="B10416" i="23"/>
  <c r="B10415" i="23"/>
  <c r="B10414" i="23"/>
  <c r="B10413" i="23"/>
  <c r="B10412" i="23"/>
  <c r="B10411" i="23"/>
  <c r="B10410" i="23"/>
  <c r="B10409" i="23"/>
  <c r="B10408" i="23"/>
  <c r="B10407" i="23"/>
  <c r="B10406" i="23"/>
  <c r="B10405" i="23"/>
  <c r="B10404" i="23"/>
  <c r="B10403" i="23"/>
  <c r="B10402" i="23"/>
  <c r="B10401" i="23"/>
  <c r="B10400" i="23"/>
  <c r="B10399" i="23"/>
  <c r="B10398" i="23"/>
  <c r="B10451" i="23"/>
  <c r="B10450" i="23"/>
  <c r="B10449" i="23"/>
  <c r="B10448" i="23"/>
  <c r="B10447" i="23"/>
  <c r="B10446" i="23"/>
  <c r="B10445" i="23"/>
  <c r="B10444" i="23"/>
  <c r="B10443" i="23"/>
  <c r="B10442" i="23"/>
  <c r="B10441" i="23"/>
  <c r="B10440" i="23"/>
  <c r="B10439" i="23"/>
  <c r="B10438" i="23"/>
  <c r="B10437" i="23"/>
  <c r="B10436" i="23"/>
  <c r="B10435" i="23"/>
  <c r="B10434" i="23"/>
  <c r="B10433" i="23"/>
  <c r="B10432" i="23"/>
  <c r="B10431" i="23"/>
  <c r="B10430" i="23"/>
  <c r="B10429" i="23"/>
  <c r="B10428" i="23"/>
  <c r="B10427" i="23"/>
  <c r="B10426" i="23"/>
  <c r="B10425" i="23"/>
  <c r="B10478" i="23"/>
  <c r="B10477" i="23"/>
  <c r="B10476" i="23"/>
  <c r="B10475" i="23"/>
  <c r="B10474" i="23"/>
  <c r="B10473" i="23"/>
  <c r="B10472" i="23"/>
  <c r="B10471" i="23"/>
  <c r="B10470" i="23"/>
  <c r="B10469" i="23"/>
  <c r="B10468" i="23"/>
  <c r="B10467" i="23"/>
  <c r="B10466" i="23"/>
  <c r="B10465" i="23"/>
  <c r="B10464" i="23"/>
  <c r="B10463" i="23"/>
  <c r="B10462" i="23"/>
  <c r="B10461" i="23"/>
  <c r="B10460" i="23"/>
  <c r="B10459" i="23"/>
  <c r="B10458" i="23"/>
  <c r="B10457" i="23"/>
  <c r="B10456" i="23"/>
  <c r="B10455" i="23"/>
  <c r="B10454" i="23"/>
  <c r="B10453" i="23"/>
  <c r="B10452" i="23"/>
  <c r="B10505" i="23"/>
  <c r="B10504" i="23"/>
  <c r="B10503" i="23"/>
  <c r="B10502" i="23"/>
  <c r="B10501" i="23"/>
  <c r="B10500" i="23"/>
  <c r="B10499" i="23"/>
  <c r="B10498" i="23"/>
  <c r="B10497" i="23"/>
  <c r="B10496" i="23"/>
  <c r="B10495" i="23"/>
  <c r="B10494" i="23"/>
  <c r="B10493" i="23"/>
  <c r="B10492" i="23"/>
  <c r="B10491" i="23"/>
  <c r="B10490" i="23"/>
  <c r="B10489" i="23"/>
  <c r="B10488" i="23"/>
  <c r="B10487" i="23"/>
  <c r="B10486" i="23"/>
  <c r="B10485" i="23"/>
  <c r="B10484" i="23"/>
  <c r="B10483" i="23"/>
  <c r="B10482" i="23"/>
  <c r="B10481" i="23"/>
  <c r="B10480" i="23"/>
  <c r="B10479" i="23"/>
  <c r="B10532" i="23"/>
  <c r="B10531" i="23"/>
  <c r="B10530" i="23"/>
  <c r="B10529" i="23"/>
  <c r="B10528" i="23"/>
  <c r="B10527" i="23"/>
  <c r="B10526" i="23"/>
  <c r="B10525" i="23"/>
  <c r="B10524" i="23"/>
  <c r="B10523" i="23"/>
  <c r="B10522" i="23"/>
  <c r="B10521" i="23"/>
  <c r="B10520" i="23"/>
  <c r="B10519" i="23"/>
  <c r="B10518" i="23"/>
  <c r="B10517" i="23"/>
  <c r="B10516" i="23"/>
  <c r="B10515" i="23"/>
  <c r="B10514" i="23"/>
  <c r="B10513" i="23"/>
  <c r="B10512" i="23"/>
  <c r="B10511" i="23"/>
  <c r="B10510" i="23"/>
  <c r="B10509" i="23"/>
  <c r="B10508" i="23"/>
  <c r="B10507" i="23"/>
  <c r="B10506" i="23"/>
  <c r="B10559" i="23"/>
  <c r="B10558" i="23"/>
  <c r="B10557" i="23"/>
  <c r="B10556" i="23"/>
  <c r="B10555" i="23"/>
  <c r="B10554" i="23"/>
  <c r="B10553" i="23"/>
  <c r="B10552" i="23"/>
  <c r="B10551" i="23"/>
  <c r="B10550" i="23"/>
  <c r="B10549" i="23"/>
  <c r="B10548" i="23"/>
  <c r="B10547" i="23"/>
  <c r="B10546" i="23"/>
  <c r="B10545" i="23"/>
  <c r="B10544" i="23"/>
  <c r="B10543" i="23"/>
  <c r="B10542" i="23"/>
  <c r="B10541" i="23"/>
  <c r="B10540" i="23"/>
  <c r="B10539" i="23"/>
  <c r="B10538" i="23"/>
  <c r="B10537" i="23"/>
  <c r="B10536" i="23"/>
  <c r="B10535" i="23"/>
  <c r="B10534" i="23"/>
  <c r="B10533" i="23"/>
  <c r="B10586" i="23"/>
  <c r="B10585" i="23"/>
  <c r="B10584" i="23"/>
  <c r="B10583" i="23"/>
  <c r="B10582" i="23"/>
  <c r="B10581" i="23"/>
  <c r="B10580" i="23"/>
  <c r="B10579" i="23"/>
  <c r="B10578" i="23"/>
  <c r="B10577" i="23"/>
  <c r="B10576" i="23"/>
  <c r="B10575" i="23"/>
  <c r="B10574" i="23"/>
  <c r="B10573" i="23"/>
  <c r="B10572" i="23"/>
  <c r="B10571" i="23"/>
  <c r="B10570" i="23"/>
  <c r="B10569" i="23"/>
  <c r="B10568" i="23"/>
  <c r="B10567" i="23"/>
  <c r="B10566" i="23"/>
  <c r="B10565" i="23"/>
  <c r="B10564" i="23"/>
  <c r="B10563" i="23"/>
  <c r="B10562" i="23"/>
  <c r="B10561" i="23"/>
  <c r="B10560" i="23"/>
  <c r="B10613" i="23"/>
  <c r="B10612" i="23"/>
  <c r="B10611" i="23"/>
  <c r="B10610" i="23"/>
  <c r="B10609" i="23"/>
  <c r="B10608" i="23"/>
  <c r="B10607" i="23"/>
  <c r="B10606" i="23"/>
  <c r="B10605" i="23"/>
  <c r="B10604" i="23"/>
  <c r="B10603" i="23"/>
  <c r="B10602" i="23"/>
  <c r="B10601" i="23"/>
  <c r="B10600" i="23"/>
  <c r="B10599" i="23"/>
  <c r="B10598" i="23"/>
  <c r="B10597" i="23"/>
  <c r="B10596" i="23"/>
  <c r="B10595" i="23"/>
  <c r="B10594" i="23"/>
  <c r="B10593" i="23"/>
  <c r="B10592" i="23"/>
  <c r="B10591" i="23"/>
  <c r="B10590" i="23"/>
  <c r="B10589" i="23"/>
  <c r="B10588" i="23"/>
  <c r="B10587" i="23"/>
  <c r="B10640" i="23"/>
  <c r="B10639" i="23"/>
  <c r="B10638" i="23"/>
  <c r="B10637" i="23"/>
  <c r="B10636" i="23"/>
  <c r="B10635" i="23"/>
  <c r="B10634" i="23"/>
  <c r="B10633" i="23"/>
  <c r="B10632" i="23"/>
  <c r="B10631" i="23"/>
  <c r="B10630" i="23"/>
  <c r="B10629" i="23"/>
  <c r="B10628" i="23"/>
  <c r="B10627" i="23"/>
  <c r="B10626" i="23"/>
  <c r="B10625" i="23"/>
  <c r="B10624" i="23"/>
  <c r="B10623" i="23"/>
  <c r="B10622" i="23"/>
  <c r="B10621" i="23"/>
  <c r="B10620" i="23"/>
  <c r="B10619" i="23"/>
  <c r="B10618" i="23"/>
  <c r="B10617" i="23"/>
  <c r="B10616" i="23"/>
  <c r="B10615" i="23"/>
  <c r="B10614" i="23"/>
  <c r="B10397" i="23"/>
  <c r="B10396" i="23"/>
  <c r="B10395" i="23"/>
  <c r="B10394" i="23"/>
  <c r="B10393" i="23"/>
  <c r="B10392" i="23"/>
  <c r="B10391" i="23"/>
  <c r="B10390" i="23"/>
  <c r="B10389" i="23"/>
  <c r="B10388" i="23"/>
  <c r="B10387" i="23"/>
  <c r="B10386" i="23"/>
  <c r="B10385" i="23"/>
  <c r="B10384" i="23"/>
  <c r="B10383" i="23"/>
  <c r="B10382" i="23"/>
  <c r="B10381" i="23"/>
  <c r="B10380" i="23"/>
  <c r="B10379" i="23"/>
  <c r="B10378" i="23"/>
  <c r="B10377" i="23"/>
  <c r="B10376" i="23"/>
  <c r="B10375" i="23"/>
  <c r="B10374" i="23"/>
  <c r="B10373" i="23"/>
  <c r="B10372" i="23"/>
  <c r="B10371" i="23"/>
  <c r="B10748" i="23"/>
  <c r="B10747" i="23"/>
  <c r="B10746" i="23"/>
  <c r="B10745" i="23"/>
  <c r="B10744" i="23"/>
  <c r="B10743" i="23"/>
  <c r="B10742" i="23"/>
  <c r="B10741" i="23"/>
  <c r="B10740" i="23"/>
  <c r="B10739" i="23"/>
  <c r="B10738" i="23"/>
  <c r="B10737" i="23"/>
  <c r="B10736" i="23"/>
  <c r="B10735" i="23"/>
  <c r="B10734" i="23"/>
  <c r="B10733" i="23"/>
  <c r="B10732" i="23"/>
  <c r="B10731" i="23"/>
  <c r="B10730" i="23"/>
  <c r="B10729" i="23"/>
  <c r="B10728" i="23"/>
  <c r="B10727" i="23"/>
  <c r="B10726" i="23"/>
  <c r="B10725" i="23"/>
  <c r="B10724" i="23"/>
  <c r="B10723" i="23"/>
  <c r="B10722" i="23"/>
  <c r="B11099" i="23"/>
  <c r="B11098" i="23"/>
  <c r="B11097" i="23"/>
  <c r="B11096" i="23"/>
  <c r="B11095" i="23"/>
  <c r="B11094" i="23"/>
  <c r="B11093" i="23"/>
  <c r="B11092" i="23"/>
  <c r="B11091" i="23"/>
  <c r="B11090" i="23"/>
  <c r="B11089" i="23"/>
  <c r="B11088" i="23"/>
  <c r="B11087" i="23"/>
  <c r="B11086" i="23"/>
  <c r="B11085" i="23"/>
  <c r="B11084" i="23"/>
  <c r="B11083" i="23"/>
  <c r="B11082" i="23"/>
  <c r="B11081" i="23"/>
  <c r="B11080" i="23"/>
  <c r="B11079" i="23"/>
  <c r="B11078" i="23"/>
  <c r="B11077" i="23"/>
  <c r="B11076" i="23"/>
  <c r="B11075" i="23"/>
  <c r="B11074" i="23"/>
  <c r="B11073" i="23"/>
  <c r="B10775" i="23"/>
  <c r="B10774" i="23"/>
  <c r="B10773" i="23"/>
  <c r="B10772" i="23"/>
  <c r="B10771" i="23"/>
  <c r="B10770" i="23"/>
  <c r="B10769" i="23"/>
  <c r="B10768" i="23"/>
  <c r="B10767" i="23"/>
  <c r="B10766" i="23"/>
  <c r="B10765" i="23"/>
  <c r="B10764" i="23"/>
  <c r="B10763" i="23"/>
  <c r="B10762" i="23"/>
  <c r="B10761" i="23"/>
  <c r="B10760" i="23"/>
  <c r="B10759" i="23"/>
  <c r="B10758" i="23"/>
  <c r="B10757" i="23"/>
  <c r="B10756" i="23"/>
  <c r="B10755" i="23"/>
  <c r="B10754" i="23"/>
  <c r="B10753" i="23"/>
  <c r="B10752" i="23"/>
  <c r="B10751" i="23"/>
  <c r="B10750" i="23"/>
  <c r="B10749" i="23"/>
  <c r="B11234" i="23"/>
  <c r="B11233" i="23"/>
  <c r="B11232" i="23"/>
  <c r="B11231" i="23"/>
  <c r="B11230" i="23"/>
  <c r="B11229" i="23"/>
  <c r="B11228" i="23"/>
  <c r="B11227" i="23"/>
  <c r="B11226" i="23"/>
  <c r="B11225" i="23"/>
  <c r="B11224" i="23"/>
  <c r="B11223" i="23"/>
  <c r="B11222" i="23"/>
  <c r="B11221" i="23"/>
  <c r="B11220" i="23"/>
  <c r="B11219" i="23"/>
  <c r="B11218" i="23"/>
  <c r="B11217" i="23"/>
  <c r="B11216" i="23"/>
  <c r="B11215" i="23"/>
  <c r="B11214" i="23"/>
  <c r="B11213" i="23"/>
  <c r="B11212" i="23"/>
  <c r="B11211" i="23"/>
  <c r="B11210" i="23"/>
  <c r="B11209" i="23"/>
  <c r="B11208" i="23"/>
  <c r="B10370" i="23"/>
  <c r="B10369" i="23"/>
  <c r="B10368" i="23"/>
  <c r="B10367" i="23"/>
  <c r="B10366" i="23"/>
  <c r="B10365" i="23"/>
  <c r="B10364" i="23"/>
  <c r="B10363" i="23"/>
  <c r="B10362" i="23"/>
  <c r="B10361" i="23"/>
  <c r="B10360" i="23"/>
  <c r="B10359" i="23"/>
  <c r="B10358" i="23"/>
  <c r="B10357" i="23"/>
  <c r="B10356" i="23"/>
  <c r="B10355" i="23"/>
  <c r="B10354" i="23"/>
  <c r="B10353" i="23"/>
  <c r="B10352" i="23"/>
  <c r="B10351" i="23"/>
  <c r="B10350" i="23"/>
  <c r="B10349" i="23"/>
  <c r="B10348" i="23"/>
  <c r="B10347" i="23"/>
  <c r="B10346" i="23"/>
  <c r="B10345" i="23"/>
  <c r="B10344" i="23"/>
  <c r="B10721" i="23"/>
  <c r="B10720" i="23"/>
  <c r="B10719" i="23"/>
  <c r="B10718" i="23"/>
  <c r="B10717" i="23"/>
  <c r="B10716" i="23"/>
  <c r="B10715" i="23"/>
  <c r="B10714" i="23"/>
  <c r="B10713" i="23"/>
  <c r="B10712" i="23"/>
  <c r="B10711" i="23"/>
  <c r="B10710" i="23"/>
  <c r="B10709" i="23"/>
  <c r="B10708" i="23"/>
  <c r="B10707" i="23"/>
  <c r="B10706" i="23"/>
  <c r="B10705" i="23"/>
  <c r="B10704" i="23"/>
  <c r="B10703" i="23"/>
  <c r="B10702" i="23"/>
  <c r="B10701" i="23"/>
  <c r="B10700" i="23"/>
  <c r="B10699" i="23"/>
  <c r="B10698" i="23"/>
  <c r="B10697" i="23"/>
  <c r="B10696" i="23"/>
  <c r="B10695" i="23"/>
  <c r="B11018" i="23"/>
  <c r="B11017" i="23"/>
  <c r="B11016" i="23"/>
  <c r="B11015" i="23"/>
  <c r="B11014" i="23"/>
  <c r="B11013" i="23"/>
  <c r="B11012" i="23"/>
  <c r="B11011" i="23"/>
  <c r="B11010" i="23"/>
  <c r="B11009" i="23"/>
  <c r="B11008" i="23"/>
  <c r="B11007" i="23"/>
  <c r="B11006" i="23"/>
  <c r="B11005" i="23"/>
  <c r="B11004" i="23"/>
  <c r="B11003" i="23"/>
  <c r="B11002" i="23"/>
  <c r="B11001" i="23"/>
  <c r="B11000" i="23"/>
  <c r="B10999" i="23"/>
  <c r="B10998" i="23"/>
  <c r="B10997" i="23"/>
  <c r="B10996" i="23"/>
  <c r="B10995" i="23"/>
  <c r="B10994" i="23"/>
  <c r="B10993" i="23"/>
  <c r="B10992" i="23"/>
  <c r="B10829" i="23"/>
  <c r="B10828" i="23"/>
  <c r="B10827" i="23"/>
  <c r="B10826" i="23"/>
  <c r="B10825" i="23"/>
  <c r="B10824" i="23"/>
  <c r="B10823" i="23"/>
  <c r="B10822" i="23"/>
  <c r="B10821" i="23"/>
  <c r="B10820" i="23"/>
  <c r="B10819" i="23"/>
  <c r="B10818" i="23"/>
  <c r="B10817" i="23"/>
  <c r="B10816" i="23"/>
  <c r="B10815" i="23"/>
  <c r="B10814" i="23"/>
  <c r="B10813" i="23"/>
  <c r="B10812" i="23"/>
  <c r="B10811" i="23"/>
  <c r="B10810" i="23"/>
  <c r="B10809" i="23"/>
  <c r="B10808" i="23"/>
  <c r="B10807" i="23"/>
  <c r="B10806" i="23"/>
  <c r="B10805" i="23"/>
  <c r="B10804" i="23"/>
  <c r="B10803" i="23"/>
  <c r="B10910" i="23"/>
  <c r="B10909" i="23"/>
  <c r="B10908" i="23"/>
  <c r="B10907" i="23"/>
  <c r="B10906" i="23"/>
  <c r="B10905" i="23"/>
  <c r="B10904" i="23"/>
  <c r="B10903" i="23"/>
  <c r="B10902" i="23"/>
  <c r="B10901" i="23"/>
  <c r="B10900" i="23"/>
  <c r="B10899" i="23"/>
  <c r="B10898" i="23"/>
  <c r="B10897" i="23"/>
  <c r="B10896" i="23"/>
  <c r="B10895" i="23"/>
  <c r="B10894" i="23"/>
  <c r="B10893" i="23"/>
  <c r="B10892" i="23"/>
  <c r="B10891" i="23"/>
  <c r="B10890" i="23"/>
  <c r="B10889" i="23"/>
  <c r="B10888" i="23"/>
  <c r="B10887" i="23"/>
  <c r="B10886" i="23"/>
  <c r="B10885" i="23"/>
  <c r="B10884" i="23"/>
  <c r="B11180" i="23"/>
  <c r="B11179" i="23"/>
  <c r="B11178" i="23"/>
  <c r="B11177" i="23"/>
  <c r="B11176" i="23"/>
  <c r="B11175" i="23"/>
  <c r="B11174" i="23"/>
  <c r="B11173" i="23"/>
  <c r="B11172" i="23"/>
  <c r="B11171" i="23"/>
  <c r="B11170" i="23"/>
  <c r="B11169" i="23"/>
  <c r="B11168" i="23"/>
  <c r="B11167" i="23"/>
  <c r="B11166" i="23"/>
  <c r="B11165" i="23"/>
  <c r="B11164" i="23"/>
  <c r="B11163" i="23"/>
  <c r="B11162" i="23"/>
  <c r="B11161" i="23"/>
  <c r="B11160" i="23"/>
  <c r="B11159" i="23"/>
  <c r="B11158" i="23"/>
  <c r="B11157" i="23"/>
  <c r="B11156" i="23"/>
  <c r="B11155" i="23"/>
  <c r="B11154" i="23"/>
  <c r="B11126" i="23"/>
  <c r="B11125" i="23"/>
  <c r="B11124" i="23"/>
  <c r="B11123" i="23"/>
  <c r="B11122" i="23"/>
  <c r="B11121" i="23"/>
  <c r="B11120" i="23"/>
  <c r="B11119" i="23"/>
  <c r="B11118" i="23"/>
  <c r="B11117" i="23"/>
  <c r="B11116" i="23"/>
  <c r="B11115" i="23"/>
  <c r="B11114" i="23"/>
  <c r="B11113" i="23"/>
  <c r="B11112" i="23"/>
  <c r="B11111" i="23"/>
  <c r="B11110" i="23"/>
  <c r="B11109" i="23"/>
  <c r="B11108" i="23"/>
  <c r="B11107" i="23"/>
  <c r="B11106" i="23"/>
  <c r="B11105" i="23"/>
  <c r="B11104" i="23"/>
  <c r="B11103" i="23"/>
  <c r="B11102" i="23"/>
  <c r="B11101" i="23"/>
  <c r="B11100" i="23"/>
  <c r="B11072" i="23"/>
  <c r="B11071" i="23"/>
  <c r="B11070" i="23"/>
  <c r="B11069" i="23"/>
  <c r="B11068" i="23"/>
  <c r="B11067" i="23"/>
  <c r="B11066" i="23"/>
  <c r="B11065" i="23"/>
  <c r="B11064" i="23"/>
  <c r="B11063" i="23"/>
  <c r="B11062" i="23"/>
  <c r="B11061" i="23"/>
  <c r="B11060" i="23"/>
  <c r="B11059" i="23"/>
  <c r="B11058" i="23"/>
  <c r="B11057" i="23"/>
  <c r="B11056" i="23"/>
  <c r="B11055" i="23"/>
  <c r="B11054" i="23"/>
  <c r="B11053" i="23"/>
  <c r="B11052" i="23"/>
  <c r="B11051" i="23"/>
  <c r="B11050" i="23"/>
  <c r="B11049" i="23"/>
  <c r="B11048" i="23"/>
  <c r="B11047" i="23"/>
  <c r="B11046" i="23"/>
  <c r="B10883" i="23"/>
  <c r="B10882" i="23"/>
  <c r="B10881" i="23"/>
  <c r="B10880" i="23"/>
  <c r="B10879" i="23"/>
  <c r="B10878" i="23"/>
  <c r="B10877" i="23"/>
  <c r="B10876" i="23"/>
  <c r="B10875" i="23"/>
  <c r="B10874" i="23"/>
  <c r="B10873" i="23"/>
  <c r="B10872" i="23"/>
  <c r="B10871" i="23"/>
  <c r="B10870" i="23"/>
  <c r="B10869" i="23"/>
  <c r="B10868" i="23"/>
  <c r="B10867" i="23"/>
  <c r="B10866" i="23"/>
  <c r="B10865" i="23"/>
  <c r="B10864" i="23"/>
  <c r="B10863" i="23"/>
  <c r="B10862" i="23"/>
  <c r="B10861" i="23"/>
  <c r="B10860" i="23"/>
  <c r="B10859" i="23"/>
  <c r="B10858" i="23"/>
  <c r="B10857" i="23"/>
  <c r="B10316" i="23"/>
  <c r="B10315" i="23"/>
  <c r="B10314" i="23"/>
  <c r="B10313" i="23"/>
  <c r="B10312" i="23"/>
  <c r="B10311" i="23"/>
  <c r="B10310" i="23"/>
  <c r="B10309" i="23"/>
  <c r="B10308" i="23"/>
  <c r="B10307" i="23"/>
  <c r="B10306" i="23"/>
  <c r="B10305" i="23"/>
  <c r="B10304" i="23"/>
  <c r="B10303" i="23"/>
  <c r="B10302" i="23"/>
  <c r="B10301" i="23"/>
  <c r="B10300" i="23"/>
  <c r="B10299" i="23"/>
  <c r="B10298" i="23"/>
  <c r="B10297" i="23"/>
  <c r="B10296" i="23"/>
  <c r="B10295" i="23"/>
  <c r="B10294" i="23"/>
  <c r="B10293" i="23"/>
  <c r="B10292" i="23"/>
  <c r="B10291" i="23"/>
  <c r="B10290" i="23"/>
  <c r="B10856" i="23"/>
  <c r="B10855" i="23"/>
  <c r="B10854" i="23"/>
  <c r="B10853" i="23"/>
  <c r="B10852" i="23"/>
  <c r="B10851" i="23"/>
  <c r="B10850" i="23"/>
  <c r="B10849" i="23"/>
  <c r="B10848" i="23"/>
  <c r="B10847" i="23"/>
  <c r="B10846" i="23"/>
  <c r="B10845" i="23"/>
  <c r="B10844" i="23"/>
  <c r="B10843" i="23"/>
  <c r="B10842" i="23"/>
  <c r="B10841" i="23"/>
  <c r="B10840" i="23"/>
  <c r="B10839" i="23"/>
  <c r="B10838" i="23"/>
  <c r="B10837" i="23"/>
  <c r="B10836" i="23"/>
  <c r="B10835" i="23"/>
  <c r="B10834" i="23"/>
  <c r="B10833" i="23"/>
  <c r="B10832" i="23"/>
  <c r="B10831" i="23"/>
  <c r="B10830" i="23"/>
  <c r="B10667" i="23"/>
  <c r="B10666" i="23"/>
  <c r="B10665" i="23"/>
  <c r="B10664" i="23"/>
  <c r="B10663" i="23"/>
  <c r="B10662" i="23"/>
  <c r="B10661" i="23"/>
  <c r="B10660" i="23"/>
  <c r="B10659" i="23"/>
  <c r="B10658" i="23"/>
  <c r="B10657" i="23"/>
  <c r="B10656" i="23"/>
  <c r="B10655" i="23"/>
  <c r="B10654" i="23"/>
  <c r="B10653" i="23"/>
  <c r="B10652" i="23"/>
  <c r="B10651" i="23"/>
  <c r="B10650" i="23"/>
  <c r="B10649" i="23"/>
  <c r="B10648" i="23"/>
  <c r="B10647" i="23"/>
  <c r="B10646" i="23"/>
  <c r="B10645" i="23"/>
  <c r="B10644" i="23"/>
  <c r="B10643" i="23"/>
  <c r="B10642" i="23"/>
  <c r="B10641" i="23"/>
  <c r="B11261" i="23"/>
  <c r="B11260" i="23"/>
  <c r="B11259" i="23"/>
  <c r="B11258" i="23"/>
  <c r="B11257" i="23"/>
  <c r="B11256" i="23"/>
  <c r="B11255" i="23"/>
  <c r="B11254" i="23"/>
  <c r="B11253" i="23"/>
  <c r="B11252" i="23"/>
  <c r="B11251" i="23"/>
  <c r="B11250" i="23"/>
  <c r="B11249" i="23"/>
  <c r="B11248" i="23"/>
  <c r="B11247" i="23"/>
  <c r="B11246" i="23"/>
  <c r="B11245" i="23"/>
  <c r="B11244" i="23"/>
  <c r="B11243" i="23"/>
  <c r="B11242" i="23"/>
  <c r="B11241" i="23"/>
  <c r="B11240" i="23"/>
  <c r="B11239" i="23"/>
  <c r="B11238" i="23"/>
  <c r="B11237" i="23"/>
  <c r="B11236" i="23"/>
  <c r="B11235" i="23"/>
  <c r="B10991" i="23"/>
  <c r="B10990" i="23"/>
  <c r="B10989" i="23"/>
  <c r="B10988" i="23"/>
  <c r="B10987" i="23"/>
  <c r="B10986" i="23"/>
  <c r="B10985" i="23"/>
  <c r="B10984" i="23"/>
  <c r="B10983" i="23"/>
  <c r="B10982" i="23"/>
  <c r="B10981" i="23"/>
  <c r="B10980" i="23"/>
  <c r="B10979" i="23"/>
  <c r="B10978" i="23"/>
  <c r="B10977" i="23"/>
  <c r="B10976" i="23"/>
  <c r="B10975" i="23"/>
  <c r="B10974" i="23"/>
  <c r="B10973" i="23"/>
  <c r="B10972" i="23"/>
  <c r="B10971" i="23"/>
  <c r="B10970" i="23"/>
  <c r="B10969" i="23"/>
  <c r="B10968" i="23"/>
  <c r="B10967" i="23"/>
  <c r="B10966" i="23"/>
  <c r="B10965" i="23"/>
  <c r="B11288" i="23"/>
  <c r="B11287" i="23"/>
  <c r="B11286" i="23"/>
  <c r="B11285" i="23"/>
  <c r="B11284" i="23"/>
  <c r="B11283" i="23"/>
  <c r="B11282" i="23"/>
  <c r="B11281" i="23"/>
  <c r="B11280" i="23"/>
  <c r="B11279" i="23"/>
  <c r="B11278" i="23"/>
  <c r="B11277" i="23"/>
  <c r="B11276" i="23"/>
  <c r="B11275" i="23"/>
  <c r="B11274" i="23"/>
  <c r="B11273" i="23"/>
  <c r="B11272" i="23"/>
  <c r="B11271" i="23"/>
  <c r="B11270" i="23"/>
  <c r="B11269" i="23"/>
  <c r="B11268" i="23"/>
  <c r="B11267" i="23"/>
  <c r="B11266" i="23"/>
  <c r="B11265" i="23"/>
  <c r="B11264" i="23"/>
  <c r="B11263" i="23"/>
  <c r="B11262" i="23"/>
  <c r="B10937" i="23"/>
  <c r="B10936" i="23"/>
  <c r="B10935" i="23"/>
  <c r="B10934" i="23"/>
  <c r="B10933" i="23"/>
  <c r="B10932" i="23"/>
  <c r="B10931" i="23"/>
  <c r="B10930" i="23"/>
  <c r="B10929" i="23"/>
  <c r="B10928" i="23"/>
  <c r="B10927" i="23"/>
  <c r="B10926" i="23"/>
  <c r="B10925" i="23"/>
  <c r="B10924" i="23"/>
  <c r="B10923" i="23"/>
  <c r="B10922" i="23"/>
  <c r="B10921" i="23"/>
  <c r="B10920" i="23"/>
  <c r="B10919" i="23"/>
  <c r="B10918" i="23"/>
  <c r="B10917" i="23"/>
  <c r="B10916" i="23"/>
  <c r="B10915" i="23"/>
  <c r="B10914" i="23"/>
  <c r="B10913" i="23"/>
  <c r="B10912" i="23"/>
  <c r="B10911" i="23"/>
  <c r="B10964" i="23"/>
  <c r="B10963" i="23"/>
  <c r="B10962" i="23"/>
  <c r="B10961" i="23"/>
  <c r="B10960" i="23"/>
  <c r="B10959" i="23"/>
  <c r="B10958" i="23"/>
  <c r="B10957" i="23"/>
  <c r="B10956" i="23"/>
  <c r="B10955" i="23"/>
  <c r="B10954" i="23"/>
  <c r="B10953" i="23"/>
  <c r="B10952" i="23"/>
  <c r="B10951" i="23"/>
  <c r="B10950" i="23"/>
  <c r="B10949" i="23"/>
  <c r="B10948" i="23"/>
  <c r="B10947" i="23"/>
  <c r="B10946" i="23"/>
  <c r="B10945" i="23"/>
  <c r="B10944" i="23"/>
  <c r="B10943" i="23"/>
  <c r="B10942" i="23"/>
  <c r="B10941" i="23"/>
  <c r="B10940" i="23"/>
  <c r="B10939" i="23"/>
  <c r="B10938" i="23"/>
  <c r="B10694" i="23"/>
  <c r="B10693" i="23"/>
  <c r="B10692" i="23"/>
  <c r="B10691" i="23"/>
  <c r="B10690" i="23"/>
  <c r="B10689" i="23"/>
  <c r="B10688" i="23"/>
  <c r="B10687" i="23"/>
  <c r="B10686" i="23"/>
  <c r="B10685" i="23"/>
  <c r="B10684" i="23"/>
  <c r="B10683" i="23"/>
  <c r="B10682" i="23"/>
  <c r="B10681" i="23"/>
  <c r="B10680" i="23"/>
  <c r="B10679" i="23"/>
  <c r="B10678" i="23"/>
  <c r="B10677" i="23"/>
  <c r="B10676" i="23"/>
  <c r="B10675" i="23"/>
  <c r="B10674" i="23"/>
  <c r="B10673" i="23"/>
  <c r="B10672" i="23"/>
  <c r="B10671" i="23"/>
  <c r="B10670" i="23"/>
  <c r="B10669" i="23"/>
  <c r="B10668" i="23"/>
  <c r="B10289" i="23"/>
  <c r="B10288" i="23"/>
  <c r="B10287" i="23"/>
  <c r="B10286" i="23"/>
  <c r="B10285" i="23"/>
  <c r="B10284" i="23"/>
  <c r="B10283" i="23"/>
  <c r="B10282" i="23"/>
  <c r="B10281" i="23"/>
  <c r="B10280" i="23"/>
  <c r="B10279" i="23"/>
  <c r="B10278" i="23"/>
  <c r="B10277" i="23"/>
  <c r="B10276" i="23"/>
  <c r="B10275" i="23"/>
  <c r="B10274" i="23"/>
  <c r="B10273" i="23"/>
  <c r="B10272" i="23"/>
  <c r="B10271" i="23"/>
  <c r="B10270" i="23"/>
  <c r="B10269" i="23"/>
  <c r="B10268" i="23"/>
  <c r="B10267" i="23"/>
  <c r="B10266" i="23"/>
  <c r="B10265" i="23"/>
  <c r="B10264" i="23"/>
  <c r="B10263" i="23"/>
  <c r="B10802" i="23"/>
  <c r="B10801" i="23"/>
  <c r="B10800" i="23"/>
  <c r="B10799" i="23"/>
  <c r="B10798" i="23"/>
  <c r="B10797" i="23"/>
  <c r="B10796" i="23"/>
  <c r="B10795" i="23"/>
  <c r="B10794" i="23"/>
  <c r="B10793" i="23"/>
  <c r="B10792" i="23"/>
  <c r="B10791" i="23"/>
  <c r="B10790" i="23"/>
  <c r="B10789" i="23"/>
  <c r="B10788" i="23"/>
  <c r="B10787" i="23"/>
  <c r="B10786" i="23"/>
  <c r="B10785" i="23"/>
  <c r="B10784" i="23"/>
  <c r="B10783" i="23"/>
  <c r="B10782" i="23"/>
  <c r="B10781" i="23"/>
  <c r="B10780" i="23"/>
  <c r="B10779" i="23"/>
  <c r="B10778" i="23"/>
  <c r="B10777" i="23"/>
  <c r="B10776" i="23"/>
  <c r="B11153" i="23"/>
  <c r="B11152" i="23"/>
  <c r="B11151" i="23"/>
  <c r="B11150" i="23"/>
  <c r="B11149" i="23"/>
  <c r="B11148" i="23"/>
  <c r="B11147" i="23"/>
  <c r="B11146" i="23"/>
  <c r="B11145" i="23"/>
  <c r="B11144" i="23"/>
  <c r="B11143" i="23"/>
  <c r="B11142" i="23"/>
  <c r="B11141" i="23"/>
  <c r="B11140" i="23"/>
  <c r="B11139" i="23"/>
  <c r="B11138" i="23"/>
  <c r="B11137" i="23"/>
  <c r="B11136" i="23"/>
  <c r="B11135" i="23"/>
  <c r="B11134" i="23"/>
  <c r="B11133" i="23"/>
  <c r="B11132" i="23"/>
  <c r="B11131" i="23"/>
  <c r="B11130" i="23"/>
  <c r="B11129" i="23"/>
  <c r="B11128" i="23"/>
  <c r="B11127" i="23"/>
  <c r="B11207" i="23"/>
  <c r="B11206" i="23"/>
  <c r="B11205" i="23"/>
  <c r="B11204" i="23"/>
  <c r="B11203" i="23"/>
  <c r="B11202" i="23"/>
  <c r="B11201" i="23"/>
  <c r="B11200" i="23"/>
  <c r="B11199" i="23"/>
  <c r="B11198" i="23"/>
  <c r="B11197" i="23"/>
  <c r="B11196" i="23"/>
  <c r="B11195" i="23"/>
  <c r="B11194" i="23"/>
  <c r="B11193" i="23"/>
  <c r="B11192" i="23"/>
  <c r="B11191" i="23"/>
  <c r="B11190" i="23"/>
  <c r="B11189" i="23"/>
  <c r="B11188" i="23"/>
  <c r="B11187" i="23"/>
  <c r="B11186" i="23"/>
  <c r="B11185" i="23"/>
  <c r="B11184" i="23"/>
  <c r="B11183" i="23"/>
  <c r="B11182" i="23"/>
  <c r="B11181" i="23"/>
  <c r="B10343" i="23"/>
  <c r="B10342" i="23"/>
  <c r="B10341" i="23"/>
  <c r="B10340" i="23"/>
  <c r="B10339" i="23"/>
  <c r="B10338" i="23"/>
  <c r="B10337" i="23"/>
  <c r="B10336" i="23"/>
  <c r="B10335" i="23"/>
  <c r="B10334" i="23"/>
  <c r="B10333" i="23"/>
  <c r="B10332" i="23"/>
  <c r="B10331" i="23"/>
  <c r="B10330" i="23"/>
  <c r="B10329" i="23"/>
  <c r="B10328" i="23"/>
  <c r="B10327" i="23"/>
  <c r="B10326" i="23"/>
  <c r="B10325" i="23"/>
  <c r="B10324" i="23"/>
  <c r="B10323" i="23"/>
  <c r="B10322" i="23"/>
  <c r="B10321" i="23"/>
  <c r="B10320" i="23"/>
  <c r="B10319" i="23"/>
  <c r="B10318" i="23"/>
  <c r="B10317" i="23"/>
  <c r="B11045" i="23"/>
  <c r="B11044" i="23"/>
  <c r="B11043" i="23"/>
  <c r="B11042" i="23"/>
  <c r="B11041" i="23"/>
  <c r="B11040" i="23"/>
  <c r="B11039" i="23"/>
  <c r="B11038" i="23"/>
  <c r="B11037" i="23"/>
  <c r="B11036" i="23"/>
  <c r="B11035" i="23"/>
  <c r="B11034" i="23"/>
  <c r="B11033" i="23"/>
  <c r="B11032" i="23"/>
  <c r="B11031" i="23"/>
  <c r="B11030" i="23"/>
  <c r="B11029" i="23"/>
  <c r="B11028" i="23"/>
  <c r="B11027" i="23"/>
  <c r="B11026" i="23"/>
  <c r="B11025" i="23"/>
  <c r="B11024" i="23"/>
  <c r="B11023" i="23"/>
  <c r="B11022" i="23"/>
  <c r="B11021" i="23"/>
  <c r="B11020" i="23"/>
  <c r="B11019" i="23"/>
  <c r="C10424" i="23"/>
  <c r="C10423" i="23"/>
  <c r="C10422" i="23"/>
  <c r="C10421" i="23"/>
  <c r="C10420" i="23"/>
  <c r="C10419" i="23"/>
  <c r="C10418" i="23"/>
  <c r="C10417" i="23"/>
  <c r="C10416" i="23"/>
  <c r="C10415" i="23"/>
  <c r="C10414" i="23"/>
  <c r="C10413" i="23"/>
  <c r="C10412" i="23"/>
  <c r="C10411" i="23"/>
  <c r="C10410" i="23"/>
  <c r="C10409" i="23"/>
  <c r="C10408" i="23"/>
  <c r="C10407" i="23"/>
  <c r="C10406" i="23"/>
  <c r="C10405" i="23"/>
  <c r="C10404" i="23"/>
  <c r="C10403" i="23"/>
  <c r="C10402" i="23"/>
  <c r="C10401" i="23"/>
  <c r="C10400" i="23"/>
  <c r="C10399" i="23"/>
  <c r="C10398" i="23"/>
  <c r="C10451" i="23"/>
  <c r="C10450" i="23"/>
  <c r="C10449" i="23"/>
  <c r="C10448" i="23"/>
  <c r="C10447" i="23"/>
  <c r="C10446" i="23"/>
  <c r="C10445" i="23"/>
  <c r="C10444" i="23"/>
  <c r="C10443" i="23"/>
  <c r="C10442" i="23"/>
  <c r="C10441" i="23"/>
  <c r="C10440" i="23"/>
  <c r="C10439" i="23"/>
  <c r="C10438" i="23"/>
  <c r="C10437" i="23"/>
  <c r="C10436" i="23"/>
  <c r="C10435" i="23"/>
  <c r="C10434" i="23"/>
  <c r="C10433" i="23"/>
  <c r="C10432" i="23"/>
  <c r="C10431" i="23"/>
  <c r="C10430" i="23"/>
  <c r="C10429" i="23"/>
  <c r="C10428" i="23"/>
  <c r="C10427" i="23"/>
  <c r="C10426" i="23"/>
  <c r="C10425" i="23"/>
  <c r="C10478" i="23"/>
  <c r="C10477" i="23"/>
  <c r="C10476" i="23"/>
  <c r="C10475" i="23"/>
  <c r="C10474" i="23"/>
  <c r="C10473" i="23"/>
  <c r="C10472" i="23"/>
  <c r="C10471" i="23"/>
  <c r="C10470" i="23"/>
  <c r="C10469" i="23"/>
  <c r="C10468" i="23"/>
  <c r="C10467" i="23"/>
  <c r="C10466" i="23"/>
  <c r="C10465" i="23"/>
  <c r="C10464" i="23"/>
  <c r="C10463" i="23"/>
  <c r="C10462" i="23"/>
  <c r="C10461" i="23"/>
  <c r="C10460" i="23"/>
  <c r="C10459" i="23"/>
  <c r="C10458" i="23"/>
  <c r="C10457" i="23"/>
  <c r="C10456" i="23"/>
  <c r="C10455" i="23"/>
  <c r="C10454" i="23"/>
  <c r="C10453" i="23"/>
  <c r="C10452" i="23"/>
  <c r="C10505" i="23"/>
  <c r="C10504" i="23"/>
  <c r="C10503" i="23"/>
  <c r="C10502" i="23"/>
  <c r="C10501" i="23"/>
  <c r="C10500" i="23"/>
  <c r="C10499" i="23"/>
  <c r="C10498" i="23"/>
  <c r="C10497" i="23"/>
  <c r="C10496" i="23"/>
  <c r="C10495" i="23"/>
  <c r="C10494" i="23"/>
  <c r="C10493" i="23"/>
  <c r="C10492" i="23"/>
  <c r="C10491" i="23"/>
  <c r="C10490" i="23"/>
  <c r="C10489" i="23"/>
  <c r="C10488" i="23"/>
  <c r="C10487" i="23"/>
  <c r="C10486" i="23"/>
  <c r="C10485" i="23"/>
  <c r="C10484" i="23"/>
  <c r="C10483" i="23"/>
  <c r="C10482" i="23"/>
  <c r="C10481" i="23"/>
  <c r="C10480" i="23"/>
  <c r="C10479" i="23"/>
  <c r="C10532" i="23"/>
  <c r="C10531" i="23"/>
  <c r="C10530" i="23"/>
  <c r="C10529" i="23"/>
  <c r="C10528" i="23"/>
  <c r="C10527" i="23"/>
  <c r="C10526" i="23"/>
  <c r="C10525" i="23"/>
  <c r="C10524" i="23"/>
  <c r="C10523" i="23"/>
  <c r="C10522" i="23"/>
  <c r="C10521" i="23"/>
  <c r="C10520" i="23"/>
  <c r="C10519" i="23"/>
  <c r="C10518" i="23"/>
  <c r="C10517" i="23"/>
  <c r="C10516" i="23"/>
  <c r="C10515" i="23"/>
  <c r="C10514" i="23"/>
  <c r="C10513" i="23"/>
  <c r="C10512" i="23"/>
  <c r="C10511" i="23"/>
  <c r="C10510" i="23"/>
  <c r="C10509" i="23"/>
  <c r="C10508" i="23"/>
  <c r="C10507" i="23"/>
  <c r="C10506" i="23"/>
  <c r="C10559" i="23"/>
  <c r="C10558" i="23"/>
  <c r="C10557" i="23"/>
  <c r="C10556" i="23"/>
  <c r="C10555" i="23"/>
  <c r="C10554" i="23"/>
  <c r="C10553" i="23"/>
  <c r="C10552" i="23"/>
  <c r="C10551" i="23"/>
  <c r="C10550" i="23"/>
  <c r="C10549" i="23"/>
  <c r="C10548" i="23"/>
  <c r="C10547" i="23"/>
  <c r="C10546" i="23"/>
  <c r="C10545" i="23"/>
  <c r="C10544" i="23"/>
  <c r="C10543" i="23"/>
  <c r="C10542" i="23"/>
  <c r="C10541" i="23"/>
  <c r="C10540" i="23"/>
  <c r="C10539" i="23"/>
  <c r="C10538" i="23"/>
  <c r="C10537" i="23"/>
  <c r="C10536" i="23"/>
  <c r="C10535" i="23"/>
  <c r="C10534" i="23"/>
  <c r="C10533" i="23"/>
  <c r="C10586" i="23"/>
  <c r="C10585" i="23"/>
  <c r="C10584" i="23"/>
  <c r="C10583" i="23"/>
  <c r="C10582" i="23"/>
  <c r="C10581" i="23"/>
  <c r="C10580" i="23"/>
  <c r="C10579" i="23"/>
  <c r="C10578" i="23"/>
  <c r="C10577" i="23"/>
  <c r="C10576" i="23"/>
  <c r="C10575" i="23"/>
  <c r="C10574" i="23"/>
  <c r="C10573" i="23"/>
  <c r="C10572" i="23"/>
  <c r="C10571" i="23"/>
  <c r="C10570" i="23"/>
  <c r="C10569" i="23"/>
  <c r="C10568" i="23"/>
  <c r="C10567" i="23"/>
  <c r="C10566" i="23"/>
  <c r="C10565" i="23"/>
  <c r="C10564" i="23"/>
  <c r="C10563" i="23"/>
  <c r="C10562" i="23"/>
  <c r="C10561" i="23"/>
  <c r="C10560" i="23"/>
  <c r="C10613" i="23"/>
  <c r="C10612" i="23"/>
  <c r="C10611" i="23"/>
  <c r="C10610" i="23"/>
  <c r="C10609" i="23"/>
  <c r="C10608" i="23"/>
  <c r="C10607" i="23"/>
  <c r="C10606" i="23"/>
  <c r="C10605" i="23"/>
  <c r="C10604" i="23"/>
  <c r="C10603" i="23"/>
  <c r="C10602" i="23"/>
  <c r="C10601" i="23"/>
  <c r="C10600" i="23"/>
  <c r="C10599" i="23"/>
  <c r="C10598" i="23"/>
  <c r="C10597" i="23"/>
  <c r="C10596" i="23"/>
  <c r="C10595" i="23"/>
  <c r="C10594" i="23"/>
  <c r="C10593" i="23"/>
  <c r="C10592" i="23"/>
  <c r="C10591" i="23"/>
  <c r="C10590" i="23"/>
  <c r="C10589" i="23"/>
  <c r="C10588" i="23"/>
  <c r="C10587" i="23"/>
  <c r="C10640" i="23"/>
  <c r="C10639" i="23"/>
  <c r="C10638" i="23"/>
  <c r="C10637" i="23"/>
  <c r="C10636" i="23"/>
  <c r="C10635" i="23"/>
  <c r="C10634" i="23"/>
  <c r="C10633" i="23"/>
  <c r="C10632" i="23"/>
  <c r="C10631" i="23"/>
  <c r="C10630" i="23"/>
  <c r="C10629" i="23"/>
  <c r="C10628" i="23"/>
  <c r="C10627" i="23"/>
  <c r="C10626" i="23"/>
  <c r="C10625" i="23"/>
  <c r="C10624" i="23"/>
  <c r="C10623" i="23"/>
  <c r="C10622" i="23"/>
  <c r="C10621" i="23"/>
  <c r="C10620" i="23"/>
  <c r="C10619" i="23"/>
  <c r="C10618" i="23"/>
  <c r="C10617" i="23"/>
  <c r="C10616" i="23"/>
  <c r="C10615" i="23"/>
  <c r="C10614" i="23"/>
  <c r="C10397" i="23"/>
  <c r="C10396" i="23"/>
  <c r="C10395" i="23"/>
  <c r="C10394" i="23"/>
  <c r="C10393" i="23"/>
  <c r="C10392" i="23"/>
  <c r="C10391" i="23"/>
  <c r="C10390" i="23"/>
  <c r="C10389" i="23"/>
  <c r="C10388" i="23"/>
  <c r="C10387" i="23"/>
  <c r="C10386" i="23"/>
  <c r="C10385" i="23"/>
  <c r="C10384" i="23"/>
  <c r="C10383" i="23"/>
  <c r="C10382" i="23"/>
  <c r="C10381" i="23"/>
  <c r="C10380" i="23"/>
  <c r="C10379" i="23"/>
  <c r="C10378" i="23"/>
  <c r="C10377" i="23"/>
  <c r="C10376" i="23"/>
  <c r="C10375" i="23"/>
  <c r="C10374" i="23"/>
  <c r="C10373" i="23"/>
  <c r="C10372" i="23"/>
  <c r="C10371" i="23"/>
  <c r="C10748" i="23"/>
  <c r="C10747" i="23"/>
  <c r="C10746" i="23"/>
  <c r="C10745" i="23"/>
  <c r="C10744" i="23"/>
  <c r="C10743" i="23"/>
  <c r="C10742" i="23"/>
  <c r="C10741" i="23"/>
  <c r="C10740" i="23"/>
  <c r="C10739" i="23"/>
  <c r="C10738" i="23"/>
  <c r="C10737" i="23"/>
  <c r="C10736" i="23"/>
  <c r="C10735" i="23"/>
  <c r="C10734" i="23"/>
  <c r="C10733" i="23"/>
  <c r="C10732" i="23"/>
  <c r="C10731" i="23"/>
  <c r="C10730" i="23"/>
  <c r="C10729" i="23"/>
  <c r="C10728" i="23"/>
  <c r="C10727" i="23"/>
  <c r="C10726" i="23"/>
  <c r="C10725" i="23"/>
  <c r="C10724" i="23"/>
  <c r="C10723" i="23"/>
  <c r="C10722" i="23"/>
  <c r="C11099" i="23"/>
  <c r="C11098" i="23"/>
  <c r="C11097" i="23"/>
  <c r="C11096" i="23"/>
  <c r="C11095" i="23"/>
  <c r="C11094" i="23"/>
  <c r="C11093" i="23"/>
  <c r="C11092" i="23"/>
  <c r="C11091" i="23"/>
  <c r="C11090" i="23"/>
  <c r="C11089" i="23"/>
  <c r="C11088" i="23"/>
  <c r="C11087" i="23"/>
  <c r="C11086" i="23"/>
  <c r="C11085" i="23"/>
  <c r="C11084" i="23"/>
  <c r="C11083" i="23"/>
  <c r="C11082" i="23"/>
  <c r="C11081" i="23"/>
  <c r="C11080" i="23"/>
  <c r="C11079" i="23"/>
  <c r="C11078" i="23"/>
  <c r="C11077" i="23"/>
  <c r="C11076" i="23"/>
  <c r="C11075" i="23"/>
  <c r="C11074" i="23"/>
  <c r="C11073" i="23"/>
  <c r="C10775" i="23"/>
  <c r="C10774" i="23"/>
  <c r="C10773" i="23"/>
  <c r="C10772" i="23"/>
  <c r="C10771" i="23"/>
  <c r="C10770" i="23"/>
  <c r="C10769" i="23"/>
  <c r="C10768" i="23"/>
  <c r="C10767" i="23"/>
  <c r="C10766" i="23"/>
  <c r="C10765" i="23"/>
  <c r="C10764" i="23"/>
  <c r="C10763" i="23"/>
  <c r="C10762" i="23"/>
  <c r="C10761" i="23"/>
  <c r="C10760" i="23"/>
  <c r="C10759" i="23"/>
  <c r="C10758" i="23"/>
  <c r="C10757" i="23"/>
  <c r="C10756" i="23"/>
  <c r="C10755" i="23"/>
  <c r="C10754" i="23"/>
  <c r="C10753" i="23"/>
  <c r="C10752" i="23"/>
  <c r="C10751" i="23"/>
  <c r="C10750" i="23"/>
  <c r="C10749" i="23"/>
  <c r="C11234" i="23"/>
  <c r="C11233" i="23"/>
  <c r="C11232" i="23"/>
  <c r="C11231" i="23"/>
  <c r="C11230" i="23"/>
  <c r="C11229" i="23"/>
  <c r="C11228" i="23"/>
  <c r="C11227" i="23"/>
  <c r="C11226" i="23"/>
  <c r="C11225" i="23"/>
  <c r="C11224" i="23"/>
  <c r="C11223" i="23"/>
  <c r="C11222" i="23"/>
  <c r="C11221" i="23"/>
  <c r="C11220" i="23"/>
  <c r="C11219" i="23"/>
  <c r="C11218" i="23"/>
  <c r="C11217" i="23"/>
  <c r="C11216" i="23"/>
  <c r="C11215" i="23"/>
  <c r="C11214" i="23"/>
  <c r="C11213" i="23"/>
  <c r="C11212" i="23"/>
  <c r="C11211" i="23"/>
  <c r="C11210" i="23"/>
  <c r="C11209" i="23"/>
  <c r="C11208" i="23"/>
  <c r="C10370" i="23"/>
  <c r="C10369" i="23"/>
  <c r="C10368" i="23"/>
  <c r="C10367" i="23"/>
  <c r="C10366" i="23"/>
  <c r="C10365" i="23"/>
  <c r="C10364" i="23"/>
  <c r="C10363" i="23"/>
  <c r="C10362" i="23"/>
  <c r="C10361" i="23"/>
  <c r="C10360" i="23"/>
  <c r="C10359" i="23"/>
  <c r="C10358" i="23"/>
  <c r="C10357" i="23"/>
  <c r="C10356" i="23"/>
  <c r="C10355" i="23"/>
  <c r="C10354" i="23"/>
  <c r="C10353" i="23"/>
  <c r="C10352" i="23"/>
  <c r="C10351" i="23"/>
  <c r="C10350" i="23"/>
  <c r="C10349" i="23"/>
  <c r="C10348" i="23"/>
  <c r="C10347" i="23"/>
  <c r="C10346" i="23"/>
  <c r="C10345" i="23"/>
  <c r="C10344" i="23"/>
  <c r="C10721" i="23"/>
  <c r="C10720" i="23"/>
  <c r="C10719" i="23"/>
  <c r="C10718" i="23"/>
  <c r="C10717" i="23"/>
  <c r="C10716" i="23"/>
  <c r="C10715" i="23"/>
  <c r="C10714" i="23"/>
  <c r="C10713" i="23"/>
  <c r="C10712" i="23"/>
  <c r="C10711" i="23"/>
  <c r="C10710" i="23"/>
  <c r="C10709" i="23"/>
  <c r="C10708" i="23"/>
  <c r="C10707" i="23"/>
  <c r="C10706" i="23"/>
  <c r="C10705" i="23"/>
  <c r="C10704" i="23"/>
  <c r="C10703" i="23"/>
  <c r="C10702" i="23"/>
  <c r="C10701" i="23"/>
  <c r="C10700" i="23"/>
  <c r="C10699" i="23"/>
  <c r="C10698" i="23"/>
  <c r="C10697" i="23"/>
  <c r="C10696" i="23"/>
  <c r="C10695" i="23"/>
  <c r="C11018" i="23"/>
  <c r="C11017" i="23"/>
  <c r="C11016" i="23"/>
  <c r="C11015" i="23"/>
  <c r="C11014" i="23"/>
  <c r="C11013" i="23"/>
  <c r="C11012" i="23"/>
  <c r="C11011" i="23"/>
  <c r="C11010" i="23"/>
  <c r="C11009" i="23"/>
  <c r="C11008" i="23"/>
  <c r="C11007" i="23"/>
  <c r="C11006" i="23"/>
  <c r="C11005" i="23"/>
  <c r="C11004" i="23"/>
  <c r="C11003" i="23"/>
  <c r="C11002" i="23"/>
  <c r="C11001" i="23"/>
  <c r="C11000" i="23"/>
  <c r="C10999" i="23"/>
  <c r="C10998" i="23"/>
  <c r="C10997" i="23"/>
  <c r="C10996" i="23"/>
  <c r="C10995" i="23"/>
  <c r="C10994" i="23"/>
  <c r="C10993" i="23"/>
  <c r="C10992" i="23"/>
  <c r="C10829" i="23"/>
  <c r="C10828" i="23"/>
  <c r="C10827" i="23"/>
  <c r="C10826" i="23"/>
  <c r="C10825" i="23"/>
  <c r="C10824" i="23"/>
  <c r="C10823" i="23"/>
  <c r="C10822" i="23"/>
  <c r="C10821" i="23"/>
  <c r="C10820" i="23"/>
  <c r="C10819" i="23"/>
  <c r="C10818" i="23"/>
  <c r="C10817" i="23"/>
  <c r="C10816" i="23"/>
  <c r="C10815" i="23"/>
  <c r="C10814" i="23"/>
  <c r="C10813" i="23"/>
  <c r="C10812" i="23"/>
  <c r="C10811" i="23"/>
  <c r="C10810" i="23"/>
  <c r="C10809" i="23"/>
  <c r="C10808" i="23"/>
  <c r="C10807" i="23"/>
  <c r="C10806" i="23"/>
  <c r="C10805" i="23"/>
  <c r="C10804" i="23"/>
  <c r="C10803" i="23"/>
  <c r="C10910" i="23"/>
  <c r="C10909" i="23"/>
  <c r="C10908" i="23"/>
  <c r="C10907" i="23"/>
  <c r="C10906" i="23"/>
  <c r="C10905" i="23"/>
  <c r="C10904" i="23"/>
  <c r="C10903" i="23"/>
  <c r="C10902" i="23"/>
  <c r="C10901" i="23"/>
  <c r="C10900" i="23"/>
  <c r="C10899" i="23"/>
  <c r="C10898" i="23"/>
  <c r="C10897" i="23"/>
  <c r="C10896" i="23"/>
  <c r="C10895" i="23"/>
  <c r="C10894" i="23"/>
  <c r="C10893" i="23"/>
  <c r="C10892" i="23"/>
  <c r="C10891" i="23"/>
  <c r="C10890" i="23"/>
  <c r="C10889" i="23"/>
  <c r="C10888" i="23"/>
  <c r="C10887" i="23"/>
  <c r="C10886" i="23"/>
  <c r="C10885" i="23"/>
  <c r="C10884" i="23"/>
  <c r="C11180" i="23"/>
  <c r="C11179" i="23"/>
  <c r="C11178" i="23"/>
  <c r="C11177" i="23"/>
  <c r="C11176" i="23"/>
  <c r="C11175" i="23"/>
  <c r="C11174" i="23"/>
  <c r="C11173" i="23"/>
  <c r="C11172" i="23"/>
  <c r="C11171" i="23"/>
  <c r="C11170" i="23"/>
  <c r="C11169" i="23"/>
  <c r="C11168" i="23"/>
  <c r="C11167" i="23"/>
  <c r="C11166" i="23"/>
  <c r="C11165" i="23"/>
  <c r="C11164" i="23"/>
  <c r="C11163" i="23"/>
  <c r="C11162" i="23"/>
  <c r="C11161" i="23"/>
  <c r="C11160" i="23"/>
  <c r="C11159" i="23"/>
  <c r="C11158" i="23"/>
  <c r="C11157" i="23"/>
  <c r="C11156" i="23"/>
  <c r="C11155" i="23"/>
  <c r="C11154" i="23"/>
  <c r="C11126" i="23"/>
  <c r="C11125" i="23"/>
  <c r="C11124" i="23"/>
  <c r="C11123" i="23"/>
  <c r="C11122" i="23"/>
  <c r="C11121" i="23"/>
  <c r="C11120" i="23"/>
  <c r="C11119" i="23"/>
  <c r="C11118" i="23"/>
  <c r="C11117" i="23"/>
  <c r="C11116" i="23"/>
  <c r="C11115" i="23"/>
  <c r="C11114" i="23"/>
  <c r="C11113" i="23"/>
  <c r="C11112" i="23"/>
  <c r="C11111" i="23"/>
  <c r="C11110" i="23"/>
  <c r="C11109" i="23"/>
  <c r="C11108" i="23"/>
  <c r="C11107" i="23"/>
  <c r="C11106" i="23"/>
  <c r="C11105" i="23"/>
  <c r="C11104" i="23"/>
  <c r="C11103" i="23"/>
  <c r="C11102" i="23"/>
  <c r="C11101" i="23"/>
  <c r="C11100" i="23"/>
  <c r="C11072" i="23"/>
  <c r="C11071" i="23"/>
  <c r="C11070" i="23"/>
  <c r="C11069" i="23"/>
  <c r="C11068" i="23"/>
  <c r="C11067" i="23"/>
  <c r="C11066" i="23"/>
  <c r="C11065" i="23"/>
  <c r="C11064" i="23"/>
  <c r="C11063" i="23"/>
  <c r="C11062" i="23"/>
  <c r="C11061" i="23"/>
  <c r="C11060" i="23"/>
  <c r="C11059" i="23"/>
  <c r="C11058" i="23"/>
  <c r="C11057" i="23"/>
  <c r="C11056" i="23"/>
  <c r="C11055" i="23"/>
  <c r="C11054" i="23"/>
  <c r="C11053" i="23"/>
  <c r="C11052" i="23"/>
  <c r="C11051" i="23"/>
  <c r="C11050" i="23"/>
  <c r="C11049" i="23"/>
  <c r="C11048" i="23"/>
  <c r="C11047" i="23"/>
  <c r="C11046" i="23"/>
  <c r="C10883" i="23"/>
  <c r="C10882" i="23"/>
  <c r="C10881" i="23"/>
  <c r="C10880" i="23"/>
  <c r="C10879" i="23"/>
  <c r="C10878" i="23"/>
  <c r="C10877" i="23"/>
  <c r="C10876" i="23"/>
  <c r="C10875" i="23"/>
  <c r="C10874" i="23"/>
  <c r="C10873" i="23"/>
  <c r="C10872" i="23"/>
  <c r="C10871" i="23"/>
  <c r="C10870" i="23"/>
  <c r="C10869" i="23"/>
  <c r="C10868" i="23"/>
  <c r="C10867" i="23"/>
  <c r="C10866" i="23"/>
  <c r="C10865" i="23"/>
  <c r="C10864" i="23"/>
  <c r="C10863" i="23"/>
  <c r="C10862" i="23"/>
  <c r="C10861" i="23"/>
  <c r="C10860" i="23"/>
  <c r="C10859" i="23"/>
  <c r="C10858" i="23"/>
  <c r="C10857" i="23"/>
  <c r="C10316" i="23"/>
  <c r="C10315" i="23"/>
  <c r="C10314" i="23"/>
  <c r="C10313" i="23"/>
  <c r="C10312" i="23"/>
  <c r="C10311" i="23"/>
  <c r="C10310" i="23"/>
  <c r="C10309" i="23"/>
  <c r="C10308" i="23"/>
  <c r="C10307" i="23"/>
  <c r="C10306" i="23"/>
  <c r="C10305" i="23"/>
  <c r="C10304" i="23"/>
  <c r="C10303" i="23"/>
  <c r="C10302" i="23"/>
  <c r="C10301" i="23"/>
  <c r="C10300" i="23"/>
  <c r="C10299" i="23"/>
  <c r="C10298" i="23"/>
  <c r="C10297" i="23"/>
  <c r="C10296" i="23"/>
  <c r="C10295" i="23"/>
  <c r="C10294" i="23"/>
  <c r="C10293" i="23"/>
  <c r="C10292" i="23"/>
  <c r="C10291" i="23"/>
  <c r="C10290" i="23"/>
  <c r="C10856" i="23"/>
  <c r="C10855" i="23"/>
  <c r="C10854" i="23"/>
  <c r="C10853" i="23"/>
  <c r="C10852" i="23"/>
  <c r="C10851" i="23"/>
  <c r="C10850" i="23"/>
  <c r="C10849" i="23"/>
  <c r="C10848" i="23"/>
  <c r="C10847" i="23"/>
  <c r="C10846" i="23"/>
  <c r="C10845" i="23"/>
  <c r="C10844" i="23"/>
  <c r="C10843" i="23"/>
  <c r="C10842" i="23"/>
  <c r="C10841" i="23"/>
  <c r="C10840" i="23"/>
  <c r="C10839" i="23"/>
  <c r="C10838" i="23"/>
  <c r="C10837" i="23"/>
  <c r="C10836" i="23"/>
  <c r="C10835" i="23"/>
  <c r="C10834" i="23"/>
  <c r="C10833" i="23"/>
  <c r="C10832" i="23"/>
  <c r="C10831" i="23"/>
  <c r="C10830" i="23"/>
  <c r="C10667" i="23"/>
  <c r="C10666" i="23"/>
  <c r="C10665" i="23"/>
  <c r="C10664" i="23"/>
  <c r="C10663" i="23"/>
  <c r="C10662" i="23"/>
  <c r="C10661" i="23"/>
  <c r="C10660" i="23"/>
  <c r="C10659" i="23"/>
  <c r="C10658" i="23"/>
  <c r="C10657" i="23"/>
  <c r="C10656" i="23"/>
  <c r="C10655" i="23"/>
  <c r="C10654" i="23"/>
  <c r="C10653" i="23"/>
  <c r="C10652" i="23"/>
  <c r="C10651" i="23"/>
  <c r="C10650" i="23"/>
  <c r="C10649" i="23"/>
  <c r="C10648" i="23"/>
  <c r="C10647" i="23"/>
  <c r="C10646" i="23"/>
  <c r="C10645" i="23"/>
  <c r="C10644" i="23"/>
  <c r="C10643" i="23"/>
  <c r="C10642" i="23"/>
  <c r="C10641" i="23"/>
  <c r="C11261" i="23"/>
  <c r="C11260" i="23"/>
  <c r="C11259" i="23"/>
  <c r="C11258" i="23"/>
  <c r="C11257" i="23"/>
  <c r="C11256" i="23"/>
  <c r="C11255" i="23"/>
  <c r="C11254" i="23"/>
  <c r="C11253" i="23"/>
  <c r="C11252" i="23"/>
  <c r="C11251" i="23"/>
  <c r="C11250" i="23"/>
  <c r="C11249" i="23"/>
  <c r="C11248" i="23"/>
  <c r="C11247" i="23"/>
  <c r="C11246" i="23"/>
  <c r="C11245" i="23"/>
  <c r="C11244" i="23"/>
  <c r="C11243" i="23"/>
  <c r="C11242" i="23"/>
  <c r="C11241" i="23"/>
  <c r="C11240" i="23"/>
  <c r="C11239" i="23"/>
  <c r="C11238" i="23"/>
  <c r="C11237" i="23"/>
  <c r="C11236" i="23"/>
  <c r="C11235" i="23"/>
  <c r="C10991" i="23"/>
  <c r="C10990" i="23"/>
  <c r="C10989" i="23"/>
  <c r="C10988" i="23"/>
  <c r="C10987" i="23"/>
  <c r="C10986" i="23"/>
  <c r="C10985" i="23"/>
  <c r="C10984" i="23"/>
  <c r="C10983" i="23"/>
  <c r="C10982" i="23"/>
  <c r="C10981" i="23"/>
  <c r="C10980" i="23"/>
  <c r="C10979" i="23"/>
  <c r="C10978" i="23"/>
  <c r="C10977" i="23"/>
  <c r="C10976" i="23"/>
  <c r="C10975" i="23"/>
  <c r="C10974" i="23"/>
  <c r="C10973" i="23"/>
  <c r="C10972" i="23"/>
  <c r="C10971" i="23"/>
  <c r="C10970" i="23"/>
  <c r="C10969" i="23"/>
  <c r="C10968" i="23"/>
  <c r="C10967" i="23"/>
  <c r="C10966" i="23"/>
  <c r="C10965" i="23"/>
  <c r="C11288" i="23"/>
  <c r="C11287" i="23"/>
  <c r="C11286" i="23"/>
  <c r="C11285" i="23"/>
  <c r="C11284" i="23"/>
  <c r="C11283" i="23"/>
  <c r="C11282" i="23"/>
  <c r="C11281" i="23"/>
  <c r="C11280" i="23"/>
  <c r="C11279" i="23"/>
  <c r="C11278" i="23"/>
  <c r="C11277" i="23"/>
  <c r="C11276" i="23"/>
  <c r="C11275" i="23"/>
  <c r="C11274" i="23"/>
  <c r="C11273" i="23"/>
  <c r="C11272" i="23"/>
  <c r="C11271" i="23"/>
  <c r="C11270" i="23"/>
  <c r="C11269" i="23"/>
  <c r="C11268" i="23"/>
  <c r="C11267" i="23"/>
  <c r="C11266" i="23"/>
  <c r="C11265" i="23"/>
  <c r="C11264" i="23"/>
  <c r="C11263" i="23"/>
  <c r="C11262" i="23"/>
  <c r="C10937" i="23"/>
  <c r="C10936" i="23"/>
  <c r="C10935" i="23"/>
  <c r="C10934" i="23"/>
  <c r="C10933" i="23"/>
  <c r="C10932" i="23"/>
  <c r="C10931" i="23"/>
  <c r="C10930" i="23"/>
  <c r="C10929" i="23"/>
  <c r="C10928" i="23"/>
  <c r="C10927" i="23"/>
  <c r="C10926" i="23"/>
  <c r="C10925" i="23"/>
  <c r="C10924" i="23"/>
  <c r="C10923" i="23"/>
  <c r="C10922" i="23"/>
  <c r="C10921" i="23"/>
  <c r="C10920" i="23"/>
  <c r="C10919" i="23"/>
  <c r="C10918" i="23"/>
  <c r="C10917" i="23"/>
  <c r="C10916" i="23"/>
  <c r="C10915" i="23"/>
  <c r="C10914" i="23"/>
  <c r="C10913" i="23"/>
  <c r="C10912" i="23"/>
  <c r="C10911" i="23"/>
  <c r="C10964" i="23"/>
  <c r="C10963" i="23"/>
  <c r="C10962" i="23"/>
  <c r="C10961" i="23"/>
  <c r="C10960" i="23"/>
  <c r="C10959" i="23"/>
  <c r="C10958" i="23"/>
  <c r="C10957" i="23"/>
  <c r="C10956" i="23"/>
  <c r="C10955" i="23"/>
  <c r="C10954" i="23"/>
  <c r="C10953" i="23"/>
  <c r="C10952" i="23"/>
  <c r="C10951" i="23"/>
  <c r="C10950" i="23"/>
  <c r="C10949" i="23"/>
  <c r="C10948" i="23"/>
  <c r="C10947" i="23"/>
  <c r="C10946" i="23"/>
  <c r="C10945" i="23"/>
  <c r="C10944" i="23"/>
  <c r="C10943" i="23"/>
  <c r="C10942" i="23"/>
  <c r="C10941" i="23"/>
  <c r="C10940" i="23"/>
  <c r="C10939" i="23"/>
  <c r="C10938" i="23"/>
  <c r="C10694" i="23"/>
  <c r="C10693" i="23"/>
  <c r="C10692" i="23"/>
  <c r="C10691" i="23"/>
  <c r="C10690" i="23"/>
  <c r="C10689" i="23"/>
  <c r="C10688" i="23"/>
  <c r="C10687" i="23"/>
  <c r="C10686" i="23"/>
  <c r="C10685" i="23"/>
  <c r="C10684" i="23"/>
  <c r="C10683" i="23"/>
  <c r="C10682" i="23"/>
  <c r="C10681" i="23"/>
  <c r="C10680" i="23"/>
  <c r="C10679" i="23"/>
  <c r="C10678" i="23"/>
  <c r="C10677" i="23"/>
  <c r="C10676" i="23"/>
  <c r="C10675" i="23"/>
  <c r="C10674" i="23"/>
  <c r="C10673" i="23"/>
  <c r="C10672" i="23"/>
  <c r="C10671" i="23"/>
  <c r="C10670" i="23"/>
  <c r="C10669" i="23"/>
  <c r="C10668" i="23"/>
  <c r="C10289" i="23"/>
  <c r="C10288" i="23"/>
  <c r="C10287" i="23"/>
  <c r="C10286" i="23"/>
  <c r="C10285" i="23"/>
  <c r="C10284" i="23"/>
  <c r="C10283" i="23"/>
  <c r="C10282" i="23"/>
  <c r="C10281" i="23"/>
  <c r="C10280" i="23"/>
  <c r="C10279" i="23"/>
  <c r="C10278" i="23"/>
  <c r="C10277" i="23"/>
  <c r="C10276" i="23"/>
  <c r="C10275" i="23"/>
  <c r="C10274" i="23"/>
  <c r="C10273" i="23"/>
  <c r="C10272" i="23"/>
  <c r="C10271" i="23"/>
  <c r="C10270" i="23"/>
  <c r="C10269" i="23"/>
  <c r="C10268" i="23"/>
  <c r="C10267" i="23"/>
  <c r="C10266" i="23"/>
  <c r="C10265" i="23"/>
  <c r="C10264" i="23"/>
  <c r="C10263" i="23"/>
  <c r="C10802" i="23"/>
  <c r="C10801" i="23"/>
  <c r="C10800" i="23"/>
  <c r="C10799" i="23"/>
  <c r="C10798" i="23"/>
  <c r="C10797" i="23"/>
  <c r="C10796" i="23"/>
  <c r="C10795" i="23"/>
  <c r="C10794" i="23"/>
  <c r="C10793" i="23"/>
  <c r="C10792" i="23"/>
  <c r="C10791" i="23"/>
  <c r="C10790" i="23"/>
  <c r="C10789" i="23"/>
  <c r="C10788" i="23"/>
  <c r="C10787" i="23"/>
  <c r="C10786" i="23"/>
  <c r="C10785" i="23"/>
  <c r="C10784" i="23"/>
  <c r="C10783" i="23"/>
  <c r="C10782" i="23"/>
  <c r="C10781" i="23"/>
  <c r="C10780" i="23"/>
  <c r="C10779" i="23"/>
  <c r="C10778" i="23"/>
  <c r="C10777" i="23"/>
  <c r="C10776" i="23"/>
  <c r="C11153" i="23"/>
  <c r="C11152" i="23"/>
  <c r="C11151" i="23"/>
  <c r="C11150" i="23"/>
  <c r="C11149" i="23"/>
  <c r="C11148" i="23"/>
  <c r="C11147" i="23"/>
  <c r="C11146" i="23"/>
  <c r="C11145" i="23"/>
  <c r="C11144" i="23"/>
  <c r="C11143" i="23"/>
  <c r="C11142" i="23"/>
  <c r="C11141" i="23"/>
  <c r="C11140" i="23"/>
  <c r="C11139" i="23"/>
  <c r="C11138" i="23"/>
  <c r="C11137" i="23"/>
  <c r="C11136" i="23"/>
  <c r="C11135" i="23"/>
  <c r="C11134" i="23"/>
  <c r="C11133" i="23"/>
  <c r="C11132" i="23"/>
  <c r="C11131" i="23"/>
  <c r="C11130" i="23"/>
  <c r="C11129" i="23"/>
  <c r="C11128" i="23"/>
  <c r="C11127" i="23"/>
  <c r="C11207" i="23"/>
  <c r="C11206" i="23"/>
  <c r="C11205" i="23"/>
  <c r="C11204" i="23"/>
  <c r="C11203" i="23"/>
  <c r="C11202" i="23"/>
  <c r="C11201" i="23"/>
  <c r="C11200" i="23"/>
  <c r="C11199" i="23"/>
  <c r="C11198" i="23"/>
  <c r="C11197" i="23"/>
  <c r="C11196" i="23"/>
  <c r="C11195" i="23"/>
  <c r="C11194" i="23"/>
  <c r="C11193" i="23"/>
  <c r="C11192" i="23"/>
  <c r="C11191" i="23"/>
  <c r="C11190" i="23"/>
  <c r="C11189" i="23"/>
  <c r="C11188" i="23"/>
  <c r="C11187" i="23"/>
  <c r="C11186" i="23"/>
  <c r="C11185" i="23"/>
  <c r="C11184" i="23"/>
  <c r="C11183" i="23"/>
  <c r="C11182" i="23"/>
  <c r="C11181" i="23"/>
  <c r="C10343" i="23"/>
  <c r="C10342" i="23"/>
  <c r="C10341" i="23"/>
  <c r="C10340" i="23"/>
  <c r="C10339" i="23"/>
  <c r="C10338" i="23"/>
  <c r="C10337" i="23"/>
  <c r="C10336" i="23"/>
  <c r="C10335" i="23"/>
  <c r="C10334" i="23"/>
  <c r="C10333" i="23"/>
  <c r="C10332" i="23"/>
  <c r="C10331" i="23"/>
  <c r="C10330" i="23"/>
  <c r="C10329" i="23"/>
  <c r="C10328" i="23"/>
  <c r="C10327" i="23"/>
  <c r="C10326" i="23"/>
  <c r="C10325" i="23"/>
  <c r="C10324" i="23"/>
  <c r="C10323" i="23"/>
  <c r="C10322" i="23"/>
  <c r="C10321" i="23"/>
  <c r="C10320" i="23"/>
  <c r="C10319" i="23"/>
  <c r="C10318" i="23"/>
  <c r="C10317" i="23"/>
  <c r="C11045" i="23"/>
  <c r="C11044" i="23"/>
  <c r="C11043" i="23"/>
  <c r="C11042" i="23"/>
  <c r="C11041" i="23"/>
  <c r="C11040" i="23"/>
  <c r="C11039" i="23"/>
  <c r="C11038" i="23"/>
  <c r="C11037" i="23"/>
  <c r="C11036" i="23"/>
  <c r="C11035" i="23"/>
  <c r="C11034" i="23"/>
  <c r="C11033" i="23"/>
  <c r="C11032" i="23"/>
  <c r="C11031" i="23"/>
  <c r="C11030" i="23"/>
  <c r="C11029" i="23"/>
  <c r="C11028" i="23"/>
  <c r="C11027" i="23"/>
  <c r="C11026" i="23"/>
  <c r="C11025" i="23"/>
  <c r="C11024" i="23"/>
  <c r="C11023" i="23"/>
  <c r="C11022" i="23"/>
  <c r="C11021" i="23"/>
  <c r="C11020" i="23"/>
  <c r="C11019" i="23"/>
  <c r="B9398" i="23"/>
  <c r="B9397" i="23"/>
  <c r="B9396" i="23"/>
  <c r="B9395" i="23"/>
  <c r="B9394" i="23"/>
  <c r="B9393" i="23"/>
  <c r="B9392" i="23"/>
  <c r="B9391" i="23"/>
  <c r="B9390" i="23"/>
  <c r="B9389" i="23"/>
  <c r="B9388" i="23"/>
  <c r="B9387" i="23"/>
  <c r="B9386" i="23"/>
  <c r="B9385" i="23"/>
  <c r="B9384" i="23"/>
  <c r="B9383" i="23"/>
  <c r="B9382" i="23"/>
  <c r="B9381" i="23"/>
  <c r="B9380" i="23"/>
  <c r="B9379" i="23"/>
  <c r="B9378" i="23"/>
  <c r="B9377" i="23"/>
  <c r="B9376" i="23"/>
  <c r="B9375" i="23"/>
  <c r="B9374" i="23"/>
  <c r="B9373" i="23"/>
  <c r="B9372" i="23"/>
  <c r="B9425" i="23"/>
  <c r="B9424" i="23"/>
  <c r="B9423" i="23"/>
  <c r="B9422" i="23"/>
  <c r="B9421" i="23"/>
  <c r="B9420" i="23"/>
  <c r="B9419" i="23"/>
  <c r="B9418" i="23"/>
  <c r="B9417" i="23"/>
  <c r="B9416" i="23"/>
  <c r="B9415" i="23"/>
  <c r="B9414" i="23"/>
  <c r="B9413" i="23"/>
  <c r="B9412" i="23"/>
  <c r="B9411" i="23"/>
  <c r="B9410" i="23"/>
  <c r="B9409" i="23"/>
  <c r="B9408" i="23"/>
  <c r="B9407" i="23"/>
  <c r="B9406" i="23"/>
  <c r="B9405" i="23"/>
  <c r="B9404" i="23"/>
  <c r="B9403" i="23"/>
  <c r="B9402" i="23"/>
  <c r="B9401" i="23"/>
  <c r="B9400" i="23"/>
  <c r="B9399" i="23"/>
  <c r="B9452" i="23"/>
  <c r="B9451" i="23"/>
  <c r="B9450" i="23"/>
  <c r="B9449" i="23"/>
  <c r="B9448" i="23"/>
  <c r="B9447" i="23"/>
  <c r="B9446" i="23"/>
  <c r="B9445" i="23"/>
  <c r="B9444" i="23"/>
  <c r="B9443" i="23"/>
  <c r="B9442" i="23"/>
  <c r="B9441" i="23"/>
  <c r="B9440" i="23"/>
  <c r="B9439" i="23"/>
  <c r="B9438" i="23"/>
  <c r="B9437" i="23"/>
  <c r="B9436" i="23"/>
  <c r="B9435" i="23"/>
  <c r="B9434" i="23"/>
  <c r="B9433" i="23"/>
  <c r="B9432" i="23"/>
  <c r="B9431" i="23"/>
  <c r="B9430" i="23"/>
  <c r="B9429" i="23"/>
  <c r="B9428" i="23"/>
  <c r="B9427" i="23"/>
  <c r="B9426" i="23"/>
  <c r="B9479" i="23"/>
  <c r="B9478" i="23"/>
  <c r="B9477" i="23"/>
  <c r="B9476" i="23"/>
  <c r="B9475" i="23"/>
  <c r="B9474" i="23"/>
  <c r="B9473" i="23"/>
  <c r="B9472" i="23"/>
  <c r="B9471" i="23"/>
  <c r="B9470" i="23"/>
  <c r="B9469" i="23"/>
  <c r="B9468" i="23"/>
  <c r="B9467" i="23"/>
  <c r="B9466" i="23"/>
  <c r="B9465" i="23"/>
  <c r="B9464" i="23"/>
  <c r="B9463" i="23"/>
  <c r="B9462" i="23"/>
  <c r="B9461" i="23"/>
  <c r="B9460" i="23"/>
  <c r="B9459" i="23"/>
  <c r="B9458" i="23"/>
  <c r="B9457" i="23"/>
  <c r="B9456" i="23"/>
  <c r="B9455" i="23"/>
  <c r="B9454" i="23"/>
  <c r="B9453" i="23"/>
  <c r="B9506" i="23"/>
  <c r="B9505" i="23"/>
  <c r="B9504" i="23"/>
  <c r="B9503" i="23"/>
  <c r="B9502" i="23"/>
  <c r="B9501" i="23"/>
  <c r="B9500" i="23"/>
  <c r="B9499" i="23"/>
  <c r="B9498" i="23"/>
  <c r="B9497" i="23"/>
  <c r="B9496" i="23"/>
  <c r="B9495" i="23"/>
  <c r="B9494" i="23"/>
  <c r="B9493" i="23"/>
  <c r="B9492" i="23"/>
  <c r="B9491" i="23"/>
  <c r="B9490" i="23"/>
  <c r="B9489" i="23"/>
  <c r="B9488" i="23"/>
  <c r="B9487" i="23"/>
  <c r="B9486" i="23"/>
  <c r="B9485" i="23"/>
  <c r="B9484" i="23"/>
  <c r="B9483" i="23"/>
  <c r="B9482" i="23"/>
  <c r="B9481" i="23"/>
  <c r="B9480" i="23"/>
  <c r="B9533" i="23"/>
  <c r="B9532" i="23"/>
  <c r="B9531" i="23"/>
  <c r="B9530" i="23"/>
  <c r="B9529" i="23"/>
  <c r="B9528" i="23"/>
  <c r="B9527" i="23"/>
  <c r="B9526" i="23"/>
  <c r="B9525" i="23"/>
  <c r="B9524" i="23"/>
  <c r="B9523" i="23"/>
  <c r="B9522" i="23"/>
  <c r="B9521" i="23"/>
  <c r="B9520" i="23"/>
  <c r="B9519" i="23"/>
  <c r="B9518" i="23"/>
  <c r="B9517" i="23"/>
  <c r="B9516" i="23"/>
  <c r="B9515" i="23"/>
  <c r="B9514" i="23"/>
  <c r="B9513" i="23"/>
  <c r="B9512" i="23"/>
  <c r="B9511" i="23"/>
  <c r="B9510" i="23"/>
  <c r="B9509" i="23"/>
  <c r="B9508" i="23"/>
  <c r="B9507" i="23"/>
  <c r="B9560" i="23"/>
  <c r="B9559" i="23"/>
  <c r="B9558" i="23"/>
  <c r="B9557" i="23"/>
  <c r="B9556" i="23"/>
  <c r="B9555" i="23"/>
  <c r="B9554" i="23"/>
  <c r="B9553" i="23"/>
  <c r="B9552" i="23"/>
  <c r="B9551" i="23"/>
  <c r="B9550" i="23"/>
  <c r="B9549" i="23"/>
  <c r="B9548" i="23"/>
  <c r="B9547" i="23"/>
  <c r="B9546" i="23"/>
  <c r="B9545" i="23"/>
  <c r="B9544" i="23"/>
  <c r="B9543" i="23"/>
  <c r="B9542" i="23"/>
  <c r="B9541" i="23"/>
  <c r="B9540" i="23"/>
  <c r="B9539" i="23"/>
  <c r="B9538" i="23"/>
  <c r="B9537" i="23"/>
  <c r="B9536" i="23"/>
  <c r="B9535" i="23"/>
  <c r="B9534" i="23"/>
  <c r="B9587" i="23"/>
  <c r="B9586" i="23"/>
  <c r="B9585" i="23"/>
  <c r="B9584" i="23"/>
  <c r="B9583" i="23"/>
  <c r="B9582" i="23"/>
  <c r="B9581" i="23"/>
  <c r="B9580" i="23"/>
  <c r="B9579" i="23"/>
  <c r="B9578" i="23"/>
  <c r="B9577" i="23"/>
  <c r="B9576" i="23"/>
  <c r="B9575" i="23"/>
  <c r="B9574" i="23"/>
  <c r="B9573" i="23"/>
  <c r="B9572" i="23"/>
  <c r="B9571" i="23"/>
  <c r="B9570" i="23"/>
  <c r="B9569" i="23"/>
  <c r="B9568" i="23"/>
  <c r="B9567" i="23"/>
  <c r="B9566" i="23"/>
  <c r="B9565" i="23"/>
  <c r="B9564" i="23"/>
  <c r="B9563" i="23"/>
  <c r="B9562" i="23"/>
  <c r="B9561" i="23"/>
  <c r="B9614" i="23"/>
  <c r="B9613" i="23"/>
  <c r="B9612" i="23"/>
  <c r="B9611" i="23"/>
  <c r="B9610" i="23"/>
  <c r="B9609" i="23"/>
  <c r="B9608" i="23"/>
  <c r="B9607" i="23"/>
  <c r="B9606" i="23"/>
  <c r="B9605" i="23"/>
  <c r="B9604" i="23"/>
  <c r="B9603" i="23"/>
  <c r="B9602" i="23"/>
  <c r="B9601" i="23"/>
  <c r="B9600" i="23"/>
  <c r="B9599" i="23"/>
  <c r="B9598" i="23"/>
  <c r="B9597" i="23"/>
  <c r="B9596" i="23"/>
  <c r="B9595" i="23"/>
  <c r="B9594" i="23"/>
  <c r="B9593" i="23"/>
  <c r="B9592" i="23"/>
  <c r="B9591" i="23"/>
  <c r="B9590" i="23"/>
  <c r="B9589" i="23"/>
  <c r="B9588" i="23"/>
  <c r="B9371" i="23"/>
  <c r="B9370" i="23"/>
  <c r="B9369" i="23"/>
  <c r="B9368" i="23"/>
  <c r="B9367" i="23"/>
  <c r="B9366" i="23"/>
  <c r="B9365" i="23"/>
  <c r="B9364" i="23"/>
  <c r="B9363" i="23"/>
  <c r="B9362" i="23"/>
  <c r="B9361" i="23"/>
  <c r="B9360" i="23"/>
  <c r="B9359" i="23"/>
  <c r="B9358" i="23"/>
  <c r="B9357" i="23"/>
  <c r="B9356" i="23"/>
  <c r="B9355" i="23"/>
  <c r="B9354" i="23"/>
  <c r="B9353" i="23"/>
  <c r="B9352" i="23"/>
  <c r="B9351" i="23"/>
  <c r="B9350" i="23"/>
  <c r="B9349" i="23"/>
  <c r="B9348" i="23"/>
  <c r="B9347" i="23"/>
  <c r="B9346" i="23"/>
  <c r="B9345" i="23"/>
  <c r="B9722" i="23"/>
  <c r="B9721" i="23"/>
  <c r="B9720" i="23"/>
  <c r="B9719" i="23"/>
  <c r="B9718" i="23"/>
  <c r="B9717" i="23"/>
  <c r="B9716" i="23"/>
  <c r="B9715" i="23"/>
  <c r="B9714" i="23"/>
  <c r="B9713" i="23"/>
  <c r="B9712" i="23"/>
  <c r="B9711" i="23"/>
  <c r="B9710" i="23"/>
  <c r="B9709" i="23"/>
  <c r="B9708" i="23"/>
  <c r="B9707" i="23"/>
  <c r="B9706" i="23"/>
  <c r="B9705" i="23"/>
  <c r="B9704" i="23"/>
  <c r="B9703" i="23"/>
  <c r="B9702" i="23"/>
  <c r="B9701" i="23"/>
  <c r="B9700" i="23"/>
  <c r="B9699" i="23"/>
  <c r="B9698" i="23"/>
  <c r="B9697" i="23"/>
  <c r="B9696" i="23"/>
  <c r="B10073" i="23"/>
  <c r="B10072" i="23"/>
  <c r="B10071" i="23"/>
  <c r="B10070" i="23"/>
  <c r="B10069" i="23"/>
  <c r="B10068" i="23"/>
  <c r="B10067" i="23"/>
  <c r="B10066" i="23"/>
  <c r="B10065" i="23"/>
  <c r="B10064" i="23"/>
  <c r="B10063" i="23"/>
  <c r="B10062" i="23"/>
  <c r="B10061" i="23"/>
  <c r="B10060" i="23"/>
  <c r="B10059" i="23"/>
  <c r="B10058" i="23"/>
  <c r="B10057" i="23"/>
  <c r="B10056" i="23"/>
  <c r="B10055" i="23"/>
  <c r="B10054" i="23"/>
  <c r="B10053" i="23"/>
  <c r="B10052" i="23"/>
  <c r="B10051" i="23"/>
  <c r="B10050" i="23"/>
  <c r="B10049" i="23"/>
  <c r="B10048" i="23"/>
  <c r="B10047" i="23"/>
  <c r="B9749" i="23"/>
  <c r="B9748" i="23"/>
  <c r="B9747" i="23"/>
  <c r="B9746" i="23"/>
  <c r="B9745" i="23"/>
  <c r="B9744" i="23"/>
  <c r="B9743" i="23"/>
  <c r="B9742" i="23"/>
  <c r="B9741" i="23"/>
  <c r="B9740" i="23"/>
  <c r="B9739" i="23"/>
  <c r="B9738" i="23"/>
  <c r="B9737" i="23"/>
  <c r="B9736" i="23"/>
  <c r="B9735" i="23"/>
  <c r="B9734" i="23"/>
  <c r="B9733" i="23"/>
  <c r="B9732" i="23"/>
  <c r="B9731" i="23"/>
  <c r="B9730" i="23"/>
  <c r="B9729" i="23"/>
  <c r="B9728" i="23"/>
  <c r="B9727" i="23"/>
  <c r="B9726" i="23"/>
  <c r="B9725" i="23"/>
  <c r="B9724" i="23"/>
  <c r="B9723" i="23"/>
  <c r="B10208" i="23"/>
  <c r="B10207" i="23"/>
  <c r="B10206" i="23"/>
  <c r="B10205" i="23"/>
  <c r="B10204" i="23"/>
  <c r="B10203" i="23"/>
  <c r="B10202" i="23"/>
  <c r="B10201" i="23"/>
  <c r="B10200" i="23"/>
  <c r="B10199" i="23"/>
  <c r="B10198" i="23"/>
  <c r="B10197" i="23"/>
  <c r="B10196" i="23"/>
  <c r="B10195" i="23"/>
  <c r="B10194" i="23"/>
  <c r="B10193" i="23"/>
  <c r="B10192" i="23"/>
  <c r="B10191" i="23"/>
  <c r="B10190" i="23"/>
  <c r="B10189" i="23"/>
  <c r="B10188" i="23"/>
  <c r="B10187" i="23"/>
  <c r="B10186" i="23"/>
  <c r="B10185" i="23"/>
  <c r="B10184" i="23"/>
  <c r="B10183" i="23"/>
  <c r="B10182" i="23"/>
  <c r="B9344" i="23"/>
  <c r="B9343" i="23"/>
  <c r="B9342" i="23"/>
  <c r="B9341" i="23"/>
  <c r="B9340" i="23"/>
  <c r="B9339" i="23"/>
  <c r="B9338" i="23"/>
  <c r="B9337" i="23"/>
  <c r="B9336" i="23"/>
  <c r="B9335" i="23"/>
  <c r="B9334" i="23"/>
  <c r="B9333" i="23"/>
  <c r="B9332" i="23"/>
  <c r="B9331" i="23"/>
  <c r="B9330" i="23"/>
  <c r="B9329" i="23"/>
  <c r="B9328" i="23"/>
  <c r="B9327" i="23"/>
  <c r="B9326" i="23"/>
  <c r="B9325" i="23"/>
  <c r="B9324" i="23"/>
  <c r="B9323" i="23"/>
  <c r="B9322" i="23"/>
  <c r="B9321" i="23"/>
  <c r="B9320" i="23"/>
  <c r="B9319" i="23"/>
  <c r="B9318" i="23"/>
  <c r="B9695" i="23"/>
  <c r="B9694" i="23"/>
  <c r="B9693" i="23"/>
  <c r="B9692" i="23"/>
  <c r="B9691" i="23"/>
  <c r="B9690" i="23"/>
  <c r="B9689" i="23"/>
  <c r="B9688" i="23"/>
  <c r="B9687" i="23"/>
  <c r="B9686" i="23"/>
  <c r="B9685" i="23"/>
  <c r="B9684" i="23"/>
  <c r="B9683" i="23"/>
  <c r="B9682" i="23"/>
  <c r="B9681" i="23"/>
  <c r="B9680" i="23"/>
  <c r="B9679" i="23"/>
  <c r="B9678" i="23"/>
  <c r="B9677" i="23"/>
  <c r="B9676" i="23"/>
  <c r="B9675" i="23"/>
  <c r="B9674" i="23"/>
  <c r="B9673" i="23"/>
  <c r="B9672" i="23"/>
  <c r="B9671" i="23"/>
  <c r="B9670" i="23"/>
  <c r="B9669" i="23"/>
  <c r="B9992" i="23"/>
  <c r="B9991" i="23"/>
  <c r="B9990" i="23"/>
  <c r="B9989" i="23"/>
  <c r="B9988" i="23"/>
  <c r="B9987" i="23"/>
  <c r="B9986" i="23"/>
  <c r="B9985" i="23"/>
  <c r="B9984" i="23"/>
  <c r="B9983" i="23"/>
  <c r="B9982" i="23"/>
  <c r="B9981" i="23"/>
  <c r="B9980" i="23"/>
  <c r="B9979" i="23"/>
  <c r="B9978" i="23"/>
  <c r="B9977" i="23"/>
  <c r="B9976" i="23"/>
  <c r="B9975" i="23"/>
  <c r="B9974" i="23"/>
  <c r="B9973" i="23"/>
  <c r="B9972" i="23"/>
  <c r="B9971" i="23"/>
  <c r="B9970" i="23"/>
  <c r="B9969" i="23"/>
  <c r="B9968" i="23"/>
  <c r="B9967" i="23"/>
  <c r="B9966" i="23"/>
  <c r="B9803" i="23"/>
  <c r="B9802" i="23"/>
  <c r="B9801" i="23"/>
  <c r="B9800" i="23"/>
  <c r="B9799" i="23"/>
  <c r="B9798" i="23"/>
  <c r="B9797" i="23"/>
  <c r="B9796" i="23"/>
  <c r="B9795" i="23"/>
  <c r="B9794" i="23"/>
  <c r="B9793" i="23"/>
  <c r="B9792" i="23"/>
  <c r="B9791" i="23"/>
  <c r="B9790" i="23"/>
  <c r="B9789" i="23"/>
  <c r="B9788" i="23"/>
  <c r="B9787" i="23"/>
  <c r="B9786" i="23"/>
  <c r="B9785" i="23"/>
  <c r="B9784" i="23"/>
  <c r="B9783" i="23"/>
  <c r="B9782" i="23"/>
  <c r="B9781" i="23"/>
  <c r="B9780" i="23"/>
  <c r="B9779" i="23"/>
  <c r="B9778" i="23"/>
  <c r="B9777" i="23"/>
  <c r="B9884" i="23"/>
  <c r="B9883" i="23"/>
  <c r="B9882" i="23"/>
  <c r="B9881" i="23"/>
  <c r="B9880" i="23"/>
  <c r="B9879" i="23"/>
  <c r="B9878" i="23"/>
  <c r="B9877" i="23"/>
  <c r="B9876" i="23"/>
  <c r="B9875" i="23"/>
  <c r="B9874" i="23"/>
  <c r="B9873" i="23"/>
  <c r="B9872" i="23"/>
  <c r="B9871" i="23"/>
  <c r="B9870" i="23"/>
  <c r="B9869" i="23"/>
  <c r="B9868" i="23"/>
  <c r="B9867" i="23"/>
  <c r="B9866" i="23"/>
  <c r="B9865" i="23"/>
  <c r="B9864" i="23"/>
  <c r="B9863" i="23"/>
  <c r="B9862" i="23"/>
  <c r="B9861" i="23"/>
  <c r="B9860" i="23"/>
  <c r="B9859" i="23"/>
  <c r="B9858" i="23"/>
  <c r="B10154" i="23"/>
  <c r="B10153" i="23"/>
  <c r="B10152" i="23"/>
  <c r="B10151" i="23"/>
  <c r="B10150" i="23"/>
  <c r="B10149" i="23"/>
  <c r="B10148" i="23"/>
  <c r="B10147" i="23"/>
  <c r="B10146" i="23"/>
  <c r="B10145" i="23"/>
  <c r="B10144" i="23"/>
  <c r="B10143" i="23"/>
  <c r="B10142" i="23"/>
  <c r="B10141" i="23"/>
  <c r="B10140" i="23"/>
  <c r="B10139" i="23"/>
  <c r="B10138" i="23"/>
  <c r="B10137" i="23"/>
  <c r="B10136" i="23"/>
  <c r="B10135" i="23"/>
  <c r="B10134" i="23"/>
  <c r="B10133" i="23"/>
  <c r="B10132" i="23"/>
  <c r="B10131" i="23"/>
  <c r="B10130" i="23"/>
  <c r="B10129" i="23"/>
  <c r="B10128" i="23"/>
  <c r="B10100" i="23"/>
  <c r="B10099" i="23"/>
  <c r="B10098" i="23"/>
  <c r="B10097" i="23"/>
  <c r="B10096" i="23"/>
  <c r="B10095" i="23"/>
  <c r="B10094" i="23"/>
  <c r="B10093" i="23"/>
  <c r="B10092" i="23"/>
  <c r="B10091" i="23"/>
  <c r="B10090" i="23"/>
  <c r="B10089" i="23"/>
  <c r="B10088" i="23"/>
  <c r="B10087" i="23"/>
  <c r="B10086" i="23"/>
  <c r="B10085" i="23"/>
  <c r="B10084" i="23"/>
  <c r="B10083" i="23"/>
  <c r="B10082" i="23"/>
  <c r="B10081" i="23"/>
  <c r="B10080" i="23"/>
  <c r="B10079" i="23"/>
  <c r="B10078" i="23"/>
  <c r="B10077" i="23"/>
  <c r="B10076" i="23"/>
  <c r="B10075" i="23"/>
  <c r="B10074" i="23"/>
  <c r="B10046" i="23"/>
  <c r="B10045" i="23"/>
  <c r="B10044" i="23"/>
  <c r="B10043" i="23"/>
  <c r="B10042" i="23"/>
  <c r="B10041" i="23"/>
  <c r="B10040" i="23"/>
  <c r="B10039" i="23"/>
  <c r="B10038" i="23"/>
  <c r="B10037" i="23"/>
  <c r="B10036" i="23"/>
  <c r="B10035" i="23"/>
  <c r="B10034" i="23"/>
  <c r="B10033" i="23"/>
  <c r="B10032" i="23"/>
  <c r="B10031" i="23"/>
  <c r="B10030" i="23"/>
  <c r="B10029" i="23"/>
  <c r="B10028" i="23"/>
  <c r="B10027" i="23"/>
  <c r="B10026" i="23"/>
  <c r="B10025" i="23"/>
  <c r="B10024" i="23"/>
  <c r="B10023" i="23"/>
  <c r="B10022" i="23"/>
  <c r="B10021" i="23"/>
  <c r="B10020" i="23"/>
  <c r="B9857" i="23"/>
  <c r="B9856" i="23"/>
  <c r="B9855" i="23"/>
  <c r="B9854" i="23"/>
  <c r="B9853" i="23"/>
  <c r="B9852" i="23"/>
  <c r="B9851" i="23"/>
  <c r="B9850" i="23"/>
  <c r="B9849" i="23"/>
  <c r="B9848" i="23"/>
  <c r="B9847" i="23"/>
  <c r="B9846" i="23"/>
  <c r="B9845" i="23"/>
  <c r="B9844" i="23"/>
  <c r="B9843" i="23"/>
  <c r="B9842" i="23"/>
  <c r="B9841" i="23"/>
  <c r="B9840" i="23"/>
  <c r="B9839" i="23"/>
  <c r="B9838" i="23"/>
  <c r="B9837" i="23"/>
  <c r="B9836" i="23"/>
  <c r="B9835" i="23"/>
  <c r="B9834" i="23"/>
  <c r="B9833" i="23"/>
  <c r="B9832" i="23"/>
  <c r="B9831" i="23"/>
  <c r="B9290" i="23"/>
  <c r="B9289" i="23"/>
  <c r="B9288" i="23"/>
  <c r="B9287" i="23"/>
  <c r="B9286" i="23"/>
  <c r="B9285" i="23"/>
  <c r="B9284" i="23"/>
  <c r="B9283" i="23"/>
  <c r="B9282" i="23"/>
  <c r="B9281" i="23"/>
  <c r="B9280" i="23"/>
  <c r="B9279" i="23"/>
  <c r="B9278" i="23"/>
  <c r="B9277" i="23"/>
  <c r="B9276" i="23"/>
  <c r="B9275" i="23"/>
  <c r="B9274" i="23"/>
  <c r="B9273" i="23"/>
  <c r="B9272" i="23"/>
  <c r="B9271" i="23"/>
  <c r="B9270" i="23"/>
  <c r="B9269" i="23"/>
  <c r="B9268" i="23"/>
  <c r="B9267" i="23"/>
  <c r="B9266" i="23"/>
  <c r="B9265" i="23"/>
  <c r="B9264" i="23"/>
  <c r="B9830" i="23"/>
  <c r="B9829" i="23"/>
  <c r="B9828" i="23"/>
  <c r="B9827" i="23"/>
  <c r="B9826" i="23"/>
  <c r="B9825" i="23"/>
  <c r="B9824" i="23"/>
  <c r="B9823" i="23"/>
  <c r="B9822" i="23"/>
  <c r="B9821" i="23"/>
  <c r="B9820" i="23"/>
  <c r="B9819" i="23"/>
  <c r="B9818" i="23"/>
  <c r="B9817" i="23"/>
  <c r="B9816" i="23"/>
  <c r="B9815" i="23"/>
  <c r="B9814" i="23"/>
  <c r="B9813" i="23"/>
  <c r="B9812" i="23"/>
  <c r="B9811" i="23"/>
  <c r="B9810" i="23"/>
  <c r="B9809" i="23"/>
  <c r="B9808" i="23"/>
  <c r="B9807" i="23"/>
  <c r="B9806" i="23"/>
  <c r="B9805" i="23"/>
  <c r="B9804" i="23"/>
  <c r="B9641" i="23"/>
  <c r="B9640" i="23"/>
  <c r="B9639" i="23"/>
  <c r="B9638" i="23"/>
  <c r="B9637" i="23"/>
  <c r="B9636" i="23"/>
  <c r="B9635" i="23"/>
  <c r="B9634" i="23"/>
  <c r="B9633" i="23"/>
  <c r="B9632" i="23"/>
  <c r="B9631" i="23"/>
  <c r="B9630" i="23"/>
  <c r="B9629" i="23"/>
  <c r="B9628" i="23"/>
  <c r="B9627" i="23"/>
  <c r="B9626" i="23"/>
  <c r="B9625" i="23"/>
  <c r="B9624" i="23"/>
  <c r="B9623" i="23"/>
  <c r="B9622" i="23"/>
  <c r="B9621" i="23"/>
  <c r="B9620" i="23"/>
  <c r="B9619" i="23"/>
  <c r="B9618" i="23"/>
  <c r="B9617" i="23"/>
  <c r="B9616" i="23"/>
  <c r="B9615" i="23"/>
  <c r="B10235" i="23"/>
  <c r="B10234" i="23"/>
  <c r="B10233" i="23"/>
  <c r="B10232" i="23"/>
  <c r="B10231" i="23"/>
  <c r="B10230" i="23"/>
  <c r="B10229" i="23"/>
  <c r="B10228" i="23"/>
  <c r="B10227" i="23"/>
  <c r="B10226" i="23"/>
  <c r="B10225" i="23"/>
  <c r="B10224" i="23"/>
  <c r="B10223" i="23"/>
  <c r="B10222" i="23"/>
  <c r="B10221" i="23"/>
  <c r="B10220" i="23"/>
  <c r="B10219" i="23"/>
  <c r="B10218" i="23"/>
  <c r="B10217" i="23"/>
  <c r="B10216" i="23"/>
  <c r="B10215" i="23"/>
  <c r="B10214" i="23"/>
  <c r="B10213" i="23"/>
  <c r="B10212" i="23"/>
  <c r="B10211" i="23"/>
  <c r="B10210" i="23"/>
  <c r="B10209" i="23"/>
  <c r="B9965" i="23"/>
  <c r="B9964" i="23"/>
  <c r="B9963" i="23"/>
  <c r="B9962" i="23"/>
  <c r="B9961" i="23"/>
  <c r="B9960" i="23"/>
  <c r="B9959" i="23"/>
  <c r="B9958" i="23"/>
  <c r="B9957" i="23"/>
  <c r="B9956" i="23"/>
  <c r="B9955" i="23"/>
  <c r="B9954" i="23"/>
  <c r="B9953" i="23"/>
  <c r="B9952" i="23"/>
  <c r="B9951" i="23"/>
  <c r="B9950" i="23"/>
  <c r="B9949" i="23"/>
  <c r="B9948" i="23"/>
  <c r="B9947" i="23"/>
  <c r="B9946" i="23"/>
  <c r="B9945" i="23"/>
  <c r="B9944" i="23"/>
  <c r="B9943" i="23"/>
  <c r="B9942" i="23"/>
  <c r="B9941" i="23"/>
  <c r="B9940" i="23"/>
  <c r="B9939" i="23"/>
  <c r="B10262" i="23"/>
  <c r="B10261" i="23"/>
  <c r="B10260" i="23"/>
  <c r="B10259" i="23"/>
  <c r="B10258" i="23"/>
  <c r="B10257" i="23"/>
  <c r="B10256" i="23"/>
  <c r="B10255" i="23"/>
  <c r="B10254" i="23"/>
  <c r="B10253" i="23"/>
  <c r="B10252" i="23"/>
  <c r="B10251" i="23"/>
  <c r="B10250" i="23"/>
  <c r="B10249" i="23"/>
  <c r="B10248" i="23"/>
  <c r="B10247" i="23"/>
  <c r="B10246" i="23"/>
  <c r="B10245" i="23"/>
  <c r="B10244" i="23"/>
  <c r="B10243" i="23"/>
  <c r="B10242" i="23"/>
  <c r="B10241" i="23"/>
  <c r="B10240" i="23"/>
  <c r="B10239" i="23"/>
  <c r="B10238" i="23"/>
  <c r="B10237" i="23"/>
  <c r="B10236" i="23"/>
  <c r="B9911" i="23"/>
  <c r="B9910" i="23"/>
  <c r="B9909" i="23"/>
  <c r="B9908" i="23"/>
  <c r="B9907" i="23"/>
  <c r="B9906" i="23"/>
  <c r="B9905" i="23"/>
  <c r="B9904" i="23"/>
  <c r="B9903" i="23"/>
  <c r="B9902" i="23"/>
  <c r="B9901" i="23"/>
  <c r="B9900" i="23"/>
  <c r="B9899" i="23"/>
  <c r="B9898" i="23"/>
  <c r="B9897" i="23"/>
  <c r="B9896" i="23"/>
  <c r="B9895" i="23"/>
  <c r="B9894" i="23"/>
  <c r="B9893" i="23"/>
  <c r="B9892" i="23"/>
  <c r="B9891" i="23"/>
  <c r="B9890" i="23"/>
  <c r="B9889" i="23"/>
  <c r="B9888" i="23"/>
  <c r="B9887" i="23"/>
  <c r="B9886" i="23"/>
  <c r="B9885" i="23"/>
  <c r="B9938" i="23"/>
  <c r="B9937" i="23"/>
  <c r="B9936" i="23"/>
  <c r="B9935" i="23"/>
  <c r="B9934" i="23"/>
  <c r="B9933" i="23"/>
  <c r="B9932" i="23"/>
  <c r="B9931" i="23"/>
  <c r="B9930" i="23"/>
  <c r="B9929" i="23"/>
  <c r="B9928" i="23"/>
  <c r="B9927" i="23"/>
  <c r="B9926" i="23"/>
  <c r="B9925" i="23"/>
  <c r="B9924" i="23"/>
  <c r="B9923" i="23"/>
  <c r="B9922" i="23"/>
  <c r="B9921" i="23"/>
  <c r="B9920" i="23"/>
  <c r="B9919" i="23"/>
  <c r="B9918" i="23"/>
  <c r="B9917" i="23"/>
  <c r="B9916" i="23"/>
  <c r="B9915" i="23"/>
  <c r="B9914" i="23"/>
  <c r="B9913" i="23"/>
  <c r="B9912" i="23"/>
  <c r="B9668" i="23"/>
  <c r="B9667" i="23"/>
  <c r="B9666" i="23"/>
  <c r="B9665" i="23"/>
  <c r="B9664" i="23"/>
  <c r="B9663" i="23"/>
  <c r="B9662" i="23"/>
  <c r="B9661" i="23"/>
  <c r="B9660" i="23"/>
  <c r="B9659" i="23"/>
  <c r="B9658" i="23"/>
  <c r="B9657" i="23"/>
  <c r="B9656" i="23"/>
  <c r="B9655" i="23"/>
  <c r="B9654" i="23"/>
  <c r="B9653" i="23"/>
  <c r="B9652" i="23"/>
  <c r="B9651" i="23"/>
  <c r="B9650" i="23"/>
  <c r="B9649" i="23"/>
  <c r="B9648" i="23"/>
  <c r="B9647" i="23"/>
  <c r="B9646" i="23"/>
  <c r="B9645" i="23"/>
  <c r="B9644" i="23"/>
  <c r="B9643" i="23"/>
  <c r="B9642" i="23"/>
  <c r="B9263" i="23"/>
  <c r="B9262" i="23"/>
  <c r="B9261" i="23"/>
  <c r="B9260" i="23"/>
  <c r="B9259" i="23"/>
  <c r="B9258" i="23"/>
  <c r="B9257" i="23"/>
  <c r="B9256" i="23"/>
  <c r="B9255" i="23"/>
  <c r="B9254" i="23"/>
  <c r="B9253" i="23"/>
  <c r="B9252" i="23"/>
  <c r="B9251" i="23"/>
  <c r="B9250" i="23"/>
  <c r="B9249" i="23"/>
  <c r="B9248" i="23"/>
  <c r="B9247" i="23"/>
  <c r="B9246" i="23"/>
  <c r="B9245" i="23"/>
  <c r="B9244" i="23"/>
  <c r="B9243" i="23"/>
  <c r="B9242" i="23"/>
  <c r="B9241" i="23"/>
  <c r="B9240" i="23"/>
  <c r="B9239" i="23"/>
  <c r="B9238" i="23"/>
  <c r="B9237" i="23"/>
  <c r="B9776" i="23"/>
  <c r="B9775" i="23"/>
  <c r="B9774" i="23"/>
  <c r="B9773" i="23"/>
  <c r="B9772" i="23"/>
  <c r="B9771" i="23"/>
  <c r="B9770" i="23"/>
  <c r="B9769" i="23"/>
  <c r="B9768" i="23"/>
  <c r="B9767" i="23"/>
  <c r="B9766" i="23"/>
  <c r="B9765" i="23"/>
  <c r="B9764" i="23"/>
  <c r="B9763" i="23"/>
  <c r="B9762" i="23"/>
  <c r="B9761" i="23"/>
  <c r="B9760" i="23"/>
  <c r="B9759" i="23"/>
  <c r="B9758" i="23"/>
  <c r="B9757" i="23"/>
  <c r="B9756" i="23"/>
  <c r="B9755" i="23"/>
  <c r="B9754" i="23"/>
  <c r="B9753" i="23"/>
  <c r="B9752" i="23"/>
  <c r="B9751" i="23"/>
  <c r="B9750" i="23"/>
  <c r="B10127" i="23"/>
  <c r="B10126" i="23"/>
  <c r="B10125" i="23"/>
  <c r="B10124" i="23"/>
  <c r="B10123" i="23"/>
  <c r="B10122" i="23"/>
  <c r="B10121" i="23"/>
  <c r="B10120" i="23"/>
  <c r="B10119" i="23"/>
  <c r="B10118" i="23"/>
  <c r="B10117" i="23"/>
  <c r="B10116" i="23"/>
  <c r="B10115" i="23"/>
  <c r="B10114" i="23"/>
  <c r="B10113" i="23"/>
  <c r="B10112" i="23"/>
  <c r="B10111" i="23"/>
  <c r="B10110" i="23"/>
  <c r="B10109" i="23"/>
  <c r="B10108" i="23"/>
  <c r="B10107" i="23"/>
  <c r="B10106" i="23"/>
  <c r="B10105" i="23"/>
  <c r="B10104" i="23"/>
  <c r="B10103" i="23"/>
  <c r="B10102" i="23"/>
  <c r="B10101" i="23"/>
  <c r="B10181" i="23"/>
  <c r="B10180" i="23"/>
  <c r="B10179" i="23"/>
  <c r="B10178" i="23"/>
  <c r="B10177" i="23"/>
  <c r="B10176" i="23"/>
  <c r="B10175" i="23"/>
  <c r="B10174" i="23"/>
  <c r="B10173" i="23"/>
  <c r="B10172" i="23"/>
  <c r="B10171" i="23"/>
  <c r="B10170" i="23"/>
  <c r="B10169" i="23"/>
  <c r="B10168" i="23"/>
  <c r="B10167" i="23"/>
  <c r="B10166" i="23"/>
  <c r="B10165" i="23"/>
  <c r="B10164" i="23"/>
  <c r="B10163" i="23"/>
  <c r="B10162" i="23"/>
  <c r="B10161" i="23"/>
  <c r="B10160" i="23"/>
  <c r="B10159" i="23"/>
  <c r="B10158" i="23"/>
  <c r="B10157" i="23"/>
  <c r="B10156" i="23"/>
  <c r="B10155" i="23"/>
  <c r="B9317" i="23"/>
  <c r="B9316" i="23"/>
  <c r="B9315" i="23"/>
  <c r="B9314" i="23"/>
  <c r="B9313" i="23"/>
  <c r="B9312" i="23"/>
  <c r="B9311" i="23"/>
  <c r="B9310" i="23"/>
  <c r="B9309" i="23"/>
  <c r="B9308" i="23"/>
  <c r="B9307" i="23"/>
  <c r="B9306" i="23"/>
  <c r="B9305" i="23"/>
  <c r="B9304" i="23"/>
  <c r="B9303" i="23"/>
  <c r="B9302" i="23"/>
  <c r="B9301" i="23"/>
  <c r="B9300" i="23"/>
  <c r="B9299" i="23"/>
  <c r="B9298" i="23"/>
  <c r="B9297" i="23"/>
  <c r="B9296" i="23"/>
  <c r="B9295" i="23"/>
  <c r="B9294" i="23"/>
  <c r="B9293" i="23"/>
  <c r="B9292" i="23"/>
  <c r="B9291" i="23"/>
  <c r="B10019" i="23"/>
  <c r="B10018" i="23"/>
  <c r="B10017" i="23"/>
  <c r="B10016" i="23"/>
  <c r="B10015" i="23"/>
  <c r="B10014" i="23"/>
  <c r="B10013" i="23"/>
  <c r="B10012" i="23"/>
  <c r="B10011" i="23"/>
  <c r="B10010" i="23"/>
  <c r="B10009" i="23"/>
  <c r="B10008" i="23"/>
  <c r="B10007" i="23"/>
  <c r="B10006" i="23"/>
  <c r="B10005" i="23"/>
  <c r="B10004" i="23"/>
  <c r="B10003" i="23"/>
  <c r="B10002" i="23"/>
  <c r="B10001" i="23"/>
  <c r="B10000" i="23"/>
  <c r="B9999" i="23"/>
  <c r="B9998" i="23"/>
  <c r="B9997" i="23"/>
  <c r="B9996" i="23"/>
  <c r="B9995" i="23"/>
  <c r="B9994" i="23"/>
  <c r="B9993" i="23"/>
  <c r="C9398" i="23"/>
  <c r="C9397" i="23"/>
  <c r="C9396" i="23"/>
  <c r="C9395" i="23"/>
  <c r="C9394" i="23"/>
  <c r="C9393" i="23"/>
  <c r="C9392" i="23"/>
  <c r="C9391" i="23"/>
  <c r="C9390" i="23"/>
  <c r="C9389" i="23"/>
  <c r="C9388" i="23"/>
  <c r="C9387" i="23"/>
  <c r="C9386" i="23"/>
  <c r="C9385" i="23"/>
  <c r="C9384" i="23"/>
  <c r="C9383" i="23"/>
  <c r="C9382" i="23"/>
  <c r="C9381" i="23"/>
  <c r="C9380" i="23"/>
  <c r="C9379" i="23"/>
  <c r="C9378" i="23"/>
  <c r="C9377" i="23"/>
  <c r="C9376" i="23"/>
  <c r="C9375" i="23"/>
  <c r="C9374" i="23"/>
  <c r="C9373" i="23"/>
  <c r="C9372" i="23"/>
  <c r="C9425" i="23"/>
  <c r="C9424" i="23"/>
  <c r="C9423" i="23"/>
  <c r="C9422" i="23"/>
  <c r="C9421" i="23"/>
  <c r="C9420" i="23"/>
  <c r="C9419" i="23"/>
  <c r="C9418" i="23"/>
  <c r="C9417" i="23"/>
  <c r="C9416" i="23"/>
  <c r="C9415" i="23"/>
  <c r="C9414" i="23"/>
  <c r="C9413" i="23"/>
  <c r="C9412" i="23"/>
  <c r="C9411" i="23"/>
  <c r="C9410" i="23"/>
  <c r="C9409" i="23"/>
  <c r="C9408" i="23"/>
  <c r="C9407" i="23"/>
  <c r="C9406" i="23"/>
  <c r="C9405" i="23"/>
  <c r="C9404" i="23"/>
  <c r="C9403" i="23"/>
  <c r="C9402" i="23"/>
  <c r="C9401" i="23"/>
  <c r="C9400" i="23"/>
  <c r="C9399" i="23"/>
  <c r="C9452" i="23"/>
  <c r="C9451" i="23"/>
  <c r="C9450" i="23"/>
  <c r="C9449" i="23"/>
  <c r="C9448" i="23"/>
  <c r="C9447" i="23"/>
  <c r="C9446" i="23"/>
  <c r="C9445" i="23"/>
  <c r="C9444" i="23"/>
  <c r="C9443" i="23"/>
  <c r="C9442" i="23"/>
  <c r="C9441" i="23"/>
  <c r="C9440" i="23"/>
  <c r="C9439" i="23"/>
  <c r="C9438" i="23"/>
  <c r="C9437" i="23"/>
  <c r="C9436" i="23"/>
  <c r="C9435" i="23"/>
  <c r="C9434" i="23"/>
  <c r="C9433" i="23"/>
  <c r="C9432" i="23"/>
  <c r="C9431" i="23"/>
  <c r="C9430" i="23"/>
  <c r="C9429" i="23"/>
  <c r="C9428" i="23"/>
  <c r="C9427" i="23"/>
  <c r="C9426" i="23"/>
  <c r="C9479" i="23"/>
  <c r="C9478" i="23"/>
  <c r="C9477" i="23"/>
  <c r="C9476" i="23"/>
  <c r="C9475" i="23"/>
  <c r="C9474" i="23"/>
  <c r="C9473" i="23"/>
  <c r="C9472" i="23"/>
  <c r="C9471" i="23"/>
  <c r="C9470" i="23"/>
  <c r="C9469" i="23"/>
  <c r="C9468" i="23"/>
  <c r="C9467" i="23"/>
  <c r="C9466" i="23"/>
  <c r="C9465" i="23"/>
  <c r="C9464" i="23"/>
  <c r="C9463" i="23"/>
  <c r="C9462" i="23"/>
  <c r="C9461" i="23"/>
  <c r="C9460" i="23"/>
  <c r="C9459" i="23"/>
  <c r="C9458" i="23"/>
  <c r="C9457" i="23"/>
  <c r="C9456" i="23"/>
  <c r="C9455" i="23"/>
  <c r="C9454" i="23"/>
  <c r="C9453" i="23"/>
  <c r="C9506" i="23"/>
  <c r="C9505" i="23"/>
  <c r="C9504" i="23"/>
  <c r="C9503" i="23"/>
  <c r="C9502" i="23"/>
  <c r="C9501" i="23"/>
  <c r="C9500" i="23"/>
  <c r="C9499" i="23"/>
  <c r="C9498" i="23"/>
  <c r="C9497" i="23"/>
  <c r="C9496" i="23"/>
  <c r="C9495" i="23"/>
  <c r="C9494" i="23"/>
  <c r="C9493" i="23"/>
  <c r="C9492" i="23"/>
  <c r="C9491" i="23"/>
  <c r="C9490" i="23"/>
  <c r="C9489" i="23"/>
  <c r="C9488" i="23"/>
  <c r="C9487" i="23"/>
  <c r="C9486" i="23"/>
  <c r="C9485" i="23"/>
  <c r="C9484" i="23"/>
  <c r="C9483" i="23"/>
  <c r="C9482" i="23"/>
  <c r="C9481" i="23"/>
  <c r="C9480" i="23"/>
  <c r="C9533" i="23"/>
  <c r="C9532" i="23"/>
  <c r="C9531" i="23"/>
  <c r="C9530" i="23"/>
  <c r="C9529" i="23"/>
  <c r="C9528" i="23"/>
  <c r="C9527" i="23"/>
  <c r="C9526" i="23"/>
  <c r="C9525" i="23"/>
  <c r="C9524" i="23"/>
  <c r="C9523" i="23"/>
  <c r="C9522" i="23"/>
  <c r="C9521" i="23"/>
  <c r="C9520" i="23"/>
  <c r="C9519" i="23"/>
  <c r="C9518" i="23"/>
  <c r="C9517" i="23"/>
  <c r="C9516" i="23"/>
  <c r="C9515" i="23"/>
  <c r="C9514" i="23"/>
  <c r="C9513" i="23"/>
  <c r="C9512" i="23"/>
  <c r="C9511" i="23"/>
  <c r="C9510" i="23"/>
  <c r="C9509" i="23"/>
  <c r="C9508" i="23"/>
  <c r="C9507" i="23"/>
  <c r="C9560" i="23"/>
  <c r="C9559" i="23"/>
  <c r="C9558" i="23"/>
  <c r="C9557" i="23"/>
  <c r="C9556" i="23"/>
  <c r="C9555" i="23"/>
  <c r="C9554" i="23"/>
  <c r="C9553" i="23"/>
  <c r="C9552" i="23"/>
  <c r="C9551" i="23"/>
  <c r="C9550" i="23"/>
  <c r="C9549" i="23"/>
  <c r="C9548" i="23"/>
  <c r="C9547" i="23"/>
  <c r="C9546" i="23"/>
  <c r="C9545" i="23"/>
  <c r="C9544" i="23"/>
  <c r="C9543" i="23"/>
  <c r="C9542" i="23"/>
  <c r="C9541" i="23"/>
  <c r="C9540" i="23"/>
  <c r="C9539" i="23"/>
  <c r="C9538" i="23"/>
  <c r="C9537" i="23"/>
  <c r="C9536" i="23"/>
  <c r="C9535" i="23"/>
  <c r="C9534" i="23"/>
  <c r="C9587" i="23"/>
  <c r="C9586" i="23"/>
  <c r="C9585" i="23"/>
  <c r="C9584" i="23"/>
  <c r="C9583" i="23"/>
  <c r="C9582" i="23"/>
  <c r="C9581" i="23"/>
  <c r="C9580" i="23"/>
  <c r="C9579" i="23"/>
  <c r="C9578" i="23"/>
  <c r="C9577" i="23"/>
  <c r="C9576" i="23"/>
  <c r="C9575" i="23"/>
  <c r="C9574" i="23"/>
  <c r="C9573" i="23"/>
  <c r="C9572" i="23"/>
  <c r="C9571" i="23"/>
  <c r="C9570" i="23"/>
  <c r="C9569" i="23"/>
  <c r="C9568" i="23"/>
  <c r="C9567" i="23"/>
  <c r="C9566" i="23"/>
  <c r="C9565" i="23"/>
  <c r="C9564" i="23"/>
  <c r="C9563" i="23"/>
  <c r="C9562" i="23"/>
  <c r="C9561" i="23"/>
  <c r="C9614" i="23"/>
  <c r="C9613" i="23"/>
  <c r="C9612" i="23"/>
  <c r="C9611" i="23"/>
  <c r="C9610" i="23"/>
  <c r="C9609" i="23"/>
  <c r="C9608" i="23"/>
  <c r="C9607" i="23"/>
  <c r="C9606" i="23"/>
  <c r="C9605" i="23"/>
  <c r="C9604" i="23"/>
  <c r="C9603" i="23"/>
  <c r="C9602" i="23"/>
  <c r="C9601" i="23"/>
  <c r="C9600" i="23"/>
  <c r="C9599" i="23"/>
  <c r="C9598" i="23"/>
  <c r="C9597" i="23"/>
  <c r="C9596" i="23"/>
  <c r="C9595" i="23"/>
  <c r="C9594" i="23"/>
  <c r="C9593" i="23"/>
  <c r="C9592" i="23"/>
  <c r="C9591" i="23"/>
  <c r="C9590" i="23"/>
  <c r="C9589" i="23"/>
  <c r="C9588" i="23"/>
  <c r="C9371" i="23"/>
  <c r="C9370" i="23"/>
  <c r="C9369" i="23"/>
  <c r="C9368" i="23"/>
  <c r="C9367" i="23"/>
  <c r="C9366" i="23"/>
  <c r="C9365" i="23"/>
  <c r="C9364" i="23"/>
  <c r="C9363" i="23"/>
  <c r="C9362" i="23"/>
  <c r="C9361" i="23"/>
  <c r="C9360" i="23"/>
  <c r="C9359" i="23"/>
  <c r="C9358" i="23"/>
  <c r="C9357" i="23"/>
  <c r="C9356" i="23"/>
  <c r="C9355" i="23"/>
  <c r="C9354" i="23"/>
  <c r="C9353" i="23"/>
  <c r="C9352" i="23"/>
  <c r="C9351" i="23"/>
  <c r="C9350" i="23"/>
  <c r="C9349" i="23"/>
  <c r="C9348" i="23"/>
  <c r="C9347" i="23"/>
  <c r="C9346" i="23"/>
  <c r="C9345" i="23"/>
  <c r="C9722" i="23"/>
  <c r="C9721" i="23"/>
  <c r="C9720" i="23"/>
  <c r="C9719" i="23"/>
  <c r="C9718" i="23"/>
  <c r="C9717" i="23"/>
  <c r="C9716" i="23"/>
  <c r="C9715" i="23"/>
  <c r="C9714" i="23"/>
  <c r="C9713" i="23"/>
  <c r="C9712" i="23"/>
  <c r="C9711" i="23"/>
  <c r="C9710" i="23"/>
  <c r="C9709" i="23"/>
  <c r="C9708" i="23"/>
  <c r="C9707" i="23"/>
  <c r="C9706" i="23"/>
  <c r="C9705" i="23"/>
  <c r="C9704" i="23"/>
  <c r="C9703" i="23"/>
  <c r="C9702" i="23"/>
  <c r="C9701" i="23"/>
  <c r="C9700" i="23"/>
  <c r="C9699" i="23"/>
  <c r="C9698" i="23"/>
  <c r="C9697" i="23"/>
  <c r="C9696" i="23"/>
  <c r="C10073" i="23"/>
  <c r="C10072" i="23"/>
  <c r="C10071" i="23"/>
  <c r="C10070" i="23"/>
  <c r="C10069" i="23"/>
  <c r="C10068" i="23"/>
  <c r="C10067" i="23"/>
  <c r="C10066" i="23"/>
  <c r="C10065" i="23"/>
  <c r="C10064" i="23"/>
  <c r="C10063" i="23"/>
  <c r="C10062" i="23"/>
  <c r="C10061" i="23"/>
  <c r="C10060" i="23"/>
  <c r="C10059" i="23"/>
  <c r="C10058" i="23"/>
  <c r="C10057" i="23"/>
  <c r="C10056" i="23"/>
  <c r="C10055" i="23"/>
  <c r="C10054" i="23"/>
  <c r="C10053" i="23"/>
  <c r="C10052" i="23"/>
  <c r="C10051" i="23"/>
  <c r="C10050" i="23"/>
  <c r="C10049" i="23"/>
  <c r="C10048" i="23"/>
  <c r="C10047" i="23"/>
  <c r="C9749" i="23"/>
  <c r="C9748" i="23"/>
  <c r="C9747" i="23"/>
  <c r="C9746" i="23"/>
  <c r="C9745" i="23"/>
  <c r="C9744" i="23"/>
  <c r="C9743" i="23"/>
  <c r="C9742" i="23"/>
  <c r="C9741" i="23"/>
  <c r="C9740" i="23"/>
  <c r="C9739" i="23"/>
  <c r="C9738" i="23"/>
  <c r="C9737" i="23"/>
  <c r="C9736" i="23"/>
  <c r="C9735" i="23"/>
  <c r="C9734" i="23"/>
  <c r="C9733" i="23"/>
  <c r="C9732" i="23"/>
  <c r="C9731" i="23"/>
  <c r="C9730" i="23"/>
  <c r="C9729" i="23"/>
  <c r="C9728" i="23"/>
  <c r="C9727" i="23"/>
  <c r="C9726" i="23"/>
  <c r="C9725" i="23"/>
  <c r="C9724" i="23"/>
  <c r="C9723" i="23"/>
  <c r="C10208" i="23"/>
  <c r="C10207" i="23"/>
  <c r="C10206" i="23"/>
  <c r="C10205" i="23"/>
  <c r="C10204" i="23"/>
  <c r="C10203" i="23"/>
  <c r="C10202" i="23"/>
  <c r="C10201" i="23"/>
  <c r="C10200" i="23"/>
  <c r="C10199" i="23"/>
  <c r="C10198" i="23"/>
  <c r="C10197" i="23"/>
  <c r="C10196" i="23"/>
  <c r="C10195" i="23"/>
  <c r="C10194" i="23"/>
  <c r="C10193" i="23"/>
  <c r="C10192" i="23"/>
  <c r="C10191" i="23"/>
  <c r="C10190" i="23"/>
  <c r="C10189" i="23"/>
  <c r="C10188" i="23"/>
  <c r="C10187" i="23"/>
  <c r="C10186" i="23"/>
  <c r="C10185" i="23"/>
  <c r="C10184" i="23"/>
  <c r="C10183" i="23"/>
  <c r="C10182" i="23"/>
  <c r="C9344" i="23"/>
  <c r="C9343" i="23"/>
  <c r="C9342" i="23"/>
  <c r="C9341" i="23"/>
  <c r="C9340" i="23"/>
  <c r="C9339" i="23"/>
  <c r="C9338" i="23"/>
  <c r="C9337" i="23"/>
  <c r="C9336" i="23"/>
  <c r="C9335" i="23"/>
  <c r="C9334" i="23"/>
  <c r="C9333" i="23"/>
  <c r="C9332" i="23"/>
  <c r="C9331" i="23"/>
  <c r="C9330" i="23"/>
  <c r="C9329" i="23"/>
  <c r="C9328" i="23"/>
  <c r="C9327" i="23"/>
  <c r="C9326" i="23"/>
  <c r="C9325" i="23"/>
  <c r="C9324" i="23"/>
  <c r="C9323" i="23"/>
  <c r="C9322" i="23"/>
  <c r="C9321" i="23"/>
  <c r="C9320" i="23"/>
  <c r="C9319" i="23"/>
  <c r="C9318" i="23"/>
  <c r="C9695" i="23"/>
  <c r="C9694" i="23"/>
  <c r="C9693" i="23"/>
  <c r="C9692" i="23"/>
  <c r="C9691" i="23"/>
  <c r="C9690" i="23"/>
  <c r="C9689" i="23"/>
  <c r="C9688" i="23"/>
  <c r="C9687" i="23"/>
  <c r="C9686" i="23"/>
  <c r="C9685" i="23"/>
  <c r="C9684" i="23"/>
  <c r="C9683" i="23"/>
  <c r="C9682" i="23"/>
  <c r="C9681" i="23"/>
  <c r="C9680" i="23"/>
  <c r="C9679" i="23"/>
  <c r="C9678" i="23"/>
  <c r="C9677" i="23"/>
  <c r="C9676" i="23"/>
  <c r="C9675" i="23"/>
  <c r="C9674" i="23"/>
  <c r="C9673" i="23"/>
  <c r="C9672" i="23"/>
  <c r="C9671" i="23"/>
  <c r="C9670" i="23"/>
  <c r="C9669" i="23"/>
  <c r="C9992" i="23"/>
  <c r="C9991" i="23"/>
  <c r="C9990" i="23"/>
  <c r="C9989" i="23"/>
  <c r="C9988" i="23"/>
  <c r="C9987" i="23"/>
  <c r="C9986" i="23"/>
  <c r="C9985" i="23"/>
  <c r="C9984" i="23"/>
  <c r="C9983" i="23"/>
  <c r="C9982" i="23"/>
  <c r="C9981" i="23"/>
  <c r="C9980" i="23"/>
  <c r="C9979" i="23"/>
  <c r="C9978" i="23"/>
  <c r="C9977" i="23"/>
  <c r="C9976" i="23"/>
  <c r="C9975" i="23"/>
  <c r="C9974" i="23"/>
  <c r="C9973" i="23"/>
  <c r="C9972" i="23"/>
  <c r="C9971" i="23"/>
  <c r="C9970" i="23"/>
  <c r="C9969" i="23"/>
  <c r="C9968" i="23"/>
  <c r="C9967" i="23"/>
  <c r="C9966" i="23"/>
  <c r="C9803" i="23"/>
  <c r="C9802" i="23"/>
  <c r="C9801" i="23"/>
  <c r="C9800" i="23"/>
  <c r="C9799" i="23"/>
  <c r="C9798" i="23"/>
  <c r="C9797" i="23"/>
  <c r="C9796" i="23"/>
  <c r="C9795" i="23"/>
  <c r="C9794" i="23"/>
  <c r="C9793" i="23"/>
  <c r="C9792" i="23"/>
  <c r="C9791" i="23"/>
  <c r="C9790" i="23"/>
  <c r="C9789" i="23"/>
  <c r="C9788" i="23"/>
  <c r="C9787" i="23"/>
  <c r="C9786" i="23"/>
  <c r="C9785" i="23"/>
  <c r="C9784" i="23"/>
  <c r="C9783" i="23"/>
  <c r="C9782" i="23"/>
  <c r="C9781" i="23"/>
  <c r="C9780" i="23"/>
  <c r="C9779" i="23"/>
  <c r="C9778" i="23"/>
  <c r="C9777" i="23"/>
  <c r="C9884" i="23"/>
  <c r="C9883" i="23"/>
  <c r="C9882" i="23"/>
  <c r="C9881" i="23"/>
  <c r="C9880" i="23"/>
  <c r="C9879" i="23"/>
  <c r="C9878" i="23"/>
  <c r="C9877" i="23"/>
  <c r="C9876" i="23"/>
  <c r="C9875" i="23"/>
  <c r="C9874" i="23"/>
  <c r="C9873" i="23"/>
  <c r="C9872" i="23"/>
  <c r="C9871" i="23"/>
  <c r="C9870" i="23"/>
  <c r="C9869" i="23"/>
  <c r="C9868" i="23"/>
  <c r="C9867" i="23"/>
  <c r="C9866" i="23"/>
  <c r="C9865" i="23"/>
  <c r="C9864" i="23"/>
  <c r="C9863" i="23"/>
  <c r="C9862" i="23"/>
  <c r="C9861" i="23"/>
  <c r="C9860" i="23"/>
  <c r="C9859" i="23"/>
  <c r="C9858" i="23"/>
  <c r="C10154" i="23"/>
  <c r="C10153" i="23"/>
  <c r="C10152" i="23"/>
  <c r="C10151" i="23"/>
  <c r="C10150" i="23"/>
  <c r="C10149" i="23"/>
  <c r="C10148" i="23"/>
  <c r="C10147" i="23"/>
  <c r="C10146" i="23"/>
  <c r="C10145" i="23"/>
  <c r="C10144" i="23"/>
  <c r="C10143" i="23"/>
  <c r="C10142" i="23"/>
  <c r="C10141" i="23"/>
  <c r="C10140" i="23"/>
  <c r="C10139" i="23"/>
  <c r="C10138" i="23"/>
  <c r="C10137" i="23"/>
  <c r="C10136" i="23"/>
  <c r="C10135" i="23"/>
  <c r="C10134" i="23"/>
  <c r="C10133" i="23"/>
  <c r="C10132" i="23"/>
  <c r="C10131" i="23"/>
  <c r="C10130" i="23"/>
  <c r="C10129" i="23"/>
  <c r="C10128" i="23"/>
  <c r="C10100" i="23"/>
  <c r="C10099" i="23"/>
  <c r="C10098" i="23"/>
  <c r="C10097" i="23"/>
  <c r="C10096" i="23"/>
  <c r="C10095" i="23"/>
  <c r="C10094" i="23"/>
  <c r="C10093" i="23"/>
  <c r="C10092" i="23"/>
  <c r="C10091" i="23"/>
  <c r="C10090" i="23"/>
  <c r="C10089" i="23"/>
  <c r="C10088" i="23"/>
  <c r="C10087" i="23"/>
  <c r="C10086" i="23"/>
  <c r="C10085" i="23"/>
  <c r="C10084" i="23"/>
  <c r="C10083" i="23"/>
  <c r="C10082" i="23"/>
  <c r="C10081" i="23"/>
  <c r="C10080" i="23"/>
  <c r="C10079" i="23"/>
  <c r="C10078" i="23"/>
  <c r="C10077" i="23"/>
  <c r="C10076" i="23"/>
  <c r="C10075" i="23"/>
  <c r="C10074" i="23"/>
  <c r="C10046" i="23"/>
  <c r="C10045" i="23"/>
  <c r="C10044" i="23"/>
  <c r="C10043" i="23"/>
  <c r="C10042" i="23"/>
  <c r="C10041" i="23"/>
  <c r="C10040" i="23"/>
  <c r="C10039" i="23"/>
  <c r="C10038" i="23"/>
  <c r="C10037" i="23"/>
  <c r="C10036" i="23"/>
  <c r="C10035" i="23"/>
  <c r="C10034" i="23"/>
  <c r="C10033" i="23"/>
  <c r="C10032" i="23"/>
  <c r="C10031" i="23"/>
  <c r="C10030" i="23"/>
  <c r="C10029" i="23"/>
  <c r="C10028" i="23"/>
  <c r="C10027" i="23"/>
  <c r="C10026" i="23"/>
  <c r="C10025" i="23"/>
  <c r="C10024" i="23"/>
  <c r="C10023" i="23"/>
  <c r="C10022" i="23"/>
  <c r="C10021" i="23"/>
  <c r="C10020" i="23"/>
  <c r="C9857" i="23"/>
  <c r="C9856" i="23"/>
  <c r="C9855" i="23"/>
  <c r="C9854" i="23"/>
  <c r="C9853" i="23"/>
  <c r="C9852" i="23"/>
  <c r="C9851" i="23"/>
  <c r="C9850" i="23"/>
  <c r="C9849" i="23"/>
  <c r="C9848" i="23"/>
  <c r="C9847" i="23"/>
  <c r="C9846" i="23"/>
  <c r="C9845" i="23"/>
  <c r="C9844" i="23"/>
  <c r="C9843" i="23"/>
  <c r="C9842" i="23"/>
  <c r="C9841" i="23"/>
  <c r="C9840" i="23"/>
  <c r="C9839" i="23"/>
  <c r="C9838" i="23"/>
  <c r="C9837" i="23"/>
  <c r="C9836" i="23"/>
  <c r="C9835" i="23"/>
  <c r="C9834" i="23"/>
  <c r="C9833" i="23"/>
  <c r="C9832" i="23"/>
  <c r="C9831" i="23"/>
  <c r="C9290" i="23"/>
  <c r="C9289" i="23"/>
  <c r="C9288" i="23"/>
  <c r="C9287" i="23"/>
  <c r="C9286" i="23"/>
  <c r="C9285" i="23"/>
  <c r="C9284" i="23"/>
  <c r="C9283" i="23"/>
  <c r="C9282" i="23"/>
  <c r="C9281" i="23"/>
  <c r="C9280" i="23"/>
  <c r="C9279" i="23"/>
  <c r="C9278" i="23"/>
  <c r="C9277" i="23"/>
  <c r="C9276" i="23"/>
  <c r="C9275" i="23"/>
  <c r="C9274" i="23"/>
  <c r="C9273" i="23"/>
  <c r="C9272" i="23"/>
  <c r="C9271" i="23"/>
  <c r="C9270" i="23"/>
  <c r="C9269" i="23"/>
  <c r="C9268" i="23"/>
  <c r="C9267" i="23"/>
  <c r="C9266" i="23"/>
  <c r="C9265" i="23"/>
  <c r="C9264" i="23"/>
  <c r="C9830" i="23"/>
  <c r="C9829" i="23"/>
  <c r="C9828" i="23"/>
  <c r="C9827" i="23"/>
  <c r="C9826" i="23"/>
  <c r="C9825" i="23"/>
  <c r="C9824" i="23"/>
  <c r="C9823" i="23"/>
  <c r="C9822" i="23"/>
  <c r="C9821" i="23"/>
  <c r="C9820" i="23"/>
  <c r="C9819" i="23"/>
  <c r="C9818" i="23"/>
  <c r="C9817" i="23"/>
  <c r="C9816" i="23"/>
  <c r="C9815" i="23"/>
  <c r="C9814" i="23"/>
  <c r="C9813" i="23"/>
  <c r="C9812" i="23"/>
  <c r="C9811" i="23"/>
  <c r="C9810" i="23"/>
  <c r="C9809" i="23"/>
  <c r="C9808" i="23"/>
  <c r="C9807" i="23"/>
  <c r="C9806" i="23"/>
  <c r="C9805" i="23"/>
  <c r="C9804" i="23"/>
  <c r="C9641" i="23"/>
  <c r="C9640" i="23"/>
  <c r="C9639" i="23"/>
  <c r="C9638" i="23"/>
  <c r="C9637" i="23"/>
  <c r="C9636" i="23"/>
  <c r="C9635" i="23"/>
  <c r="C9634" i="23"/>
  <c r="C9633" i="23"/>
  <c r="C9632" i="23"/>
  <c r="C9631" i="23"/>
  <c r="C9630" i="23"/>
  <c r="C9629" i="23"/>
  <c r="C9628" i="23"/>
  <c r="C9627" i="23"/>
  <c r="C9626" i="23"/>
  <c r="C9625" i="23"/>
  <c r="C9624" i="23"/>
  <c r="C9623" i="23"/>
  <c r="C9622" i="23"/>
  <c r="C9621" i="23"/>
  <c r="C9620" i="23"/>
  <c r="C9619" i="23"/>
  <c r="C9618" i="23"/>
  <c r="C9617" i="23"/>
  <c r="C9616" i="23"/>
  <c r="C9615" i="23"/>
  <c r="C10235" i="23"/>
  <c r="C10234" i="23"/>
  <c r="C10233" i="23"/>
  <c r="C10232" i="23"/>
  <c r="C10231" i="23"/>
  <c r="C10230" i="23"/>
  <c r="C10229" i="23"/>
  <c r="C10228" i="23"/>
  <c r="C10227" i="23"/>
  <c r="C10226" i="23"/>
  <c r="C10225" i="23"/>
  <c r="C10224" i="23"/>
  <c r="C10223" i="23"/>
  <c r="C10222" i="23"/>
  <c r="C10221" i="23"/>
  <c r="C10220" i="23"/>
  <c r="C10219" i="23"/>
  <c r="C10218" i="23"/>
  <c r="C10217" i="23"/>
  <c r="C10216" i="23"/>
  <c r="C10215" i="23"/>
  <c r="C10214" i="23"/>
  <c r="C10213" i="23"/>
  <c r="C10212" i="23"/>
  <c r="C10211" i="23"/>
  <c r="C10210" i="23"/>
  <c r="C10209" i="23"/>
  <c r="C9965" i="23"/>
  <c r="C9964" i="23"/>
  <c r="C9963" i="23"/>
  <c r="C9962" i="23"/>
  <c r="C9961" i="23"/>
  <c r="C9960" i="23"/>
  <c r="C9959" i="23"/>
  <c r="C9958" i="23"/>
  <c r="C9957" i="23"/>
  <c r="C9956" i="23"/>
  <c r="C9955" i="23"/>
  <c r="C9954" i="23"/>
  <c r="C9953" i="23"/>
  <c r="C9952" i="23"/>
  <c r="C9951" i="23"/>
  <c r="C9950" i="23"/>
  <c r="C9949" i="23"/>
  <c r="C9948" i="23"/>
  <c r="C9947" i="23"/>
  <c r="C9946" i="23"/>
  <c r="C9945" i="23"/>
  <c r="C9944" i="23"/>
  <c r="C9943" i="23"/>
  <c r="C9942" i="23"/>
  <c r="C9941" i="23"/>
  <c r="C9940" i="23"/>
  <c r="C9939" i="23"/>
  <c r="C10262" i="23"/>
  <c r="C10261" i="23"/>
  <c r="C10260" i="23"/>
  <c r="C10259" i="23"/>
  <c r="C10258" i="23"/>
  <c r="C10257" i="23"/>
  <c r="C10256" i="23"/>
  <c r="C10255" i="23"/>
  <c r="C10254" i="23"/>
  <c r="C10253" i="23"/>
  <c r="C10252" i="23"/>
  <c r="C10251" i="23"/>
  <c r="C10250" i="23"/>
  <c r="C10249" i="23"/>
  <c r="C10248" i="23"/>
  <c r="C10247" i="23"/>
  <c r="C10246" i="23"/>
  <c r="C10245" i="23"/>
  <c r="C10244" i="23"/>
  <c r="C10243" i="23"/>
  <c r="C10242" i="23"/>
  <c r="C10241" i="23"/>
  <c r="C10240" i="23"/>
  <c r="C10239" i="23"/>
  <c r="C10238" i="23"/>
  <c r="C10237" i="23"/>
  <c r="C10236" i="23"/>
  <c r="C9911" i="23"/>
  <c r="C9910" i="23"/>
  <c r="C9909" i="23"/>
  <c r="C9908" i="23"/>
  <c r="C9907" i="23"/>
  <c r="C9906" i="23"/>
  <c r="C9905" i="23"/>
  <c r="C9904" i="23"/>
  <c r="C9903" i="23"/>
  <c r="C9902" i="23"/>
  <c r="C9901" i="23"/>
  <c r="C9900" i="23"/>
  <c r="C9899" i="23"/>
  <c r="C9898" i="23"/>
  <c r="C9897" i="23"/>
  <c r="C9896" i="23"/>
  <c r="C9895" i="23"/>
  <c r="C9894" i="23"/>
  <c r="C9893" i="23"/>
  <c r="C9892" i="23"/>
  <c r="C9891" i="23"/>
  <c r="C9890" i="23"/>
  <c r="C9889" i="23"/>
  <c r="C9888" i="23"/>
  <c r="C9887" i="23"/>
  <c r="C9886" i="23"/>
  <c r="C9885" i="23"/>
  <c r="C9938" i="23"/>
  <c r="C9937" i="23"/>
  <c r="C9936" i="23"/>
  <c r="C9935" i="23"/>
  <c r="C9934" i="23"/>
  <c r="C9933" i="23"/>
  <c r="C9932" i="23"/>
  <c r="C9931" i="23"/>
  <c r="C9930" i="23"/>
  <c r="C9929" i="23"/>
  <c r="C9928" i="23"/>
  <c r="C9927" i="23"/>
  <c r="C9926" i="23"/>
  <c r="C9925" i="23"/>
  <c r="C9924" i="23"/>
  <c r="C9923" i="23"/>
  <c r="C9922" i="23"/>
  <c r="C9921" i="23"/>
  <c r="C9920" i="23"/>
  <c r="C9919" i="23"/>
  <c r="C9918" i="23"/>
  <c r="C9917" i="23"/>
  <c r="C9916" i="23"/>
  <c r="C9915" i="23"/>
  <c r="C9914" i="23"/>
  <c r="C9913" i="23"/>
  <c r="C9912" i="23"/>
  <c r="C9668" i="23"/>
  <c r="C9667" i="23"/>
  <c r="C9666" i="23"/>
  <c r="C9665" i="23"/>
  <c r="C9664" i="23"/>
  <c r="C9663" i="23"/>
  <c r="C9662" i="23"/>
  <c r="C9661" i="23"/>
  <c r="C9660" i="23"/>
  <c r="C9659" i="23"/>
  <c r="C9658" i="23"/>
  <c r="C9657" i="23"/>
  <c r="C9656" i="23"/>
  <c r="C9655" i="23"/>
  <c r="C9654" i="23"/>
  <c r="C9653" i="23"/>
  <c r="C9652" i="23"/>
  <c r="C9651" i="23"/>
  <c r="C9650" i="23"/>
  <c r="C9649" i="23"/>
  <c r="C9648" i="23"/>
  <c r="C9647" i="23"/>
  <c r="C9646" i="23"/>
  <c r="C9645" i="23"/>
  <c r="C9644" i="23"/>
  <c r="C9643" i="23"/>
  <c r="C9642" i="23"/>
  <c r="C9263" i="23"/>
  <c r="C9262" i="23"/>
  <c r="C9261" i="23"/>
  <c r="C9260" i="23"/>
  <c r="C9259" i="23"/>
  <c r="C9258" i="23"/>
  <c r="C9257" i="23"/>
  <c r="C9256" i="23"/>
  <c r="C9255" i="23"/>
  <c r="C9254" i="23"/>
  <c r="C9253" i="23"/>
  <c r="C9252" i="23"/>
  <c r="C9251" i="23"/>
  <c r="C9250" i="23"/>
  <c r="C9249" i="23"/>
  <c r="C9248" i="23"/>
  <c r="C9247" i="23"/>
  <c r="C9246" i="23"/>
  <c r="C9245" i="23"/>
  <c r="C9244" i="23"/>
  <c r="C9243" i="23"/>
  <c r="C9242" i="23"/>
  <c r="C9241" i="23"/>
  <c r="C9240" i="23"/>
  <c r="C9239" i="23"/>
  <c r="C9238" i="23"/>
  <c r="C9237" i="23"/>
  <c r="C9776" i="23"/>
  <c r="C9775" i="23"/>
  <c r="C9774" i="23"/>
  <c r="C9773" i="23"/>
  <c r="C9772" i="23"/>
  <c r="C9771" i="23"/>
  <c r="C9770" i="23"/>
  <c r="C9769" i="23"/>
  <c r="C9768" i="23"/>
  <c r="C9767" i="23"/>
  <c r="C9766" i="23"/>
  <c r="C9765" i="23"/>
  <c r="C9764" i="23"/>
  <c r="C9763" i="23"/>
  <c r="C9762" i="23"/>
  <c r="C9761" i="23"/>
  <c r="C9760" i="23"/>
  <c r="C9759" i="23"/>
  <c r="C9758" i="23"/>
  <c r="C9757" i="23"/>
  <c r="C9756" i="23"/>
  <c r="C9755" i="23"/>
  <c r="C9754" i="23"/>
  <c r="C9753" i="23"/>
  <c r="C9752" i="23"/>
  <c r="C9751" i="23"/>
  <c r="C9750" i="23"/>
  <c r="C10127" i="23"/>
  <c r="C10126" i="23"/>
  <c r="C10125" i="23"/>
  <c r="C10124" i="23"/>
  <c r="C10123" i="23"/>
  <c r="C10122" i="23"/>
  <c r="C10121" i="23"/>
  <c r="C10120" i="23"/>
  <c r="C10119" i="23"/>
  <c r="C10118" i="23"/>
  <c r="C10117" i="23"/>
  <c r="C10116" i="23"/>
  <c r="C10115" i="23"/>
  <c r="C10114" i="23"/>
  <c r="C10113" i="23"/>
  <c r="C10112" i="23"/>
  <c r="C10111" i="23"/>
  <c r="C10110" i="23"/>
  <c r="C10109" i="23"/>
  <c r="C10108" i="23"/>
  <c r="C10107" i="23"/>
  <c r="C10106" i="23"/>
  <c r="C10105" i="23"/>
  <c r="C10104" i="23"/>
  <c r="C10103" i="23"/>
  <c r="C10102" i="23"/>
  <c r="C10101" i="23"/>
  <c r="C10181" i="23"/>
  <c r="C10180" i="23"/>
  <c r="C10179" i="23"/>
  <c r="C10178" i="23"/>
  <c r="C10177" i="23"/>
  <c r="C10176" i="23"/>
  <c r="C10175" i="23"/>
  <c r="C10174" i="23"/>
  <c r="C10173" i="23"/>
  <c r="C10172" i="23"/>
  <c r="C10171" i="23"/>
  <c r="C10170" i="23"/>
  <c r="C10169" i="23"/>
  <c r="C10168" i="23"/>
  <c r="C10167" i="23"/>
  <c r="C10166" i="23"/>
  <c r="C10165" i="23"/>
  <c r="C10164" i="23"/>
  <c r="C10163" i="23"/>
  <c r="C10162" i="23"/>
  <c r="C10161" i="23"/>
  <c r="C10160" i="23"/>
  <c r="C10159" i="23"/>
  <c r="C10158" i="23"/>
  <c r="C10157" i="23"/>
  <c r="C10156" i="23"/>
  <c r="C10155" i="23"/>
  <c r="C9317" i="23"/>
  <c r="C9316" i="23"/>
  <c r="C9315" i="23"/>
  <c r="C9314" i="23"/>
  <c r="C9313" i="23"/>
  <c r="C9312" i="23"/>
  <c r="C9311" i="23"/>
  <c r="C9310" i="23"/>
  <c r="C9309" i="23"/>
  <c r="C9308" i="23"/>
  <c r="C9307" i="23"/>
  <c r="C9306" i="23"/>
  <c r="C9305" i="23"/>
  <c r="C9304" i="23"/>
  <c r="C9303" i="23"/>
  <c r="C9302" i="23"/>
  <c r="C9301" i="23"/>
  <c r="C9300" i="23"/>
  <c r="C9299" i="23"/>
  <c r="C9298" i="23"/>
  <c r="C9297" i="23"/>
  <c r="C9296" i="23"/>
  <c r="C9295" i="23"/>
  <c r="C9294" i="23"/>
  <c r="C9293" i="23"/>
  <c r="C9292" i="23"/>
  <c r="C9291" i="23"/>
  <c r="C10019" i="23"/>
  <c r="C10018" i="23"/>
  <c r="C10017" i="23"/>
  <c r="C10016" i="23"/>
  <c r="C10015" i="23"/>
  <c r="C10014" i="23"/>
  <c r="C10013" i="23"/>
  <c r="C10012" i="23"/>
  <c r="C10011" i="23"/>
  <c r="C10010" i="23"/>
  <c r="C10009" i="23"/>
  <c r="C10008" i="23"/>
  <c r="C10007" i="23"/>
  <c r="C10006" i="23"/>
  <c r="C10005" i="23"/>
  <c r="C10004" i="23"/>
  <c r="C10003" i="23"/>
  <c r="C10002" i="23"/>
  <c r="C10001" i="23"/>
  <c r="C10000" i="23"/>
  <c r="C9999" i="23"/>
  <c r="C9998" i="23"/>
  <c r="C9997" i="23"/>
  <c r="C9996" i="23"/>
  <c r="C9995" i="23"/>
  <c r="C9994" i="23"/>
  <c r="C9993" i="23"/>
  <c r="B8372" i="23"/>
  <c r="B8371" i="23"/>
  <c r="B8370" i="23"/>
  <c r="B8369" i="23"/>
  <c r="B8368" i="23"/>
  <c r="B8367" i="23"/>
  <c r="B8366" i="23"/>
  <c r="B8365" i="23"/>
  <c r="B8364" i="23"/>
  <c r="B8363" i="23"/>
  <c r="B8362" i="23"/>
  <c r="B8361" i="23"/>
  <c r="B8360" i="23"/>
  <c r="B8359" i="23"/>
  <c r="B8358" i="23"/>
  <c r="B8357" i="23"/>
  <c r="B8356" i="23"/>
  <c r="B8355" i="23"/>
  <c r="B8354" i="23"/>
  <c r="B8353" i="23"/>
  <c r="B8352" i="23"/>
  <c r="B8351" i="23"/>
  <c r="B8350" i="23"/>
  <c r="B8349" i="23"/>
  <c r="B8348" i="23"/>
  <c r="B8347" i="23"/>
  <c r="B8346" i="23"/>
  <c r="B8399" i="23"/>
  <c r="B8398" i="23"/>
  <c r="B8397" i="23"/>
  <c r="B8396" i="23"/>
  <c r="B8395" i="23"/>
  <c r="B8394" i="23"/>
  <c r="B8393" i="23"/>
  <c r="B8392" i="23"/>
  <c r="B8391" i="23"/>
  <c r="B8390" i="23"/>
  <c r="B8389" i="23"/>
  <c r="B8388" i="23"/>
  <c r="B8387" i="23"/>
  <c r="B8386" i="23"/>
  <c r="B8385" i="23"/>
  <c r="B8384" i="23"/>
  <c r="B8383" i="23"/>
  <c r="B8382" i="23"/>
  <c r="B8381" i="23"/>
  <c r="B8380" i="23"/>
  <c r="B8379" i="23"/>
  <c r="B8378" i="23"/>
  <c r="B8377" i="23"/>
  <c r="B8376" i="23"/>
  <c r="B8375" i="23"/>
  <c r="B8374" i="23"/>
  <c r="B8373" i="23"/>
  <c r="B8426" i="23"/>
  <c r="B8425" i="23"/>
  <c r="B8424" i="23"/>
  <c r="B8423" i="23"/>
  <c r="B8422" i="23"/>
  <c r="B8421" i="23"/>
  <c r="B8420" i="23"/>
  <c r="B8419" i="23"/>
  <c r="B8418" i="23"/>
  <c r="B8417" i="23"/>
  <c r="B8416" i="23"/>
  <c r="B8415" i="23"/>
  <c r="B8414" i="23"/>
  <c r="B8413" i="23"/>
  <c r="B8412" i="23"/>
  <c r="B8411" i="23"/>
  <c r="B8410" i="23"/>
  <c r="B8409" i="23"/>
  <c r="B8408" i="23"/>
  <c r="B8407" i="23"/>
  <c r="B8406" i="23"/>
  <c r="B8405" i="23"/>
  <c r="B8404" i="23"/>
  <c r="B8403" i="23"/>
  <c r="B8402" i="23"/>
  <c r="B8401" i="23"/>
  <c r="B8400" i="23"/>
  <c r="B8453" i="23"/>
  <c r="B8452" i="23"/>
  <c r="B8451" i="23"/>
  <c r="B8450" i="23"/>
  <c r="B8449" i="23"/>
  <c r="B8448" i="23"/>
  <c r="B8447" i="23"/>
  <c r="B8446" i="23"/>
  <c r="B8445" i="23"/>
  <c r="B8444" i="23"/>
  <c r="B8443" i="23"/>
  <c r="B8442" i="23"/>
  <c r="B8441" i="23"/>
  <c r="B8440" i="23"/>
  <c r="B8439" i="23"/>
  <c r="B8438" i="23"/>
  <c r="B8437" i="23"/>
  <c r="B8436" i="23"/>
  <c r="B8435" i="23"/>
  <c r="B8434" i="23"/>
  <c r="B8433" i="23"/>
  <c r="B8432" i="23"/>
  <c r="B8431" i="23"/>
  <c r="B8430" i="23"/>
  <c r="B8429" i="23"/>
  <c r="B8428" i="23"/>
  <c r="B8427" i="23"/>
  <c r="B8480" i="23"/>
  <c r="B8479" i="23"/>
  <c r="B8478" i="23"/>
  <c r="B8477" i="23"/>
  <c r="B8476" i="23"/>
  <c r="B8475" i="23"/>
  <c r="B8474" i="23"/>
  <c r="B8473" i="23"/>
  <c r="B8472" i="23"/>
  <c r="B8471" i="23"/>
  <c r="B8470" i="23"/>
  <c r="B8469" i="23"/>
  <c r="B8468" i="23"/>
  <c r="B8467" i="23"/>
  <c r="B8466" i="23"/>
  <c r="B8465" i="23"/>
  <c r="B8464" i="23"/>
  <c r="B8463" i="23"/>
  <c r="B8462" i="23"/>
  <c r="B8461" i="23"/>
  <c r="B8460" i="23"/>
  <c r="B8459" i="23"/>
  <c r="B8458" i="23"/>
  <c r="B8457" i="23"/>
  <c r="B8456" i="23"/>
  <c r="B8455" i="23"/>
  <c r="B8454" i="23"/>
  <c r="B8507" i="23"/>
  <c r="B8506" i="23"/>
  <c r="B8505" i="23"/>
  <c r="B8504" i="23"/>
  <c r="B8503" i="23"/>
  <c r="B8502" i="23"/>
  <c r="B8501" i="23"/>
  <c r="B8500" i="23"/>
  <c r="B8499" i="23"/>
  <c r="B8498" i="23"/>
  <c r="B8497" i="23"/>
  <c r="B8496" i="23"/>
  <c r="B8495" i="23"/>
  <c r="B8494" i="23"/>
  <c r="B8493" i="23"/>
  <c r="B8492" i="23"/>
  <c r="B8491" i="23"/>
  <c r="B8490" i="23"/>
  <c r="B8489" i="23"/>
  <c r="B8488" i="23"/>
  <c r="B8487" i="23"/>
  <c r="B8486" i="23"/>
  <c r="B8485" i="23"/>
  <c r="B8484" i="23"/>
  <c r="B8483" i="23"/>
  <c r="B8482" i="23"/>
  <c r="B8481" i="23"/>
  <c r="B8534" i="23"/>
  <c r="B8533" i="23"/>
  <c r="B8532" i="23"/>
  <c r="B8531" i="23"/>
  <c r="B8530" i="23"/>
  <c r="B8529" i="23"/>
  <c r="B8528" i="23"/>
  <c r="B8527" i="23"/>
  <c r="B8526" i="23"/>
  <c r="B8525" i="23"/>
  <c r="B8524" i="23"/>
  <c r="B8523" i="23"/>
  <c r="B8522" i="23"/>
  <c r="B8521" i="23"/>
  <c r="B8520" i="23"/>
  <c r="B8519" i="23"/>
  <c r="B8518" i="23"/>
  <c r="B8517" i="23"/>
  <c r="B8516" i="23"/>
  <c r="B8515" i="23"/>
  <c r="B8514" i="23"/>
  <c r="B8513" i="23"/>
  <c r="B8512" i="23"/>
  <c r="B8511" i="23"/>
  <c r="B8510" i="23"/>
  <c r="B8509" i="23"/>
  <c r="B8508" i="23"/>
  <c r="B8561" i="23"/>
  <c r="B8560" i="23"/>
  <c r="B8559" i="23"/>
  <c r="B8558" i="23"/>
  <c r="B8557" i="23"/>
  <c r="B8556" i="23"/>
  <c r="B8555" i="23"/>
  <c r="B8554" i="23"/>
  <c r="B8553" i="23"/>
  <c r="B8552" i="23"/>
  <c r="B8551" i="23"/>
  <c r="B8550" i="23"/>
  <c r="B8549" i="23"/>
  <c r="B8548" i="23"/>
  <c r="B8547" i="23"/>
  <c r="B8546" i="23"/>
  <c r="B8545" i="23"/>
  <c r="B8544" i="23"/>
  <c r="B8543" i="23"/>
  <c r="B8542" i="23"/>
  <c r="B8541" i="23"/>
  <c r="B8540" i="23"/>
  <c r="B8539" i="23"/>
  <c r="B8538" i="23"/>
  <c r="B8537" i="23"/>
  <c r="B8536" i="23"/>
  <c r="B8535" i="23"/>
  <c r="B8588" i="23"/>
  <c r="B8587" i="23"/>
  <c r="B8586" i="23"/>
  <c r="B8585" i="23"/>
  <c r="B8584" i="23"/>
  <c r="B8583" i="23"/>
  <c r="B8582" i="23"/>
  <c r="B8581" i="23"/>
  <c r="B8580" i="23"/>
  <c r="B8579" i="23"/>
  <c r="B8578" i="23"/>
  <c r="B8577" i="23"/>
  <c r="B8576" i="23"/>
  <c r="B8575" i="23"/>
  <c r="B8574" i="23"/>
  <c r="B8573" i="23"/>
  <c r="B8572" i="23"/>
  <c r="B8571" i="23"/>
  <c r="B8570" i="23"/>
  <c r="B8569" i="23"/>
  <c r="B8568" i="23"/>
  <c r="B8567" i="23"/>
  <c r="B8566" i="23"/>
  <c r="B8565" i="23"/>
  <c r="B8564" i="23"/>
  <c r="B8563" i="23"/>
  <c r="B8562" i="23"/>
  <c r="B8345" i="23"/>
  <c r="B8344" i="23"/>
  <c r="B8343" i="23"/>
  <c r="B8342" i="23"/>
  <c r="B8341" i="23"/>
  <c r="B8340" i="23"/>
  <c r="B8339" i="23"/>
  <c r="B8338" i="23"/>
  <c r="B8337" i="23"/>
  <c r="B8336" i="23"/>
  <c r="B8335" i="23"/>
  <c r="B8334" i="23"/>
  <c r="B8333" i="23"/>
  <c r="B8332" i="23"/>
  <c r="B8331" i="23"/>
  <c r="B8330" i="23"/>
  <c r="B8329" i="23"/>
  <c r="B8328" i="23"/>
  <c r="B8327" i="23"/>
  <c r="B8326" i="23"/>
  <c r="B8325" i="23"/>
  <c r="B8324" i="23"/>
  <c r="B8323" i="23"/>
  <c r="B8322" i="23"/>
  <c r="B8321" i="23"/>
  <c r="B8320" i="23"/>
  <c r="B8319" i="23"/>
  <c r="B8696" i="23"/>
  <c r="B8695" i="23"/>
  <c r="B8694" i="23"/>
  <c r="B8693" i="23"/>
  <c r="B8692" i="23"/>
  <c r="B8691" i="23"/>
  <c r="B8690" i="23"/>
  <c r="B8689" i="23"/>
  <c r="B8688" i="23"/>
  <c r="B8687" i="23"/>
  <c r="B8686" i="23"/>
  <c r="B8685" i="23"/>
  <c r="B8684" i="23"/>
  <c r="B8683" i="23"/>
  <c r="B8682" i="23"/>
  <c r="B8681" i="23"/>
  <c r="B8680" i="23"/>
  <c r="B8679" i="23"/>
  <c r="B8678" i="23"/>
  <c r="B8677" i="23"/>
  <c r="B8676" i="23"/>
  <c r="B8675" i="23"/>
  <c r="B8674" i="23"/>
  <c r="B8673" i="23"/>
  <c r="B8672" i="23"/>
  <c r="B8671" i="23"/>
  <c r="B8670" i="23"/>
  <c r="B9047" i="23"/>
  <c r="B9046" i="23"/>
  <c r="B9045" i="23"/>
  <c r="B9044" i="23"/>
  <c r="B9043" i="23"/>
  <c r="B9042" i="23"/>
  <c r="B9041" i="23"/>
  <c r="B9040" i="23"/>
  <c r="B9039" i="23"/>
  <c r="B9038" i="23"/>
  <c r="B9037" i="23"/>
  <c r="B9036" i="23"/>
  <c r="B9035" i="23"/>
  <c r="B9034" i="23"/>
  <c r="B9033" i="23"/>
  <c r="B9032" i="23"/>
  <c r="B9031" i="23"/>
  <c r="B9030" i="23"/>
  <c r="B9029" i="23"/>
  <c r="B9028" i="23"/>
  <c r="B9027" i="23"/>
  <c r="B9026" i="23"/>
  <c r="B9025" i="23"/>
  <c r="B9024" i="23"/>
  <c r="B9023" i="23"/>
  <c r="B9022" i="23"/>
  <c r="B9021" i="23"/>
  <c r="B8723" i="23"/>
  <c r="B8722" i="23"/>
  <c r="B8721" i="23"/>
  <c r="B8720" i="23"/>
  <c r="B8719" i="23"/>
  <c r="B8718" i="23"/>
  <c r="B8717" i="23"/>
  <c r="B8716" i="23"/>
  <c r="B8715" i="23"/>
  <c r="B8714" i="23"/>
  <c r="B8713" i="23"/>
  <c r="B8712" i="23"/>
  <c r="B8711" i="23"/>
  <c r="B8710" i="23"/>
  <c r="B8709" i="23"/>
  <c r="B8708" i="23"/>
  <c r="B8707" i="23"/>
  <c r="B8706" i="23"/>
  <c r="B8705" i="23"/>
  <c r="B8704" i="23"/>
  <c r="B8703" i="23"/>
  <c r="B8702" i="23"/>
  <c r="B8701" i="23"/>
  <c r="B8700" i="23"/>
  <c r="B8699" i="23"/>
  <c r="B8698" i="23"/>
  <c r="B8697" i="23"/>
  <c r="B9182" i="23"/>
  <c r="B9181" i="23"/>
  <c r="B9180" i="23"/>
  <c r="B9179" i="23"/>
  <c r="B9178" i="23"/>
  <c r="B9177" i="23"/>
  <c r="B9176" i="23"/>
  <c r="B9175" i="23"/>
  <c r="B9174" i="23"/>
  <c r="B9173" i="23"/>
  <c r="B9172" i="23"/>
  <c r="B9171" i="23"/>
  <c r="B9170" i="23"/>
  <c r="B9169" i="23"/>
  <c r="B9168" i="23"/>
  <c r="B9167" i="23"/>
  <c r="B9166" i="23"/>
  <c r="B9165" i="23"/>
  <c r="B9164" i="23"/>
  <c r="B9163" i="23"/>
  <c r="B9162" i="23"/>
  <c r="B9161" i="23"/>
  <c r="B9160" i="23"/>
  <c r="B9159" i="23"/>
  <c r="B9158" i="23"/>
  <c r="B9157" i="23"/>
  <c r="B9156" i="23"/>
  <c r="B8318" i="23"/>
  <c r="B8317" i="23"/>
  <c r="B8316" i="23"/>
  <c r="B8315" i="23"/>
  <c r="B8314" i="23"/>
  <c r="B8313" i="23"/>
  <c r="B8312" i="23"/>
  <c r="B8311" i="23"/>
  <c r="B8310" i="23"/>
  <c r="B8309" i="23"/>
  <c r="B8308" i="23"/>
  <c r="B8307" i="23"/>
  <c r="B8306" i="23"/>
  <c r="B8305" i="23"/>
  <c r="B8304" i="23"/>
  <c r="B8303" i="23"/>
  <c r="B8302" i="23"/>
  <c r="B8301" i="23"/>
  <c r="B8300" i="23"/>
  <c r="B8299" i="23"/>
  <c r="B8298" i="23"/>
  <c r="B8297" i="23"/>
  <c r="B8296" i="23"/>
  <c r="B8295" i="23"/>
  <c r="B8294" i="23"/>
  <c r="B8293" i="23"/>
  <c r="B8292" i="23"/>
  <c r="B8669" i="23"/>
  <c r="B8668" i="23"/>
  <c r="B8667" i="23"/>
  <c r="B8666" i="23"/>
  <c r="B8665" i="23"/>
  <c r="B8664" i="23"/>
  <c r="B8663" i="23"/>
  <c r="B8662" i="23"/>
  <c r="B8661" i="23"/>
  <c r="B8660" i="23"/>
  <c r="B8659" i="23"/>
  <c r="B8658" i="23"/>
  <c r="B8657" i="23"/>
  <c r="B8656" i="23"/>
  <c r="B8655" i="23"/>
  <c r="B8654" i="23"/>
  <c r="B8653" i="23"/>
  <c r="B8652" i="23"/>
  <c r="B8651" i="23"/>
  <c r="B8650" i="23"/>
  <c r="B8649" i="23"/>
  <c r="B8648" i="23"/>
  <c r="B8647" i="23"/>
  <c r="B8646" i="23"/>
  <c r="B8645" i="23"/>
  <c r="B8644" i="23"/>
  <c r="B8643" i="23"/>
  <c r="B8966" i="23"/>
  <c r="B8965" i="23"/>
  <c r="B8964" i="23"/>
  <c r="B8963" i="23"/>
  <c r="B8962" i="23"/>
  <c r="B8961" i="23"/>
  <c r="B8960" i="23"/>
  <c r="B8959" i="23"/>
  <c r="B8958" i="23"/>
  <c r="B8957" i="23"/>
  <c r="B8956" i="23"/>
  <c r="B8955" i="23"/>
  <c r="B8954" i="23"/>
  <c r="B8953" i="23"/>
  <c r="B8952" i="23"/>
  <c r="B8951" i="23"/>
  <c r="B8950" i="23"/>
  <c r="B8949" i="23"/>
  <c r="B8948" i="23"/>
  <c r="B8947" i="23"/>
  <c r="B8946" i="23"/>
  <c r="B8945" i="23"/>
  <c r="B8944" i="23"/>
  <c r="B8943" i="23"/>
  <c r="B8942" i="23"/>
  <c r="B8941" i="23"/>
  <c r="B8940" i="23"/>
  <c r="B8777" i="23"/>
  <c r="B8776" i="23"/>
  <c r="B8775" i="23"/>
  <c r="B8774" i="23"/>
  <c r="B8773" i="23"/>
  <c r="B8772" i="23"/>
  <c r="B8771" i="23"/>
  <c r="B8770" i="23"/>
  <c r="B8769" i="23"/>
  <c r="B8768" i="23"/>
  <c r="B8767" i="23"/>
  <c r="B8766" i="23"/>
  <c r="B8765" i="23"/>
  <c r="B8764" i="23"/>
  <c r="B8763" i="23"/>
  <c r="B8762" i="23"/>
  <c r="B8761" i="23"/>
  <c r="B8760" i="23"/>
  <c r="B8759" i="23"/>
  <c r="B8758" i="23"/>
  <c r="B8757" i="23"/>
  <c r="B8756" i="23"/>
  <c r="B8755" i="23"/>
  <c r="B8754" i="23"/>
  <c r="B8753" i="23"/>
  <c r="B8752" i="23"/>
  <c r="B8751" i="23"/>
  <c r="B8858" i="23"/>
  <c r="B8857" i="23"/>
  <c r="B8856" i="23"/>
  <c r="B8855" i="23"/>
  <c r="B8854" i="23"/>
  <c r="B8853" i="23"/>
  <c r="B8852" i="23"/>
  <c r="B8851" i="23"/>
  <c r="B8850" i="23"/>
  <c r="B8849" i="23"/>
  <c r="B8848" i="23"/>
  <c r="B8847" i="23"/>
  <c r="B8846" i="23"/>
  <c r="B8845" i="23"/>
  <c r="B8844" i="23"/>
  <c r="B8843" i="23"/>
  <c r="B8842" i="23"/>
  <c r="B8841" i="23"/>
  <c r="B8840" i="23"/>
  <c r="B8839" i="23"/>
  <c r="B8838" i="23"/>
  <c r="B8837" i="23"/>
  <c r="B8836" i="23"/>
  <c r="B8835" i="23"/>
  <c r="B8834" i="23"/>
  <c r="B8833" i="23"/>
  <c r="B8832" i="23"/>
  <c r="B9128" i="23"/>
  <c r="B9127" i="23"/>
  <c r="B9126" i="23"/>
  <c r="B9125" i="23"/>
  <c r="B9124" i="23"/>
  <c r="B9123" i="23"/>
  <c r="B9122" i="23"/>
  <c r="B9121" i="23"/>
  <c r="B9120" i="23"/>
  <c r="B9119" i="23"/>
  <c r="B9118" i="23"/>
  <c r="B9117" i="23"/>
  <c r="B9116" i="23"/>
  <c r="B9115" i="23"/>
  <c r="B9114" i="23"/>
  <c r="B9113" i="23"/>
  <c r="B9112" i="23"/>
  <c r="B9111" i="23"/>
  <c r="B9110" i="23"/>
  <c r="B9109" i="23"/>
  <c r="B9108" i="23"/>
  <c r="B9107" i="23"/>
  <c r="B9106" i="23"/>
  <c r="B9105" i="23"/>
  <c r="B9104" i="23"/>
  <c r="B9103" i="23"/>
  <c r="B9102" i="23"/>
  <c r="B9074" i="23"/>
  <c r="B9073" i="23"/>
  <c r="B9072" i="23"/>
  <c r="B9071" i="23"/>
  <c r="B9070" i="23"/>
  <c r="B9069" i="23"/>
  <c r="B9068" i="23"/>
  <c r="B9067" i="23"/>
  <c r="B9066" i="23"/>
  <c r="B9065" i="23"/>
  <c r="B9064" i="23"/>
  <c r="B9063" i="23"/>
  <c r="B9062" i="23"/>
  <c r="B9061" i="23"/>
  <c r="B9060" i="23"/>
  <c r="B9059" i="23"/>
  <c r="B9058" i="23"/>
  <c r="B9057" i="23"/>
  <c r="B9056" i="23"/>
  <c r="B9055" i="23"/>
  <c r="B9054" i="23"/>
  <c r="B9053" i="23"/>
  <c r="B9052" i="23"/>
  <c r="B9051" i="23"/>
  <c r="B9050" i="23"/>
  <c r="B9049" i="23"/>
  <c r="B9048" i="23"/>
  <c r="B9020" i="23"/>
  <c r="B9019" i="23"/>
  <c r="B9018" i="23"/>
  <c r="B9017" i="23"/>
  <c r="B9016" i="23"/>
  <c r="B9015" i="23"/>
  <c r="B9014" i="23"/>
  <c r="B9013" i="23"/>
  <c r="B9012" i="23"/>
  <c r="B9011" i="23"/>
  <c r="B9010" i="23"/>
  <c r="B9009" i="23"/>
  <c r="B9008" i="23"/>
  <c r="B9007" i="23"/>
  <c r="B9006" i="23"/>
  <c r="B9005" i="23"/>
  <c r="B9004" i="23"/>
  <c r="B9003" i="23"/>
  <c r="B9002" i="23"/>
  <c r="B9001" i="23"/>
  <c r="B9000" i="23"/>
  <c r="B8999" i="23"/>
  <c r="B8998" i="23"/>
  <c r="B8997" i="23"/>
  <c r="B8996" i="23"/>
  <c r="B8995" i="23"/>
  <c r="B8994" i="23"/>
  <c r="B8831" i="23"/>
  <c r="B8830" i="23"/>
  <c r="B8829" i="23"/>
  <c r="B8828" i="23"/>
  <c r="B8827" i="23"/>
  <c r="B8826" i="23"/>
  <c r="B8825" i="23"/>
  <c r="B8824" i="23"/>
  <c r="B8823" i="23"/>
  <c r="B8822" i="23"/>
  <c r="B8821" i="23"/>
  <c r="B8820" i="23"/>
  <c r="B8819" i="23"/>
  <c r="B8818" i="23"/>
  <c r="B8817" i="23"/>
  <c r="B8816" i="23"/>
  <c r="B8815" i="23"/>
  <c r="B8814" i="23"/>
  <c r="B8813" i="23"/>
  <c r="B8812" i="23"/>
  <c r="B8811" i="23"/>
  <c r="B8810" i="23"/>
  <c r="B8809" i="23"/>
  <c r="B8808" i="23"/>
  <c r="B8807" i="23"/>
  <c r="B8806" i="23"/>
  <c r="B8805" i="23"/>
  <c r="B8264" i="23"/>
  <c r="B8263" i="23"/>
  <c r="B8262" i="23"/>
  <c r="B8261" i="23"/>
  <c r="B8260" i="23"/>
  <c r="B8259" i="23"/>
  <c r="B8258" i="23"/>
  <c r="B8257" i="23"/>
  <c r="B8256" i="23"/>
  <c r="B8255" i="23"/>
  <c r="B8254" i="23"/>
  <c r="B8253" i="23"/>
  <c r="B8252" i="23"/>
  <c r="B8251" i="23"/>
  <c r="B8250" i="23"/>
  <c r="B8249" i="23"/>
  <c r="B8248" i="23"/>
  <c r="B8247" i="23"/>
  <c r="B8246" i="23"/>
  <c r="B8245" i="23"/>
  <c r="B8244" i="23"/>
  <c r="B8243" i="23"/>
  <c r="B8242" i="23"/>
  <c r="B8241" i="23"/>
  <c r="B8240" i="23"/>
  <c r="B8239" i="23"/>
  <c r="B8238" i="23"/>
  <c r="B8804" i="23"/>
  <c r="B8803" i="23"/>
  <c r="B8802" i="23"/>
  <c r="B8801" i="23"/>
  <c r="B8800" i="23"/>
  <c r="B8799" i="23"/>
  <c r="B8798" i="23"/>
  <c r="B8797" i="23"/>
  <c r="B8796" i="23"/>
  <c r="B8795" i="23"/>
  <c r="B8794" i="23"/>
  <c r="B8793" i="23"/>
  <c r="B8792" i="23"/>
  <c r="B8791" i="23"/>
  <c r="B8790" i="23"/>
  <c r="B8789" i="23"/>
  <c r="B8788" i="23"/>
  <c r="B8787" i="23"/>
  <c r="B8786" i="23"/>
  <c r="B8785" i="23"/>
  <c r="B8784" i="23"/>
  <c r="B8783" i="23"/>
  <c r="B8782" i="23"/>
  <c r="B8781" i="23"/>
  <c r="B8780" i="23"/>
  <c r="B8779" i="23"/>
  <c r="B8778" i="23"/>
  <c r="B8615" i="23"/>
  <c r="B8614" i="23"/>
  <c r="B8613" i="23"/>
  <c r="B8612" i="23"/>
  <c r="B8611" i="23"/>
  <c r="B8610" i="23"/>
  <c r="B8609" i="23"/>
  <c r="B8608" i="23"/>
  <c r="B8607" i="23"/>
  <c r="B8606" i="23"/>
  <c r="B8605" i="23"/>
  <c r="B8604" i="23"/>
  <c r="B8603" i="23"/>
  <c r="B8602" i="23"/>
  <c r="B8601" i="23"/>
  <c r="B8600" i="23"/>
  <c r="B8599" i="23"/>
  <c r="B8598" i="23"/>
  <c r="B8597" i="23"/>
  <c r="B8596" i="23"/>
  <c r="B8595" i="23"/>
  <c r="B8594" i="23"/>
  <c r="B8593" i="23"/>
  <c r="B8592" i="23"/>
  <c r="B8591" i="23"/>
  <c r="B8590" i="23"/>
  <c r="B8589" i="23"/>
  <c r="B9209" i="23"/>
  <c r="B9208" i="23"/>
  <c r="B9207" i="23"/>
  <c r="B9206" i="23"/>
  <c r="B9205" i="23"/>
  <c r="B9204" i="23"/>
  <c r="B9203" i="23"/>
  <c r="B9202" i="23"/>
  <c r="B9201" i="23"/>
  <c r="B9200" i="23"/>
  <c r="B9199" i="23"/>
  <c r="B9198" i="23"/>
  <c r="B9197" i="23"/>
  <c r="B9196" i="23"/>
  <c r="B9195" i="23"/>
  <c r="B9194" i="23"/>
  <c r="B9193" i="23"/>
  <c r="B9192" i="23"/>
  <c r="B9191" i="23"/>
  <c r="B9190" i="23"/>
  <c r="B9189" i="23"/>
  <c r="B9188" i="23"/>
  <c r="B9187" i="23"/>
  <c r="B9186" i="23"/>
  <c r="B9185" i="23"/>
  <c r="B9184" i="23"/>
  <c r="B9183" i="23"/>
  <c r="B8939" i="23"/>
  <c r="B8938" i="23"/>
  <c r="B8937" i="23"/>
  <c r="B8936" i="23"/>
  <c r="B8935" i="23"/>
  <c r="B8934" i="23"/>
  <c r="B8933" i="23"/>
  <c r="B8932" i="23"/>
  <c r="B8931" i="23"/>
  <c r="B8930" i="23"/>
  <c r="B8929" i="23"/>
  <c r="B8928" i="23"/>
  <c r="B8927" i="23"/>
  <c r="B8926" i="23"/>
  <c r="B8925" i="23"/>
  <c r="B8924" i="23"/>
  <c r="B8923" i="23"/>
  <c r="B8922" i="23"/>
  <c r="B8921" i="23"/>
  <c r="B8920" i="23"/>
  <c r="B8919" i="23"/>
  <c r="B8918" i="23"/>
  <c r="B8917" i="23"/>
  <c r="B8916" i="23"/>
  <c r="B8915" i="23"/>
  <c r="B8914" i="23"/>
  <c r="B8913" i="23"/>
  <c r="B9236" i="23"/>
  <c r="B9235" i="23"/>
  <c r="B9234" i="23"/>
  <c r="B9233" i="23"/>
  <c r="B9232" i="23"/>
  <c r="B9231" i="23"/>
  <c r="B9230" i="23"/>
  <c r="B9229" i="23"/>
  <c r="B9228" i="23"/>
  <c r="B9227" i="23"/>
  <c r="B9226" i="23"/>
  <c r="B9225" i="23"/>
  <c r="B9224" i="23"/>
  <c r="B9223" i="23"/>
  <c r="B9222" i="23"/>
  <c r="B9221" i="23"/>
  <c r="B9220" i="23"/>
  <c r="B9219" i="23"/>
  <c r="B9218" i="23"/>
  <c r="B9217" i="23"/>
  <c r="B9216" i="23"/>
  <c r="B9215" i="23"/>
  <c r="B9214" i="23"/>
  <c r="B9213" i="23"/>
  <c r="B9212" i="23"/>
  <c r="B9211" i="23"/>
  <c r="B9210" i="23"/>
  <c r="B8885" i="23"/>
  <c r="B8884" i="23"/>
  <c r="B8883" i="23"/>
  <c r="B8882" i="23"/>
  <c r="B8881" i="23"/>
  <c r="B8880" i="23"/>
  <c r="B8879" i="23"/>
  <c r="B8878" i="23"/>
  <c r="B8877" i="23"/>
  <c r="B8876" i="23"/>
  <c r="B8875" i="23"/>
  <c r="B8874" i="23"/>
  <c r="B8873" i="23"/>
  <c r="B8872" i="23"/>
  <c r="B8871" i="23"/>
  <c r="B8870" i="23"/>
  <c r="B8869" i="23"/>
  <c r="B8868" i="23"/>
  <c r="B8867" i="23"/>
  <c r="B8866" i="23"/>
  <c r="B8865" i="23"/>
  <c r="B8864" i="23"/>
  <c r="B8863" i="23"/>
  <c r="B8862" i="23"/>
  <c r="B8861" i="23"/>
  <c r="B8860" i="23"/>
  <c r="B8859" i="23"/>
  <c r="B8912" i="23"/>
  <c r="B8911" i="23"/>
  <c r="B8910" i="23"/>
  <c r="B8909" i="23"/>
  <c r="B8908" i="23"/>
  <c r="B8907" i="23"/>
  <c r="B8906" i="23"/>
  <c r="B8905" i="23"/>
  <c r="B8904" i="23"/>
  <c r="B8903" i="23"/>
  <c r="B8902" i="23"/>
  <c r="B8901" i="23"/>
  <c r="B8900" i="23"/>
  <c r="B8899" i="23"/>
  <c r="B8898" i="23"/>
  <c r="B8897" i="23"/>
  <c r="B8896" i="23"/>
  <c r="B8895" i="23"/>
  <c r="B8894" i="23"/>
  <c r="B8893" i="23"/>
  <c r="B8892" i="23"/>
  <c r="B8891" i="23"/>
  <c r="B8890" i="23"/>
  <c r="B8889" i="23"/>
  <c r="B8888" i="23"/>
  <c r="B8887" i="23"/>
  <c r="B8886" i="23"/>
  <c r="B8642" i="23"/>
  <c r="B8641" i="23"/>
  <c r="B8640" i="23"/>
  <c r="B8639" i="23"/>
  <c r="B8638" i="23"/>
  <c r="B8637" i="23"/>
  <c r="B8636" i="23"/>
  <c r="B8635" i="23"/>
  <c r="B8634" i="23"/>
  <c r="B8633" i="23"/>
  <c r="B8632" i="23"/>
  <c r="B8631" i="23"/>
  <c r="B8630" i="23"/>
  <c r="B8629" i="23"/>
  <c r="B8628" i="23"/>
  <c r="B8627" i="23"/>
  <c r="B8626" i="23"/>
  <c r="B8625" i="23"/>
  <c r="B8624" i="23"/>
  <c r="B8623" i="23"/>
  <c r="B8622" i="23"/>
  <c r="B8621" i="23"/>
  <c r="B8620" i="23"/>
  <c r="B8619" i="23"/>
  <c r="B8618" i="23"/>
  <c r="B8617" i="23"/>
  <c r="B8616" i="23"/>
  <c r="B8237" i="23"/>
  <c r="B8236" i="23"/>
  <c r="B8235" i="23"/>
  <c r="B8234" i="23"/>
  <c r="B8233" i="23"/>
  <c r="B8232" i="23"/>
  <c r="B8231" i="23"/>
  <c r="B8230" i="23"/>
  <c r="B8229" i="23"/>
  <c r="B8228" i="23"/>
  <c r="B8227" i="23"/>
  <c r="B8226" i="23"/>
  <c r="B8225" i="23"/>
  <c r="B8224" i="23"/>
  <c r="B8223" i="23"/>
  <c r="B8222" i="23"/>
  <c r="B8221" i="23"/>
  <c r="B8220" i="23"/>
  <c r="B8219" i="23"/>
  <c r="B8218" i="23"/>
  <c r="B8217" i="23"/>
  <c r="B8216" i="23"/>
  <c r="B8215" i="23"/>
  <c r="B8214" i="23"/>
  <c r="B8213" i="23"/>
  <c r="B8212" i="23"/>
  <c r="B8211" i="23"/>
  <c r="B8750" i="23"/>
  <c r="B8749" i="23"/>
  <c r="B8748" i="23"/>
  <c r="B8747" i="23"/>
  <c r="B8746" i="23"/>
  <c r="B8745" i="23"/>
  <c r="B8744" i="23"/>
  <c r="B8743" i="23"/>
  <c r="B8742" i="23"/>
  <c r="B8741" i="23"/>
  <c r="B8740" i="23"/>
  <c r="B8739" i="23"/>
  <c r="B8738" i="23"/>
  <c r="B8737" i="23"/>
  <c r="B8736" i="23"/>
  <c r="B8735" i="23"/>
  <c r="B8734" i="23"/>
  <c r="B8733" i="23"/>
  <c r="B8732" i="23"/>
  <c r="B8731" i="23"/>
  <c r="B8730" i="23"/>
  <c r="B8729" i="23"/>
  <c r="B8728" i="23"/>
  <c r="B8727" i="23"/>
  <c r="B8726" i="23"/>
  <c r="B8725" i="23"/>
  <c r="B8724" i="23"/>
  <c r="B9101" i="23"/>
  <c r="B9100" i="23"/>
  <c r="B9099" i="23"/>
  <c r="B9098" i="23"/>
  <c r="B9097" i="23"/>
  <c r="B9096" i="23"/>
  <c r="B9095" i="23"/>
  <c r="B9094" i="23"/>
  <c r="B9093" i="23"/>
  <c r="B9092" i="23"/>
  <c r="B9091" i="23"/>
  <c r="B9090" i="23"/>
  <c r="B9089" i="23"/>
  <c r="B9088" i="23"/>
  <c r="B9087" i="23"/>
  <c r="B9086" i="23"/>
  <c r="B9085" i="23"/>
  <c r="B9084" i="23"/>
  <c r="B9083" i="23"/>
  <c r="B9082" i="23"/>
  <c r="B9081" i="23"/>
  <c r="B9080" i="23"/>
  <c r="B9079" i="23"/>
  <c r="B9078" i="23"/>
  <c r="B9077" i="23"/>
  <c r="B9076" i="23"/>
  <c r="B9075" i="23"/>
  <c r="B9155" i="23"/>
  <c r="B9154" i="23"/>
  <c r="B9153" i="23"/>
  <c r="B9152" i="23"/>
  <c r="B9151" i="23"/>
  <c r="B9150" i="23"/>
  <c r="B9149" i="23"/>
  <c r="B9148" i="23"/>
  <c r="B9147" i="23"/>
  <c r="B9146" i="23"/>
  <c r="B9145" i="23"/>
  <c r="B9144" i="23"/>
  <c r="B9143" i="23"/>
  <c r="B9142" i="23"/>
  <c r="B9141" i="23"/>
  <c r="B9140" i="23"/>
  <c r="B9139" i="23"/>
  <c r="B9138" i="23"/>
  <c r="B9137" i="23"/>
  <c r="B9136" i="23"/>
  <c r="B9135" i="23"/>
  <c r="B9134" i="23"/>
  <c r="B9133" i="23"/>
  <c r="B9132" i="23"/>
  <c r="B9131" i="23"/>
  <c r="B9130" i="23"/>
  <c r="B9129" i="23"/>
  <c r="B8291" i="23"/>
  <c r="B8290" i="23"/>
  <c r="B8289" i="23"/>
  <c r="B8288" i="23"/>
  <c r="B8287" i="23"/>
  <c r="B8286" i="23"/>
  <c r="B8285" i="23"/>
  <c r="B8284" i="23"/>
  <c r="B8283" i="23"/>
  <c r="B8282" i="23"/>
  <c r="B8281" i="23"/>
  <c r="B8280" i="23"/>
  <c r="B8279" i="23"/>
  <c r="B8278" i="23"/>
  <c r="B8277" i="23"/>
  <c r="B8276" i="23"/>
  <c r="B8275" i="23"/>
  <c r="B8274" i="23"/>
  <c r="B8273" i="23"/>
  <c r="B8272" i="23"/>
  <c r="B8271" i="23"/>
  <c r="B8270" i="23"/>
  <c r="B8269" i="23"/>
  <c r="B8268" i="23"/>
  <c r="B8267" i="23"/>
  <c r="B8266" i="23"/>
  <c r="B8265" i="23"/>
  <c r="B8993" i="23"/>
  <c r="B8992" i="23"/>
  <c r="B8991" i="23"/>
  <c r="B8990" i="23"/>
  <c r="B8989" i="23"/>
  <c r="B8988" i="23"/>
  <c r="B8987" i="23"/>
  <c r="B8986" i="23"/>
  <c r="B8985" i="23"/>
  <c r="B8984" i="23"/>
  <c r="B8983" i="23"/>
  <c r="B8982" i="23"/>
  <c r="B8981" i="23"/>
  <c r="B8980" i="23"/>
  <c r="B8979" i="23"/>
  <c r="B8978" i="23"/>
  <c r="B8977" i="23"/>
  <c r="B8976" i="23"/>
  <c r="B8975" i="23"/>
  <c r="B8974" i="23"/>
  <c r="B8973" i="23"/>
  <c r="B8972" i="23"/>
  <c r="B8971" i="23"/>
  <c r="B8970" i="23"/>
  <c r="B8969" i="23"/>
  <c r="B8968" i="23"/>
  <c r="B8967" i="23"/>
  <c r="C8372" i="23"/>
  <c r="C8371" i="23"/>
  <c r="C8370" i="23"/>
  <c r="C8369" i="23"/>
  <c r="C8368" i="23"/>
  <c r="C8367" i="23"/>
  <c r="C8366" i="23"/>
  <c r="C8365" i="23"/>
  <c r="C8364" i="23"/>
  <c r="C8363" i="23"/>
  <c r="C8362" i="23"/>
  <c r="C8361" i="23"/>
  <c r="C8360" i="23"/>
  <c r="C8359" i="23"/>
  <c r="C8358" i="23"/>
  <c r="C8357" i="23"/>
  <c r="C8356" i="23"/>
  <c r="C8355" i="23"/>
  <c r="C8354" i="23"/>
  <c r="C8353" i="23"/>
  <c r="C8352" i="23"/>
  <c r="C8351" i="23"/>
  <c r="C8350" i="23"/>
  <c r="C8349" i="23"/>
  <c r="C8348" i="23"/>
  <c r="C8347" i="23"/>
  <c r="C8346" i="23"/>
  <c r="C8399" i="23"/>
  <c r="C8398" i="23"/>
  <c r="C8397" i="23"/>
  <c r="C8396" i="23"/>
  <c r="C8395" i="23"/>
  <c r="C8394" i="23"/>
  <c r="C8393" i="23"/>
  <c r="C8392" i="23"/>
  <c r="C8391" i="23"/>
  <c r="C8390" i="23"/>
  <c r="C8389" i="23"/>
  <c r="C8388" i="23"/>
  <c r="C8387" i="23"/>
  <c r="C8386" i="23"/>
  <c r="C8385" i="23"/>
  <c r="C8384" i="23"/>
  <c r="C8383" i="23"/>
  <c r="C8382" i="23"/>
  <c r="C8381" i="23"/>
  <c r="C8380" i="23"/>
  <c r="C8379" i="23"/>
  <c r="C8378" i="23"/>
  <c r="C8377" i="23"/>
  <c r="C8376" i="23"/>
  <c r="C8375" i="23"/>
  <c r="C8374" i="23"/>
  <c r="C8373" i="23"/>
  <c r="C8426" i="23"/>
  <c r="C8425" i="23"/>
  <c r="C8424" i="23"/>
  <c r="C8423" i="23"/>
  <c r="C8422" i="23"/>
  <c r="C8421" i="23"/>
  <c r="C8420" i="23"/>
  <c r="C8419" i="23"/>
  <c r="C8418" i="23"/>
  <c r="C8417" i="23"/>
  <c r="C8416" i="23"/>
  <c r="C8415" i="23"/>
  <c r="C8414" i="23"/>
  <c r="C8413" i="23"/>
  <c r="C8412" i="23"/>
  <c r="C8411" i="23"/>
  <c r="C8410" i="23"/>
  <c r="C8409" i="23"/>
  <c r="C8408" i="23"/>
  <c r="C8407" i="23"/>
  <c r="C8406" i="23"/>
  <c r="C8405" i="23"/>
  <c r="C8404" i="23"/>
  <c r="C8403" i="23"/>
  <c r="C8402" i="23"/>
  <c r="C8401" i="23"/>
  <c r="C8400" i="23"/>
  <c r="C8453" i="23"/>
  <c r="C8452" i="23"/>
  <c r="C8451" i="23"/>
  <c r="C8450" i="23"/>
  <c r="C8449" i="23"/>
  <c r="C8448" i="23"/>
  <c r="C8447" i="23"/>
  <c r="C8446" i="23"/>
  <c r="C8445" i="23"/>
  <c r="C8444" i="23"/>
  <c r="C8443" i="23"/>
  <c r="C8442" i="23"/>
  <c r="C8441" i="23"/>
  <c r="C8440" i="23"/>
  <c r="C8439" i="23"/>
  <c r="C8438" i="23"/>
  <c r="C8437" i="23"/>
  <c r="C8436" i="23"/>
  <c r="C8435" i="23"/>
  <c r="C8434" i="23"/>
  <c r="C8433" i="23"/>
  <c r="C8432" i="23"/>
  <c r="C8431" i="23"/>
  <c r="C8430" i="23"/>
  <c r="C8429" i="23"/>
  <c r="C8428" i="23"/>
  <c r="C8427" i="23"/>
  <c r="C8480" i="23"/>
  <c r="C8479" i="23"/>
  <c r="C8478" i="23"/>
  <c r="C8477" i="23"/>
  <c r="C8476" i="23"/>
  <c r="C8475" i="23"/>
  <c r="C8474" i="23"/>
  <c r="C8473" i="23"/>
  <c r="C8472" i="23"/>
  <c r="C8471" i="23"/>
  <c r="C8470" i="23"/>
  <c r="C8469" i="23"/>
  <c r="C8468" i="23"/>
  <c r="C8467" i="23"/>
  <c r="C8466" i="23"/>
  <c r="C8465" i="23"/>
  <c r="C8464" i="23"/>
  <c r="C8463" i="23"/>
  <c r="C8462" i="23"/>
  <c r="C8461" i="23"/>
  <c r="C8460" i="23"/>
  <c r="C8459" i="23"/>
  <c r="C8458" i="23"/>
  <c r="C8457" i="23"/>
  <c r="C8456" i="23"/>
  <c r="C8455" i="23"/>
  <c r="C8454" i="23"/>
  <c r="C8507" i="23"/>
  <c r="C8506" i="23"/>
  <c r="C8505" i="23"/>
  <c r="C8504" i="23"/>
  <c r="C8503" i="23"/>
  <c r="C8502" i="23"/>
  <c r="C8501" i="23"/>
  <c r="C8500" i="23"/>
  <c r="C8499" i="23"/>
  <c r="C8498" i="23"/>
  <c r="C8497" i="23"/>
  <c r="C8496" i="23"/>
  <c r="C8495" i="23"/>
  <c r="C8494" i="23"/>
  <c r="C8493" i="23"/>
  <c r="C8492" i="23"/>
  <c r="C8491" i="23"/>
  <c r="C8490" i="23"/>
  <c r="C8489" i="23"/>
  <c r="C8488" i="23"/>
  <c r="C8487" i="23"/>
  <c r="C8486" i="23"/>
  <c r="C8485" i="23"/>
  <c r="C8484" i="23"/>
  <c r="C8483" i="23"/>
  <c r="C8482" i="23"/>
  <c r="C8481" i="23"/>
  <c r="C8534" i="23"/>
  <c r="C8533" i="23"/>
  <c r="C8532" i="23"/>
  <c r="C8531" i="23"/>
  <c r="C8530" i="23"/>
  <c r="C8529" i="23"/>
  <c r="C8528" i="23"/>
  <c r="C8527" i="23"/>
  <c r="C8526" i="23"/>
  <c r="C8525" i="23"/>
  <c r="C8524" i="23"/>
  <c r="C8523" i="23"/>
  <c r="C8522" i="23"/>
  <c r="C8521" i="23"/>
  <c r="C8520" i="23"/>
  <c r="C8519" i="23"/>
  <c r="C8518" i="23"/>
  <c r="C8517" i="23"/>
  <c r="C8516" i="23"/>
  <c r="C8515" i="23"/>
  <c r="C8514" i="23"/>
  <c r="C8513" i="23"/>
  <c r="C8512" i="23"/>
  <c r="C8511" i="23"/>
  <c r="C8510" i="23"/>
  <c r="C8509" i="23"/>
  <c r="C8508" i="23"/>
  <c r="C8561" i="23"/>
  <c r="C8560" i="23"/>
  <c r="C8559" i="23"/>
  <c r="C8558" i="23"/>
  <c r="C8557" i="23"/>
  <c r="C8556" i="23"/>
  <c r="C8555" i="23"/>
  <c r="C8554" i="23"/>
  <c r="C8553" i="23"/>
  <c r="C8552" i="23"/>
  <c r="C8551" i="23"/>
  <c r="C8550" i="23"/>
  <c r="C8549" i="23"/>
  <c r="C8548" i="23"/>
  <c r="C8547" i="23"/>
  <c r="C8546" i="23"/>
  <c r="C8545" i="23"/>
  <c r="C8544" i="23"/>
  <c r="C8543" i="23"/>
  <c r="C8542" i="23"/>
  <c r="C8541" i="23"/>
  <c r="C8540" i="23"/>
  <c r="C8539" i="23"/>
  <c r="C8538" i="23"/>
  <c r="C8537" i="23"/>
  <c r="C8536" i="23"/>
  <c r="C8535" i="23"/>
  <c r="C8588" i="23"/>
  <c r="C8587" i="23"/>
  <c r="C8586" i="23"/>
  <c r="C8585" i="23"/>
  <c r="C8584" i="23"/>
  <c r="C8583" i="23"/>
  <c r="C8582" i="23"/>
  <c r="C8581" i="23"/>
  <c r="C8580" i="23"/>
  <c r="C8579" i="23"/>
  <c r="C8578" i="23"/>
  <c r="C8577" i="23"/>
  <c r="C8576" i="23"/>
  <c r="C8575" i="23"/>
  <c r="C8574" i="23"/>
  <c r="C8573" i="23"/>
  <c r="C8572" i="23"/>
  <c r="C8571" i="23"/>
  <c r="C8570" i="23"/>
  <c r="C8569" i="23"/>
  <c r="C8568" i="23"/>
  <c r="C8567" i="23"/>
  <c r="C8566" i="23"/>
  <c r="C8565" i="23"/>
  <c r="C8564" i="23"/>
  <c r="C8563" i="23"/>
  <c r="C8562" i="23"/>
  <c r="C8345" i="23"/>
  <c r="C8344" i="23"/>
  <c r="C8343" i="23"/>
  <c r="C8342" i="23"/>
  <c r="C8341" i="23"/>
  <c r="C8340" i="23"/>
  <c r="C8339" i="23"/>
  <c r="C8338" i="23"/>
  <c r="C8337" i="23"/>
  <c r="C8336" i="23"/>
  <c r="C8335" i="23"/>
  <c r="C8334" i="23"/>
  <c r="C8333" i="23"/>
  <c r="C8332" i="23"/>
  <c r="C8331" i="23"/>
  <c r="C8330" i="23"/>
  <c r="C8329" i="23"/>
  <c r="C8328" i="23"/>
  <c r="C8327" i="23"/>
  <c r="C8326" i="23"/>
  <c r="C8325" i="23"/>
  <c r="C8324" i="23"/>
  <c r="C8323" i="23"/>
  <c r="C8322" i="23"/>
  <c r="C8321" i="23"/>
  <c r="C8320" i="23"/>
  <c r="C8319" i="23"/>
  <c r="C8696" i="23"/>
  <c r="C8695" i="23"/>
  <c r="C8694" i="23"/>
  <c r="C8693" i="23"/>
  <c r="C8692" i="23"/>
  <c r="C8691" i="23"/>
  <c r="C8690" i="23"/>
  <c r="C8689" i="23"/>
  <c r="C8688" i="23"/>
  <c r="C8687" i="23"/>
  <c r="C8686" i="23"/>
  <c r="C8685" i="23"/>
  <c r="C8684" i="23"/>
  <c r="C8683" i="23"/>
  <c r="C8682" i="23"/>
  <c r="C8681" i="23"/>
  <c r="C8680" i="23"/>
  <c r="C8679" i="23"/>
  <c r="C8678" i="23"/>
  <c r="C8677" i="23"/>
  <c r="C8676" i="23"/>
  <c r="C8675" i="23"/>
  <c r="C8674" i="23"/>
  <c r="C8673" i="23"/>
  <c r="C8672" i="23"/>
  <c r="C8671" i="23"/>
  <c r="C8670" i="23"/>
  <c r="C9047" i="23"/>
  <c r="C9046" i="23"/>
  <c r="C9045" i="23"/>
  <c r="C9044" i="23"/>
  <c r="C9043" i="23"/>
  <c r="C9042" i="23"/>
  <c r="C9041" i="23"/>
  <c r="C9040" i="23"/>
  <c r="C9039" i="23"/>
  <c r="C9038" i="23"/>
  <c r="C9037" i="23"/>
  <c r="C9036" i="23"/>
  <c r="C9035" i="23"/>
  <c r="C9034" i="23"/>
  <c r="C9033" i="23"/>
  <c r="C9032" i="23"/>
  <c r="C9031" i="23"/>
  <c r="C9030" i="23"/>
  <c r="C9029" i="23"/>
  <c r="C9028" i="23"/>
  <c r="C9027" i="23"/>
  <c r="C9026" i="23"/>
  <c r="C9025" i="23"/>
  <c r="C9024" i="23"/>
  <c r="C9023" i="23"/>
  <c r="C9022" i="23"/>
  <c r="C9021" i="23"/>
  <c r="C8723" i="23"/>
  <c r="C8722" i="23"/>
  <c r="C8721" i="23"/>
  <c r="C8720" i="23"/>
  <c r="C8719" i="23"/>
  <c r="C8718" i="23"/>
  <c r="C8717" i="23"/>
  <c r="C8716" i="23"/>
  <c r="C8715" i="23"/>
  <c r="C8714" i="23"/>
  <c r="C8713" i="23"/>
  <c r="C8712" i="23"/>
  <c r="C8711" i="23"/>
  <c r="C8710" i="23"/>
  <c r="C8709" i="23"/>
  <c r="C8708" i="23"/>
  <c r="C8707" i="23"/>
  <c r="C8706" i="23"/>
  <c r="C8705" i="23"/>
  <c r="C8704" i="23"/>
  <c r="C8703" i="23"/>
  <c r="C8702" i="23"/>
  <c r="C8701" i="23"/>
  <c r="C8700" i="23"/>
  <c r="C8699" i="23"/>
  <c r="C8698" i="23"/>
  <c r="C8697" i="23"/>
  <c r="C9182" i="23"/>
  <c r="C9181" i="23"/>
  <c r="C9180" i="23"/>
  <c r="C9179" i="23"/>
  <c r="C9178" i="23"/>
  <c r="C9177" i="23"/>
  <c r="C9176" i="23"/>
  <c r="C9175" i="23"/>
  <c r="C9174" i="23"/>
  <c r="C9173" i="23"/>
  <c r="C9172" i="23"/>
  <c r="C9171" i="23"/>
  <c r="C9170" i="23"/>
  <c r="C9169" i="23"/>
  <c r="C9168" i="23"/>
  <c r="C9167" i="23"/>
  <c r="C9166" i="23"/>
  <c r="C9165" i="23"/>
  <c r="C9164" i="23"/>
  <c r="C9163" i="23"/>
  <c r="C9162" i="23"/>
  <c r="C9161" i="23"/>
  <c r="C9160" i="23"/>
  <c r="C9159" i="23"/>
  <c r="C9158" i="23"/>
  <c r="C9157" i="23"/>
  <c r="C9156" i="23"/>
  <c r="C8318" i="23"/>
  <c r="C8317" i="23"/>
  <c r="C8316" i="23"/>
  <c r="C8315" i="23"/>
  <c r="C8314" i="23"/>
  <c r="C8313" i="23"/>
  <c r="C8312" i="23"/>
  <c r="C8311" i="23"/>
  <c r="C8310" i="23"/>
  <c r="C8309" i="23"/>
  <c r="C8308" i="23"/>
  <c r="C8307" i="23"/>
  <c r="C8306" i="23"/>
  <c r="C8305" i="23"/>
  <c r="C8304" i="23"/>
  <c r="C8303" i="23"/>
  <c r="C8302" i="23"/>
  <c r="C8301" i="23"/>
  <c r="C8300" i="23"/>
  <c r="C8299" i="23"/>
  <c r="C8298" i="23"/>
  <c r="C8297" i="23"/>
  <c r="C8296" i="23"/>
  <c r="C8295" i="23"/>
  <c r="C8294" i="23"/>
  <c r="C8293" i="23"/>
  <c r="C8292" i="23"/>
  <c r="C8669" i="23"/>
  <c r="C8668" i="23"/>
  <c r="C8667" i="23"/>
  <c r="C8666" i="23"/>
  <c r="C8665" i="23"/>
  <c r="C8664" i="23"/>
  <c r="C8663" i="23"/>
  <c r="C8662" i="23"/>
  <c r="C8661" i="23"/>
  <c r="C8660" i="23"/>
  <c r="C8659" i="23"/>
  <c r="C8658" i="23"/>
  <c r="C8657" i="23"/>
  <c r="C8656" i="23"/>
  <c r="C8655" i="23"/>
  <c r="C8654" i="23"/>
  <c r="C8653" i="23"/>
  <c r="C8652" i="23"/>
  <c r="C8651" i="23"/>
  <c r="C8650" i="23"/>
  <c r="C8649" i="23"/>
  <c r="C8648" i="23"/>
  <c r="C8647" i="23"/>
  <c r="C8646" i="23"/>
  <c r="C8645" i="23"/>
  <c r="C8644" i="23"/>
  <c r="C8643" i="23"/>
  <c r="C8966" i="23"/>
  <c r="C8965" i="23"/>
  <c r="C8964" i="23"/>
  <c r="C8963" i="23"/>
  <c r="C8962" i="23"/>
  <c r="C8961" i="23"/>
  <c r="C8960" i="23"/>
  <c r="C8959" i="23"/>
  <c r="C8958" i="23"/>
  <c r="C8957" i="23"/>
  <c r="C8956" i="23"/>
  <c r="C8955" i="23"/>
  <c r="C8954" i="23"/>
  <c r="C8953" i="23"/>
  <c r="C8952" i="23"/>
  <c r="C8951" i="23"/>
  <c r="C8950" i="23"/>
  <c r="C8949" i="23"/>
  <c r="C8948" i="23"/>
  <c r="C8947" i="23"/>
  <c r="C8946" i="23"/>
  <c r="C8945" i="23"/>
  <c r="C8944" i="23"/>
  <c r="C8943" i="23"/>
  <c r="C8942" i="23"/>
  <c r="C8941" i="23"/>
  <c r="C8940" i="23"/>
  <c r="C8777" i="23"/>
  <c r="C8776" i="23"/>
  <c r="C8775" i="23"/>
  <c r="C8774" i="23"/>
  <c r="C8773" i="23"/>
  <c r="C8772" i="23"/>
  <c r="C8771" i="23"/>
  <c r="C8770" i="23"/>
  <c r="C8769" i="23"/>
  <c r="C8768" i="23"/>
  <c r="C8767" i="23"/>
  <c r="C8766" i="23"/>
  <c r="C8765" i="23"/>
  <c r="C8764" i="23"/>
  <c r="C8763" i="23"/>
  <c r="C8762" i="23"/>
  <c r="C8761" i="23"/>
  <c r="C8760" i="23"/>
  <c r="C8759" i="23"/>
  <c r="C8758" i="23"/>
  <c r="C8757" i="23"/>
  <c r="C8756" i="23"/>
  <c r="C8755" i="23"/>
  <c r="C8754" i="23"/>
  <c r="C8753" i="23"/>
  <c r="C8752" i="23"/>
  <c r="C8751" i="23"/>
  <c r="C8858" i="23"/>
  <c r="C8857" i="23"/>
  <c r="C8856" i="23"/>
  <c r="C8855" i="23"/>
  <c r="C8854" i="23"/>
  <c r="C8853" i="23"/>
  <c r="C8852" i="23"/>
  <c r="C8851" i="23"/>
  <c r="C8850" i="23"/>
  <c r="C8849" i="23"/>
  <c r="C8848" i="23"/>
  <c r="C8847" i="23"/>
  <c r="C8846" i="23"/>
  <c r="C8845" i="23"/>
  <c r="C8844" i="23"/>
  <c r="C8843" i="23"/>
  <c r="C8842" i="23"/>
  <c r="C8841" i="23"/>
  <c r="C8840" i="23"/>
  <c r="C8839" i="23"/>
  <c r="C8838" i="23"/>
  <c r="C8837" i="23"/>
  <c r="C8836" i="23"/>
  <c r="C8835" i="23"/>
  <c r="C8834" i="23"/>
  <c r="C8833" i="23"/>
  <c r="C8832" i="23"/>
  <c r="C9128" i="23"/>
  <c r="C9127" i="23"/>
  <c r="C9126" i="23"/>
  <c r="C9125" i="23"/>
  <c r="C9124" i="23"/>
  <c r="C9123" i="23"/>
  <c r="C9122" i="23"/>
  <c r="C9121" i="23"/>
  <c r="C9120" i="23"/>
  <c r="C9119" i="23"/>
  <c r="C9118" i="23"/>
  <c r="C9117" i="23"/>
  <c r="C9116" i="23"/>
  <c r="C9115" i="23"/>
  <c r="C9114" i="23"/>
  <c r="C9113" i="23"/>
  <c r="C9112" i="23"/>
  <c r="C9111" i="23"/>
  <c r="C9110" i="23"/>
  <c r="C9109" i="23"/>
  <c r="C9108" i="23"/>
  <c r="C9107" i="23"/>
  <c r="C9106" i="23"/>
  <c r="C9105" i="23"/>
  <c r="C9104" i="23"/>
  <c r="C9103" i="23"/>
  <c r="C9102" i="23"/>
  <c r="C9074" i="23"/>
  <c r="C9073" i="23"/>
  <c r="C9072" i="23"/>
  <c r="C9071" i="23"/>
  <c r="C9070" i="23"/>
  <c r="C9069" i="23"/>
  <c r="C9068" i="23"/>
  <c r="C9067" i="23"/>
  <c r="C9066" i="23"/>
  <c r="C9065" i="23"/>
  <c r="C9064" i="23"/>
  <c r="C9063" i="23"/>
  <c r="C9062" i="23"/>
  <c r="C9061" i="23"/>
  <c r="C9060" i="23"/>
  <c r="C9059" i="23"/>
  <c r="C9058" i="23"/>
  <c r="C9057" i="23"/>
  <c r="C9056" i="23"/>
  <c r="C9055" i="23"/>
  <c r="C9054" i="23"/>
  <c r="C9053" i="23"/>
  <c r="C9052" i="23"/>
  <c r="C9051" i="23"/>
  <c r="C9050" i="23"/>
  <c r="C9049" i="23"/>
  <c r="C9048" i="23"/>
  <c r="C9020" i="23"/>
  <c r="C9019" i="23"/>
  <c r="C9018" i="23"/>
  <c r="C9017" i="23"/>
  <c r="C9016" i="23"/>
  <c r="C9015" i="23"/>
  <c r="C9014" i="23"/>
  <c r="C9013" i="23"/>
  <c r="C9012" i="23"/>
  <c r="C9011" i="23"/>
  <c r="C9010" i="23"/>
  <c r="C9009" i="23"/>
  <c r="C9008" i="23"/>
  <c r="C9007" i="23"/>
  <c r="C9006" i="23"/>
  <c r="C9005" i="23"/>
  <c r="C9004" i="23"/>
  <c r="C9003" i="23"/>
  <c r="C9002" i="23"/>
  <c r="C9001" i="23"/>
  <c r="C9000" i="23"/>
  <c r="C8999" i="23"/>
  <c r="C8998" i="23"/>
  <c r="C8997" i="23"/>
  <c r="C8996" i="23"/>
  <c r="C8995" i="23"/>
  <c r="C8994" i="23"/>
  <c r="C8831" i="23"/>
  <c r="C8830" i="23"/>
  <c r="C8829" i="23"/>
  <c r="C8828" i="23"/>
  <c r="C8827" i="23"/>
  <c r="C8826" i="23"/>
  <c r="C8825" i="23"/>
  <c r="C8824" i="23"/>
  <c r="C8823" i="23"/>
  <c r="C8822" i="23"/>
  <c r="C8821" i="23"/>
  <c r="C8820" i="23"/>
  <c r="C8819" i="23"/>
  <c r="C8818" i="23"/>
  <c r="C8817" i="23"/>
  <c r="C8816" i="23"/>
  <c r="C8815" i="23"/>
  <c r="C8814" i="23"/>
  <c r="C8813" i="23"/>
  <c r="C8812" i="23"/>
  <c r="C8811" i="23"/>
  <c r="C8810" i="23"/>
  <c r="C8809" i="23"/>
  <c r="C8808" i="23"/>
  <c r="C8807" i="23"/>
  <c r="C8806" i="23"/>
  <c r="C8805" i="23"/>
  <c r="C8264" i="23"/>
  <c r="C8263" i="23"/>
  <c r="C8262" i="23"/>
  <c r="C8261" i="23"/>
  <c r="C8260" i="23"/>
  <c r="C8259" i="23"/>
  <c r="C8258" i="23"/>
  <c r="C8257" i="23"/>
  <c r="C8256" i="23"/>
  <c r="C8255" i="23"/>
  <c r="C8254" i="23"/>
  <c r="C8253" i="23"/>
  <c r="C8252" i="23"/>
  <c r="C8251" i="23"/>
  <c r="C8250" i="23"/>
  <c r="C8249" i="23"/>
  <c r="C8248" i="23"/>
  <c r="C8247" i="23"/>
  <c r="C8246" i="23"/>
  <c r="C8245" i="23"/>
  <c r="C8244" i="23"/>
  <c r="C8243" i="23"/>
  <c r="C8242" i="23"/>
  <c r="C8241" i="23"/>
  <c r="C8240" i="23"/>
  <c r="C8239" i="23"/>
  <c r="C8238" i="23"/>
  <c r="C8804" i="23"/>
  <c r="C8803" i="23"/>
  <c r="C8802" i="23"/>
  <c r="C8801" i="23"/>
  <c r="C8800" i="23"/>
  <c r="C8799" i="23"/>
  <c r="C8798" i="23"/>
  <c r="C8797" i="23"/>
  <c r="C8796" i="23"/>
  <c r="C8795" i="23"/>
  <c r="C8794" i="23"/>
  <c r="C8793" i="23"/>
  <c r="C8792" i="23"/>
  <c r="C8791" i="23"/>
  <c r="C8790" i="23"/>
  <c r="C8789" i="23"/>
  <c r="C8788" i="23"/>
  <c r="C8787" i="23"/>
  <c r="C8786" i="23"/>
  <c r="C8785" i="23"/>
  <c r="C8784" i="23"/>
  <c r="C8783" i="23"/>
  <c r="C8782" i="23"/>
  <c r="C8781" i="23"/>
  <c r="C8780" i="23"/>
  <c r="C8779" i="23"/>
  <c r="C8778" i="23"/>
  <c r="C8615" i="23"/>
  <c r="C8614" i="23"/>
  <c r="C8613" i="23"/>
  <c r="C8612" i="23"/>
  <c r="C8611" i="23"/>
  <c r="C8610" i="23"/>
  <c r="C8609" i="23"/>
  <c r="C8608" i="23"/>
  <c r="C8607" i="23"/>
  <c r="C8606" i="23"/>
  <c r="C8605" i="23"/>
  <c r="C8604" i="23"/>
  <c r="C8603" i="23"/>
  <c r="C8602" i="23"/>
  <c r="C8601" i="23"/>
  <c r="C8600" i="23"/>
  <c r="C8599" i="23"/>
  <c r="C8598" i="23"/>
  <c r="C8597" i="23"/>
  <c r="C8596" i="23"/>
  <c r="C8595" i="23"/>
  <c r="C8594" i="23"/>
  <c r="C8593" i="23"/>
  <c r="C8592" i="23"/>
  <c r="C8591" i="23"/>
  <c r="C8590" i="23"/>
  <c r="C8589" i="23"/>
  <c r="C9209" i="23"/>
  <c r="C9208" i="23"/>
  <c r="C9207" i="23"/>
  <c r="C9206" i="23"/>
  <c r="C9205" i="23"/>
  <c r="C9204" i="23"/>
  <c r="C9203" i="23"/>
  <c r="C9202" i="23"/>
  <c r="C9201" i="23"/>
  <c r="C9200" i="23"/>
  <c r="C9199" i="23"/>
  <c r="C9198" i="23"/>
  <c r="C9197" i="23"/>
  <c r="C9196" i="23"/>
  <c r="C9195" i="23"/>
  <c r="C9194" i="23"/>
  <c r="C9193" i="23"/>
  <c r="C9192" i="23"/>
  <c r="C9191" i="23"/>
  <c r="C9190" i="23"/>
  <c r="C9189" i="23"/>
  <c r="C9188" i="23"/>
  <c r="C9187" i="23"/>
  <c r="C9186" i="23"/>
  <c r="C9185" i="23"/>
  <c r="C9184" i="23"/>
  <c r="C9183" i="23"/>
  <c r="C8939" i="23"/>
  <c r="C8938" i="23"/>
  <c r="C8937" i="23"/>
  <c r="C8936" i="23"/>
  <c r="C8935" i="23"/>
  <c r="C8934" i="23"/>
  <c r="C8933" i="23"/>
  <c r="C8932" i="23"/>
  <c r="C8931" i="23"/>
  <c r="C8930" i="23"/>
  <c r="C8929" i="23"/>
  <c r="C8928" i="23"/>
  <c r="C8927" i="23"/>
  <c r="C8926" i="23"/>
  <c r="C8925" i="23"/>
  <c r="C8924" i="23"/>
  <c r="C8923" i="23"/>
  <c r="C8922" i="23"/>
  <c r="C8921" i="23"/>
  <c r="C8920" i="23"/>
  <c r="C8919" i="23"/>
  <c r="C8918" i="23"/>
  <c r="C8917" i="23"/>
  <c r="C8916" i="23"/>
  <c r="C8915" i="23"/>
  <c r="C8914" i="23"/>
  <c r="C8913" i="23"/>
  <c r="C9236" i="23"/>
  <c r="C9235" i="23"/>
  <c r="C9234" i="23"/>
  <c r="C9233" i="23"/>
  <c r="C9232" i="23"/>
  <c r="C9231" i="23"/>
  <c r="C9230" i="23"/>
  <c r="C9229" i="23"/>
  <c r="C9228" i="23"/>
  <c r="C9227" i="23"/>
  <c r="C9226" i="23"/>
  <c r="C9225" i="23"/>
  <c r="C9224" i="23"/>
  <c r="C9223" i="23"/>
  <c r="C9222" i="23"/>
  <c r="C9221" i="23"/>
  <c r="C9220" i="23"/>
  <c r="C9219" i="23"/>
  <c r="C9218" i="23"/>
  <c r="C9217" i="23"/>
  <c r="C9216" i="23"/>
  <c r="C9215" i="23"/>
  <c r="C9214" i="23"/>
  <c r="C9213" i="23"/>
  <c r="C9212" i="23"/>
  <c r="C9211" i="23"/>
  <c r="C9210" i="23"/>
  <c r="C8885" i="23"/>
  <c r="C8884" i="23"/>
  <c r="C8883" i="23"/>
  <c r="C8882" i="23"/>
  <c r="C8881" i="23"/>
  <c r="C8880" i="23"/>
  <c r="C8879" i="23"/>
  <c r="C8878" i="23"/>
  <c r="C8877" i="23"/>
  <c r="C8876" i="23"/>
  <c r="C8875" i="23"/>
  <c r="C8874" i="23"/>
  <c r="C8873" i="23"/>
  <c r="C8872" i="23"/>
  <c r="C8871" i="23"/>
  <c r="C8870" i="23"/>
  <c r="C8869" i="23"/>
  <c r="C8868" i="23"/>
  <c r="C8867" i="23"/>
  <c r="C8866" i="23"/>
  <c r="C8865" i="23"/>
  <c r="C8864" i="23"/>
  <c r="C8863" i="23"/>
  <c r="C8862" i="23"/>
  <c r="C8861" i="23"/>
  <c r="C8860" i="23"/>
  <c r="C8859" i="23"/>
  <c r="C8912" i="23"/>
  <c r="C8911" i="23"/>
  <c r="C8910" i="23"/>
  <c r="C8909" i="23"/>
  <c r="C8908" i="23"/>
  <c r="C8907" i="23"/>
  <c r="C8906" i="23"/>
  <c r="C8905" i="23"/>
  <c r="C8904" i="23"/>
  <c r="C8903" i="23"/>
  <c r="C8902" i="23"/>
  <c r="C8901" i="23"/>
  <c r="C8900" i="23"/>
  <c r="C8899" i="23"/>
  <c r="C8898" i="23"/>
  <c r="C8897" i="23"/>
  <c r="C8896" i="23"/>
  <c r="C8895" i="23"/>
  <c r="C8894" i="23"/>
  <c r="C8893" i="23"/>
  <c r="C8892" i="23"/>
  <c r="C8891" i="23"/>
  <c r="C8890" i="23"/>
  <c r="C8889" i="23"/>
  <c r="C8888" i="23"/>
  <c r="C8887" i="23"/>
  <c r="C8886" i="23"/>
  <c r="C8642" i="23"/>
  <c r="C8641" i="23"/>
  <c r="C8640" i="23"/>
  <c r="C8639" i="23"/>
  <c r="C8638" i="23"/>
  <c r="C8637" i="23"/>
  <c r="C8636" i="23"/>
  <c r="C8635" i="23"/>
  <c r="C8634" i="23"/>
  <c r="C8633" i="23"/>
  <c r="C8632" i="23"/>
  <c r="C8631" i="23"/>
  <c r="C8630" i="23"/>
  <c r="C8629" i="23"/>
  <c r="C8628" i="23"/>
  <c r="C8627" i="23"/>
  <c r="C8626" i="23"/>
  <c r="C8625" i="23"/>
  <c r="C8624" i="23"/>
  <c r="C8623" i="23"/>
  <c r="C8622" i="23"/>
  <c r="C8621" i="23"/>
  <c r="C8620" i="23"/>
  <c r="C8619" i="23"/>
  <c r="C8618" i="23"/>
  <c r="C8617" i="23"/>
  <c r="C8616" i="23"/>
  <c r="C8237" i="23"/>
  <c r="C8236" i="23"/>
  <c r="C8235" i="23"/>
  <c r="C8234" i="23"/>
  <c r="C8233" i="23"/>
  <c r="C8232" i="23"/>
  <c r="C8231" i="23"/>
  <c r="C8230" i="23"/>
  <c r="C8229" i="23"/>
  <c r="C8228" i="23"/>
  <c r="C8227" i="23"/>
  <c r="C8226" i="23"/>
  <c r="C8225" i="23"/>
  <c r="C8224" i="23"/>
  <c r="C8223" i="23"/>
  <c r="C8222" i="23"/>
  <c r="C8221" i="23"/>
  <c r="C8220" i="23"/>
  <c r="C8219" i="23"/>
  <c r="C8218" i="23"/>
  <c r="C8217" i="23"/>
  <c r="C8216" i="23"/>
  <c r="C8215" i="23"/>
  <c r="C8214" i="23"/>
  <c r="C8213" i="23"/>
  <c r="C8212" i="23"/>
  <c r="C8211" i="23"/>
  <c r="C8750" i="23"/>
  <c r="C8749" i="23"/>
  <c r="C8748" i="23"/>
  <c r="C8747" i="23"/>
  <c r="C8746" i="23"/>
  <c r="C8745" i="23"/>
  <c r="C8744" i="23"/>
  <c r="C8743" i="23"/>
  <c r="C8742" i="23"/>
  <c r="C8741" i="23"/>
  <c r="C8740" i="23"/>
  <c r="C8739" i="23"/>
  <c r="C8738" i="23"/>
  <c r="C8737" i="23"/>
  <c r="C8736" i="23"/>
  <c r="C8735" i="23"/>
  <c r="C8734" i="23"/>
  <c r="C8733" i="23"/>
  <c r="C8732" i="23"/>
  <c r="C8731" i="23"/>
  <c r="C8730" i="23"/>
  <c r="C8729" i="23"/>
  <c r="C8728" i="23"/>
  <c r="C8727" i="23"/>
  <c r="C8726" i="23"/>
  <c r="C8725" i="23"/>
  <c r="C8724" i="23"/>
  <c r="C9101" i="23"/>
  <c r="C9100" i="23"/>
  <c r="C9099" i="23"/>
  <c r="C9098" i="23"/>
  <c r="C9097" i="23"/>
  <c r="C9096" i="23"/>
  <c r="C9095" i="23"/>
  <c r="C9094" i="23"/>
  <c r="C9093" i="23"/>
  <c r="C9092" i="23"/>
  <c r="C9091" i="23"/>
  <c r="C9090" i="23"/>
  <c r="C9089" i="23"/>
  <c r="C9088" i="23"/>
  <c r="C9087" i="23"/>
  <c r="C9086" i="23"/>
  <c r="C9085" i="23"/>
  <c r="C9084" i="23"/>
  <c r="C9083" i="23"/>
  <c r="C9082" i="23"/>
  <c r="C9081" i="23"/>
  <c r="C9080" i="23"/>
  <c r="C9079" i="23"/>
  <c r="C9078" i="23"/>
  <c r="C9077" i="23"/>
  <c r="C9076" i="23"/>
  <c r="C9075" i="23"/>
  <c r="C9155" i="23"/>
  <c r="C9154" i="23"/>
  <c r="C9153" i="23"/>
  <c r="C9152" i="23"/>
  <c r="C9151" i="23"/>
  <c r="C9150" i="23"/>
  <c r="C9149" i="23"/>
  <c r="C9148" i="23"/>
  <c r="C9147" i="23"/>
  <c r="C9146" i="23"/>
  <c r="C9145" i="23"/>
  <c r="C9144" i="23"/>
  <c r="C9143" i="23"/>
  <c r="C9142" i="23"/>
  <c r="C9141" i="23"/>
  <c r="C9140" i="23"/>
  <c r="C9139" i="23"/>
  <c r="C9138" i="23"/>
  <c r="C9137" i="23"/>
  <c r="C9136" i="23"/>
  <c r="C9135" i="23"/>
  <c r="C9134" i="23"/>
  <c r="C9133" i="23"/>
  <c r="C9132" i="23"/>
  <c r="C9131" i="23"/>
  <c r="C9130" i="23"/>
  <c r="C9129" i="23"/>
  <c r="C8291" i="23"/>
  <c r="C8290" i="23"/>
  <c r="C8289" i="23"/>
  <c r="C8288" i="23"/>
  <c r="C8287" i="23"/>
  <c r="C8286" i="23"/>
  <c r="C8285" i="23"/>
  <c r="C8284" i="23"/>
  <c r="C8283" i="23"/>
  <c r="C8282" i="23"/>
  <c r="C8281" i="23"/>
  <c r="C8280" i="23"/>
  <c r="C8279" i="23"/>
  <c r="C8278" i="23"/>
  <c r="C8277" i="23"/>
  <c r="C8276" i="23"/>
  <c r="C8275" i="23"/>
  <c r="C8274" i="23"/>
  <c r="C8273" i="23"/>
  <c r="C8272" i="23"/>
  <c r="C8271" i="23"/>
  <c r="C8270" i="23"/>
  <c r="C8269" i="23"/>
  <c r="C8268" i="23"/>
  <c r="C8267" i="23"/>
  <c r="C8266" i="23"/>
  <c r="C8265" i="23"/>
  <c r="C8993" i="23"/>
  <c r="C8992" i="23"/>
  <c r="C8991" i="23"/>
  <c r="C8990" i="23"/>
  <c r="C8989" i="23"/>
  <c r="C8988" i="23"/>
  <c r="C8987" i="23"/>
  <c r="C8986" i="23"/>
  <c r="C8985" i="23"/>
  <c r="C8984" i="23"/>
  <c r="C8983" i="23"/>
  <c r="C8982" i="23"/>
  <c r="C8981" i="23"/>
  <c r="C8980" i="23"/>
  <c r="C8979" i="23"/>
  <c r="C8978" i="23"/>
  <c r="C8977" i="23"/>
  <c r="C8976" i="23"/>
  <c r="C8975" i="23"/>
  <c r="C8974" i="23"/>
  <c r="C8973" i="23"/>
  <c r="C8972" i="23"/>
  <c r="C8971" i="23"/>
  <c r="C8970" i="23"/>
  <c r="C8969" i="23"/>
  <c r="C8968" i="23"/>
  <c r="C8967" i="23"/>
  <c r="B7346" i="23"/>
  <c r="B7345" i="23"/>
  <c r="B7344" i="23"/>
  <c r="B7343" i="23"/>
  <c r="B7342" i="23"/>
  <c r="B7341" i="23"/>
  <c r="B7340" i="23"/>
  <c r="B7339" i="23"/>
  <c r="B7338" i="23"/>
  <c r="B7337" i="23"/>
  <c r="B7336" i="23"/>
  <c r="B7335" i="23"/>
  <c r="B7334" i="23"/>
  <c r="B7333" i="23"/>
  <c r="B7332" i="23"/>
  <c r="B7331" i="23"/>
  <c r="B7330" i="23"/>
  <c r="B7329" i="23"/>
  <c r="B7328" i="23"/>
  <c r="B7327" i="23"/>
  <c r="B7326" i="23"/>
  <c r="B7325" i="23"/>
  <c r="B7324" i="23"/>
  <c r="B7323" i="23"/>
  <c r="B7322" i="23"/>
  <c r="B7321" i="23"/>
  <c r="B7320" i="23"/>
  <c r="B7373" i="23"/>
  <c r="B7372" i="23"/>
  <c r="B7371" i="23"/>
  <c r="B7370" i="23"/>
  <c r="B7369" i="23"/>
  <c r="B7368" i="23"/>
  <c r="B7367" i="23"/>
  <c r="B7366" i="23"/>
  <c r="B7365" i="23"/>
  <c r="B7364" i="23"/>
  <c r="B7363" i="23"/>
  <c r="B7362" i="23"/>
  <c r="B7361" i="23"/>
  <c r="B7360" i="23"/>
  <c r="B7359" i="23"/>
  <c r="B7358" i="23"/>
  <c r="B7357" i="23"/>
  <c r="B7356" i="23"/>
  <c r="B7355" i="23"/>
  <c r="B7354" i="23"/>
  <c r="B7353" i="23"/>
  <c r="B7352" i="23"/>
  <c r="B7351" i="23"/>
  <c r="B7350" i="23"/>
  <c r="B7349" i="23"/>
  <c r="B7348" i="23"/>
  <c r="B7347" i="23"/>
  <c r="B7400" i="23"/>
  <c r="B7399" i="23"/>
  <c r="B7398" i="23"/>
  <c r="B7397" i="23"/>
  <c r="B7396" i="23"/>
  <c r="B7395" i="23"/>
  <c r="B7394" i="23"/>
  <c r="B7393" i="23"/>
  <c r="B7392" i="23"/>
  <c r="B7391" i="23"/>
  <c r="B7390" i="23"/>
  <c r="B7389" i="23"/>
  <c r="B7388" i="23"/>
  <c r="B7387" i="23"/>
  <c r="B7386" i="23"/>
  <c r="B7385" i="23"/>
  <c r="B7384" i="23"/>
  <c r="B7383" i="23"/>
  <c r="B7382" i="23"/>
  <c r="B7381" i="23"/>
  <c r="B7380" i="23"/>
  <c r="B7379" i="23"/>
  <c r="B7378" i="23"/>
  <c r="B7377" i="23"/>
  <c r="B7376" i="23"/>
  <c r="B7375" i="23"/>
  <c r="B7374" i="23"/>
  <c r="B7427" i="23"/>
  <c r="B7426" i="23"/>
  <c r="B7425" i="23"/>
  <c r="B7424" i="23"/>
  <c r="B7423" i="23"/>
  <c r="B7422" i="23"/>
  <c r="B7421" i="23"/>
  <c r="B7420" i="23"/>
  <c r="B7419" i="23"/>
  <c r="B7418" i="23"/>
  <c r="B7417" i="23"/>
  <c r="B7416" i="23"/>
  <c r="B7415" i="23"/>
  <c r="B7414" i="23"/>
  <c r="B7413" i="23"/>
  <c r="B7412" i="23"/>
  <c r="B7411" i="23"/>
  <c r="B7410" i="23"/>
  <c r="B7409" i="23"/>
  <c r="B7408" i="23"/>
  <c r="B7407" i="23"/>
  <c r="B7406" i="23"/>
  <c r="B7405" i="23"/>
  <c r="B7404" i="23"/>
  <c r="B7403" i="23"/>
  <c r="B7402" i="23"/>
  <c r="B7401" i="23"/>
  <c r="B7454" i="23"/>
  <c r="B7453" i="23"/>
  <c r="B7452" i="23"/>
  <c r="B7451" i="23"/>
  <c r="B7450" i="23"/>
  <c r="B7449" i="23"/>
  <c r="B7448" i="23"/>
  <c r="B7447" i="23"/>
  <c r="B7446" i="23"/>
  <c r="B7445" i="23"/>
  <c r="B7444" i="23"/>
  <c r="B7443" i="23"/>
  <c r="B7442" i="23"/>
  <c r="B7441" i="23"/>
  <c r="B7440" i="23"/>
  <c r="B7439" i="23"/>
  <c r="B7438" i="23"/>
  <c r="B7437" i="23"/>
  <c r="B7436" i="23"/>
  <c r="B7435" i="23"/>
  <c r="B7434" i="23"/>
  <c r="B7433" i="23"/>
  <c r="B7432" i="23"/>
  <c r="B7431" i="23"/>
  <c r="B7430" i="23"/>
  <c r="B7429" i="23"/>
  <c r="B7428" i="23"/>
  <c r="B7481" i="23"/>
  <c r="B7480" i="23"/>
  <c r="B7479" i="23"/>
  <c r="B7478" i="23"/>
  <c r="B7477" i="23"/>
  <c r="B7476" i="23"/>
  <c r="B7475" i="23"/>
  <c r="B7474" i="23"/>
  <c r="B7473" i="23"/>
  <c r="B7472" i="23"/>
  <c r="B7471" i="23"/>
  <c r="B7470" i="23"/>
  <c r="B7469" i="23"/>
  <c r="B7468" i="23"/>
  <c r="B7467" i="23"/>
  <c r="B7466" i="23"/>
  <c r="B7465" i="23"/>
  <c r="B7464" i="23"/>
  <c r="B7463" i="23"/>
  <c r="B7462" i="23"/>
  <c r="B7461" i="23"/>
  <c r="B7460" i="23"/>
  <c r="B7459" i="23"/>
  <c r="B7458" i="23"/>
  <c r="B7457" i="23"/>
  <c r="B7456" i="23"/>
  <c r="B7455" i="23"/>
  <c r="B7508" i="23"/>
  <c r="B7507" i="23"/>
  <c r="B7506" i="23"/>
  <c r="B7505" i="23"/>
  <c r="B7504" i="23"/>
  <c r="B7503" i="23"/>
  <c r="B7502" i="23"/>
  <c r="B7501" i="23"/>
  <c r="B7500" i="23"/>
  <c r="B7499" i="23"/>
  <c r="B7498" i="23"/>
  <c r="B7497" i="23"/>
  <c r="B7496" i="23"/>
  <c r="B7495" i="23"/>
  <c r="B7494" i="23"/>
  <c r="B7493" i="23"/>
  <c r="B7492" i="23"/>
  <c r="B7491" i="23"/>
  <c r="B7490" i="23"/>
  <c r="B7489" i="23"/>
  <c r="B7488" i="23"/>
  <c r="B7487" i="23"/>
  <c r="B7486" i="23"/>
  <c r="B7485" i="23"/>
  <c r="B7484" i="23"/>
  <c r="B7483" i="23"/>
  <c r="B7482" i="23"/>
  <c r="B7535" i="23"/>
  <c r="B7534" i="23"/>
  <c r="B7533" i="23"/>
  <c r="B7532" i="23"/>
  <c r="B7531" i="23"/>
  <c r="B7530" i="23"/>
  <c r="B7529" i="23"/>
  <c r="B7528" i="23"/>
  <c r="B7527" i="23"/>
  <c r="B7526" i="23"/>
  <c r="B7525" i="23"/>
  <c r="B7524" i="23"/>
  <c r="B7523" i="23"/>
  <c r="B7522" i="23"/>
  <c r="B7521" i="23"/>
  <c r="B7520" i="23"/>
  <c r="B7519" i="23"/>
  <c r="B7518" i="23"/>
  <c r="B7517" i="23"/>
  <c r="B7516" i="23"/>
  <c r="B7515" i="23"/>
  <c r="B7514" i="23"/>
  <c r="B7513" i="23"/>
  <c r="B7512" i="23"/>
  <c r="B7511" i="23"/>
  <c r="B7510" i="23"/>
  <c r="B7509" i="23"/>
  <c r="B7562" i="23"/>
  <c r="B7561" i="23"/>
  <c r="B7560" i="23"/>
  <c r="B7559" i="23"/>
  <c r="B7558" i="23"/>
  <c r="B7557" i="23"/>
  <c r="B7556" i="23"/>
  <c r="B7555" i="23"/>
  <c r="B7554" i="23"/>
  <c r="B7553" i="23"/>
  <c r="B7552" i="23"/>
  <c r="B7551" i="23"/>
  <c r="B7550" i="23"/>
  <c r="B7549" i="23"/>
  <c r="B7548" i="23"/>
  <c r="B7547" i="23"/>
  <c r="B7546" i="23"/>
  <c r="B7545" i="23"/>
  <c r="B7544" i="23"/>
  <c r="B7543" i="23"/>
  <c r="B7542" i="23"/>
  <c r="B7541" i="23"/>
  <c r="B7540" i="23"/>
  <c r="B7539" i="23"/>
  <c r="B7538" i="23"/>
  <c r="B7537" i="23"/>
  <c r="B7536" i="23"/>
  <c r="B7319" i="23"/>
  <c r="B7318" i="23"/>
  <c r="B7317" i="23"/>
  <c r="B7316" i="23"/>
  <c r="B7315" i="23"/>
  <c r="B7314" i="23"/>
  <c r="B7313" i="23"/>
  <c r="B7312" i="23"/>
  <c r="B7311" i="23"/>
  <c r="B7310" i="23"/>
  <c r="B7309" i="23"/>
  <c r="B7308" i="23"/>
  <c r="B7307" i="23"/>
  <c r="B7306" i="23"/>
  <c r="B7305" i="23"/>
  <c r="B7304" i="23"/>
  <c r="B7303" i="23"/>
  <c r="B7302" i="23"/>
  <c r="B7301" i="23"/>
  <c r="B7300" i="23"/>
  <c r="B7299" i="23"/>
  <c r="B7298" i="23"/>
  <c r="B7297" i="23"/>
  <c r="B7296" i="23"/>
  <c r="B7295" i="23"/>
  <c r="B7294" i="23"/>
  <c r="B7293" i="23"/>
  <c r="B7670" i="23"/>
  <c r="B7669" i="23"/>
  <c r="B7668" i="23"/>
  <c r="B7667" i="23"/>
  <c r="B7666" i="23"/>
  <c r="B7665" i="23"/>
  <c r="B7664" i="23"/>
  <c r="B7663" i="23"/>
  <c r="B7662" i="23"/>
  <c r="B7661" i="23"/>
  <c r="B7660" i="23"/>
  <c r="B7659" i="23"/>
  <c r="B7658" i="23"/>
  <c r="B7657" i="23"/>
  <c r="B7656" i="23"/>
  <c r="B7655" i="23"/>
  <c r="B7654" i="23"/>
  <c r="B7653" i="23"/>
  <c r="B7652" i="23"/>
  <c r="B7651" i="23"/>
  <c r="B7650" i="23"/>
  <c r="B7649" i="23"/>
  <c r="B7648" i="23"/>
  <c r="B7647" i="23"/>
  <c r="B7646" i="23"/>
  <c r="B7645" i="23"/>
  <c r="B7644" i="23"/>
  <c r="B8021" i="23"/>
  <c r="B8020" i="23"/>
  <c r="B8019" i="23"/>
  <c r="B8018" i="23"/>
  <c r="B8017" i="23"/>
  <c r="B8016" i="23"/>
  <c r="B8015" i="23"/>
  <c r="B8014" i="23"/>
  <c r="B8013" i="23"/>
  <c r="B8012" i="23"/>
  <c r="B8011" i="23"/>
  <c r="B8010" i="23"/>
  <c r="B8009" i="23"/>
  <c r="B8008" i="23"/>
  <c r="B8007" i="23"/>
  <c r="B8006" i="23"/>
  <c r="B8005" i="23"/>
  <c r="B8004" i="23"/>
  <c r="B8003" i="23"/>
  <c r="B8002" i="23"/>
  <c r="B8001" i="23"/>
  <c r="B8000" i="23"/>
  <c r="B7999" i="23"/>
  <c r="B7998" i="23"/>
  <c r="B7997" i="23"/>
  <c r="B7996" i="23"/>
  <c r="B7995" i="23"/>
  <c r="B7697" i="23"/>
  <c r="B7696" i="23"/>
  <c r="B7695" i="23"/>
  <c r="B7694" i="23"/>
  <c r="B7693" i="23"/>
  <c r="B7692" i="23"/>
  <c r="B7691" i="23"/>
  <c r="B7690" i="23"/>
  <c r="B7689" i="23"/>
  <c r="B7688" i="23"/>
  <c r="B7687" i="23"/>
  <c r="B7686" i="23"/>
  <c r="B7685" i="23"/>
  <c r="B7684" i="23"/>
  <c r="B7683" i="23"/>
  <c r="B7682" i="23"/>
  <c r="B7681" i="23"/>
  <c r="B7680" i="23"/>
  <c r="B7679" i="23"/>
  <c r="B7678" i="23"/>
  <c r="B7677" i="23"/>
  <c r="B7676" i="23"/>
  <c r="B7675" i="23"/>
  <c r="B7674" i="23"/>
  <c r="B7673" i="23"/>
  <c r="B7672" i="23"/>
  <c r="B7671" i="23"/>
  <c r="B8156" i="23"/>
  <c r="B8155" i="23"/>
  <c r="B8154" i="23"/>
  <c r="B8153" i="23"/>
  <c r="B8152" i="23"/>
  <c r="B8151" i="23"/>
  <c r="B8150" i="23"/>
  <c r="B8149" i="23"/>
  <c r="B8148" i="23"/>
  <c r="B8147" i="23"/>
  <c r="B8146" i="23"/>
  <c r="B8145" i="23"/>
  <c r="B8144" i="23"/>
  <c r="B8143" i="23"/>
  <c r="B8142" i="23"/>
  <c r="B8141" i="23"/>
  <c r="B8140" i="23"/>
  <c r="B8139" i="23"/>
  <c r="B8138" i="23"/>
  <c r="B8137" i="23"/>
  <c r="B8136" i="23"/>
  <c r="B8135" i="23"/>
  <c r="B8134" i="23"/>
  <c r="B8133" i="23"/>
  <c r="B8132" i="23"/>
  <c r="B8131" i="23"/>
  <c r="B8130" i="23"/>
  <c r="B7292" i="23"/>
  <c r="B7291" i="23"/>
  <c r="B7290" i="23"/>
  <c r="B7289" i="23"/>
  <c r="B7288" i="23"/>
  <c r="B7287" i="23"/>
  <c r="B7286" i="23"/>
  <c r="B7285" i="23"/>
  <c r="B7284" i="23"/>
  <c r="B7283" i="23"/>
  <c r="B7282" i="23"/>
  <c r="B7281" i="23"/>
  <c r="B7280" i="23"/>
  <c r="B7279" i="23"/>
  <c r="B7278" i="23"/>
  <c r="B7277" i="23"/>
  <c r="B7276" i="23"/>
  <c r="B7275" i="23"/>
  <c r="B7274" i="23"/>
  <c r="B7273" i="23"/>
  <c r="B7272" i="23"/>
  <c r="B7271" i="23"/>
  <c r="B7270" i="23"/>
  <c r="B7269" i="23"/>
  <c r="B7268" i="23"/>
  <c r="B7267" i="23"/>
  <c r="B7266" i="23"/>
  <c r="B7643" i="23"/>
  <c r="B7642" i="23"/>
  <c r="B7641" i="23"/>
  <c r="B7640" i="23"/>
  <c r="B7639" i="23"/>
  <c r="B7638" i="23"/>
  <c r="B7637" i="23"/>
  <c r="B7636" i="23"/>
  <c r="B7635" i="23"/>
  <c r="B7634" i="23"/>
  <c r="B7633" i="23"/>
  <c r="B7632" i="23"/>
  <c r="B7631" i="23"/>
  <c r="B7630" i="23"/>
  <c r="B7629" i="23"/>
  <c r="B7628" i="23"/>
  <c r="B7627" i="23"/>
  <c r="B7626" i="23"/>
  <c r="B7625" i="23"/>
  <c r="B7624" i="23"/>
  <c r="B7623" i="23"/>
  <c r="B7622" i="23"/>
  <c r="B7621" i="23"/>
  <c r="B7620" i="23"/>
  <c r="B7619" i="23"/>
  <c r="B7618" i="23"/>
  <c r="B7617" i="23"/>
  <c r="B7940" i="23"/>
  <c r="B7939" i="23"/>
  <c r="B7938" i="23"/>
  <c r="B7937" i="23"/>
  <c r="B7936" i="23"/>
  <c r="B7935" i="23"/>
  <c r="B7934" i="23"/>
  <c r="B7933" i="23"/>
  <c r="B7932" i="23"/>
  <c r="B7931" i="23"/>
  <c r="B7930" i="23"/>
  <c r="B7929" i="23"/>
  <c r="B7928" i="23"/>
  <c r="B7927" i="23"/>
  <c r="B7926" i="23"/>
  <c r="B7925" i="23"/>
  <c r="B7924" i="23"/>
  <c r="B7923" i="23"/>
  <c r="B7922" i="23"/>
  <c r="B7921" i="23"/>
  <c r="B7920" i="23"/>
  <c r="B7919" i="23"/>
  <c r="B7918" i="23"/>
  <c r="B7917" i="23"/>
  <c r="B7916" i="23"/>
  <c r="B7915" i="23"/>
  <c r="B7914" i="23"/>
  <c r="B7751" i="23"/>
  <c r="B7750" i="23"/>
  <c r="B7749" i="23"/>
  <c r="B7748" i="23"/>
  <c r="B7747" i="23"/>
  <c r="B7746" i="23"/>
  <c r="B7745" i="23"/>
  <c r="B7744" i="23"/>
  <c r="B7743" i="23"/>
  <c r="B7742" i="23"/>
  <c r="B7741" i="23"/>
  <c r="B7740" i="23"/>
  <c r="B7739" i="23"/>
  <c r="B7738" i="23"/>
  <c r="B7737" i="23"/>
  <c r="B7736" i="23"/>
  <c r="B7735" i="23"/>
  <c r="B7734" i="23"/>
  <c r="B7733" i="23"/>
  <c r="B7732" i="23"/>
  <c r="B7731" i="23"/>
  <c r="B7730" i="23"/>
  <c r="B7729" i="23"/>
  <c r="B7728" i="23"/>
  <c r="B7727" i="23"/>
  <c r="B7726" i="23"/>
  <c r="B7725" i="23"/>
  <c r="B7832" i="23"/>
  <c r="B7831" i="23"/>
  <c r="B7830" i="23"/>
  <c r="B7829" i="23"/>
  <c r="B7828" i="23"/>
  <c r="B7827" i="23"/>
  <c r="B7826" i="23"/>
  <c r="B7825" i="23"/>
  <c r="B7824" i="23"/>
  <c r="B7823" i="23"/>
  <c r="B7822" i="23"/>
  <c r="B7821" i="23"/>
  <c r="B7820" i="23"/>
  <c r="B7819" i="23"/>
  <c r="B7818" i="23"/>
  <c r="B7817" i="23"/>
  <c r="B7816" i="23"/>
  <c r="B7815" i="23"/>
  <c r="B7814" i="23"/>
  <c r="B7813" i="23"/>
  <c r="B7812" i="23"/>
  <c r="B7811" i="23"/>
  <c r="B7810" i="23"/>
  <c r="B7809" i="23"/>
  <c r="B7808" i="23"/>
  <c r="B7807" i="23"/>
  <c r="B7806" i="23"/>
  <c r="B8102" i="23"/>
  <c r="B8101" i="23"/>
  <c r="B8100" i="23"/>
  <c r="B8099" i="23"/>
  <c r="B8098" i="23"/>
  <c r="B8097" i="23"/>
  <c r="B8096" i="23"/>
  <c r="B8095" i="23"/>
  <c r="B8094" i="23"/>
  <c r="B8093" i="23"/>
  <c r="B8092" i="23"/>
  <c r="B8091" i="23"/>
  <c r="B8090" i="23"/>
  <c r="B8089" i="23"/>
  <c r="B8088" i="23"/>
  <c r="B8087" i="23"/>
  <c r="B8086" i="23"/>
  <c r="B8085" i="23"/>
  <c r="B8084" i="23"/>
  <c r="B8083" i="23"/>
  <c r="B8082" i="23"/>
  <c r="B8081" i="23"/>
  <c r="B8080" i="23"/>
  <c r="B8079" i="23"/>
  <c r="B8078" i="23"/>
  <c r="B8077" i="23"/>
  <c r="B8076" i="23"/>
  <c r="B8048" i="23"/>
  <c r="B8047" i="23"/>
  <c r="B8046" i="23"/>
  <c r="B8045" i="23"/>
  <c r="B8044" i="23"/>
  <c r="B8043" i="23"/>
  <c r="B8042" i="23"/>
  <c r="B8041" i="23"/>
  <c r="B8040" i="23"/>
  <c r="B8039" i="23"/>
  <c r="B8038" i="23"/>
  <c r="B8037" i="23"/>
  <c r="B8036" i="23"/>
  <c r="B8035" i="23"/>
  <c r="B8034" i="23"/>
  <c r="B8033" i="23"/>
  <c r="B8032" i="23"/>
  <c r="B8031" i="23"/>
  <c r="B8030" i="23"/>
  <c r="B8029" i="23"/>
  <c r="B8028" i="23"/>
  <c r="B8027" i="23"/>
  <c r="B8026" i="23"/>
  <c r="B8025" i="23"/>
  <c r="B8024" i="23"/>
  <c r="B8023" i="23"/>
  <c r="B8022" i="23"/>
  <c r="B7994" i="23"/>
  <c r="B7993" i="23"/>
  <c r="B7992" i="23"/>
  <c r="B7991" i="23"/>
  <c r="B7990" i="23"/>
  <c r="B7989" i="23"/>
  <c r="B7988" i="23"/>
  <c r="B7987" i="23"/>
  <c r="B7986" i="23"/>
  <c r="B7985" i="23"/>
  <c r="B7984" i="23"/>
  <c r="B7983" i="23"/>
  <c r="B7982" i="23"/>
  <c r="B7981" i="23"/>
  <c r="B7980" i="23"/>
  <c r="B7979" i="23"/>
  <c r="B7978" i="23"/>
  <c r="B7977" i="23"/>
  <c r="B7976" i="23"/>
  <c r="B7975" i="23"/>
  <c r="B7974" i="23"/>
  <c r="B7973" i="23"/>
  <c r="B7972" i="23"/>
  <c r="B7971" i="23"/>
  <c r="B7970" i="23"/>
  <c r="B7969" i="23"/>
  <c r="B7968" i="23"/>
  <c r="B7805" i="23"/>
  <c r="B7804" i="23"/>
  <c r="B7803" i="23"/>
  <c r="B7802" i="23"/>
  <c r="B7801" i="23"/>
  <c r="B7800" i="23"/>
  <c r="B7799" i="23"/>
  <c r="B7798" i="23"/>
  <c r="B7797" i="23"/>
  <c r="B7796" i="23"/>
  <c r="B7795" i="23"/>
  <c r="B7794" i="23"/>
  <c r="B7793" i="23"/>
  <c r="B7792" i="23"/>
  <c r="B7791" i="23"/>
  <c r="B7790" i="23"/>
  <c r="B7789" i="23"/>
  <c r="B7788" i="23"/>
  <c r="B7787" i="23"/>
  <c r="B7786" i="23"/>
  <c r="B7785" i="23"/>
  <c r="B7784" i="23"/>
  <c r="B7783" i="23"/>
  <c r="B7782" i="23"/>
  <c r="B7781" i="23"/>
  <c r="B7780" i="23"/>
  <c r="B7779" i="23"/>
  <c r="B7238" i="23"/>
  <c r="B7237" i="23"/>
  <c r="B7236" i="23"/>
  <c r="B7235" i="23"/>
  <c r="B7234" i="23"/>
  <c r="B7233" i="23"/>
  <c r="B7232" i="23"/>
  <c r="B7231" i="23"/>
  <c r="B7230" i="23"/>
  <c r="B7229" i="23"/>
  <c r="B7228" i="23"/>
  <c r="B7227" i="23"/>
  <c r="B7226" i="23"/>
  <c r="B7225" i="23"/>
  <c r="B7224" i="23"/>
  <c r="B7223" i="23"/>
  <c r="B7222" i="23"/>
  <c r="B7221" i="23"/>
  <c r="B7220" i="23"/>
  <c r="B7219" i="23"/>
  <c r="B7218" i="23"/>
  <c r="B7217" i="23"/>
  <c r="B7216" i="23"/>
  <c r="B7215" i="23"/>
  <c r="B7214" i="23"/>
  <c r="B7213" i="23"/>
  <c r="B7212" i="23"/>
  <c r="B7778" i="23"/>
  <c r="B7777" i="23"/>
  <c r="B7776" i="23"/>
  <c r="B7775" i="23"/>
  <c r="B7774" i="23"/>
  <c r="B7773" i="23"/>
  <c r="B7772" i="23"/>
  <c r="B7771" i="23"/>
  <c r="B7770" i="23"/>
  <c r="B7769" i="23"/>
  <c r="B7768" i="23"/>
  <c r="B7767" i="23"/>
  <c r="B7766" i="23"/>
  <c r="B7765" i="23"/>
  <c r="B7764" i="23"/>
  <c r="B7763" i="23"/>
  <c r="B7762" i="23"/>
  <c r="B7761" i="23"/>
  <c r="B7760" i="23"/>
  <c r="B7759" i="23"/>
  <c r="B7758" i="23"/>
  <c r="B7757" i="23"/>
  <c r="B7756" i="23"/>
  <c r="B7755" i="23"/>
  <c r="B7754" i="23"/>
  <c r="B7753" i="23"/>
  <c r="B7752" i="23"/>
  <c r="B7589" i="23"/>
  <c r="B7588" i="23"/>
  <c r="B7587" i="23"/>
  <c r="B7586" i="23"/>
  <c r="B7585" i="23"/>
  <c r="B7584" i="23"/>
  <c r="B7583" i="23"/>
  <c r="B7582" i="23"/>
  <c r="B7581" i="23"/>
  <c r="B7580" i="23"/>
  <c r="B7579" i="23"/>
  <c r="B7578" i="23"/>
  <c r="B7577" i="23"/>
  <c r="B7576" i="23"/>
  <c r="B7575" i="23"/>
  <c r="B7574" i="23"/>
  <c r="B7573" i="23"/>
  <c r="B7572" i="23"/>
  <c r="B7571" i="23"/>
  <c r="B7570" i="23"/>
  <c r="B7569" i="23"/>
  <c r="B7568" i="23"/>
  <c r="B7567" i="23"/>
  <c r="B7566" i="23"/>
  <c r="B7565" i="23"/>
  <c r="B7564" i="23"/>
  <c r="B7563" i="23"/>
  <c r="B8183" i="23"/>
  <c r="B8182" i="23"/>
  <c r="B8181" i="23"/>
  <c r="B8180" i="23"/>
  <c r="B8179" i="23"/>
  <c r="B8178" i="23"/>
  <c r="B8177" i="23"/>
  <c r="B8176" i="23"/>
  <c r="B8175" i="23"/>
  <c r="B8174" i="23"/>
  <c r="B8173" i="23"/>
  <c r="B8172" i="23"/>
  <c r="B8171" i="23"/>
  <c r="B8170" i="23"/>
  <c r="B8169" i="23"/>
  <c r="B8168" i="23"/>
  <c r="B8167" i="23"/>
  <c r="B8166" i="23"/>
  <c r="B8165" i="23"/>
  <c r="B8164" i="23"/>
  <c r="B8163" i="23"/>
  <c r="B8162" i="23"/>
  <c r="B8161" i="23"/>
  <c r="B8160" i="23"/>
  <c r="B8159" i="23"/>
  <c r="B8158" i="23"/>
  <c r="B8157" i="23"/>
  <c r="B7913" i="23"/>
  <c r="B7912" i="23"/>
  <c r="B7911" i="23"/>
  <c r="B7910" i="23"/>
  <c r="B7909" i="23"/>
  <c r="B7908" i="23"/>
  <c r="B7907" i="23"/>
  <c r="B7906" i="23"/>
  <c r="B7905" i="23"/>
  <c r="B7904" i="23"/>
  <c r="B7903" i="23"/>
  <c r="B7902" i="23"/>
  <c r="B7901" i="23"/>
  <c r="B7900" i="23"/>
  <c r="B7899" i="23"/>
  <c r="B7898" i="23"/>
  <c r="B7897" i="23"/>
  <c r="B7896" i="23"/>
  <c r="B7895" i="23"/>
  <c r="B7894" i="23"/>
  <c r="B7893" i="23"/>
  <c r="B7892" i="23"/>
  <c r="B7891" i="23"/>
  <c r="B7890" i="23"/>
  <c r="B7889" i="23"/>
  <c r="B7888" i="23"/>
  <c r="B7887" i="23"/>
  <c r="B8210" i="23"/>
  <c r="B8209" i="23"/>
  <c r="B8208" i="23"/>
  <c r="B8207" i="23"/>
  <c r="B8206" i="23"/>
  <c r="B8205" i="23"/>
  <c r="B8204" i="23"/>
  <c r="B8203" i="23"/>
  <c r="B8202" i="23"/>
  <c r="B8201" i="23"/>
  <c r="B8200" i="23"/>
  <c r="B8199" i="23"/>
  <c r="B8198" i="23"/>
  <c r="B8197" i="23"/>
  <c r="B8196" i="23"/>
  <c r="B8195" i="23"/>
  <c r="B8194" i="23"/>
  <c r="B8193" i="23"/>
  <c r="B8192" i="23"/>
  <c r="B8191" i="23"/>
  <c r="B8190" i="23"/>
  <c r="B8189" i="23"/>
  <c r="B8188" i="23"/>
  <c r="B8187" i="23"/>
  <c r="B8186" i="23"/>
  <c r="B8185" i="23"/>
  <c r="B8184" i="23"/>
  <c r="B7859" i="23"/>
  <c r="B7858" i="23"/>
  <c r="B7857" i="23"/>
  <c r="B7856" i="23"/>
  <c r="B7855" i="23"/>
  <c r="B7854" i="23"/>
  <c r="B7853" i="23"/>
  <c r="B7852" i="23"/>
  <c r="B7851" i="23"/>
  <c r="B7850" i="23"/>
  <c r="B7849" i="23"/>
  <c r="B7848" i="23"/>
  <c r="B7847" i="23"/>
  <c r="B7846" i="23"/>
  <c r="B7845" i="23"/>
  <c r="B7844" i="23"/>
  <c r="B7843" i="23"/>
  <c r="B7842" i="23"/>
  <c r="B7841" i="23"/>
  <c r="B7840" i="23"/>
  <c r="B7839" i="23"/>
  <c r="B7838" i="23"/>
  <c r="B7837" i="23"/>
  <c r="B7836" i="23"/>
  <c r="B7835" i="23"/>
  <c r="B7834" i="23"/>
  <c r="B7833" i="23"/>
  <c r="B7886" i="23"/>
  <c r="B7885" i="23"/>
  <c r="B7884" i="23"/>
  <c r="B7883" i="23"/>
  <c r="B7882" i="23"/>
  <c r="B7881" i="23"/>
  <c r="B7880" i="23"/>
  <c r="B7879" i="23"/>
  <c r="B7878" i="23"/>
  <c r="B7877" i="23"/>
  <c r="B7876" i="23"/>
  <c r="B7875" i="23"/>
  <c r="B7874" i="23"/>
  <c r="B7873" i="23"/>
  <c r="B7872" i="23"/>
  <c r="B7871" i="23"/>
  <c r="B7870" i="23"/>
  <c r="B7869" i="23"/>
  <c r="B7868" i="23"/>
  <c r="B7867" i="23"/>
  <c r="B7866" i="23"/>
  <c r="B7865" i="23"/>
  <c r="B7864" i="23"/>
  <c r="B7863" i="23"/>
  <c r="B7862" i="23"/>
  <c r="B7861" i="23"/>
  <c r="B7860" i="23"/>
  <c r="B7616" i="23"/>
  <c r="B7615" i="23"/>
  <c r="B7614" i="23"/>
  <c r="B7613" i="23"/>
  <c r="B7612" i="23"/>
  <c r="B7611" i="23"/>
  <c r="B7610" i="23"/>
  <c r="B7609" i="23"/>
  <c r="B7608" i="23"/>
  <c r="B7607" i="23"/>
  <c r="B7606" i="23"/>
  <c r="B7605" i="23"/>
  <c r="B7604" i="23"/>
  <c r="B7603" i="23"/>
  <c r="B7602" i="23"/>
  <c r="B7601" i="23"/>
  <c r="B7600" i="23"/>
  <c r="B7599" i="23"/>
  <c r="B7598" i="23"/>
  <c r="B7597" i="23"/>
  <c r="B7596" i="23"/>
  <c r="B7595" i="23"/>
  <c r="B7594" i="23"/>
  <c r="B7593" i="23"/>
  <c r="B7592" i="23"/>
  <c r="B7591" i="23"/>
  <c r="B7590" i="23"/>
  <c r="B7211" i="23"/>
  <c r="B7210" i="23"/>
  <c r="B7209" i="23"/>
  <c r="B7208" i="23"/>
  <c r="B7207" i="23"/>
  <c r="B7206" i="23"/>
  <c r="B7205" i="23"/>
  <c r="B7204" i="23"/>
  <c r="B7203" i="23"/>
  <c r="B7202" i="23"/>
  <c r="B7201" i="23"/>
  <c r="B7200" i="23"/>
  <c r="B7199" i="23"/>
  <c r="B7198" i="23"/>
  <c r="B7197" i="23"/>
  <c r="B7196" i="23"/>
  <c r="B7195" i="23"/>
  <c r="B7194" i="23"/>
  <c r="B7193" i="23"/>
  <c r="B7192" i="23"/>
  <c r="B7191" i="23"/>
  <c r="B7190" i="23"/>
  <c r="B7189" i="23"/>
  <c r="B7188" i="23"/>
  <c r="B7187" i="23"/>
  <c r="B7186" i="23"/>
  <c r="B7185" i="23"/>
  <c r="B7724" i="23"/>
  <c r="B7723" i="23"/>
  <c r="B7722" i="23"/>
  <c r="B7721" i="23"/>
  <c r="B7720" i="23"/>
  <c r="B7719" i="23"/>
  <c r="B7718" i="23"/>
  <c r="B7717" i="23"/>
  <c r="B7716" i="23"/>
  <c r="B7715" i="23"/>
  <c r="B7714" i="23"/>
  <c r="B7713" i="23"/>
  <c r="B7712" i="23"/>
  <c r="B7711" i="23"/>
  <c r="B7710" i="23"/>
  <c r="B7709" i="23"/>
  <c r="B7708" i="23"/>
  <c r="B7707" i="23"/>
  <c r="B7706" i="23"/>
  <c r="B7705" i="23"/>
  <c r="B7704" i="23"/>
  <c r="B7703" i="23"/>
  <c r="B7702" i="23"/>
  <c r="B7701" i="23"/>
  <c r="B7700" i="23"/>
  <c r="B7699" i="23"/>
  <c r="B7698" i="23"/>
  <c r="B8075" i="23"/>
  <c r="B8074" i="23"/>
  <c r="B8073" i="23"/>
  <c r="B8072" i="23"/>
  <c r="B8071" i="23"/>
  <c r="B8070" i="23"/>
  <c r="B8069" i="23"/>
  <c r="B8068" i="23"/>
  <c r="B8067" i="23"/>
  <c r="B8066" i="23"/>
  <c r="B8065" i="23"/>
  <c r="B8064" i="23"/>
  <c r="B8063" i="23"/>
  <c r="B8062" i="23"/>
  <c r="B8061" i="23"/>
  <c r="B8060" i="23"/>
  <c r="B8059" i="23"/>
  <c r="B8058" i="23"/>
  <c r="B8057" i="23"/>
  <c r="B8056" i="23"/>
  <c r="B8055" i="23"/>
  <c r="B8054" i="23"/>
  <c r="B8053" i="23"/>
  <c r="B8052" i="23"/>
  <c r="B8051" i="23"/>
  <c r="B8050" i="23"/>
  <c r="B8049" i="23"/>
  <c r="B8129" i="23"/>
  <c r="B8128" i="23"/>
  <c r="B8127" i="23"/>
  <c r="B8126" i="23"/>
  <c r="B8125" i="23"/>
  <c r="B8124" i="23"/>
  <c r="B8123" i="23"/>
  <c r="B8122" i="23"/>
  <c r="B8121" i="23"/>
  <c r="B8120" i="23"/>
  <c r="B8119" i="23"/>
  <c r="B8118" i="23"/>
  <c r="B8117" i="23"/>
  <c r="B8116" i="23"/>
  <c r="B8115" i="23"/>
  <c r="B8114" i="23"/>
  <c r="B8113" i="23"/>
  <c r="B8112" i="23"/>
  <c r="B8111" i="23"/>
  <c r="B8110" i="23"/>
  <c r="B8109" i="23"/>
  <c r="B8108" i="23"/>
  <c r="B8107" i="23"/>
  <c r="B8106" i="23"/>
  <c r="B8105" i="23"/>
  <c r="B8104" i="23"/>
  <c r="B8103" i="23"/>
  <c r="B7265" i="23"/>
  <c r="B7264" i="23"/>
  <c r="B7263" i="23"/>
  <c r="B7262" i="23"/>
  <c r="B7261" i="23"/>
  <c r="B7260" i="23"/>
  <c r="B7259" i="23"/>
  <c r="B7258" i="23"/>
  <c r="B7257" i="23"/>
  <c r="B7256" i="23"/>
  <c r="B7255" i="23"/>
  <c r="B7254" i="23"/>
  <c r="B7253" i="23"/>
  <c r="B7252" i="23"/>
  <c r="B7251" i="23"/>
  <c r="B7250" i="23"/>
  <c r="B7249" i="23"/>
  <c r="B7248" i="23"/>
  <c r="B7247" i="23"/>
  <c r="B7246" i="23"/>
  <c r="B7245" i="23"/>
  <c r="B7244" i="23"/>
  <c r="B7243" i="23"/>
  <c r="B7242" i="23"/>
  <c r="B7241" i="23"/>
  <c r="B7240" i="23"/>
  <c r="B7239" i="23"/>
  <c r="B7967" i="23"/>
  <c r="B7966" i="23"/>
  <c r="B7965" i="23"/>
  <c r="B7964" i="23"/>
  <c r="B7963" i="23"/>
  <c r="B7962" i="23"/>
  <c r="B7961" i="23"/>
  <c r="B7960" i="23"/>
  <c r="B7959" i="23"/>
  <c r="B7958" i="23"/>
  <c r="B7957" i="23"/>
  <c r="B7956" i="23"/>
  <c r="B7955" i="23"/>
  <c r="B7954" i="23"/>
  <c r="B7953" i="23"/>
  <c r="B7952" i="23"/>
  <c r="B7951" i="23"/>
  <c r="B7950" i="23"/>
  <c r="B7949" i="23"/>
  <c r="B7948" i="23"/>
  <c r="B7947" i="23"/>
  <c r="B7946" i="23"/>
  <c r="B7945" i="23"/>
  <c r="B7944" i="23"/>
  <c r="B7943" i="23"/>
  <c r="B7942" i="23"/>
  <c r="B7941" i="23"/>
  <c r="C7346" i="23"/>
  <c r="C7345" i="23"/>
  <c r="C7344" i="23"/>
  <c r="C7343" i="23"/>
  <c r="C7342" i="23"/>
  <c r="C7341" i="23"/>
  <c r="C7340" i="23"/>
  <c r="C7339" i="23"/>
  <c r="C7338" i="23"/>
  <c r="C7337" i="23"/>
  <c r="C7336" i="23"/>
  <c r="C7335" i="23"/>
  <c r="C7334" i="23"/>
  <c r="C7333" i="23"/>
  <c r="C7332" i="23"/>
  <c r="C7331" i="23"/>
  <c r="C7330" i="23"/>
  <c r="C7329" i="23"/>
  <c r="C7328" i="23"/>
  <c r="C7327" i="23"/>
  <c r="C7326" i="23"/>
  <c r="C7325" i="23"/>
  <c r="C7324" i="23"/>
  <c r="C7323" i="23"/>
  <c r="C7322" i="23"/>
  <c r="C7321" i="23"/>
  <c r="C7320" i="23"/>
  <c r="C7373" i="23"/>
  <c r="C7372" i="23"/>
  <c r="C7371" i="23"/>
  <c r="C7370" i="23"/>
  <c r="C7369" i="23"/>
  <c r="C7368" i="23"/>
  <c r="C7367" i="23"/>
  <c r="C7366" i="23"/>
  <c r="C7365" i="23"/>
  <c r="C7364" i="23"/>
  <c r="C7363" i="23"/>
  <c r="C7362" i="23"/>
  <c r="C7361" i="23"/>
  <c r="C7360" i="23"/>
  <c r="C7359" i="23"/>
  <c r="C7358" i="23"/>
  <c r="C7357" i="23"/>
  <c r="C7356" i="23"/>
  <c r="C7355" i="23"/>
  <c r="C7354" i="23"/>
  <c r="C7353" i="23"/>
  <c r="C7352" i="23"/>
  <c r="C7351" i="23"/>
  <c r="C7350" i="23"/>
  <c r="C7349" i="23"/>
  <c r="C7348" i="23"/>
  <c r="C7347" i="23"/>
  <c r="C7400" i="23"/>
  <c r="C7399" i="23"/>
  <c r="C7398" i="23"/>
  <c r="C7397" i="23"/>
  <c r="C7396" i="23"/>
  <c r="C7395" i="23"/>
  <c r="C7394" i="23"/>
  <c r="C7393" i="23"/>
  <c r="C7392" i="23"/>
  <c r="C7391" i="23"/>
  <c r="C7390" i="23"/>
  <c r="C7389" i="23"/>
  <c r="C7388" i="23"/>
  <c r="C7387" i="23"/>
  <c r="C7386" i="23"/>
  <c r="C7385" i="23"/>
  <c r="C7384" i="23"/>
  <c r="C7383" i="23"/>
  <c r="C7382" i="23"/>
  <c r="C7381" i="23"/>
  <c r="C7380" i="23"/>
  <c r="C7379" i="23"/>
  <c r="C7378" i="23"/>
  <c r="C7377" i="23"/>
  <c r="C7376" i="23"/>
  <c r="C7375" i="23"/>
  <c r="C7374" i="23"/>
  <c r="C7427" i="23"/>
  <c r="C7426" i="23"/>
  <c r="C7425" i="23"/>
  <c r="C7424" i="23"/>
  <c r="C7423" i="23"/>
  <c r="C7422" i="23"/>
  <c r="C7421" i="23"/>
  <c r="C7420" i="23"/>
  <c r="C7419" i="23"/>
  <c r="C7418" i="23"/>
  <c r="C7417" i="23"/>
  <c r="C7416" i="23"/>
  <c r="C7415" i="23"/>
  <c r="C7414" i="23"/>
  <c r="C7413" i="23"/>
  <c r="C7412" i="23"/>
  <c r="C7411" i="23"/>
  <c r="C7410" i="23"/>
  <c r="C7409" i="23"/>
  <c r="C7408" i="23"/>
  <c r="C7407" i="23"/>
  <c r="C7406" i="23"/>
  <c r="C7405" i="23"/>
  <c r="C7404" i="23"/>
  <c r="C7403" i="23"/>
  <c r="C7402" i="23"/>
  <c r="C7401" i="23"/>
  <c r="C7454" i="23"/>
  <c r="C7453" i="23"/>
  <c r="C7452" i="23"/>
  <c r="C7451" i="23"/>
  <c r="C7450" i="23"/>
  <c r="C7449" i="23"/>
  <c r="C7448" i="23"/>
  <c r="C7447" i="23"/>
  <c r="C7446" i="23"/>
  <c r="C7445" i="23"/>
  <c r="C7444" i="23"/>
  <c r="C7443" i="23"/>
  <c r="C7442" i="23"/>
  <c r="C7441" i="23"/>
  <c r="C7440" i="23"/>
  <c r="C7439" i="23"/>
  <c r="C7438" i="23"/>
  <c r="C7437" i="23"/>
  <c r="C7436" i="23"/>
  <c r="C7435" i="23"/>
  <c r="C7434" i="23"/>
  <c r="C7433" i="23"/>
  <c r="C7432" i="23"/>
  <c r="C7431" i="23"/>
  <c r="C7430" i="23"/>
  <c r="C7429" i="23"/>
  <c r="C7428" i="23"/>
  <c r="C7481" i="23"/>
  <c r="C7480" i="23"/>
  <c r="C7479" i="23"/>
  <c r="C7478" i="23"/>
  <c r="C7477" i="23"/>
  <c r="C7476" i="23"/>
  <c r="C7475" i="23"/>
  <c r="C7474" i="23"/>
  <c r="C7473" i="23"/>
  <c r="C7472" i="23"/>
  <c r="C7471" i="23"/>
  <c r="C7470" i="23"/>
  <c r="C7469" i="23"/>
  <c r="C7468" i="23"/>
  <c r="C7467" i="23"/>
  <c r="C7466" i="23"/>
  <c r="C7465" i="23"/>
  <c r="C7464" i="23"/>
  <c r="C7463" i="23"/>
  <c r="C7462" i="23"/>
  <c r="C7461" i="23"/>
  <c r="C7460" i="23"/>
  <c r="C7459" i="23"/>
  <c r="C7458" i="23"/>
  <c r="C7457" i="23"/>
  <c r="C7456" i="23"/>
  <c r="C7455" i="23"/>
  <c r="C7508" i="23"/>
  <c r="C7507" i="23"/>
  <c r="C7506" i="23"/>
  <c r="C7505" i="23"/>
  <c r="C7504" i="23"/>
  <c r="C7503" i="23"/>
  <c r="C7502" i="23"/>
  <c r="C7501" i="23"/>
  <c r="C7500" i="23"/>
  <c r="C7499" i="23"/>
  <c r="C7498" i="23"/>
  <c r="C7497" i="23"/>
  <c r="C7496" i="23"/>
  <c r="C7495" i="23"/>
  <c r="C7494" i="23"/>
  <c r="C7493" i="23"/>
  <c r="C7492" i="23"/>
  <c r="C7491" i="23"/>
  <c r="C7490" i="23"/>
  <c r="C7489" i="23"/>
  <c r="C7488" i="23"/>
  <c r="C7487" i="23"/>
  <c r="C7486" i="23"/>
  <c r="C7485" i="23"/>
  <c r="C7484" i="23"/>
  <c r="C7483" i="23"/>
  <c r="C7482" i="23"/>
  <c r="C7535" i="23"/>
  <c r="C7534" i="23"/>
  <c r="C7533" i="23"/>
  <c r="C7532" i="23"/>
  <c r="C7531" i="23"/>
  <c r="C7530" i="23"/>
  <c r="C7529" i="23"/>
  <c r="C7528" i="23"/>
  <c r="C7527" i="23"/>
  <c r="C7526" i="23"/>
  <c r="C7525" i="23"/>
  <c r="C7524" i="23"/>
  <c r="C7523" i="23"/>
  <c r="C7522" i="23"/>
  <c r="C7521" i="23"/>
  <c r="C7520" i="23"/>
  <c r="C7519" i="23"/>
  <c r="C7518" i="23"/>
  <c r="C7517" i="23"/>
  <c r="C7516" i="23"/>
  <c r="C7515" i="23"/>
  <c r="C7514" i="23"/>
  <c r="C7513" i="23"/>
  <c r="C7512" i="23"/>
  <c r="C7511" i="23"/>
  <c r="C7510" i="23"/>
  <c r="C7509" i="23"/>
  <c r="C7562" i="23"/>
  <c r="C7561" i="23"/>
  <c r="C7560" i="23"/>
  <c r="C7559" i="23"/>
  <c r="C7558" i="23"/>
  <c r="C7557" i="23"/>
  <c r="C7556" i="23"/>
  <c r="C7555" i="23"/>
  <c r="C7554" i="23"/>
  <c r="C7553" i="23"/>
  <c r="C7552" i="23"/>
  <c r="C7551" i="23"/>
  <c r="C7550" i="23"/>
  <c r="C7549" i="23"/>
  <c r="C7548" i="23"/>
  <c r="C7547" i="23"/>
  <c r="C7546" i="23"/>
  <c r="C7545" i="23"/>
  <c r="C7544" i="23"/>
  <c r="C7543" i="23"/>
  <c r="C7542" i="23"/>
  <c r="C7541" i="23"/>
  <c r="C7540" i="23"/>
  <c r="C7539" i="23"/>
  <c r="C7538" i="23"/>
  <c r="C7537" i="23"/>
  <c r="C7536" i="23"/>
  <c r="C7319" i="23"/>
  <c r="C7318" i="23"/>
  <c r="C7317" i="23"/>
  <c r="C7316" i="23"/>
  <c r="C7315" i="23"/>
  <c r="C7314" i="23"/>
  <c r="C7313" i="23"/>
  <c r="C7312" i="23"/>
  <c r="C7311" i="23"/>
  <c r="C7310" i="23"/>
  <c r="C7309" i="23"/>
  <c r="C7308" i="23"/>
  <c r="C7307" i="23"/>
  <c r="C7306" i="23"/>
  <c r="C7305" i="23"/>
  <c r="C7304" i="23"/>
  <c r="C7303" i="23"/>
  <c r="C7302" i="23"/>
  <c r="C7301" i="23"/>
  <c r="C7300" i="23"/>
  <c r="C7299" i="23"/>
  <c r="C7298" i="23"/>
  <c r="C7297" i="23"/>
  <c r="C7296" i="23"/>
  <c r="C7295" i="23"/>
  <c r="C7294" i="23"/>
  <c r="C7293" i="23"/>
  <c r="C7670" i="23"/>
  <c r="C7669" i="23"/>
  <c r="C7668" i="23"/>
  <c r="C7667" i="23"/>
  <c r="C7666" i="23"/>
  <c r="C7665" i="23"/>
  <c r="C7664" i="23"/>
  <c r="C7663" i="23"/>
  <c r="C7662" i="23"/>
  <c r="C7661" i="23"/>
  <c r="C7660" i="23"/>
  <c r="C7659" i="23"/>
  <c r="C7658" i="23"/>
  <c r="C7657" i="23"/>
  <c r="C7656" i="23"/>
  <c r="C7655" i="23"/>
  <c r="C7654" i="23"/>
  <c r="C7653" i="23"/>
  <c r="C7652" i="23"/>
  <c r="C7651" i="23"/>
  <c r="C7650" i="23"/>
  <c r="C7649" i="23"/>
  <c r="C7648" i="23"/>
  <c r="C7647" i="23"/>
  <c r="C7646" i="23"/>
  <c r="C7645" i="23"/>
  <c r="C7644" i="23"/>
  <c r="C8021" i="23"/>
  <c r="C8020" i="23"/>
  <c r="C8019" i="23"/>
  <c r="C8018" i="23"/>
  <c r="C8017" i="23"/>
  <c r="C8016" i="23"/>
  <c r="C8015" i="23"/>
  <c r="C8014" i="23"/>
  <c r="C8013" i="23"/>
  <c r="C8012" i="23"/>
  <c r="C8011" i="23"/>
  <c r="C8010" i="23"/>
  <c r="C8009" i="23"/>
  <c r="C8008" i="23"/>
  <c r="C8007" i="23"/>
  <c r="C8006" i="23"/>
  <c r="C8005" i="23"/>
  <c r="C8004" i="23"/>
  <c r="C8003" i="23"/>
  <c r="C8002" i="23"/>
  <c r="C8001" i="23"/>
  <c r="C8000" i="23"/>
  <c r="C7999" i="23"/>
  <c r="C7998" i="23"/>
  <c r="C7997" i="23"/>
  <c r="C7996" i="23"/>
  <c r="C7995" i="23"/>
  <c r="C7697" i="23"/>
  <c r="C7696" i="23"/>
  <c r="C7695" i="23"/>
  <c r="C7694" i="23"/>
  <c r="C7693" i="23"/>
  <c r="C7692" i="23"/>
  <c r="C7691" i="23"/>
  <c r="C7690" i="23"/>
  <c r="C7689" i="23"/>
  <c r="C7688" i="23"/>
  <c r="C7687" i="23"/>
  <c r="C7686" i="23"/>
  <c r="C7685" i="23"/>
  <c r="C7684" i="23"/>
  <c r="C7683" i="23"/>
  <c r="C7682" i="23"/>
  <c r="C7681" i="23"/>
  <c r="C7680" i="23"/>
  <c r="C7679" i="23"/>
  <c r="C7678" i="23"/>
  <c r="C7677" i="23"/>
  <c r="C7676" i="23"/>
  <c r="C7675" i="23"/>
  <c r="C7674" i="23"/>
  <c r="C7673" i="23"/>
  <c r="C7672" i="23"/>
  <c r="C7671" i="23"/>
  <c r="C8156" i="23"/>
  <c r="C8155" i="23"/>
  <c r="C8154" i="23"/>
  <c r="C8153" i="23"/>
  <c r="C8152" i="23"/>
  <c r="C8151" i="23"/>
  <c r="C8150" i="23"/>
  <c r="C8149" i="23"/>
  <c r="C8148" i="23"/>
  <c r="C8147" i="23"/>
  <c r="C8146" i="23"/>
  <c r="C8145" i="23"/>
  <c r="C8144" i="23"/>
  <c r="C8143" i="23"/>
  <c r="C8142" i="23"/>
  <c r="C8141" i="23"/>
  <c r="C8140" i="23"/>
  <c r="C8139" i="23"/>
  <c r="C8138" i="23"/>
  <c r="C8137" i="23"/>
  <c r="C8136" i="23"/>
  <c r="C8135" i="23"/>
  <c r="C8134" i="23"/>
  <c r="C8133" i="23"/>
  <c r="C8132" i="23"/>
  <c r="C8131" i="23"/>
  <c r="C8130" i="23"/>
  <c r="C7292" i="23"/>
  <c r="C7291" i="23"/>
  <c r="C7290" i="23"/>
  <c r="C7289" i="23"/>
  <c r="C7288" i="23"/>
  <c r="C7287" i="23"/>
  <c r="C7286" i="23"/>
  <c r="C7285" i="23"/>
  <c r="C7284" i="23"/>
  <c r="C7283" i="23"/>
  <c r="C7282" i="23"/>
  <c r="C7281" i="23"/>
  <c r="C7280" i="23"/>
  <c r="C7279" i="23"/>
  <c r="C7278" i="23"/>
  <c r="C7277" i="23"/>
  <c r="C7276" i="23"/>
  <c r="C7275" i="23"/>
  <c r="C7274" i="23"/>
  <c r="C7273" i="23"/>
  <c r="C7272" i="23"/>
  <c r="C7271" i="23"/>
  <c r="C7270" i="23"/>
  <c r="C7269" i="23"/>
  <c r="C7268" i="23"/>
  <c r="C7267" i="23"/>
  <c r="C7266" i="23"/>
  <c r="C7643" i="23"/>
  <c r="C7642" i="23"/>
  <c r="C7641" i="23"/>
  <c r="C7640" i="23"/>
  <c r="C7639" i="23"/>
  <c r="C7638" i="23"/>
  <c r="C7637" i="23"/>
  <c r="C7636" i="23"/>
  <c r="C7635" i="23"/>
  <c r="C7634" i="23"/>
  <c r="C7633" i="23"/>
  <c r="C7632" i="23"/>
  <c r="C7631" i="23"/>
  <c r="C7630" i="23"/>
  <c r="C7629" i="23"/>
  <c r="C7628" i="23"/>
  <c r="C7627" i="23"/>
  <c r="C7626" i="23"/>
  <c r="C7625" i="23"/>
  <c r="C7624" i="23"/>
  <c r="C7623" i="23"/>
  <c r="C7622" i="23"/>
  <c r="C7621" i="23"/>
  <c r="C7620" i="23"/>
  <c r="C7619" i="23"/>
  <c r="C7618" i="23"/>
  <c r="C7617" i="23"/>
  <c r="C7940" i="23"/>
  <c r="C7939" i="23"/>
  <c r="C7938" i="23"/>
  <c r="C7937" i="23"/>
  <c r="C7936" i="23"/>
  <c r="C7935" i="23"/>
  <c r="C7934" i="23"/>
  <c r="C7933" i="23"/>
  <c r="C7932" i="23"/>
  <c r="C7931" i="23"/>
  <c r="C7930" i="23"/>
  <c r="C7929" i="23"/>
  <c r="C7928" i="23"/>
  <c r="C7927" i="23"/>
  <c r="C7926" i="23"/>
  <c r="C7925" i="23"/>
  <c r="C7924" i="23"/>
  <c r="C7923" i="23"/>
  <c r="C7922" i="23"/>
  <c r="C7921" i="23"/>
  <c r="C7920" i="23"/>
  <c r="C7919" i="23"/>
  <c r="C7918" i="23"/>
  <c r="C7917" i="23"/>
  <c r="C7916" i="23"/>
  <c r="C7915" i="23"/>
  <c r="C7914" i="23"/>
  <c r="C7751" i="23"/>
  <c r="C7750" i="23"/>
  <c r="C7749" i="23"/>
  <c r="C7748" i="23"/>
  <c r="C7747" i="23"/>
  <c r="C7746" i="23"/>
  <c r="C7745" i="23"/>
  <c r="C7744" i="23"/>
  <c r="C7743" i="23"/>
  <c r="C7742" i="23"/>
  <c r="C7741" i="23"/>
  <c r="C7740" i="23"/>
  <c r="C7739" i="23"/>
  <c r="C7738" i="23"/>
  <c r="C7737" i="23"/>
  <c r="C7736" i="23"/>
  <c r="C7735" i="23"/>
  <c r="C7734" i="23"/>
  <c r="C7733" i="23"/>
  <c r="C7732" i="23"/>
  <c r="C7731" i="23"/>
  <c r="C7730" i="23"/>
  <c r="C7729" i="23"/>
  <c r="C7728" i="23"/>
  <c r="C7727" i="23"/>
  <c r="C7726" i="23"/>
  <c r="C7725" i="23"/>
  <c r="C7832" i="23"/>
  <c r="C7831" i="23"/>
  <c r="C7830" i="23"/>
  <c r="C7829" i="23"/>
  <c r="C7828" i="23"/>
  <c r="C7827" i="23"/>
  <c r="C7826" i="23"/>
  <c r="C7825" i="23"/>
  <c r="C7824" i="23"/>
  <c r="C7823" i="23"/>
  <c r="C7822" i="23"/>
  <c r="C7821" i="23"/>
  <c r="C7820" i="23"/>
  <c r="C7819" i="23"/>
  <c r="C7818" i="23"/>
  <c r="C7817" i="23"/>
  <c r="C7816" i="23"/>
  <c r="C7815" i="23"/>
  <c r="C7814" i="23"/>
  <c r="C7813" i="23"/>
  <c r="C7812" i="23"/>
  <c r="C7811" i="23"/>
  <c r="C7810" i="23"/>
  <c r="C7809" i="23"/>
  <c r="C7808" i="23"/>
  <c r="C7807" i="23"/>
  <c r="C7806" i="23"/>
  <c r="C8102" i="23"/>
  <c r="C8101" i="23"/>
  <c r="C8100" i="23"/>
  <c r="C8099" i="23"/>
  <c r="C8098" i="23"/>
  <c r="C8097" i="23"/>
  <c r="C8096" i="23"/>
  <c r="C8095" i="23"/>
  <c r="C8094" i="23"/>
  <c r="C8093" i="23"/>
  <c r="C8092" i="23"/>
  <c r="C8091" i="23"/>
  <c r="C8090" i="23"/>
  <c r="C8089" i="23"/>
  <c r="C8088" i="23"/>
  <c r="C8087" i="23"/>
  <c r="C8086" i="23"/>
  <c r="C8085" i="23"/>
  <c r="C8084" i="23"/>
  <c r="C8083" i="23"/>
  <c r="C8082" i="23"/>
  <c r="C8081" i="23"/>
  <c r="C8080" i="23"/>
  <c r="C8079" i="23"/>
  <c r="C8078" i="23"/>
  <c r="C8077" i="23"/>
  <c r="C8076" i="23"/>
  <c r="C8048" i="23"/>
  <c r="C8047" i="23"/>
  <c r="C8046" i="23"/>
  <c r="C8045" i="23"/>
  <c r="C8044" i="23"/>
  <c r="C8043" i="23"/>
  <c r="C8042" i="23"/>
  <c r="C8041" i="23"/>
  <c r="C8040" i="23"/>
  <c r="C8039" i="23"/>
  <c r="C8038" i="23"/>
  <c r="C8037" i="23"/>
  <c r="C8036" i="23"/>
  <c r="C8035" i="23"/>
  <c r="C8034" i="23"/>
  <c r="C8033" i="23"/>
  <c r="C8032" i="23"/>
  <c r="C8031" i="23"/>
  <c r="C8030" i="23"/>
  <c r="C8029" i="23"/>
  <c r="C8028" i="23"/>
  <c r="C8027" i="23"/>
  <c r="C8026" i="23"/>
  <c r="C8025" i="23"/>
  <c r="C8024" i="23"/>
  <c r="C8023" i="23"/>
  <c r="C8022" i="23"/>
  <c r="C7994" i="23"/>
  <c r="C7993" i="23"/>
  <c r="C7992" i="23"/>
  <c r="C7991" i="23"/>
  <c r="C7990" i="23"/>
  <c r="C7989" i="23"/>
  <c r="C7988" i="23"/>
  <c r="C7987" i="23"/>
  <c r="C7986" i="23"/>
  <c r="C7985" i="23"/>
  <c r="C7984" i="23"/>
  <c r="C7983" i="23"/>
  <c r="C7982" i="23"/>
  <c r="C7981" i="23"/>
  <c r="C7980" i="23"/>
  <c r="C7979" i="23"/>
  <c r="C7978" i="23"/>
  <c r="C7977" i="23"/>
  <c r="C7976" i="23"/>
  <c r="C7975" i="23"/>
  <c r="C7974" i="23"/>
  <c r="C7973" i="23"/>
  <c r="C7972" i="23"/>
  <c r="C7971" i="23"/>
  <c r="C7970" i="23"/>
  <c r="C7969" i="23"/>
  <c r="C7968" i="23"/>
  <c r="C7805" i="23"/>
  <c r="C7804" i="23"/>
  <c r="C7803" i="23"/>
  <c r="C7802" i="23"/>
  <c r="C7801" i="23"/>
  <c r="C7800" i="23"/>
  <c r="C7799" i="23"/>
  <c r="C7798" i="23"/>
  <c r="C7797" i="23"/>
  <c r="C7796" i="23"/>
  <c r="C7795" i="23"/>
  <c r="C7794" i="23"/>
  <c r="C7793" i="23"/>
  <c r="C7792" i="23"/>
  <c r="C7791" i="23"/>
  <c r="C7790" i="23"/>
  <c r="C7789" i="23"/>
  <c r="C7788" i="23"/>
  <c r="C7787" i="23"/>
  <c r="C7786" i="23"/>
  <c r="C7785" i="23"/>
  <c r="C7784" i="23"/>
  <c r="C7783" i="23"/>
  <c r="C7782" i="23"/>
  <c r="C7781" i="23"/>
  <c r="C7780" i="23"/>
  <c r="C7779" i="23"/>
  <c r="C7238" i="23"/>
  <c r="C7237" i="23"/>
  <c r="C7236" i="23"/>
  <c r="C7235" i="23"/>
  <c r="C7234" i="23"/>
  <c r="C7233" i="23"/>
  <c r="C7232" i="23"/>
  <c r="C7231" i="23"/>
  <c r="C7230" i="23"/>
  <c r="C7229" i="23"/>
  <c r="C7228" i="23"/>
  <c r="C7227" i="23"/>
  <c r="C7226" i="23"/>
  <c r="C7225" i="23"/>
  <c r="C7224" i="23"/>
  <c r="C7223" i="23"/>
  <c r="C7222" i="23"/>
  <c r="C7221" i="23"/>
  <c r="C7220" i="23"/>
  <c r="C7219" i="23"/>
  <c r="C7218" i="23"/>
  <c r="C7217" i="23"/>
  <c r="C7216" i="23"/>
  <c r="C7215" i="23"/>
  <c r="C7214" i="23"/>
  <c r="C7213" i="23"/>
  <c r="C7212" i="23"/>
  <c r="C7778" i="23"/>
  <c r="C7777" i="23"/>
  <c r="C7776" i="23"/>
  <c r="C7775" i="23"/>
  <c r="C7774" i="23"/>
  <c r="C7773" i="23"/>
  <c r="C7772" i="23"/>
  <c r="C7771" i="23"/>
  <c r="C7770" i="23"/>
  <c r="C7769" i="23"/>
  <c r="C7768" i="23"/>
  <c r="C7767" i="23"/>
  <c r="C7766" i="23"/>
  <c r="C7765" i="23"/>
  <c r="C7764" i="23"/>
  <c r="C7763" i="23"/>
  <c r="C7762" i="23"/>
  <c r="C7761" i="23"/>
  <c r="C7760" i="23"/>
  <c r="C7759" i="23"/>
  <c r="C7758" i="23"/>
  <c r="C7757" i="23"/>
  <c r="C7756" i="23"/>
  <c r="C7755" i="23"/>
  <c r="C7754" i="23"/>
  <c r="C7753" i="23"/>
  <c r="C7752" i="23"/>
  <c r="C7589" i="23"/>
  <c r="C7588" i="23"/>
  <c r="C7587" i="23"/>
  <c r="C7586" i="23"/>
  <c r="C7585" i="23"/>
  <c r="C7584" i="23"/>
  <c r="C7583" i="23"/>
  <c r="C7582" i="23"/>
  <c r="C7581" i="23"/>
  <c r="C7580" i="23"/>
  <c r="C7579" i="23"/>
  <c r="C7578" i="23"/>
  <c r="C7577" i="23"/>
  <c r="C7576" i="23"/>
  <c r="C7575" i="23"/>
  <c r="C7574" i="23"/>
  <c r="C7573" i="23"/>
  <c r="C7572" i="23"/>
  <c r="C7571" i="23"/>
  <c r="C7570" i="23"/>
  <c r="C7569" i="23"/>
  <c r="C7568" i="23"/>
  <c r="C7567" i="23"/>
  <c r="C7566" i="23"/>
  <c r="C7565" i="23"/>
  <c r="C7564" i="23"/>
  <c r="C7563" i="23"/>
  <c r="C8183" i="23"/>
  <c r="C8182" i="23"/>
  <c r="C8181" i="23"/>
  <c r="C8180" i="23"/>
  <c r="C8179" i="23"/>
  <c r="C8178" i="23"/>
  <c r="C8177" i="23"/>
  <c r="C8176" i="23"/>
  <c r="C8175" i="23"/>
  <c r="C8174" i="23"/>
  <c r="C8173" i="23"/>
  <c r="C8172" i="23"/>
  <c r="C8171" i="23"/>
  <c r="C8170" i="23"/>
  <c r="C8169" i="23"/>
  <c r="C8168" i="23"/>
  <c r="C8167" i="23"/>
  <c r="C8166" i="23"/>
  <c r="C8165" i="23"/>
  <c r="C8164" i="23"/>
  <c r="C8163" i="23"/>
  <c r="C8162" i="23"/>
  <c r="C8161" i="23"/>
  <c r="C8160" i="23"/>
  <c r="C8159" i="23"/>
  <c r="C8158" i="23"/>
  <c r="C8157" i="23"/>
  <c r="C7913" i="23"/>
  <c r="C7912" i="23"/>
  <c r="C7911" i="23"/>
  <c r="C7910" i="23"/>
  <c r="C7909" i="23"/>
  <c r="C7908" i="23"/>
  <c r="C7907" i="23"/>
  <c r="C7906" i="23"/>
  <c r="C7905" i="23"/>
  <c r="C7904" i="23"/>
  <c r="C7903" i="23"/>
  <c r="C7902" i="23"/>
  <c r="C7901" i="23"/>
  <c r="C7900" i="23"/>
  <c r="C7899" i="23"/>
  <c r="C7898" i="23"/>
  <c r="C7897" i="23"/>
  <c r="C7896" i="23"/>
  <c r="C7895" i="23"/>
  <c r="C7894" i="23"/>
  <c r="C7893" i="23"/>
  <c r="C7892" i="23"/>
  <c r="C7891" i="23"/>
  <c r="C7890" i="23"/>
  <c r="C7889" i="23"/>
  <c r="C7888" i="23"/>
  <c r="C7887" i="23"/>
  <c r="C8210" i="23"/>
  <c r="C8209" i="23"/>
  <c r="C8208" i="23"/>
  <c r="C8207" i="23"/>
  <c r="C8206" i="23"/>
  <c r="C8205" i="23"/>
  <c r="C8204" i="23"/>
  <c r="C8203" i="23"/>
  <c r="C8202" i="23"/>
  <c r="C8201" i="23"/>
  <c r="C8200" i="23"/>
  <c r="C8199" i="23"/>
  <c r="C8198" i="23"/>
  <c r="C8197" i="23"/>
  <c r="C8196" i="23"/>
  <c r="C8195" i="23"/>
  <c r="C8194" i="23"/>
  <c r="C8193" i="23"/>
  <c r="C8192" i="23"/>
  <c r="C8191" i="23"/>
  <c r="C8190" i="23"/>
  <c r="C8189" i="23"/>
  <c r="C8188" i="23"/>
  <c r="C8187" i="23"/>
  <c r="C8186" i="23"/>
  <c r="C8185" i="23"/>
  <c r="C8184" i="23"/>
  <c r="C7859" i="23"/>
  <c r="C7858" i="23"/>
  <c r="C7857" i="23"/>
  <c r="C7856" i="23"/>
  <c r="C7855" i="23"/>
  <c r="C7854" i="23"/>
  <c r="C7853" i="23"/>
  <c r="C7852" i="23"/>
  <c r="C7851" i="23"/>
  <c r="C7850" i="23"/>
  <c r="C7849" i="23"/>
  <c r="C7848" i="23"/>
  <c r="C7847" i="23"/>
  <c r="C7846" i="23"/>
  <c r="C7845" i="23"/>
  <c r="C7844" i="23"/>
  <c r="C7843" i="23"/>
  <c r="C7842" i="23"/>
  <c r="C7841" i="23"/>
  <c r="C7840" i="23"/>
  <c r="C7839" i="23"/>
  <c r="C7838" i="23"/>
  <c r="C7837" i="23"/>
  <c r="C7836" i="23"/>
  <c r="C7835" i="23"/>
  <c r="C7834" i="23"/>
  <c r="C7833" i="23"/>
  <c r="C7886" i="23"/>
  <c r="C7885" i="23"/>
  <c r="C7884" i="23"/>
  <c r="C7883" i="23"/>
  <c r="C7882" i="23"/>
  <c r="C7881" i="23"/>
  <c r="C7880" i="23"/>
  <c r="C7879" i="23"/>
  <c r="C7878" i="23"/>
  <c r="C7877" i="23"/>
  <c r="C7876" i="23"/>
  <c r="C7875" i="23"/>
  <c r="C7874" i="23"/>
  <c r="C7873" i="23"/>
  <c r="C7872" i="23"/>
  <c r="C7871" i="23"/>
  <c r="C7870" i="23"/>
  <c r="C7869" i="23"/>
  <c r="C7868" i="23"/>
  <c r="C7867" i="23"/>
  <c r="C7866" i="23"/>
  <c r="C7865" i="23"/>
  <c r="C7864" i="23"/>
  <c r="C7863" i="23"/>
  <c r="C7862" i="23"/>
  <c r="C7861" i="23"/>
  <c r="C7860" i="23"/>
  <c r="C7616" i="23"/>
  <c r="C7615" i="23"/>
  <c r="C7614" i="23"/>
  <c r="C7613" i="23"/>
  <c r="C7612" i="23"/>
  <c r="C7611" i="23"/>
  <c r="C7610" i="23"/>
  <c r="C7609" i="23"/>
  <c r="C7608" i="23"/>
  <c r="C7607" i="23"/>
  <c r="C7606" i="23"/>
  <c r="C7605" i="23"/>
  <c r="C7604" i="23"/>
  <c r="C7603" i="23"/>
  <c r="C7602" i="23"/>
  <c r="C7601" i="23"/>
  <c r="C7600" i="23"/>
  <c r="C7599" i="23"/>
  <c r="C7598" i="23"/>
  <c r="C7597" i="23"/>
  <c r="C7596" i="23"/>
  <c r="C7595" i="23"/>
  <c r="C7594" i="23"/>
  <c r="C7593" i="23"/>
  <c r="C7592" i="23"/>
  <c r="C7591" i="23"/>
  <c r="C7590" i="23"/>
  <c r="C7211" i="23"/>
  <c r="C7210" i="23"/>
  <c r="C7209" i="23"/>
  <c r="C7208" i="23"/>
  <c r="C7207" i="23"/>
  <c r="C7206" i="23"/>
  <c r="C7205" i="23"/>
  <c r="C7204" i="23"/>
  <c r="C7203" i="23"/>
  <c r="C7202" i="23"/>
  <c r="C7201" i="23"/>
  <c r="C7200" i="23"/>
  <c r="C7199" i="23"/>
  <c r="C7198" i="23"/>
  <c r="C7197" i="23"/>
  <c r="C7196" i="23"/>
  <c r="C7195" i="23"/>
  <c r="C7194" i="23"/>
  <c r="C7193" i="23"/>
  <c r="C7192" i="23"/>
  <c r="C7191" i="23"/>
  <c r="C7190" i="23"/>
  <c r="C7189" i="23"/>
  <c r="C7188" i="23"/>
  <c r="C7187" i="23"/>
  <c r="C7186" i="23"/>
  <c r="C7185" i="23"/>
  <c r="C7724" i="23"/>
  <c r="C7723" i="23"/>
  <c r="C7722" i="23"/>
  <c r="C7721" i="23"/>
  <c r="C7720" i="23"/>
  <c r="C7719" i="23"/>
  <c r="C7718" i="23"/>
  <c r="C7717" i="23"/>
  <c r="C7716" i="23"/>
  <c r="C7715" i="23"/>
  <c r="C7714" i="23"/>
  <c r="C7713" i="23"/>
  <c r="C7712" i="23"/>
  <c r="C7711" i="23"/>
  <c r="C7710" i="23"/>
  <c r="C7709" i="23"/>
  <c r="C7708" i="23"/>
  <c r="C7707" i="23"/>
  <c r="C7706" i="23"/>
  <c r="C7705" i="23"/>
  <c r="C7704" i="23"/>
  <c r="C7703" i="23"/>
  <c r="C7702" i="23"/>
  <c r="C7701" i="23"/>
  <c r="C7700" i="23"/>
  <c r="C7699" i="23"/>
  <c r="C7698" i="23"/>
  <c r="C8075" i="23"/>
  <c r="C8074" i="23"/>
  <c r="C8073" i="23"/>
  <c r="C8072" i="23"/>
  <c r="C8071" i="23"/>
  <c r="C8070" i="23"/>
  <c r="C8069" i="23"/>
  <c r="C8068" i="23"/>
  <c r="C8067" i="23"/>
  <c r="C8066" i="23"/>
  <c r="C8065" i="23"/>
  <c r="C8064" i="23"/>
  <c r="C8063" i="23"/>
  <c r="C8062" i="23"/>
  <c r="C8061" i="23"/>
  <c r="C8060" i="23"/>
  <c r="C8059" i="23"/>
  <c r="C8058" i="23"/>
  <c r="C8057" i="23"/>
  <c r="C8056" i="23"/>
  <c r="C8055" i="23"/>
  <c r="C8054" i="23"/>
  <c r="C8053" i="23"/>
  <c r="C8052" i="23"/>
  <c r="C8051" i="23"/>
  <c r="C8050" i="23"/>
  <c r="C8049" i="23"/>
  <c r="C8129" i="23"/>
  <c r="C8128" i="23"/>
  <c r="C8127" i="23"/>
  <c r="C8126" i="23"/>
  <c r="C8125" i="23"/>
  <c r="C8124" i="23"/>
  <c r="C8123" i="23"/>
  <c r="C8122" i="23"/>
  <c r="C8121" i="23"/>
  <c r="C8120" i="23"/>
  <c r="C8119" i="23"/>
  <c r="C8118" i="23"/>
  <c r="C8117" i="23"/>
  <c r="C8116" i="23"/>
  <c r="C8115" i="23"/>
  <c r="C8114" i="23"/>
  <c r="C8113" i="23"/>
  <c r="C8112" i="23"/>
  <c r="C8111" i="23"/>
  <c r="C8110" i="23"/>
  <c r="C8109" i="23"/>
  <c r="C8108" i="23"/>
  <c r="C8107" i="23"/>
  <c r="C8106" i="23"/>
  <c r="C8105" i="23"/>
  <c r="C8104" i="23"/>
  <c r="C8103" i="23"/>
  <c r="C7265" i="23"/>
  <c r="C7264" i="23"/>
  <c r="C7263" i="23"/>
  <c r="C7262" i="23"/>
  <c r="C7261" i="23"/>
  <c r="C7260" i="23"/>
  <c r="C7259" i="23"/>
  <c r="C7258" i="23"/>
  <c r="C7257" i="23"/>
  <c r="C7256" i="23"/>
  <c r="C7255" i="23"/>
  <c r="C7254" i="23"/>
  <c r="C7253" i="23"/>
  <c r="C7252" i="23"/>
  <c r="C7251" i="23"/>
  <c r="C7250" i="23"/>
  <c r="C7249" i="23"/>
  <c r="C7248" i="23"/>
  <c r="C7247" i="23"/>
  <c r="C7246" i="23"/>
  <c r="C7245" i="23"/>
  <c r="C7244" i="23"/>
  <c r="C7243" i="23"/>
  <c r="C7242" i="23"/>
  <c r="C7241" i="23"/>
  <c r="C7240" i="23"/>
  <c r="C7239" i="23"/>
  <c r="C7967" i="23"/>
  <c r="C7966" i="23"/>
  <c r="C7965" i="23"/>
  <c r="C7964" i="23"/>
  <c r="C7963" i="23"/>
  <c r="C7962" i="23"/>
  <c r="C7961" i="23"/>
  <c r="C7960" i="23"/>
  <c r="C7959" i="23"/>
  <c r="C7958" i="23"/>
  <c r="C7957" i="23"/>
  <c r="C7956" i="23"/>
  <c r="C7955" i="23"/>
  <c r="C7954" i="23"/>
  <c r="C7953" i="23"/>
  <c r="C7952" i="23"/>
  <c r="C7951" i="23"/>
  <c r="C7950" i="23"/>
  <c r="C7949" i="23"/>
  <c r="C7948" i="23"/>
  <c r="C7947" i="23"/>
  <c r="C7946" i="23"/>
  <c r="C7945" i="23"/>
  <c r="C7944" i="23"/>
  <c r="C7943" i="23"/>
  <c r="C7942" i="23"/>
  <c r="C7941" i="23"/>
  <c r="B6320" i="23"/>
  <c r="B6319" i="23"/>
  <c r="B6318" i="23"/>
  <c r="B6317" i="23"/>
  <c r="B6316" i="23"/>
  <c r="B6315" i="23"/>
  <c r="B6314" i="23"/>
  <c r="B6313" i="23"/>
  <c r="B6312" i="23"/>
  <c r="B6311" i="23"/>
  <c r="B6310" i="23"/>
  <c r="B6309" i="23"/>
  <c r="B6308" i="23"/>
  <c r="B6307" i="23"/>
  <c r="B6306" i="23"/>
  <c r="B6305" i="23"/>
  <c r="B6304" i="23"/>
  <c r="B6303" i="23"/>
  <c r="B6302" i="23"/>
  <c r="B6301" i="23"/>
  <c r="B6300" i="23"/>
  <c r="B6299" i="23"/>
  <c r="B6298" i="23"/>
  <c r="B6297" i="23"/>
  <c r="B6296" i="23"/>
  <c r="B6295" i="23"/>
  <c r="B6294" i="23"/>
  <c r="B6347" i="23"/>
  <c r="B6346" i="23"/>
  <c r="B6345" i="23"/>
  <c r="B6344" i="23"/>
  <c r="B6343" i="23"/>
  <c r="B6342" i="23"/>
  <c r="B6341" i="23"/>
  <c r="B6340" i="23"/>
  <c r="B6339" i="23"/>
  <c r="B6338" i="23"/>
  <c r="B6337" i="23"/>
  <c r="B6336" i="23"/>
  <c r="B6335" i="23"/>
  <c r="B6334" i="23"/>
  <c r="B6333" i="23"/>
  <c r="B6332" i="23"/>
  <c r="B6331" i="23"/>
  <c r="B6330" i="23"/>
  <c r="B6329" i="23"/>
  <c r="B6328" i="23"/>
  <c r="B6327" i="23"/>
  <c r="B6326" i="23"/>
  <c r="B6325" i="23"/>
  <c r="B6324" i="23"/>
  <c r="B6323" i="23"/>
  <c r="B6322" i="23"/>
  <c r="B6321" i="23"/>
  <c r="B6374" i="23"/>
  <c r="B6373" i="23"/>
  <c r="B6372" i="23"/>
  <c r="B6371" i="23"/>
  <c r="B6370" i="23"/>
  <c r="B6369" i="23"/>
  <c r="B6368" i="23"/>
  <c r="B6367" i="23"/>
  <c r="B6366" i="23"/>
  <c r="B6365" i="23"/>
  <c r="B6364" i="23"/>
  <c r="B6363" i="23"/>
  <c r="B6362" i="23"/>
  <c r="B6361" i="23"/>
  <c r="B6360" i="23"/>
  <c r="B6359" i="23"/>
  <c r="B6358" i="23"/>
  <c r="B6357" i="23"/>
  <c r="B6356" i="23"/>
  <c r="B6355" i="23"/>
  <c r="B6354" i="23"/>
  <c r="B6353" i="23"/>
  <c r="B6352" i="23"/>
  <c r="B6351" i="23"/>
  <c r="B6350" i="23"/>
  <c r="B6349" i="23"/>
  <c r="B6348" i="23"/>
  <c r="B6401" i="23"/>
  <c r="B6400" i="23"/>
  <c r="B6399" i="23"/>
  <c r="B6398" i="23"/>
  <c r="B6397" i="23"/>
  <c r="B6396" i="23"/>
  <c r="B6395" i="23"/>
  <c r="B6394" i="23"/>
  <c r="B6393" i="23"/>
  <c r="B6392" i="23"/>
  <c r="B6391" i="23"/>
  <c r="B6390" i="23"/>
  <c r="B6389" i="23"/>
  <c r="B6388" i="23"/>
  <c r="B6387" i="23"/>
  <c r="B6386" i="23"/>
  <c r="B6385" i="23"/>
  <c r="B6384" i="23"/>
  <c r="B6383" i="23"/>
  <c r="B6382" i="23"/>
  <c r="B6381" i="23"/>
  <c r="B6380" i="23"/>
  <c r="B6379" i="23"/>
  <c r="B6378" i="23"/>
  <c r="B6377" i="23"/>
  <c r="B6376" i="23"/>
  <c r="B6375" i="23"/>
  <c r="B6428" i="23"/>
  <c r="B6427" i="23"/>
  <c r="B6426" i="23"/>
  <c r="B6425" i="23"/>
  <c r="B6424" i="23"/>
  <c r="B6423" i="23"/>
  <c r="B6422" i="23"/>
  <c r="B6421" i="23"/>
  <c r="B6420" i="23"/>
  <c r="B6419" i="23"/>
  <c r="B6418" i="23"/>
  <c r="B6417" i="23"/>
  <c r="B6416" i="23"/>
  <c r="B6415" i="23"/>
  <c r="B6414" i="23"/>
  <c r="B6413" i="23"/>
  <c r="B6412" i="23"/>
  <c r="B6411" i="23"/>
  <c r="B6410" i="23"/>
  <c r="B6409" i="23"/>
  <c r="B6408" i="23"/>
  <c r="B6407" i="23"/>
  <c r="B6406" i="23"/>
  <c r="B6405" i="23"/>
  <c r="B6404" i="23"/>
  <c r="B6403" i="23"/>
  <c r="B6402" i="23"/>
  <c r="B6455" i="23"/>
  <c r="B6454" i="23"/>
  <c r="B6453" i="23"/>
  <c r="B6452" i="23"/>
  <c r="B6451" i="23"/>
  <c r="B6450" i="23"/>
  <c r="B6449" i="23"/>
  <c r="B6448" i="23"/>
  <c r="B6447" i="23"/>
  <c r="B6446" i="23"/>
  <c r="B6445" i="23"/>
  <c r="B6444" i="23"/>
  <c r="B6443" i="23"/>
  <c r="B6442" i="23"/>
  <c r="B6441" i="23"/>
  <c r="B6440" i="23"/>
  <c r="B6439" i="23"/>
  <c r="B6438" i="23"/>
  <c r="B6437" i="23"/>
  <c r="B6436" i="23"/>
  <c r="B6435" i="23"/>
  <c r="B6434" i="23"/>
  <c r="B6433" i="23"/>
  <c r="B6432" i="23"/>
  <c r="B6431" i="23"/>
  <c r="B6430" i="23"/>
  <c r="B6429" i="23"/>
  <c r="B6482" i="23"/>
  <c r="B6481" i="23"/>
  <c r="B6480" i="23"/>
  <c r="B6479" i="23"/>
  <c r="B6478" i="23"/>
  <c r="B6477" i="23"/>
  <c r="B6476" i="23"/>
  <c r="B6475" i="23"/>
  <c r="B6474" i="23"/>
  <c r="B6473" i="23"/>
  <c r="B6472" i="23"/>
  <c r="B6471" i="23"/>
  <c r="B6470" i="23"/>
  <c r="B6469" i="23"/>
  <c r="B6468" i="23"/>
  <c r="B6467" i="23"/>
  <c r="B6466" i="23"/>
  <c r="B6465" i="23"/>
  <c r="B6464" i="23"/>
  <c r="B6463" i="23"/>
  <c r="B6462" i="23"/>
  <c r="B6461" i="23"/>
  <c r="B6460" i="23"/>
  <c r="B6459" i="23"/>
  <c r="B6458" i="23"/>
  <c r="B6457" i="23"/>
  <c r="B6456" i="23"/>
  <c r="B6509" i="23"/>
  <c r="B6508" i="23"/>
  <c r="B6507" i="23"/>
  <c r="B6506" i="23"/>
  <c r="B6505" i="23"/>
  <c r="B6504" i="23"/>
  <c r="B6503" i="23"/>
  <c r="B6502" i="23"/>
  <c r="B6501" i="23"/>
  <c r="B6500" i="23"/>
  <c r="B6499" i="23"/>
  <c r="B6498" i="23"/>
  <c r="B6497" i="23"/>
  <c r="B6496" i="23"/>
  <c r="B6495" i="23"/>
  <c r="B6494" i="23"/>
  <c r="B6493" i="23"/>
  <c r="B6492" i="23"/>
  <c r="B6491" i="23"/>
  <c r="B6490" i="23"/>
  <c r="B6489" i="23"/>
  <c r="B6488" i="23"/>
  <c r="B6487" i="23"/>
  <c r="B6486" i="23"/>
  <c r="B6485" i="23"/>
  <c r="B6484" i="23"/>
  <c r="B6483" i="23"/>
  <c r="B6536" i="23"/>
  <c r="B6535" i="23"/>
  <c r="B6534" i="23"/>
  <c r="B6533" i="23"/>
  <c r="B6532" i="23"/>
  <c r="B6531" i="23"/>
  <c r="B6530" i="23"/>
  <c r="B6529" i="23"/>
  <c r="B6528" i="23"/>
  <c r="B6527" i="23"/>
  <c r="B6526" i="23"/>
  <c r="B6525" i="23"/>
  <c r="B6524" i="23"/>
  <c r="B6523" i="23"/>
  <c r="B6522" i="23"/>
  <c r="B6521" i="23"/>
  <c r="B6520" i="23"/>
  <c r="B6519" i="23"/>
  <c r="B6518" i="23"/>
  <c r="B6517" i="23"/>
  <c r="B6516" i="23"/>
  <c r="B6515" i="23"/>
  <c r="B6514" i="23"/>
  <c r="B6513" i="23"/>
  <c r="B6512" i="23"/>
  <c r="B6511" i="23"/>
  <c r="B6510" i="23"/>
  <c r="B6293" i="23"/>
  <c r="B6292" i="23"/>
  <c r="B6291" i="23"/>
  <c r="B6290" i="23"/>
  <c r="B6289" i="23"/>
  <c r="B6288" i="23"/>
  <c r="B6287" i="23"/>
  <c r="B6286" i="23"/>
  <c r="B6285" i="23"/>
  <c r="B6284" i="23"/>
  <c r="B6283" i="23"/>
  <c r="B6282" i="23"/>
  <c r="B6281" i="23"/>
  <c r="B6280" i="23"/>
  <c r="B6279" i="23"/>
  <c r="B6278" i="23"/>
  <c r="B6277" i="23"/>
  <c r="B6276" i="23"/>
  <c r="B6275" i="23"/>
  <c r="B6274" i="23"/>
  <c r="B6273" i="23"/>
  <c r="B6272" i="23"/>
  <c r="B6271" i="23"/>
  <c r="B6270" i="23"/>
  <c r="B6269" i="23"/>
  <c r="B6268" i="23"/>
  <c r="B6267" i="23"/>
  <c r="B6644" i="23"/>
  <c r="B6643" i="23"/>
  <c r="B6642" i="23"/>
  <c r="B6641" i="23"/>
  <c r="B6640" i="23"/>
  <c r="B6639" i="23"/>
  <c r="B6638" i="23"/>
  <c r="B6637" i="23"/>
  <c r="B6636" i="23"/>
  <c r="B6635" i="23"/>
  <c r="B6634" i="23"/>
  <c r="B6633" i="23"/>
  <c r="B6632" i="23"/>
  <c r="B6631" i="23"/>
  <c r="B6630" i="23"/>
  <c r="B6629" i="23"/>
  <c r="B6628" i="23"/>
  <c r="B6627" i="23"/>
  <c r="B6626" i="23"/>
  <c r="B6625" i="23"/>
  <c r="B6624" i="23"/>
  <c r="B6623" i="23"/>
  <c r="B6622" i="23"/>
  <c r="B6621" i="23"/>
  <c r="B6620" i="23"/>
  <c r="B6619" i="23"/>
  <c r="B6618" i="23"/>
  <c r="B6995" i="23"/>
  <c r="B6994" i="23"/>
  <c r="B6993" i="23"/>
  <c r="B6992" i="23"/>
  <c r="B6991" i="23"/>
  <c r="B6990" i="23"/>
  <c r="B6989" i="23"/>
  <c r="B6988" i="23"/>
  <c r="B6987" i="23"/>
  <c r="B6986" i="23"/>
  <c r="B6985" i="23"/>
  <c r="B6984" i="23"/>
  <c r="B6983" i="23"/>
  <c r="B6982" i="23"/>
  <c r="B6981" i="23"/>
  <c r="B6980" i="23"/>
  <c r="B6979" i="23"/>
  <c r="B6978" i="23"/>
  <c r="B6977" i="23"/>
  <c r="B6976" i="23"/>
  <c r="B6975" i="23"/>
  <c r="B6974" i="23"/>
  <c r="B6973" i="23"/>
  <c r="B6972" i="23"/>
  <c r="B6971" i="23"/>
  <c r="B6970" i="23"/>
  <c r="B6969" i="23"/>
  <c r="B6671" i="23"/>
  <c r="B6670" i="23"/>
  <c r="B6669" i="23"/>
  <c r="B6668" i="23"/>
  <c r="B6667" i="23"/>
  <c r="B6666" i="23"/>
  <c r="B6665" i="23"/>
  <c r="B6664" i="23"/>
  <c r="B6663" i="23"/>
  <c r="B6662" i="23"/>
  <c r="B6661" i="23"/>
  <c r="B6660" i="23"/>
  <c r="B6659" i="23"/>
  <c r="B6658" i="23"/>
  <c r="B6657" i="23"/>
  <c r="B6656" i="23"/>
  <c r="B6655" i="23"/>
  <c r="B6654" i="23"/>
  <c r="B6653" i="23"/>
  <c r="B6652" i="23"/>
  <c r="B6651" i="23"/>
  <c r="B6650" i="23"/>
  <c r="B6649" i="23"/>
  <c r="B6648" i="23"/>
  <c r="B6647" i="23"/>
  <c r="B6646" i="23"/>
  <c r="B6645" i="23"/>
  <c r="B7130" i="23"/>
  <c r="B7129" i="23"/>
  <c r="B7128" i="23"/>
  <c r="B7127" i="23"/>
  <c r="B7126" i="23"/>
  <c r="B7125" i="23"/>
  <c r="B7124" i="23"/>
  <c r="B7123" i="23"/>
  <c r="B7122" i="23"/>
  <c r="B7121" i="23"/>
  <c r="B7120" i="23"/>
  <c r="B7119" i="23"/>
  <c r="B7118" i="23"/>
  <c r="B7117" i="23"/>
  <c r="B7116" i="23"/>
  <c r="B7115" i="23"/>
  <c r="B7114" i="23"/>
  <c r="B7113" i="23"/>
  <c r="B7112" i="23"/>
  <c r="B7111" i="23"/>
  <c r="B7110" i="23"/>
  <c r="B7109" i="23"/>
  <c r="B7108" i="23"/>
  <c r="B7107" i="23"/>
  <c r="B7106" i="23"/>
  <c r="B7105" i="23"/>
  <c r="B7104" i="23"/>
  <c r="B6266" i="23"/>
  <c r="B6265" i="23"/>
  <c r="B6264" i="23"/>
  <c r="B6263" i="23"/>
  <c r="B6262" i="23"/>
  <c r="B6261" i="23"/>
  <c r="B6260" i="23"/>
  <c r="B6259" i="23"/>
  <c r="B6258" i="23"/>
  <c r="B6257" i="23"/>
  <c r="B6256" i="23"/>
  <c r="B6255" i="23"/>
  <c r="B6254" i="23"/>
  <c r="B6253" i="23"/>
  <c r="B6252" i="23"/>
  <c r="B6251" i="23"/>
  <c r="B6250" i="23"/>
  <c r="B6249" i="23"/>
  <c r="B6248" i="23"/>
  <c r="B6247" i="23"/>
  <c r="B6246" i="23"/>
  <c r="B6245" i="23"/>
  <c r="B6244" i="23"/>
  <c r="B6243" i="23"/>
  <c r="B6242" i="23"/>
  <c r="B6241" i="23"/>
  <c r="B6240" i="23"/>
  <c r="B6617" i="23"/>
  <c r="B6616" i="23"/>
  <c r="B6615" i="23"/>
  <c r="B6614" i="23"/>
  <c r="B6613" i="23"/>
  <c r="B6612" i="23"/>
  <c r="B6611" i="23"/>
  <c r="B6610" i="23"/>
  <c r="B6609" i="23"/>
  <c r="B6608" i="23"/>
  <c r="B6607" i="23"/>
  <c r="B6606" i="23"/>
  <c r="B6605" i="23"/>
  <c r="B6604" i="23"/>
  <c r="B6603" i="23"/>
  <c r="B6602" i="23"/>
  <c r="B6601" i="23"/>
  <c r="B6600" i="23"/>
  <c r="B6599" i="23"/>
  <c r="B6598" i="23"/>
  <c r="B6597" i="23"/>
  <c r="B6596" i="23"/>
  <c r="B6595" i="23"/>
  <c r="B6594" i="23"/>
  <c r="B6593" i="23"/>
  <c r="B6592" i="23"/>
  <c r="B6591" i="23"/>
  <c r="B6914" i="23"/>
  <c r="B6913" i="23"/>
  <c r="B6912" i="23"/>
  <c r="B6911" i="23"/>
  <c r="B6910" i="23"/>
  <c r="B6909" i="23"/>
  <c r="B6908" i="23"/>
  <c r="B6907" i="23"/>
  <c r="B6906" i="23"/>
  <c r="B6905" i="23"/>
  <c r="B6904" i="23"/>
  <c r="B6903" i="23"/>
  <c r="B6902" i="23"/>
  <c r="B6901" i="23"/>
  <c r="B6900" i="23"/>
  <c r="B6899" i="23"/>
  <c r="B6898" i="23"/>
  <c r="B6897" i="23"/>
  <c r="B6896" i="23"/>
  <c r="B6895" i="23"/>
  <c r="B6894" i="23"/>
  <c r="B6893" i="23"/>
  <c r="B6892" i="23"/>
  <c r="B6891" i="23"/>
  <c r="B6890" i="23"/>
  <c r="B6889" i="23"/>
  <c r="B6888" i="23"/>
  <c r="B6725" i="23"/>
  <c r="B6724" i="23"/>
  <c r="B6723" i="23"/>
  <c r="B6722" i="23"/>
  <c r="B6721" i="23"/>
  <c r="B6720" i="23"/>
  <c r="B6719" i="23"/>
  <c r="B6718" i="23"/>
  <c r="B6717" i="23"/>
  <c r="B6716" i="23"/>
  <c r="B6715" i="23"/>
  <c r="B6714" i="23"/>
  <c r="B6713" i="23"/>
  <c r="B6712" i="23"/>
  <c r="B6711" i="23"/>
  <c r="B6710" i="23"/>
  <c r="B6709" i="23"/>
  <c r="B6708" i="23"/>
  <c r="B6707" i="23"/>
  <c r="B6706" i="23"/>
  <c r="B6705" i="23"/>
  <c r="B6704" i="23"/>
  <c r="B6703" i="23"/>
  <c r="B6702" i="23"/>
  <c r="B6701" i="23"/>
  <c r="B6700" i="23"/>
  <c r="B6699" i="23"/>
  <c r="B6806" i="23"/>
  <c r="B6805" i="23"/>
  <c r="B6804" i="23"/>
  <c r="B6803" i="23"/>
  <c r="B6802" i="23"/>
  <c r="B6801" i="23"/>
  <c r="B6800" i="23"/>
  <c r="B6799" i="23"/>
  <c r="B6798" i="23"/>
  <c r="B6797" i="23"/>
  <c r="B6796" i="23"/>
  <c r="B6795" i="23"/>
  <c r="B6794" i="23"/>
  <c r="B6793" i="23"/>
  <c r="B6792" i="23"/>
  <c r="B6791" i="23"/>
  <c r="B6790" i="23"/>
  <c r="B6789" i="23"/>
  <c r="B6788" i="23"/>
  <c r="B6787" i="23"/>
  <c r="B6786" i="23"/>
  <c r="B6785" i="23"/>
  <c r="B6784" i="23"/>
  <c r="B6783" i="23"/>
  <c r="B6782" i="23"/>
  <c r="B6781" i="23"/>
  <c r="B6780" i="23"/>
  <c r="B7076" i="23"/>
  <c r="B7075" i="23"/>
  <c r="B7074" i="23"/>
  <c r="B7073" i="23"/>
  <c r="B7072" i="23"/>
  <c r="B7071" i="23"/>
  <c r="B7070" i="23"/>
  <c r="B7069" i="23"/>
  <c r="B7068" i="23"/>
  <c r="B7067" i="23"/>
  <c r="B7066" i="23"/>
  <c r="B7065" i="23"/>
  <c r="B7064" i="23"/>
  <c r="B7063" i="23"/>
  <c r="B7062" i="23"/>
  <c r="B7061" i="23"/>
  <c r="B7060" i="23"/>
  <c r="B7059" i="23"/>
  <c r="B7058" i="23"/>
  <c r="B7057" i="23"/>
  <c r="B7056" i="23"/>
  <c r="B7055" i="23"/>
  <c r="B7054" i="23"/>
  <c r="B7053" i="23"/>
  <c r="B7052" i="23"/>
  <c r="B7051" i="23"/>
  <c r="B7050" i="23"/>
  <c r="B7022" i="23"/>
  <c r="B7021" i="23"/>
  <c r="B7020" i="23"/>
  <c r="B7019" i="23"/>
  <c r="B7018" i="23"/>
  <c r="B7017" i="23"/>
  <c r="B7016" i="23"/>
  <c r="B7015" i="23"/>
  <c r="B7014" i="23"/>
  <c r="B7013" i="23"/>
  <c r="B7012" i="23"/>
  <c r="B7011" i="23"/>
  <c r="B7010" i="23"/>
  <c r="B7009" i="23"/>
  <c r="B7008" i="23"/>
  <c r="B7007" i="23"/>
  <c r="B7006" i="23"/>
  <c r="B7005" i="23"/>
  <c r="B7004" i="23"/>
  <c r="B7003" i="23"/>
  <c r="B7002" i="23"/>
  <c r="B7001" i="23"/>
  <c r="B7000" i="23"/>
  <c r="B6999" i="23"/>
  <c r="B6998" i="23"/>
  <c r="B6997" i="23"/>
  <c r="B6996" i="23"/>
  <c r="B6968" i="23"/>
  <c r="B6967" i="23"/>
  <c r="B6966" i="23"/>
  <c r="B6965" i="23"/>
  <c r="B6964" i="23"/>
  <c r="B6963" i="23"/>
  <c r="B6962" i="23"/>
  <c r="B6961" i="23"/>
  <c r="B6960" i="23"/>
  <c r="B6959" i="23"/>
  <c r="B6958" i="23"/>
  <c r="B6957" i="23"/>
  <c r="B6956" i="23"/>
  <c r="B6955" i="23"/>
  <c r="B6954" i="23"/>
  <c r="B6953" i="23"/>
  <c r="B6952" i="23"/>
  <c r="B6951" i="23"/>
  <c r="B6950" i="23"/>
  <c r="B6949" i="23"/>
  <c r="B6948" i="23"/>
  <c r="B6947" i="23"/>
  <c r="B6946" i="23"/>
  <c r="B6945" i="23"/>
  <c r="B6944" i="23"/>
  <c r="B6943" i="23"/>
  <c r="B6942" i="23"/>
  <c r="B6779" i="23"/>
  <c r="B6778" i="23"/>
  <c r="B6777" i="23"/>
  <c r="B6776" i="23"/>
  <c r="B6775" i="23"/>
  <c r="B6774" i="23"/>
  <c r="B6773" i="23"/>
  <c r="B6772" i="23"/>
  <c r="B6771" i="23"/>
  <c r="B6770" i="23"/>
  <c r="B6769" i="23"/>
  <c r="B6768" i="23"/>
  <c r="B6767" i="23"/>
  <c r="B6766" i="23"/>
  <c r="B6765" i="23"/>
  <c r="B6764" i="23"/>
  <c r="B6763" i="23"/>
  <c r="B6762" i="23"/>
  <c r="B6761" i="23"/>
  <c r="B6760" i="23"/>
  <c r="B6759" i="23"/>
  <c r="B6758" i="23"/>
  <c r="B6757" i="23"/>
  <c r="B6756" i="23"/>
  <c r="B6755" i="23"/>
  <c r="B6754" i="23"/>
  <c r="B6753" i="23"/>
  <c r="B6212" i="23"/>
  <c r="B6211" i="23"/>
  <c r="B6210" i="23"/>
  <c r="B6209" i="23"/>
  <c r="B6208" i="23"/>
  <c r="B6207" i="23"/>
  <c r="B6206" i="23"/>
  <c r="B6205" i="23"/>
  <c r="B6204" i="23"/>
  <c r="B6203" i="23"/>
  <c r="B6202" i="23"/>
  <c r="B6201" i="23"/>
  <c r="B6200" i="23"/>
  <c r="B6199" i="23"/>
  <c r="B6198" i="23"/>
  <c r="B6197" i="23"/>
  <c r="B6196" i="23"/>
  <c r="B6195" i="23"/>
  <c r="B6194" i="23"/>
  <c r="B6193" i="23"/>
  <c r="B6192" i="23"/>
  <c r="B6191" i="23"/>
  <c r="B6190" i="23"/>
  <c r="B6189" i="23"/>
  <c r="B6188" i="23"/>
  <c r="B6187" i="23"/>
  <c r="B6186" i="23"/>
  <c r="B6752" i="23"/>
  <c r="B6751" i="23"/>
  <c r="B6750" i="23"/>
  <c r="B6749" i="23"/>
  <c r="B6748" i="23"/>
  <c r="B6747" i="23"/>
  <c r="B6746" i="23"/>
  <c r="B6745" i="23"/>
  <c r="B6744" i="23"/>
  <c r="B6743" i="23"/>
  <c r="B6742" i="23"/>
  <c r="B6741" i="23"/>
  <c r="B6740" i="23"/>
  <c r="B6739" i="23"/>
  <c r="B6738" i="23"/>
  <c r="B6737" i="23"/>
  <c r="B6736" i="23"/>
  <c r="B6735" i="23"/>
  <c r="B6734" i="23"/>
  <c r="B6733" i="23"/>
  <c r="B6732" i="23"/>
  <c r="B6731" i="23"/>
  <c r="B6730" i="23"/>
  <c r="B6729" i="23"/>
  <c r="B6728" i="23"/>
  <c r="B6727" i="23"/>
  <c r="B6726" i="23"/>
  <c r="B6563" i="23"/>
  <c r="B6562" i="23"/>
  <c r="B6561" i="23"/>
  <c r="B6560" i="23"/>
  <c r="B6559" i="23"/>
  <c r="B6558" i="23"/>
  <c r="B6557" i="23"/>
  <c r="B6556" i="23"/>
  <c r="B6555" i="23"/>
  <c r="B6554" i="23"/>
  <c r="B6553" i="23"/>
  <c r="B6552" i="23"/>
  <c r="B6551" i="23"/>
  <c r="B6550" i="23"/>
  <c r="B6549" i="23"/>
  <c r="B6548" i="23"/>
  <c r="B6547" i="23"/>
  <c r="B6546" i="23"/>
  <c r="B6545" i="23"/>
  <c r="B6544" i="23"/>
  <c r="B6543" i="23"/>
  <c r="B6542" i="23"/>
  <c r="B6541" i="23"/>
  <c r="B6540" i="23"/>
  <c r="B6539" i="23"/>
  <c r="B6538" i="23"/>
  <c r="B6537" i="23"/>
  <c r="B7157" i="23"/>
  <c r="B7156" i="23"/>
  <c r="B7155" i="23"/>
  <c r="B7154" i="23"/>
  <c r="B7153" i="23"/>
  <c r="B7152" i="23"/>
  <c r="B7151" i="23"/>
  <c r="B7150" i="23"/>
  <c r="B7149" i="23"/>
  <c r="B7148" i="23"/>
  <c r="B7147" i="23"/>
  <c r="B7146" i="23"/>
  <c r="B7145" i="23"/>
  <c r="B7144" i="23"/>
  <c r="B7143" i="23"/>
  <c r="B7142" i="23"/>
  <c r="B7141" i="23"/>
  <c r="B7140" i="23"/>
  <c r="B7139" i="23"/>
  <c r="B7138" i="23"/>
  <c r="B7137" i="23"/>
  <c r="B7136" i="23"/>
  <c r="B7135" i="23"/>
  <c r="B7134" i="23"/>
  <c r="B7133" i="23"/>
  <c r="B7132" i="23"/>
  <c r="B7131" i="23"/>
  <c r="B6887" i="23"/>
  <c r="B6886" i="23"/>
  <c r="B6885" i="23"/>
  <c r="B6884" i="23"/>
  <c r="B6883" i="23"/>
  <c r="B6882" i="23"/>
  <c r="B6881" i="23"/>
  <c r="B6880" i="23"/>
  <c r="B6879" i="23"/>
  <c r="B6878" i="23"/>
  <c r="B6877" i="23"/>
  <c r="B6876" i="23"/>
  <c r="B6875" i="23"/>
  <c r="B6874" i="23"/>
  <c r="B6873" i="23"/>
  <c r="B6872" i="23"/>
  <c r="B6871" i="23"/>
  <c r="B6870" i="23"/>
  <c r="B6869" i="23"/>
  <c r="B6868" i="23"/>
  <c r="B6867" i="23"/>
  <c r="B6866" i="23"/>
  <c r="B6865" i="23"/>
  <c r="B6864" i="23"/>
  <c r="B6863" i="23"/>
  <c r="B6862" i="23"/>
  <c r="B6861" i="23"/>
  <c r="B7184" i="23"/>
  <c r="B7183" i="23"/>
  <c r="B7182" i="23"/>
  <c r="B7181" i="23"/>
  <c r="B7180" i="23"/>
  <c r="B7179" i="23"/>
  <c r="B7178" i="23"/>
  <c r="B7177" i="23"/>
  <c r="B7176" i="23"/>
  <c r="B7175" i="23"/>
  <c r="B7174" i="23"/>
  <c r="B7173" i="23"/>
  <c r="B7172" i="23"/>
  <c r="B7171" i="23"/>
  <c r="B7170" i="23"/>
  <c r="B7169" i="23"/>
  <c r="B7168" i="23"/>
  <c r="B7167" i="23"/>
  <c r="B7166" i="23"/>
  <c r="B7165" i="23"/>
  <c r="B7164" i="23"/>
  <c r="B7163" i="23"/>
  <c r="B7162" i="23"/>
  <c r="B7161" i="23"/>
  <c r="B7160" i="23"/>
  <c r="B7159" i="23"/>
  <c r="B7158" i="23"/>
  <c r="B6833" i="23"/>
  <c r="B6832" i="23"/>
  <c r="B6831" i="23"/>
  <c r="B6830" i="23"/>
  <c r="B6829" i="23"/>
  <c r="B6828" i="23"/>
  <c r="B6827" i="23"/>
  <c r="B6826" i="23"/>
  <c r="B6825" i="23"/>
  <c r="B6824" i="23"/>
  <c r="B6823" i="23"/>
  <c r="B6822" i="23"/>
  <c r="B6821" i="23"/>
  <c r="B6820" i="23"/>
  <c r="B6819" i="23"/>
  <c r="B6818" i="23"/>
  <c r="B6817" i="23"/>
  <c r="B6816" i="23"/>
  <c r="B6815" i="23"/>
  <c r="B6814" i="23"/>
  <c r="B6813" i="23"/>
  <c r="B6812" i="23"/>
  <c r="B6811" i="23"/>
  <c r="B6810" i="23"/>
  <c r="B6809" i="23"/>
  <c r="B6808" i="23"/>
  <c r="B6807" i="23"/>
  <c r="B6860" i="23"/>
  <c r="B6859" i="23"/>
  <c r="B6858" i="23"/>
  <c r="B6857" i="23"/>
  <c r="B6856" i="23"/>
  <c r="B6855" i="23"/>
  <c r="B6854" i="23"/>
  <c r="B6853" i="23"/>
  <c r="B6852" i="23"/>
  <c r="B6851" i="23"/>
  <c r="B6850" i="23"/>
  <c r="B6849" i="23"/>
  <c r="B6848" i="23"/>
  <c r="B6847" i="23"/>
  <c r="B6846" i="23"/>
  <c r="B6845" i="23"/>
  <c r="B6844" i="23"/>
  <c r="B6843" i="23"/>
  <c r="B6842" i="23"/>
  <c r="B6841" i="23"/>
  <c r="B6840" i="23"/>
  <c r="B6839" i="23"/>
  <c r="B6838" i="23"/>
  <c r="B6837" i="23"/>
  <c r="B6836" i="23"/>
  <c r="B6835" i="23"/>
  <c r="B6834" i="23"/>
  <c r="B6590" i="23"/>
  <c r="B6589" i="23"/>
  <c r="B6588" i="23"/>
  <c r="B6587" i="23"/>
  <c r="B6586" i="23"/>
  <c r="B6585" i="23"/>
  <c r="B6584" i="23"/>
  <c r="B6583" i="23"/>
  <c r="B6582" i="23"/>
  <c r="B6581" i="23"/>
  <c r="B6580" i="23"/>
  <c r="B6579" i="23"/>
  <c r="B6578" i="23"/>
  <c r="B6577" i="23"/>
  <c r="B6576" i="23"/>
  <c r="B6575" i="23"/>
  <c r="B6574" i="23"/>
  <c r="B6573" i="23"/>
  <c r="B6572" i="23"/>
  <c r="B6571" i="23"/>
  <c r="B6570" i="23"/>
  <c r="B6569" i="23"/>
  <c r="B6568" i="23"/>
  <c r="B6567" i="23"/>
  <c r="B6566" i="23"/>
  <c r="B6565" i="23"/>
  <c r="B6564" i="23"/>
  <c r="B6185" i="23"/>
  <c r="B6184" i="23"/>
  <c r="B6183" i="23"/>
  <c r="B6182" i="23"/>
  <c r="B6181" i="23"/>
  <c r="B6180" i="23"/>
  <c r="B6179" i="23"/>
  <c r="B6178" i="23"/>
  <c r="B6177" i="23"/>
  <c r="B6176" i="23"/>
  <c r="B6175" i="23"/>
  <c r="B6174" i="23"/>
  <c r="B6173" i="23"/>
  <c r="B6172" i="23"/>
  <c r="B6171" i="23"/>
  <c r="B6170" i="23"/>
  <c r="B6169" i="23"/>
  <c r="B6168" i="23"/>
  <c r="B6167" i="23"/>
  <c r="B6166" i="23"/>
  <c r="B6165" i="23"/>
  <c r="B6164" i="23"/>
  <c r="B6163" i="23"/>
  <c r="B6162" i="23"/>
  <c r="B6161" i="23"/>
  <c r="B6160" i="23"/>
  <c r="B6159" i="23"/>
  <c r="B6698" i="23"/>
  <c r="B6697" i="23"/>
  <c r="B6696" i="23"/>
  <c r="B6695" i="23"/>
  <c r="B6694" i="23"/>
  <c r="B6693" i="23"/>
  <c r="B6692" i="23"/>
  <c r="B6691" i="23"/>
  <c r="B6690" i="23"/>
  <c r="B6689" i="23"/>
  <c r="B6688" i="23"/>
  <c r="B6687" i="23"/>
  <c r="B6686" i="23"/>
  <c r="B6685" i="23"/>
  <c r="B6684" i="23"/>
  <c r="B6683" i="23"/>
  <c r="B6682" i="23"/>
  <c r="B6681" i="23"/>
  <c r="B6680" i="23"/>
  <c r="B6679" i="23"/>
  <c r="B6678" i="23"/>
  <c r="B6677" i="23"/>
  <c r="B6676" i="23"/>
  <c r="B6675" i="23"/>
  <c r="B6674" i="23"/>
  <c r="B6673" i="23"/>
  <c r="B6672" i="23"/>
  <c r="B7049" i="23"/>
  <c r="B7048" i="23"/>
  <c r="B7047" i="23"/>
  <c r="B7046" i="23"/>
  <c r="B7045" i="23"/>
  <c r="B7044" i="23"/>
  <c r="B7043" i="23"/>
  <c r="B7042" i="23"/>
  <c r="B7041" i="23"/>
  <c r="B7040" i="23"/>
  <c r="B7039" i="23"/>
  <c r="B7038" i="23"/>
  <c r="B7037" i="23"/>
  <c r="B7036" i="23"/>
  <c r="B7035" i="23"/>
  <c r="B7034" i="23"/>
  <c r="B7033" i="23"/>
  <c r="B7032" i="23"/>
  <c r="B7031" i="23"/>
  <c r="B7030" i="23"/>
  <c r="B7029" i="23"/>
  <c r="B7028" i="23"/>
  <c r="B7027" i="23"/>
  <c r="B7026" i="23"/>
  <c r="B7025" i="23"/>
  <c r="B7024" i="23"/>
  <c r="B7023" i="23"/>
  <c r="B7103" i="23"/>
  <c r="B7102" i="23"/>
  <c r="B7101" i="23"/>
  <c r="B7100" i="23"/>
  <c r="B7099" i="23"/>
  <c r="B7098" i="23"/>
  <c r="B7097" i="23"/>
  <c r="B7096" i="23"/>
  <c r="B7095" i="23"/>
  <c r="B7094" i="23"/>
  <c r="B7093" i="23"/>
  <c r="B7092" i="23"/>
  <c r="B7091" i="23"/>
  <c r="B7090" i="23"/>
  <c r="B7089" i="23"/>
  <c r="B7088" i="23"/>
  <c r="B7087" i="23"/>
  <c r="B7086" i="23"/>
  <c r="B7085" i="23"/>
  <c r="B7084" i="23"/>
  <c r="B7083" i="23"/>
  <c r="B7082" i="23"/>
  <c r="B7081" i="23"/>
  <c r="B7080" i="23"/>
  <c r="B7079" i="23"/>
  <c r="B7078" i="23"/>
  <c r="B7077" i="23"/>
  <c r="B6239" i="23"/>
  <c r="B6238" i="23"/>
  <c r="B6237" i="23"/>
  <c r="B6236" i="23"/>
  <c r="B6235" i="23"/>
  <c r="B6234" i="23"/>
  <c r="B6233" i="23"/>
  <c r="B6232" i="23"/>
  <c r="B6231" i="23"/>
  <c r="B6230" i="23"/>
  <c r="B6229" i="23"/>
  <c r="B6228" i="23"/>
  <c r="B6227" i="23"/>
  <c r="B6226" i="23"/>
  <c r="B6225" i="23"/>
  <c r="B6224" i="23"/>
  <c r="B6223" i="23"/>
  <c r="B6222" i="23"/>
  <c r="B6221" i="23"/>
  <c r="B6220" i="23"/>
  <c r="B6219" i="23"/>
  <c r="B6218" i="23"/>
  <c r="B6217" i="23"/>
  <c r="B6216" i="23"/>
  <c r="B6215" i="23"/>
  <c r="B6214" i="23"/>
  <c r="B6213" i="23"/>
  <c r="B6941" i="23"/>
  <c r="B6940" i="23"/>
  <c r="B6939" i="23"/>
  <c r="B6938" i="23"/>
  <c r="B6937" i="23"/>
  <c r="B6936" i="23"/>
  <c r="B6935" i="23"/>
  <c r="B6934" i="23"/>
  <c r="B6933" i="23"/>
  <c r="B6932" i="23"/>
  <c r="B6931" i="23"/>
  <c r="B6930" i="23"/>
  <c r="B6929" i="23"/>
  <c r="B6928" i="23"/>
  <c r="B6927" i="23"/>
  <c r="B6926" i="23"/>
  <c r="B6925" i="23"/>
  <c r="B6924" i="23"/>
  <c r="B6923" i="23"/>
  <c r="B6922" i="23"/>
  <c r="B6921" i="23"/>
  <c r="B6920" i="23"/>
  <c r="B6919" i="23"/>
  <c r="B6918" i="23"/>
  <c r="B6917" i="23"/>
  <c r="B6916" i="23"/>
  <c r="B6915" i="23"/>
  <c r="C6320" i="23"/>
  <c r="C6319" i="23"/>
  <c r="C6318" i="23"/>
  <c r="C6317" i="23"/>
  <c r="C6316" i="23"/>
  <c r="C6315" i="23"/>
  <c r="C6314" i="23"/>
  <c r="C6313" i="23"/>
  <c r="C6312" i="23"/>
  <c r="C6311" i="23"/>
  <c r="C6310" i="23"/>
  <c r="C6309" i="23"/>
  <c r="C6308" i="23"/>
  <c r="C6307" i="23"/>
  <c r="C6306" i="23"/>
  <c r="C6305" i="23"/>
  <c r="C6304" i="23"/>
  <c r="C6303" i="23"/>
  <c r="C6302" i="23"/>
  <c r="C6301" i="23"/>
  <c r="C6300" i="23"/>
  <c r="C6299" i="23"/>
  <c r="C6298" i="23"/>
  <c r="C6297" i="23"/>
  <c r="C6296" i="23"/>
  <c r="C6295" i="23"/>
  <c r="C6294" i="23"/>
  <c r="C6347" i="23"/>
  <c r="C6346" i="23"/>
  <c r="C6345" i="23"/>
  <c r="C6344" i="23"/>
  <c r="C6343" i="23"/>
  <c r="C6342" i="23"/>
  <c r="C6341" i="23"/>
  <c r="C6340" i="23"/>
  <c r="C6339" i="23"/>
  <c r="C6338" i="23"/>
  <c r="C6337" i="23"/>
  <c r="C6336" i="23"/>
  <c r="C6335" i="23"/>
  <c r="C6334" i="23"/>
  <c r="C6333" i="23"/>
  <c r="C6332" i="23"/>
  <c r="C6331" i="23"/>
  <c r="C6330" i="23"/>
  <c r="C6329" i="23"/>
  <c r="C6328" i="23"/>
  <c r="C6327" i="23"/>
  <c r="C6326" i="23"/>
  <c r="C6325" i="23"/>
  <c r="C6324" i="23"/>
  <c r="C6323" i="23"/>
  <c r="C6322" i="23"/>
  <c r="C6321" i="23"/>
  <c r="C6374" i="23"/>
  <c r="C6373" i="23"/>
  <c r="C6372" i="23"/>
  <c r="C6371" i="23"/>
  <c r="C6370" i="23"/>
  <c r="C6369" i="23"/>
  <c r="C6368" i="23"/>
  <c r="C6367" i="23"/>
  <c r="C6366" i="23"/>
  <c r="C6365" i="23"/>
  <c r="C6364" i="23"/>
  <c r="C6363" i="23"/>
  <c r="C6362" i="23"/>
  <c r="C6361" i="23"/>
  <c r="C6360" i="23"/>
  <c r="C6359" i="23"/>
  <c r="C6358" i="23"/>
  <c r="C6357" i="23"/>
  <c r="C6356" i="23"/>
  <c r="C6355" i="23"/>
  <c r="C6354" i="23"/>
  <c r="C6353" i="23"/>
  <c r="C6352" i="23"/>
  <c r="C6351" i="23"/>
  <c r="C6350" i="23"/>
  <c r="C6349" i="23"/>
  <c r="C6348" i="23"/>
  <c r="C6401" i="23"/>
  <c r="C6400" i="23"/>
  <c r="C6399" i="23"/>
  <c r="C6398" i="23"/>
  <c r="C6397" i="23"/>
  <c r="C6396" i="23"/>
  <c r="C6395" i="23"/>
  <c r="C6394" i="23"/>
  <c r="C6393" i="23"/>
  <c r="C6392" i="23"/>
  <c r="C6391" i="23"/>
  <c r="C6390" i="23"/>
  <c r="C6389" i="23"/>
  <c r="C6388" i="23"/>
  <c r="C6387" i="23"/>
  <c r="C6386" i="23"/>
  <c r="C6385" i="23"/>
  <c r="C6384" i="23"/>
  <c r="C6383" i="23"/>
  <c r="C6382" i="23"/>
  <c r="C6381" i="23"/>
  <c r="C6380" i="23"/>
  <c r="C6379" i="23"/>
  <c r="C6378" i="23"/>
  <c r="C6377" i="23"/>
  <c r="C6376" i="23"/>
  <c r="C6375" i="23"/>
  <c r="C6428" i="23"/>
  <c r="C6427" i="23"/>
  <c r="C6426" i="23"/>
  <c r="C6425" i="23"/>
  <c r="C6424" i="23"/>
  <c r="C6423" i="23"/>
  <c r="C6422" i="23"/>
  <c r="C6421" i="23"/>
  <c r="C6420" i="23"/>
  <c r="C6419" i="23"/>
  <c r="C6418" i="23"/>
  <c r="C6417" i="23"/>
  <c r="C6416" i="23"/>
  <c r="C6415" i="23"/>
  <c r="C6414" i="23"/>
  <c r="C6413" i="23"/>
  <c r="C6412" i="23"/>
  <c r="C6411" i="23"/>
  <c r="C6410" i="23"/>
  <c r="C6409" i="23"/>
  <c r="C6408" i="23"/>
  <c r="C6407" i="23"/>
  <c r="C6406" i="23"/>
  <c r="C6405" i="23"/>
  <c r="C6404" i="23"/>
  <c r="C6403" i="23"/>
  <c r="C6402" i="23"/>
  <c r="C6455" i="23"/>
  <c r="C6454" i="23"/>
  <c r="C6453" i="23"/>
  <c r="C6452" i="23"/>
  <c r="C6451" i="23"/>
  <c r="C6450" i="23"/>
  <c r="C6449" i="23"/>
  <c r="C6448" i="23"/>
  <c r="C6447" i="23"/>
  <c r="C6446" i="23"/>
  <c r="C6445" i="23"/>
  <c r="C6444" i="23"/>
  <c r="C6443" i="23"/>
  <c r="C6442" i="23"/>
  <c r="C6441" i="23"/>
  <c r="C6440" i="23"/>
  <c r="C6439" i="23"/>
  <c r="C6438" i="23"/>
  <c r="C6437" i="23"/>
  <c r="C6436" i="23"/>
  <c r="C6435" i="23"/>
  <c r="C6434" i="23"/>
  <c r="C6433" i="23"/>
  <c r="C6432" i="23"/>
  <c r="C6431" i="23"/>
  <c r="C6430" i="23"/>
  <c r="C6429" i="23"/>
  <c r="C6482" i="23"/>
  <c r="C6481" i="23"/>
  <c r="C6480" i="23"/>
  <c r="C6479" i="23"/>
  <c r="C6478" i="23"/>
  <c r="C6477" i="23"/>
  <c r="C6476" i="23"/>
  <c r="C6475" i="23"/>
  <c r="C6474" i="23"/>
  <c r="C6473" i="23"/>
  <c r="C6472" i="23"/>
  <c r="C6471" i="23"/>
  <c r="C6470" i="23"/>
  <c r="C6469" i="23"/>
  <c r="C6468" i="23"/>
  <c r="C6467" i="23"/>
  <c r="C6466" i="23"/>
  <c r="C6465" i="23"/>
  <c r="C6464" i="23"/>
  <c r="C6463" i="23"/>
  <c r="C6462" i="23"/>
  <c r="C6461" i="23"/>
  <c r="C6460" i="23"/>
  <c r="C6459" i="23"/>
  <c r="C6458" i="23"/>
  <c r="C6457" i="23"/>
  <c r="C6456" i="23"/>
  <c r="C6509" i="23"/>
  <c r="C6508" i="23"/>
  <c r="C6507" i="23"/>
  <c r="C6506" i="23"/>
  <c r="C6505" i="23"/>
  <c r="C6504" i="23"/>
  <c r="C6503" i="23"/>
  <c r="C6502" i="23"/>
  <c r="C6501" i="23"/>
  <c r="C6500" i="23"/>
  <c r="C6499" i="23"/>
  <c r="C6498" i="23"/>
  <c r="C6497" i="23"/>
  <c r="C6496" i="23"/>
  <c r="C6495" i="23"/>
  <c r="C6494" i="23"/>
  <c r="C6493" i="23"/>
  <c r="C6492" i="23"/>
  <c r="C6491" i="23"/>
  <c r="C6490" i="23"/>
  <c r="C6489" i="23"/>
  <c r="C6488" i="23"/>
  <c r="C6487" i="23"/>
  <c r="C6486" i="23"/>
  <c r="C6485" i="23"/>
  <c r="C6484" i="23"/>
  <c r="C6483" i="23"/>
  <c r="C6536" i="23"/>
  <c r="C6535" i="23"/>
  <c r="C6534" i="23"/>
  <c r="C6533" i="23"/>
  <c r="C6532" i="23"/>
  <c r="C6531" i="23"/>
  <c r="C6530" i="23"/>
  <c r="C6529" i="23"/>
  <c r="C6528" i="23"/>
  <c r="C6527" i="23"/>
  <c r="C6526" i="23"/>
  <c r="C6525" i="23"/>
  <c r="C6524" i="23"/>
  <c r="C6523" i="23"/>
  <c r="C6522" i="23"/>
  <c r="C6521" i="23"/>
  <c r="C6520" i="23"/>
  <c r="C6519" i="23"/>
  <c r="C6518" i="23"/>
  <c r="C6517" i="23"/>
  <c r="C6516" i="23"/>
  <c r="C6515" i="23"/>
  <c r="C6514" i="23"/>
  <c r="C6513" i="23"/>
  <c r="C6512" i="23"/>
  <c r="C6511" i="23"/>
  <c r="C6510" i="23"/>
  <c r="C6293" i="23"/>
  <c r="C6292" i="23"/>
  <c r="C6291" i="23"/>
  <c r="C6290" i="23"/>
  <c r="C6289" i="23"/>
  <c r="C6288" i="23"/>
  <c r="C6287" i="23"/>
  <c r="C6286" i="23"/>
  <c r="C6285" i="23"/>
  <c r="C6284" i="23"/>
  <c r="C6283" i="23"/>
  <c r="C6282" i="23"/>
  <c r="C6281" i="23"/>
  <c r="C6280" i="23"/>
  <c r="C6279" i="23"/>
  <c r="C6278" i="23"/>
  <c r="C6277" i="23"/>
  <c r="C6276" i="23"/>
  <c r="C6275" i="23"/>
  <c r="C6274" i="23"/>
  <c r="C6273" i="23"/>
  <c r="C6272" i="23"/>
  <c r="C6271" i="23"/>
  <c r="C6270" i="23"/>
  <c r="C6269" i="23"/>
  <c r="C6268" i="23"/>
  <c r="C6267" i="23"/>
  <c r="C6644" i="23"/>
  <c r="C6643" i="23"/>
  <c r="C6642" i="23"/>
  <c r="C6641" i="23"/>
  <c r="C6640" i="23"/>
  <c r="C6639" i="23"/>
  <c r="C6638" i="23"/>
  <c r="C6637" i="23"/>
  <c r="C6636" i="23"/>
  <c r="C6635" i="23"/>
  <c r="C6634" i="23"/>
  <c r="C6633" i="23"/>
  <c r="C6632" i="23"/>
  <c r="C6631" i="23"/>
  <c r="C6630" i="23"/>
  <c r="C6629" i="23"/>
  <c r="C6628" i="23"/>
  <c r="C6627" i="23"/>
  <c r="C6626" i="23"/>
  <c r="C6625" i="23"/>
  <c r="C6624" i="23"/>
  <c r="C6623" i="23"/>
  <c r="C6622" i="23"/>
  <c r="C6621" i="23"/>
  <c r="C6620" i="23"/>
  <c r="C6619" i="23"/>
  <c r="C6618" i="23"/>
  <c r="C6995" i="23"/>
  <c r="C6994" i="23"/>
  <c r="C6993" i="23"/>
  <c r="C6992" i="23"/>
  <c r="C6991" i="23"/>
  <c r="C6990" i="23"/>
  <c r="C6989" i="23"/>
  <c r="C6988" i="23"/>
  <c r="C6987" i="23"/>
  <c r="C6986" i="23"/>
  <c r="C6985" i="23"/>
  <c r="C6984" i="23"/>
  <c r="C6983" i="23"/>
  <c r="C6982" i="23"/>
  <c r="C6981" i="23"/>
  <c r="C6980" i="23"/>
  <c r="C6979" i="23"/>
  <c r="C6978" i="23"/>
  <c r="C6977" i="23"/>
  <c r="C6976" i="23"/>
  <c r="C6975" i="23"/>
  <c r="C6974" i="23"/>
  <c r="C6973" i="23"/>
  <c r="C6972" i="23"/>
  <c r="C6971" i="23"/>
  <c r="C6970" i="23"/>
  <c r="C6969" i="23"/>
  <c r="C6671" i="23"/>
  <c r="C6670" i="23"/>
  <c r="C6669" i="23"/>
  <c r="C6668" i="23"/>
  <c r="C6667" i="23"/>
  <c r="C6666" i="23"/>
  <c r="C6665" i="23"/>
  <c r="C6664" i="23"/>
  <c r="C6663" i="23"/>
  <c r="C6662" i="23"/>
  <c r="C6661" i="23"/>
  <c r="C6660" i="23"/>
  <c r="C6659" i="23"/>
  <c r="C6658" i="23"/>
  <c r="C6657" i="23"/>
  <c r="C6656" i="23"/>
  <c r="C6655" i="23"/>
  <c r="C6654" i="23"/>
  <c r="C6653" i="23"/>
  <c r="C6652" i="23"/>
  <c r="C6651" i="23"/>
  <c r="C6650" i="23"/>
  <c r="C6649" i="23"/>
  <c r="C6648" i="23"/>
  <c r="C6647" i="23"/>
  <c r="C6646" i="23"/>
  <c r="C6645" i="23"/>
  <c r="C7130" i="23"/>
  <c r="C7129" i="23"/>
  <c r="C7128" i="23"/>
  <c r="C7127" i="23"/>
  <c r="C7126" i="23"/>
  <c r="C7125" i="23"/>
  <c r="C7124" i="23"/>
  <c r="C7123" i="23"/>
  <c r="C7122" i="23"/>
  <c r="C7121" i="23"/>
  <c r="C7120" i="23"/>
  <c r="C7119" i="23"/>
  <c r="C7118" i="23"/>
  <c r="C7117" i="23"/>
  <c r="C7116" i="23"/>
  <c r="C7115" i="23"/>
  <c r="C7114" i="23"/>
  <c r="C7113" i="23"/>
  <c r="C7112" i="23"/>
  <c r="C7111" i="23"/>
  <c r="C7110" i="23"/>
  <c r="C7109" i="23"/>
  <c r="C7108" i="23"/>
  <c r="C7107" i="23"/>
  <c r="C7106" i="23"/>
  <c r="C7105" i="23"/>
  <c r="C7104" i="23"/>
  <c r="C6266" i="23"/>
  <c r="C6265" i="23"/>
  <c r="C6264" i="23"/>
  <c r="C6263" i="23"/>
  <c r="C6262" i="23"/>
  <c r="C6261" i="23"/>
  <c r="C6260" i="23"/>
  <c r="C6259" i="23"/>
  <c r="C6258" i="23"/>
  <c r="C6257" i="23"/>
  <c r="C6256" i="23"/>
  <c r="C6255" i="23"/>
  <c r="C6254" i="23"/>
  <c r="C6253" i="23"/>
  <c r="C6252" i="23"/>
  <c r="C6251" i="23"/>
  <c r="C6250" i="23"/>
  <c r="C6249" i="23"/>
  <c r="C6248" i="23"/>
  <c r="C6247" i="23"/>
  <c r="C6246" i="23"/>
  <c r="C6245" i="23"/>
  <c r="C6244" i="23"/>
  <c r="C6243" i="23"/>
  <c r="C6242" i="23"/>
  <c r="C6241" i="23"/>
  <c r="C6240" i="23"/>
  <c r="C6617" i="23"/>
  <c r="C6616" i="23"/>
  <c r="C6615" i="23"/>
  <c r="C6614" i="23"/>
  <c r="C6613" i="23"/>
  <c r="C6612" i="23"/>
  <c r="C6611" i="23"/>
  <c r="C6610" i="23"/>
  <c r="C6609" i="23"/>
  <c r="C6608" i="23"/>
  <c r="C6607" i="23"/>
  <c r="C6606" i="23"/>
  <c r="C6605" i="23"/>
  <c r="C6604" i="23"/>
  <c r="C6603" i="23"/>
  <c r="C6602" i="23"/>
  <c r="C6601" i="23"/>
  <c r="C6600" i="23"/>
  <c r="C6599" i="23"/>
  <c r="C6598" i="23"/>
  <c r="C6597" i="23"/>
  <c r="C6596" i="23"/>
  <c r="C6595" i="23"/>
  <c r="C6594" i="23"/>
  <c r="C6593" i="23"/>
  <c r="C6592" i="23"/>
  <c r="C6591" i="23"/>
  <c r="C6914" i="23"/>
  <c r="C6913" i="23"/>
  <c r="C6912" i="23"/>
  <c r="C6911" i="23"/>
  <c r="C6910" i="23"/>
  <c r="C6909" i="23"/>
  <c r="C6908" i="23"/>
  <c r="C6907" i="23"/>
  <c r="C6906" i="23"/>
  <c r="C6905" i="23"/>
  <c r="C6904" i="23"/>
  <c r="C6903" i="23"/>
  <c r="C6902" i="23"/>
  <c r="C6901" i="23"/>
  <c r="C6900" i="23"/>
  <c r="C6899" i="23"/>
  <c r="C6898" i="23"/>
  <c r="C6897" i="23"/>
  <c r="C6896" i="23"/>
  <c r="C6895" i="23"/>
  <c r="C6894" i="23"/>
  <c r="C6893" i="23"/>
  <c r="C6892" i="23"/>
  <c r="C6891" i="23"/>
  <c r="C6890" i="23"/>
  <c r="C6889" i="23"/>
  <c r="C6888" i="23"/>
  <c r="C6725" i="23"/>
  <c r="C6724" i="23"/>
  <c r="C6723" i="23"/>
  <c r="C6722" i="23"/>
  <c r="C6721" i="23"/>
  <c r="C6720" i="23"/>
  <c r="C6719" i="23"/>
  <c r="C6718" i="23"/>
  <c r="C6717" i="23"/>
  <c r="C6716" i="23"/>
  <c r="C6715" i="23"/>
  <c r="C6714" i="23"/>
  <c r="C6713" i="23"/>
  <c r="C6712" i="23"/>
  <c r="C6711" i="23"/>
  <c r="C6710" i="23"/>
  <c r="C6709" i="23"/>
  <c r="C6708" i="23"/>
  <c r="C6707" i="23"/>
  <c r="C6706" i="23"/>
  <c r="C6705" i="23"/>
  <c r="C6704" i="23"/>
  <c r="C6703" i="23"/>
  <c r="C6702" i="23"/>
  <c r="C6701" i="23"/>
  <c r="C6700" i="23"/>
  <c r="C6699" i="23"/>
  <c r="C6806" i="23"/>
  <c r="C6805" i="23"/>
  <c r="C6804" i="23"/>
  <c r="C6803" i="23"/>
  <c r="C6802" i="23"/>
  <c r="C6801" i="23"/>
  <c r="C6800" i="23"/>
  <c r="C6799" i="23"/>
  <c r="C6798" i="23"/>
  <c r="C6797" i="23"/>
  <c r="C6796" i="23"/>
  <c r="C6795" i="23"/>
  <c r="C6794" i="23"/>
  <c r="C6793" i="23"/>
  <c r="C6792" i="23"/>
  <c r="C6791" i="23"/>
  <c r="C6790" i="23"/>
  <c r="C6789" i="23"/>
  <c r="C6788" i="23"/>
  <c r="C6787" i="23"/>
  <c r="C6786" i="23"/>
  <c r="C6785" i="23"/>
  <c r="C6784" i="23"/>
  <c r="C6783" i="23"/>
  <c r="C6782" i="23"/>
  <c r="C6781" i="23"/>
  <c r="C6780" i="23"/>
  <c r="C7076" i="23"/>
  <c r="C7075" i="23"/>
  <c r="C7074" i="23"/>
  <c r="C7073" i="23"/>
  <c r="C7072" i="23"/>
  <c r="C7071" i="23"/>
  <c r="C7070" i="23"/>
  <c r="C7069" i="23"/>
  <c r="C7068" i="23"/>
  <c r="C7067" i="23"/>
  <c r="C7066" i="23"/>
  <c r="C7065" i="23"/>
  <c r="C7064" i="23"/>
  <c r="C7063" i="23"/>
  <c r="C7062" i="23"/>
  <c r="C7061" i="23"/>
  <c r="C7060" i="23"/>
  <c r="C7059" i="23"/>
  <c r="C7058" i="23"/>
  <c r="C7057" i="23"/>
  <c r="C7056" i="23"/>
  <c r="C7055" i="23"/>
  <c r="C7054" i="23"/>
  <c r="C7053" i="23"/>
  <c r="C7052" i="23"/>
  <c r="C7051" i="23"/>
  <c r="C7050" i="23"/>
  <c r="C7022" i="23"/>
  <c r="C7021" i="23"/>
  <c r="C7020" i="23"/>
  <c r="C7019" i="23"/>
  <c r="C7018" i="23"/>
  <c r="C7017" i="23"/>
  <c r="C7016" i="23"/>
  <c r="C7015" i="23"/>
  <c r="C7014" i="23"/>
  <c r="C7013" i="23"/>
  <c r="C7012" i="23"/>
  <c r="C7011" i="23"/>
  <c r="C7010" i="23"/>
  <c r="C7009" i="23"/>
  <c r="C7008" i="23"/>
  <c r="C7007" i="23"/>
  <c r="C7006" i="23"/>
  <c r="C7005" i="23"/>
  <c r="C7004" i="23"/>
  <c r="C7003" i="23"/>
  <c r="C7002" i="23"/>
  <c r="C7001" i="23"/>
  <c r="C7000" i="23"/>
  <c r="C6999" i="23"/>
  <c r="C6998" i="23"/>
  <c r="C6997" i="23"/>
  <c r="C6996" i="23"/>
  <c r="C6968" i="23"/>
  <c r="C6967" i="23"/>
  <c r="C6966" i="23"/>
  <c r="C6965" i="23"/>
  <c r="C6964" i="23"/>
  <c r="C6963" i="23"/>
  <c r="C6962" i="23"/>
  <c r="C6961" i="23"/>
  <c r="C6960" i="23"/>
  <c r="C6959" i="23"/>
  <c r="C6958" i="23"/>
  <c r="C6957" i="23"/>
  <c r="C6956" i="23"/>
  <c r="C6955" i="23"/>
  <c r="C6954" i="23"/>
  <c r="C6953" i="23"/>
  <c r="C6952" i="23"/>
  <c r="C6951" i="23"/>
  <c r="C6950" i="23"/>
  <c r="C6949" i="23"/>
  <c r="C6948" i="23"/>
  <c r="C6947" i="23"/>
  <c r="C6946" i="23"/>
  <c r="C6945" i="23"/>
  <c r="C6944" i="23"/>
  <c r="C6943" i="23"/>
  <c r="C6942" i="23"/>
  <c r="C6779" i="23"/>
  <c r="C6778" i="23"/>
  <c r="C6777" i="23"/>
  <c r="C6776" i="23"/>
  <c r="C6775" i="23"/>
  <c r="C6774" i="23"/>
  <c r="C6773" i="23"/>
  <c r="C6772" i="23"/>
  <c r="C6771" i="23"/>
  <c r="C6770" i="23"/>
  <c r="C6769" i="23"/>
  <c r="C6768" i="23"/>
  <c r="C6767" i="23"/>
  <c r="C6766" i="23"/>
  <c r="C6765" i="23"/>
  <c r="C6764" i="23"/>
  <c r="C6763" i="23"/>
  <c r="C6762" i="23"/>
  <c r="C6761" i="23"/>
  <c r="C6760" i="23"/>
  <c r="C6759" i="23"/>
  <c r="C6758" i="23"/>
  <c r="C6757" i="23"/>
  <c r="C6756" i="23"/>
  <c r="C6755" i="23"/>
  <c r="C6754" i="23"/>
  <c r="C6753" i="23"/>
  <c r="C6212" i="23"/>
  <c r="C6211" i="23"/>
  <c r="C6210" i="23"/>
  <c r="C6209" i="23"/>
  <c r="C6208" i="23"/>
  <c r="C6207" i="23"/>
  <c r="C6206" i="23"/>
  <c r="C6205" i="23"/>
  <c r="C6204" i="23"/>
  <c r="C6203" i="23"/>
  <c r="C6202" i="23"/>
  <c r="C6201" i="23"/>
  <c r="C6200" i="23"/>
  <c r="C6199" i="23"/>
  <c r="C6198" i="23"/>
  <c r="C6197" i="23"/>
  <c r="C6196" i="23"/>
  <c r="C6195" i="23"/>
  <c r="C6194" i="23"/>
  <c r="C6193" i="23"/>
  <c r="C6192" i="23"/>
  <c r="C6191" i="23"/>
  <c r="C6190" i="23"/>
  <c r="C6189" i="23"/>
  <c r="C6188" i="23"/>
  <c r="C6187" i="23"/>
  <c r="C6186" i="23"/>
  <c r="C6752" i="23"/>
  <c r="C6751" i="23"/>
  <c r="C6750" i="23"/>
  <c r="C6749" i="23"/>
  <c r="C6748" i="23"/>
  <c r="C6747" i="23"/>
  <c r="C6746" i="23"/>
  <c r="C6745" i="23"/>
  <c r="C6744" i="23"/>
  <c r="C6743" i="23"/>
  <c r="C6742" i="23"/>
  <c r="C6741" i="23"/>
  <c r="C6740" i="23"/>
  <c r="C6739" i="23"/>
  <c r="C6738" i="23"/>
  <c r="C6737" i="23"/>
  <c r="C6736" i="23"/>
  <c r="C6735" i="23"/>
  <c r="C6734" i="23"/>
  <c r="C6733" i="23"/>
  <c r="C6732" i="23"/>
  <c r="C6731" i="23"/>
  <c r="C6730" i="23"/>
  <c r="C6729" i="23"/>
  <c r="C6728" i="23"/>
  <c r="C6727" i="23"/>
  <c r="C6726" i="23"/>
  <c r="C6563" i="23"/>
  <c r="C6562" i="23"/>
  <c r="C6561" i="23"/>
  <c r="C6560" i="23"/>
  <c r="C6559" i="23"/>
  <c r="C6558" i="23"/>
  <c r="C6557" i="23"/>
  <c r="C6556" i="23"/>
  <c r="C6555" i="23"/>
  <c r="C6554" i="23"/>
  <c r="C6553" i="23"/>
  <c r="C6552" i="23"/>
  <c r="C6551" i="23"/>
  <c r="C6550" i="23"/>
  <c r="C6549" i="23"/>
  <c r="C6548" i="23"/>
  <c r="C6547" i="23"/>
  <c r="C6546" i="23"/>
  <c r="C6545" i="23"/>
  <c r="C6544" i="23"/>
  <c r="C6543" i="23"/>
  <c r="C6542" i="23"/>
  <c r="C6541" i="23"/>
  <c r="C6540" i="23"/>
  <c r="C6539" i="23"/>
  <c r="C6538" i="23"/>
  <c r="C6537" i="23"/>
  <c r="C7157" i="23"/>
  <c r="C7156" i="23"/>
  <c r="C7155" i="23"/>
  <c r="C7154" i="23"/>
  <c r="C7153" i="23"/>
  <c r="C7152" i="23"/>
  <c r="C7151" i="23"/>
  <c r="C7150" i="23"/>
  <c r="C7149" i="23"/>
  <c r="C7148" i="23"/>
  <c r="C7147" i="23"/>
  <c r="C7146" i="23"/>
  <c r="C7145" i="23"/>
  <c r="C7144" i="23"/>
  <c r="C7143" i="23"/>
  <c r="C7142" i="23"/>
  <c r="C7141" i="23"/>
  <c r="C7140" i="23"/>
  <c r="C7139" i="23"/>
  <c r="C7138" i="23"/>
  <c r="C7137" i="23"/>
  <c r="C7136" i="23"/>
  <c r="C7135" i="23"/>
  <c r="C7134" i="23"/>
  <c r="C7133" i="23"/>
  <c r="C7132" i="23"/>
  <c r="C7131" i="23"/>
  <c r="C6887" i="23"/>
  <c r="C6886" i="23"/>
  <c r="C6885" i="23"/>
  <c r="C6884" i="23"/>
  <c r="C6883" i="23"/>
  <c r="C6882" i="23"/>
  <c r="C6881" i="23"/>
  <c r="C6880" i="23"/>
  <c r="C6879" i="23"/>
  <c r="C6878" i="23"/>
  <c r="C6877" i="23"/>
  <c r="C6876" i="23"/>
  <c r="C6875" i="23"/>
  <c r="C6874" i="23"/>
  <c r="C6873" i="23"/>
  <c r="C6872" i="23"/>
  <c r="C6871" i="23"/>
  <c r="C6870" i="23"/>
  <c r="C6869" i="23"/>
  <c r="C6868" i="23"/>
  <c r="C6867" i="23"/>
  <c r="C6866" i="23"/>
  <c r="C6865" i="23"/>
  <c r="C6864" i="23"/>
  <c r="C6863" i="23"/>
  <c r="C6862" i="23"/>
  <c r="C6861" i="23"/>
  <c r="C7184" i="23"/>
  <c r="C7183" i="23"/>
  <c r="C7182" i="23"/>
  <c r="C7181" i="23"/>
  <c r="C7180" i="23"/>
  <c r="C7179" i="23"/>
  <c r="C7178" i="23"/>
  <c r="C7177" i="23"/>
  <c r="C7176" i="23"/>
  <c r="C7175" i="23"/>
  <c r="C7174" i="23"/>
  <c r="C7173" i="23"/>
  <c r="C7172" i="23"/>
  <c r="C7171" i="23"/>
  <c r="C7170" i="23"/>
  <c r="C7169" i="23"/>
  <c r="C7168" i="23"/>
  <c r="C7167" i="23"/>
  <c r="C7166" i="23"/>
  <c r="C7165" i="23"/>
  <c r="C7164" i="23"/>
  <c r="C7163" i="23"/>
  <c r="C7162" i="23"/>
  <c r="C7161" i="23"/>
  <c r="C7160" i="23"/>
  <c r="C7159" i="23"/>
  <c r="C7158" i="23"/>
  <c r="C6833" i="23"/>
  <c r="C6832" i="23"/>
  <c r="C6831" i="23"/>
  <c r="C6830" i="23"/>
  <c r="C6829" i="23"/>
  <c r="C6828" i="23"/>
  <c r="C6827" i="23"/>
  <c r="C6826" i="23"/>
  <c r="C6825" i="23"/>
  <c r="C6824" i="23"/>
  <c r="C6823" i="23"/>
  <c r="C6822" i="23"/>
  <c r="C6821" i="23"/>
  <c r="C6820" i="23"/>
  <c r="C6819" i="23"/>
  <c r="C6818" i="23"/>
  <c r="C6817" i="23"/>
  <c r="C6816" i="23"/>
  <c r="C6815" i="23"/>
  <c r="C6814" i="23"/>
  <c r="C6813" i="23"/>
  <c r="C6812" i="23"/>
  <c r="C6811" i="23"/>
  <c r="C6810" i="23"/>
  <c r="C6809" i="23"/>
  <c r="C6808" i="23"/>
  <c r="C6807" i="23"/>
  <c r="C6860" i="23"/>
  <c r="C6859" i="23"/>
  <c r="C6858" i="23"/>
  <c r="C6857" i="23"/>
  <c r="C6856" i="23"/>
  <c r="C6855" i="23"/>
  <c r="C6854" i="23"/>
  <c r="C6853" i="23"/>
  <c r="C6852" i="23"/>
  <c r="C6851" i="23"/>
  <c r="C6850" i="23"/>
  <c r="C6849" i="23"/>
  <c r="C6848" i="23"/>
  <c r="C6847" i="23"/>
  <c r="C6846" i="23"/>
  <c r="C6845" i="23"/>
  <c r="C6844" i="23"/>
  <c r="C6843" i="23"/>
  <c r="C6842" i="23"/>
  <c r="C6841" i="23"/>
  <c r="C6840" i="23"/>
  <c r="C6839" i="23"/>
  <c r="C6838" i="23"/>
  <c r="C6837" i="23"/>
  <c r="C6836" i="23"/>
  <c r="C6835" i="23"/>
  <c r="C6834" i="23"/>
  <c r="C6590" i="23"/>
  <c r="C6589" i="23"/>
  <c r="C6588" i="23"/>
  <c r="C6587" i="23"/>
  <c r="C6586" i="23"/>
  <c r="C6585" i="23"/>
  <c r="C6584" i="23"/>
  <c r="C6583" i="23"/>
  <c r="C6582" i="23"/>
  <c r="C6581" i="23"/>
  <c r="C6580" i="23"/>
  <c r="C6579" i="23"/>
  <c r="C6578" i="23"/>
  <c r="C6577" i="23"/>
  <c r="C6576" i="23"/>
  <c r="C6575" i="23"/>
  <c r="C6574" i="23"/>
  <c r="C6573" i="23"/>
  <c r="C6572" i="23"/>
  <c r="C6571" i="23"/>
  <c r="C6570" i="23"/>
  <c r="C6569" i="23"/>
  <c r="C6568" i="23"/>
  <c r="C6567" i="23"/>
  <c r="C6566" i="23"/>
  <c r="C6565" i="23"/>
  <c r="C6564" i="23"/>
  <c r="C6185" i="23"/>
  <c r="C6184" i="23"/>
  <c r="C6183" i="23"/>
  <c r="C6182" i="23"/>
  <c r="C6181" i="23"/>
  <c r="C6180" i="23"/>
  <c r="C6179" i="23"/>
  <c r="C6178" i="23"/>
  <c r="C6177" i="23"/>
  <c r="C6176" i="23"/>
  <c r="C6175" i="23"/>
  <c r="C6174" i="23"/>
  <c r="C6173" i="23"/>
  <c r="C6172" i="23"/>
  <c r="C6171" i="23"/>
  <c r="C6170" i="23"/>
  <c r="C6169" i="23"/>
  <c r="C6168" i="23"/>
  <c r="C6167" i="23"/>
  <c r="C6166" i="23"/>
  <c r="C6165" i="23"/>
  <c r="C6164" i="23"/>
  <c r="C6163" i="23"/>
  <c r="C6162" i="23"/>
  <c r="C6161" i="23"/>
  <c r="C6160" i="23"/>
  <c r="C6159" i="23"/>
  <c r="C6698" i="23"/>
  <c r="C6697" i="23"/>
  <c r="C6696" i="23"/>
  <c r="C6695" i="23"/>
  <c r="C6694" i="23"/>
  <c r="C6693" i="23"/>
  <c r="C6692" i="23"/>
  <c r="C6691" i="23"/>
  <c r="C6690" i="23"/>
  <c r="C6689" i="23"/>
  <c r="C6688" i="23"/>
  <c r="C6687" i="23"/>
  <c r="C6686" i="23"/>
  <c r="C6685" i="23"/>
  <c r="C6684" i="23"/>
  <c r="C6683" i="23"/>
  <c r="C6682" i="23"/>
  <c r="C6681" i="23"/>
  <c r="C6680" i="23"/>
  <c r="C6679" i="23"/>
  <c r="C6678" i="23"/>
  <c r="C6677" i="23"/>
  <c r="C6676" i="23"/>
  <c r="C6675" i="23"/>
  <c r="C6674" i="23"/>
  <c r="C6673" i="23"/>
  <c r="C6672" i="23"/>
  <c r="C7049" i="23"/>
  <c r="C7048" i="23"/>
  <c r="C7047" i="23"/>
  <c r="C7046" i="23"/>
  <c r="C7045" i="23"/>
  <c r="C7044" i="23"/>
  <c r="C7043" i="23"/>
  <c r="C7042" i="23"/>
  <c r="C7041" i="23"/>
  <c r="C7040" i="23"/>
  <c r="C7039" i="23"/>
  <c r="C7038" i="23"/>
  <c r="C7037" i="23"/>
  <c r="C7036" i="23"/>
  <c r="C7035" i="23"/>
  <c r="C7034" i="23"/>
  <c r="C7033" i="23"/>
  <c r="C7032" i="23"/>
  <c r="C7031" i="23"/>
  <c r="C7030" i="23"/>
  <c r="C7029" i="23"/>
  <c r="C7028" i="23"/>
  <c r="C7027" i="23"/>
  <c r="C7026" i="23"/>
  <c r="C7025" i="23"/>
  <c r="C7024" i="23"/>
  <c r="C7023" i="23"/>
  <c r="C7103" i="23"/>
  <c r="C7102" i="23"/>
  <c r="C7101" i="23"/>
  <c r="C7100" i="23"/>
  <c r="C7099" i="23"/>
  <c r="C7098" i="23"/>
  <c r="C7097" i="23"/>
  <c r="C7096" i="23"/>
  <c r="C7095" i="23"/>
  <c r="C7094" i="23"/>
  <c r="C7093" i="23"/>
  <c r="C7092" i="23"/>
  <c r="C7091" i="23"/>
  <c r="C7090" i="23"/>
  <c r="C7089" i="23"/>
  <c r="C7088" i="23"/>
  <c r="C7087" i="23"/>
  <c r="C7086" i="23"/>
  <c r="C7085" i="23"/>
  <c r="C7084" i="23"/>
  <c r="C7083" i="23"/>
  <c r="C7082" i="23"/>
  <c r="C7081" i="23"/>
  <c r="C7080" i="23"/>
  <c r="C7079" i="23"/>
  <c r="C7078" i="23"/>
  <c r="C7077" i="23"/>
  <c r="C6239" i="23"/>
  <c r="C6238" i="23"/>
  <c r="C6237" i="23"/>
  <c r="C6236" i="23"/>
  <c r="C6235" i="23"/>
  <c r="C6234" i="23"/>
  <c r="C6233" i="23"/>
  <c r="C6232" i="23"/>
  <c r="C6231" i="23"/>
  <c r="C6230" i="23"/>
  <c r="C6229" i="23"/>
  <c r="C6228" i="23"/>
  <c r="C6227" i="23"/>
  <c r="C6226" i="23"/>
  <c r="C6225" i="23"/>
  <c r="C6224" i="23"/>
  <c r="C6223" i="23"/>
  <c r="C6222" i="23"/>
  <c r="C6221" i="23"/>
  <c r="C6220" i="23"/>
  <c r="C6219" i="23"/>
  <c r="C6218" i="23"/>
  <c r="C6217" i="23"/>
  <c r="C6216" i="23"/>
  <c r="C6215" i="23"/>
  <c r="C6214" i="23"/>
  <c r="C6213" i="23"/>
  <c r="C6941" i="23"/>
  <c r="C6940" i="23"/>
  <c r="C6939" i="23"/>
  <c r="C6938" i="23"/>
  <c r="C6937" i="23"/>
  <c r="C6936" i="23"/>
  <c r="C6935" i="23"/>
  <c r="C6934" i="23"/>
  <c r="C6933" i="23"/>
  <c r="C6932" i="23"/>
  <c r="C6931" i="23"/>
  <c r="C6930" i="23"/>
  <c r="C6929" i="23"/>
  <c r="C6928" i="23"/>
  <c r="C6927" i="23"/>
  <c r="C6926" i="23"/>
  <c r="C6925" i="23"/>
  <c r="C6924" i="23"/>
  <c r="C6923" i="23"/>
  <c r="C6922" i="23"/>
  <c r="C6921" i="23"/>
  <c r="C6920" i="23"/>
  <c r="C6919" i="23"/>
  <c r="C6918" i="23"/>
  <c r="C6917" i="23"/>
  <c r="C6916" i="23"/>
  <c r="C6915" i="23"/>
  <c r="C5294" i="23"/>
  <c r="C5293" i="23"/>
  <c r="C5292" i="23"/>
  <c r="C5291" i="23"/>
  <c r="C5290" i="23"/>
  <c r="C5289" i="23"/>
  <c r="C5288" i="23"/>
  <c r="C5287" i="23"/>
  <c r="C5286" i="23"/>
  <c r="C5285" i="23"/>
  <c r="C5284" i="23"/>
  <c r="C5283" i="23"/>
  <c r="C5282" i="23"/>
  <c r="C5281" i="23"/>
  <c r="C5280" i="23"/>
  <c r="C5279" i="23"/>
  <c r="C5278" i="23"/>
  <c r="C5277" i="23"/>
  <c r="C5276" i="23"/>
  <c r="C5275" i="23"/>
  <c r="C5274" i="23"/>
  <c r="C5273" i="23"/>
  <c r="C5272" i="23"/>
  <c r="C5271" i="23"/>
  <c r="C5270" i="23"/>
  <c r="C5269" i="23"/>
  <c r="C5268" i="23"/>
  <c r="B5294" i="23"/>
  <c r="B5293" i="23"/>
  <c r="B5292" i="23"/>
  <c r="B5291" i="23"/>
  <c r="B5290" i="23"/>
  <c r="B5289" i="23"/>
  <c r="B5288" i="23"/>
  <c r="B5287" i="23"/>
  <c r="B5286" i="23"/>
  <c r="B5285" i="23"/>
  <c r="B5284" i="23"/>
  <c r="B5283" i="23"/>
  <c r="B5282" i="23"/>
  <c r="B5281" i="23"/>
  <c r="B5280" i="23"/>
  <c r="B5279" i="23"/>
  <c r="B5278" i="23"/>
  <c r="B5277" i="23"/>
  <c r="B5276" i="23"/>
  <c r="B5275" i="23"/>
  <c r="B5274" i="23"/>
  <c r="B5273" i="23"/>
  <c r="B5272" i="23"/>
  <c r="B5271" i="23"/>
  <c r="B5270" i="23"/>
  <c r="B5269" i="23"/>
  <c r="B5268" i="23"/>
  <c r="C5321" i="23"/>
  <c r="C5320" i="23"/>
  <c r="C5319" i="23"/>
  <c r="C5318" i="23"/>
  <c r="C5317" i="23"/>
  <c r="C5316" i="23"/>
  <c r="C5315" i="23"/>
  <c r="C5314" i="23"/>
  <c r="C5313" i="23"/>
  <c r="C5312" i="23"/>
  <c r="C5311" i="23"/>
  <c r="C5310" i="23"/>
  <c r="C5309" i="23"/>
  <c r="C5308" i="23"/>
  <c r="C5307" i="23"/>
  <c r="C5306" i="23"/>
  <c r="C5305" i="23"/>
  <c r="C5304" i="23"/>
  <c r="C5303" i="23"/>
  <c r="C5302" i="23"/>
  <c r="C5301" i="23"/>
  <c r="C5300" i="23"/>
  <c r="C5299" i="23"/>
  <c r="C5298" i="23"/>
  <c r="C5297" i="23"/>
  <c r="C5296" i="23"/>
  <c r="C5295" i="23"/>
  <c r="B5321" i="23"/>
  <c r="B5320" i="23"/>
  <c r="B5319" i="23"/>
  <c r="B5318" i="23"/>
  <c r="B5317" i="23"/>
  <c r="B5316" i="23"/>
  <c r="B5315" i="23"/>
  <c r="B5314" i="23"/>
  <c r="B5313" i="23"/>
  <c r="B5312" i="23"/>
  <c r="B5311" i="23"/>
  <c r="B5310" i="23"/>
  <c r="B5309" i="23"/>
  <c r="B5308" i="23"/>
  <c r="B5307" i="23"/>
  <c r="B5306" i="23"/>
  <c r="B5305" i="23"/>
  <c r="B5304" i="23"/>
  <c r="B5303" i="23"/>
  <c r="B5302" i="23"/>
  <c r="B5301" i="23"/>
  <c r="B5300" i="23"/>
  <c r="B5299" i="23"/>
  <c r="B5298" i="23"/>
  <c r="B5297" i="23"/>
  <c r="B5296" i="23"/>
  <c r="B5295" i="23"/>
  <c r="C5348" i="23"/>
  <c r="C5347" i="23"/>
  <c r="C5346" i="23"/>
  <c r="C5345" i="23"/>
  <c r="C5344" i="23"/>
  <c r="C5343" i="23"/>
  <c r="C5342" i="23"/>
  <c r="C5341" i="23"/>
  <c r="C5340" i="23"/>
  <c r="C5339" i="23"/>
  <c r="C5338" i="23"/>
  <c r="C5337" i="23"/>
  <c r="C5336" i="23"/>
  <c r="C5335" i="23"/>
  <c r="C5334" i="23"/>
  <c r="C5333" i="23"/>
  <c r="C5332" i="23"/>
  <c r="C5331" i="23"/>
  <c r="C5330" i="23"/>
  <c r="C5329" i="23"/>
  <c r="C5328" i="23"/>
  <c r="C5327" i="23"/>
  <c r="C5326" i="23"/>
  <c r="C5325" i="23"/>
  <c r="C5324" i="23"/>
  <c r="C5323" i="23"/>
  <c r="C5322" i="23"/>
  <c r="B5348" i="23"/>
  <c r="B5347" i="23"/>
  <c r="B5346" i="23"/>
  <c r="B5345" i="23"/>
  <c r="B5344" i="23"/>
  <c r="B5343" i="23"/>
  <c r="B5342" i="23"/>
  <c r="B5341" i="23"/>
  <c r="B5340" i="23"/>
  <c r="B5339" i="23"/>
  <c r="B5338" i="23"/>
  <c r="B5337" i="23"/>
  <c r="B5336" i="23"/>
  <c r="B5335" i="23"/>
  <c r="B5334" i="23"/>
  <c r="B5333" i="23"/>
  <c r="B5332" i="23"/>
  <c r="B5331" i="23"/>
  <c r="B5330" i="23"/>
  <c r="B5329" i="23"/>
  <c r="B5328" i="23"/>
  <c r="B5327" i="23"/>
  <c r="B5326" i="23"/>
  <c r="B5325" i="23"/>
  <c r="B5324" i="23"/>
  <c r="B5323" i="23"/>
  <c r="B5322" i="23"/>
  <c r="C5375" i="23"/>
  <c r="C5374" i="23"/>
  <c r="C5373" i="23"/>
  <c r="C5372" i="23"/>
  <c r="C5371" i="23"/>
  <c r="C5370" i="23"/>
  <c r="C5369" i="23"/>
  <c r="C5368" i="23"/>
  <c r="C5367" i="23"/>
  <c r="C5366" i="23"/>
  <c r="C5365" i="23"/>
  <c r="C5364" i="23"/>
  <c r="C5363" i="23"/>
  <c r="C5362" i="23"/>
  <c r="C5361" i="23"/>
  <c r="C5360" i="23"/>
  <c r="C5359" i="23"/>
  <c r="C5358" i="23"/>
  <c r="C5357" i="23"/>
  <c r="C5356" i="23"/>
  <c r="C5355" i="23"/>
  <c r="C5354" i="23"/>
  <c r="C5353" i="23"/>
  <c r="C5352" i="23"/>
  <c r="C5351" i="23"/>
  <c r="C5350" i="23"/>
  <c r="C5349" i="23"/>
  <c r="B5375" i="23"/>
  <c r="B5374" i="23"/>
  <c r="B5373" i="23"/>
  <c r="B5372" i="23"/>
  <c r="B5371" i="23"/>
  <c r="B5370" i="23"/>
  <c r="B5369" i="23"/>
  <c r="B5368" i="23"/>
  <c r="B5367" i="23"/>
  <c r="B5366" i="23"/>
  <c r="B5365" i="23"/>
  <c r="B5364" i="23"/>
  <c r="B5363" i="23"/>
  <c r="B5362" i="23"/>
  <c r="B5361" i="23"/>
  <c r="B5360" i="23"/>
  <c r="B5359" i="23"/>
  <c r="B5358" i="23"/>
  <c r="B5357" i="23"/>
  <c r="B5356" i="23"/>
  <c r="B5355" i="23"/>
  <c r="B5354" i="23"/>
  <c r="B5353" i="23"/>
  <c r="B5352" i="23"/>
  <c r="B5351" i="23"/>
  <c r="B5350" i="23"/>
  <c r="B5349" i="23"/>
  <c r="C5402" i="23"/>
  <c r="C5401" i="23"/>
  <c r="C5400" i="23"/>
  <c r="C5399" i="23"/>
  <c r="C5398" i="23"/>
  <c r="C5397" i="23"/>
  <c r="C5396" i="23"/>
  <c r="C5395" i="23"/>
  <c r="C5394" i="23"/>
  <c r="C5393" i="23"/>
  <c r="C5392" i="23"/>
  <c r="C5391" i="23"/>
  <c r="C5390" i="23"/>
  <c r="C5389" i="23"/>
  <c r="C5388" i="23"/>
  <c r="C5387" i="23"/>
  <c r="C5386" i="23"/>
  <c r="C5385" i="23"/>
  <c r="C5384" i="23"/>
  <c r="C5383" i="23"/>
  <c r="C5382" i="23"/>
  <c r="C5381" i="23"/>
  <c r="C5380" i="23"/>
  <c r="C5379" i="23"/>
  <c r="C5378" i="23"/>
  <c r="C5377" i="23"/>
  <c r="C5376" i="23"/>
  <c r="B5402" i="23"/>
  <c r="B5401" i="23"/>
  <c r="B5400" i="23"/>
  <c r="B5399" i="23"/>
  <c r="B5398" i="23"/>
  <c r="B5397" i="23"/>
  <c r="B5396" i="23"/>
  <c r="B5395" i="23"/>
  <c r="B5394" i="23"/>
  <c r="B5393" i="23"/>
  <c r="B5392" i="23"/>
  <c r="B5391" i="23"/>
  <c r="B5390" i="23"/>
  <c r="B5389" i="23"/>
  <c r="B5388" i="23"/>
  <c r="B5387" i="23"/>
  <c r="B5386" i="23"/>
  <c r="B5385" i="23"/>
  <c r="B5384" i="23"/>
  <c r="B5383" i="23"/>
  <c r="B5382" i="23"/>
  <c r="B5381" i="23"/>
  <c r="B5380" i="23"/>
  <c r="B5379" i="23"/>
  <c r="B5378" i="23"/>
  <c r="B5377" i="23"/>
  <c r="B5376" i="23"/>
  <c r="C5429" i="23"/>
  <c r="C5428" i="23"/>
  <c r="C5427" i="23"/>
  <c r="C5426" i="23"/>
  <c r="C5425" i="23"/>
  <c r="C5424" i="23"/>
  <c r="C5423" i="23"/>
  <c r="C5422" i="23"/>
  <c r="C5421" i="23"/>
  <c r="C5420" i="23"/>
  <c r="C5419" i="23"/>
  <c r="C5418" i="23"/>
  <c r="C5417" i="23"/>
  <c r="C5416" i="23"/>
  <c r="C5415" i="23"/>
  <c r="C5414" i="23"/>
  <c r="C5413" i="23"/>
  <c r="C5412" i="23"/>
  <c r="C5411" i="23"/>
  <c r="C5410" i="23"/>
  <c r="C5409" i="23"/>
  <c r="C5408" i="23"/>
  <c r="C5407" i="23"/>
  <c r="C5406" i="23"/>
  <c r="C5405" i="23"/>
  <c r="C5404" i="23"/>
  <c r="C5403" i="23"/>
  <c r="B5429" i="23"/>
  <c r="B5428" i="23"/>
  <c r="B5427" i="23"/>
  <c r="B5426" i="23"/>
  <c r="B5425" i="23"/>
  <c r="B5424" i="23"/>
  <c r="B5423" i="23"/>
  <c r="B5422" i="23"/>
  <c r="B5421" i="23"/>
  <c r="B5420" i="23"/>
  <c r="B5419" i="23"/>
  <c r="B5418" i="23"/>
  <c r="B5417" i="23"/>
  <c r="B5416" i="23"/>
  <c r="B5415" i="23"/>
  <c r="B5414" i="23"/>
  <c r="B5413" i="23"/>
  <c r="B5412" i="23"/>
  <c r="B5411" i="23"/>
  <c r="B5410" i="23"/>
  <c r="B5409" i="23"/>
  <c r="B5408" i="23"/>
  <c r="B5407" i="23"/>
  <c r="B5406" i="23"/>
  <c r="B5405" i="23"/>
  <c r="B5404" i="23"/>
  <c r="B5403" i="23"/>
  <c r="C5456" i="23"/>
  <c r="C5455" i="23"/>
  <c r="C5454" i="23"/>
  <c r="C5453" i="23"/>
  <c r="C5452" i="23"/>
  <c r="C5451" i="23"/>
  <c r="C5450" i="23"/>
  <c r="C5449" i="23"/>
  <c r="C5448" i="23"/>
  <c r="C5447" i="23"/>
  <c r="C5446" i="23"/>
  <c r="C5445" i="23"/>
  <c r="C5444" i="23"/>
  <c r="C5443" i="23"/>
  <c r="C5442" i="23"/>
  <c r="C5441" i="23"/>
  <c r="C5440" i="23"/>
  <c r="C5439" i="23"/>
  <c r="C5438" i="23"/>
  <c r="C5437" i="23"/>
  <c r="C5436" i="23"/>
  <c r="C5435" i="23"/>
  <c r="C5434" i="23"/>
  <c r="C5433" i="23"/>
  <c r="C5432" i="23"/>
  <c r="C5431" i="23"/>
  <c r="C5430" i="23"/>
  <c r="B5456" i="23"/>
  <c r="B5455" i="23"/>
  <c r="B5454" i="23"/>
  <c r="B5453" i="23"/>
  <c r="B5452" i="23"/>
  <c r="B5451" i="23"/>
  <c r="B5450" i="23"/>
  <c r="B5449" i="23"/>
  <c r="B5448" i="23"/>
  <c r="B5447" i="23"/>
  <c r="B5446" i="23"/>
  <c r="B5445" i="23"/>
  <c r="B5444" i="23"/>
  <c r="B5443" i="23"/>
  <c r="B5442" i="23"/>
  <c r="B5441" i="23"/>
  <c r="B5440" i="23"/>
  <c r="B5439" i="23"/>
  <c r="B5438" i="23"/>
  <c r="B5437" i="23"/>
  <c r="B5436" i="23"/>
  <c r="B5435" i="23"/>
  <c r="B5434" i="23"/>
  <c r="B5433" i="23"/>
  <c r="B5432" i="23"/>
  <c r="B5431" i="23"/>
  <c r="B5430" i="23"/>
  <c r="C5483" i="23"/>
  <c r="C5482" i="23"/>
  <c r="C5481" i="23"/>
  <c r="C5480" i="23"/>
  <c r="C5479" i="23"/>
  <c r="C5478" i="23"/>
  <c r="C5477" i="23"/>
  <c r="C5476" i="23"/>
  <c r="C5475" i="23"/>
  <c r="C5474" i="23"/>
  <c r="C5473" i="23"/>
  <c r="C5472" i="23"/>
  <c r="C5471" i="23"/>
  <c r="C5470" i="23"/>
  <c r="C5469" i="23"/>
  <c r="C5468" i="23"/>
  <c r="C5467" i="23"/>
  <c r="C5466" i="23"/>
  <c r="C5465" i="23"/>
  <c r="C5464" i="23"/>
  <c r="C5463" i="23"/>
  <c r="C5462" i="23"/>
  <c r="C5461" i="23"/>
  <c r="C5460" i="23"/>
  <c r="C5459" i="23"/>
  <c r="C5458" i="23"/>
  <c r="C5457" i="23"/>
  <c r="B5483" i="23"/>
  <c r="B5482" i="23"/>
  <c r="B5481" i="23"/>
  <c r="B5480" i="23"/>
  <c r="B5479" i="23"/>
  <c r="B5478" i="23"/>
  <c r="B5477" i="23"/>
  <c r="B5476" i="23"/>
  <c r="B5475" i="23"/>
  <c r="B5474" i="23"/>
  <c r="B5473" i="23"/>
  <c r="B5472" i="23"/>
  <c r="B5471" i="23"/>
  <c r="B5470" i="23"/>
  <c r="B5469" i="23"/>
  <c r="B5468" i="23"/>
  <c r="B5467" i="23"/>
  <c r="B5466" i="23"/>
  <c r="B5465" i="23"/>
  <c r="B5464" i="23"/>
  <c r="B5463" i="23"/>
  <c r="B5462" i="23"/>
  <c r="B5461" i="23"/>
  <c r="B5460" i="23"/>
  <c r="B5459" i="23"/>
  <c r="B5458" i="23"/>
  <c r="B5457" i="23"/>
  <c r="C5510" i="23"/>
  <c r="C5509" i="23"/>
  <c r="C5508" i="23"/>
  <c r="C5507" i="23"/>
  <c r="C5506" i="23"/>
  <c r="C5505" i="23"/>
  <c r="C5504" i="23"/>
  <c r="C5503" i="23"/>
  <c r="C5502" i="23"/>
  <c r="C5501" i="23"/>
  <c r="C5500" i="23"/>
  <c r="C5499" i="23"/>
  <c r="C5498" i="23"/>
  <c r="C5497" i="23"/>
  <c r="C5496" i="23"/>
  <c r="C5495" i="23"/>
  <c r="C5494" i="23"/>
  <c r="C5493" i="23"/>
  <c r="C5492" i="23"/>
  <c r="C5491" i="23"/>
  <c r="C5490" i="23"/>
  <c r="C5489" i="23"/>
  <c r="C5488" i="23"/>
  <c r="C5487" i="23"/>
  <c r="C5486" i="23"/>
  <c r="C5485" i="23"/>
  <c r="C5484" i="23"/>
  <c r="B5510" i="23"/>
  <c r="B5509" i="23"/>
  <c r="B5508" i="23"/>
  <c r="B5507" i="23"/>
  <c r="B5506" i="23"/>
  <c r="B5505" i="23"/>
  <c r="B5504" i="23"/>
  <c r="B5503" i="23"/>
  <c r="B5502" i="23"/>
  <c r="B5501" i="23"/>
  <c r="B5500" i="23"/>
  <c r="B5499" i="23"/>
  <c r="B5498" i="23"/>
  <c r="B5497" i="23"/>
  <c r="B5496" i="23"/>
  <c r="B5495" i="23"/>
  <c r="B5494" i="23"/>
  <c r="B5493" i="23"/>
  <c r="B5492" i="23"/>
  <c r="B5491" i="23"/>
  <c r="B5490" i="23"/>
  <c r="B5489" i="23"/>
  <c r="B5488" i="23"/>
  <c r="B5487" i="23"/>
  <c r="B5486" i="23"/>
  <c r="B5485" i="23"/>
  <c r="B5484" i="23"/>
  <c r="C5267" i="23"/>
  <c r="C5266" i="23"/>
  <c r="C5265" i="23"/>
  <c r="C5264" i="23"/>
  <c r="C5263" i="23"/>
  <c r="C5262" i="23"/>
  <c r="C5261" i="23"/>
  <c r="C5260" i="23"/>
  <c r="C5259" i="23"/>
  <c r="C5258" i="23"/>
  <c r="C5257" i="23"/>
  <c r="C5256" i="23"/>
  <c r="C5255" i="23"/>
  <c r="C5254" i="23"/>
  <c r="C5253" i="23"/>
  <c r="C5252" i="23"/>
  <c r="C5251" i="23"/>
  <c r="C5250" i="23"/>
  <c r="C5249" i="23"/>
  <c r="C5248" i="23"/>
  <c r="C5247" i="23"/>
  <c r="C5246" i="23"/>
  <c r="C5245" i="23"/>
  <c r="C5244" i="23"/>
  <c r="C5243" i="23"/>
  <c r="C5242" i="23"/>
  <c r="C5241" i="23"/>
  <c r="B5267" i="23"/>
  <c r="B5266" i="23"/>
  <c r="B5265" i="23"/>
  <c r="B5264" i="23"/>
  <c r="B5263" i="23"/>
  <c r="B5262" i="23"/>
  <c r="B5261" i="23"/>
  <c r="B5260" i="23"/>
  <c r="B5259" i="23"/>
  <c r="B5258" i="23"/>
  <c r="B5257" i="23"/>
  <c r="B5256" i="23"/>
  <c r="B5255" i="23"/>
  <c r="B5254" i="23"/>
  <c r="B5253" i="23"/>
  <c r="B5252" i="23"/>
  <c r="B5251" i="23"/>
  <c r="B5250" i="23"/>
  <c r="B5249" i="23"/>
  <c r="B5248" i="23"/>
  <c r="B5247" i="23"/>
  <c r="B5246" i="23"/>
  <c r="B5245" i="23"/>
  <c r="B5244" i="23"/>
  <c r="B5243" i="23"/>
  <c r="B5242" i="23"/>
  <c r="B5241" i="23"/>
  <c r="C5618" i="23"/>
  <c r="C5617" i="23"/>
  <c r="C5616" i="23"/>
  <c r="C5615" i="23"/>
  <c r="C5614" i="23"/>
  <c r="C5613" i="23"/>
  <c r="C5612" i="23"/>
  <c r="C5611" i="23"/>
  <c r="C5610" i="23"/>
  <c r="C5609" i="23"/>
  <c r="C5608" i="23"/>
  <c r="C5607" i="23"/>
  <c r="C5606" i="23"/>
  <c r="C5605" i="23"/>
  <c r="C5604" i="23"/>
  <c r="C5603" i="23"/>
  <c r="C5602" i="23"/>
  <c r="C5601" i="23"/>
  <c r="C5600" i="23"/>
  <c r="C5599" i="23"/>
  <c r="C5598" i="23"/>
  <c r="C5597" i="23"/>
  <c r="C5596" i="23"/>
  <c r="C5595" i="23"/>
  <c r="C5594" i="23"/>
  <c r="C5593" i="23"/>
  <c r="C5592" i="23"/>
  <c r="B5618" i="23"/>
  <c r="B5617" i="23"/>
  <c r="B5616" i="23"/>
  <c r="B5615" i="23"/>
  <c r="B5614" i="23"/>
  <c r="B5613" i="23"/>
  <c r="B5612" i="23"/>
  <c r="B5611" i="23"/>
  <c r="B5610" i="23"/>
  <c r="B5609" i="23"/>
  <c r="B5608" i="23"/>
  <c r="B5607" i="23"/>
  <c r="B5606" i="23"/>
  <c r="B5605" i="23"/>
  <c r="B5604" i="23"/>
  <c r="B5603" i="23"/>
  <c r="B5602" i="23"/>
  <c r="B5601" i="23"/>
  <c r="B5600" i="23"/>
  <c r="B5599" i="23"/>
  <c r="B5598" i="23"/>
  <c r="B5597" i="23"/>
  <c r="B5596" i="23"/>
  <c r="B5595" i="23"/>
  <c r="B5594" i="23"/>
  <c r="B5593" i="23"/>
  <c r="B5592" i="23"/>
  <c r="C5969" i="23"/>
  <c r="C5968" i="23"/>
  <c r="C5967" i="23"/>
  <c r="C5966" i="23"/>
  <c r="C5965" i="23"/>
  <c r="C5964" i="23"/>
  <c r="C5963" i="23"/>
  <c r="C5962" i="23"/>
  <c r="C5961" i="23"/>
  <c r="C5960" i="23"/>
  <c r="C5959" i="23"/>
  <c r="C5958" i="23"/>
  <c r="C5957" i="23"/>
  <c r="C5956" i="23"/>
  <c r="C5955" i="23"/>
  <c r="C5954" i="23"/>
  <c r="C5953" i="23"/>
  <c r="C5952" i="23"/>
  <c r="C5951" i="23"/>
  <c r="C5950" i="23"/>
  <c r="C5949" i="23"/>
  <c r="C5948" i="23"/>
  <c r="C5947" i="23"/>
  <c r="C5946" i="23"/>
  <c r="C5945" i="23"/>
  <c r="C5944" i="23"/>
  <c r="C5943" i="23"/>
  <c r="B5969" i="23"/>
  <c r="B5968" i="23"/>
  <c r="B5967" i="23"/>
  <c r="B5966" i="23"/>
  <c r="B5965" i="23"/>
  <c r="B5964" i="23"/>
  <c r="B5963" i="23"/>
  <c r="B5962" i="23"/>
  <c r="B5961" i="23"/>
  <c r="B5960" i="23"/>
  <c r="B5959" i="23"/>
  <c r="B5958" i="23"/>
  <c r="B5957" i="23"/>
  <c r="B5956" i="23"/>
  <c r="B5955" i="23"/>
  <c r="B5954" i="23"/>
  <c r="B5953" i="23"/>
  <c r="B5952" i="23"/>
  <c r="B5951" i="23"/>
  <c r="B5950" i="23"/>
  <c r="B5949" i="23"/>
  <c r="B5948" i="23"/>
  <c r="B5947" i="23"/>
  <c r="B5946" i="23"/>
  <c r="B5945" i="23"/>
  <c r="B5944" i="23"/>
  <c r="B5943" i="23"/>
  <c r="C5645" i="23"/>
  <c r="C5644" i="23"/>
  <c r="C5643" i="23"/>
  <c r="C5642" i="23"/>
  <c r="C5641" i="23"/>
  <c r="C5640" i="23"/>
  <c r="C5639" i="23"/>
  <c r="C5638" i="23"/>
  <c r="C5637" i="23"/>
  <c r="C5636" i="23"/>
  <c r="C5635" i="23"/>
  <c r="C5634" i="23"/>
  <c r="C5633" i="23"/>
  <c r="C5632" i="23"/>
  <c r="C5631" i="23"/>
  <c r="C5630" i="23"/>
  <c r="C5629" i="23"/>
  <c r="C5628" i="23"/>
  <c r="C5627" i="23"/>
  <c r="C5626" i="23"/>
  <c r="C5625" i="23"/>
  <c r="C5624" i="23"/>
  <c r="C5623" i="23"/>
  <c r="C5622" i="23"/>
  <c r="C5621" i="23"/>
  <c r="C5620" i="23"/>
  <c r="C5619" i="23"/>
  <c r="B5645" i="23"/>
  <c r="B5644" i="23"/>
  <c r="B5643" i="23"/>
  <c r="B5642" i="23"/>
  <c r="B5641" i="23"/>
  <c r="B5640" i="23"/>
  <c r="B5639" i="23"/>
  <c r="B5638" i="23"/>
  <c r="B5637" i="23"/>
  <c r="B5636" i="23"/>
  <c r="B5635" i="23"/>
  <c r="B5634" i="23"/>
  <c r="B5633" i="23"/>
  <c r="B5632" i="23"/>
  <c r="B5631" i="23"/>
  <c r="B5630" i="23"/>
  <c r="B5629" i="23"/>
  <c r="B5628" i="23"/>
  <c r="B5627" i="23"/>
  <c r="B5626" i="23"/>
  <c r="B5625" i="23"/>
  <c r="B5624" i="23"/>
  <c r="B5623" i="23"/>
  <c r="B5622" i="23"/>
  <c r="B5621" i="23"/>
  <c r="B5620" i="23"/>
  <c r="B5619" i="23"/>
  <c r="C6104" i="23"/>
  <c r="C6103" i="23"/>
  <c r="C6102" i="23"/>
  <c r="C6101" i="23"/>
  <c r="C6100" i="23"/>
  <c r="C6099" i="23"/>
  <c r="C6098" i="23"/>
  <c r="C6097" i="23"/>
  <c r="C6096" i="23"/>
  <c r="C6095" i="23"/>
  <c r="C6094" i="23"/>
  <c r="C6093" i="23"/>
  <c r="C6092" i="23"/>
  <c r="C6091" i="23"/>
  <c r="C6090" i="23"/>
  <c r="C6089" i="23"/>
  <c r="C6088" i="23"/>
  <c r="C6087" i="23"/>
  <c r="C6086" i="23"/>
  <c r="C6085" i="23"/>
  <c r="C6084" i="23"/>
  <c r="C6083" i="23"/>
  <c r="C6082" i="23"/>
  <c r="C6081" i="23"/>
  <c r="C6080" i="23"/>
  <c r="C6079" i="23"/>
  <c r="C6078" i="23"/>
  <c r="B6104" i="23"/>
  <c r="B6103" i="23"/>
  <c r="B6102" i="23"/>
  <c r="B6101" i="23"/>
  <c r="B6100" i="23"/>
  <c r="B6099" i="23"/>
  <c r="B6098" i="23"/>
  <c r="B6097" i="23"/>
  <c r="B6096" i="23"/>
  <c r="B6095" i="23"/>
  <c r="B6094" i="23"/>
  <c r="B6093" i="23"/>
  <c r="B6092" i="23"/>
  <c r="B6091" i="23"/>
  <c r="B6090" i="23"/>
  <c r="B6089" i="23"/>
  <c r="B6088" i="23"/>
  <c r="B6087" i="23"/>
  <c r="B6086" i="23"/>
  <c r="B6085" i="23"/>
  <c r="B6084" i="23"/>
  <c r="B6083" i="23"/>
  <c r="B6082" i="23"/>
  <c r="B6081" i="23"/>
  <c r="B6080" i="23"/>
  <c r="B6079" i="23"/>
  <c r="B6078" i="23"/>
  <c r="C5240" i="23"/>
  <c r="C5239" i="23"/>
  <c r="C5238" i="23"/>
  <c r="C5237" i="23"/>
  <c r="C5236" i="23"/>
  <c r="C5235" i="23"/>
  <c r="C5234" i="23"/>
  <c r="C5233" i="23"/>
  <c r="C5232" i="23"/>
  <c r="C5231" i="23"/>
  <c r="C5230" i="23"/>
  <c r="C5229" i="23"/>
  <c r="C5228" i="23"/>
  <c r="C5227" i="23"/>
  <c r="C5226" i="23"/>
  <c r="C5225" i="23"/>
  <c r="C5224" i="23"/>
  <c r="C5223" i="23"/>
  <c r="C5222" i="23"/>
  <c r="C5221" i="23"/>
  <c r="C5220" i="23"/>
  <c r="C5219" i="23"/>
  <c r="C5218" i="23"/>
  <c r="C5217" i="23"/>
  <c r="C5216" i="23"/>
  <c r="C5215" i="23"/>
  <c r="C5214" i="23"/>
  <c r="B5240" i="23"/>
  <c r="B5239" i="23"/>
  <c r="B5238" i="23"/>
  <c r="B5237" i="23"/>
  <c r="B5236" i="23"/>
  <c r="B5235" i="23"/>
  <c r="B5234" i="23"/>
  <c r="B5233" i="23"/>
  <c r="B5232" i="23"/>
  <c r="B5231" i="23"/>
  <c r="B5230" i="23"/>
  <c r="B5229" i="23"/>
  <c r="B5228" i="23"/>
  <c r="B5227" i="23"/>
  <c r="B5226" i="23"/>
  <c r="B5225" i="23"/>
  <c r="B5224" i="23"/>
  <c r="B5223" i="23"/>
  <c r="B5222" i="23"/>
  <c r="B5221" i="23"/>
  <c r="B5220" i="23"/>
  <c r="B5219" i="23"/>
  <c r="B5218" i="23"/>
  <c r="B5217" i="23"/>
  <c r="B5216" i="23"/>
  <c r="B5215" i="23"/>
  <c r="B5214" i="23"/>
  <c r="C5591" i="23"/>
  <c r="C5590" i="23"/>
  <c r="C5589" i="23"/>
  <c r="C5588" i="23"/>
  <c r="C5587" i="23"/>
  <c r="C5586" i="23"/>
  <c r="C5585" i="23"/>
  <c r="C5584" i="23"/>
  <c r="C5583" i="23"/>
  <c r="C5582" i="23"/>
  <c r="C5581" i="23"/>
  <c r="C5580" i="23"/>
  <c r="C5579" i="23"/>
  <c r="C5578" i="23"/>
  <c r="C5577" i="23"/>
  <c r="C5576" i="23"/>
  <c r="C5575" i="23"/>
  <c r="C5574" i="23"/>
  <c r="C5573" i="23"/>
  <c r="C5572" i="23"/>
  <c r="C5571" i="23"/>
  <c r="C5570" i="23"/>
  <c r="C5569" i="23"/>
  <c r="C5568" i="23"/>
  <c r="C5567" i="23"/>
  <c r="C5566" i="23"/>
  <c r="C5565" i="23"/>
  <c r="B5591" i="23"/>
  <c r="B5590" i="23"/>
  <c r="B5589" i="23"/>
  <c r="B5588" i="23"/>
  <c r="B5587" i="23"/>
  <c r="B5586" i="23"/>
  <c r="B5585" i="23"/>
  <c r="B5584" i="23"/>
  <c r="B5583" i="23"/>
  <c r="B5582" i="23"/>
  <c r="B5581" i="23"/>
  <c r="B5580" i="23"/>
  <c r="B5579" i="23"/>
  <c r="B5578" i="23"/>
  <c r="B5577" i="23"/>
  <c r="B5576" i="23"/>
  <c r="B5575" i="23"/>
  <c r="B5574" i="23"/>
  <c r="B5573" i="23"/>
  <c r="B5572" i="23"/>
  <c r="B5571" i="23"/>
  <c r="B5570" i="23"/>
  <c r="B5569" i="23"/>
  <c r="B5568" i="23"/>
  <c r="B5567" i="23"/>
  <c r="B5566" i="23"/>
  <c r="B5565" i="23"/>
  <c r="C5888" i="23"/>
  <c r="C5887" i="23"/>
  <c r="C5886" i="23"/>
  <c r="C5885" i="23"/>
  <c r="C5884" i="23"/>
  <c r="C5883" i="23"/>
  <c r="C5882" i="23"/>
  <c r="C5881" i="23"/>
  <c r="C5880" i="23"/>
  <c r="C5879" i="23"/>
  <c r="C5878" i="23"/>
  <c r="C5877" i="23"/>
  <c r="C5876" i="23"/>
  <c r="C5875" i="23"/>
  <c r="C5874" i="23"/>
  <c r="C5873" i="23"/>
  <c r="C5872" i="23"/>
  <c r="C5871" i="23"/>
  <c r="C5870" i="23"/>
  <c r="C5869" i="23"/>
  <c r="C5868" i="23"/>
  <c r="C5867" i="23"/>
  <c r="C5866" i="23"/>
  <c r="C5865" i="23"/>
  <c r="C5864" i="23"/>
  <c r="C5863" i="23"/>
  <c r="C5862" i="23"/>
  <c r="B5888" i="23"/>
  <c r="B5887" i="23"/>
  <c r="B5886" i="23"/>
  <c r="B5885" i="23"/>
  <c r="B5884" i="23"/>
  <c r="B5883" i="23"/>
  <c r="B5882" i="23"/>
  <c r="B5881" i="23"/>
  <c r="B5880" i="23"/>
  <c r="B5879" i="23"/>
  <c r="B5878" i="23"/>
  <c r="B5877" i="23"/>
  <c r="B5876" i="23"/>
  <c r="B5875" i="23"/>
  <c r="B5874" i="23"/>
  <c r="B5873" i="23"/>
  <c r="B5872" i="23"/>
  <c r="B5871" i="23"/>
  <c r="B5870" i="23"/>
  <c r="B5869" i="23"/>
  <c r="B5868" i="23"/>
  <c r="B5867" i="23"/>
  <c r="B5866" i="23"/>
  <c r="B5865" i="23"/>
  <c r="B5864" i="23"/>
  <c r="B5863" i="23"/>
  <c r="B5862" i="23"/>
  <c r="C5699" i="23"/>
  <c r="C5698" i="23"/>
  <c r="C5697" i="23"/>
  <c r="C5696" i="23"/>
  <c r="C5695" i="23"/>
  <c r="C5694" i="23"/>
  <c r="C5693" i="23"/>
  <c r="C5692" i="23"/>
  <c r="C5691" i="23"/>
  <c r="C5690" i="23"/>
  <c r="C5689" i="23"/>
  <c r="C5688" i="23"/>
  <c r="C5687" i="23"/>
  <c r="C5686" i="23"/>
  <c r="C5685" i="23"/>
  <c r="C5684" i="23"/>
  <c r="C5683" i="23"/>
  <c r="C5682" i="23"/>
  <c r="C5681" i="23"/>
  <c r="C5680" i="23"/>
  <c r="C5679" i="23"/>
  <c r="C5678" i="23"/>
  <c r="C5677" i="23"/>
  <c r="C5676" i="23"/>
  <c r="C5675" i="23"/>
  <c r="C5674" i="23"/>
  <c r="C5673" i="23"/>
  <c r="B5699" i="23"/>
  <c r="B5698" i="23"/>
  <c r="B5697" i="23"/>
  <c r="B5696" i="23"/>
  <c r="B5695" i="23"/>
  <c r="B5694" i="23"/>
  <c r="B5693" i="23"/>
  <c r="B5692" i="23"/>
  <c r="B5691" i="23"/>
  <c r="B5690" i="23"/>
  <c r="B5689" i="23"/>
  <c r="B5688" i="23"/>
  <c r="B5687" i="23"/>
  <c r="B5686" i="23"/>
  <c r="B5685" i="23"/>
  <c r="B5684" i="23"/>
  <c r="B5683" i="23"/>
  <c r="B5682" i="23"/>
  <c r="B5681" i="23"/>
  <c r="B5680" i="23"/>
  <c r="B5679" i="23"/>
  <c r="B5678" i="23"/>
  <c r="B5677" i="23"/>
  <c r="B5676" i="23"/>
  <c r="B5675" i="23"/>
  <c r="B5674" i="23"/>
  <c r="B5673" i="23"/>
  <c r="C5780" i="23"/>
  <c r="C5779" i="23"/>
  <c r="C5778" i="23"/>
  <c r="C5777" i="23"/>
  <c r="C5776" i="23"/>
  <c r="C5775" i="23"/>
  <c r="C5774" i="23"/>
  <c r="C5773" i="23"/>
  <c r="C5772" i="23"/>
  <c r="C5771" i="23"/>
  <c r="C5770" i="23"/>
  <c r="C5769" i="23"/>
  <c r="C5768" i="23"/>
  <c r="C5767" i="23"/>
  <c r="C5766" i="23"/>
  <c r="C5765" i="23"/>
  <c r="C5764" i="23"/>
  <c r="C5763" i="23"/>
  <c r="C5762" i="23"/>
  <c r="C5761" i="23"/>
  <c r="C5760" i="23"/>
  <c r="C5759" i="23"/>
  <c r="C5758" i="23"/>
  <c r="C5757" i="23"/>
  <c r="C5756" i="23"/>
  <c r="C5755" i="23"/>
  <c r="C5754" i="23"/>
  <c r="B5780" i="23"/>
  <c r="B5779" i="23"/>
  <c r="B5778" i="23"/>
  <c r="B5777" i="23"/>
  <c r="B5776" i="23"/>
  <c r="B5775" i="23"/>
  <c r="B5774" i="23"/>
  <c r="B5773" i="23"/>
  <c r="B5772" i="23"/>
  <c r="B5771" i="23"/>
  <c r="B5770" i="23"/>
  <c r="B5769" i="23"/>
  <c r="B5768" i="23"/>
  <c r="B5767" i="23"/>
  <c r="B5766" i="23"/>
  <c r="B5765" i="23"/>
  <c r="B5764" i="23"/>
  <c r="B5763" i="23"/>
  <c r="B5762" i="23"/>
  <c r="B5761" i="23"/>
  <c r="B5760" i="23"/>
  <c r="B5759" i="23"/>
  <c r="B5758" i="23"/>
  <c r="B5757" i="23"/>
  <c r="B5756" i="23"/>
  <c r="B5755" i="23"/>
  <c r="B5754" i="23"/>
  <c r="C6050" i="23"/>
  <c r="C6049" i="23"/>
  <c r="C6048" i="23"/>
  <c r="C6047" i="23"/>
  <c r="C6046" i="23"/>
  <c r="C6045" i="23"/>
  <c r="C6044" i="23"/>
  <c r="C6043" i="23"/>
  <c r="C6042" i="23"/>
  <c r="C6041" i="23"/>
  <c r="C6040" i="23"/>
  <c r="C6039" i="23"/>
  <c r="C6038" i="23"/>
  <c r="C6037" i="23"/>
  <c r="C6036" i="23"/>
  <c r="C6035" i="23"/>
  <c r="C6034" i="23"/>
  <c r="C6033" i="23"/>
  <c r="C6032" i="23"/>
  <c r="C6031" i="23"/>
  <c r="C6030" i="23"/>
  <c r="C6029" i="23"/>
  <c r="C6028" i="23"/>
  <c r="C6027" i="23"/>
  <c r="C6026" i="23"/>
  <c r="C6025" i="23"/>
  <c r="C6024" i="23"/>
  <c r="B6050" i="23"/>
  <c r="B6049" i="23"/>
  <c r="B6048" i="23"/>
  <c r="B6047" i="23"/>
  <c r="B6046" i="23"/>
  <c r="B6045" i="23"/>
  <c r="B6044" i="23"/>
  <c r="B6043" i="23"/>
  <c r="B6042" i="23"/>
  <c r="B6041" i="23"/>
  <c r="B6040" i="23"/>
  <c r="B6039" i="23"/>
  <c r="B6038" i="23"/>
  <c r="B6037" i="23"/>
  <c r="B6036" i="23"/>
  <c r="B6035" i="23"/>
  <c r="B6034" i="23"/>
  <c r="B6033" i="23"/>
  <c r="B6032" i="23"/>
  <c r="B6031" i="23"/>
  <c r="B6030" i="23"/>
  <c r="B6029" i="23"/>
  <c r="B6028" i="23"/>
  <c r="B6027" i="23"/>
  <c r="B6026" i="23"/>
  <c r="B6025" i="23"/>
  <c r="B6024" i="23"/>
  <c r="C5996" i="23"/>
  <c r="C5995" i="23"/>
  <c r="C5994" i="23"/>
  <c r="C5993" i="23"/>
  <c r="C5992" i="23"/>
  <c r="C5991" i="23"/>
  <c r="C5990" i="23"/>
  <c r="C5989" i="23"/>
  <c r="C5988" i="23"/>
  <c r="C5987" i="23"/>
  <c r="C5986" i="23"/>
  <c r="C5985" i="23"/>
  <c r="C5984" i="23"/>
  <c r="C5983" i="23"/>
  <c r="C5982" i="23"/>
  <c r="C5981" i="23"/>
  <c r="C5980" i="23"/>
  <c r="C5979" i="23"/>
  <c r="C5978" i="23"/>
  <c r="C5977" i="23"/>
  <c r="C5976" i="23"/>
  <c r="C5975" i="23"/>
  <c r="C5974" i="23"/>
  <c r="C5973" i="23"/>
  <c r="C5972" i="23"/>
  <c r="C5971" i="23"/>
  <c r="C5970" i="23"/>
  <c r="B5996" i="23"/>
  <c r="B5995" i="23"/>
  <c r="B5994" i="23"/>
  <c r="B5993" i="23"/>
  <c r="B5992" i="23"/>
  <c r="B5991" i="23"/>
  <c r="B5990" i="23"/>
  <c r="B5989" i="23"/>
  <c r="B5988" i="23"/>
  <c r="B5987" i="23"/>
  <c r="B5986" i="23"/>
  <c r="B5985" i="23"/>
  <c r="B5984" i="23"/>
  <c r="B5983" i="23"/>
  <c r="B5982" i="23"/>
  <c r="B5981" i="23"/>
  <c r="B5980" i="23"/>
  <c r="B5979" i="23"/>
  <c r="B5978" i="23"/>
  <c r="B5977" i="23"/>
  <c r="B5976" i="23"/>
  <c r="B5975" i="23"/>
  <c r="B5974" i="23"/>
  <c r="B5973" i="23"/>
  <c r="B5972" i="23"/>
  <c r="B5971" i="23"/>
  <c r="B5970" i="23"/>
  <c r="C5942" i="23"/>
  <c r="C5941" i="23"/>
  <c r="C5940" i="23"/>
  <c r="C5939" i="23"/>
  <c r="C5938" i="23"/>
  <c r="C5937" i="23"/>
  <c r="C5936" i="23"/>
  <c r="C5935" i="23"/>
  <c r="C5934" i="23"/>
  <c r="C5933" i="23"/>
  <c r="C5932" i="23"/>
  <c r="C5931" i="23"/>
  <c r="C5930" i="23"/>
  <c r="C5929" i="23"/>
  <c r="C5928" i="23"/>
  <c r="C5927" i="23"/>
  <c r="C5926" i="23"/>
  <c r="C5925" i="23"/>
  <c r="C5924" i="23"/>
  <c r="C5923" i="23"/>
  <c r="C5922" i="23"/>
  <c r="C5921" i="23"/>
  <c r="C5920" i="23"/>
  <c r="C5919" i="23"/>
  <c r="C5918" i="23"/>
  <c r="C5917" i="23"/>
  <c r="C5916" i="23"/>
  <c r="B5942" i="23"/>
  <c r="B5941" i="23"/>
  <c r="B5940" i="23"/>
  <c r="B5939" i="23"/>
  <c r="B5938" i="23"/>
  <c r="B5937" i="23"/>
  <c r="B5936" i="23"/>
  <c r="B5935" i="23"/>
  <c r="B5934" i="23"/>
  <c r="B5933" i="23"/>
  <c r="B5932" i="23"/>
  <c r="B5931" i="23"/>
  <c r="B5930" i="23"/>
  <c r="B5929" i="23"/>
  <c r="B5928" i="23"/>
  <c r="B5927" i="23"/>
  <c r="B5926" i="23"/>
  <c r="B5925" i="23"/>
  <c r="B5924" i="23"/>
  <c r="B5923" i="23"/>
  <c r="B5922" i="23"/>
  <c r="B5921" i="23"/>
  <c r="B5920" i="23"/>
  <c r="B5919" i="23"/>
  <c r="B5918" i="23"/>
  <c r="B5917" i="23"/>
  <c r="B5916" i="23"/>
  <c r="C5753" i="23"/>
  <c r="C5752" i="23"/>
  <c r="C5751" i="23"/>
  <c r="C5750" i="23"/>
  <c r="C5749" i="23"/>
  <c r="C5748" i="23"/>
  <c r="C5747" i="23"/>
  <c r="C5746" i="23"/>
  <c r="C5745" i="23"/>
  <c r="C5744" i="23"/>
  <c r="C5743" i="23"/>
  <c r="C5742" i="23"/>
  <c r="C5741" i="23"/>
  <c r="C5740" i="23"/>
  <c r="C5739" i="23"/>
  <c r="C5738" i="23"/>
  <c r="C5737" i="23"/>
  <c r="C5736" i="23"/>
  <c r="C5735" i="23"/>
  <c r="C5734" i="23"/>
  <c r="C5733" i="23"/>
  <c r="C5732" i="23"/>
  <c r="C5731" i="23"/>
  <c r="C5730" i="23"/>
  <c r="C5729" i="23"/>
  <c r="C5728" i="23"/>
  <c r="C5727" i="23"/>
  <c r="B5753" i="23"/>
  <c r="B5752" i="23"/>
  <c r="B5751" i="23"/>
  <c r="B5750" i="23"/>
  <c r="B5749" i="23"/>
  <c r="B5748" i="23"/>
  <c r="B5747" i="23"/>
  <c r="B5746" i="23"/>
  <c r="B5745" i="23"/>
  <c r="B5744" i="23"/>
  <c r="B5743" i="23"/>
  <c r="B5742" i="23"/>
  <c r="B5741" i="23"/>
  <c r="B5740" i="23"/>
  <c r="B5739" i="23"/>
  <c r="B5738" i="23"/>
  <c r="B5737" i="23"/>
  <c r="B5736" i="23"/>
  <c r="B5735" i="23"/>
  <c r="B5734" i="23"/>
  <c r="B5733" i="23"/>
  <c r="B5732" i="23"/>
  <c r="B5731" i="23"/>
  <c r="B5730" i="23"/>
  <c r="B5729" i="23"/>
  <c r="B5728" i="23"/>
  <c r="B5727" i="23"/>
  <c r="C5186" i="23"/>
  <c r="C5185" i="23"/>
  <c r="C5184" i="23"/>
  <c r="C5183" i="23"/>
  <c r="C5182" i="23"/>
  <c r="C5181" i="23"/>
  <c r="C5180" i="23"/>
  <c r="C5179" i="23"/>
  <c r="C5178" i="23"/>
  <c r="C5177" i="23"/>
  <c r="C5176" i="23"/>
  <c r="C5175" i="23"/>
  <c r="C5174" i="23"/>
  <c r="C5173" i="23"/>
  <c r="C5172" i="23"/>
  <c r="C5171" i="23"/>
  <c r="C5170" i="23"/>
  <c r="C5169" i="23"/>
  <c r="C5168" i="23"/>
  <c r="C5167" i="23"/>
  <c r="C5166" i="23"/>
  <c r="C5165" i="23"/>
  <c r="C5164" i="23"/>
  <c r="C5163" i="23"/>
  <c r="C5162" i="23"/>
  <c r="C5161" i="23"/>
  <c r="C5160" i="23"/>
  <c r="B5186" i="23"/>
  <c r="B5185" i="23"/>
  <c r="B5184" i="23"/>
  <c r="B5183" i="23"/>
  <c r="B5182" i="23"/>
  <c r="B5181" i="23"/>
  <c r="B5180" i="23"/>
  <c r="B5179" i="23"/>
  <c r="B5178" i="23"/>
  <c r="B5177" i="23"/>
  <c r="B5176" i="23"/>
  <c r="B5175" i="23"/>
  <c r="B5174" i="23"/>
  <c r="B5173" i="23"/>
  <c r="B5172" i="23"/>
  <c r="B5171" i="23"/>
  <c r="B5170" i="23"/>
  <c r="B5169" i="23"/>
  <c r="B5168" i="23"/>
  <c r="B5167" i="23"/>
  <c r="B5166" i="23"/>
  <c r="B5165" i="23"/>
  <c r="B5164" i="23"/>
  <c r="B5163" i="23"/>
  <c r="B5162" i="23"/>
  <c r="B5161" i="23"/>
  <c r="B5160" i="23"/>
  <c r="C5726" i="23"/>
  <c r="C5725" i="23"/>
  <c r="C5724" i="23"/>
  <c r="C5723" i="23"/>
  <c r="C5722" i="23"/>
  <c r="C5721" i="23"/>
  <c r="C5720" i="23"/>
  <c r="C5719" i="23"/>
  <c r="C5718" i="23"/>
  <c r="C5717" i="23"/>
  <c r="C5716" i="23"/>
  <c r="C5715" i="23"/>
  <c r="C5714" i="23"/>
  <c r="C5713" i="23"/>
  <c r="C5712" i="23"/>
  <c r="C5711" i="23"/>
  <c r="C5710" i="23"/>
  <c r="C5709" i="23"/>
  <c r="C5708" i="23"/>
  <c r="C5707" i="23"/>
  <c r="C5706" i="23"/>
  <c r="C5705" i="23"/>
  <c r="C5704" i="23"/>
  <c r="C5703" i="23"/>
  <c r="C5702" i="23"/>
  <c r="C5701" i="23"/>
  <c r="C5700" i="23"/>
  <c r="B5726" i="23"/>
  <c r="B5725" i="23"/>
  <c r="B5724" i="23"/>
  <c r="B5723" i="23"/>
  <c r="B5722" i="23"/>
  <c r="B5721" i="23"/>
  <c r="B5720" i="23"/>
  <c r="B5719" i="23"/>
  <c r="B5718" i="23"/>
  <c r="B5717" i="23"/>
  <c r="B5716" i="23"/>
  <c r="B5715" i="23"/>
  <c r="B5714" i="23"/>
  <c r="B5713" i="23"/>
  <c r="B5712" i="23"/>
  <c r="B5711" i="23"/>
  <c r="B5710" i="23"/>
  <c r="B5709" i="23"/>
  <c r="B5708" i="23"/>
  <c r="B5707" i="23"/>
  <c r="B5706" i="23"/>
  <c r="B5705" i="23"/>
  <c r="B5704" i="23"/>
  <c r="B5703" i="23"/>
  <c r="B5702" i="23"/>
  <c r="B5701" i="23"/>
  <c r="B5700" i="23"/>
  <c r="C5537" i="23"/>
  <c r="C5536" i="23"/>
  <c r="C5535" i="23"/>
  <c r="C5534" i="23"/>
  <c r="C5533" i="23"/>
  <c r="C5532" i="23"/>
  <c r="C5531" i="23"/>
  <c r="C5530" i="23"/>
  <c r="C5529" i="23"/>
  <c r="C5528" i="23"/>
  <c r="C5527" i="23"/>
  <c r="C5526" i="23"/>
  <c r="C5525" i="23"/>
  <c r="C5524" i="23"/>
  <c r="C5523" i="23"/>
  <c r="C5522" i="23"/>
  <c r="C5521" i="23"/>
  <c r="C5520" i="23"/>
  <c r="C5519" i="23"/>
  <c r="C5518" i="23"/>
  <c r="C5517" i="23"/>
  <c r="C5516" i="23"/>
  <c r="C5515" i="23"/>
  <c r="C5514" i="23"/>
  <c r="C5513" i="23"/>
  <c r="C5512" i="23"/>
  <c r="C5511" i="23"/>
  <c r="B5537" i="23"/>
  <c r="B5536" i="23"/>
  <c r="B5535" i="23"/>
  <c r="B5534" i="23"/>
  <c r="B5533" i="23"/>
  <c r="B5532" i="23"/>
  <c r="B5531" i="23"/>
  <c r="B5530" i="23"/>
  <c r="B5529" i="23"/>
  <c r="B5528" i="23"/>
  <c r="B5527" i="23"/>
  <c r="B5526" i="23"/>
  <c r="B5525" i="23"/>
  <c r="B5524" i="23"/>
  <c r="B5523" i="23"/>
  <c r="B5522" i="23"/>
  <c r="B5521" i="23"/>
  <c r="B5520" i="23"/>
  <c r="B5519" i="23"/>
  <c r="B5518" i="23"/>
  <c r="B5517" i="23"/>
  <c r="B5516" i="23"/>
  <c r="B5515" i="23"/>
  <c r="B5514" i="23"/>
  <c r="B5513" i="23"/>
  <c r="B5512" i="23"/>
  <c r="B5511" i="23"/>
  <c r="C6131" i="23"/>
  <c r="C6130" i="23"/>
  <c r="C6129" i="23"/>
  <c r="C6128" i="23"/>
  <c r="C6127" i="23"/>
  <c r="C6126" i="23"/>
  <c r="C6125" i="23"/>
  <c r="C6124" i="23"/>
  <c r="C6123" i="23"/>
  <c r="C6122" i="23"/>
  <c r="C6121" i="23"/>
  <c r="C6120" i="23"/>
  <c r="C6119" i="23"/>
  <c r="C6118" i="23"/>
  <c r="C6117" i="23"/>
  <c r="C6116" i="23"/>
  <c r="C6115" i="23"/>
  <c r="C6114" i="23"/>
  <c r="C6113" i="23"/>
  <c r="C6112" i="23"/>
  <c r="C6111" i="23"/>
  <c r="C6110" i="23"/>
  <c r="C6109" i="23"/>
  <c r="C6108" i="23"/>
  <c r="C6107" i="23"/>
  <c r="C6106" i="23"/>
  <c r="C6105" i="23"/>
  <c r="B6131" i="23"/>
  <c r="B6130" i="23"/>
  <c r="B6129" i="23"/>
  <c r="B6128" i="23"/>
  <c r="B6127" i="23"/>
  <c r="B6126" i="23"/>
  <c r="B6125" i="23"/>
  <c r="B6124" i="23"/>
  <c r="B6123" i="23"/>
  <c r="B6122" i="23"/>
  <c r="B6121" i="23"/>
  <c r="B6120" i="23"/>
  <c r="B6119" i="23"/>
  <c r="B6118" i="23"/>
  <c r="B6117" i="23"/>
  <c r="B6116" i="23"/>
  <c r="B6115" i="23"/>
  <c r="B6114" i="23"/>
  <c r="B6113" i="23"/>
  <c r="B6112" i="23"/>
  <c r="B6111" i="23"/>
  <c r="B6110" i="23"/>
  <c r="B6109" i="23"/>
  <c r="B6108" i="23"/>
  <c r="B6107" i="23"/>
  <c r="B6106" i="23"/>
  <c r="B6105" i="23"/>
  <c r="C5861" i="23"/>
  <c r="C5860" i="23"/>
  <c r="C5859" i="23"/>
  <c r="C5858" i="23"/>
  <c r="C5857" i="23"/>
  <c r="C5856" i="23"/>
  <c r="C5855" i="23"/>
  <c r="C5854" i="23"/>
  <c r="C5853" i="23"/>
  <c r="C5852" i="23"/>
  <c r="C5851" i="23"/>
  <c r="C5850" i="23"/>
  <c r="C5849" i="23"/>
  <c r="C5848" i="23"/>
  <c r="C5847" i="23"/>
  <c r="C5846" i="23"/>
  <c r="C5845" i="23"/>
  <c r="C5844" i="23"/>
  <c r="C5843" i="23"/>
  <c r="C5842" i="23"/>
  <c r="C5841" i="23"/>
  <c r="C5840" i="23"/>
  <c r="C5839" i="23"/>
  <c r="C5838" i="23"/>
  <c r="C5837" i="23"/>
  <c r="C5836" i="23"/>
  <c r="C5835" i="23"/>
  <c r="B5861" i="23"/>
  <c r="B5860" i="23"/>
  <c r="B5859" i="23"/>
  <c r="B5858" i="23"/>
  <c r="B5857" i="23"/>
  <c r="B5856" i="23"/>
  <c r="B5855" i="23"/>
  <c r="B5854" i="23"/>
  <c r="B5853" i="23"/>
  <c r="B5852" i="23"/>
  <c r="B5851" i="23"/>
  <c r="B5850" i="23"/>
  <c r="B5849" i="23"/>
  <c r="B5848" i="23"/>
  <c r="B5847" i="23"/>
  <c r="B5846" i="23"/>
  <c r="B5845" i="23"/>
  <c r="B5844" i="23"/>
  <c r="B5843" i="23"/>
  <c r="B5842" i="23"/>
  <c r="B5841" i="23"/>
  <c r="B5840" i="23"/>
  <c r="B5839" i="23"/>
  <c r="B5838" i="23"/>
  <c r="B5837" i="23"/>
  <c r="B5836" i="23"/>
  <c r="B5835" i="23"/>
  <c r="C6158" i="23"/>
  <c r="C6157" i="23"/>
  <c r="C6156" i="23"/>
  <c r="C6155" i="23"/>
  <c r="C6154" i="23"/>
  <c r="C6153" i="23"/>
  <c r="C6152" i="23"/>
  <c r="C6151" i="23"/>
  <c r="C6150" i="23"/>
  <c r="C6149" i="23"/>
  <c r="C6148" i="23"/>
  <c r="C6147" i="23"/>
  <c r="C6146" i="23"/>
  <c r="C6145" i="23"/>
  <c r="C6144" i="23"/>
  <c r="C6143" i="23"/>
  <c r="C6142" i="23"/>
  <c r="C6141" i="23"/>
  <c r="C6140" i="23"/>
  <c r="C6139" i="23"/>
  <c r="C6138" i="23"/>
  <c r="C6137" i="23"/>
  <c r="C6136" i="23"/>
  <c r="C6135" i="23"/>
  <c r="C6134" i="23"/>
  <c r="C6133" i="23"/>
  <c r="C6132" i="23"/>
  <c r="B6158" i="23"/>
  <c r="B6157" i="23"/>
  <c r="B6156" i="23"/>
  <c r="B6155" i="23"/>
  <c r="B6154" i="23"/>
  <c r="B6153" i="23"/>
  <c r="B6152" i="23"/>
  <c r="B6151" i="23"/>
  <c r="B6150" i="23"/>
  <c r="B6149" i="23"/>
  <c r="B6148" i="23"/>
  <c r="B6147" i="23"/>
  <c r="B6146" i="23"/>
  <c r="B6145" i="23"/>
  <c r="B6144" i="23"/>
  <c r="B6143" i="23"/>
  <c r="B6142" i="23"/>
  <c r="B6141" i="23"/>
  <c r="B6140" i="23"/>
  <c r="B6139" i="23"/>
  <c r="B6138" i="23"/>
  <c r="B6137" i="23"/>
  <c r="B6136" i="23"/>
  <c r="B6135" i="23"/>
  <c r="B6134" i="23"/>
  <c r="B6133" i="23"/>
  <c r="B6132" i="23"/>
  <c r="C5807" i="23"/>
  <c r="C5806" i="23"/>
  <c r="C5805" i="23"/>
  <c r="C5804" i="23"/>
  <c r="C5803" i="23"/>
  <c r="C5802" i="23"/>
  <c r="C5801" i="23"/>
  <c r="C5800" i="23"/>
  <c r="C5799" i="23"/>
  <c r="C5798" i="23"/>
  <c r="C5797" i="23"/>
  <c r="C5796" i="23"/>
  <c r="C5795" i="23"/>
  <c r="C5794" i="23"/>
  <c r="C5793" i="23"/>
  <c r="C5792" i="23"/>
  <c r="C5791" i="23"/>
  <c r="C5790" i="23"/>
  <c r="C5789" i="23"/>
  <c r="C5788" i="23"/>
  <c r="C5787" i="23"/>
  <c r="C5786" i="23"/>
  <c r="C5785" i="23"/>
  <c r="C5784" i="23"/>
  <c r="C5783" i="23"/>
  <c r="C5782" i="23"/>
  <c r="C5781" i="23"/>
  <c r="B5807" i="23"/>
  <c r="B5806" i="23"/>
  <c r="B5805" i="23"/>
  <c r="B5804" i="23"/>
  <c r="B5803" i="23"/>
  <c r="B5802" i="23"/>
  <c r="B5801" i="23"/>
  <c r="B5800" i="23"/>
  <c r="B5799" i="23"/>
  <c r="B5798" i="23"/>
  <c r="B5797" i="23"/>
  <c r="B5796" i="23"/>
  <c r="B5795" i="23"/>
  <c r="B5794" i="23"/>
  <c r="B5793" i="23"/>
  <c r="B5792" i="23"/>
  <c r="B5791" i="23"/>
  <c r="B5790" i="23"/>
  <c r="B5789" i="23"/>
  <c r="B5788" i="23"/>
  <c r="B5787" i="23"/>
  <c r="B5786" i="23"/>
  <c r="B5785" i="23"/>
  <c r="B5784" i="23"/>
  <c r="B5783" i="23"/>
  <c r="B5782" i="23"/>
  <c r="B5781" i="23"/>
  <c r="C5834" i="23"/>
  <c r="C5833" i="23"/>
  <c r="C5832" i="23"/>
  <c r="C5831" i="23"/>
  <c r="C5830" i="23"/>
  <c r="C5829" i="23"/>
  <c r="C5828" i="23"/>
  <c r="C5827" i="23"/>
  <c r="C5826" i="23"/>
  <c r="C5825" i="23"/>
  <c r="C5824" i="23"/>
  <c r="C5823" i="23"/>
  <c r="C5822" i="23"/>
  <c r="C5821" i="23"/>
  <c r="C5820" i="23"/>
  <c r="C5819" i="23"/>
  <c r="C5818" i="23"/>
  <c r="C5817" i="23"/>
  <c r="C5816" i="23"/>
  <c r="C5815" i="23"/>
  <c r="C5814" i="23"/>
  <c r="C5813" i="23"/>
  <c r="C5812" i="23"/>
  <c r="C5811" i="23"/>
  <c r="C5810" i="23"/>
  <c r="C5809" i="23"/>
  <c r="C5808" i="23"/>
  <c r="B5834" i="23"/>
  <c r="B5833" i="23"/>
  <c r="B5832" i="23"/>
  <c r="B5831" i="23"/>
  <c r="B5830" i="23"/>
  <c r="B5829" i="23"/>
  <c r="B5828" i="23"/>
  <c r="B5827" i="23"/>
  <c r="B5826" i="23"/>
  <c r="B5825" i="23"/>
  <c r="B5824" i="23"/>
  <c r="B5823" i="23"/>
  <c r="B5822" i="23"/>
  <c r="B5821" i="23"/>
  <c r="B5820" i="23"/>
  <c r="B5819" i="23"/>
  <c r="B5818" i="23"/>
  <c r="B5817" i="23"/>
  <c r="B5816" i="23"/>
  <c r="B5815" i="23"/>
  <c r="B5814" i="23"/>
  <c r="B5813" i="23"/>
  <c r="B5812" i="23"/>
  <c r="B5811" i="23"/>
  <c r="B5810" i="23"/>
  <c r="B5809" i="23"/>
  <c r="B5808" i="23"/>
  <c r="C5564" i="23"/>
  <c r="C5563" i="23"/>
  <c r="C5562" i="23"/>
  <c r="C5561" i="23"/>
  <c r="C5560" i="23"/>
  <c r="C5559" i="23"/>
  <c r="C5558" i="23"/>
  <c r="C5557" i="23"/>
  <c r="C5556" i="23"/>
  <c r="C5555" i="23"/>
  <c r="C5554" i="23"/>
  <c r="C5553" i="23"/>
  <c r="C5552" i="23"/>
  <c r="C5551" i="23"/>
  <c r="C5550" i="23"/>
  <c r="C5549" i="23"/>
  <c r="C5548" i="23"/>
  <c r="C5547" i="23"/>
  <c r="C5546" i="23"/>
  <c r="C5545" i="23"/>
  <c r="C5544" i="23"/>
  <c r="C5543" i="23"/>
  <c r="C5542" i="23"/>
  <c r="C5541" i="23"/>
  <c r="C5540" i="23"/>
  <c r="C5539" i="23"/>
  <c r="C5538" i="23"/>
  <c r="B5564" i="23"/>
  <c r="B5563" i="23"/>
  <c r="B5562" i="23"/>
  <c r="B5561" i="23"/>
  <c r="B5560" i="23"/>
  <c r="B5559" i="23"/>
  <c r="B5558" i="23"/>
  <c r="B5557" i="23"/>
  <c r="B5556" i="23"/>
  <c r="B5555" i="23"/>
  <c r="B5554" i="23"/>
  <c r="B5553" i="23"/>
  <c r="B5552" i="23"/>
  <c r="B5551" i="23"/>
  <c r="B5550" i="23"/>
  <c r="B5549" i="23"/>
  <c r="B5548" i="23"/>
  <c r="B5547" i="23"/>
  <c r="B5546" i="23"/>
  <c r="B5545" i="23"/>
  <c r="B5544" i="23"/>
  <c r="B5543" i="23"/>
  <c r="B5542" i="23"/>
  <c r="B5541" i="23"/>
  <c r="B5540" i="23"/>
  <c r="B5539" i="23"/>
  <c r="B5538" i="23"/>
  <c r="C5159" i="23"/>
  <c r="C5158" i="23"/>
  <c r="C5157" i="23"/>
  <c r="C5156" i="23"/>
  <c r="C5155" i="23"/>
  <c r="C5154" i="23"/>
  <c r="C5153" i="23"/>
  <c r="C5152" i="23"/>
  <c r="C5151" i="23"/>
  <c r="C5150" i="23"/>
  <c r="C5149" i="23"/>
  <c r="C5148" i="23"/>
  <c r="C5147" i="23"/>
  <c r="C5146" i="23"/>
  <c r="C5145" i="23"/>
  <c r="C5144" i="23"/>
  <c r="C5143" i="23"/>
  <c r="C5142" i="23"/>
  <c r="C5141" i="23"/>
  <c r="C5140" i="23"/>
  <c r="C5139" i="23"/>
  <c r="C5138" i="23"/>
  <c r="C5137" i="23"/>
  <c r="C5136" i="23"/>
  <c r="C5135" i="23"/>
  <c r="C5134" i="23"/>
  <c r="C5133" i="23"/>
  <c r="B5159" i="23"/>
  <c r="B5158" i="23"/>
  <c r="B5157" i="23"/>
  <c r="B5156" i="23"/>
  <c r="B5155" i="23"/>
  <c r="B5154" i="23"/>
  <c r="B5153" i="23"/>
  <c r="B5152" i="23"/>
  <c r="B5151" i="23"/>
  <c r="B5150" i="23"/>
  <c r="B5149" i="23"/>
  <c r="B5148" i="23"/>
  <c r="B5147" i="23"/>
  <c r="B5146" i="23"/>
  <c r="B5145" i="23"/>
  <c r="B5144" i="23"/>
  <c r="B5143" i="23"/>
  <c r="B5142" i="23"/>
  <c r="B5141" i="23"/>
  <c r="B5140" i="23"/>
  <c r="B5139" i="23"/>
  <c r="B5138" i="23"/>
  <c r="B5137" i="23"/>
  <c r="B5136" i="23"/>
  <c r="B5135" i="23"/>
  <c r="B5134" i="23"/>
  <c r="B5133" i="23"/>
  <c r="C5672" i="23"/>
  <c r="C5671" i="23"/>
  <c r="C5670" i="23"/>
  <c r="C5669" i="23"/>
  <c r="C5668" i="23"/>
  <c r="C5667" i="23"/>
  <c r="C5666" i="23"/>
  <c r="C5665" i="23"/>
  <c r="C5664" i="23"/>
  <c r="C5663" i="23"/>
  <c r="C5662" i="23"/>
  <c r="C5661" i="23"/>
  <c r="C5660" i="23"/>
  <c r="C5659" i="23"/>
  <c r="C5658" i="23"/>
  <c r="C5657" i="23"/>
  <c r="C5656" i="23"/>
  <c r="C5655" i="23"/>
  <c r="C5654" i="23"/>
  <c r="C5653" i="23"/>
  <c r="C5652" i="23"/>
  <c r="C5651" i="23"/>
  <c r="C5650" i="23"/>
  <c r="C5649" i="23"/>
  <c r="C5648" i="23"/>
  <c r="C5647" i="23"/>
  <c r="C5646" i="23"/>
  <c r="B5672" i="23"/>
  <c r="B5671" i="23"/>
  <c r="B5670" i="23"/>
  <c r="B5669" i="23"/>
  <c r="B5668" i="23"/>
  <c r="B5667" i="23"/>
  <c r="B5666" i="23"/>
  <c r="B5665" i="23"/>
  <c r="B5664" i="23"/>
  <c r="B5663" i="23"/>
  <c r="B5662" i="23"/>
  <c r="B5661" i="23"/>
  <c r="B5660" i="23"/>
  <c r="B5659" i="23"/>
  <c r="B5658" i="23"/>
  <c r="B5657" i="23"/>
  <c r="B5656" i="23"/>
  <c r="B5655" i="23"/>
  <c r="B5654" i="23"/>
  <c r="B5653" i="23"/>
  <c r="B5652" i="23"/>
  <c r="B5651" i="23"/>
  <c r="B5650" i="23"/>
  <c r="B5649" i="23"/>
  <c r="B5648" i="23"/>
  <c r="B5647" i="23"/>
  <c r="B5646" i="23"/>
  <c r="C6023" i="23"/>
  <c r="C6022" i="23"/>
  <c r="C6021" i="23"/>
  <c r="C6020" i="23"/>
  <c r="C6019" i="23"/>
  <c r="C6018" i="23"/>
  <c r="C6017" i="23"/>
  <c r="C6016" i="23"/>
  <c r="C6015" i="23"/>
  <c r="C6014" i="23"/>
  <c r="C6013" i="23"/>
  <c r="C6012" i="23"/>
  <c r="C6011" i="23"/>
  <c r="C6010" i="23"/>
  <c r="C6009" i="23"/>
  <c r="C6008" i="23"/>
  <c r="C6007" i="23"/>
  <c r="C6006" i="23"/>
  <c r="C6005" i="23"/>
  <c r="C6004" i="23"/>
  <c r="C6003" i="23"/>
  <c r="C6002" i="23"/>
  <c r="C6001" i="23"/>
  <c r="C6000" i="23"/>
  <c r="C5999" i="23"/>
  <c r="C5998" i="23"/>
  <c r="C5997" i="23"/>
  <c r="B6023" i="23"/>
  <c r="B6022" i="23"/>
  <c r="B6021" i="23"/>
  <c r="B6020" i="23"/>
  <c r="B6019" i="23"/>
  <c r="B6018" i="23"/>
  <c r="B6017" i="23"/>
  <c r="B6016" i="23"/>
  <c r="B6015" i="23"/>
  <c r="B6014" i="23"/>
  <c r="B6013" i="23"/>
  <c r="B6012" i="23"/>
  <c r="B6011" i="23"/>
  <c r="B6010" i="23"/>
  <c r="B6009" i="23"/>
  <c r="B6008" i="23"/>
  <c r="B6007" i="23"/>
  <c r="B6006" i="23"/>
  <c r="B6005" i="23"/>
  <c r="B6004" i="23"/>
  <c r="B6003" i="23"/>
  <c r="B6002" i="23"/>
  <c r="B6001" i="23"/>
  <c r="B6000" i="23"/>
  <c r="B5999" i="23"/>
  <c r="B5998" i="23"/>
  <c r="B5997" i="23"/>
  <c r="C6077" i="23"/>
  <c r="C6076" i="23"/>
  <c r="C6075" i="23"/>
  <c r="C6074" i="23"/>
  <c r="C6073" i="23"/>
  <c r="C6072" i="23"/>
  <c r="C6071" i="23"/>
  <c r="C6070" i="23"/>
  <c r="C6069" i="23"/>
  <c r="C6068" i="23"/>
  <c r="C6067" i="23"/>
  <c r="C6066" i="23"/>
  <c r="C6065" i="23"/>
  <c r="C6064" i="23"/>
  <c r="C6063" i="23"/>
  <c r="C6062" i="23"/>
  <c r="C6061" i="23"/>
  <c r="C6060" i="23"/>
  <c r="C6059" i="23"/>
  <c r="C6058" i="23"/>
  <c r="C6057" i="23"/>
  <c r="C6056" i="23"/>
  <c r="C6055" i="23"/>
  <c r="C6054" i="23"/>
  <c r="C6053" i="23"/>
  <c r="C6052" i="23"/>
  <c r="C6051" i="23"/>
  <c r="B6077" i="23"/>
  <c r="B6076" i="23"/>
  <c r="B6075" i="23"/>
  <c r="B6074" i="23"/>
  <c r="B6073" i="23"/>
  <c r="B6072" i="23"/>
  <c r="B6071" i="23"/>
  <c r="B6070" i="23"/>
  <c r="B6069" i="23"/>
  <c r="B6068" i="23"/>
  <c r="B6067" i="23"/>
  <c r="B6066" i="23"/>
  <c r="B6065" i="23"/>
  <c r="B6064" i="23"/>
  <c r="B6063" i="23"/>
  <c r="B6062" i="23"/>
  <c r="B6061" i="23"/>
  <c r="B6060" i="23"/>
  <c r="B6059" i="23"/>
  <c r="B6058" i="23"/>
  <c r="B6057" i="23"/>
  <c r="B6056" i="23"/>
  <c r="B6055" i="23"/>
  <c r="B6054" i="23"/>
  <c r="B6053" i="23"/>
  <c r="B6052" i="23"/>
  <c r="B6051" i="23"/>
  <c r="C5213" i="23"/>
  <c r="C5212" i="23"/>
  <c r="C5211" i="23"/>
  <c r="C5210" i="23"/>
  <c r="C5209" i="23"/>
  <c r="C5208" i="23"/>
  <c r="C5207" i="23"/>
  <c r="C5206" i="23"/>
  <c r="C5205" i="23"/>
  <c r="C5204" i="23"/>
  <c r="C5203" i="23"/>
  <c r="C5202" i="23"/>
  <c r="C5201" i="23"/>
  <c r="C5200" i="23"/>
  <c r="C5199" i="23"/>
  <c r="C5198" i="23"/>
  <c r="C5197" i="23"/>
  <c r="C5196" i="23"/>
  <c r="C5195" i="23"/>
  <c r="C5194" i="23"/>
  <c r="C5193" i="23"/>
  <c r="C5192" i="23"/>
  <c r="C5191" i="23"/>
  <c r="C5190" i="23"/>
  <c r="C5189" i="23"/>
  <c r="C5188" i="23"/>
  <c r="C5187" i="23"/>
  <c r="B5213" i="23"/>
  <c r="B5212" i="23"/>
  <c r="B5211" i="23"/>
  <c r="B5210" i="23"/>
  <c r="B5209" i="23"/>
  <c r="B5208" i="23"/>
  <c r="B5207" i="23"/>
  <c r="B5206" i="23"/>
  <c r="B5205" i="23"/>
  <c r="B5204" i="23"/>
  <c r="B5203" i="23"/>
  <c r="B5202" i="23"/>
  <c r="B5201" i="23"/>
  <c r="B5200" i="23"/>
  <c r="B5199" i="23"/>
  <c r="B5198" i="23"/>
  <c r="B5197" i="23"/>
  <c r="B5196" i="23"/>
  <c r="B5195" i="23"/>
  <c r="B5194" i="23"/>
  <c r="B5193" i="23"/>
  <c r="B5192" i="23"/>
  <c r="B5191" i="23"/>
  <c r="B5190" i="23"/>
  <c r="B5189" i="23"/>
  <c r="B5188" i="23"/>
  <c r="B5187" i="23"/>
  <c r="C5915" i="23"/>
  <c r="C5914" i="23"/>
  <c r="C5913" i="23"/>
  <c r="C5912" i="23"/>
  <c r="C5911" i="23"/>
  <c r="C5910" i="23"/>
  <c r="C5909" i="23"/>
  <c r="C5908" i="23"/>
  <c r="C5907" i="23"/>
  <c r="C5906" i="23"/>
  <c r="C5905" i="23"/>
  <c r="C5904" i="23"/>
  <c r="C5903" i="23"/>
  <c r="C5902" i="23"/>
  <c r="C5901" i="23"/>
  <c r="C5900" i="23"/>
  <c r="C5899" i="23"/>
  <c r="C5898" i="23"/>
  <c r="C5897" i="23"/>
  <c r="C5896" i="23"/>
  <c r="C5895" i="23"/>
  <c r="C5894" i="23"/>
  <c r="C5893" i="23"/>
  <c r="C5892" i="23"/>
  <c r="C5891" i="23"/>
  <c r="C5890" i="23"/>
  <c r="C5889" i="23"/>
  <c r="B5915" i="23"/>
  <c r="B5914" i="23"/>
  <c r="B5913" i="23"/>
  <c r="B5912" i="23"/>
  <c r="B5911" i="23"/>
  <c r="B5910" i="23"/>
  <c r="B5909" i="23"/>
  <c r="B5908" i="23"/>
  <c r="B5907" i="23"/>
  <c r="B5906" i="23"/>
  <c r="B5905" i="23"/>
  <c r="B5904" i="23"/>
  <c r="B5903" i="23"/>
  <c r="B5902" i="23"/>
  <c r="B5901" i="23"/>
  <c r="B5900" i="23"/>
  <c r="B5899" i="23"/>
  <c r="B5898" i="23"/>
  <c r="B5897" i="23"/>
  <c r="B5896" i="23"/>
  <c r="B5895" i="23"/>
  <c r="B5894" i="23"/>
  <c r="B5893" i="23"/>
  <c r="B5892" i="23"/>
  <c r="B5891" i="23"/>
  <c r="B5890" i="23"/>
  <c r="B5889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326" i="23"/>
  <c r="B325" i="23"/>
  <c r="B324" i="23"/>
  <c r="B323" i="23"/>
  <c r="B322" i="23"/>
  <c r="B321" i="23"/>
  <c r="B320" i="23"/>
  <c r="B319" i="23"/>
  <c r="B318" i="23"/>
  <c r="B317" i="23"/>
  <c r="B316" i="23"/>
  <c r="B315" i="23"/>
  <c r="B314" i="23"/>
  <c r="B313" i="23"/>
  <c r="B312" i="23"/>
  <c r="B311" i="23"/>
  <c r="B310" i="23"/>
  <c r="B309" i="23"/>
  <c r="B308" i="23"/>
  <c r="B307" i="23"/>
  <c r="B306" i="23"/>
  <c r="B305" i="23"/>
  <c r="B304" i="23"/>
  <c r="B303" i="23"/>
  <c r="B302" i="23"/>
  <c r="B301" i="23"/>
  <c r="B300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B332" i="23"/>
  <c r="B331" i="23"/>
  <c r="B330" i="23"/>
  <c r="B329" i="23"/>
  <c r="B328" i="23"/>
  <c r="B327" i="23"/>
  <c r="B380" i="23"/>
  <c r="B379" i="23"/>
  <c r="B378" i="23"/>
  <c r="B377" i="23"/>
  <c r="B376" i="23"/>
  <c r="B375" i="23"/>
  <c r="B374" i="23"/>
  <c r="B373" i="23"/>
  <c r="B372" i="23"/>
  <c r="B371" i="23"/>
  <c r="B370" i="23"/>
  <c r="B369" i="23"/>
  <c r="B368" i="23"/>
  <c r="B367" i="23"/>
  <c r="B366" i="23"/>
  <c r="B365" i="23"/>
  <c r="B364" i="23"/>
  <c r="B363" i="23"/>
  <c r="B362" i="23"/>
  <c r="B361" i="23"/>
  <c r="B360" i="23"/>
  <c r="B359" i="23"/>
  <c r="B358" i="23"/>
  <c r="B357" i="23"/>
  <c r="B356" i="23"/>
  <c r="B355" i="23"/>
  <c r="B354" i="23"/>
  <c r="B137" i="23"/>
  <c r="B488" i="23"/>
  <c r="B839" i="23"/>
  <c r="B515" i="23"/>
  <c r="B974" i="23"/>
  <c r="B110" i="23"/>
  <c r="B461" i="23"/>
  <c r="B758" i="23"/>
  <c r="B569" i="23"/>
  <c r="B650" i="23"/>
  <c r="B920" i="23"/>
  <c r="B866" i="23"/>
  <c r="B812" i="23"/>
  <c r="B623" i="23"/>
  <c r="B56" i="23"/>
  <c r="B596" i="23"/>
  <c r="B407" i="23"/>
  <c r="B1001" i="23"/>
  <c r="B731" i="23"/>
  <c r="B1028" i="23"/>
  <c r="B677" i="23"/>
  <c r="B704" i="23"/>
  <c r="B434" i="23"/>
  <c r="B29" i="23"/>
  <c r="B542" i="23"/>
  <c r="B893" i="23"/>
  <c r="B947" i="23"/>
  <c r="B83" i="23"/>
  <c r="B785" i="23"/>
  <c r="B136" i="23"/>
  <c r="B487" i="23"/>
  <c r="B838" i="23"/>
  <c r="B514" i="23"/>
  <c r="B973" i="23"/>
  <c r="B109" i="23"/>
  <c r="B460" i="23"/>
  <c r="B757" i="23"/>
  <c r="B568" i="23"/>
  <c r="B649" i="23"/>
  <c r="B919" i="23"/>
  <c r="B865" i="23"/>
  <c r="B811" i="23"/>
  <c r="B622" i="23"/>
  <c r="B55" i="23"/>
  <c r="B595" i="23"/>
  <c r="B406" i="23"/>
  <c r="B1000" i="23"/>
  <c r="B730" i="23"/>
  <c r="B1027" i="23"/>
  <c r="B676" i="23"/>
  <c r="B703" i="23"/>
  <c r="B433" i="23"/>
  <c r="B28" i="23"/>
  <c r="B541" i="23"/>
  <c r="B892" i="23"/>
  <c r="B946" i="23"/>
  <c r="B82" i="23"/>
  <c r="B784" i="23"/>
  <c r="B135" i="23"/>
  <c r="B486" i="23"/>
  <c r="B837" i="23"/>
  <c r="B513" i="23"/>
  <c r="B972" i="23"/>
  <c r="B108" i="23"/>
  <c r="B459" i="23"/>
  <c r="B756" i="23"/>
  <c r="B567" i="23"/>
  <c r="B648" i="23"/>
  <c r="B918" i="23"/>
  <c r="B864" i="23"/>
  <c r="B810" i="23"/>
  <c r="B621" i="23"/>
  <c r="B54" i="23"/>
  <c r="B594" i="23"/>
  <c r="B405" i="23"/>
  <c r="B999" i="23"/>
  <c r="B729" i="23"/>
  <c r="B1026" i="23"/>
  <c r="B675" i="23"/>
  <c r="B702" i="23"/>
  <c r="B432" i="23"/>
  <c r="B27" i="23"/>
  <c r="B540" i="23"/>
  <c r="B891" i="23"/>
  <c r="B945" i="23"/>
  <c r="B81" i="23"/>
  <c r="B783" i="23"/>
  <c r="B134" i="23"/>
  <c r="B485" i="23"/>
  <c r="B836" i="23"/>
  <c r="B512" i="23"/>
  <c r="B971" i="23"/>
  <c r="B107" i="23"/>
  <c r="B458" i="23"/>
  <c r="B755" i="23"/>
  <c r="B566" i="23"/>
  <c r="B647" i="23"/>
  <c r="B917" i="23"/>
  <c r="B863" i="23"/>
  <c r="B809" i="23"/>
  <c r="B620" i="23"/>
  <c r="B53" i="23"/>
  <c r="B593" i="23"/>
  <c r="B404" i="23"/>
  <c r="B998" i="23"/>
  <c r="B728" i="23"/>
  <c r="B1025" i="23"/>
  <c r="B674" i="23"/>
  <c r="B701" i="23"/>
  <c r="B431" i="23"/>
  <c r="B26" i="23"/>
  <c r="B539" i="23"/>
  <c r="B890" i="23"/>
  <c r="B944" i="23"/>
  <c r="B80" i="23"/>
  <c r="B782" i="23"/>
  <c r="B133" i="23"/>
  <c r="B484" i="23"/>
  <c r="B835" i="23"/>
  <c r="B511" i="23"/>
  <c r="B970" i="23"/>
  <c r="B106" i="23"/>
  <c r="B457" i="23"/>
  <c r="B754" i="23"/>
  <c r="B565" i="23"/>
  <c r="B646" i="23"/>
  <c r="B916" i="23"/>
  <c r="B862" i="23"/>
  <c r="B808" i="23"/>
  <c r="B619" i="23"/>
  <c r="B52" i="23"/>
  <c r="B592" i="23"/>
  <c r="B403" i="23"/>
  <c r="B997" i="23"/>
  <c r="B727" i="23"/>
  <c r="B1024" i="23"/>
  <c r="B673" i="23"/>
  <c r="B700" i="23"/>
  <c r="B430" i="23"/>
  <c r="B25" i="23"/>
  <c r="B538" i="23"/>
  <c r="B889" i="23"/>
  <c r="B943" i="23"/>
  <c r="B79" i="23"/>
  <c r="B781" i="23"/>
  <c r="B132" i="23"/>
  <c r="B483" i="23"/>
  <c r="B834" i="23"/>
  <c r="B510" i="23"/>
  <c r="B969" i="23"/>
  <c r="B105" i="23"/>
  <c r="B456" i="23"/>
  <c r="B753" i="23"/>
  <c r="B564" i="23"/>
  <c r="B645" i="23"/>
  <c r="B915" i="23"/>
  <c r="B861" i="23"/>
  <c r="B807" i="23"/>
  <c r="B618" i="23"/>
  <c r="B51" i="23"/>
  <c r="B591" i="23"/>
  <c r="B402" i="23"/>
  <c r="B996" i="23"/>
  <c r="B726" i="23"/>
  <c r="B1023" i="23"/>
  <c r="B672" i="23"/>
  <c r="B699" i="23"/>
  <c r="B429" i="23"/>
  <c r="B24" i="23"/>
  <c r="B537" i="23"/>
  <c r="B888" i="23"/>
  <c r="B942" i="23"/>
  <c r="B78" i="23"/>
  <c r="B780" i="23"/>
  <c r="B131" i="23"/>
  <c r="B482" i="23"/>
  <c r="B833" i="23"/>
  <c r="B509" i="23"/>
  <c r="B968" i="23"/>
  <c r="B104" i="23"/>
  <c r="B455" i="23"/>
  <c r="B752" i="23"/>
  <c r="B563" i="23"/>
  <c r="B644" i="23"/>
  <c r="B914" i="23"/>
  <c r="B860" i="23"/>
  <c r="B806" i="23"/>
  <c r="B617" i="23"/>
  <c r="B50" i="23"/>
  <c r="B590" i="23"/>
  <c r="B401" i="23"/>
  <c r="B995" i="23"/>
  <c r="B725" i="23"/>
  <c r="B1022" i="23"/>
  <c r="B671" i="23"/>
  <c r="B698" i="23"/>
  <c r="B428" i="23"/>
  <c r="B23" i="23"/>
  <c r="B536" i="23"/>
  <c r="B887" i="23"/>
  <c r="B941" i="23"/>
  <c r="B77" i="23"/>
  <c r="B779" i="23"/>
  <c r="B130" i="23"/>
  <c r="B481" i="23"/>
  <c r="B832" i="23"/>
  <c r="B508" i="23"/>
  <c r="B967" i="23"/>
  <c r="B103" i="23"/>
  <c r="B454" i="23"/>
  <c r="B751" i="23"/>
  <c r="B562" i="23"/>
  <c r="B643" i="23"/>
  <c r="B913" i="23"/>
  <c r="B859" i="23"/>
  <c r="B805" i="23"/>
  <c r="B616" i="23"/>
  <c r="B49" i="23"/>
  <c r="B589" i="23"/>
  <c r="B400" i="23"/>
  <c r="B994" i="23"/>
  <c r="B724" i="23"/>
  <c r="B1021" i="23"/>
  <c r="B670" i="23"/>
  <c r="B697" i="23"/>
  <c r="B427" i="23"/>
  <c r="B22" i="23"/>
  <c r="B535" i="23"/>
  <c r="B886" i="23"/>
  <c r="B940" i="23"/>
  <c r="B76" i="23"/>
  <c r="B778" i="23"/>
  <c r="B129" i="23"/>
  <c r="B480" i="23"/>
  <c r="B831" i="23"/>
  <c r="B507" i="23"/>
  <c r="B966" i="23"/>
  <c r="B102" i="23"/>
  <c r="B453" i="23"/>
  <c r="B750" i="23"/>
  <c r="B561" i="23"/>
  <c r="B642" i="23"/>
  <c r="B912" i="23"/>
  <c r="B858" i="23"/>
  <c r="B804" i="23"/>
  <c r="B615" i="23"/>
  <c r="B48" i="23"/>
  <c r="B588" i="23"/>
  <c r="B399" i="23"/>
  <c r="B993" i="23"/>
  <c r="B723" i="23"/>
  <c r="B1020" i="23"/>
  <c r="B669" i="23"/>
  <c r="B696" i="23"/>
  <c r="B426" i="23"/>
  <c r="B21" i="23"/>
  <c r="B534" i="23"/>
  <c r="B885" i="23"/>
  <c r="B939" i="23"/>
  <c r="B75" i="23"/>
  <c r="B777" i="23"/>
  <c r="B128" i="23"/>
  <c r="B479" i="23"/>
  <c r="B830" i="23"/>
  <c r="B506" i="23"/>
  <c r="B965" i="23"/>
  <c r="B101" i="23"/>
  <c r="B452" i="23"/>
  <c r="B749" i="23"/>
  <c r="B560" i="23"/>
  <c r="B641" i="23"/>
  <c r="B911" i="23"/>
  <c r="B857" i="23"/>
  <c r="B803" i="23"/>
  <c r="B614" i="23"/>
  <c r="B47" i="23"/>
  <c r="B587" i="23"/>
  <c r="B398" i="23"/>
  <c r="B992" i="23"/>
  <c r="B722" i="23"/>
  <c r="B1019" i="23"/>
  <c r="B668" i="23"/>
  <c r="B695" i="23"/>
  <c r="B425" i="23"/>
  <c r="B20" i="23"/>
  <c r="B533" i="23"/>
  <c r="B884" i="23"/>
  <c r="B938" i="23"/>
  <c r="B74" i="23"/>
  <c r="B776" i="23"/>
  <c r="B127" i="23"/>
  <c r="B478" i="23"/>
  <c r="B829" i="23"/>
  <c r="B505" i="23"/>
  <c r="B964" i="23"/>
  <c r="B100" i="23"/>
  <c r="B451" i="23"/>
  <c r="B748" i="23"/>
  <c r="B559" i="23"/>
  <c r="B640" i="23"/>
  <c r="B910" i="23"/>
  <c r="B856" i="23"/>
  <c r="B802" i="23"/>
  <c r="B613" i="23"/>
  <c r="B46" i="23"/>
  <c r="B586" i="23"/>
  <c r="B397" i="23"/>
  <c r="B991" i="23"/>
  <c r="B721" i="23"/>
  <c r="B1018" i="23"/>
  <c r="B667" i="23"/>
  <c r="B694" i="23"/>
  <c r="B424" i="23"/>
  <c r="B19" i="23"/>
  <c r="B532" i="23"/>
  <c r="B883" i="23"/>
  <c r="B937" i="23"/>
  <c r="B73" i="23"/>
  <c r="B775" i="23"/>
  <c r="B126" i="23"/>
  <c r="B477" i="23"/>
  <c r="B828" i="23"/>
  <c r="B504" i="23"/>
  <c r="B963" i="23"/>
  <c r="B99" i="23"/>
  <c r="B450" i="23"/>
  <c r="B747" i="23"/>
  <c r="B558" i="23"/>
  <c r="B639" i="23"/>
  <c r="B909" i="23"/>
  <c r="B855" i="23"/>
  <c r="B801" i="23"/>
  <c r="B612" i="23"/>
  <c r="B45" i="23"/>
  <c r="B585" i="23"/>
  <c r="B396" i="23"/>
  <c r="B990" i="23"/>
  <c r="B720" i="23"/>
  <c r="B1017" i="23"/>
  <c r="B666" i="23"/>
  <c r="B693" i="23"/>
  <c r="B423" i="23"/>
  <c r="B18" i="23"/>
  <c r="B531" i="23"/>
  <c r="B882" i="23"/>
  <c r="B936" i="23"/>
  <c r="B72" i="23"/>
  <c r="B774" i="23"/>
  <c r="B125" i="23"/>
  <c r="B476" i="23"/>
  <c r="B827" i="23"/>
  <c r="B503" i="23"/>
  <c r="B962" i="23"/>
  <c r="B98" i="23"/>
  <c r="B449" i="23"/>
  <c r="B746" i="23"/>
  <c r="B557" i="23"/>
  <c r="B638" i="23"/>
  <c r="B908" i="23"/>
  <c r="B854" i="23"/>
  <c r="B800" i="23"/>
  <c r="B611" i="23"/>
  <c r="B44" i="23"/>
  <c r="B584" i="23"/>
  <c r="B395" i="23"/>
  <c r="B989" i="23"/>
  <c r="B719" i="23"/>
  <c r="B1016" i="23"/>
  <c r="B665" i="23"/>
  <c r="B692" i="23"/>
  <c r="B422" i="23"/>
  <c r="B17" i="23"/>
  <c r="B530" i="23"/>
  <c r="B881" i="23"/>
  <c r="B935" i="23"/>
  <c r="B71" i="23"/>
  <c r="B773" i="23"/>
  <c r="B124" i="23"/>
  <c r="B475" i="23"/>
  <c r="B826" i="23"/>
  <c r="B502" i="23"/>
  <c r="B961" i="23"/>
  <c r="B97" i="23"/>
  <c r="B448" i="23"/>
  <c r="B745" i="23"/>
  <c r="B556" i="23"/>
  <c r="B637" i="23"/>
  <c r="B907" i="23"/>
  <c r="B853" i="23"/>
  <c r="B799" i="23"/>
  <c r="B610" i="23"/>
  <c r="B43" i="23"/>
  <c r="B583" i="23"/>
  <c r="B394" i="23"/>
  <c r="B988" i="23"/>
  <c r="B718" i="23"/>
  <c r="B1015" i="23"/>
  <c r="B664" i="23"/>
  <c r="B691" i="23"/>
  <c r="B421" i="23"/>
  <c r="B16" i="23"/>
  <c r="B529" i="23"/>
  <c r="B880" i="23"/>
  <c r="B934" i="23"/>
  <c r="B70" i="23"/>
  <c r="B772" i="23"/>
  <c r="B123" i="23"/>
  <c r="B474" i="23"/>
  <c r="B825" i="23"/>
  <c r="B501" i="23"/>
  <c r="B960" i="23"/>
  <c r="B96" i="23"/>
  <c r="B447" i="23"/>
  <c r="B744" i="23"/>
  <c r="B555" i="23"/>
  <c r="B636" i="23"/>
  <c r="B906" i="23"/>
  <c r="B852" i="23"/>
  <c r="B798" i="23"/>
  <c r="B609" i="23"/>
  <c r="B42" i="23"/>
  <c r="B582" i="23"/>
  <c r="B393" i="23"/>
  <c r="B987" i="23"/>
  <c r="B717" i="23"/>
  <c r="B1014" i="23"/>
  <c r="B663" i="23"/>
  <c r="B690" i="23"/>
  <c r="B420" i="23"/>
  <c r="B15" i="23"/>
  <c r="B528" i="23"/>
  <c r="B879" i="23"/>
  <c r="B933" i="23"/>
  <c r="B69" i="23"/>
  <c r="B771" i="23"/>
  <c r="B122" i="23"/>
  <c r="B473" i="23"/>
  <c r="B824" i="23"/>
  <c r="B500" i="23"/>
  <c r="B959" i="23"/>
  <c r="B95" i="23"/>
  <c r="B446" i="23"/>
  <c r="B743" i="23"/>
  <c r="B554" i="23"/>
  <c r="B635" i="23"/>
  <c r="B905" i="23"/>
  <c r="B851" i="23"/>
  <c r="B797" i="23"/>
  <c r="B608" i="23"/>
  <c r="B41" i="23"/>
  <c r="B581" i="23"/>
  <c r="B392" i="23"/>
  <c r="B986" i="23"/>
  <c r="B716" i="23"/>
  <c r="B1013" i="23"/>
  <c r="B662" i="23"/>
  <c r="B689" i="23"/>
  <c r="B419" i="23"/>
  <c r="B14" i="23"/>
  <c r="B527" i="23"/>
  <c r="B878" i="23"/>
  <c r="B932" i="23"/>
  <c r="B68" i="23"/>
  <c r="B770" i="23"/>
  <c r="B121" i="23"/>
  <c r="B472" i="23"/>
  <c r="B823" i="23"/>
  <c r="B499" i="23"/>
  <c r="B958" i="23"/>
  <c r="B94" i="23"/>
  <c r="B445" i="23"/>
  <c r="B742" i="23"/>
  <c r="B553" i="23"/>
  <c r="B634" i="23"/>
  <c r="B904" i="23"/>
  <c r="B850" i="23"/>
  <c r="B796" i="23"/>
  <c r="B607" i="23"/>
  <c r="B40" i="23"/>
  <c r="B580" i="23"/>
  <c r="B391" i="23"/>
  <c r="B985" i="23"/>
  <c r="B715" i="23"/>
  <c r="B1012" i="23"/>
  <c r="B661" i="23"/>
  <c r="B688" i="23"/>
  <c r="B418" i="23"/>
  <c r="B13" i="23"/>
  <c r="B526" i="23"/>
  <c r="B877" i="23"/>
  <c r="B931" i="23"/>
  <c r="B67" i="23"/>
  <c r="B769" i="23"/>
  <c r="B120" i="23"/>
  <c r="B471" i="23"/>
  <c r="B822" i="23"/>
  <c r="B498" i="23"/>
  <c r="B957" i="23"/>
  <c r="B93" i="23"/>
  <c r="B444" i="23"/>
  <c r="B741" i="23"/>
  <c r="B552" i="23"/>
  <c r="B633" i="23"/>
  <c r="B903" i="23"/>
  <c r="B849" i="23"/>
  <c r="B795" i="23"/>
  <c r="B606" i="23"/>
  <c r="B39" i="23"/>
  <c r="B579" i="23"/>
  <c r="B390" i="23"/>
  <c r="B984" i="23"/>
  <c r="B714" i="23"/>
  <c r="B1011" i="23"/>
  <c r="B660" i="23"/>
  <c r="B687" i="23"/>
  <c r="B417" i="23"/>
  <c r="B12" i="23"/>
  <c r="B525" i="23"/>
  <c r="B876" i="23"/>
  <c r="B930" i="23"/>
  <c r="B66" i="23"/>
  <c r="B768" i="23"/>
  <c r="B119" i="23"/>
  <c r="B470" i="23"/>
  <c r="B821" i="23"/>
  <c r="B497" i="23"/>
  <c r="B956" i="23"/>
  <c r="B92" i="23"/>
  <c r="B443" i="23"/>
  <c r="B740" i="23"/>
  <c r="B551" i="23"/>
  <c r="B632" i="23"/>
  <c r="B902" i="23"/>
  <c r="B848" i="23"/>
  <c r="B794" i="23"/>
  <c r="B605" i="23"/>
  <c r="B38" i="23"/>
  <c r="B578" i="23"/>
  <c r="B389" i="23"/>
  <c r="B983" i="23"/>
  <c r="B713" i="23"/>
  <c r="B1010" i="23"/>
  <c r="B659" i="23"/>
  <c r="B686" i="23"/>
  <c r="B416" i="23"/>
  <c r="B11" i="23"/>
  <c r="B524" i="23"/>
  <c r="B875" i="23"/>
  <c r="B929" i="23"/>
  <c r="B65" i="23"/>
  <c r="B767" i="23"/>
  <c r="B118" i="23"/>
  <c r="B469" i="23"/>
  <c r="B820" i="23"/>
  <c r="B496" i="23"/>
  <c r="B955" i="23"/>
  <c r="B91" i="23"/>
  <c r="B442" i="23"/>
  <c r="B739" i="23"/>
  <c r="B550" i="23"/>
  <c r="B631" i="23"/>
  <c r="B901" i="23"/>
  <c r="B847" i="23"/>
  <c r="B793" i="23"/>
  <c r="B604" i="23"/>
  <c r="B37" i="23"/>
  <c r="B577" i="23"/>
  <c r="B388" i="23"/>
  <c r="B982" i="23"/>
  <c r="B712" i="23"/>
  <c r="B1009" i="23"/>
  <c r="B658" i="23"/>
  <c r="B685" i="23"/>
  <c r="B415" i="23"/>
  <c r="B10" i="23"/>
  <c r="B523" i="23"/>
  <c r="B874" i="23"/>
  <c r="B928" i="23"/>
  <c r="B64" i="23"/>
  <c r="B766" i="23"/>
  <c r="B117" i="23"/>
  <c r="B468" i="23"/>
  <c r="B819" i="23"/>
  <c r="B495" i="23"/>
  <c r="B954" i="23"/>
  <c r="B90" i="23"/>
  <c r="B441" i="23"/>
  <c r="B738" i="23"/>
  <c r="B549" i="23"/>
  <c r="B630" i="23"/>
  <c r="B900" i="23"/>
  <c r="B846" i="23"/>
  <c r="B792" i="23"/>
  <c r="B603" i="23"/>
  <c r="B36" i="23"/>
  <c r="B576" i="23"/>
  <c r="B387" i="23"/>
  <c r="B981" i="23"/>
  <c r="B711" i="23"/>
  <c r="B1008" i="23"/>
  <c r="B657" i="23"/>
  <c r="B684" i="23"/>
  <c r="B414" i="23"/>
  <c r="B9" i="23"/>
  <c r="B522" i="23"/>
  <c r="B873" i="23"/>
  <c r="B927" i="23"/>
  <c r="B63" i="23"/>
  <c r="B765" i="23"/>
  <c r="B116" i="23"/>
  <c r="B467" i="23"/>
  <c r="B818" i="23"/>
  <c r="B494" i="23"/>
  <c r="B953" i="23"/>
  <c r="B89" i="23"/>
  <c r="B440" i="23"/>
  <c r="B737" i="23"/>
  <c r="B548" i="23"/>
  <c r="B629" i="23"/>
  <c r="B899" i="23"/>
  <c r="B845" i="23"/>
  <c r="B791" i="23"/>
  <c r="B602" i="23"/>
  <c r="B35" i="23"/>
  <c r="B575" i="23"/>
  <c r="B386" i="23"/>
  <c r="B980" i="23"/>
  <c r="B710" i="23"/>
  <c r="B1007" i="23"/>
  <c r="B656" i="23"/>
  <c r="B683" i="23"/>
  <c r="B413" i="23"/>
  <c r="B8" i="23"/>
  <c r="B521" i="23"/>
  <c r="B872" i="23"/>
  <c r="B926" i="23"/>
  <c r="B62" i="23"/>
  <c r="B764" i="23"/>
  <c r="B115" i="23"/>
  <c r="B466" i="23"/>
  <c r="B817" i="23"/>
  <c r="B493" i="23"/>
  <c r="B952" i="23"/>
  <c r="B88" i="23"/>
  <c r="B439" i="23"/>
  <c r="B736" i="23"/>
  <c r="B547" i="23"/>
  <c r="B628" i="23"/>
  <c r="B898" i="23"/>
  <c r="B844" i="23"/>
  <c r="B790" i="23"/>
  <c r="B601" i="23"/>
  <c r="B34" i="23"/>
  <c r="B574" i="23"/>
  <c r="B385" i="23"/>
  <c r="B979" i="23"/>
  <c r="B709" i="23"/>
  <c r="B1006" i="23"/>
  <c r="B655" i="23"/>
  <c r="B682" i="23"/>
  <c r="B412" i="23"/>
  <c r="B7" i="23"/>
  <c r="B520" i="23"/>
  <c r="B871" i="23"/>
  <c r="B925" i="23"/>
  <c r="B61" i="23"/>
  <c r="B763" i="23"/>
  <c r="B114" i="23"/>
  <c r="B465" i="23"/>
  <c r="B816" i="23"/>
  <c r="B492" i="23"/>
  <c r="B951" i="23"/>
  <c r="B87" i="23"/>
  <c r="B438" i="23"/>
  <c r="B735" i="23"/>
  <c r="B546" i="23"/>
  <c r="B627" i="23"/>
  <c r="B897" i="23"/>
  <c r="B843" i="23"/>
  <c r="B789" i="23"/>
  <c r="B600" i="23"/>
  <c r="B33" i="23"/>
  <c r="B573" i="23"/>
  <c r="B384" i="23"/>
  <c r="B978" i="23"/>
  <c r="B708" i="23"/>
  <c r="B1005" i="23"/>
  <c r="B654" i="23"/>
  <c r="B681" i="23"/>
  <c r="B411" i="23"/>
  <c r="B6" i="23"/>
  <c r="B519" i="23"/>
  <c r="B870" i="23"/>
  <c r="B924" i="23"/>
  <c r="B60" i="23"/>
  <c r="B762" i="23"/>
  <c r="B113" i="23"/>
  <c r="B464" i="23"/>
  <c r="B815" i="23"/>
  <c r="B491" i="23"/>
  <c r="B950" i="23"/>
  <c r="B86" i="23"/>
  <c r="B437" i="23"/>
  <c r="B734" i="23"/>
  <c r="B545" i="23"/>
  <c r="B626" i="23"/>
  <c r="B896" i="23"/>
  <c r="B842" i="23"/>
  <c r="B788" i="23"/>
  <c r="B599" i="23"/>
  <c r="B32" i="23"/>
  <c r="B572" i="23"/>
  <c r="B383" i="23"/>
  <c r="B977" i="23"/>
  <c r="B707" i="23"/>
  <c r="B1004" i="23"/>
  <c r="B653" i="23"/>
  <c r="B680" i="23"/>
  <c r="B410" i="23"/>
  <c r="B5" i="23"/>
  <c r="B518" i="23"/>
  <c r="B869" i="23"/>
  <c r="B923" i="23"/>
  <c r="B59" i="23"/>
  <c r="B761" i="23"/>
  <c r="B112" i="23"/>
  <c r="B463" i="23"/>
  <c r="B814" i="23"/>
  <c r="B490" i="23"/>
  <c r="B949" i="23"/>
  <c r="B85" i="23"/>
  <c r="B436" i="23"/>
  <c r="B733" i="23"/>
  <c r="B544" i="23"/>
  <c r="B625" i="23"/>
  <c r="B895" i="23"/>
  <c r="B841" i="23"/>
  <c r="B787" i="23"/>
  <c r="B598" i="23"/>
  <c r="B31" i="23"/>
  <c r="B571" i="23"/>
  <c r="B382" i="23"/>
  <c r="B976" i="23"/>
  <c r="B706" i="23"/>
  <c r="B1003" i="23"/>
  <c r="B652" i="23"/>
  <c r="B679" i="23"/>
  <c r="B409" i="23"/>
  <c r="B4" i="23"/>
  <c r="B517" i="23"/>
  <c r="B868" i="23"/>
  <c r="B922" i="23"/>
  <c r="B58" i="23"/>
  <c r="B760" i="23"/>
  <c r="B2216" i="23"/>
  <c r="B2215" i="23"/>
  <c r="B2214" i="23"/>
  <c r="B2213" i="23"/>
  <c r="B2212" i="23"/>
  <c r="B2211" i="23"/>
  <c r="B2210" i="23"/>
  <c r="B2209" i="23"/>
  <c r="B2208" i="23"/>
  <c r="B2207" i="23"/>
  <c r="B2206" i="23"/>
  <c r="B2205" i="23"/>
  <c r="B2204" i="23"/>
  <c r="B2203" i="23"/>
  <c r="B2202" i="23"/>
  <c r="B2201" i="23"/>
  <c r="B2200" i="23"/>
  <c r="B2199" i="23"/>
  <c r="B2198" i="23"/>
  <c r="B2197" i="23"/>
  <c r="B2196" i="23"/>
  <c r="B2195" i="23"/>
  <c r="B2194" i="23"/>
  <c r="B2193" i="23"/>
  <c r="B2192" i="23"/>
  <c r="B2191" i="23"/>
  <c r="B2190" i="23"/>
  <c r="B2243" i="23"/>
  <c r="B2242" i="23"/>
  <c r="B2241" i="23"/>
  <c r="B2240" i="23"/>
  <c r="B2239" i="23"/>
  <c r="B2238" i="23"/>
  <c r="B2237" i="23"/>
  <c r="B2236" i="23"/>
  <c r="B2235" i="23"/>
  <c r="B2234" i="23"/>
  <c r="B2233" i="23"/>
  <c r="B2232" i="23"/>
  <c r="B2231" i="23"/>
  <c r="B2230" i="23"/>
  <c r="B2229" i="23"/>
  <c r="B2228" i="23"/>
  <c r="B2227" i="23"/>
  <c r="B2226" i="23"/>
  <c r="B2225" i="23"/>
  <c r="B2224" i="23"/>
  <c r="B2223" i="23"/>
  <c r="B2222" i="23"/>
  <c r="B2221" i="23"/>
  <c r="B2220" i="23"/>
  <c r="B2219" i="23"/>
  <c r="B2218" i="23"/>
  <c r="B2217" i="23"/>
  <c r="B2270" i="23"/>
  <c r="B2269" i="23"/>
  <c r="B2268" i="23"/>
  <c r="B2267" i="23"/>
  <c r="B2266" i="23"/>
  <c r="B2265" i="23"/>
  <c r="B2264" i="23"/>
  <c r="B2263" i="23"/>
  <c r="B2262" i="23"/>
  <c r="B2261" i="23"/>
  <c r="B2260" i="23"/>
  <c r="B2259" i="23"/>
  <c r="B2258" i="23"/>
  <c r="B2257" i="23"/>
  <c r="B2256" i="23"/>
  <c r="B2255" i="23"/>
  <c r="B2254" i="23"/>
  <c r="B2253" i="23"/>
  <c r="B2252" i="23"/>
  <c r="B2251" i="23"/>
  <c r="B2250" i="23"/>
  <c r="B2249" i="23"/>
  <c r="B2248" i="23"/>
  <c r="B2247" i="23"/>
  <c r="B2246" i="23"/>
  <c r="B2245" i="23"/>
  <c r="B2244" i="23"/>
  <c r="B2297" i="23"/>
  <c r="B2296" i="23"/>
  <c r="B2295" i="23"/>
  <c r="B2294" i="23"/>
  <c r="B2293" i="23"/>
  <c r="B2292" i="23"/>
  <c r="B2291" i="23"/>
  <c r="B2290" i="23"/>
  <c r="B2289" i="23"/>
  <c r="B2288" i="23"/>
  <c r="B2287" i="23"/>
  <c r="B2286" i="23"/>
  <c r="B2285" i="23"/>
  <c r="B2284" i="23"/>
  <c r="B2283" i="23"/>
  <c r="B2282" i="23"/>
  <c r="B2281" i="23"/>
  <c r="B2280" i="23"/>
  <c r="B2279" i="23"/>
  <c r="B2278" i="23"/>
  <c r="B2277" i="23"/>
  <c r="B2276" i="23"/>
  <c r="B2275" i="23"/>
  <c r="B2274" i="23"/>
  <c r="B2273" i="23"/>
  <c r="B2272" i="23"/>
  <c r="B2271" i="23"/>
  <c r="B2324" i="23"/>
  <c r="B2323" i="23"/>
  <c r="B2322" i="23"/>
  <c r="B2321" i="23"/>
  <c r="B2320" i="23"/>
  <c r="B2319" i="23"/>
  <c r="B2318" i="23"/>
  <c r="B2317" i="23"/>
  <c r="B2316" i="23"/>
  <c r="B2315" i="23"/>
  <c r="B2314" i="23"/>
  <c r="B2313" i="23"/>
  <c r="B2312" i="23"/>
  <c r="B2311" i="23"/>
  <c r="B2310" i="23"/>
  <c r="B2309" i="23"/>
  <c r="B2308" i="23"/>
  <c r="B2307" i="23"/>
  <c r="B2306" i="23"/>
  <c r="B2305" i="23"/>
  <c r="B2304" i="23"/>
  <c r="B2303" i="23"/>
  <c r="B2302" i="23"/>
  <c r="B2301" i="23"/>
  <c r="B2300" i="23"/>
  <c r="B2299" i="23"/>
  <c r="B2298" i="23"/>
  <c r="B2351" i="23"/>
  <c r="B2350" i="23"/>
  <c r="B2349" i="23"/>
  <c r="B2348" i="23"/>
  <c r="B2347" i="23"/>
  <c r="B2346" i="23"/>
  <c r="B2345" i="23"/>
  <c r="B2344" i="23"/>
  <c r="B2343" i="23"/>
  <c r="B2342" i="23"/>
  <c r="B2341" i="23"/>
  <c r="B2340" i="23"/>
  <c r="B2339" i="23"/>
  <c r="B2338" i="23"/>
  <c r="B2337" i="23"/>
  <c r="B2336" i="23"/>
  <c r="B2335" i="23"/>
  <c r="B2334" i="23"/>
  <c r="B2333" i="23"/>
  <c r="B2332" i="23"/>
  <c r="B2331" i="23"/>
  <c r="B2330" i="23"/>
  <c r="B2329" i="23"/>
  <c r="B2328" i="23"/>
  <c r="B2327" i="23"/>
  <c r="B2326" i="23"/>
  <c r="B2325" i="23"/>
  <c r="B2378" i="23"/>
  <c r="B2377" i="23"/>
  <c r="B2376" i="23"/>
  <c r="B2375" i="23"/>
  <c r="B2374" i="23"/>
  <c r="B2373" i="23"/>
  <c r="B2372" i="23"/>
  <c r="B2371" i="23"/>
  <c r="B2370" i="23"/>
  <c r="B2369" i="23"/>
  <c r="B2368" i="23"/>
  <c r="B2367" i="23"/>
  <c r="B2366" i="23"/>
  <c r="B2365" i="23"/>
  <c r="B2364" i="23"/>
  <c r="B2363" i="23"/>
  <c r="B2362" i="23"/>
  <c r="B2361" i="23"/>
  <c r="B2360" i="23"/>
  <c r="B2359" i="23"/>
  <c r="B2358" i="23"/>
  <c r="B2357" i="23"/>
  <c r="B2356" i="23"/>
  <c r="B2355" i="23"/>
  <c r="B2354" i="23"/>
  <c r="B2353" i="23"/>
  <c r="B2352" i="23"/>
  <c r="B2405" i="23"/>
  <c r="B2404" i="23"/>
  <c r="B2403" i="23"/>
  <c r="B2402" i="23"/>
  <c r="B2401" i="23"/>
  <c r="B2400" i="23"/>
  <c r="B2399" i="23"/>
  <c r="B2398" i="23"/>
  <c r="B2397" i="23"/>
  <c r="B2396" i="23"/>
  <c r="B2395" i="23"/>
  <c r="B2394" i="23"/>
  <c r="B2393" i="23"/>
  <c r="B2392" i="23"/>
  <c r="B2391" i="23"/>
  <c r="B2390" i="23"/>
  <c r="B2389" i="23"/>
  <c r="B2388" i="23"/>
  <c r="B2387" i="23"/>
  <c r="B2386" i="23"/>
  <c r="B2385" i="23"/>
  <c r="B2384" i="23"/>
  <c r="B2383" i="23"/>
  <c r="B2382" i="23"/>
  <c r="B2381" i="23"/>
  <c r="B2380" i="23"/>
  <c r="B2379" i="23"/>
  <c r="B2432" i="23"/>
  <c r="B2431" i="23"/>
  <c r="B2430" i="23"/>
  <c r="B2429" i="23"/>
  <c r="B2428" i="23"/>
  <c r="B2427" i="23"/>
  <c r="B2426" i="23"/>
  <c r="B2425" i="23"/>
  <c r="B2424" i="23"/>
  <c r="B2423" i="23"/>
  <c r="B2422" i="23"/>
  <c r="B2421" i="23"/>
  <c r="B2420" i="23"/>
  <c r="B2419" i="23"/>
  <c r="B2418" i="23"/>
  <c r="B2417" i="23"/>
  <c r="B2416" i="23"/>
  <c r="B2415" i="23"/>
  <c r="B2414" i="23"/>
  <c r="B2413" i="23"/>
  <c r="B2412" i="23"/>
  <c r="B2411" i="23"/>
  <c r="B2410" i="23"/>
  <c r="B2409" i="23"/>
  <c r="B2408" i="23"/>
  <c r="B2407" i="23"/>
  <c r="B2406" i="23"/>
  <c r="B2189" i="23"/>
  <c r="B2540" i="23"/>
  <c r="B2891" i="23"/>
  <c r="B2567" i="23"/>
  <c r="B3026" i="23"/>
  <c r="B2162" i="23"/>
  <c r="B2513" i="23"/>
  <c r="B2810" i="23"/>
  <c r="B2621" i="23"/>
  <c r="B2702" i="23"/>
  <c r="B2972" i="23"/>
  <c r="B2918" i="23"/>
  <c r="B2864" i="23"/>
  <c r="B2675" i="23"/>
  <c r="B2108" i="23"/>
  <c r="B2648" i="23"/>
  <c r="B2459" i="23"/>
  <c r="B3053" i="23"/>
  <c r="B2783" i="23"/>
  <c r="B3080" i="23"/>
  <c r="B2729" i="23"/>
  <c r="B2756" i="23"/>
  <c r="B2486" i="23"/>
  <c r="B2081" i="23"/>
  <c r="B2594" i="23"/>
  <c r="B2945" i="23"/>
  <c r="B2999" i="23"/>
  <c r="B2135" i="23"/>
  <c r="B2837" i="23"/>
  <c r="B2188" i="23"/>
  <c r="B2539" i="23"/>
  <c r="B2890" i="23"/>
  <c r="B2566" i="23"/>
  <c r="B3025" i="23"/>
  <c r="B2161" i="23"/>
  <c r="B2512" i="23"/>
  <c r="B2809" i="23"/>
  <c r="B2620" i="23"/>
  <c r="B2701" i="23"/>
  <c r="B2971" i="23"/>
  <c r="B2917" i="23"/>
  <c r="B2863" i="23"/>
  <c r="B2674" i="23"/>
  <c r="B2107" i="23"/>
  <c r="B2647" i="23"/>
  <c r="B2458" i="23"/>
  <c r="B3052" i="23"/>
  <c r="B2782" i="23"/>
  <c r="B3079" i="23"/>
  <c r="B2728" i="23"/>
  <c r="B2755" i="23"/>
  <c r="B2485" i="23"/>
  <c r="B2080" i="23"/>
  <c r="B2593" i="23"/>
  <c r="B2944" i="23"/>
  <c r="B2998" i="23"/>
  <c r="B2134" i="23"/>
  <c r="B2836" i="23"/>
  <c r="B2187" i="23"/>
  <c r="B2538" i="23"/>
  <c r="B2889" i="23"/>
  <c r="B2565" i="23"/>
  <c r="B3024" i="23"/>
  <c r="B2160" i="23"/>
  <c r="B2511" i="23"/>
  <c r="B2808" i="23"/>
  <c r="B2619" i="23"/>
  <c r="B2700" i="23"/>
  <c r="B2970" i="23"/>
  <c r="B2916" i="23"/>
  <c r="B2862" i="23"/>
  <c r="B2673" i="23"/>
  <c r="B2106" i="23"/>
  <c r="B2646" i="23"/>
  <c r="B2457" i="23"/>
  <c r="B3051" i="23"/>
  <c r="B2781" i="23"/>
  <c r="B3078" i="23"/>
  <c r="B2727" i="23"/>
  <c r="B2754" i="23"/>
  <c r="B2484" i="23"/>
  <c r="B2079" i="23"/>
  <c r="B2592" i="23"/>
  <c r="B2943" i="23"/>
  <c r="B2997" i="23"/>
  <c r="B2133" i="23"/>
  <c r="B2835" i="23"/>
  <c r="B2186" i="23"/>
  <c r="B2537" i="23"/>
  <c r="B2888" i="23"/>
  <c r="B2564" i="23"/>
  <c r="B3023" i="23"/>
  <c r="B2159" i="23"/>
  <c r="B2510" i="23"/>
  <c r="B2807" i="23"/>
  <c r="B2618" i="23"/>
  <c r="B2699" i="23"/>
  <c r="B2969" i="23"/>
  <c r="B2915" i="23"/>
  <c r="B2861" i="23"/>
  <c r="B2672" i="23"/>
  <c r="B2105" i="23"/>
  <c r="B2645" i="23"/>
  <c r="B2456" i="23"/>
  <c r="B3050" i="23"/>
  <c r="B2780" i="23"/>
  <c r="B3077" i="23"/>
  <c r="B2726" i="23"/>
  <c r="B2753" i="23"/>
  <c r="B2483" i="23"/>
  <c r="B2078" i="23"/>
  <c r="B2591" i="23"/>
  <c r="B2942" i="23"/>
  <c r="B2996" i="23"/>
  <c r="B2132" i="23"/>
  <c r="B2834" i="23"/>
  <c r="B2185" i="23"/>
  <c r="B2536" i="23"/>
  <c r="B2887" i="23"/>
  <c r="B2563" i="23"/>
  <c r="B3022" i="23"/>
  <c r="B2158" i="23"/>
  <c r="B2509" i="23"/>
  <c r="B2806" i="23"/>
  <c r="B2617" i="23"/>
  <c r="B2698" i="23"/>
  <c r="B2968" i="23"/>
  <c r="B2914" i="23"/>
  <c r="B2860" i="23"/>
  <c r="B2671" i="23"/>
  <c r="B2104" i="23"/>
  <c r="B2644" i="23"/>
  <c r="B2455" i="23"/>
  <c r="B3049" i="23"/>
  <c r="B2779" i="23"/>
  <c r="B3076" i="23"/>
  <c r="B2725" i="23"/>
  <c r="B2752" i="23"/>
  <c r="B2482" i="23"/>
  <c r="B2077" i="23"/>
  <c r="B2590" i="23"/>
  <c r="B2941" i="23"/>
  <c r="B2995" i="23"/>
  <c r="B2131" i="23"/>
  <c r="B2833" i="23"/>
  <c r="B2184" i="23"/>
  <c r="B2535" i="23"/>
  <c r="B2886" i="23"/>
  <c r="B2562" i="23"/>
  <c r="B3021" i="23"/>
  <c r="B2157" i="23"/>
  <c r="B2508" i="23"/>
  <c r="B2805" i="23"/>
  <c r="B2616" i="23"/>
  <c r="B2697" i="23"/>
  <c r="B2967" i="23"/>
  <c r="B2913" i="23"/>
  <c r="B2859" i="23"/>
  <c r="B2670" i="23"/>
  <c r="B2103" i="23"/>
  <c r="B2643" i="23"/>
  <c r="B2454" i="23"/>
  <c r="B3048" i="23"/>
  <c r="B2778" i="23"/>
  <c r="B3075" i="23"/>
  <c r="B2724" i="23"/>
  <c r="B2751" i="23"/>
  <c r="B2481" i="23"/>
  <c r="B2076" i="23"/>
  <c r="B2589" i="23"/>
  <c r="B2940" i="23"/>
  <c r="B2994" i="23"/>
  <c r="B2130" i="23"/>
  <c r="B2832" i="23"/>
  <c r="B2183" i="23"/>
  <c r="B2534" i="23"/>
  <c r="B2885" i="23"/>
  <c r="B2561" i="23"/>
  <c r="B3020" i="23"/>
  <c r="B2156" i="23"/>
  <c r="B2507" i="23"/>
  <c r="B2804" i="23"/>
  <c r="B2615" i="23"/>
  <c r="B2696" i="23"/>
  <c r="B2966" i="23"/>
  <c r="B2912" i="23"/>
  <c r="B2858" i="23"/>
  <c r="B2669" i="23"/>
  <c r="B2102" i="23"/>
  <c r="B2642" i="23"/>
  <c r="B2453" i="23"/>
  <c r="B3047" i="23"/>
  <c r="B2777" i="23"/>
  <c r="B3074" i="23"/>
  <c r="B2723" i="23"/>
  <c r="B2750" i="23"/>
  <c r="B2480" i="23"/>
  <c r="B2075" i="23"/>
  <c r="B2588" i="23"/>
  <c r="B2939" i="23"/>
  <c r="B2993" i="23"/>
  <c r="B2129" i="23"/>
  <c r="B2831" i="23"/>
  <c r="B2182" i="23"/>
  <c r="B2533" i="23"/>
  <c r="B2884" i="23"/>
  <c r="B2560" i="23"/>
  <c r="B3019" i="23"/>
  <c r="B2155" i="23"/>
  <c r="B2506" i="23"/>
  <c r="B2803" i="23"/>
  <c r="B2614" i="23"/>
  <c r="B2695" i="23"/>
  <c r="B2965" i="23"/>
  <c r="B2911" i="23"/>
  <c r="B2857" i="23"/>
  <c r="B2668" i="23"/>
  <c r="B2101" i="23"/>
  <c r="B2641" i="23"/>
  <c r="B2452" i="23"/>
  <c r="B3046" i="23"/>
  <c r="B2776" i="23"/>
  <c r="B3073" i="23"/>
  <c r="B2722" i="23"/>
  <c r="B2749" i="23"/>
  <c r="B2479" i="23"/>
  <c r="B2074" i="23"/>
  <c r="B2587" i="23"/>
  <c r="B2938" i="23"/>
  <c r="B2992" i="23"/>
  <c r="B2128" i="23"/>
  <c r="B2830" i="23"/>
  <c r="B2181" i="23"/>
  <c r="B2532" i="23"/>
  <c r="B2883" i="23"/>
  <c r="B2559" i="23"/>
  <c r="B3018" i="23"/>
  <c r="B2154" i="23"/>
  <c r="B2505" i="23"/>
  <c r="B2802" i="23"/>
  <c r="B2613" i="23"/>
  <c r="B2694" i="23"/>
  <c r="B2964" i="23"/>
  <c r="B2910" i="23"/>
  <c r="B2856" i="23"/>
  <c r="B2667" i="23"/>
  <c r="B2100" i="23"/>
  <c r="B2640" i="23"/>
  <c r="B2451" i="23"/>
  <c r="B3045" i="23"/>
  <c r="B2775" i="23"/>
  <c r="B3072" i="23"/>
  <c r="B2721" i="23"/>
  <c r="B2748" i="23"/>
  <c r="B2478" i="23"/>
  <c r="B2073" i="23"/>
  <c r="B2586" i="23"/>
  <c r="B2937" i="23"/>
  <c r="B2991" i="23"/>
  <c r="B2127" i="23"/>
  <c r="B2829" i="23"/>
  <c r="B2180" i="23"/>
  <c r="B2531" i="23"/>
  <c r="B2882" i="23"/>
  <c r="B2558" i="23"/>
  <c r="B3017" i="23"/>
  <c r="B2153" i="23"/>
  <c r="B2504" i="23"/>
  <c r="B2801" i="23"/>
  <c r="B2612" i="23"/>
  <c r="B2693" i="23"/>
  <c r="B2963" i="23"/>
  <c r="B2909" i="23"/>
  <c r="B2855" i="23"/>
  <c r="B2666" i="23"/>
  <c r="B2099" i="23"/>
  <c r="B2639" i="23"/>
  <c r="B2450" i="23"/>
  <c r="B3044" i="23"/>
  <c r="B2774" i="23"/>
  <c r="B3071" i="23"/>
  <c r="B2720" i="23"/>
  <c r="B2747" i="23"/>
  <c r="B2477" i="23"/>
  <c r="B2072" i="23"/>
  <c r="B2585" i="23"/>
  <c r="B2936" i="23"/>
  <c r="B2990" i="23"/>
  <c r="B2126" i="23"/>
  <c r="B2828" i="23"/>
  <c r="B2179" i="23"/>
  <c r="B2530" i="23"/>
  <c r="B2881" i="23"/>
  <c r="B2557" i="23"/>
  <c r="B3016" i="23"/>
  <c r="B2152" i="23"/>
  <c r="B2503" i="23"/>
  <c r="B2800" i="23"/>
  <c r="B2611" i="23"/>
  <c r="B2692" i="23"/>
  <c r="B2962" i="23"/>
  <c r="B2908" i="23"/>
  <c r="B2854" i="23"/>
  <c r="B2665" i="23"/>
  <c r="B2098" i="23"/>
  <c r="B2638" i="23"/>
  <c r="B2449" i="23"/>
  <c r="B3043" i="23"/>
  <c r="B2773" i="23"/>
  <c r="B3070" i="23"/>
  <c r="B2719" i="23"/>
  <c r="B2746" i="23"/>
  <c r="B2476" i="23"/>
  <c r="B2071" i="23"/>
  <c r="B2584" i="23"/>
  <c r="B2935" i="23"/>
  <c r="B2989" i="23"/>
  <c r="B2125" i="23"/>
  <c r="B2827" i="23"/>
  <c r="B2178" i="23"/>
  <c r="B2529" i="23"/>
  <c r="B2880" i="23"/>
  <c r="B2556" i="23"/>
  <c r="B3015" i="23"/>
  <c r="B2151" i="23"/>
  <c r="B2502" i="23"/>
  <c r="B2799" i="23"/>
  <c r="B2610" i="23"/>
  <c r="B2691" i="23"/>
  <c r="B2961" i="23"/>
  <c r="B2907" i="23"/>
  <c r="B2853" i="23"/>
  <c r="B2664" i="23"/>
  <c r="B2097" i="23"/>
  <c r="B2637" i="23"/>
  <c r="B2448" i="23"/>
  <c r="B3042" i="23"/>
  <c r="B2772" i="23"/>
  <c r="B3069" i="23"/>
  <c r="B2718" i="23"/>
  <c r="B2745" i="23"/>
  <c r="B2475" i="23"/>
  <c r="B2070" i="23"/>
  <c r="B2583" i="23"/>
  <c r="B2934" i="23"/>
  <c r="B2988" i="23"/>
  <c r="B2124" i="23"/>
  <c r="B2826" i="23"/>
  <c r="B2177" i="23"/>
  <c r="B2528" i="23"/>
  <c r="B2879" i="23"/>
  <c r="B2555" i="23"/>
  <c r="B3014" i="23"/>
  <c r="B2150" i="23"/>
  <c r="B2501" i="23"/>
  <c r="B2798" i="23"/>
  <c r="B2609" i="23"/>
  <c r="B2690" i="23"/>
  <c r="B2960" i="23"/>
  <c r="B2906" i="23"/>
  <c r="B2852" i="23"/>
  <c r="B2663" i="23"/>
  <c r="B2096" i="23"/>
  <c r="B2636" i="23"/>
  <c r="B2447" i="23"/>
  <c r="B3041" i="23"/>
  <c r="B2771" i="23"/>
  <c r="B3068" i="23"/>
  <c r="B2717" i="23"/>
  <c r="B2744" i="23"/>
  <c r="B2474" i="23"/>
  <c r="B2069" i="23"/>
  <c r="B2582" i="23"/>
  <c r="B2933" i="23"/>
  <c r="B2987" i="23"/>
  <c r="B2123" i="23"/>
  <c r="B2825" i="23"/>
  <c r="B2176" i="23"/>
  <c r="B2527" i="23"/>
  <c r="B2878" i="23"/>
  <c r="B2554" i="23"/>
  <c r="B3013" i="23"/>
  <c r="B2149" i="23"/>
  <c r="B2500" i="23"/>
  <c r="B2797" i="23"/>
  <c r="B2608" i="23"/>
  <c r="B2689" i="23"/>
  <c r="B2959" i="23"/>
  <c r="B2905" i="23"/>
  <c r="B2851" i="23"/>
  <c r="B2662" i="23"/>
  <c r="B2095" i="23"/>
  <c r="B2635" i="23"/>
  <c r="B2446" i="23"/>
  <c r="B3040" i="23"/>
  <c r="B2770" i="23"/>
  <c r="B3067" i="23"/>
  <c r="B2716" i="23"/>
  <c r="B2743" i="23"/>
  <c r="B2473" i="23"/>
  <c r="B2068" i="23"/>
  <c r="B2581" i="23"/>
  <c r="B2932" i="23"/>
  <c r="B2986" i="23"/>
  <c r="B2122" i="23"/>
  <c r="B2824" i="23"/>
  <c r="B2175" i="23"/>
  <c r="B2526" i="23"/>
  <c r="B2877" i="23"/>
  <c r="B2553" i="23"/>
  <c r="B3012" i="23"/>
  <c r="B2148" i="23"/>
  <c r="B2499" i="23"/>
  <c r="B2796" i="23"/>
  <c r="B2607" i="23"/>
  <c r="B2688" i="23"/>
  <c r="B2958" i="23"/>
  <c r="B2904" i="23"/>
  <c r="B2850" i="23"/>
  <c r="B2661" i="23"/>
  <c r="B2094" i="23"/>
  <c r="B2634" i="23"/>
  <c r="B2445" i="23"/>
  <c r="B3039" i="23"/>
  <c r="B2769" i="23"/>
  <c r="B3066" i="23"/>
  <c r="B2715" i="23"/>
  <c r="B2742" i="23"/>
  <c r="B2472" i="23"/>
  <c r="B2067" i="23"/>
  <c r="B2580" i="23"/>
  <c r="B2931" i="23"/>
  <c r="B2985" i="23"/>
  <c r="B2121" i="23"/>
  <c r="B2823" i="23"/>
  <c r="B2174" i="23"/>
  <c r="B2525" i="23"/>
  <c r="B2876" i="23"/>
  <c r="B2552" i="23"/>
  <c r="B3011" i="23"/>
  <c r="B2147" i="23"/>
  <c r="B2498" i="23"/>
  <c r="B2795" i="23"/>
  <c r="B2606" i="23"/>
  <c r="B2687" i="23"/>
  <c r="B2957" i="23"/>
  <c r="B2903" i="23"/>
  <c r="B2849" i="23"/>
  <c r="B2660" i="23"/>
  <c r="B2093" i="23"/>
  <c r="B2633" i="23"/>
  <c r="B2444" i="23"/>
  <c r="B3038" i="23"/>
  <c r="B2768" i="23"/>
  <c r="B3065" i="23"/>
  <c r="B2714" i="23"/>
  <c r="B2741" i="23"/>
  <c r="B2471" i="23"/>
  <c r="B2066" i="23"/>
  <c r="B2579" i="23"/>
  <c r="B2930" i="23"/>
  <c r="B2984" i="23"/>
  <c r="B2120" i="23"/>
  <c r="B2822" i="23"/>
  <c r="B2173" i="23"/>
  <c r="B2524" i="23"/>
  <c r="B2875" i="23"/>
  <c r="B2551" i="23"/>
  <c r="B3010" i="23"/>
  <c r="B2146" i="23"/>
  <c r="B2497" i="23"/>
  <c r="B2794" i="23"/>
  <c r="B2605" i="23"/>
  <c r="B2686" i="23"/>
  <c r="B2956" i="23"/>
  <c r="B2902" i="23"/>
  <c r="B2848" i="23"/>
  <c r="B2659" i="23"/>
  <c r="B2092" i="23"/>
  <c r="B2632" i="23"/>
  <c r="B2443" i="23"/>
  <c r="B3037" i="23"/>
  <c r="B2767" i="23"/>
  <c r="B3064" i="23"/>
  <c r="B2713" i="23"/>
  <c r="B2740" i="23"/>
  <c r="B2470" i="23"/>
  <c r="B2065" i="23"/>
  <c r="B2578" i="23"/>
  <c r="B2929" i="23"/>
  <c r="B2983" i="23"/>
  <c r="B2119" i="23"/>
  <c r="B2821" i="23"/>
  <c r="B2172" i="23"/>
  <c r="B2523" i="23"/>
  <c r="B2874" i="23"/>
  <c r="B2550" i="23"/>
  <c r="B3009" i="23"/>
  <c r="B2145" i="23"/>
  <c r="B2496" i="23"/>
  <c r="B2793" i="23"/>
  <c r="B2604" i="23"/>
  <c r="B2685" i="23"/>
  <c r="B2955" i="23"/>
  <c r="B2901" i="23"/>
  <c r="B2847" i="23"/>
  <c r="B2658" i="23"/>
  <c r="B2091" i="23"/>
  <c r="B2631" i="23"/>
  <c r="B2442" i="23"/>
  <c r="B3036" i="23"/>
  <c r="B2766" i="23"/>
  <c r="B3063" i="23"/>
  <c r="B2712" i="23"/>
  <c r="B2739" i="23"/>
  <c r="B2469" i="23"/>
  <c r="B2064" i="23"/>
  <c r="B2577" i="23"/>
  <c r="B2928" i="23"/>
  <c r="B2982" i="23"/>
  <c r="B2118" i="23"/>
  <c r="B2820" i="23"/>
  <c r="B2171" i="23"/>
  <c r="B2522" i="23"/>
  <c r="B2873" i="23"/>
  <c r="B2549" i="23"/>
  <c r="B3008" i="23"/>
  <c r="B2144" i="23"/>
  <c r="B2495" i="23"/>
  <c r="B2792" i="23"/>
  <c r="B2603" i="23"/>
  <c r="B2684" i="23"/>
  <c r="B2954" i="23"/>
  <c r="B2900" i="23"/>
  <c r="B2846" i="23"/>
  <c r="B2657" i="23"/>
  <c r="B2090" i="23"/>
  <c r="B2630" i="23"/>
  <c r="B2441" i="23"/>
  <c r="B3035" i="23"/>
  <c r="B2765" i="23"/>
  <c r="B3062" i="23"/>
  <c r="B2711" i="23"/>
  <c r="B2738" i="23"/>
  <c r="B2468" i="23"/>
  <c r="B2063" i="23"/>
  <c r="B2576" i="23"/>
  <c r="B2927" i="23"/>
  <c r="B2981" i="23"/>
  <c r="B2117" i="23"/>
  <c r="B2819" i="23"/>
  <c r="B2170" i="23"/>
  <c r="B2521" i="23"/>
  <c r="B2872" i="23"/>
  <c r="B2548" i="23"/>
  <c r="B3007" i="23"/>
  <c r="B2143" i="23"/>
  <c r="B2494" i="23"/>
  <c r="B2791" i="23"/>
  <c r="B2602" i="23"/>
  <c r="B2683" i="23"/>
  <c r="B2953" i="23"/>
  <c r="B2899" i="23"/>
  <c r="B2845" i="23"/>
  <c r="B2656" i="23"/>
  <c r="B2089" i="23"/>
  <c r="B2629" i="23"/>
  <c r="B2440" i="23"/>
  <c r="B3034" i="23"/>
  <c r="B2764" i="23"/>
  <c r="B3061" i="23"/>
  <c r="B2710" i="23"/>
  <c r="B2737" i="23"/>
  <c r="B2467" i="23"/>
  <c r="B2062" i="23"/>
  <c r="B2575" i="23"/>
  <c r="B2926" i="23"/>
  <c r="B2980" i="23"/>
  <c r="B2116" i="23"/>
  <c r="B2818" i="23"/>
  <c r="B2169" i="23"/>
  <c r="B2520" i="23"/>
  <c r="B2871" i="23"/>
  <c r="B2547" i="23"/>
  <c r="B3006" i="23"/>
  <c r="B2142" i="23"/>
  <c r="B2493" i="23"/>
  <c r="B2790" i="23"/>
  <c r="B2601" i="23"/>
  <c r="B2682" i="23"/>
  <c r="B2952" i="23"/>
  <c r="B2898" i="23"/>
  <c r="B2844" i="23"/>
  <c r="B2655" i="23"/>
  <c r="B2088" i="23"/>
  <c r="B2628" i="23"/>
  <c r="B2439" i="23"/>
  <c r="B3033" i="23"/>
  <c r="B2763" i="23"/>
  <c r="B3060" i="23"/>
  <c r="B2709" i="23"/>
  <c r="B2736" i="23"/>
  <c r="B2466" i="23"/>
  <c r="B2061" i="23"/>
  <c r="B2574" i="23"/>
  <c r="B2925" i="23"/>
  <c r="B2979" i="23"/>
  <c r="B2115" i="23"/>
  <c r="B2817" i="23"/>
  <c r="B2168" i="23"/>
  <c r="B2519" i="23"/>
  <c r="B2870" i="23"/>
  <c r="B2546" i="23"/>
  <c r="B3005" i="23"/>
  <c r="B2141" i="23"/>
  <c r="B2492" i="23"/>
  <c r="B2789" i="23"/>
  <c r="B2600" i="23"/>
  <c r="B2681" i="23"/>
  <c r="B2951" i="23"/>
  <c r="B2897" i="23"/>
  <c r="B2843" i="23"/>
  <c r="B2654" i="23"/>
  <c r="B2087" i="23"/>
  <c r="B2627" i="23"/>
  <c r="B2438" i="23"/>
  <c r="B3032" i="23"/>
  <c r="B2762" i="23"/>
  <c r="B3059" i="23"/>
  <c r="B2708" i="23"/>
  <c r="B2735" i="23"/>
  <c r="B2465" i="23"/>
  <c r="B2060" i="23"/>
  <c r="B2573" i="23"/>
  <c r="B2924" i="23"/>
  <c r="B2978" i="23"/>
  <c r="B2114" i="23"/>
  <c r="B2816" i="23"/>
  <c r="B2167" i="23"/>
  <c r="B2518" i="23"/>
  <c r="B2869" i="23"/>
  <c r="B2545" i="23"/>
  <c r="B3004" i="23"/>
  <c r="B2140" i="23"/>
  <c r="B2491" i="23"/>
  <c r="B2788" i="23"/>
  <c r="B2599" i="23"/>
  <c r="B2680" i="23"/>
  <c r="B2950" i="23"/>
  <c r="B2896" i="23"/>
  <c r="B2842" i="23"/>
  <c r="B2653" i="23"/>
  <c r="B2086" i="23"/>
  <c r="B2626" i="23"/>
  <c r="B2437" i="23"/>
  <c r="B3031" i="23"/>
  <c r="B2761" i="23"/>
  <c r="B3058" i="23"/>
  <c r="B2707" i="23"/>
  <c r="B2734" i="23"/>
  <c r="B2464" i="23"/>
  <c r="B2059" i="23"/>
  <c r="B2572" i="23"/>
  <c r="B2923" i="23"/>
  <c r="B2977" i="23"/>
  <c r="B2113" i="23"/>
  <c r="B2815" i="23"/>
  <c r="B2166" i="23"/>
  <c r="B2517" i="23"/>
  <c r="B2868" i="23"/>
  <c r="B2544" i="23"/>
  <c r="B3003" i="23"/>
  <c r="B2139" i="23"/>
  <c r="B2490" i="23"/>
  <c r="B2787" i="23"/>
  <c r="B2598" i="23"/>
  <c r="B2679" i="23"/>
  <c r="B2949" i="23"/>
  <c r="B2895" i="23"/>
  <c r="B2841" i="23"/>
  <c r="B2652" i="23"/>
  <c r="B2085" i="23"/>
  <c r="B2625" i="23"/>
  <c r="B2436" i="23"/>
  <c r="B3030" i="23"/>
  <c r="B2760" i="23"/>
  <c r="B3057" i="23"/>
  <c r="B2706" i="23"/>
  <c r="B2733" i="23"/>
  <c r="B2463" i="23"/>
  <c r="B2058" i="23"/>
  <c r="B2571" i="23"/>
  <c r="B2922" i="23"/>
  <c r="B2976" i="23"/>
  <c r="B2112" i="23"/>
  <c r="B2814" i="23"/>
  <c r="B2165" i="23"/>
  <c r="B2516" i="23"/>
  <c r="B2867" i="23"/>
  <c r="B2543" i="23"/>
  <c r="B3002" i="23"/>
  <c r="B2138" i="23"/>
  <c r="B2489" i="23"/>
  <c r="B2786" i="23"/>
  <c r="B2597" i="23"/>
  <c r="B2678" i="23"/>
  <c r="B2948" i="23"/>
  <c r="B2894" i="23"/>
  <c r="B2840" i="23"/>
  <c r="B2651" i="23"/>
  <c r="B2084" i="23"/>
  <c r="B2624" i="23"/>
  <c r="B2435" i="23"/>
  <c r="B3029" i="23"/>
  <c r="B2759" i="23"/>
  <c r="B3056" i="23"/>
  <c r="B2705" i="23"/>
  <c r="B2732" i="23"/>
  <c r="B2462" i="23"/>
  <c r="B2057" i="23"/>
  <c r="B2570" i="23"/>
  <c r="B2921" i="23"/>
  <c r="B2975" i="23"/>
  <c r="B2111" i="23"/>
  <c r="B2813" i="23"/>
  <c r="B2164" i="23"/>
  <c r="B2515" i="23"/>
  <c r="B2866" i="23"/>
  <c r="B2542" i="23"/>
  <c r="B3001" i="23"/>
  <c r="B2137" i="23"/>
  <c r="B2488" i="23"/>
  <c r="B2785" i="23"/>
  <c r="B2596" i="23"/>
  <c r="B2677" i="23"/>
  <c r="B2947" i="23"/>
  <c r="B2893" i="23"/>
  <c r="B2839" i="23"/>
  <c r="B2650" i="23"/>
  <c r="B2083" i="23"/>
  <c r="B2623" i="23"/>
  <c r="B2434" i="23"/>
  <c r="B3028" i="23"/>
  <c r="B2758" i="23"/>
  <c r="B3055" i="23"/>
  <c r="B2704" i="23"/>
  <c r="B2731" i="23"/>
  <c r="B2461" i="23"/>
  <c r="B2056" i="23"/>
  <c r="B2569" i="23"/>
  <c r="B2920" i="23"/>
  <c r="B2974" i="23"/>
  <c r="B2110" i="23"/>
  <c r="B2812" i="23"/>
  <c r="B3242" i="23"/>
  <c r="B3241" i="23"/>
  <c r="B3240" i="23"/>
  <c r="B3239" i="23"/>
  <c r="B3238" i="23"/>
  <c r="B3237" i="23"/>
  <c r="B3236" i="23"/>
  <c r="B3235" i="23"/>
  <c r="B3234" i="23"/>
  <c r="B3233" i="23"/>
  <c r="B3232" i="23"/>
  <c r="B3231" i="23"/>
  <c r="B3230" i="23"/>
  <c r="B3229" i="23"/>
  <c r="B3228" i="23"/>
  <c r="B3227" i="23"/>
  <c r="B3226" i="23"/>
  <c r="B3225" i="23"/>
  <c r="B3224" i="23"/>
  <c r="B3223" i="23"/>
  <c r="B3222" i="23"/>
  <c r="B3221" i="23"/>
  <c r="B3220" i="23"/>
  <c r="B3219" i="23"/>
  <c r="B3218" i="23"/>
  <c r="B3217" i="23"/>
  <c r="B3216" i="23"/>
  <c r="B3269" i="23"/>
  <c r="B3268" i="23"/>
  <c r="B3267" i="23"/>
  <c r="B3266" i="23"/>
  <c r="B3265" i="23"/>
  <c r="B3264" i="23"/>
  <c r="B3263" i="23"/>
  <c r="B3262" i="23"/>
  <c r="B3261" i="23"/>
  <c r="B3260" i="23"/>
  <c r="B3259" i="23"/>
  <c r="B3258" i="23"/>
  <c r="B3257" i="23"/>
  <c r="B3256" i="23"/>
  <c r="B3255" i="23"/>
  <c r="B3254" i="23"/>
  <c r="B3253" i="23"/>
  <c r="B3252" i="23"/>
  <c r="B3251" i="23"/>
  <c r="B3250" i="23"/>
  <c r="B3249" i="23"/>
  <c r="B3248" i="23"/>
  <c r="B3247" i="23"/>
  <c r="B3246" i="23"/>
  <c r="B3245" i="23"/>
  <c r="B3244" i="23"/>
  <c r="B3243" i="23"/>
  <c r="B3296" i="23"/>
  <c r="B3295" i="23"/>
  <c r="B3294" i="23"/>
  <c r="B3293" i="23"/>
  <c r="B3292" i="23"/>
  <c r="B3291" i="23"/>
  <c r="B3290" i="23"/>
  <c r="B3289" i="23"/>
  <c r="B3288" i="23"/>
  <c r="B3287" i="23"/>
  <c r="B3286" i="23"/>
  <c r="B3285" i="23"/>
  <c r="B3284" i="23"/>
  <c r="B3283" i="23"/>
  <c r="B3282" i="23"/>
  <c r="B3281" i="23"/>
  <c r="B3280" i="23"/>
  <c r="B3279" i="23"/>
  <c r="B3278" i="23"/>
  <c r="B3277" i="23"/>
  <c r="B3276" i="23"/>
  <c r="B3275" i="23"/>
  <c r="B3274" i="23"/>
  <c r="B3273" i="23"/>
  <c r="B3272" i="23"/>
  <c r="B3271" i="23"/>
  <c r="B3270" i="23"/>
  <c r="B3323" i="23"/>
  <c r="B3322" i="23"/>
  <c r="B3321" i="23"/>
  <c r="B3320" i="23"/>
  <c r="B3319" i="23"/>
  <c r="B3318" i="23"/>
  <c r="B3317" i="23"/>
  <c r="B3316" i="23"/>
  <c r="B3315" i="23"/>
  <c r="B3314" i="23"/>
  <c r="B3313" i="23"/>
  <c r="B3312" i="23"/>
  <c r="B3311" i="23"/>
  <c r="B3310" i="23"/>
  <c r="B3309" i="23"/>
  <c r="B3308" i="23"/>
  <c r="B3307" i="23"/>
  <c r="B3306" i="23"/>
  <c r="B3305" i="23"/>
  <c r="B3304" i="23"/>
  <c r="B3303" i="23"/>
  <c r="B3302" i="23"/>
  <c r="B3301" i="23"/>
  <c r="B3300" i="23"/>
  <c r="B3299" i="23"/>
  <c r="B3298" i="23"/>
  <c r="B3297" i="23"/>
  <c r="B3350" i="23"/>
  <c r="B3349" i="23"/>
  <c r="B3348" i="23"/>
  <c r="B3347" i="23"/>
  <c r="B3346" i="23"/>
  <c r="B3345" i="23"/>
  <c r="B3344" i="23"/>
  <c r="B3343" i="23"/>
  <c r="B3342" i="23"/>
  <c r="B3341" i="23"/>
  <c r="B3340" i="23"/>
  <c r="B3339" i="23"/>
  <c r="B3338" i="23"/>
  <c r="B3337" i="23"/>
  <c r="B3336" i="23"/>
  <c r="B3335" i="23"/>
  <c r="B3334" i="23"/>
  <c r="B3333" i="23"/>
  <c r="B3332" i="23"/>
  <c r="B3331" i="23"/>
  <c r="B3330" i="23"/>
  <c r="B3329" i="23"/>
  <c r="B3328" i="23"/>
  <c r="B3327" i="23"/>
  <c r="B3326" i="23"/>
  <c r="B3325" i="23"/>
  <c r="B3324" i="23"/>
  <c r="B3377" i="23"/>
  <c r="B3376" i="23"/>
  <c r="B3375" i="23"/>
  <c r="B3374" i="23"/>
  <c r="B3373" i="23"/>
  <c r="B3372" i="23"/>
  <c r="B3371" i="23"/>
  <c r="B3370" i="23"/>
  <c r="B3369" i="23"/>
  <c r="B3368" i="23"/>
  <c r="B3367" i="23"/>
  <c r="B3366" i="23"/>
  <c r="B3365" i="23"/>
  <c r="B3364" i="23"/>
  <c r="B3363" i="23"/>
  <c r="B3362" i="23"/>
  <c r="B3361" i="23"/>
  <c r="B3360" i="23"/>
  <c r="B3359" i="23"/>
  <c r="B3358" i="23"/>
  <c r="B3357" i="23"/>
  <c r="B3356" i="23"/>
  <c r="B3355" i="23"/>
  <c r="B3354" i="23"/>
  <c r="B3353" i="23"/>
  <c r="B3352" i="23"/>
  <c r="B3351" i="23"/>
  <c r="B3404" i="23"/>
  <c r="B3403" i="23"/>
  <c r="B3402" i="23"/>
  <c r="B3401" i="23"/>
  <c r="B3400" i="23"/>
  <c r="B3399" i="23"/>
  <c r="B3398" i="23"/>
  <c r="B3397" i="23"/>
  <c r="B3396" i="23"/>
  <c r="B3395" i="23"/>
  <c r="B3394" i="23"/>
  <c r="B3393" i="23"/>
  <c r="B3392" i="23"/>
  <c r="B3391" i="23"/>
  <c r="B3390" i="23"/>
  <c r="B3389" i="23"/>
  <c r="B3388" i="23"/>
  <c r="B3387" i="23"/>
  <c r="B3386" i="23"/>
  <c r="B3385" i="23"/>
  <c r="B3384" i="23"/>
  <c r="B3383" i="23"/>
  <c r="B3382" i="23"/>
  <c r="B3381" i="23"/>
  <c r="B3380" i="23"/>
  <c r="B3379" i="23"/>
  <c r="B3378" i="23"/>
  <c r="B3431" i="23"/>
  <c r="B3430" i="23"/>
  <c r="B3429" i="23"/>
  <c r="B3428" i="23"/>
  <c r="B3427" i="23"/>
  <c r="B3426" i="23"/>
  <c r="B3425" i="23"/>
  <c r="B3424" i="23"/>
  <c r="B3423" i="23"/>
  <c r="B3422" i="23"/>
  <c r="B3421" i="23"/>
  <c r="B3420" i="23"/>
  <c r="B3419" i="23"/>
  <c r="B3418" i="23"/>
  <c r="B3417" i="23"/>
  <c r="B3416" i="23"/>
  <c r="B3415" i="23"/>
  <c r="B3414" i="23"/>
  <c r="B3413" i="23"/>
  <c r="B3412" i="23"/>
  <c r="B3411" i="23"/>
  <c r="B3410" i="23"/>
  <c r="B3409" i="23"/>
  <c r="B3408" i="23"/>
  <c r="B3407" i="23"/>
  <c r="B3406" i="23"/>
  <c r="B3405" i="23"/>
  <c r="B3458" i="23"/>
  <c r="B3457" i="23"/>
  <c r="B3456" i="23"/>
  <c r="B3455" i="23"/>
  <c r="B3454" i="23"/>
  <c r="B3453" i="23"/>
  <c r="B3452" i="23"/>
  <c r="B3451" i="23"/>
  <c r="B3450" i="23"/>
  <c r="B3449" i="23"/>
  <c r="B3448" i="23"/>
  <c r="B3447" i="23"/>
  <c r="B3446" i="23"/>
  <c r="B3445" i="23"/>
  <c r="B3444" i="23"/>
  <c r="B3443" i="23"/>
  <c r="B3442" i="23"/>
  <c r="B3441" i="23"/>
  <c r="B3440" i="23"/>
  <c r="B3439" i="23"/>
  <c r="B3438" i="23"/>
  <c r="B3437" i="23"/>
  <c r="B3436" i="23"/>
  <c r="B3435" i="23"/>
  <c r="B3434" i="23"/>
  <c r="B3433" i="23"/>
  <c r="B3432" i="23"/>
  <c r="B3215" i="23"/>
  <c r="B3566" i="23"/>
  <c r="B3917" i="23"/>
  <c r="B3593" i="23"/>
  <c r="B4052" i="23"/>
  <c r="B3188" i="23"/>
  <c r="B3539" i="23"/>
  <c r="B3836" i="23"/>
  <c r="B3647" i="23"/>
  <c r="B3728" i="23"/>
  <c r="B3998" i="23"/>
  <c r="B3944" i="23"/>
  <c r="B3890" i="23"/>
  <c r="B3701" i="23"/>
  <c r="B3134" i="23"/>
  <c r="B3674" i="23"/>
  <c r="B3485" i="23"/>
  <c r="B4079" i="23"/>
  <c r="B3809" i="23"/>
  <c r="B4106" i="23"/>
  <c r="B3755" i="23"/>
  <c r="B3782" i="23"/>
  <c r="B3512" i="23"/>
  <c r="B3107" i="23"/>
  <c r="B3620" i="23"/>
  <c r="B3971" i="23"/>
  <c r="B4025" i="23"/>
  <c r="B3161" i="23"/>
  <c r="B3863" i="23"/>
  <c r="B3214" i="23"/>
  <c r="B3565" i="23"/>
  <c r="B3916" i="23"/>
  <c r="B3592" i="23"/>
  <c r="B4051" i="23"/>
  <c r="B3187" i="23"/>
  <c r="B3538" i="23"/>
  <c r="B3835" i="23"/>
  <c r="B3646" i="23"/>
  <c r="B3727" i="23"/>
  <c r="B3997" i="23"/>
  <c r="B3943" i="23"/>
  <c r="B3889" i="23"/>
  <c r="B3700" i="23"/>
  <c r="B3133" i="23"/>
  <c r="B3673" i="23"/>
  <c r="B3484" i="23"/>
  <c r="B4078" i="23"/>
  <c r="B3808" i="23"/>
  <c r="B4105" i="23"/>
  <c r="B3754" i="23"/>
  <c r="B3781" i="23"/>
  <c r="B3511" i="23"/>
  <c r="B3106" i="23"/>
  <c r="B3619" i="23"/>
  <c r="B3970" i="23"/>
  <c r="B4024" i="23"/>
  <c r="B3160" i="23"/>
  <c r="B3862" i="23"/>
  <c r="B3213" i="23"/>
  <c r="B3564" i="23"/>
  <c r="B3915" i="23"/>
  <c r="B3591" i="23"/>
  <c r="B4050" i="23"/>
  <c r="B3186" i="23"/>
  <c r="B3537" i="23"/>
  <c r="B3834" i="23"/>
  <c r="B3645" i="23"/>
  <c r="B3726" i="23"/>
  <c r="B3996" i="23"/>
  <c r="B3942" i="23"/>
  <c r="B3888" i="23"/>
  <c r="B3699" i="23"/>
  <c r="B3132" i="23"/>
  <c r="B3672" i="23"/>
  <c r="B3483" i="23"/>
  <c r="B4077" i="23"/>
  <c r="B3807" i="23"/>
  <c r="B4104" i="23"/>
  <c r="B3753" i="23"/>
  <c r="B3780" i="23"/>
  <c r="B3510" i="23"/>
  <c r="B3105" i="23"/>
  <c r="B3618" i="23"/>
  <c r="B3969" i="23"/>
  <c r="B4023" i="23"/>
  <c r="B3159" i="23"/>
  <c r="B3861" i="23"/>
  <c r="B3212" i="23"/>
  <c r="B3563" i="23"/>
  <c r="B3914" i="23"/>
  <c r="B3590" i="23"/>
  <c r="B4049" i="23"/>
  <c r="B3185" i="23"/>
  <c r="B3536" i="23"/>
  <c r="B3833" i="23"/>
  <c r="B3644" i="23"/>
  <c r="B3725" i="23"/>
  <c r="B3995" i="23"/>
  <c r="B3941" i="23"/>
  <c r="B3887" i="23"/>
  <c r="B3698" i="23"/>
  <c r="B3131" i="23"/>
  <c r="B3671" i="23"/>
  <c r="B3482" i="23"/>
  <c r="B4076" i="23"/>
  <c r="B3806" i="23"/>
  <c r="B4103" i="23"/>
  <c r="B3752" i="23"/>
  <c r="B3779" i="23"/>
  <c r="B3509" i="23"/>
  <c r="B3104" i="23"/>
  <c r="B3617" i="23"/>
  <c r="B3968" i="23"/>
  <c r="B4022" i="23"/>
  <c r="B3158" i="23"/>
  <c r="B3860" i="23"/>
  <c r="B3211" i="23"/>
  <c r="B3562" i="23"/>
  <c r="B3913" i="23"/>
  <c r="B3589" i="23"/>
  <c r="B4048" i="23"/>
  <c r="B3184" i="23"/>
  <c r="B3535" i="23"/>
  <c r="B3832" i="23"/>
  <c r="B3643" i="23"/>
  <c r="B3724" i="23"/>
  <c r="B3994" i="23"/>
  <c r="B3940" i="23"/>
  <c r="B3886" i="23"/>
  <c r="B3697" i="23"/>
  <c r="B3130" i="23"/>
  <c r="B3670" i="23"/>
  <c r="B3481" i="23"/>
  <c r="B4075" i="23"/>
  <c r="B3805" i="23"/>
  <c r="B4102" i="23"/>
  <c r="B3751" i="23"/>
  <c r="B3778" i="23"/>
  <c r="B3508" i="23"/>
  <c r="B3103" i="23"/>
  <c r="B3616" i="23"/>
  <c r="B3967" i="23"/>
  <c r="B4021" i="23"/>
  <c r="B3157" i="23"/>
  <c r="B3859" i="23"/>
  <c r="B3210" i="23"/>
  <c r="B3561" i="23"/>
  <c r="B3912" i="23"/>
  <c r="B3588" i="23"/>
  <c r="B4047" i="23"/>
  <c r="B3183" i="23"/>
  <c r="B3534" i="23"/>
  <c r="B3831" i="23"/>
  <c r="B3642" i="23"/>
  <c r="B3723" i="23"/>
  <c r="B3993" i="23"/>
  <c r="B3939" i="23"/>
  <c r="B3885" i="23"/>
  <c r="B3696" i="23"/>
  <c r="B3129" i="23"/>
  <c r="B3669" i="23"/>
  <c r="B3480" i="23"/>
  <c r="B4074" i="23"/>
  <c r="B3804" i="23"/>
  <c r="B4101" i="23"/>
  <c r="B3750" i="23"/>
  <c r="B3777" i="23"/>
  <c r="B3507" i="23"/>
  <c r="B3102" i="23"/>
  <c r="B3615" i="23"/>
  <c r="B3966" i="23"/>
  <c r="B4020" i="23"/>
  <c r="B3156" i="23"/>
  <c r="B3858" i="23"/>
  <c r="B3209" i="23"/>
  <c r="B3560" i="23"/>
  <c r="B3911" i="23"/>
  <c r="B3587" i="23"/>
  <c r="B4046" i="23"/>
  <c r="B3182" i="23"/>
  <c r="B3533" i="23"/>
  <c r="B3830" i="23"/>
  <c r="B3641" i="23"/>
  <c r="B3722" i="23"/>
  <c r="B3992" i="23"/>
  <c r="B3938" i="23"/>
  <c r="B3884" i="23"/>
  <c r="B3695" i="23"/>
  <c r="B3128" i="23"/>
  <c r="B3668" i="23"/>
  <c r="B3479" i="23"/>
  <c r="B4073" i="23"/>
  <c r="B3803" i="23"/>
  <c r="B4100" i="23"/>
  <c r="B3749" i="23"/>
  <c r="B3776" i="23"/>
  <c r="B3506" i="23"/>
  <c r="B3101" i="23"/>
  <c r="B3614" i="23"/>
  <c r="B3965" i="23"/>
  <c r="B4019" i="23"/>
  <c r="B3155" i="23"/>
  <c r="B3857" i="23"/>
  <c r="B3208" i="23"/>
  <c r="B3559" i="23"/>
  <c r="B3910" i="23"/>
  <c r="B3586" i="23"/>
  <c r="B4045" i="23"/>
  <c r="B3181" i="23"/>
  <c r="B3532" i="23"/>
  <c r="B3829" i="23"/>
  <c r="B3640" i="23"/>
  <c r="B3721" i="23"/>
  <c r="B3991" i="23"/>
  <c r="B3937" i="23"/>
  <c r="B3883" i="23"/>
  <c r="B3694" i="23"/>
  <c r="B3127" i="23"/>
  <c r="B3667" i="23"/>
  <c r="B3478" i="23"/>
  <c r="B4072" i="23"/>
  <c r="B3802" i="23"/>
  <c r="B4099" i="23"/>
  <c r="B3748" i="23"/>
  <c r="B3775" i="23"/>
  <c r="B3505" i="23"/>
  <c r="B3100" i="23"/>
  <c r="B3613" i="23"/>
  <c r="B3964" i="23"/>
  <c r="B4018" i="23"/>
  <c r="B3154" i="23"/>
  <c r="B3856" i="23"/>
  <c r="B3207" i="23"/>
  <c r="B3558" i="23"/>
  <c r="B3909" i="23"/>
  <c r="B3585" i="23"/>
  <c r="B4044" i="23"/>
  <c r="B3180" i="23"/>
  <c r="B3531" i="23"/>
  <c r="B3828" i="23"/>
  <c r="B3639" i="23"/>
  <c r="B3720" i="23"/>
  <c r="B3990" i="23"/>
  <c r="B3936" i="23"/>
  <c r="B3882" i="23"/>
  <c r="B3693" i="23"/>
  <c r="B3126" i="23"/>
  <c r="B3666" i="23"/>
  <c r="B3477" i="23"/>
  <c r="B4071" i="23"/>
  <c r="B3801" i="23"/>
  <c r="B4098" i="23"/>
  <c r="B3747" i="23"/>
  <c r="B3774" i="23"/>
  <c r="B3504" i="23"/>
  <c r="B3099" i="23"/>
  <c r="B3612" i="23"/>
  <c r="B3963" i="23"/>
  <c r="B4017" i="23"/>
  <c r="B3153" i="23"/>
  <c r="B3855" i="23"/>
  <c r="B3206" i="23"/>
  <c r="B3557" i="23"/>
  <c r="B3908" i="23"/>
  <c r="B3584" i="23"/>
  <c r="B4043" i="23"/>
  <c r="B3179" i="23"/>
  <c r="B3530" i="23"/>
  <c r="B3827" i="23"/>
  <c r="B3638" i="23"/>
  <c r="B3719" i="23"/>
  <c r="B3989" i="23"/>
  <c r="B3935" i="23"/>
  <c r="B3881" i="23"/>
  <c r="B3692" i="23"/>
  <c r="B3125" i="23"/>
  <c r="B3665" i="23"/>
  <c r="B3476" i="23"/>
  <c r="B4070" i="23"/>
  <c r="B3800" i="23"/>
  <c r="B4097" i="23"/>
  <c r="B3746" i="23"/>
  <c r="B3773" i="23"/>
  <c r="B3503" i="23"/>
  <c r="B3098" i="23"/>
  <c r="B3611" i="23"/>
  <c r="B3962" i="23"/>
  <c r="B4016" i="23"/>
  <c r="B3152" i="23"/>
  <c r="B3854" i="23"/>
  <c r="B3205" i="23"/>
  <c r="B3556" i="23"/>
  <c r="B3907" i="23"/>
  <c r="B3583" i="23"/>
  <c r="B4042" i="23"/>
  <c r="B3178" i="23"/>
  <c r="B3529" i="23"/>
  <c r="B3826" i="23"/>
  <c r="B3637" i="23"/>
  <c r="B3718" i="23"/>
  <c r="B3988" i="23"/>
  <c r="B3934" i="23"/>
  <c r="B3880" i="23"/>
  <c r="B3691" i="23"/>
  <c r="B3124" i="23"/>
  <c r="B3664" i="23"/>
  <c r="B3475" i="23"/>
  <c r="B4069" i="23"/>
  <c r="B3799" i="23"/>
  <c r="B4096" i="23"/>
  <c r="B3745" i="23"/>
  <c r="B3772" i="23"/>
  <c r="B3502" i="23"/>
  <c r="B3097" i="23"/>
  <c r="B3610" i="23"/>
  <c r="B3961" i="23"/>
  <c r="B4015" i="23"/>
  <c r="B3151" i="23"/>
  <c r="B3853" i="23"/>
  <c r="B3204" i="23"/>
  <c r="B3555" i="23"/>
  <c r="B3906" i="23"/>
  <c r="B3582" i="23"/>
  <c r="B4041" i="23"/>
  <c r="B3177" i="23"/>
  <c r="B3528" i="23"/>
  <c r="B3825" i="23"/>
  <c r="B3636" i="23"/>
  <c r="B3717" i="23"/>
  <c r="B3987" i="23"/>
  <c r="B3933" i="23"/>
  <c r="B3879" i="23"/>
  <c r="B3690" i="23"/>
  <c r="B3123" i="23"/>
  <c r="B3663" i="23"/>
  <c r="B3474" i="23"/>
  <c r="B4068" i="23"/>
  <c r="B3798" i="23"/>
  <c r="B4095" i="23"/>
  <c r="B3744" i="23"/>
  <c r="B3771" i="23"/>
  <c r="B3501" i="23"/>
  <c r="B3096" i="23"/>
  <c r="B3609" i="23"/>
  <c r="B3960" i="23"/>
  <c r="B4014" i="23"/>
  <c r="B3150" i="23"/>
  <c r="B3852" i="23"/>
  <c r="B3203" i="23"/>
  <c r="B3554" i="23"/>
  <c r="B3905" i="23"/>
  <c r="B3581" i="23"/>
  <c r="B4040" i="23"/>
  <c r="B3176" i="23"/>
  <c r="B3527" i="23"/>
  <c r="B3824" i="23"/>
  <c r="B3635" i="23"/>
  <c r="B3716" i="23"/>
  <c r="B3986" i="23"/>
  <c r="B3932" i="23"/>
  <c r="B3878" i="23"/>
  <c r="B3689" i="23"/>
  <c r="B3122" i="23"/>
  <c r="B3662" i="23"/>
  <c r="B3473" i="23"/>
  <c r="B4067" i="23"/>
  <c r="B3797" i="23"/>
  <c r="B4094" i="23"/>
  <c r="B3743" i="23"/>
  <c r="B3770" i="23"/>
  <c r="B3500" i="23"/>
  <c r="B3095" i="23"/>
  <c r="B3608" i="23"/>
  <c r="B3959" i="23"/>
  <c r="B4013" i="23"/>
  <c r="B3149" i="23"/>
  <c r="B3851" i="23"/>
  <c r="B3202" i="23"/>
  <c r="B3553" i="23"/>
  <c r="B3904" i="23"/>
  <c r="B3580" i="23"/>
  <c r="B4039" i="23"/>
  <c r="B3175" i="23"/>
  <c r="B3526" i="23"/>
  <c r="B3823" i="23"/>
  <c r="B3634" i="23"/>
  <c r="B3715" i="23"/>
  <c r="B3985" i="23"/>
  <c r="B3931" i="23"/>
  <c r="B3877" i="23"/>
  <c r="B3688" i="23"/>
  <c r="B3121" i="23"/>
  <c r="B3661" i="23"/>
  <c r="B3472" i="23"/>
  <c r="B4066" i="23"/>
  <c r="B3796" i="23"/>
  <c r="B4093" i="23"/>
  <c r="B3742" i="23"/>
  <c r="B3769" i="23"/>
  <c r="B3499" i="23"/>
  <c r="B3094" i="23"/>
  <c r="B3607" i="23"/>
  <c r="B3958" i="23"/>
  <c r="B4012" i="23"/>
  <c r="B3148" i="23"/>
  <c r="B3850" i="23"/>
  <c r="B3201" i="23"/>
  <c r="B3552" i="23"/>
  <c r="B3903" i="23"/>
  <c r="B3579" i="23"/>
  <c r="B4038" i="23"/>
  <c r="B3174" i="23"/>
  <c r="B3525" i="23"/>
  <c r="B3822" i="23"/>
  <c r="B3633" i="23"/>
  <c r="B3714" i="23"/>
  <c r="B3984" i="23"/>
  <c r="B3930" i="23"/>
  <c r="B3876" i="23"/>
  <c r="B3687" i="23"/>
  <c r="B3120" i="23"/>
  <c r="B3660" i="23"/>
  <c r="B3471" i="23"/>
  <c r="B4065" i="23"/>
  <c r="B3795" i="23"/>
  <c r="B4092" i="23"/>
  <c r="B3741" i="23"/>
  <c r="B3768" i="23"/>
  <c r="B3498" i="23"/>
  <c r="B3093" i="23"/>
  <c r="B3606" i="23"/>
  <c r="B3957" i="23"/>
  <c r="B4011" i="23"/>
  <c r="B3147" i="23"/>
  <c r="B3849" i="23"/>
  <c r="B3200" i="23"/>
  <c r="B3551" i="23"/>
  <c r="B3902" i="23"/>
  <c r="B3578" i="23"/>
  <c r="B4037" i="23"/>
  <c r="B3173" i="23"/>
  <c r="B3524" i="23"/>
  <c r="B3821" i="23"/>
  <c r="B3632" i="23"/>
  <c r="B3713" i="23"/>
  <c r="B3983" i="23"/>
  <c r="B3929" i="23"/>
  <c r="B3875" i="23"/>
  <c r="B3686" i="23"/>
  <c r="B3119" i="23"/>
  <c r="B3659" i="23"/>
  <c r="B3470" i="23"/>
  <c r="B4064" i="23"/>
  <c r="B3794" i="23"/>
  <c r="B4091" i="23"/>
  <c r="B3740" i="23"/>
  <c r="B3767" i="23"/>
  <c r="B3497" i="23"/>
  <c r="B3092" i="23"/>
  <c r="B3605" i="23"/>
  <c r="B3956" i="23"/>
  <c r="B4010" i="23"/>
  <c r="B3146" i="23"/>
  <c r="B3848" i="23"/>
  <c r="B3199" i="23"/>
  <c r="B3550" i="23"/>
  <c r="B3901" i="23"/>
  <c r="B3577" i="23"/>
  <c r="B4036" i="23"/>
  <c r="B3172" i="23"/>
  <c r="B3523" i="23"/>
  <c r="B3820" i="23"/>
  <c r="B3631" i="23"/>
  <c r="B3712" i="23"/>
  <c r="B3982" i="23"/>
  <c r="B3928" i="23"/>
  <c r="B3874" i="23"/>
  <c r="B3685" i="23"/>
  <c r="B3118" i="23"/>
  <c r="B3658" i="23"/>
  <c r="B3469" i="23"/>
  <c r="B4063" i="23"/>
  <c r="B3793" i="23"/>
  <c r="B4090" i="23"/>
  <c r="B3739" i="23"/>
  <c r="B3766" i="23"/>
  <c r="B3496" i="23"/>
  <c r="B3091" i="23"/>
  <c r="B3604" i="23"/>
  <c r="B3955" i="23"/>
  <c r="B4009" i="23"/>
  <c r="B3145" i="23"/>
  <c r="B3847" i="23"/>
  <c r="B3198" i="23"/>
  <c r="B3549" i="23"/>
  <c r="B3900" i="23"/>
  <c r="B3576" i="23"/>
  <c r="B4035" i="23"/>
  <c r="B3171" i="23"/>
  <c r="B3522" i="23"/>
  <c r="B3819" i="23"/>
  <c r="B3630" i="23"/>
  <c r="B3711" i="23"/>
  <c r="B3981" i="23"/>
  <c r="B3927" i="23"/>
  <c r="B3873" i="23"/>
  <c r="B3684" i="23"/>
  <c r="B3117" i="23"/>
  <c r="B3657" i="23"/>
  <c r="B3468" i="23"/>
  <c r="B4062" i="23"/>
  <c r="B3792" i="23"/>
  <c r="B4089" i="23"/>
  <c r="B3738" i="23"/>
  <c r="B3765" i="23"/>
  <c r="B3495" i="23"/>
  <c r="B3090" i="23"/>
  <c r="B3603" i="23"/>
  <c r="B3954" i="23"/>
  <c r="B4008" i="23"/>
  <c r="B3144" i="23"/>
  <c r="B3846" i="23"/>
  <c r="B3197" i="23"/>
  <c r="B3548" i="23"/>
  <c r="B3899" i="23"/>
  <c r="B3575" i="23"/>
  <c r="B4034" i="23"/>
  <c r="B3170" i="23"/>
  <c r="B3521" i="23"/>
  <c r="B3818" i="23"/>
  <c r="B3629" i="23"/>
  <c r="B3710" i="23"/>
  <c r="B3980" i="23"/>
  <c r="B3926" i="23"/>
  <c r="B3872" i="23"/>
  <c r="B3683" i="23"/>
  <c r="B3116" i="23"/>
  <c r="B3656" i="23"/>
  <c r="B3467" i="23"/>
  <c r="B4061" i="23"/>
  <c r="B3791" i="23"/>
  <c r="B4088" i="23"/>
  <c r="B3737" i="23"/>
  <c r="B3764" i="23"/>
  <c r="B3494" i="23"/>
  <c r="B3089" i="23"/>
  <c r="B3602" i="23"/>
  <c r="B3953" i="23"/>
  <c r="B4007" i="23"/>
  <c r="B3143" i="23"/>
  <c r="B3845" i="23"/>
  <c r="B3196" i="23"/>
  <c r="B3547" i="23"/>
  <c r="B3898" i="23"/>
  <c r="B3574" i="23"/>
  <c r="B4033" i="23"/>
  <c r="B3169" i="23"/>
  <c r="B3520" i="23"/>
  <c r="B3817" i="23"/>
  <c r="B3628" i="23"/>
  <c r="B3709" i="23"/>
  <c r="B3979" i="23"/>
  <c r="B3925" i="23"/>
  <c r="B3871" i="23"/>
  <c r="B3682" i="23"/>
  <c r="B3115" i="23"/>
  <c r="B3655" i="23"/>
  <c r="B3466" i="23"/>
  <c r="B4060" i="23"/>
  <c r="B3790" i="23"/>
  <c r="B4087" i="23"/>
  <c r="B3736" i="23"/>
  <c r="B3763" i="23"/>
  <c r="B3493" i="23"/>
  <c r="B3088" i="23"/>
  <c r="B3601" i="23"/>
  <c r="B3952" i="23"/>
  <c r="B4006" i="23"/>
  <c r="B3142" i="23"/>
  <c r="B3844" i="23"/>
  <c r="B3195" i="23"/>
  <c r="B3546" i="23"/>
  <c r="B3897" i="23"/>
  <c r="B3573" i="23"/>
  <c r="B4032" i="23"/>
  <c r="B3168" i="23"/>
  <c r="B3519" i="23"/>
  <c r="B3816" i="23"/>
  <c r="B3627" i="23"/>
  <c r="B3708" i="23"/>
  <c r="B3978" i="23"/>
  <c r="B3924" i="23"/>
  <c r="B3870" i="23"/>
  <c r="B3681" i="23"/>
  <c r="B3114" i="23"/>
  <c r="B3654" i="23"/>
  <c r="B3465" i="23"/>
  <c r="B4059" i="23"/>
  <c r="B3789" i="23"/>
  <c r="B4086" i="23"/>
  <c r="B3735" i="23"/>
  <c r="B3762" i="23"/>
  <c r="B3492" i="23"/>
  <c r="B3087" i="23"/>
  <c r="B3600" i="23"/>
  <c r="B3951" i="23"/>
  <c r="B4005" i="23"/>
  <c r="B3141" i="23"/>
  <c r="B3843" i="23"/>
  <c r="B3194" i="23"/>
  <c r="B3545" i="23"/>
  <c r="B3896" i="23"/>
  <c r="B3572" i="23"/>
  <c r="B4031" i="23"/>
  <c r="B3167" i="23"/>
  <c r="B3518" i="23"/>
  <c r="B3815" i="23"/>
  <c r="B3626" i="23"/>
  <c r="B3707" i="23"/>
  <c r="B3977" i="23"/>
  <c r="B3923" i="23"/>
  <c r="B3869" i="23"/>
  <c r="B3680" i="23"/>
  <c r="B3113" i="23"/>
  <c r="B3653" i="23"/>
  <c r="B3464" i="23"/>
  <c r="B4058" i="23"/>
  <c r="B3788" i="23"/>
  <c r="B4085" i="23"/>
  <c r="B3734" i="23"/>
  <c r="B3761" i="23"/>
  <c r="B3491" i="23"/>
  <c r="B3086" i="23"/>
  <c r="B3599" i="23"/>
  <c r="B3950" i="23"/>
  <c r="B4004" i="23"/>
  <c r="B3140" i="23"/>
  <c r="B3842" i="23"/>
  <c r="B3193" i="23"/>
  <c r="B3544" i="23"/>
  <c r="B3895" i="23"/>
  <c r="B3571" i="23"/>
  <c r="B4030" i="23"/>
  <c r="B3166" i="23"/>
  <c r="B3517" i="23"/>
  <c r="B3814" i="23"/>
  <c r="B3625" i="23"/>
  <c r="B3706" i="23"/>
  <c r="B3976" i="23"/>
  <c r="B3922" i="23"/>
  <c r="B3868" i="23"/>
  <c r="B3679" i="23"/>
  <c r="B3112" i="23"/>
  <c r="B3652" i="23"/>
  <c r="B3463" i="23"/>
  <c r="B4057" i="23"/>
  <c r="B3787" i="23"/>
  <c r="B4084" i="23"/>
  <c r="B3733" i="23"/>
  <c r="B3760" i="23"/>
  <c r="B3490" i="23"/>
  <c r="B3085" i="23"/>
  <c r="B3598" i="23"/>
  <c r="B3949" i="23"/>
  <c r="B4003" i="23"/>
  <c r="B3139" i="23"/>
  <c r="B3841" i="23"/>
  <c r="B3192" i="23"/>
  <c r="B3543" i="23"/>
  <c r="B3894" i="23"/>
  <c r="B3570" i="23"/>
  <c r="B4029" i="23"/>
  <c r="B3165" i="23"/>
  <c r="B3516" i="23"/>
  <c r="B3813" i="23"/>
  <c r="B3624" i="23"/>
  <c r="B3705" i="23"/>
  <c r="B3975" i="23"/>
  <c r="B3921" i="23"/>
  <c r="B3867" i="23"/>
  <c r="B3678" i="23"/>
  <c r="B3111" i="23"/>
  <c r="B3651" i="23"/>
  <c r="B3462" i="23"/>
  <c r="B4056" i="23"/>
  <c r="B3786" i="23"/>
  <c r="B4083" i="23"/>
  <c r="B3732" i="23"/>
  <c r="B3759" i="23"/>
  <c r="B3489" i="23"/>
  <c r="B3084" i="23"/>
  <c r="B3597" i="23"/>
  <c r="B3948" i="23"/>
  <c r="B4002" i="23"/>
  <c r="B3138" i="23"/>
  <c r="B3840" i="23"/>
  <c r="B3191" i="23"/>
  <c r="B3542" i="23"/>
  <c r="B3893" i="23"/>
  <c r="B3569" i="23"/>
  <c r="B4028" i="23"/>
  <c r="B3164" i="23"/>
  <c r="B3515" i="23"/>
  <c r="B3812" i="23"/>
  <c r="B3623" i="23"/>
  <c r="B3704" i="23"/>
  <c r="B3974" i="23"/>
  <c r="B3920" i="23"/>
  <c r="B3866" i="23"/>
  <c r="B3677" i="23"/>
  <c r="B3110" i="23"/>
  <c r="B3650" i="23"/>
  <c r="B3461" i="23"/>
  <c r="B4055" i="23"/>
  <c r="B3785" i="23"/>
  <c r="B4082" i="23"/>
  <c r="B3731" i="23"/>
  <c r="B3758" i="23"/>
  <c r="B3488" i="23"/>
  <c r="B3083" i="23"/>
  <c r="B3596" i="23"/>
  <c r="B3947" i="23"/>
  <c r="B4001" i="23"/>
  <c r="B3137" i="23"/>
  <c r="B3839" i="23"/>
  <c r="B3190" i="23"/>
  <c r="B3541" i="23"/>
  <c r="B3892" i="23"/>
  <c r="B3568" i="23"/>
  <c r="B4027" i="23"/>
  <c r="B3163" i="23"/>
  <c r="B3514" i="23"/>
  <c r="B3811" i="23"/>
  <c r="B3622" i="23"/>
  <c r="B3703" i="23"/>
  <c r="B3973" i="23"/>
  <c r="B3919" i="23"/>
  <c r="B3865" i="23"/>
  <c r="B3676" i="23"/>
  <c r="B3109" i="23"/>
  <c r="B3649" i="23"/>
  <c r="B3460" i="23"/>
  <c r="B4054" i="23"/>
  <c r="B3784" i="23"/>
  <c r="B4081" i="23"/>
  <c r="B3730" i="23"/>
  <c r="B3757" i="23"/>
  <c r="B3487" i="23"/>
  <c r="B3082" i="23"/>
  <c r="B3595" i="23"/>
  <c r="B3946" i="23"/>
  <c r="B4000" i="23"/>
  <c r="B3136" i="23"/>
  <c r="B3838" i="23"/>
  <c r="B1190" i="23"/>
  <c r="B1189" i="23"/>
  <c r="B1188" i="23"/>
  <c r="B1187" i="23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B1173" i="23"/>
  <c r="B1172" i="23"/>
  <c r="B1171" i="23"/>
  <c r="B1170" i="23"/>
  <c r="B1169" i="23"/>
  <c r="B1168" i="23"/>
  <c r="B1167" i="23"/>
  <c r="B1166" i="23"/>
  <c r="B1165" i="23"/>
  <c r="B1164" i="23"/>
  <c r="B1217" i="23"/>
  <c r="B1216" i="23"/>
  <c r="B1215" i="23"/>
  <c r="B1214" i="23"/>
  <c r="B1213" i="23"/>
  <c r="B1212" i="23"/>
  <c r="B1211" i="23"/>
  <c r="B1210" i="23"/>
  <c r="B1209" i="23"/>
  <c r="B1208" i="23"/>
  <c r="B1207" i="23"/>
  <c r="B1206" i="23"/>
  <c r="B1205" i="23"/>
  <c r="B1204" i="23"/>
  <c r="B1203" i="23"/>
  <c r="B1202" i="23"/>
  <c r="B1201" i="23"/>
  <c r="B1200" i="23"/>
  <c r="B1199" i="23"/>
  <c r="B1198" i="23"/>
  <c r="B1197" i="23"/>
  <c r="B1196" i="23"/>
  <c r="B1195" i="23"/>
  <c r="B1194" i="23"/>
  <c r="B1193" i="23"/>
  <c r="B1192" i="23"/>
  <c r="B1191" i="23"/>
  <c r="B1244" i="23"/>
  <c r="B1243" i="23"/>
  <c r="B1242" i="23"/>
  <c r="B1241" i="23"/>
  <c r="B1240" i="23"/>
  <c r="B1239" i="23"/>
  <c r="B1238" i="23"/>
  <c r="B1237" i="23"/>
  <c r="B1236" i="23"/>
  <c r="B1235" i="23"/>
  <c r="B1234" i="23"/>
  <c r="B1233" i="23"/>
  <c r="B1232" i="23"/>
  <c r="B1231" i="23"/>
  <c r="B1230" i="23"/>
  <c r="B1229" i="23"/>
  <c r="B1228" i="23"/>
  <c r="B1227" i="23"/>
  <c r="B1226" i="23"/>
  <c r="B1225" i="23"/>
  <c r="B1224" i="23"/>
  <c r="B1223" i="23"/>
  <c r="B1222" i="23"/>
  <c r="B1221" i="23"/>
  <c r="B1220" i="23"/>
  <c r="B1219" i="23"/>
  <c r="B1218" i="23"/>
  <c r="B1271" i="23"/>
  <c r="B1270" i="23"/>
  <c r="B1269" i="23"/>
  <c r="B1268" i="23"/>
  <c r="B1267" i="23"/>
  <c r="B1266" i="23"/>
  <c r="B1265" i="23"/>
  <c r="B1264" i="23"/>
  <c r="B1263" i="23"/>
  <c r="B1262" i="23"/>
  <c r="B1261" i="23"/>
  <c r="B1260" i="23"/>
  <c r="B1259" i="23"/>
  <c r="B1258" i="23"/>
  <c r="B1257" i="23"/>
  <c r="B1256" i="23"/>
  <c r="B1255" i="23"/>
  <c r="B1254" i="23"/>
  <c r="B1253" i="23"/>
  <c r="B1252" i="23"/>
  <c r="B1251" i="23"/>
  <c r="B1250" i="23"/>
  <c r="B1249" i="23"/>
  <c r="B1248" i="23"/>
  <c r="B1247" i="23"/>
  <c r="B1246" i="23"/>
  <c r="B1245" i="23"/>
  <c r="B1298" i="23"/>
  <c r="B1297" i="23"/>
  <c r="B1296" i="23"/>
  <c r="B1295" i="23"/>
  <c r="B1294" i="23"/>
  <c r="B1293" i="23"/>
  <c r="B1292" i="23"/>
  <c r="B1291" i="23"/>
  <c r="B1290" i="23"/>
  <c r="B1289" i="23"/>
  <c r="B1288" i="23"/>
  <c r="B1287" i="23"/>
  <c r="B1286" i="23"/>
  <c r="B1285" i="23"/>
  <c r="B1284" i="23"/>
  <c r="B1283" i="23"/>
  <c r="B1282" i="23"/>
  <c r="B1281" i="23"/>
  <c r="B1280" i="23"/>
  <c r="B1279" i="23"/>
  <c r="B1278" i="23"/>
  <c r="B1277" i="23"/>
  <c r="B1276" i="23"/>
  <c r="B1275" i="23"/>
  <c r="B1274" i="23"/>
  <c r="B1273" i="23"/>
  <c r="B1272" i="23"/>
  <c r="B1325" i="23"/>
  <c r="B1324" i="23"/>
  <c r="B1323" i="23"/>
  <c r="B1322" i="23"/>
  <c r="B1321" i="23"/>
  <c r="B1320" i="23"/>
  <c r="B1319" i="23"/>
  <c r="B1318" i="23"/>
  <c r="B1317" i="23"/>
  <c r="B1316" i="23"/>
  <c r="B1315" i="23"/>
  <c r="B1314" i="23"/>
  <c r="B1313" i="23"/>
  <c r="B1312" i="23"/>
  <c r="B1311" i="23"/>
  <c r="B1310" i="23"/>
  <c r="B1309" i="23"/>
  <c r="B1308" i="23"/>
  <c r="B1307" i="23"/>
  <c r="B1306" i="23"/>
  <c r="B1305" i="23"/>
  <c r="B1304" i="23"/>
  <c r="B1303" i="23"/>
  <c r="B1302" i="23"/>
  <c r="B1301" i="23"/>
  <c r="B1300" i="23"/>
  <c r="B1299" i="23"/>
  <c r="B1352" i="23"/>
  <c r="B1351" i="23"/>
  <c r="B1350" i="23"/>
  <c r="B1349" i="23"/>
  <c r="B1348" i="23"/>
  <c r="B1347" i="23"/>
  <c r="B1346" i="23"/>
  <c r="B1345" i="23"/>
  <c r="B1344" i="23"/>
  <c r="B1343" i="23"/>
  <c r="B1342" i="23"/>
  <c r="B1341" i="23"/>
  <c r="B1340" i="23"/>
  <c r="B1339" i="23"/>
  <c r="B1338" i="23"/>
  <c r="B1337" i="23"/>
  <c r="B1336" i="23"/>
  <c r="B1335" i="23"/>
  <c r="B1334" i="23"/>
  <c r="B1333" i="23"/>
  <c r="B1332" i="23"/>
  <c r="B1331" i="23"/>
  <c r="B1330" i="23"/>
  <c r="B1329" i="23"/>
  <c r="B1328" i="23"/>
  <c r="B1327" i="23"/>
  <c r="B1326" i="23"/>
  <c r="B1379" i="23"/>
  <c r="B1378" i="23"/>
  <c r="B1377" i="23"/>
  <c r="B1376" i="23"/>
  <c r="B1375" i="23"/>
  <c r="B1374" i="23"/>
  <c r="B1373" i="23"/>
  <c r="B1372" i="23"/>
  <c r="B1371" i="23"/>
  <c r="B1370" i="23"/>
  <c r="B1369" i="23"/>
  <c r="B1368" i="23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B1353" i="23"/>
  <c r="B1406" i="23"/>
  <c r="B1405" i="23"/>
  <c r="B1404" i="23"/>
  <c r="B1403" i="23"/>
  <c r="B1402" i="23"/>
  <c r="B1401" i="23"/>
  <c r="B1400" i="23"/>
  <c r="B1399" i="23"/>
  <c r="B1398" i="23"/>
  <c r="B1397" i="23"/>
  <c r="B1396" i="23"/>
  <c r="B1395" i="23"/>
  <c r="B1394" i="23"/>
  <c r="B1393" i="23"/>
  <c r="B1392" i="23"/>
  <c r="B1391" i="23"/>
  <c r="B1390" i="23"/>
  <c r="B1389" i="23"/>
  <c r="B1388" i="23"/>
  <c r="B1387" i="23"/>
  <c r="B1386" i="23"/>
  <c r="B1385" i="23"/>
  <c r="B1384" i="23"/>
  <c r="B1383" i="23"/>
  <c r="B1382" i="23"/>
  <c r="B1381" i="23"/>
  <c r="B1380" i="23"/>
  <c r="B1163" i="23"/>
  <c r="B1514" i="23"/>
  <c r="B1865" i="23"/>
  <c r="B1541" i="23"/>
  <c r="B2000" i="23"/>
  <c r="B1136" i="23"/>
  <c r="B1487" i="23"/>
  <c r="B1784" i="23"/>
  <c r="B1595" i="23"/>
  <c r="B1676" i="23"/>
  <c r="B1946" i="23"/>
  <c r="B1892" i="23"/>
  <c r="B1838" i="23"/>
  <c r="B1649" i="23"/>
  <c r="B1082" i="23"/>
  <c r="B1622" i="23"/>
  <c r="B1433" i="23"/>
  <c r="B2027" i="23"/>
  <c r="B1757" i="23"/>
  <c r="B2054" i="23"/>
  <c r="B1703" i="23"/>
  <c r="B1730" i="23"/>
  <c r="B1460" i="23"/>
  <c r="B1055" i="23"/>
  <c r="B1568" i="23"/>
  <c r="B1919" i="23"/>
  <c r="B1973" i="23"/>
  <c r="B1109" i="23"/>
  <c r="B1811" i="23"/>
  <c r="B1162" i="23"/>
  <c r="B1513" i="23"/>
  <c r="B1864" i="23"/>
  <c r="B1540" i="23"/>
  <c r="B1999" i="23"/>
  <c r="B1135" i="23"/>
  <c r="B1486" i="23"/>
  <c r="B1783" i="23"/>
  <c r="B1594" i="23"/>
  <c r="B1675" i="23"/>
  <c r="B1945" i="23"/>
  <c r="B1891" i="23"/>
  <c r="B1837" i="23"/>
  <c r="B1648" i="23"/>
  <c r="B1081" i="23"/>
  <c r="B1621" i="23"/>
  <c r="B1432" i="23"/>
  <c r="B2026" i="23"/>
  <c r="B1756" i="23"/>
  <c r="B2053" i="23"/>
  <c r="B1702" i="23"/>
  <c r="B1729" i="23"/>
  <c r="B1459" i="23"/>
  <c r="B1054" i="23"/>
  <c r="B1567" i="23"/>
  <c r="B1918" i="23"/>
  <c r="B1972" i="23"/>
  <c r="B1108" i="23"/>
  <c r="B1810" i="23"/>
  <c r="B1161" i="23"/>
  <c r="B1512" i="23"/>
  <c r="B1863" i="23"/>
  <c r="B1539" i="23"/>
  <c r="B1998" i="23"/>
  <c r="B1134" i="23"/>
  <c r="B1485" i="23"/>
  <c r="B1782" i="23"/>
  <c r="B1593" i="23"/>
  <c r="B1674" i="23"/>
  <c r="B1944" i="23"/>
  <c r="B1890" i="23"/>
  <c r="B1836" i="23"/>
  <c r="B1647" i="23"/>
  <c r="B1080" i="23"/>
  <c r="B1620" i="23"/>
  <c r="B1431" i="23"/>
  <c r="B2025" i="23"/>
  <c r="B1755" i="23"/>
  <c r="B2052" i="23"/>
  <c r="B1701" i="23"/>
  <c r="B1728" i="23"/>
  <c r="B1458" i="23"/>
  <c r="B1053" i="23"/>
  <c r="B1566" i="23"/>
  <c r="B1917" i="23"/>
  <c r="B1971" i="23"/>
  <c r="B1107" i="23"/>
  <c r="B1809" i="23"/>
  <c r="B1160" i="23"/>
  <c r="B1511" i="23"/>
  <c r="B1862" i="23"/>
  <c r="B1538" i="23"/>
  <c r="B1997" i="23"/>
  <c r="B1133" i="23"/>
  <c r="B1484" i="23"/>
  <c r="B1781" i="23"/>
  <c r="B1592" i="23"/>
  <c r="B1673" i="23"/>
  <c r="B1943" i="23"/>
  <c r="B1889" i="23"/>
  <c r="B1835" i="23"/>
  <c r="B1646" i="23"/>
  <c r="B1079" i="23"/>
  <c r="B1619" i="23"/>
  <c r="B1430" i="23"/>
  <c r="B2024" i="23"/>
  <c r="B1754" i="23"/>
  <c r="B2051" i="23"/>
  <c r="B1700" i="23"/>
  <c r="B1727" i="23"/>
  <c r="B1457" i="23"/>
  <c r="B1052" i="23"/>
  <c r="B1565" i="23"/>
  <c r="B1916" i="23"/>
  <c r="B1970" i="23"/>
  <c r="B1106" i="23"/>
  <c r="B1808" i="23"/>
  <c r="B1159" i="23"/>
  <c r="B1510" i="23"/>
  <c r="B1861" i="23"/>
  <c r="B1537" i="23"/>
  <c r="B1996" i="23"/>
  <c r="B1132" i="23"/>
  <c r="B1483" i="23"/>
  <c r="B1780" i="23"/>
  <c r="B1591" i="23"/>
  <c r="B1672" i="23"/>
  <c r="B1942" i="23"/>
  <c r="B1888" i="23"/>
  <c r="B1834" i="23"/>
  <c r="B1645" i="23"/>
  <c r="B1078" i="23"/>
  <c r="B1618" i="23"/>
  <c r="B1429" i="23"/>
  <c r="B2023" i="23"/>
  <c r="B1753" i="23"/>
  <c r="B2050" i="23"/>
  <c r="B1699" i="23"/>
  <c r="B1726" i="23"/>
  <c r="B1456" i="23"/>
  <c r="B1051" i="23"/>
  <c r="B1564" i="23"/>
  <c r="B1915" i="23"/>
  <c r="B1969" i="23"/>
  <c r="B1105" i="23"/>
  <c r="B1807" i="23"/>
  <c r="B1158" i="23"/>
  <c r="B1509" i="23"/>
  <c r="B1860" i="23"/>
  <c r="B1536" i="23"/>
  <c r="B1995" i="23"/>
  <c r="B1131" i="23"/>
  <c r="B1482" i="23"/>
  <c r="B1779" i="23"/>
  <c r="B1590" i="23"/>
  <c r="B1671" i="23"/>
  <c r="B1941" i="23"/>
  <c r="B1887" i="23"/>
  <c r="B1833" i="23"/>
  <c r="B1644" i="23"/>
  <c r="B1077" i="23"/>
  <c r="B1617" i="23"/>
  <c r="B1428" i="23"/>
  <c r="B2022" i="23"/>
  <c r="B1752" i="23"/>
  <c r="B2049" i="23"/>
  <c r="B1698" i="23"/>
  <c r="B1725" i="23"/>
  <c r="B1455" i="23"/>
  <c r="B1050" i="23"/>
  <c r="B1563" i="23"/>
  <c r="B1914" i="23"/>
  <c r="B1968" i="23"/>
  <c r="B1104" i="23"/>
  <c r="B1806" i="23"/>
  <c r="B1157" i="23"/>
  <c r="B1508" i="23"/>
  <c r="B1859" i="23"/>
  <c r="B1535" i="23"/>
  <c r="B1994" i="23"/>
  <c r="B1130" i="23"/>
  <c r="B1481" i="23"/>
  <c r="B1778" i="23"/>
  <c r="B1589" i="23"/>
  <c r="B1670" i="23"/>
  <c r="B1940" i="23"/>
  <c r="B1886" i="23"/>
  <c r="B1832" i="23"/>
  <c r="B1643" i="23"/>
  <c r="B1076" i="23"/>
  <c r="B1616" i="23"/>
  <c r="B1427" i="23"/>
  <c r="B2021" i="23"/>
  <c r="B1751" i="23"/>
  <c r="B2048" i="23"/>
  <c r="B1697" i="23"/>
  <c r="B1724" i="23"/>
  <c r="B1454" i="23"/>
  <c r="B1049" i="23"/>
  <c r="B1562" i="23"/>
  <c r="B1913" i="23"/>
  <c r="B1967" i="23"/>
  <c r="B1103" i="23"/>
  <c r="B1805" i="23"/>
  <c r="B1156" i="23"/>
  <c r="B1507" i="23"/>
  <c r="B1858" i="23"/>
  <c r="B1534" i="23"/>
  <c r="B1993" i="23"/>
  <c r="B1129" i="23"/>
  <c r="B1480" i="23"/>
  <c r="B1777" i="23"/>
  <c r="B1588" i="23"/>
  <c r="B1669" i="23"/>
  <c r="B1939" i="23"/>
  <c r="B1885" i="23"/>
  <c r="B1831" i="23"/>
  <c r="B1642" i="23"/>
  <c r="B1075" i="23"/>
  <c r="B1615" i="23"/>
  <c r="B1426" i="23"/>
  <c r="B2020" i="23"/>
  <c r="B1750" i="23"/>
  <c r="B2047" i="23"/>
  <c r="B1696" i="23"/>
  <c r="B1723" i="23"/>
  <c r="B1453" i="23"/>
  <c r="B1048" i="23"/>
  <c r="B1561" i="23"/>
  <c r="B1912" i="23"/>
  <c r="B1966" i="23"/>
  <c r="B1102" i="23"/>
  <c r="B1804" i="23"/>
  <c r="B1155" i="23"/>
  <c r="B1506" i="23"/>
  <c r="B1857" i="23"/>
  <c r="B1533" i="23"/>
  <c r="B1992" i="23"/>
  <c r="B1128" i="23"/>
  <c r="B1479" i="23"/>
  <c r="B1776" i="23"/>
  <c r="B1587" i="23"/>
  <c r="B1668" i="23"/>
  <c r="B1938" i="23"/>
  <c r="B1884" i="23"/>
  <c r="B1830" i="23"/>
  <c r="B1641" i="23"/>
  <c r="B1074" i="23"/>
  <c r="B1614" i="23"/>
  <c r="B1425" i="23"/>
  <c r="B2019" i="23"/>
  <c r="B1749" i="23"/>
  <c r="B2046" i="23"/>
  <c r="B1695" i="23"/>
  <c r="B1722" i="23"/>
  <c r="B1452" i="23"/>
  <c r="B1047" i="23"/>
  <c r="B1560" i="23"/>
  <c r="B1911" i="23"/>
  <c r="B1965" i="23"/>
  <c r="B1101" i="23"/>
  <c r="B1803" i="23"/>
  <c r="B1154" i="23"/>
  <c r="B1505" i="23"/>
  <c r="B1856" i="23"/>
  <c r="B1532" i="23"/>
  <c r="B1991" i="23"/>
  <c r="B1127" i="23"/>
  <c r="B1478" i="23"/>
  <c r="B1775" i="23"/>
  <c r="B1586" i="23"/>
  <c r="B1667" i="23"/>
  <c r="B1937" i="23"/>
  <c r="B1883" i="23"/>
  <c r="B1829" i="23"/>
  <c r="B1640" i="23"/>
  <c r="B1073" i="23"/>
  <c r="B1613" i="23"/>
  <c r="B1424" i="23"/>
  <c r="B2018" i="23"/>
  <c r="B1748" i="23"/>
  <c r="B2045" i="23"/>
  <c r="B1694" i="23"/>
  <c r="B1721" i="23"/>
  <c r="B1451" i="23"/>
  <c r="B1046" i="23"/>
  <c r="B1559" i="23"/>
  <c r="B1910" i="23"/>
  <c r="B1964" i="23"/>
  <c r="B1100" i="23"/>
  <c r="B1802" i="23"/>
  <c r="B1153" i="23"/>
  <c r="B1504" i="23"/>
  <c r="B1855" i="23"/>
  <c r="B1531" i="23"/>
  <c r="B1990" i="23"/>
  <c r="B1126" i="23"/>
  <c r="B1477" i="23"/>
  <c r="B1774" i="23"/>
  <c r="B1585" i="23"/>
  <c r="B1666" i="23"/>
  <c r="B1936" i="23"/>
  <c r="B1882" i="23"/>
  <c r="B1828" i="23"/>
  <c r="B1639" i="23"/>
  <c r="B1072" i="23"/>
  <c r="B1612" i="23"/>
  <c r="B1423" i="23"/>
  <c r="B2017" i="23"/>
  <c r="B1747" i="23"/>
  <c r="B2044" i="23"/>
  <c r="B1693" i="23"/>
  <c r="B1720" i="23"/>
  <c r="B1450" i="23"/>
  <c r="B1045" i="23"/>
  <c r="B1558" i="23"/>
  <c r="B1909" i="23"/>
  <c r="B1963" i="23"/>
  <c r="B1099" i="23"/>
  <c r="B1801" i="23"/>
  <c r="B1152" i="23"/>
  <c r="B1503" i="23"/>
  <c r="B1854" i="23"/>
  <c r="B1530" i="23"/>
  <c r="B1989" i="23"/>
  <c r="B1125" i="23"/>
  <c r="B1476" i="23"/>
  <c r="B1773" i="23"/>
  <c r="B1584" i="23"/>
  <c r="B1665" i="23"/>
  <c r="B1935" i="23"/>
  <c r="B1881" i="23"/>
  <c r="B1827" i="23"/>
  <c r="B1638" i="23"/>
  <c r="B1071" i="23"/>
  <c r="B1611" i="23"/>
  <c r="B1422" i="23"/>
  <c r="B2016" i="23"/>
  <c r="B1746" i="23"/>
  <c r="B2043" i="23"/>
  <c r="B1692" i="23"/>
  <c r="B1719" i="23"/>
  <c r="B1449" i="23"/>
  <c r="B1044" i="23"/>
  <c r="B1557" i="23"/>
  <c r="B1908" i="23"/>
  <c r="B1962" i="23"/>
  <c r="B1098" i="23"/>
  <c r="B1800" i="23"/>
  <c r="B1151" i="23"/>
  <c r="B1502" i="23"/>
  <c r="B1853" i="23"/>
  <c r="B1529" i="23"/>
  <c r="B1988" i="23"/>
  <c r="B1124" i="23"/>
  <c r="B1475" i="23"/>
  <c r="B1772" i="23"/>
  <c r="B1583" i="23"/>
  <c r="B1664" i="23"/>
  <c r="B1934" i="23"/>
  <c r="B1880" i="23"/>
  <c r="B1826" i="23"/>
  <c r="B1637" i="23"/>
  <c r="B1070" i="23"/>
  <c r="B1610" i="23"/>
  <c r="B1421" i="23"/>
  <c r="B2015" i="23"/>
  <c r="B1745" i="23"/>
  <c r="B2042" i="23"/>
  <c r="B1691" i="23"/>
  <c r="B1718" i="23"/>
  <c r="B1448" i="23"/>
  <c r="B1043" i="23"/>
  <c r="B1556" i="23"/>
  <c r="B1907" i="23"/>
  <c r="B1961" i="23"/>
  <c r="B1097" i="23"/>
  <c r="B1799" i="23"/>
  <c r="B1150" i="23"/>
  <c r="B1501" i="23"/>
  <c r="B1852" i="23"/>
  <c r="B1528" i="23"/>
  <c r="B1987" i="23"/>
  <c r="B1123" i="23"/>
  <c r="B1474" i="23"/>
  <c r="B1771" i="23"/>
  <c r="B1582" i="23"/>
  <c r="B1663" i="23"/>
  <c r="B1933" i="23"/>
  <c r="B1879" i="23"/>
  <c r="B1825" i="23"/>
  <c r="B1636" i="23"/>
  <c r="B1069" i="23"/>
  <c r="B1609" i="23"/>
  <c r="B1420" i="23"/>
  <c r="B2014" i="23"/>
  <c r="B1744" i="23"/>
  <c r="B2041" i="23"/>
  <c r="B1690" i="23"/>
  <c r="B1717" i="23"/>
  <c r="B1447" i="23"/>
  <c r="B1042" i="23"/>
  <c r="B1555" i="23"/>
  <c r="B1906" i="23"/>
  <c r="B1960" i="23"/>
  <c r="B1096" i="23"/>
  <c r="B1798" i="23"/>
  <c r="B1149" i="23"/>
  <c r="B1500" i="23"/>
  <c r="B1851" i="23"/>
  <c r="B1527" i="23"/>
  <c r="B1986" i="23"/>
  <c r="B1122" i="23"/>
  <c r="B1473" i="23"/>
  <c r="B1770" i="23"/>
  <c r="B1581" i="23"/>
  <c r="B1662" i="23"/>
  <c r="B1932" i="23"/>
  <c r="B1878" i="23"/>
  <c r="B1824" i="23"/>
  <c r="B1635" i="23"/>
  <c r="B1068" i="23"/>
  <c r="B1608" i="23"/>
  <c r="B1419" i="23"/>
  <c r="B2013" i="23"/>
  <c r="B1743" i="23"/>
  <c r="B2040" i="23"/>
  <c r="B1689" i="23"/>
  <c r="B1716" i="23"/>
  <c r="B1446" i="23"/>
  <c r="B1041" i="23"/>
  <c r="B1554" i="23"/>
  <c r="B1905" i="23"/>
  <c r="B1959" i="23"/>
  <c r="B1095" i="23"/>
  <c r="B1797" i="23"/>
  <c r="B1148" i="23"/>
  <c r="B1499" i="23"/>
  <c r="B1850" i="23"/>
  <c r="B1526" i="23"/>
  <c r="B1985" i="23"/>
  <c r="B1121" i="23"/>
  <c r="B1472" i="23"/>
  <c r="B1769" i="23"/>
  <c r="B1580" i="23"/>
  <c r="B1661" i="23"/>
  <c r="B1931" i="23"/>
  <c r="B1877" i="23"/>
  <c r="B1823" i="23"/>
  <c r="B1634" i="23"/>
  <c r="B1067" i="23"/>
  <c r="B1607" i="23"/>
  <c r="B1418" i="23"/>
  <c r="B2012" i="23"/>
  <c r="B1742" i="23"/>
  <c r="B2039" i="23"/>
  <c r="B1688" i="23"/>
  <c r="B1715" i="23"/>
  <c r="B1445" i="23"/>
  <c r="B1040" i="23"/>
  <c r="B1553" i="23"/>
  <c r="B1904" i="23"/>
  <c r="B1958" i="23"/>
  <c r="B1094" i="23"/>
  <c r="B1796" i="23"/>
  <c r="B1147" i="23"/>
  <c r="B1498" i="23"/>
  <c r="B1849" i="23"/>
  <c r="B1525" i="23"/>
  <c r="B1984" i="23"/>
  <c r="B1120" i="23"/>
  <c r="B1471" i="23"/>
  <c r="B1768" i="23"/>
  <c r="B1579" i="23"/>
  <c r="B1660" i="23"/>
  <c r="B1930" i="23"/>
  <c r="B1876" i="23"/>
  <c r="B1822" i="23"/>
  <c r="B1633" i="23"/>
  <c r="B1066" i="23"/>
  <c r="B1606" i="23"/>
  <c r="B1417" i="23"/>
  <c r="B2011" i="23"/>
  <c r="B1741" i="23"/>
  <c r="B2038" i="23"/>
  <c r="B1687" i="23"/>
  <c r="B1714" i="23"/>
  <c r="B1444" i="23"/>
  <c r="B1039" i="23"/>
  <c r="B1552" i="23"/>
  <c r="B1903" i="23"/>
  <c r="B1957" i="23"/>
  <c r="B1093" i="23"/>
  <c r="B1795" i="23"/>
  <c r="B1146" i="23"/>
  <c r="B1497" i="23"/>
  <c r="B1848" i="23"/>
  <c r="B1524" i="23"/>
  <c r="B1983" i="23"/>
  <c r="B1119" i="23"/>
  <c r="B1470" i="23"/>
  <c r="B1767" i="23"/>
  <c r="B1578" i="23"/>
  <c r="B1659" i="23"/>
  <c r="B1929" i="23"/>
  <c r="B1875" i="23"/>
  <c r="B1821" i="23"/>
  <c r="B1632" i="23"/>
  <c r="B1065" i="23"/>
  <c r="B1605" i="23"/>
  <c r="B1416" i="23"/>
  <c r="B2010" i="23"/>
  <c r="B1740" i="23"/>
  <c r="B2037" i="23"/>
  <c r="B1686" i="23"/>
  <c r="B1713" i="23"/>
  <c r="B1443" i="23"/>
  <c r="B1038" i="23"/>
  <c r="B1551" i="23"/>
  <c r="B1902" i="23"/>
  <c r="B1956" i="23"/>
  <c r="B1092" i="23"/>
  <c r="B1794" i="23"/>
  <c r="B1145" i="23"/>
  <c r="B1496" i="23"/>
  <c r="B1847" i="23"/>
  <c r="B1523" i="23"/>
  <c r="B1982" i="23"/>
  <c r="B1118" i="23"/>
  <c r="B1469" i="23"/>
  <c r="B1766" i="23"/>
  <c r="B1577" i="23"/>
  <c r="B1658" i="23"/>
  <c r="B1928" i="23"/>
  <c r="B1874" i="23"/>
  <c r="B1820" i="23"/>
  <c r="B1631" i="23"/>
  <c r="B1064" i="23"/>
  <c r="B1604" i="23"/>
  <c r="B1415" i="23"/>
  <c r="B2009" i="23"/>
  <c r="B1739" i="23"/>
  <c r="B2036" i="23"/>
  <c r="B1685" i="23"/>
  <c r="B1712" i="23"/>
  <c r="B1442" i="23"/>
  <c r="B1037" i="23"/>
  <c r="B1550" i="23"/>
  <c r="B1901" i="23"/>
  <c r="B1955" i="23"/>
  <c r="B1091" i="23"/>
  <c r="B1793" i="23"/>
  <c r="B1144" i="23"/>
  <c r="B1495" i="23"/>
  <c r="B1846" i="23"/>
  <c r="B1522" i="23"/>
  <c r="B1981" i="23"/>
  <c r="B1117" i="23"/>
  <c r="B1468" i="23"/>
  <c r="B1765" i="23"/>
  <c r="B1576" i="23"/>
  <c r="B1657" i="23"/>
  <c r="B1927" i="23"/>
  <c r="B1873" i="23"/>
  <c r="B1819" i="23"/>
  <c r="B1630" i="23"/>
  <c r="B1063" i="23"/>
  <c r="B1603" i="23"/>
  <c r="B1414" i="23"/>
  <c r="B2008" i="23"/>
  <c r="B1738" i="23"/>
  <c r="B2035" i="23"/>
  <c r="B1684" i="23"/>
  <c r="B1711" i="23"/>
  <c r="B1441" i="23"/>
  <c r="B1036" i="23"/>
  <c r="B1549" i="23"/>
  <c r="B1900" i="23"/>
  <c r="B1954" i="23"/>
  <c r="B1090" i="23"/>
  <c r="B1792" i="23"/>
  <c r="B1143" i="23"/>
  <c r="B1494" i="23"/>
  <c r="B1845" i="23"/>
  <c r="B1521" i="23"/>
  <c r="B1980" i="23"/>
  <c r="B1116" i="23"/>
  <c r="B1467" i="23"/>
  <c r="B1764" i="23"/>
  <c r="B1575" i="23"/>
  <c r="B1656" i="23"/>
  <c r="B1926" i="23"/>
  <c r="B1872" i="23"/>
  <c r="B1818" i="23"/>
  <c r="B1629" i="23"/>
  <c r="B1062" i="23"/>
  <c r="B1602" i="23"/>
  <c r="B1413" i="23"/>
  <c r="B2007" i="23"/>
  <c r="B1737" i="23"/>
  <c r="B2034" i="23"/>
  <c r="B1683" i="23"/>
  <c r="B1710" i="23"/>
  <c r="B1440" i="23"/>
  <c r="B1035" i="23"/>
  <c r="B1548" i="23"/>
  <c r="B1899" i="23"/>
  <c r="B1953" i="23"/>
  <c r="B1089" i="23"/>
  <c r="B1791" i="23"/>
  <c r="B1142" i="23"/>
  <c r="B1493" i="23"/>
  <c r="B1844" i="23"/>
  <c r="B1520" i="23"/>
  <c r="B1979" i="23"/>
  <c r="B1115" i="23"/>
  <c r="B1466" i="23"/>
  <c r="B1763" i="23"/>
  <c r="B1574" i="23"/>
  <c r="B1655" i="23"/>
  <c r="B1925" i="23"/>
  <c r="B1871" i="23"/>
  <c r="B1817" i="23"/>
  <c r="B1628" i="23"/>
  <c r="B1061" i="23"/>
  <c r="B1601" i="23"/>
  <c r="B1412" i="23"/>
  <c r="B2006" i="23"/>
  <c r="B1736" i="23"/>
  <c r="B2033" i="23"/>
  <c r="B1682" i="23"/>
  <c r="B1709" i="23"/>
  <c r="B1439" i="23"/>
  <c r="B1034" i="23"/>
  <c r="B1547" i="23"/>
  <c r="B1898" i="23"/>
  <c r="B1952" i="23"/>
  <c r="B1088" i="23"/>
  <c r="B1790" i="23"/>
  <c r="B1141" i="23"/>
  <c r="B1492" i="23"/>
  <c r="B1843" i="23"/>
  <c r="B1519" i="23"/>
  <c r="B1978" i="23"/>
  <c r="B1114" i="23"/>
  <c r="B1465" i="23"/>
  <c r="B1762" i="23"/>
  <c r="B1573" i="23"/>
  <c r="B1654" i="23"/>
  <c r="B1924" i="23"/>
  <c r="B1870" i="23"/>
  <c r="B1816" i="23"/>
  <c r="B1627" i="23"/>
  <c r="B1060" i="23"/>
  <c r="B1600" i="23"/>
  <c r="B1411" i="23"/>
  <c r="B2005" i="23"/>
  <c r="B1735" i="23"/>
  <c r="B2032" i="23"/>
  <c r="B1681" i="23"/>
  <c r="B1708" i="23"/>
  <c r="B1438" i="23"/>
  <c r="B1033" i="23"/>
  <c r="B1546" i="23"/>
  <c r="B1897" i="23"/>
  <c r="B1951" i="23"/>
  <c r="B1087" i="23"/>
  <c r="B1789" i="23"/>
  <c r="B1140" i="23"/>
  <c r="B1491" i="23"/>
  <c r="B1842" i="23"/>
  <c r="B1518" i="23"/>
  <c r="B1977" i="23"/>
  <c r="B1113" i="23"/>
  <c r="B1464" i="23"/>
  <c r="B1761" i="23"/>
  <c r="B1572" i="23"/>
  <c r="B1653" i="23"/>
  <c r="B1923" i="23"/>
  <c r="B1869" i="23"/>
  <c r="B1815" i="23"/>
  <c r="B1626" i="23"/>
  <c r="B1059" i="23"/>
  <c r="B1599" i="23"/>
  <c r="B1410" i="23"/>
  <c r="B2004" i="23"/>
  <c r="B1734" i="23"/>
  <c r="B2031" i="23"/>
  <c r="B1680" i="23"/>
  <c r="B1707" i="23"/>
  <c r="B1437" i="23"/>
  <c r="B1032" i="23"/>
  <c r="B1545" i="23"/>
  <c r="B1896" i="23"/>
  <c r="B1950" i="23"/>
  <c r="B1086" i="23"/>
  <c r="B1788" i="23"/>
  <c r="B1139" i="23"/>
  <c r="B1490" i="23"/>
  <c r="B1841" i="23"/>
  <c r="B1517" i="23"/>
  <c r="B1976" i="23"/>
  <c r="B1112" i="23"/>
  <c r="B1463" i="23"/>
  <c r="B1760" i="23"/>
  <c r="B1571" i="23"/>
  <c r="B1652" i="23"/>
  <c r="B1922" i="23"/>
  <c r="B1868" i="23"/>
  <c r="B1814" i="23"/>
  <c r="B1625" i="23"/>
  <c r="B1058" i="23"/>
  <c r="B1598" i="23"/>
  <c r="B1409" i="23"/>
  <c r="B2003" i="23"/>
  <c r="B1733" i="23"/>
  <c r="B2030" i="23"/>
  <c r="B1679" i="23"/>
  <c r="B1706" i="23"/>
  <c r="B1436" i="23"/>
  <c r="B1031" i="23"/>
  <c r="B1544" i="23"/>
  <c r="B1895" i="23"/>
  <c r="B1949" i="23"/>
  <c r="B1085" i="23"/>
  <c r="B1787" i="23"/>
  <c r="B1138" i="23"/>
  <c r="B1489" i="23"/>
  <c r="B1840" i="23"/>
  <c r="B1516" i="23"/>
  <c r="B1975" i="23"/>
  <c r="B1111" i="23"/>
  <c r="B1462" i="23"/>
  <c r="B1759" i="23"/>
  <c r="B1570" i="23"/>
  <c r="B1651" i="23"/>
  <c r="B1921" i="23"/>
  <c r="B1867" i="23"/>
  <c r="B1813" i="23"/>
  <c r="B1624" i="23"/>
  <c r="B1057" i="23"/>
  <c r="B1597" i="23"/>
  <c r="B1408" i="23"/>
  <c r="B2002" i="23"/>
  <c r="B1732" i="23"/>
  <c r="B2029" i="23"/>
  <c r="B1678" i="23"/>
  <c r="B1705" i="23"/>
  <c r="B1435" i="23"/>
  <c r="B1030" i="23"/>
  <c r="B1543" i="23"/>
  <c r="B1894" i="23"/>
  <c r="B1948" i="23"/>
  <c r="B1084" i="23"/>
  <c r="B1786" i="23"/>
  <c r="B4268" i="23"/>
  <c r="B4267" i="23"/>
  <c r="B4266" i="23"/>
  <c r="B4265" i="23"/>
  <c r="B4264" i="23"/>
  <c r="B4263" i="23"/>
  <c r="B4262" i="23"/>
  <c r="B4261" i="23"/>
  <c r="B4260" i="23"/>
  <c r="B4259" i="23"/>
  <c r="B4258" i="23"/>
  <c r="B4257" i="23"/>
  <c r="B4256" i="23"/>
  <c r="B4255" i="23"/>
  <c r="B4254" i="23"/>
  <c r="B4253" i="23"/>
  <c r="B4252" i="23"/>
  <c r="B4251" i="23"/>
  <c r="B4250" i="23"/>
  <c r="B4249" i="23"/>
  <c r="B4248" i="23"/>
  <c r="B4247" i="23"/>
  <c r="B4246" i="23"/>
  <c r="B4245" i="23"/>
  <c r="B4244" i="23"/>
  <c r="B4243" i="23"/>
  <c r="B4242" i="23"/>
  <c r="B4295" i="23"/>
  <c r="B4294" i="23"/>
  <c r="B4293" i="23"/>
  <c r="B4292" i="23"/>
  <c r="B4291" i="23"/>
  <c r="B4290" i="23"/>
  <c r="B4289" i="23"/>
  <c r="B4288" i="23"/>
  <c r="B4287" i="23"/>
  <c r="B4286" i="23"/>
  <c r="B4285" i="23"/>
  <c r="B4284" i="23"/>
  <c r="B4283" i="23"/>
  <c r="B4282" i="23"/>
  <c r="B4281" i="23"/>
  <c r="B4280" i="23"/>
  <c r="B4279" i="23"/>
  <c r="B4278" i="23"/>
  <c r="B4277" i="23"/>
  <c r="B4276" i="23"/>
  <c r="B4275" i="23"/>
  <c r="B4274" i="23"/>
  <c r="B4273" i="23"/>
  <c r="B4272" i="23"/>
  <c r="B4271" i="23"/>
  <c r="B4270" i="23"/>
  <c r="B4269" i="23"/>
  <c r="B4322" i="23"/>
  <c r="B4321" i="23"/>
  <c r="B4320" i="23"/>
  <c r="B4319" i="23"/>
  <c r="B4318" i="23"/>
  <c r="B4317" i="23"/>
  <c r="B4316" i="23"/>
  <c r="B4315" i="23"/>
  <c r="B4314" i="23"/>
  <c r="B4313" i="23"/>
  <c r="B4312" i="23"/>
  <c r="B4311" i="23"/>
  <c r="B4310" i="23"/>
  <c r="B4309" i="23"/>
  <c r="B4308" i="23"/>
  <c r="B4307" i="23"/>
  <c r="B4306" i="23"/>
  <c r="B4305" i="23"/>
  <c r="B4304" i="23"/>
  <c r="B4303" i="23"/>
  <c r="B4302" i="23"/>
  <c r="B4301" i="23"/>
  <c r="B4300" i="23"/>
  <c r="B4299" i="23"/>
  <c r="B4298" i="23"/>
  <c r="B4297" i="23"/>
  <c r="B4296" i="23"/>
  <c r="B4349" i="23"/>
  <c r="B4348" i="23"/>
  <c r="B4347" i="23"/>
  <c r="B4346" i="23"/>
  <c r="B4345" i="23"/>
  <c r="B4344" i="23"/>
  <c r="B4343" i="23"/>
  <c r="B4342" i="23"/>
  <c r="B4341" i="23"/>
  <c r="B4340" i="23"/>
  <c r="B4339" i="23"/>
  <c r="B4338" i="23"/>
  <c r="B4337" i="23"/>
  <c r="B4336" i="23"/>
  <c r="B4335" i="23"/>
  <c r="B4334" i="23"/>
  <c r="B4333" i="23"/>
  <c r="B4332" i="23"/>
  <c r="B4331" i="23"/>
  <c r="B4330" i="23"/>
  <c r="B4329" i="23"/>
  <c r="B4328" i="23"/>
  <c r="B4327" i="23"/>
  <c r="B4326" i="23"/>
  <c r="B4325" i="23"/>
  <c r="B4324" i="23"/>
  <c r="B4323" i="23"/>
  <c r="B4376" i="23"/>
  <c r="B4375" i="23"/>
  <c r="B4374" i="23"/>
  <c r="B4373" i="23"/>
  <c r="B4372" i="23"/>
  <c r="B4371" i="23"/>
  <c r="B4370" i="23"/>
  <c r="B4369" i="23"/>
  <c r="B4368" i="23"/>
  <c r="B4367" i="23"/>
  <c r="B4366" i="23"/>
  <c r="B4365" i="23"/>
  <c r="B4364" i="23"/>
  <c r="B4363" i="23"/>
  <c r="B4362" i="23"/>
  <c r="B4361" i="23"/>
  <c r="B4360" i="23"/>
  <c r="B4359" i="23"/>
  <c r="B4358" i="23"/>
  <c r="B4357" i="23"/>
  <c r="B4356" i="23"/>
  <c r="B4355" i="23"/>
  <c r="B4354" i="23"/>
  <c r="B4353" i="23"/>
  <c r="B4352" i="23"/>
  <c r="B4351" i="23"/>
  <c r="B4350" i="23"/>
  <c r="B4403" i="23"/>
  <c r="B4402" i="23"/>
  <c r="B4401" i="23"/>
  <c r="B4400" i="23"/>
  <c r="B4399" i="23"/>
  <c r="B4398" i="23"/>
  <c r="B4397" i="23"/>
  <c r="B4396" i="23"/>
  <c r="B4395" i="23"/>
  <c r="B4394" i="23"/>
  <c r="B4393" i="23"/>
  <c r="B4392" i="23"/>
  <c r="B4391" i="23"/>
  <c r="B4390" i="23"/>
  <c r="B4389" i="23"/>
  <c r="B4388" i="23"/>
  <c r="B4387" i="23"/>
  <c r="B4386" i="23"/>
  <c r="B4385" i="23"/>
  <c r="B4384" i="23"/>
  <c r="B4383" i="23"/>
  <c r="B4382" i="23"/>
  <c r="B4381" i="23"/>
  <c r="B4380" i="23"/>
  <c r="B4379" i="23"/>
  <c r="B4378" i="23"/>
  <c r="B4377" i="23"/>
  <c r="B4430" i="23"/>
  <c r="B4429" i="23"/>
  <c r="B4428" i="23"/>
  <c r="B4427" i="23"/>
  <c r="B4426" i="23"/>
  <c r="B4425" i="23"/>
  <c r="B4424" i="23"/>
  <c r="B4423" i="23"/>
  <c r="B4422" i="23"/>
  <c r="B4421" i="23"/>
  <c r="B4420" i="23"/>
  <c r="B4419" i="23"/>
  <c r="B4418" i="23"/>
  <c r="B4417" i="23"/>
  <c r="B4416" i="23"/>
  <c r="B4415" i="23"/>
  <c r="B4414" i="23"/>
  <c r="B4413" i="23"/>
  <c r="B4412" i="23"/>
  <c r="B4411" i="23"/>
  <c r="B4410" i="23"/>
  <c r="B4409" i="23"/>
  <c r="B4408" i="23"/>
  <c r="B4407" i="23"/>
  <c r="B4406" i="23"/>
  <c r="B4405" i="23"/>
  <c r="B4404" i="23"/>
  <c r="B4457" i="23"/>
  <c r="B4456" i="23"/>
  <c r="B4455" i="23"/>
  <c r="B4454" i="23"/>
  <c r="B4453" i="23"/>
  <c r="B4452" i="23"/>
  <c r="B4451" i="23"/>
  <c r="B4450" i="23"/>
  <c r="B4449" i="23"/>
  <c r="B4448" i="23"/>
  <c r="B4447" i="23"/>
  <c r="B4446" i="23"/>
  <c r="B4445" i="23"/>
  <c r="B4444" i="23"/>
  <c r="B4443" i="23"/>
  <c r="B4442" i="23"/>
  <c r="B4441" i="23"/>
  <c r="B4440" i="23"/>
  <c r="B4439" i="23"/>
  <c r="B4438" i="23"/>
  <c r="B4437" i="23"/>
  <c r="B4436" i="23"/>
  <c r="B4435" i="23"/>
  <c r="B4434" i="23"/>
  <c r="B4433" i="23"/>
  <c r="B4432" i="23"/>
  <c r="B4431" i="23"/>
  <c r="B4484" i="23"/>
  <c r="B4483" i="23"/>
  <c r="B4482" i="23"/>
  <c r="B4481" i="23"/>
  <c r="B4480" i="23"/>
  <c r="B4479" i="23"/>
  <c r="B4478" i="23"/>
  <c r="B4477" i="23"/>
  <c r="B4476" i="23"/>
  <c r="B4475" i="23"/>
  <c r="B4474" i="23"/>
  <c r="B4473" i="23"/>
  <c r="B4472" i="23"/>
  <c r="B4471" i="23"/>
  <c r="B4470" i="23"/>
  <c r="B4469" i="23"/>
  <c r="B4468" i="23"/>
  <c r="B4467" i="23"/>
  <c r="B4466" i="23"/>
  <c r="B4465" i="23"/>
  <c r="B4464" i="23"/>
  <c r="B4463" i="23"/>
  <c r="B4462" i="23"/>
  <c r="B4461" i="23"/>
  <c r="B4460" i="23"/>
  <c r="B4459" i="23"/>
  <c r="B4458" i="23"/>
  <c r="B4241" i="23"/>
  <c r="B4592" i="23"/>
  <c r="B4943" i="23"/>
  <c r="B4619" i="23"/>
  <c r="B5078" i="23"/>
  <c r="B4214" i="23"/>
  <c r="B4565" i="23"/>
  <c r="B4862" i="23"/>
  <c r="B4673" i="23"/>
  <c r="B4754" i="23"/>
  <c r="B5024" i="23"/>
  <c r="B4970" i="23"/>
  <c r="B4916" i="23"/>
  <c r="B4727" i="23"/>
  <c r="B4160" i="23"/>
  <c r="B4700" i="23"/>
  <c r="B4511" i="23"/>
  <c r="B5105" i="23"/>
  <c r="B4835" i="23"/>
  <c r="B5132" i="23"/>
  <c r="B4781" i="23"/>
  <c r="B4808" i="23"/>
  <c r="B4538" i="23"/>
  <c r="B4133" i="23"/>
  <c r="B4646" i="23"/>
  <c r="B4997" i="23"/>
  <c r="B5051" i="23"/>
  <c r="B4187" i="23"/>
  <c r="B4889" i="23"/>
  <c r="B4240" i="23"/>
  <c r="B4591" i="23"/>
  <c r="B4942" i="23"/>
  <c r="B4618" i="23"/>
  <c r="B5077" i="23"/>
  <c r="B4213" i="23"/>
  <c r="B4564" i="23"/>
  <c r="B4861" i="23"/>
  <c r="B4672" i="23"/>
  <c r="B4753" i="23"/>
  <c r="B5023" i="23"/>
  <c r="B4969" i="23"/>
  <c r="B4915" i="23"/>
  <c r="B4726" i="23"/>
  <c r="B4159" i="23"/>
  <c r="B4699" i="23"/>
  <c r="B4510" i="23"/>
  <c r="B5104" i="23"/>
  <c r="B4834" i="23"/>
  <c r="B5131" i="23"/>
  <c r="B4780" i="23"/>
  <c r="B4807" i="23"/>
  <c r="B4537" i="23"/>
  <c r="B4132" i="23"/>
  <c r="B4645" i="23"/>
  <c r="B4996" i="23"/>
  <c r="B5050" i="23"/>
  <c r="B4186" i="23"/>
  <c r="B4888" i="23"/>
  <c r="B4239" i="23"/>
  <c r="B4590" i="23"/>
  <c r="B4941" i="23"/>
  <c r="B4617" i="23"/>
  <c r="B5076" i="23"/>
  <c r="B4212" i="23"/>
  <c r="B4563" i="23"/>
  <c r="B4860" i="23"/>
  <c r="B4671" i="23"/>
  <c r="B4752" i="23"/>
  <c r="B5022" i="23"/>
  <c r="B4968" i="23"/>
  <c r="B4914" i="23"/>
  <c r="B4725" i="23"/>
  <c r="B4158" i="23"/>
  <c r="B4698" i="23"/>
  <c r="B4509" i="23"/>
  <c r="B5103" i="23"/>
  <c r="B4833" i="23"/>
  <c r="B5130" i="23"/>
  <c r="B4779" i="23"/>
  <c r="B4806" i="23"/>
  <c r="B4536" i="23"/>
  <c r="B4131" i="23"/>
  <c r="B4644" i="23"/>
  <c r="B4995" i="23"/>
  <c r="B5049" i="23"/>
  <c r="B4185" i="23"/>
  <c r="B4887" i="23"/>
  <c r="B4238" i="23"/>
  <c r="B4589" i="23"/>
  <c r="B4940" i="23"/>
  <c r="B4616" i="23"/>
  <c r="B5075" i="23"/>
  <c r="B4211" i="23"/>
  <c r="B4562" i="23"/>
  <c r="B4859" i="23"/>
  <c r="B4670" i="23"/>
  <c r="B4751" i="23"/>
  <c r="B5021" i="23"/>
  <c r="B4967" i="23"/>
  <c r="B4913" i="23"/>
  <c r="B4724" i="23"/>
  <c r="B4157" i="23"/>
  <c r="B4697" i="23"/>
  <c r="B4508" i="23"/>
  <c r="B5102" i="23"/>
  <c r="B4832" i="23"/>
  <c r="B5129" i="23"/>
  <c r="B4778" i="23"/>
  <c r="B4805" i="23"/>
  <c r="B4535" i="23"/>
  <c r="B4130" i="23"/>
  <c r="B4643" i="23"/>
  <c r="B4994" i="23"/>
  <c r="B5048" i="23"/>
  <c r="B4184" i="23"/>
  <c r="B4886" i="23"/>
  <c r="B4237" i="23"/>
  <c r="B4588" i="23"/>
  <c r="B4939" i="23"/>
  <c r="B4615" i="23"/>
  <c r="B5074" i="23"/>
  <c r="B4210" i="23"/>
  <c r="B4561" i="23"/>
  <c r="B4858" i="23"/>
  <c r="B4669" i="23"/>
  <c r="B4750" i="23"/>
  <c r="B5020" i="23"/>
  <c r="B4966" i="23"/>
  <c r="B4912" i="23"/>
  <c r="B4723" i="23"/>
  <c r="B4156" i="23"/>
  <c r="B4696" i="23"/>
  <c r="B4507" i="23"/>
  <c r="B5101" i="23"/>
  <c r="B4831" i="23"/>
  <c r="B5128" i="23"/>
  <c r="B4777" i="23"/>
  <c r="B4804" i="23"/>
  <c r="B4534" i="23"/>
  <c r="B4129" i="23"/>
  <c r="B4642" i="23"/>
  <c r="B4993" i="23"/>
  <c r="B5047" i="23"/>
  <c r="B4183" i="23"/>
  <c r="B4885" i="23"/>
  <c r="B4236" i="23"/>
  <c r="B4587" i="23"/>
  <c r="B4938" i="23"/>
  <c r="B4614" i="23"/>
  <c r="B5073" i="23"/>
  <c r="B4209" i="23"/>
  <c r="B4560" i="23"/>
  <c r="B4857" i="23"/>
  <c r="B4668" i="23"/>
  <c r="B4749" i="23"/>
  <c r="B5019" i="23"/>
  <c r="B4965" i="23"/>
  <c r="B4911" i="23"/>
  <c r="B4722" i="23"/>
  <c r="B4155" i="23"/>
  <c r="B4695" i="23"/>
  <c r="B4506" i="23"/>
  <c r="B5100" i="23"/>
  <c r="B4830" i="23"/>
  <c r="B5127" i="23"/>
  <c r="B4776" i="23"/>
  <c r="B4803" i="23"/>
  <c r="B4533" i="23"/>
  <c r="B4128" i="23"/>
  <c r="B4641" i="23"/>
  <c r="B4992" i="23"/>
  <c r="B5046" i="23"/>
  <c r="B4182" i="23"/>
  <c r="B4884" i="23"/>
  <c r="B4235" i="23"/>
  <c r="B4586" i="23"/>
  <c r="B4937" i="23"/>
  <c r="B4613" i="23"/>
  <c r="B5072" i="23"/>
  <c r="B4208" i="23"/>
  <c r="B4559" i="23"/>
  <c r="B4856" i="23"/>
  <c r="B4667" i="23"/>
  <c r="B4748" i="23"/>
  <c r="B5018" i="23"/>
  <c r="B4964" i="23"/>
  <c r="B4910" i="23"/>
  <c r="B4721" i="23"/>
  <c r="B4154" i="23"/>
  <c r="B4694" i="23"/>
  <c r="B4505" i="23"/>
  <c r="B5099" i="23"/>
  <c r="B4829" i="23"/>
  <c r="B5126" i="23"/>
  <c r="B4775" i="23"/>
  <c r="B4802" i="23"/>
  <c r="B4532" i="23"/>
  <c r="B4127" i="23"/>
  <c r="B4640" i="23"/>
  <c r="B4991" i="23"/>
  <c r="B5045" i="23"/>
  <c r="B4181" i="23"/>
  <c r="B4883" i="23"/>
  <c r="B4234" i="23"/>
  <c r="B4585" i="23"/>
  <c r="B4936" i="23"/>
  <c r="B4612" i="23"/>
  <c r="B5071" i="23"/>
  <c r="B4207" i="23"/>
  <c r="B4558" i="23"/>
  <c r="B4855" i="23"/>
  <c r="B4666" i="23"/>
  <c r="B4747" i="23"/>
  <c r="B5017" i="23"/>
  <c r="B4963" i="23"/>
  <c r="B4909" i="23"/>
  <c r="B4720" i="23"/>
  <c r="B4153" i="23"/>
  <c r="B4693" i="23"/>
  <c r="B4504" i="23"/>
  <c r="B5098" i="23"/>
  <c r="B4828" i="23"/>
  <c r="B5125" i="23"/>
  <c r="B4774" i="23"/>
  <c r="B4801" i="23"/>
  <c r="B4531" i="23"/>
  <c r="B4126" i="23"/>
  <c r="B4639" i="23"/>
  <c r="B4990" i="23"/>
  <c r="B5044" i="23"/>
  <c r="B4180" i="23"/>
  <c r="B4882" i="23"/>
  <c r="B4233" i="23"/>
  <c r="B4584" i="23"/>
  <c r="B4935" i="23"/>
  <c r="B4611" i="23"/>
  <c r="B5070" i="23"/>
  <c r="B4206" i="23"/>
  <c r="B4557" i="23"/>
  <c r="B4854" i="23"/>
  <c r="B4665" i="23"/>
  <c r="B4746" i="23"/>
  <c r="B5016" i="23"/>
  <c r="B4962" i="23"/>
  <c r="B4908" i="23"/>
  <c r="B4719" i="23"/>
  <c r="B4152" i="23"/>
  <c r="B4692" i="23"/>
  <c r="B4503" i="23"/>
  <c r="B5097" i="23"/>
  <c r="B4827" i="23"/>
  <c r="B5124" i="23"/>
  <c r="B4773" i="23"/>
  <c r="B4800" i="23"/>
  <c r="B4530" i="23"/>
  <c r="B4125" i="23"/>
  <c r="B4638" i="23"/>
  <c r="B4989" i="23"/>
  <c r="B5043" i="23"/>
  <c r="B4179" i="23"/>
  <c r="B4881" i="23"/>
  <c r="B4232" i="23"/>
  <c r="B4583" i="23"/>
  <c r="B4934" i="23"/>
  <c r="B4610" i="23"/>
  <c r="B5069" i="23"/>
  <c r="B4205" i="23"/>
  <c r="B4556" i="23"/>
  <c r="B4853" i="23"/>
  <c r="B4664" i="23"/>
  <c r="B4745" i="23"/>
  <c r="B5015" i="23"/>
  <c r="B4961" i="23"/>
  <c r="B4907" i="23"/>
  <c r="B4718" i="23"/>
  <c r="B4151" i="23"/>
  <c r="B4691" i="23"/>
  <c r="B4502" i="23"/>
  <c r="B5096" i="23"/>
  <c r="B4826" i="23"/>
  <c r="B5123" i="23"/>
  <c r="B4772" i="23"/>
  <c r="B4799" i="23"/>
  <c r="B4529" i="23"/>
  <c r="B4124" i="23"/>
  <c r="B4637" i="23"/>
  <c r="B4988" i="23"/>
  <c r="B5042" i="23"/>
  <c r="B4178" i="23"/>
  <c r="B4880" i="23"/>
  <c r="B4231" i="23"/>
  <c r="B4582" i="23"/>
  <c r="B4933" i="23"/>
  <c r="B4609" i="23"/>
  <c r="B5068" i="23"/>
  <c r="B4204" i="23"/>
  <c r="B4555" i="23"/>
  <c r="B4852" i="23"/>
  <c r="B4663" i="23"/>
  <c r="B4744" i="23"/>
  <c r="B5014" i="23"/>
  <c r="B4960" i="23"/>
  <c r="B4906" i="23"/>
  <c r="B4717" i="23"/>
  <c r="B4150" i="23"/>
  <c r="B4690" i="23"/>
  <c r="B4501" i="23"/>
  <c r="B5095" i="23"/>
  <c r="B4825" i="23"/>
  <c r="B5122" i="23"/>
  <c r="B4771" i="23"/>
  <c r="B4798" i="23"/>
  <c r="B4528" i="23"/>
  <c r="B4123" i="23"/>
  <c r="B4636" i="23"/>
  <c r="B4987" i="23"/>
  <c r="B5041" i="23"/>
  <c r="B4177" i="23"/>
  <c r="B4879" i="23"/>
  <c r="B4230" i="23"/>
  <c r="B4581" i="23"/>
  <c r="B4932" i="23"/>
  <c r="B4608" i="23"/>
  <c r="B5067" i="23"/>
  <c r="B4203" i="23"/>
  <c r="B4554" i="23"/>
  <c r="B4851" i="23"/>
  <c r="B4662" i="23"/>
  <c r="B4743" i="23"/>
  <c r="B5013" i="23"/>
  <c r="B4959" i="23"/>
  <c r="B4905" i="23"/>
  <c r="B4716" i="23"/>
  <c r="B4149" i="23"/>
  <c r="B4689" i="23"/>
  <c r="B4500" i="23"/>
  <c r="B5094" i="23"/>
  <c r="B4824" i="23"/>
  <c r="B5121" i="23"/>
  <c r="B4770" i="23"/>
  <c r="B4797" i="23"/>
  <c r="B4527" i="23"/>
  <c r="B4122" i="23"/>
  <c r="B4635" i="23"/>
  <c r="B4986" i="23"/>
  <c r="B5040" i="23"/>
  <c r="B4176" i="23"/>
  <c r="B4878" i="23"/>
  <c r="B4229" i="23"/>
  <c r="B4580" i="23"/>
  <c r="B4931" i="23"/>
  <c r="B4607" i="23"/>
  <c r="B5066" i="23"/>
  <c r="B4202" i="23"/>
  <c r="B4553" i="23"/>
  <c r="B4850" i="23"/>
  <c r="B4661" i="23"/>
  <c r="B4742" i="23"/>
  <c r="B5012" i="23"/>
  <c r="B4958" i="23"/>
  <c r="B4904" i="23"/>
  <c r="B4715" i="23"/>
  <c r="B4148" i="23"/>
  <c r="B4688" i="23"/>
  <c r="B4499" i="23"/>
  <c r="B5093" i="23"/>
  <c r="B4823" i="23"/>
  <c r="B5120" i="23"/>
  <c r="B4769" i="23"/>
  <c r="B4796" i="23"/>
  <c r="B4526" i="23"/>
  <c r="B4121" i="23"/>
  <c r="B4634" i="23"/>
  <c r="B4985" i="23"/>
  <c r="B5039" i="23"/>
  <c r="B4175" i="23"/>
  <c r="B4877" i="23"/>
  <c r="B4228" i="23"/>
  <c r="B4579" i="23"/>
  <c r="B4930" i="23"/>
  <c r="B4606" i="23"/>
  <c r="B5065" i="23"/>
  <c r="B4201" i="23"/>
  <c r="B4552" i="23"/>
  <c r="B4849" i="23"/>
  <c r="B4660" i="23"/>
  <c r="B4741" i="23"/>
  <c r="B5011" i="23"/>
  <c r="B4957" i="23"/>
  <c r="B4903" i="23"/>
  <c r="B4714" i="23"/>
  <c r="B4147" i="23"/>
  <c r="B4687" i="23"/>
  <c r="B4498" i="23"/>
  <c r="B5092" i="23"/>
  <c r="B4822" i="23"/>
  <c r="B5119" i="23"/>
  <c r="B4768" i="23"/>
  <c r="B4795" i="23"/>
  <c r="B4525" i="23"/>
  <c r="B4120" i="23"/>
  <c r="B4633" i="23"/>
  <c r="B4984" i="23"/>
  <c r="B5038" i="23"/>
  <c r="B4174" i="23"/>
  <c r="B4876" i="23"/>
  <c r="B4227" i="23"/>
  <c r="B4578" i="23"/>
  <c r="B4929" i="23"/>
  <c r="B4605" i="23"/>
  <c r="B5064" i="23"/>
  <c r="B4200" i="23"/>
  <c r="B4551" i="23"/>
  <c r="B4848" i="23"/>
  <c r="B4659" i="23"/>
  <c r="B4740" i="23"/>
  <c r="B5010" i="23"/>
  <c r="B4956" i="23"/>
  <c r="B4902" i="23"/>
  <c r="B4713" i="23"/>
  <c r="B4146" i="23"/>
  <c r="B4686" i="23"/>
  <c r="B4497" i="23"/>
  <c r="B5091" i="23"/>
  <c r="B4821" i="23"/>
  <c r="B5118" i="23"/>
  <c r="B4767" i="23"/>
  <c r="B4794" i="23"/>
  <c r="B4524" i="23"/>
  <c r="B4119" i="23"/>
  <c r="B4632" i="23"/>
  <c r="B4983" i="23"/>
  <c r="B5037" i="23"/>
  <c r="B4173" i="23"/>
  <c r="B4875" i="23"/>
  <c r="B4226" i="23"/>
  <c r="B4577" i="23"/>
  <c r="B4928" i="23"/>
  <c r="B4604" i="23"/>
  <c r="B5063" i="23"/>
  <c r="B4199" i="23"/>
  <c r="B4550" i="23"/>
  <c r="B4847" i="23"/>
  <c r="B4658" i="23"/>
  <c r="B4739" i="23"/>
  <c r="B5009" i="23"/>
  <c r="B4955" i="23"/>
  <c r="B4901" i="23"/>
  <c r="B4712" i="23"/>
  <c r="B4145" i="23"/>
  <c r="B4685" i="23"/>
  <c r="B4496" i="23"/>
  <c r="B5090" i="23"/>
  <c r="B4820" i="23"/>
  <c r="B5117" i="23"/>
  <c r="B4766" i="23"/>
  <c r="B4793" i="23"/>
  <c r="B4523" i="23"/>
  <c r="B4118" i="23"/>
  <c r="B4631" i="23"/>
  <c r="B4982" i="23"/>
  <c r="B5036" i="23"/>
  <c r="B4172" i="23"/>
  <c r="B4874" i="23"/>
  <c r="B4225" i="23"/>
  <c r="B4576" i="23"/>
  <c r="B4927" i="23"/>
  <c r="B4603" i="23"/>
  <c r="B5062" i="23"/>
  <c r="B4198" i="23"/>
  <c r="B4549" i="23"/>
  <c r="B4846" i="23"/>
  <c r="B4657" i="23"/>
  <c r="B4738" i="23"/>
  <c r="B5008" i="23"/>
  <c r="B4954" i="23"/>
  <c r="B4900" i="23"/>
  <c r="B4711" i="23"/>
  <c r="B4144" i="23"/>
  <c r="B4684" i="23"/>
  <c r="B4495" i="23"/>
  <c r="B5089" i="23"/>
  <c r="B4819" i="23"/>
  <c r="B5116" i="23"/>
  <c r="B4765" i="23"/>
  <c r="B4792" i="23"/>
  <c r="B4522" i="23"/>
  <c r="B4117" i="23"/>
  <c r="B4630" i="23"/>
  <c r="B4981" i="23"/>
  <c r="B5035" i="23"/>
  <c r="B4171" i="23"/>
  <c r="B4873" i="23"/>
  <c r="B4224" i="23"/>
  <c r="B4575" i="23"/>
  <c r="B4926" i="23"/>
  <c r="B4602" i="23"/>
  <c r="B5061" i="23"/>
  <c r="B4197" i="23"/>
  <c r="B4548" i="23"/>
  <c r="B4845" i="23"/>
  <c r="B4656" i="23"/>
  <c r="B4737" i="23"/>
  <c r="B5007" i="23"/>
  <c r="B4953" i="23"/>
  <c r="B4899" i="23"/>
  <c r="B4710" i="23"/>
  <c r="B4143" i="23"/>
  <c r="B4683" i="23"/>
  <c r="B4494" i="23"/>
  <c r="B5088" i="23"/>
  <c r="B4818" i="23"/>
  <c r="B5115" i="23"/>
  <c r="B4764" i="23"/>
  <c r="B4791" i="23"/>
  <c r="B4521" i="23"/>
  <c r="B4116" i="23"/>
  <c r="B4629" i="23"/>
  <c r="B4980" i="23"/>
  <c r="B5034" i="23"/>
  <c r="B4170" i="23"/>
  <c r="B4872" i="23"/>
  <c r="B4223" i="23"/>
  <c r="B4574" i="23"/>
  <c r="B4925" i="23"/>
  <c r="B4601" i="23"/>
  <c r="B5060" i="23"/>
  <c r="B4196" i="23"/>
  <c r="B4547" i="23"/>
  <c r="B4844" i="23"/>
  <c r="B4655" i="23"/>
  <c r="B4736" i="23"/>
  <c r="B5006" i="23"/>
  <c r="B4952" i="23"/>
  <c r="B4898" i="23"/>
  <c r="B4709" i="23"/>
  <c r="B4142" i="23"/>
  <c r="B4682" i="23"/>
  <c r="B4493" i="23"/>
  <c r="B5087" i="23"/>
  <c r="B4817" i="23"/>
  <c r="B5114" i="23"/>
  <c r="B4763" i="23"/>
  <c r="B4790" i="23"/>
  <c r="B4520" i="23"/>
  <c r="B4115" i="23"/>
  <c r="B4628" i="23"/>
  <c r="B4979" i="23"/>
  <c r="B5033" i="23"/>
  <c r="B4169" i="23"/>
  <c r="B4871" i="23"/>
  <c r="B4222" i="23"/>
  <c r="B4573" i="23"/>
  <c r="B4924" i="23"/>
  <c r="B4600" i="23"/>
  <c r="B5059" i="23"/>
  <c r="B4195" i="23"/>
  <c r="B4546" i="23"/>
  <c r="B4843" i="23"/>
  <c r="B4654" i="23"/>
  <c r="B4735" i="23"/>
  <c r="B5005" i="23"/>
  <c r="B4951" i="23"/>
  <c r="B4897" i="23"/>
  <c r="B4708" i="23"/>
  <c r="B4141" i="23"/>
  <c r="B4681" i="23"/>
  <c r="B4492" i="23"/>
  <c r="B5086" i="23"/>
  <c r="B4816" i="23"/>
  <c r="B5113" i="23"/>
  <c r="B4762" i="23"/>
  <c r="B4789" i="23"/>
  <c r="B4519" i="23"/>
  <c r="B4114" i="23"/>
  <c r="B4627" i="23"/>
  <c r="B4978" i="23"/>
  <c r="B5032" i="23"/>
  <c r="B4168" i="23"/>
  <c r="B4870" i="23"/>
  <c r="B4221" i="23"/>
  <c r="B4572" i="23"/>
  <c r="B4923" i="23"/>
  <c r="B4599" i="23"/>
  <c r="B5058" i="23"/>
  <c r="B4194" i="23"/>
  <c r="B4545" i="23"/>
  <c r="B4842" i="23"/>
  <c r="B4653" i="23"/>
  <c r="B4734" i="23"/>
  <c r="B5004" i="23"/>
  <c r="B4950" i="23"/>
  <c r="B4896" i="23"/>
  <c r="B4707" i="23"/>
  <c r="B4140" i="23"/>
  <c r="B4680" i="23"/>
  <c r="B4491" i="23"/>
  <c r="B5085" i="23"/>
  <c r="B4815" i="23"/>
  <c r="B5112" i="23"/>
  <c r="B4761" i="23"/>
  <c r="B4788" i="23"/>
  <c r="B4518" i="23"/>
  <c r="B4113" i="23"/>
  <c r="B4626" i="23"/>
  <c r="B4977" i="23"/>
  <c r="B5031" i="23"/>
  <c r="B4167" i="23"/>
  <c r="B4869" i="23"/>
  <c r="B4220" i="23"/>
  <c r="B4571" i="23"/>
  <c r="B4922" i="23"/>
  <c r="B4598" i="23"/>
  <c r="B5057" i="23"/>
  <c r="B4193" i="23"/>
  <c r="B4544" i="23"/>
  <c r="B4841" i="23"/>
  <c r="B4652" i="23"/>
  <c r="B4733" i="23"/>
  <c r="B5003" i="23"/>
  <c r="B4949" i="23"/>
  <c r="B4895" i="23"/>
  <c r="B4706" i="23"/>
  <c r="B4139" i="23"/>
  <c r="B4679" i="23"/>
  <c r="B4490" i="23"/>
  <c r="B5084" i="23"/>
  <c r="B4814" i="23"/>
  <c r="B5111" i="23"/>
  <c r="B4760" i="23"/>
  <c r="B4787" i="23"/>
  <c r="B4517" i="23"/>
  <c r="B4112" i="23"/>
  <c r="B4625" i="23"/>
  <c r="B4976" i="23"/>
  <c r="B5030" i="23"/>
  <c r="B4166" i="23"/>
  <c r="B4868" i="23"/>
  <c r="B4219" i="23"/>
  <c r="B4570" i="23"/>
  <c r="B4921" i="23"/>
  <c r="B4597" i="23"/>
  <c r="B5056" i="23"/>
  <c r="B4192" i="23"/>
  <c r="B4543" i="23"/>
  <c r="B4840" i="23"/>
  <c r="B4651" i="23"/>
  <c r="B4732" i="23"/>
  <c r="B5002" i="23"/>
  <c r="B4948" i="23"/>
  <c r="B4894" i="23"/>
  <c r="B4705" i="23"/>
  <c r="B4138" i="23"/>
  <c r="B4678" i="23"/>
  <c r="B4489" i="23"/>
  <c r="B5083" i="23"/>
  <c r="B4813" i="23"/>
  <c r="B5110" i="23"/>
  <c r="B4759" i="23"/>
  <c r="B4786" i="23"/>
  <c r="B4516" i="23"/>
  <c r="B4111" i="23"/>
  <c r="B4624" i="23"/>
  <c r="B4975" i="23"/>
  <c r="B5029" i="23"/>
  <c r="B4165" i="23"/>
  <c r="B4867" i="23"/>
  <c r="B4218" i="23"/>
  <c r="B4569" i="23"/>
  <c r="B4920" i="23"/>
  <c r="B4596" i="23"/>
  <c r="B5055" i="23"/>
  <c r="B4191" i="23"/>
  <c r="B4542" i="23"/>
  <c r="B4839" i="23"/>
  <c r="B4650" i="23"/>
  <c r="B4731" i="23"/>
  <c r="B5001" i="23"/>
  <c r="B4947" i="23"/>
  <c r="B4893" i="23"/>
  <c r="B4704" i="23"/>
  <c r="B4137" i="23"/>
  <c r="B4677" i="23"/>
  <c r="B4488" i="23"/>
  <c r="B5082" i="23"/>
  <c r="B4812" i="23"/>
  <c r="B5109" i="23"/>
  <c r="B4758" i="23"/>
  <c r="B4785" i="23"/>
  <c r="B4515" i="23"/>
  <c r="B4110" i="23"/>
  <c r="B4623" i="23"/>
  <c r="B4974" i="23"/>
  <c r="B5028" i="23"/>
  <c r="B4164" i="23"/>
  <c r="B4866" i="23"/>
  <c r="B4217" i="23"/>
  <c r="B4568" i="23"/>
  <c r="B4919" i="23"/>
  <c r="B4595" i="23"/>
  <c r="B5054" i="23"/>
  <c r="B4190" i="23"/>
  <c r="B4541" i="23"/>
  <c r="B4838" i="23"/>
  <c r="B4649" i="23"/>
  <c r="B4730" i="23"/>
  <c r="B5000" i="23"/>
  <c r="B4946" i="23"/>
  <c r="B4892" i="23"/>
  <c r="B4703" i="23"/>
  <c r="B4136" i="23"/>
  <c r="B4676" i="23"/>
  <c r="B4487" i="23"/>
  <c r="B5081" i="23"/>
  <c r="B4811" i="23"/>
  <c r="B5108" i="23"/>
  <c r="B4757" i="23"/>
  <c r="B4784" i="23"/>
  <c r="B4514" i="23"/>
  <c r="B4109" i="23"/>
  <c r="B4622" i="23"/>
  <c r="B4973" i="23"/>
  <c r="B5027" i="23"/>
  <c r="B4163" i="23"/>
  <c r="B4865" i="23"/>
  <c r="B4216" i="23"/>
  <c r="B4567" i="23"/>
  <c r="B4918" i="23"/>
  <c r="B4594" i="23"/>
  <c r="B5053" i="23"/>
  <c r="B4189" i="23"/>
  <c r="B4540" i="23"/>
  <c r="B4837" i="23"/>
  <c r="B4648" i="23"/>
  <c r="B4729" i="23"/>
  <c r="B4999" i="23"/>
  <c r="B4945" i="23"/>
  <c r="B4891" i="23"/>
  <c r="B4702" i="23"/>
  <c r="B4135" i="23"/>
  <c r="B4675" i="23"/>
  <c r="B4486" i="23"/>
  <c r="B5080" i="23"/>
  <c r="B4810" i="23"/>
  <c r="B5107" i="23"/>
  <c r="B4756" i="23"/>
  <c r="B4783" i="23"/>
  <c r="B4513" i="23"/>
  <c r="B4108" i="23"/>
  <c r="B4621" i="23"/>
  <c r="B4972" i="23"/>
  <c r="B5026" i="23"/>
  <c r="B4162" i="23"/>
  <c r="B4864" i="23"/>
  <c r="B57" i="23"/>
  <c r="B921" i="23"/>
  <c r="B867" i="23"/>
  <c r="B516" i="23"/>
  <c r="B3" i="23"/>
  <c r="B408" i="23"/>
  <c r="B678" i="23"/>
  <c r="B651" i="23"/>
  <c r="B1002" i="23"/>
  <c r="B705" i="23"/>
  <c r="B975" i="23"/>
  <c r="B381" i="23"/>
  <c r="B570" i="23"/>
  <c r="B30" i="23"/>
  <c r="B597" i="23"/>
  <c r="B786" i="23"/>
  <c r="B840" i="23"/>
  <c r="B894" i="23"/>
  <c r="B624" i="23"/>
  <c r="B543" i="23"/>
  <c r="B732" i="23"/>
  <c r="B435" i="23"/>
  <c r="B84" i="23"/>
  <c r="B948" i="23"/>
  <c r="B489" i="23"/>
  <c r="B813" i="23"/>
  <c r="B462" i="23"/>
  <c r="B111" i="23"/>
  <c r="B759" i="23"/>
  <c r="B2109" i="23"/>
  <c r="B2973" i="23"/>
  <c r="B2919" i="23"/>
  <c r="B2568" i="23"/>
  <c r="B2055" i="23"/>
  <c r="B2460" i="23"/>
  <c r="B2730" i="23"/>
  <c r="B2703" i="23"/>
  <c r="B3054" i="23"/>
  <c r="B2757" i="23"/>
  <c r="B3027" i="23"/>
  <c r="B2433" i="23"/>
  <c r="B2622" i="23"/>
  <c r="B2082" i="23"/>
  <c r="B2649" i="23"/>
  <c r="B2838" i="23"/>
  <c r="B2892" i="23"/>
  <c r="B2946" i="23"/>
  <c r="B2676" i="23"/>
  <c r="B2595" i="23"/>
  <c r="B2784" i="23"/>
  <c r="B2487" i="23"/>
  <c r="B2136" i="23"/>
  <c r="B3000" i="23"/>
  <c r="B2541" i="23"/>
  <c r="B2865" i="23"/>
  <c r="B2514" i="23"/>
  <c r="B2163" i="23"/>
  <c r="B2811" i="23"/>
  <c r="B3135" i="23"/>
  <c r="B3999" i="23"/>
  <c r="B3945" i="23"/>
  <c r="B3594" i="23"/>
  <c r="B3081" i="23"/>
  <c r="B3486" i="23"/>
  <c r="B3756" i="23"/>
  <c r="B3729" i="23"/>
  <c r="B4080" i="23"/>
  <c r="B3783" i="23"/>
  <c r="B4053" i="23"/>
  <c r="B3459" i="23"/>
  <c r="B3648" i="23"/>
  <c r="B3108" i="23"/>
  <c r="B3675" i="23"/>
  <c r="B3864" i="23"/>
  <c r="B3918" i="23"/>
  <c r="B3972" i="23"/>
  <c r="B3702" i="23"/>
  <c r="B3621" i="23"/>
  <c r="B3810" i="23"/>
  <c r="B3513" i="23"/>
  <c r="B3162" i="23"/>
  <c r="B4026" i="23"/>
  <c r="B3567" i="23"/>
  <c r="B3891" i="23"/>
  <c r="B3540" i="23"/>
  <c r="B3189" i="23"/>
  <c r="B3837" i="23"/>
  <c r="B1083" i="23"/>
  <c r="B1947" i="23"/>
  <c r="B1893" i="23"/>
  <c r="B1542" i="23"/>
  <c r="B1029" i="23"/>
  <c r="B1434" i="23"/>
  <c r="B1704" i="23"/>
  <c r="B1677" i="23"/>
  <c r="B2028" i="23"/>
  <c r="B1731" i="23"/>
  <c r="B2001" i="23"/>
  <c r="B1407" i="23"/>
  <c r="B1596" i="23"/>
  <c r="B1056" i="23"/>
  <c r="B1623" i="23"/>
  <c r="B1812" i="23"/>
  <c r="B1866" i="23"/>
  <c r="B1920" i="23"/>
  <c r="B1650" i="23"/>
  <c r="B1569" i="23"/>
  <c r="B1758" i="23"/>
  <c r="B1461" i="23"/>
  <c r="B1110" i="23"/>
  <c r="B1974" i="23"/>
  <c r="B1515" i="23"/>
  <c r="B1839" i="23"/>
  <c r="B1488" i="23"/>
  <c r="B1137" i="23"/>
  <c r="B1785" i="23"/>
  <c r="B4161" i="23"/>
  <c r="B5025" i="23"/>
  <c r="B4971" i="23"/>
  <c r="B4620" i="23"/>
  <c r="B4107" i="23"/>
  <c r="B4512" i="23"/>
  <c r="B4782" i="23"/>
  <c r="B4755" i="23"/>
  <c r="B5106" i="23"/>
  <c r="B4809" i="23"/>
  <c r="B5079" i="23"/>
  <c r="B4485" i="23"/>
  <c r="B4674" i="23"/>
  <c r="B4134" i="23"/>
  <c r="B4701" i="23"/>
  <c r="B4890" i="23"/>
  <c r="B4944" i="23"/>
  <c r="B4998" i="23"/>
  <c r="B4728" i="23"/>
  <c r="B4647" i="23"/>
  <c r="B4836" i="23"/>
  <c r="B4539" i="23"/>
  <c r="B4188" i="23"/>
  <c r="B5052" i="23"/>
  <c r="B4593" i="23"/>
  <c r="B4917" i="23"/>
  <c r="B4566" i="23"/>
  <c r="B4215" i="23"/>
  <c r="B4863" i="23"/>
  <c r="W2" i="1"/>
  <c r="BD2" i="1"/>
  <c r="BC2" i="1"/>
  <c r="BB2" i="1"/>
  <c r="BA2" i="1"/>
  <c r="AZ2" i="1"/>
  <c r="AY2" i="1"/>
  <c r="AX2" i="1"/>
  <c r="AW2" i="1"/>
  <c r="AV2" i="1"/>
  <c r="AU2" i="1"/>
  <c r="AT2" i="1"/>
  <c r="AS2" i="1"/>
  <c r="AS4" i="1" s="1"/>
  <c r="AR2" i="1"/>
  <c r="G2" i="1"/>
  <c r="AO2" i="1"/>
  <c r="AL2" i="1"/>
  <c r="AI2" i="1"/>
  <c r="AF2" i="1"/>
  <c r="AC2" i="1"/>
  <c r="Z2" i="1"/>
  <c r="T2" i="1"/>
  <c r="Q2" i="1"/>
  <c r="N2" i="1"/>
  <c r="K2" i="1"/>
  <c r="H2" i="1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2216" i="23"/>
  <c r="C2215" i="23"/>
  <c r="C2214" i="23"/>
  <c r="C2213" i="23"/>
  <c r="C2212" i="23"/>
  <c r="C2211" i="23"/>
  <c r="C2210" i="23"/>
  <c r="C2209" i="23"/>
  <c r="C2208" i="23"/>
  <c r="C2207" i="23"/>
  <c r="C2206" i="23"/>
  <c r="C2205" i="23"/>
  <c r="C2204" i="23"/>
  <c r="C2203" i="23"/>
  <c r="C2202" i="23"/>
  <c r="C2201" i="23"/>
  <c r="C2200" i="23"/>
  <c r="C2199" i="23"/>
  <c r="C2198" i="23"/>
  <c r="C2197" i="23"/>
  <c r="C2196" i="23"/>
  <c r="C2195" i="23"/>
  <c r="C2194" i="23"/>
  <c r="C2193" i="23"/>
  <c r="C2192" i="23"/>
  <c r="C2191" i="23"/>
  <c r="C2190" i="23"/>
  <c r="C3242" i="23"/>
  <c r="C3241" i="23"/>
  <c r="C3240" i="23"/>
  <c r="C3239" i="23"/>
  <c r="C3238" i="23"/>
  <c r="C3237" i="23"/>
  <c r="C3236" i="23"/>
  <c r="C3235" i="23"/>
  <c r="C3234" i="23"/>
  <c r="C3233" i="23"/>
  <c r="C3232" i="23"/>
  <c r="C3231" i="23"/>
  <c r="C3230" i="23"/>
  <c r="C3229" i="23"/>
  <c r="C3228" i="23"/>
  <c r="C3227" i="23"/>
  <c r="C3226" i="23"/>
  <c r="C3225" i="23"/>
  <c r="C3224" i="23"/>
  <c r="C3223" i="23"/>
  <c r="C3222" i="23"/>
  <c r="C3221" i="23"/>
  <c r="C3220" i="23"/>
  <c r="C3219" i="23"/>
  <c r="C3218" i="23"/>
  <c r="C3217" i="23"/>
  <c r="C3216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4268" i="23"/>
  <c r="C4267" i="23"/>
  <c r="C4266" i="23"/>
  <c r="C4265" i="23"/>
  <c r="C4264" i="23"/>
  <c r="C4263" i="23"/>
  <c r="C4262" i="23"/>
  <c r="C4261" i="23"/>
  <c r="C4260" i="23"/>
  <c r="C4259" i="23"/>
  <c r="C4258" i="23"/>
  <c r="C4257" i="23"/>
  <c r="C4256" i="23"/>
  <c r="C4255" i="23"/>
  <c r="C4254" i="23"/>
  <c r="C4253" i="23"/>
  <c r="C4252" i="23"/>
  <c r="C4251" i="23"/>
  <c r="C4250" i="23"/>
  <c r="C4249" i="23"/>
  <c r="C4248" i="23"/>
  <c r="C4247" i="23"/>
  <c r="C4246" i="23"/>
  <c r="C4245" i="23"/>
  <c r="C4244" i="23"/>
  <c r="C4243" i="23"/>
  <c r="C424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2243" i="23"/>
  <c r="C2242" i="23"/>
  <c r="C2241" i="23"/>
  <c r="C2240" i="23"/>
  <c r="C2239" i="23"/>
  <c r="C2238" i="23"/>
  <c r="C2237" i="23"/>
  <c r="C2236" i="23"/>
  <c r="C2235" i="23"/>
  <c r="C2234" i="23"/>
  <c r="C2233" i="23"/>
  <c r="C2232" i="23"/>
  <c r="C2231" i="23"/>
  <c r="C2230" i="23"/>
  <c r="C2229" i="23"/>
  <c r="C2228" i="23"/>
  <c r="C2227" i="23"/>
  <c r="C2226" i="23"/>
  <c r="C2225" i="23"/>
  <c r="C2224" i="23"/>
  <c r="C2223" i="23"/>
  <c r="C2222" i="23"/>
  <c r="C2221" i="23"/>
  <c r="C2220" i="23"/>
  <c r="C2219" i="23"/>
  <c r="C2218" i="23"/>
  <c r="C2217" i="23"/>
  <c r="C3269" i="23"/>
  <c r="C3268" i="23"/>
  <c r="C3267" i="23"/>
  <c r="C3266" i="23"/>
  <c r="C3265" i="23"/>
  <c r="C3264" i="23"/>
  <c r="C3263" i="23"/>
  <c r="C3262" i="23"/>
  <c r="C3261" i="23"/>
  <c r="C3260" i="23"/>
  <c r="C3259" i="23"/>
  <c r="C3258" i="23"/>
  <c r="C3257" i="23"/>
  <c r="C3256" i="23"/>
  <c r="C3255" i="23"/>
  <c r="C3254" i="23"/>
  <c r="C3253" i="23"/>
  <c r="C3252" i="23"/>
  <c r="C3251" i="23"/>
  <c r="C3250" i="23"/>
  <c r="C3249" i="23"/>
  <c r="C3248" i="23"/>
  <c r="C3247" i="23"/>
  <c r="C3246" i="23"/>
  <c r="C3245" i="23"/>
  <c r="C3244" i="23"/>
  <c r="C3243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4295" i="23"/>
  <c r="C4294" i="23"/>
  <c r="C4293" i="23"/>
  <c r="C4292" i="23"/>
  <c r="C4291" i="23"/>
  <c r="C4290" i="23"/>
  <c r="C4289" i="23"/>
  <c r="C4288" i="23"/>
  <c r="C4287" i="23"/>
  <c r="C4286" i="23"/>
  <c r="C4285" i="23"/>
  <c r="C4284" i="23"/>
  <c r="C4283" i="23"/>
  <c r="C4282" i="23"/>
  <c r="C4281" i="23"/>
  <c r="C4280" i="23"/>
  <c r="C4279" i="23"/>
  <c r="C4278" i="23"/>
  <c r="C4277" i="23"/>
  <c r="C4276" i="23"/>
  <c r="C4275" i="23"/>
  <c r="C4274" i="23"/>
  <c r="C4273" i="23"/>
  <c r="C4272" i="23"/>
  <c r="C4271" i="23"/>
  <c r="C4270" i="23"/>
  <c r="C426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2270" i="23"/>
  <c r="C2269" i="23"/>
  <c r="C2268" i="23"/>
  <c r="C2267" i="23"/>
  <c r="C2266" i="23"/>
  <c r="C2265" i="23"/>
  <c r="C2264" i="23"/>
  <c r="C2263" i="23"/>
  <c r="C2262" i="23"/>
  <c r="C2261" i="23"/>
  <c r="C2260" i="23"/>
  <c r="C2259" i="23"/>
  <c r="C2258" i="23"/>
  <c r="C2257" i="23"/>
  <c r="C2256" i="23"/>
  <c r="C2255" i="23"/>
  <c r="C2254" i="23"/>
  <c r="C2253" i="23"/>
  <c r="C2252" i="23"/>
  <c r="C2251" i="23"/>
  <c r="C2250" i="23"/>
  <c r="C2249" i="23"/>
  <c r="C2248" i="23"/>
  <c r="C2247" i="23"/>
  <c r="C2246" i="23"/>
  <c r="C2245" i="23"/>
  <c r="C2244" i="23"/>
  <c r="C3296" i="23"/>
  <c r="C3295" i="23"/>
  <c r="C3294" i="23"/>
  <c r="C3293" i="23"/>
  <c r="C3292" i="23"/>
  <c r="C3291" i="23"/>
  <c r="C3290" i="23"/>
  <c r="C3289" i="23"/>
  <c r="C3288" i="23"/>
  <c r="C3287" i="23"/>
  <c r="C3286" i="23"/>
  <c r="C3285" i="23"/>
  <c r="C3284" i="23"/>
  <c r="C3283" i="23"/>
  <c r="C3282" i="23"/>
  <c r="C3281" i="23"/>
  <c r="C3280" i="23"/>
  <c r="C3279" i="23"/>
  <c r="C3278" i="23"/>
  <c r="C3277" i="23"/>
  <c r="C3276" i="23"/>
  <c r="C3275" i="23"/>
  <c r="C3274" i="23"/>
  <c r="C3273" i="23"/>
  <c r="C3272" i="23"/>
  <c r="C3271" i="23"/>
  <c r="C3270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4322" i="23"/>
  <c r="C4321" i="23"/>
  <c r="C4320" i="23"/>
  <c r="C4319" i="23"/>
  <c r="C4318" i="23"/>
  <c r="C4317" i="23"/>
  <c r="C4316" i="23"/>
  <c r="C4315" i="23"/>
  <c r="C4314" i="23"/>
  <c r="C4313" i="23"/>
  <c r="C4312" i="23"/>
  <c r="C4311" i="23"/>
  <c r="C4310" i="23"/>
  <c r="C4309" i="23"/>
  <c r="C4308" i="23"/>
  <c r="C4307" i="23"/>
  <c r="C4306" i="23"/>
  <c r="C4305" i="23"/>
  <c r="C4304" i="23"/>
  <c r="C4303" i="23"/>
  <c r="C4302" i="23"/>
  <c r="C4301" i="23"/>
  <c r="C4300" i="23"/>
  <c r="C4299" i="23"/>
  <c r="C4298" i="23"/>
  <c r="C4297" i="23"/>
  <c r="C429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297" i="23"/>
  <c r="C2296" i="23"/>
  <c r="C2295" i="23"/>
  <c r="C2294" i="23"/>
  <c r="C2293" i="23"/>
  <c r="C2292" i="23"/>
  <c r="C2291" i="23"/>
  <c r="C2290" i="23"/>
  <c r="C2289" i="23"/>
  <c r="C2288" i="23"/>
  <c r="C2287" i="23"/>
  <c r="C2286" i="23"/>
  <c r="C2285" i="23"/>
  <c r="C2284" i="23"/>
  <c r="C2283" i="23"/>
  <c r="C2282" i="23"/>
  <c r="C2281" i="23"/>
  <c r="C2280" i="23"/>
  <c r="C2279" i="23"/>
  <c r="C2278" i="23"/>
  <c r="C2277" i="23"/>
  <c r="C2276" i="23"/>
  <c r="C2275" i="23"/>
  <c r="C2274" i="23"/>
  <c r="C2273" i="23"/>
  <c r="C2272" i="23"/>
  <c r="C2271" i="23"/>
  <c r="C3323" i="23"/>
  <c r="C3322" i="23"/>
  <c r="C3321" i="23"/>
  <c r="C3320" i="23"/>
  <c r="C3319" i="23"/>
  <c r="C3318" i="23"/>
  <c r="C3317" i="23"/>
  <c r="C3316" i="23"/>
  <c r="C3315" i="23"/>
  <c r="C3314" i="23"/>
  <c r="C3313" i="23"/>
  <c r="C3312" i="23"/>
  <c r="C3311" i="23"/>
  <c r="C3310" i="23"/>
  <c r="C3309" i="23"/>
  <c r="C3308" i="23"/>
  <c r="C3307" i="23"/>
  <c r="C3306" i="23"/>
  <c r="C3305" i="23"/>
  <c r="C3304" i="23"/>
  <c r="C3303" i="23"/>
  <c r="C3302" i="23"/>
  <c r="C3301" i="23"/>
  <c r="C3300" i="23"/>
  <c r="C3299" i="23"/>
  <c r="C3298" i="23"/>
  <c r="C3297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4349" i="23"/>
  <c r="C4348" i="23"/>
  <c r="C4347" i="23"/>
  <c r="C4346" i="23"/>
  <c r="C4345" i="23"/>
  <c r="C4344" i="23"/>
  <c r="C4343" i="23"/>
  <c r="C4342" i="23"/>
  <c r="C4341" i="23"/>
  <c r="C4340" i="23"/>
  <c r="C4339" i="23"/>
  <c r="C4338" i="23"/>
  <c r="C4337" i="23"/>
  <c r="C4336" i="23"/>
  <c r="C4335" i="23"/>
  <c r="C4334" i="23"/>
  <c r="C4333" i="23"/>
  <c r="C4332" i="23"/>
  <c r="C4331" i="23"/>
  <c r="C4330" i="23"/>
  <c r="C4329" i="23"/>
  <c r="C4328" i="23"/>
  <c r="C4327" i="23"/>
  <c r="C4326" i="23"/>
  <c r="C4325" i="23"/>
  <c r="C4324" i="23"/>
  <c r="C432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324" i="23"/>
  <c r="C2323" i="23"/>
  <c r="C2322" i="23"/>
  <c r="C2321" i="23"/>
  <c r="C2320" i="23"/>
  <c r="C2319" i="23"/>
  <c r="C2318" i="23"/>
  <c r="C2317" i="23"/>
  <c r="C2316" i="23"/>
  <c r="C2315" i="23"/>
  <c r="C2314" i="23"/>
  <c r="C2313" i="23"/>
  <c r="C2312" i="23"/>
  <c r="C2311" i="23"/>
  <c r="C2310" i="23"/>
  <c r="C2309" i="23"/>
  <c r="C2308" i="23"/>
  <c r="C2307" i="23"/>
  <c r="C2306" i="23"/>
  <c r="C2305" i="23"/>
  <c r="C2304" i="23"/>
  <c r="C2303" i="23"/>
  <c r="C2302" i="23"/>
  <c r="C2301" i="23"/>
  <c r="C2300" i="23"/>
  <c r="C2299" i="23"/>
  <c r="C2298" i="23"/>
  <c r="C3350" i="23"/>
  <c r="C3349" i="23"/>
  <c r="C3348" i="23"/>
  <c r="C3347" i="23"/>
  <c r="C3346" i="23"/>
  <c r="C3345" i="23"/>
  <c r="C3344" i="23"/>
  <c r="C3343" i="23"/>
  <c r="C3342" i="23"/>
  <c r="C3341" i="23"/>
  <c r="C3340" i="23"/>
  <c r="C3339" i="23"/>
  <c r="C3338" i="23"/>
  <c r="C3337" i="23"/>
  <c r="C3336" i="23"/>
  <c r="C3335" i="23"/>
  <c r="C3334" i="23"/>
  <c r="C3333" i="23"/>
  <c r="C3332" i="23"/>
  <c r="C3331" i="23"/>
  <c r="C3330" i="23"/>
  <c r="C3329" i="23"/>
  <c r="C3328" i="23"/>
  <c r="C3327" i="23"/>
  <c r="C3326" i="23"/>
  <c r="C3325" i="23"/>
  <c r="C3324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4376" i="23"/>
  <c r="C4375" i="23"/>
  <c r="C4374" i="23"/>
  <c r="C4373" i="23"/>
  <c r="C4372" i="23"/>
  <c r="C4371" i="23"/>
  <c r="C4370" i="23"/>
  <c r="C4369" i="23"/>
  <c r="C4368" i="23"/>
  <c r="C4367" i="23"/>
  <c r="C4366" i="23"/>
  <c r="C4365" i="23"/>
  <c r="C4364" i="23"/>
  <c r="C4363" i="23"/>
  <c r="C4362" i="23"/>
  <c r="C4361" i="23"/>
  <c r="C4360" i="23"/>
  <c r="C4359" i="23"/>
  <c r="C4358" i="23"/>
  <c r="C4357" i="23"/>
  <c r="C4356" i="23"/>
  <c r="C4355" i="23"/>
  <c r="C4354" i="23"/>
  <c r="C4353" i="23"/>
  <c r="C4352" i="23"/>
  <c r="C4351" i="23"/>
  <c r="C435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351" i="23"/>
  <c r="C2350" i="23"/>
  <c r="C2349" i="23"/>
  <c r="C2348" i="23"/>
  <c r="C2347" i="23"/>
  <c r="C2346" i="23"/>
  <c r="C2345" i="23"/>
  <c r="C2344" i="23"/>
  <c r="C2343" i="23"/>
  <c r="C2342" i="23"/>
  <c r="C2341" i="23"/>
  <c r="C2340" i="23"/>
  <c r="C2339" i="23"/>
  <c r="C2338" i="23"/>
  <c r="C2337" i="23"/>
  <c r="C2336" i="23"/>
  <c r="C2335" i="23"/>
  <c r="C2334" i="23"/>
  <c r="C2333" i="23"/>
  <c r="C2332" i="23"/>
  <c r="C2331" i="23"/>
  <c r="C2330" i="23"/>
  <c r="C2329" i="23"/>
  <c r="C2328" i="23"/>
  <c r="C2327" i="23"/>
  <c r="C2326" i="23"/>
  <c r="C2325" i="23"/>
  <c r="C3377" i="23"/>
  <c r="C3376" i="23"/>
  <c r="C3375" i="23"/>
  <c r="C3374" i="23"/>
  <c r="C3373" i="23"/>
  <c r="C3372" i="23"/>
  <c r="C3371" i="23"/>
  <c r="C3370" i="23"/>
  <c r="C3369" i="23"/>
  <c r="C3368" i="23"/>
  <c r="C3367" i="23"/>
  <c r="C3366" i="23"/>
  <c r="C3365" i="23"/>
  <c r="C3364" i="23"/>
  <c r="C3363" i="23"/>
  <c r="C3362" i="23"/>
  <c r="C3361" i="23"/>
  <c r="C3360" i="23"/>
  <c r="C3359" i="23"/>
  <c r="C3358" i="23"/>
  <c r="C3357" i="23"/>
  <c r="C3356" i="23"/>
  <c r="C3355" i="23"/>
  <c r="C3354" i="23"/>
  <c r="C3353" i="23"/>
  <c r="C3352" i="23"/>
  <c r="C3351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4403" i="23"/>
  <c r="C4402" i="23"/>
  <c r="C4401" i="23"/>
  <c r="C4400" i="23"/>
  <c r="C4399" i="23"/>
  <c r="C4398" i="23"/>
  <c r="C4397" i="23"/>
  <c r="C4396" i="23"/>
  <c r="C4395" i="23"/>
  <c r="C4394" i="23"/>
  <c r="C4393" i="23"/>
  <c r="C4392" i="23"/>
  <c r="C4391" i="23"/>
  <c r="C4390" i="23"/>
  <c r="C4389" i="23"/>
  <c r="C4388" i="23"/>
  <c r="C4387" i="23"/>
  <c r="C4386" i="23"/>
  <c r="C4385" i="23"/>
  <c r="C4384" i="23"/>
  <c r="C4383" i="23"/>
  <c r="C4382" i="23"/>
  <c r="C4381" i="23"/>
  <c r="C4380" i="23"/>
  <c r="C4379" i="23"/>
  <c r="C4378" i="23"/>
  <c r="C4377" i="23"/>
  <c r="C4405" i="23"/>
  <c r="C4406" i="23"/>
  <c r="C4407" i="23"/>
  <c r="C4408" i="23"/>
  <c r="C4409" i="23"/>
  <c r="C4410" i="23"/>
  <c r="C4411" i="23"/>
  <c r="C4412" i="23"/>
  <c r="C4413" i="23"/>
  <c r="C4414" i="23"/>
  <c r="C4415" i="23"/>
  <c r="C4416" i="23"/>
  <c r="C4417" i="23"/>
  <c r="C4418" i="23"/>
  <c r="C4419" i="23"/>
  <c r="C4420" i="23"/>
  <c r="C4421" i="23"/>
  <c r="C4422" i="23"/>
  <c r="C4423" i="23"/>
  <c r="C4424" i="23"/>
  <c r="C4425" i="23"/>
  <c r="C4426" i="23"/>
  <c r="C4427" i="23"/>
  <c r="C4428" i="23"/>
  <c r="C4429" i="23"/>
  <c r="C4430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45" i="23"/>
  <c r="C1346" i="23"/>
  <c r="C1347" i="23"/>
  <c r="C1348" i="23"/>
  <c r="C1349" i="23"/>
  <c r="C1350" i="23"/>
  <c r="C1351" i="23"/>
  <c r="C1352" i="23"/>
  <c r="C3378" i="23"/>
  <c r="C3379" i="23"/>
  <c r="C3380" i="23"/>
  <c r="C3381" i="23"/>
  <c r="C3382" i="23"/>
  <c r="C3383" i="23"/>
  <c r="C3384" i="23"/>
  <c r="C3385" i="23"/>
  <c r="C3386" i="23"/>
  <c r="C3387" i="23"/>
  <c r="C3388" i="23"/>
  <c r="C3389" i="23"/>
  <c r="C3390" i="23"/>
  <c r="C3391" i="23"/>
  <c r="C3392" i="23"/>
  <c r="C3393" i="23"/>
  <c r="C3394" i="23"/>
  <c r="C3395" i="23"/>
  <c r="C3396" i="23"/>
  <c r="C3397" i="23"/>
  <c r="C3398" i="23"/>
  <c r="C3399" i="23"/>
  <c r="C3400" i="23"/>
  <c r="C3401" i="23"/>
  <c r="C3402" i="23"/>
  <c r="C3403" i="23"/>
  <c r="C3404" i="23"/>
  <c r="C2352" i="23"/>
  <c r="C2353" i="23"/>
  <c r="C2354" i="23"/>
  <c r="C2355" i="23"/>
  <c r="C2356" i="23"/>
  <c r="C2357" i="23"/>
  <c r="C2358" i="23"/>
  <c r="C2359" i="23"/>
  <c r="C2360" i="23"/>
  <c r="C2361" i="23"/>
  <c r="C2362" i="23"/>
  <c r="C2363" i="23"/>
  <c r="C2364" i="23"/>
  <c r="C2365" i="23"/>
  <c r="C2366" i="23"/>
  <c r="C2367" i="23"/>
  <c r="C2368" i="23"/>
  <c r="C2369" i="23"/>
  <c r="C2370" i="23"/>
  <c r="C2371" i="23"/>
  <c r="C2372" i="23"/>
  <c r="C2373" i="23"/>
  <c r="C2374" i="23"/>
  <c r="C2375" i="23"/>
  <c r="C2376" i="23"/>
  <c r="C2377" i="23"/>
  <c r="C2378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4404" i="23"/>
  <c r="C4432" i="23"/>
  <c r="C4433" i="23"/>
  <c r="C4434" i="23"/>
  <c r="C4435" i="23"/>
  <c r="C4436" i="23"/>
  <c r="C4437" i="23"/>
  <c r="C4438" i="23"/>
  <c r="C4439" i="23"/>
  <c r="C4440" i="23"/>
  <c r="C4441" i="23"/>
  <c r="C4442" i="23"/>
  <c r="C4443" i="23"/>
  <c r="C4444" i="23"/>
  <c r="C4445" i="23"/>
  <c r="C4446" i="23"/>
  <c r="C4447" i="23"/>
  <c r="C4448" i="23"/>
  <c r="C4449" i="23"/>
  <c r="C4450" i="23"/>
  <c r="C4451" i="23"/>
  <c r="C4452" i="23"/>
  <c r="C4453" i="23"/>
  <c r="C4454" i="23"/>
  <c r="C4455" i="23"/>
  <c r="C4456" i="23"/>
  <c r="C4457" i="23"/>
  <c r="C1353" i="23"/>
  <c r="C1354" i="23"/>
  <c r="C1355" i="23"/>
  <c r="C1356" i="23"/>
  <c r="C1357" i="23"/>
  <c r="C1358" i="23"/>
  <c r="C1359" i="23"/>
  <c r="C1360" i="23"/>
  <c r="C1361" i="23"/>
  <c r="C1362" i="23"/>
  <c r="C1363" i="23"/>
  <c r="C1364" i="23"/>
  <c r="C1365" i="23"/>
  <c r="C1366" i="23"/>
  <c r="C1367" i="23"/>
  <c r="C1368" i="23"/>
  <c r="C1369" i="23"/>
  <c r="C1370" i="23"/>
  <c r="C1371" i="23"/>
  <c r="C1372" i="23"/>
  <c r="C1373" i="23"/>
  <c r="C1374" i="23"/>
  <c r="C1375" i="23"/>
  <c r="C1376" i="23"/>
  <c r="C1377" i="23"/>
  <c r="C1378" i="23"/>
  <c r="C1379" i="23"/>
  <c r="C3405" i="23"/>
  <c r="C3406" i="23"/>
  <c r="C3407" i="23"/>
  <c r="C3408" i="23"/>
  <c r="C3409" i="23"/>
  <c r="C3410" i="23"/>
  <c r="C3411" i="23"/>
  <c r="C3412" i="23"/>
  <c r="C3413" i="23"/>
  <c r="C3414" i="23"/>
  <c r="C3415" i="23"/>
  <c r="C3416" i="23"/>
  <c r="C3417" i="23"/>
  <c r="C3418" i="23"/>
  <c r="C3419" i="23"/>
  <c r="C3420" i="23"/>
  <c r="C3421" i="23"/>
  <c r="C3422" i="23"/>
  <c r="C3423" i="23"/>
  <c r="C3424" i="23"/>
  <c r="C3425" i="23"/>
  <c r="C3426" i="23"/>
  <c r="C3427" i="23"/>
  <c r="C3428" i="23"/>
  <c r="C3429" i="23"/>
  <c r="C3430" i="23"/>
  <c r="C3431" i="23"/>
  <c r="C2379" i="23"/>
  <c r="C2380" i="23"/>
  <c r="C2381" i="23"/>
  <c r="C2382" i="23"/>
  <c r="C2383" i="23"/>
  <c r="C2384" i="23"/>
  <c r="C2385" i="23"/>
  <c r="C2386" i="23"/>
  <c r="C2387" i="23"/>
  <c r="C2388" i="23"/>
  <c r="C2389" i="23"/>
  <c r="C2390" i="23"/>
  <c r="C2391" i="23"/>
  <c r="C2392" i="23"/>
  <c r="C2393" i="23"/>
  <c r="C2394" i="23"/>
  <c r="C2395" i="23"/>
  <c r="C2396" i="23"/>
  <c r="C2397" i="23"/>
  <c r="C2398" i="23"/>
  <c r="C2399" i="23"/>
  <c r="C2400" i="23"/>
  <c r="C2401" i="23"/>
  <c r="C2402" i="23"/>
  <c r="C2403" i="23"/>
  <c r="C2404" i="23"/>
  <c r="C2405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4431" i="23"/>
  <c r="C2415" i="23"/>
  <c r="C3432" i="23"/>
  <c r="C3433" i="23"/>
  <c r="C3434" i="23"/>
  <c r="C3435" i="23"/>
  <c r="C3436" i="23"/>
  <c r="C3437" i="23"/>
  <c r="C3438" i="23"/>
  <c r="C3439" i="23"/>
  <c r="C3440" i="23"/>
  <c r="C3441" i="23"/>
  <c r="C3442" i="23"/>
  <c r="C3443" i="23"/>
  <c r="C3444" i="23"/>
  <c r="C3445" i="23"/>
  <c r="C3446" i="23"/>
  <c r="C3447" i="23"/>
  <c r="C3448" i="23"/>
  <c r="C3449" i="23"/>
  <c r="C3450" i="23"/>
  <c r="C3451" i="23"/>
  <c r="C3452" i="23"/>
  <c r="C3453" i="23"/>
  <c r="C3454" i="23"/>
  <c r="C3455" i="23"/>
  <c r="C3456" i="23"/>
  <c r="C3457" i="23"/>
  <c r="C3458" i="23"/>
  <c r="C2406" i="23"/>
  <c r="C2407" i="23"/>
  <c r="C2408" i="23"/>
  <c r="C2409" i="23"/>
  <c r="C2410" i="23"/>
  <c r="C2411" i="23"/>
  <c r="C2412" i="23"/>
  <c r="C2413" i="23"/>
  <c r="C2414" i="23"/>
  <c r="C2416" i="23"/>
  <c r="C2417" i="23"/>
  <c r="C2418" i="23"/>
  <c r="C2419" i="23"/>
  <c r="C2420" i="23"/>
  <c r="C2421" i="23"/>
  <c r="C2422" i="23"/>
  <c r="C2423" i="23"/>
  <c r="C2424" i="23"/>
  <c r="C2425" i="23"/>
  <c r="C2426" i="23"/>
  <c r="C2427" i="23"/>
  <c r="C2428" i="23"/>
  <c r="C2429" i="23"/>
  <c r="C2430" i="23"/>
  <c r="C2431" i="23"/>
  <c r="C2432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4484" i="23"/>
  <c r="C4483" i="23"/>
  <c r="C4482" i="23"/>
  <c r="C4481" i="23"/>
  <c r="C4480" i="23"/>
  <c r="C4479" i="23"/>
  <c r="C4478" i="23"/>
  <c r="C4477" i="23"/>
  <c r="C4476" i="23"/>
  <c r="C4475" i="23"/>
  <c r="C4474" i="23"/>
  <c r="C4473" i="23"/>
  <c r="C4472" i="23"/>
  <c r="C4471" i="23"/>
  <c r="C4470" i="23"/>
  <c r="C4469" i="23"/>
  <c r="C4468" i="23"/>
  <c r="C4467" i="23"/>
  <c r="C4466" i="23"/>
  <c r="C4465" i="23"/>
  <c r="C4464" i="23"/>
  <c r="C4463" i="23"/>
  <c r="C4462" i="23"/>
  <c r="C4461" i="23"/>
  <c r="C4460" i="23"/>
  <c r="C4459" i="23"/>
  <c r="C4458" i="23"/>
  <c r="C137" i="23"/>
  <c r="C488" i="23"/>
  <c r="C839" i="23"/>
  <c r="C515" i="23"/>
  <c r="C974" i="23"/>
  <c r="C110" i="23"/>
  <c r="C461" i="23"/>
  <c r="C758" i="23"/>
  <c r="C569" i="23"/>
  <c r="C650" i="23"/>
  <c r="C920" i="23"/>
  <c r="C866" i="23"/>
  <c r="C812" i="23"/>
  <c r="C623" i="23"/>
  <c r="C56" i="23"/>
  <c r="C596" i="23"/>
  <c r="C407" i="23"/>
  <c r="C1001" i="23"/>
  <c r="C731" i="23"/>
  <c r="C1028" i="23"/>
  <c r="C677" i="23"/>
  <c r="C704" i="23"/>
  <c r="C434" i="23"/>
  <c r="C29" i="23"/>
  <c r="C542" i="23"/>
  <c r="C893" i="23"/>
  <c r="C947" i="23"/>
  <c r="C83" i="23"/>
  <c r="C785" i="23"/>
  <c r="C2189" i="23"/>
  <c r="C2540" i="23"/>
  <c r="C2891" i="23"/>
  <c r="C2567" i="23"/>
  <c r="C3026" i="23"/>
  <c r="C2162" i="23"/>
  <c r="C2513" i="23"/>
  <c r="C2810" i="23"/>
  <c r="C2621" i="23"/>
  <c r="C2702" i="23"/>
  <c r="C2972" i="23"/>
  <c r="C2918" i="23"/>
  <c r="C2864" i="23"/>
  <c r="C2675" i="23"/>
  <c r="C2108" i="23"/>
  <c r="C2648" i="23"/>
  <c r="C2459" i="23"/>
  <c r="C3053" i="23"/>
  <c r="C2783" i="23"/>
  <c r="C3080" i="23"/>
  <c r="C2729" i="23"/>
  <c r="C2756" i="23"/>
  <c r="C2486" i="23"/>
  <c r="C2081" i="23"/>
  <c r="C2594" i="23"/>
  <c r="C2945" i="23"/>
  <c r="C2999" i="23"/>
  <c r="C2135" i="23"/>
  <c r="C2837" i="23"/>
  <c r="C3215" i="23"/>
  <c r="C3566" i="23"/>
  <c r="C3917" i="23"/>
  <c r="C3593" i="23"/>
  <c r="C4052" i="23"/>
  <c r="C3188" i="23"/>
  <c r="C3539" i="23"/>
  <c r="C3836" i="23"/>
  <c r="C3647" i="23"/>
  <c r="C3728" i="23"/>
  <c r="C3998" i="23"/>
  <c r="C3944" i="23"/>
  <c r="C3890" i="23"/>
  <c r="C3701" i="23"/>
  <c r="C3134" i="23"/>
  <c r="C3674" i="23"/>
  <c r="C3485" i="23"/>
  <c r="C4079" i="23"/>
  <c r="C3809" i="23"/>
  <c r="C4106" i="23"/>
  <c r="C3755" i="23"/>
  <c r="C3782" i="23"/>
  <c r="C3512" i="23"/>
  <c r="C3107" i="23"/>
  <c r="C3620" i="23"/>
  <c r="C3971" i="23"/>
  <c r="C4025" i="23"/>
  <c r="C3161" i="23"/>
  <c r="C3863" i="23"/>
  <c r="C1163" i="23"/>
  <c r="C1514" i="23"/>
  <c r="C1865" i="23"/>
  <c r="C1541" i="23"/>
  <c r="C2000" i="23"/>
  <c r="C1136" i="23"/>
  <c r="C1487" i="23"/>
  <c r="C1784" i="23"/>
  <c r="C1595" i="23"/>
  <c r="C1676" i="23"/>
  <c r="C1946" i="23"/>
  <c r="C1892" i="23"/>
  <c r="C1838" i="23"/>
  <c r="C1649" i="23"/>
  <c r="C1082" i="23"/>
  <c r="C1622" i="23"/>
  <c r="C1433" i="23"/>
  <c r="C2027" i="23"/>
  <c r="C1757" i="23"/>
  <c r="C2054" i="23"/>
  <c r="C1703" i="23"/>
  <c r="C1730" i="23"/>
  <c r="C1460" i="23"/>
  <c r="C1055" i="23"/>
  <c r="C1568" i="23"/>
  <c r="C1919" i="23"/>
  <c r="C1973" i="23"/>
  <c r="C1109" i="23"/>
  <c r="C1811" i="23"/>
  <c r="C4241" i="23"/>
  <c r="C4592" i="23"/>
  <c r="C4943" i="23"/>
  <c r="C4619" i="23"/>
  <c r="C5078" i="23"/>
  <c r="C4214" i="23"/>
  <c r="C4565" i="23"/>
  <c r="C4862" i="23"/>
  <c r="C4673" i="23"/>
  <c r="C4754" i="23"/>
  <c r="C5024" i="23"/>
  <c r="C4970" i="23"/>
  <c r="C4916" i="23"/>
  <c r="C4727" i="23"/>
  <c r="C4160" i="23"/>
  <c r="C4700" i="23"/>
  <c r="C4511" i="23"/>
  <c r="C5105" i="23"/>
  <c r="C4835" i="23"/>
  <c r="C5132" i="23"/>
  <c r="C4781" i="23"/>
  <c r="C4808" i="23"/>
  <c r="C4538" i="23"/>
  <c r="C4133" i="23"/>
  <c r="C4646" i="23"/>
  <c r="C4997" i="23"/>
  <c r="C5051" i="23"/>
  <c r="C4187" i="23"/>
  <c r="C4889" i="23"/>
  <c r="C136" i="23"/>
  <c r="C487" i="23"/>
  <c r="C838" i="23"/>
  <c r="C514" i="23"/>
  <c r="C973" i="23"/>
  <c r="C109" i="23"/>
  <c r="C460" i="23"/>
  <c r="C757" i="23"/>
  <c r="C568" i="23"/>
  <c r="C649" i="23"/>
  <c r="C919" i="23"/>
  <c r="C865" i="23"/>
  <c r="C811" i="23"/>
  <c r="C622" i="23"/>
  <c r="C55" i="23"/>
  <c r="C595" i="23"/>
  <c r="C406" i="23"/>
  <c r="C1000" i="23"/>
  <c r="C730" i="23"/>
  <c r="C1027" i="23"/>
  <c r="C676" i="23"/>
  <c r="C703" i="23"/>
  <c r="C433" i="23"/>
  <c r="C28" i="23"/>
  <c r="C541" i="23"/>
  <c r="C892" i="23"/>
  <c r="C946" i="23"/>
  <c r="C82" i="23"/>
  <c r="C784" i="23"/>
  <c r="C2188" i="23"/>
  <c r="C2539" i="23"/>
  <c r="C2890" i="23"/>
  <c r="C2566" i="23"/>
  <c r="C3025" i="23"/>
  <c r="C2161" i="23"/>
  <c r="C2512" i="23"/>
  <c r="C2809" i="23"/>
  <c r="C2620" i="23"/>
  <c r="C2701" i="23"/>
  <c r="C2971" i="23"/>
  <c r="C2917" i="23"/>
  <c r="C2863" i="23"/>
  <c r="C2674" i="23"/>
  <c r="C2107" i="23"/>
  <c r="C2647" i="23"/>
  <c r="C2458" i="23"/>
  <c r="C3052" i="23"/>
  <c r="C2782" i="23"/>
  <c r="C3079" i="23"/>
  <c r="C2728" i="23"/>
  <c r="C2755" i="23"/>
  <c r="C2485" i="23"/>
  <c r="C2080" i="23"/>
  <c r="C2593" i="23"/>
  <c r="C2944" i="23"/>
  <c r="C2998" i="23"/>
  <c r="C2134" i="23"/>
  <c r="C2836" i="23"/>
  <c r="C3214" i="23"/>
  <c r="C3565" i="23"/>
  <c r="C3916" i="23"/>
  <c r="C3592" i="23"/>
  <c r="C4051" i="23"/>
  <c r="C3187" i="23"/>
  <c r="C3538" i="23"/>
  <c r="C3835" i="23"/>
  <c r="C3646" i="23"/>
  <c r="C3727" i="23"/>
  <c r="C3997" i="23"/>
  <c r="C3943" i="23"/>
  <c r="C3889" i="23"/>
  <c r="C3700" i="23"/>
  <c r="C3133" i="23"/>
  <c r="C3673" i="23"/>
  <c r="C3484" i="23"/>
  <c r="C4078" i="23"/>
  <c r="C3808" i="23"/>
  <c r="C4105" i="23"/>
  <c r="C3754" i="23"/>
  <c r="C3781" i="23"/>
  <c r="C3511" i="23"/>
  <c r="C3106" i="23"/>
  <c r="C3619" i="23"/>
  <c r="C3970" i="23"/>
  <c r="C4024" i="23"/>
  <c r="C3160" i="23"/>
  <c r="C3862" i="23"/>
  <c r="C1162" i="23"/>
  <c r="C1513" i="23"/>
  <c r="C1864" i="23"/>
  <c r="C1540" i="23"/>
  <c r="C1999" i="23"/>
  <c r="C1135" i="23"/>
  <c r="C1486" i="23"/>
  <c r="C1783" i="23"/>
  <c r="C1594" i="23"/>
  <c r="C1675" i="23"/>
  <c r="C1945" i="23"/>
  <c r="C1891" i="23"/>
  <c r="C1837" i="23"/>
  <c r="C1648" i="23"/>
  <c r="C1081" i="23"/>
  <c r="C1621" i="23"/>
  <c r="C1432" i="23"/>
  <c r="C2026" i="23"/>
  <c r="C1756" i="23"/>
  <c r="C2053" i="23"/>
  <c r="C1702" i="23"/>
  <c r="C1729" i="23"/>
  <c r="C1459" i="23"/>
  <c r="C1054" i="23"/>
  <c r="C1567" i="23"/>
  <c r="C1918" i="23"/>
  <c r="C1972" i="23"/>
  <c r="C1108" i="23"/>
  <c r="C1810" i="23"/>
  <c r="C4240" i="23"/>
  <c r="C4591" i="23"/>
  <c r="C4942" i="23"/>
  <c r="C4618" i="23"/>
  <c r="C5077" i="23"/>
  <c r="C4213" i="23"/>
  <c r="C4564" i="23"/>
  <c r="C4861" i="23"/>
  <c r="C4672" i="23"/>
  <c r="C4753" i="23"/>
  <c r="C5023" i="23"/>
  <c r="C4969" i="23"/>
  <c r="C4915" i="23"/>
  <c r="C4726" i="23"/>
  <c r="C4159" i="23"/>
  <c r="C4699" i="23"/>
  <c r="C4510" i="23"/>
  <c r="C5104" i="23"/>
  <c r="C4834" i="23"/>
  <c r="C5131" i="23"/>
  <c r="C4780" i="23"/>
  <c r="C4807" i="23"/>
  <c r="C4537" i="23"/>
  <c r="C4132" i="23"/>
  <c r="C4645" i="23"/>
  <c r="C4996" i="23"/>
  <c r="C5050" i="23"/>
  <c r="C4186" i="23"/>
  <c r="C4888" i="23"/>
  <c r="C135" i="23"/>
  <c r="C486" i="23"/>
  <c r="C837" i="23"/>
  <c r="C513" i="23"/>
  <c r="C972" i="23"/>
  <c r="C108" i="23"/>
  <c r="C459" i="23"/>
  <c r="C756" i="23"/>
  <c r="C567" i="23"/>
  <c r="C648" i="23"/>
  <c r="C918" i="23"/>
  <c r="C864" i="23"/>
  <c r="C810" i="23"/>
  <c r="C621" i="23"/>
  <c r="C54" i="23"/>
  <c r="C594" i="23"/>
  <c r="C405" i="23"/>
  <c r="C999" i="23"/>
  <c r="C729" i="23"/>
  <c r="C1026" i="23"/>
  <c r="C675" i="23"/>
  <c r="C702" i="23"/>
  <c r="C432" i="23"/>
  <c r="C27" i="23"/>
  <c r="C540" i="23"/>
  <c r="C891" i="23"/>
  <c r="C945" i="23"/>
  <c r="C81" i="23"/>
  <c r="C783" i="23"/>
  <c r="C2187" i="23"/>
  <c r="C2538" i="23"/>
  <c r="C2889" i="23"/>
  <c r="C2565" i="23"/>
  <c r="C3024" i="23"/>
  <c r="C2160" i="23"/>
  <c r="C2511" i="23"/>
  <c r="C2808" i="23"/>
  <c r="C2619" i="23"/>
  <c r="C2700" i="23"/>
  <c r="C2970" i="23"/>
  <c r="C2916" i="23"/>
  <c r="C2862" i="23"/>
  <c r="C2673" i="23"/>
  <c r="C2106" i="23"/>
  <c r="C2646" i="23"/>
  <c r="C2457" i="23"/>
  <c r="C3051" i="23"/>
  <c r="C2781" i="23"/>
  <c r="C3078" i="23"/>
  <c r="C2727" i="23"/>
  <c r="C2754" i="23"/>
  <c r="C2484" i="23"/>
  <c r="C2079" i="23"/>
  <c r="C2592" i="23"/>
  <c r="C2943" i="23"/>
  <c r="C2997" i="23"/>
  <c r="C2133" i="23"/>
  <c r="C2835" i="23"/>
  <c r="C3213" i="23"/>
  <c r="C3564" i="23"/>
  <c r="C3915" i="23"/>
  <c r="C3591" i="23"/>
  <c r="C4050" i="23"/>
  <c r="C3186" i="23"/>
  <c r="C3537" i="23"/>
  <c r="C3834" i="23"/>
  <c r="C3645" i="23"/>
  <c r="C3726" i="23"/>
  <c r="C3996" i="23"/>
  <c r="C3942" i="23"/>
  <c r="C3888" i="23"/>
  <c r="C3699" i="23"/>
  <c r="C3132" i="23"/>
  <c r="C3672" i="23"/>
  <c r="C3483" i="23"/>
  <c r="C4077" i="23"/>
  <c r="C3807" i="23"/>
  <c r="C4104" i="23"/>
  <c r="C3753" i="23"/>
  <c r="C3780" i="23"/>
  <c r="C3510" i="23"/>
  <c r="C3105" i="23"/>
  <c r="C3618" i="23"/>
  <c r="C3969" i="23"/>
  <c r="C4023" i="23"/>
  <c r="C3159" i="23"/>
  <c r="C3861" i="23"/>
  <c r="C1161" i="23"/>
  <c r="C1512" i="23"/>
  <c r="C1863" i="23"/>
  <c r="C1539" i="23"/>
  <c r="C1998" i="23"/>
  <c r="C1134" i="23"/>
  <c r="C1485" i="23"/>
  <c r="C1782" i="23"/>
  <c r="C1593" i="23"/>
  <c r="C1674" i="23"/>
  <c r="C1944" i="23"/>
  <c r="C1890" i="23"/>
  <c r="C1836" i="23"/>
  <c r="C1647" i="23"/>
  <c r="C1080" i="23"/>
  <c r="C1620" i="23"/>
  <c r="C1431" i="23"/>
  <c r="C2025" i="23"/>
  <c r="C1755" i="23"/>
  <c r="C2052" i="23"/>
  <c r="C1701" i="23"/>
  <c r="C1728" i="23"/>
  <c r="C1458" i="23"/>
  <c r="C1053" i="23"/>
  <c r="C1566" i="23"/>
  <c r="C1917" i="23"/>
  <c r="C1971" i="23"/>
  <c r="C1107" i="23"/>
  <c r="C1809" i="23"/>
  <c r="C4239" i="23"/>
  <c r="C4590" i="23"/>
  <c r="C4941" i="23"/>
  <c r="C4617" i="23"/>
  <c r="C5076" i="23"/>
  <c r="C4212" i="23"/>
  <c r="C4563" i="23"/>
  <c r="C4860" i="23"/>
  <c r="C4671" i="23"/>
  <c r="C4752" i="23"/>
  <c r="C5022" i="23"/>
  <c r="C4968" i="23"/>
  <c r="C4914" i="23"/>
  <c r="C4725" i="23"/>
  <c r="C4158" i="23"/>
  <c r="C4698" i="23"/>
  <c r="C4509" i="23"/>
  <c r="C5103" i="23"/>
  <c r="C4833" i="23"/>
  <c r="C5130" i="23"/>
  <c r="C4779" i="23"/>
  <c r="C4806" i="23"/>
  <c r="C4536" i="23"/>
  <c r="C4131" i="23"/>
  <c r="C4644" i="23"/>
  <c r="C4995" i="23"/>
  <c r="C5049" i="23"/>
  <c r="C4185" i="23"/>
  <c r="C4887" i="23"/>
  <c r="C134" i="23"/>
  <c r="C485" i="23"/>
  <c r="C836" i="23"/>
  <c r="C512" i="23"/>
  <c r="C971" i="23"/>
  <c r="C107" i="23"/>
  <c r="C458" i="23"/>
  <c r="C755" i="23"/>
  <c r="C566" i="23"/>
  <c r="C647" i="23"/>
  <c r="C917" i="23"/>
  <c r="C863" i="23"/>
  <c r="C809" i="23"/>
  <c r="C620" i="23"/>
  <c r="C53" i="23"/>
  <c r="C593" i="23"/>
  <c r="C404" i="23"/>
  <c r="C998" i="23"/>
  <c r="C728" i="23"/>
  <c r="C1025" i="23"/>
  <c r="C674" i="23"/>
  <c r="C701" i="23"/>
  <c r="C431" i="23"/>
  <c r="C26" i="23"/>
  <c r="C539" i="23"/>
  <c r="C890" i="23"/>
  <c r="C944" i="23"/>
  <c r="C80" i="23"/>
  <c r="C782" i="23"/>
  <c r="C2186" i="23"/>
  <c r="C2537" i="23"/>
  <c r="C2888" i="23"/>
  <c r="C2564" i="23"/>
  <c r="C3023" i="23"/>
  <c r="C2159" i="23"/>
  <c r="C2510" i="23"/>
  <c r="C2807" i="23"/>
  <c r="C2618" i="23"/>
  <c r="C2699" i="23"/>
  <c r="C2969" i="23"/>
  <c r="C2915" i="23"/>
  <c r="C2861" i="23"/>
  <c r="C2672" i="23"/>
  <c r="C2105" i="23"/>
  <c r="C2645" i="23"/>
  <c r="C2456" i="23"/>
  <c r="C3050" i="23"/>
  <c r="C2780" i="23"/>
  <c r="C3077" i="23"/>
  <c r="C2726" i="23"/>
  <c r="C2753" i="23"/>
  <c r="C2483" i="23"/>
  <c r="C2078" i="23"/>
  <c r="C2591" i="23"/>
  <c r="C2942" i="23"/>
  <c r="C2996" i="23"/>
  <c r="C2132" i="23"/>
  <c r="C2834" i="23"/>
  <c r="C3212" i="23"/>
  <c r="C3563" i="23"/>
  <c r="C3914" i="23"/>
  <c r="C3590" i="23"/>
  <c r="C4049" i="23"/>
  <c r="C3185" i="23"/>
  <c r="C3536" i="23"/>
  <c r="C3833" i="23"/>
  <c r="C3644" i="23"/>
  <c r="C3725" i="23"/>
  <c r="C3995" i="23"/>
  <c r="C3941" i="23"/>
  <c r="C3887" i="23"/>
  <c r="C3698" i="23"/>
  <c r="C3131" i="23"/>
  <c r="C3671" i="23"/>
  <c r="C3482" i="23"/>
  <c r="C4076" i="23"/>
  <c r="C3806" i="23"/>
  <c r="C4103" i="23"/>
  <c r="C3752" i="23"/>
  <c r="C3779" i="23"/>
  <c r="C3509" i="23"/>
  <c r="C3104" i="23"/>
  <c r="C3617" i="23"/>
  <c r="C3968" i="23"/>
  <c r="C4022" i="23"/>
  <c r="C3158" i="23"/>
  <c r="C3860" i="23"/>
  <c r="C1160" i="23"/>
  <c r="C1511" i="23"/>
  <c r="C1862" i="23"/>
  <c r="C1538" i="23"/>
  <c r="C1997" i="23"/>
  <c r="C1133" i="23"/>
  <c r="C1484" i="23"/>
  <c r="C1781" i="23"/>
  <c r="C1592" i="23"/>
  <c r="C1673" i="23"/>
  <c r="C1943" i="23"/>
  <c r="C1889" i="23"/>
  <c r="C1835" i="23"/>
  <c r="C1646" i="23"/>
  <c r="C1079" i="23"/>
  <c r="C1619" i="23"/>
  <c r="C1430" i="23"/>
  <c r="C2024" i="23"/>
  <c r="C1754" i="23"/>
  <c r="C2051" i="23"/>
  <c r="C1700" i="23"/>
  <c r="C1727" i="23"/>
  <c r="C1457" i="23"/>
  <c r="C1052" i="23"/>
  <c r="C1565" i="23"/>
  <c r="C1916" i="23"/>
  <c r="C1970" i="23"/>
  <c r="C1106" i="23"/>
  <c r="C1808" i="23"/>
  <c r="C4238" i="23"/>
  <c r="C4589" i="23"/>
  <c r="C4940" i="23"/>
  <c r="C4616" i="23"/>
  <c r="C5075" i="23"/>
  <c r="C4211" i="23"/>
  <c r="C4562" i="23"/>
  <c r="C4859" i="23"/>
  <c r="C4670" i="23"/>
  <c r="C4751" i="23"/>
  <c r="C5021" i="23"/>
  <c r="C4967" i="23"/>
  <c r="C4913" i="23"/>
  <c r="C4724" i="23"/>
  <c r="C4157" i="23"/>
  <c r="C4697" i="23"/>
  <c r="C4508" i="23"/>
  <c r="C5102" i="23"/>
  <c r="C4832" i="23"/>
  <c r="C5129" i="23"/>
  <c r="C4778" i="23"/>
  <c r="C4805" i="23"/>
  <c r="C4535" i="23"/>
  <c r="C4130" i="23"/>
  <c r="C4643" i="23"/>
  <c r="C4994" i="23"/>
  <c r="C5048" i="23"/>
  <c r="C4184" i="23"/>
  <c r="C4886" i="23"/>
  <c r="C133" i="23"/>
  <c r="C484" i="23"/>
  <c r="C835" i="23"/>
  <c r="C511" i="23"/>
  <c r="C970" i="23"/>
  <c r="C106" i="23"/>
  <c r="C457" i="23"/>
  <c r="C754" i="23"/>
  <c r="C565" i="23"/>
  <c r="C646" i="23"/>
  <c r="C916" i="23"/>
  <c r="C862" i="23"/>
  <c r="C808" i="23"/>
  <c r="C619" i="23"/>
  <c r="C52" i="23"/>
  <c r="C592" i="23"/>
  <c r="C403" i="23"/>
  <c r="C997" i="23"/>
  <c r="C727" i="23"/>
  <c r="C1024" i="23"/>
  <c r="C673" i="23"/>
  <c r="C700" i="23"/>
  <c r="C430" i="23"/>
  <c r="C25" i="23"/>
  <c r="C538" i="23"/>
  <c r="C889" i="23"/>
  <c r="C943" i="23"/>
  <c r="C79" i="23"/>
  <c r="C781" i="23"/>
  <c r="C2185" i="23"/>
  <c r="C2536" i="23"/>
  <c r="C2887" i="23"/>
  <c r="C2563" i="23"/>
  <c r="C3022" i="23"/>
  <c r="C2158" i="23"/>
  <c r="C2509" i="23"/>
  <c r="C2806" i="23"/>
  <c r="C2617" i="23"/>
  <c r="C2698" i="23"/>
  <c r="C2968" i="23"/>
  <c r="C2914" i="23"/>
  <c r="C2860" i="23"/>
  <c r="C2671" i="23"/>
  <c r="C2104" i="23"/>
  <c r="C2644" i="23"/>
  <c r="C2455" i="23"/>
  <c r="C3049" i="23"/>
  <c r="C2779" i="23"/>
  <c r="C3076" i="23"/>
  <c r="C2725" i="23"/>
  <c r="C2752" i="23"/>
  <c r="C2482" i="23"/>
  <c r="C2077" i="23"/>
  <c r="C2590" i="23"/>
  <c r="C2941" i="23"/>
  <c r="C2995" i="23"/>
  <c r="C2131" i="23"/>
  <c r="C2833" i="23"/>
  <c r="C3211" i="23"/>
  <c r="C3562" i="23"/>
  <c r="C3913" i="23"/>
  <c r="C3589" i="23"/>
  <c r="C4048" i="23"/>
  <c r="C3184" i="23"/>
  <c r="C3535" i="23"/>
  <c r="C3832" i="23"/>
  <c r="C3643" i="23"/>
  <c r="C3724" i="23"/>
  <c r="C3994" i="23"/>
  <c r="C3940" i="23"/>
  <c r="C3886" i="23"/>
  <c r="C3697" i="23"/>
  <c r="C3130" i="23"/>
  <c r="C3670" i="23"/>
  <c r="C3481" i="23"/>
  <c r="C4075" i="23"/>
  <c r="C3805" i="23"/>
  <c r="C4102" i="23"/>
  <c r="C3751" i="23"/>
  <c r="C3778" i="23"/>
  <c r="C3508" i="23"/>
  <c r="C3103" i="23"/>
  <c r="C3616" i="23"/>
  <c r="C3967" i="23"/>
  <c r="C4021" i="23"/>
  <c r="C3157" i="23"/>
  <c r="C3859" i="23"/>
  <c r="C1159" i="23"/>
  <c r="C1510" i="23"/>
  <c r="C1861" i="23"/>
  <c r="C1537" i="23"/>
  <c r="C1996" i="23"/>
  <c r="C1132" i="23"/>
  <c r="C1483" i="23"/>
  <c r="C1780" i="23"/>
  <c r="C1591" i="23"/>
  <c r="C1672" i="23"/>
  <c r="C1942" i="23"/>
  <c r="C1888" i="23"/>
  <c r="C1834" i="23"/>
  <c r="C1645" i="23"/>
  <c r="C1078" i="23"/>
  <c r="C1618" i="23"/>
  <c r="C1429" i="23"/>
  <c r="C2023" i="23"/>
  <c r="C1753" i="23"/>
  <c r="C2050" i="23"/>
  <c r="C1699" i="23"/>
  <c r="C1726" i="23"/>
  <c r="C1456" i="23"/>
  <c r="C1051" i="23"/>
  <c r="C1564" i="23"/>
  <c r="C1915" i="23"/>
  <c r="C1969" i="23"/>
  <c r="C1105" i="23"/>
  <c r="C1807" i="23"/>
  <c r="C4237" i="23"/>
  <c r="C4588" i="23"/>
  <c r="C4939" i="23"/>
  <c r="C4615" i="23"/>
  <c r="C5074" i="23"/>
  <c r="C4210" i="23"/>
  <c r="C4561" i="23"/>
  <c r="C4858" i="23"/>
  <c r="C4669" i="23"/>
  <c r="C4750" i="23"/>
  <c r="C5020" i="23"/>
  <c r="C4966" i="23"/>
  <c r="C4912" i="23"/>
  <c r="C4723" i="23"/>
  <c r="C4156" i="23"/>
  <c r="C4696" i="23"/>
  <c r="C4507" i="23"/>
  <c r="C5101" i="23"/>
  <c r="C4831" i="23"/>
  <c r="C5128" i="23"/>
  <c r="C4777" i="23"/>
  <c r="C4804" i="23"/>
  <c r="C4534" i="23"/>
  <c r="C4129" i="23"/>
  <c r="C4642" i="23"/>
  <c r="C4993" i="23"/>
  <c r="C5047" i="23"/>
  <c r="C4183" i="23"/>
  <c r="C4885" i="23"/>
  <c r="C132" i="23"/>
  <c r="C483" i="23"/>
  <c r="C834" i="23"/>
  <c r="C510" i="23"/>
  <c r="C969" i="23"/>
  <c r="C105" i="23"/>
  <c r="C456" i="23"/>
  <c r="C753" i="23"/>
  <c r="C564" i="23"/>
  <c r="C645" i="23"/>
  <c r="C915" i="23"/>
  <c r="C861" i="23"/>
  <c r="C807" i="23"/>
  <c r="C618" i="23"/>
  <c r="C51" i="23"/>
  <c r="C591" i="23"/>
  <c r="C402" i="23"/>
  <c r="C996" i="23"/>
  <c r="C726" i="23"/>
  <c r="C1023" i="23"/>
  <c r="C672" i="23"/>
  <c r="C699" i="23"/>
  <c r="C429" i="23"/>
  <c r="C24" i="23"/>
  <c r="C537" i="23"/>
  <c r="C888" i="23"/>
  <c r="C942" i="23"/>
  <c r="C78" i="23"/>
  <c r="C780" i="23"/>
  <c r="C2184" i="23"/>
  <c r="C2535" i="23"/>
  <c r="C2886" i="23"/>
  <c r="C2562" i="23"/>
  <c r="C3021" i="23"/>
  <c r="C2157" i="23"/>
  <c r="C2508" i="23"/>
  <c r="C2805" i="23"/>
  <c r="C2616" i="23"/>
  <c r="C2697" i="23"/>
  <c r="C2967" i="23"/>
  <c r="C2913" i="23"/>
  <c r="C2859" i="23"/>
  <c r="C2670" i="23"/>
  <c r="C2103" i="23"/>
  <c r="C2643" i="23"/>
  <c r="C2454" i="23"/>
  <c r="C3048" i="23"/>
  <c r="C2778" i="23"/>
  <c r="C3075" i="23"/>
  <c r="C2724" i="23"/>
  <c r="C2751" i="23"/>
  <c r="C2481" i="23"/>
  <c r="C2076" i="23"/>
  <c r="C2589" i="23"/>
  <c r="C2940" i="23"/>
  <c r="C2994" i="23"/>
  <c r="C2130" i="23"/>
  <c r="C2832" i="23"/>
  <c r="C3210" i="23"/>
  <c r="C3561" i="23"/>
  <c r="C3912" i="23"/>
  <c r="C3588" i="23"/>
  <c r="C4047" i="23"/>
  <c r="C3183" i="23"/>
  <c r="C3534" i="23"/>
  <c r="C3831" i="23"/>
  <c r="C3642" i="23"/>
  <c r="C3723" i="23"/>
  <c r="C3993" i="23"/>
  <c r="C3939" i="23"/>
  <c r="C3885" i="23"/>
  <c r="C3696" i="23"/>
  <c r="C3129" i="23"/>
  <c r="C3669" i="23"/>
  <c r="C3480" i="23"/>
  <c r="C4074" i="23"/>
  <c r="C3804" i="23"/>
  <c r="C4101" i="23"/>
  <c r="C3750" i="23"/>
  <c r="C3777" i="23"/>
  <c r="C3507" i="23"/>
  <c r="C3102" i="23"/>
  <c r="C3615" i="23"/>
  <c r="C3966" i="23"/>
  <c r="C4020" i="23"/>
  <c r="C3156" i="23"/>
  <c r="C3858" i="23"/>
  <c r="C1158" i="23"/>
  <c r="C1509" i="23"/>
  <c r="C1860" i="23"/>
  <c r="C1536" i="23"/>
  <c r="C1995" i="23"/>
  <c r="C1131" i="23"/>
  <c r="C1482" i="23"/>
  <c r="C1779" i="23"/>
  <c r="C1590" i="23"/>
  <c r="C1671" i="23"/>
  <c r="C1941" i="23"/>
  <c r="C1887" i="23"/>
  <c r="C1833" i="23"/>
  <c r="C1644" i="23"/>
  <c r="C1077" i="23"/>
  <c r="C1617" i="23"/>
  <c r="C1428" i="23"/>
  <c r="C2022" i="23"/>
  <c r="C1752" i="23"/>
  <c r="C2049" i="23"/>
  <c r="C1698" i="23"/>
  <c r="C1725" i="23"/>
  <c r="C1455" i="23"/>
  <c r="C1050" i="23"/>
  <c r="C1563" i="23"/>
  <c r="C1914" i="23"/>
  <c r="C1968" i="23"/>
  <c r="C1104" i="23"/>
  <c r="C1806" i="23"/>
  <c r="C4236" i="23"/>
  <c r="C4587" i="23"/>
  <c r="C4938" i="23"/>
  <c r="C4614" i="23"/>
  <c r="C5073" i="23"/>
  <c r="C4209" i="23"/>
  <c r="C4560" i="23"/>
  <c r="C4857" i="23"/>
  <c r="C4668" i="23"/>
  <c r="C4749" i="23"/>
  <c r="C5019" i="23"/>
  <c r="C4965" i="23"/>
  <c r="C4911" i="23"/>
  <c r="C4722" i="23"/>
  <c r="C4155" i="23"/>
  <c r="C4695" i="23"/>
  <c r="C4506" i="23"/>
  <c r="C5100" i="23"/>
  <c r="C4830" i="23"/>
  <c r="C5127" i="23"/>
  <c r="C4776" i="23"/>
  <c r="C4803" i="23"/>
  <c r="C4533" i="23"/>
  <c r="C4128" i="23"/>
  <c r="C4641" i="23"/>
  <c r="C4992" i="23"/>
  <c r="C5046" i="23"/>
  <c r="C4182" i="23"/>
  <c r="C4884" i="23"/>
  <c r="C131" i="23"/>
  <c r="C482" i="23"/>
  <c r="C833" i="23"/>
  <c r="C509" i="23"/>
  <c r="C968" i="23"/>
  <c r="C104" i="23"/>
  <c r="C455" i="23"/>
  <c r="C752" i="23"/>
  <c r="C563" i="23"/>
  <c r="C644" i="23"/>
  <c r="C914" i="23"/>
  <c r="C860" i="23"/>
  <c r="C806" i="23"/>
  <c r="C617" i="23"/>
  <c r="C50" i="23"/>
  <c r="C590" i="23"/>
  <c r="C401" i="23"/>
  <c r="C995" i="23"/>
  <c r="C725" i="23"/>
  <c r="C1022" i="23"/>
  <c r="C671" i="23"/>
  <c r="C698" i="23"/>
  <c r="C428" i="23"/>
  <c r="C23" i="23"/>
  <c r="C536" i="23"/>
  <c r="C887" i="23"/>
  <c r="C941" i="23"/>
  <c r="C77" i="23"/>
  <c r="C779" i="23"/>
  <c r="C2183" i="23"/>
  <c r="C2534" i="23"/>
  <c r="C2885" i="23"/>
  <c r="C2561" i="23"/>
  <c r="C3020" i="23"/>
  <c r="C2156" i="23"/>
  <c r="C2507" i="23"/>
  <c r="C2804" i="23"/>
  <c r="C2615" i="23"/>
  <c r="C2696" i="23"/>
  <c r="C2966" i="23"/>
  <c r="C2912" i="23"/>
  <c r="C2858" i="23"/>
  <c r="C2669" i="23"/>
  <c r="C2102" i="23"/>
  <c r="C2642" i="23"/>
  <c r="C2453" i="23"/>
  <c r="C3047" i="23"/>
  <c r="C2777" i="23"/>
  <c r="C3074" i="23"/>
  <c r="C2723" i="23"/>
  <c r="C2750" i="23"/>
  <c r="C2480" i="23"/>
  <c r="C2075" i="23"/>
  <c r="C2588" i="23"/>
  <c r="C2939" i="23"/>
  <c r="C2993" i="23"/>
  <c r="C2129" i="23"/>
  <c r="C2831" i="23"/>
  <c r="C3209" i="23"/>
  <c r="C3560" i="23"/>
  <c r="C3911" i="23"/>
  <c r="C3587" i="23"/>
  <c r="C4046" i="23"/>
  <c r="C3182" i="23"/>
  <c r="C3533" i="23"/>
  <c r="C3830" i="23"/>
  <c r="C3641" i="23"/>
  <c r="C3722" i="23"/>
  <c r="C3992" i="23"/>
  <c r="C3938" i="23"/>
  <c r="C3884" i="23"/>
  <c r="C3695" i="23"/>
  <c r="C3128" i="23"/>
  <c r="C3668" i="23"/>
  <c r="C3479" i="23"/>
  <c r="C4073" i="23"/>
  <c r="C3803" i="23"/>
  <c r="C4100" i="23"/>
  <c r="C3749" i="23"/>
  <c r="C3776" i="23"/>
  <c r="C3506" i="23"/>
  <c r="C3101" i="23"/>
  <c r="C3614" i="23"/>
  <c r="C3965" i="23"/>
  <c r="C4019" i="23"/>
  <c r="C3155" i="23"/>
  <c r="C3857" i="23"/>
  <c r="C1157" i="23"/>
  <c r="C1508" i="23"/>
  <c r="C1859" i="23"/>
  <c r="C1535" i="23"/>
  <c r="C1994" i="23"/>
  <c r="C1130" i="23"/>
  <c r="C1481" i="23"/>
  <c r="C1778" i="23"/>
  <c r="C1589" i="23"/>
  <c r="C1670" i="23"/>
  <c r="C1940" i="23"/>
  <c r="C1886" i="23"/>
  <c r="C1832" i="23"/>
  <c r="C1643" i="23"/>
  <c r="C1076" i="23"/>
  <c r="C1616" i="23"/>
  <c r="C1427" i="23"/>
  <c r="C2021" i="23"/>
  <c r="C1751" i="23"/>
  <c r="C2048" i="23"/>
  <c r="C1697" i="23"/>
  <c r="C1724" i="23"/>
  <c r="C1454" i="23"/>
  <c r="C1049" i="23"/>
  <c r="C1562" i="23"/>
  <c r="C1913" i="23"/>
  <c r="C1967" i="23"/>
  <c r="C1103" i="23"/>
  <c r="C1805" i="23"/>
  <c r="C4235" i="23"/>
  <c r="C4586" i="23"/>
  <c r="C4937" i="23"/>
  <c r="C4613" i="23"/>
  <c r="C5072" i="23"/>
  <c r="C4208" i="23"/>
  <c r="C4559" i="23"/>
  <c r="C4856" i="23"/>
  <c r="C4667" i="23"/>
  <c r="C4748" i="23"/>
  <c r="C5018" i="23"/>
  <c r="C4964" i="23"/>
  <c r="C4910" i="23"/>
  <c r="C4721" i="23"/>
  <c r="C4154" i="23"/>
  <c r="C4694" i="23"/>
  <c r="C4505" i="23"/>
  <c r="C5099" i="23"/>
  <c r="C4829" i="23"/>
  <c r="C5126" i="23"/>
  <c r="C4775" i="23"/>
  <c r="C4802" i="23"/>
  <c r="C4532" i="23"/>
  <c r="C4127" i="23"/>
  <c r="C4640" i="23"/>
  <c r="C4991" i="23"/>
  <c r="C5045" i="23"/>
  <c r="C4181" i="23"/>
  <c r="C4883" i="23"/>
  <c r="C130" i="23"/>
  <c r="C481" i="23"/>
  <c r="C832" i="23"/>
  <c r="C508" i="23"/>
  <c r="C967" i="23"/>
  <c r="C103" i="23"/>
  <c r="C454" i="23"/>
  <c r="C751" i="23"/>
  <c r="C562" i="23"/>
  <c r="C643" i="23"/>
  <c r="C913" i="23"/>
  <c r="C859" i="23"/>
  <c r="C805" i="23"/>
  <c r="C616" i="23"/>
  <c r="C49" i="23"/>
  <c r="C589" i="23"/>
  <c r="C400" i="23"/>
  <c r="C994" i="23"/>
  <c r="C724" i="23"/>
  <c r="C1021" i="23"/>
  <c r="C670" i="23"/>
  <c r="C697" i="23"/>
  <c r="C427" i="23"/>
  <c r="C22" i="23"/>
  <c r="C535" i="23"/>
  <c r="C886" i="23"/>
  <c r="C940" i="23"/>
  <c r="C76" i="23"/>
  <c r="C778" i="23"/>
  <c r="C2182" i="23"/>
  <c r="C2533" i="23"/>
  <c r="C2884" i="23"/>
  <c r="C2560" i="23"/>
  <c r="C3019" i="23"/>
  <c r="C2155" i="23"/>
  <c r="C2506" i="23"/>
  <c r="C2803" i="23"/>
  <c r="C2614" i="23"/>
  <c r="C2695" i="23"/>
  <c r="C2965" i="23"/>
  <c r="C2911" i="23"/>
  <c r="C2857" i="23"/>
  <c r="C2668" i="23"/>
  <c r="C2101" i="23"/>
  <c r="C2641" i="23"/>
  <c r="C2452" i="23"/>
  <c r="C3046" i="23"/>
  <c r="C2776" i="23"/>
  <c r="C3073" i="23"/>
  <c r="C2722" i="23"/>
  <c r="C2749" i="23"/>
  <c r="C2479" i="23"/>
  <c r="C2074" i="23"/>
  <c r="C2587" i="23"/>
  <c r="C2938" i="23"/>
  <c r="C2992" i="23"/>
  <c r="C2128" i="23"/>
  <c r="C2830" i="23"/>
  <c r="C3208" i="23"/>
  <c r="C3559" i="23"/>
  <c r="C3910" i="23"/>
  <c r="C3586" i="23"/>
  <c r="C4045" i="23"/>
  <c r="C3181" i="23"/>
  <c r="C3532" i="23"/>
  <c r="C3829" i="23"/>
  <c r="C3640" i="23"/>
  <c r="C3721" i="23"/>
  <c r="C3991" i="23"/>
  <c r="C3937" i="23"/>
  <c r="C3883" i="23"/>
  <c r="C3694" i="23"/>
  <c r="C3127" i="23"/>
  <c r="C3667" i="23"/>
  <c r="C3478" i="23"/>
  <c r="C4072" i="23"/>
  <c r="C3802" i="23"/>
  <c r="C4099" i="23"/>
  <c r="C3748" i="23"/>
  <c r="C3775" i="23"/>
  <c r="C3505" i="23"/>
  <c r="C3100" i="23"/>
  <c r="C3613" i="23"/>
  <c r="C3964" i="23"/>
  <c r="C4018" i="23"/>
  <c r="C3154" i="23"/>
  <c r="C3856" i="23"/>
  <c r="C1156" i="23"/>
  <c r="C1507" i="23"/>
  <c r="C1858" i="23"/>
  <c r="C1534" i="23"/>
  <c r="C1993" i="23"/>
  <c r="C1129" i="23"/>
  <c r="C1480" i="23"/>
  <c r="C1777" i="23"/>
  <c r="C1588" i="23"/>
  <c r="C1669" i="23"/>
  <c r="C1939" i="23"/>
  <c r="C1885" i="23"/>
  <c r="C1831" i="23"/>
  <c r="C1642" i="23"/>
  <c r="C1075" i="23"/>
  <c r="C1615" i="23"/>
  <c r="C1426" i="23"/>
  <c r="C2020" i="23"/>
  <c r="C1750" i="23"/>
  <c r="C2047" i="23"/>
  <c r="C1696" i="23"/>
  <c r="C1723" i="23"/>
  <c r="C1453" i="23"/>
  <c r="C1048" i="23"/>
  <c r="C1561" i="23"/>
  <c r="C1912" i="23"/>
  <c r="C1966" i="23"/>
  <c r="C1102" i="23"/>
  <c r="C1804" i="23"/>
  <c r="C4234" i="23"/>
  <c r="C4585" i="23"/>
  <c r="C4936" i="23"/>
  <c r="C4612" i="23"/>
  <c r="C5071" i="23"/>
  <c r="C4207" i="23"/>
  <c r="C4558" i="23"/>
  <c r="C4855" i="23"/>
  <c r="C4666" i="23"/>
  <c r="C4747" i="23"/>
  <c r="C5017" i="23"/>
  <c r="C4963" i="23"/>
  <c r="C4909" i="23"/>
  <c r="C4720" i="23"/>
  <c r="C4153" i="23"/>
  <c r="C4693" i="23"/>
  <c r="C4504" i="23"/>
  <c r="C5098" i="23"/>
  <c r="C4828" i="23"/>
  <c r="C5125" i="23"/>
  <c r="C4774" i="23"/>
  <c r="C4801" i="23"/>
  <c r="C4531" i="23"/>
  <c r="C4126" i="23"/>
  <c r="C4639" i="23"/>
  <c r="C4990" i="23"/>
  <c r="C5044" i="23"/>
  <c r="C4180" i="23"/>
  <c r="C4882" i="23"/>
  <c r="C129" i="23"/>
  <c r="C480" i="23"/>
  <c r="C831" i="23"/>
  <c r="C507" i="23"/>
  <c r="C966" i="23"/>
  <c r="C102" i="23"/>
  <c r="C453" i="23"/>
  <c r="C750" i="23"/>
  <c r="C561" i="23"/>
  <c r="C642" i="23"/>
  <c r="C912" i="23"/>
  <c r="C858" i="23"/>
  <c r="C804" i="23"/>
  <c r="C615" i="23"/>
  <c r="C48" i="23"/>
  <c r="C588" i="23"/>
  <c r="C399" i="23"/>
  <c r="C993" i="23"/>
  <c r="C723" i="23"/>
  <c r="C1020" i="23"/>
  <c r="C669" i="23"/>
  <c r="C696" i="23"/>
  <c r="C426" i="23"/>
  <c r="C21" i="23"/>
  <c r="C534" i="23"/>
  <c r="C885" i="23"/>
  <c r="C939" i="23"/>
  <c r="C75" i="23"/>
  <c r="C777" i="23"/>
  <c r="C2181" i="23"/>
  <c r="C2532" i="23"/>
  <c r="C2883" i="23"/>
  <c r="C2559" i="23"/>
  <c r="C3018" i="23"/>
  <c r="C2154" i="23"/>
  <c r="C2505" i="23"/>
  <c r="C2802" i="23"/>
  <c r="C2613" i="23"/>
  <c r="C2694" i="23"/>
  <c r="C2964" i="23"/>
  <c r="C2910" i="23"/>
  <c r="C2856" i="23"/>
  <c r="C2667" i="23"/>
  <c r="C2100" i="23"/>
  <c r="C2640" i="23"/>
  <c r="C2451" i="23"/>
  <c r="C3045" i="23"/>
  <c r="C2775" i="23"/>
  <c r="C3072" i="23"/>
  <c r="C2721" i="23"/>
  <c r="C2748" i="23"/>
  <c r="C2478" i="23"/>
  <c r="C2073" i="23"/>
  <c r="C2586" i="23"/>
  <c r="C2937" i="23"/>
  <c r="C2991" i="23"/>
  <c r="C2127" i="23"/>
  <c r="C2829" i="23"/>
  <c r="C3207" i="23"/>
  <c r="C3558" i="23"/>
  <c r="C3909" i="23"/>
  <c r="C3585" i="23"/>
  <c r="C4044" i="23"/>
  <c r="C3180" i="23"/>
  <c r="C3531" i="23"/>
  <c r="C3828" i="23"/>
  <c r="C3639" i="23"/>
  <c r="C3720" i="23"/>
  <c r="C3990" i="23"/>
  <c r="C3936" i="23"/>
  <c r="C3882" i="23"/>
  <c r="C3693" i="23"/>
  <c r="C3126" i="23"/>
  <c r="C3666" i="23"/>
  <c r="C3477" i="23"/>
  <c r="C4071" i="23"/>
  <c r="C3801" i="23"/>
  <c r="C4098" i="23"/>
  <c r="C3747" i="23"/>
  <c r="C3774" i="23"/>
  <c r="C3504" i="23"/>
  <c r="C3099" i="23"/>
  <c r="C3612" i="23"/>
  <c r="C3963" i="23"/>
  <c r="C4017" i="23"/>
  <c r="C3153" i="23"/>
  <c r="C3855" i="23"/>
  <c r="C1155" i="23"/>
  <c r="C1506" i="23"/>
  <c r="C1857" i="23"/>
  <c r="C1533" i="23"/>
  <c r="C1992" i="23"/>
  <c r="C1128" i="23"/>
  <c r="C1479" i="23"/>
  <c r="C1776" i="23"/>
  <c r="C1587" i="23"/>
  <c r="C1668" i="23"/>
  <c r="C1938" i="23"/>
  <c r="C1884" i="23"/>
  <c r="C1830" i="23"/>
  <c r="C1641" i="23"/>
  <c r="C1074" i="23"/>
  <c r="C1614" i="23"/>
  <c r="C1425" i="23"/>
  <c r="C2019" i="23"/>
  <c r="C1749" i="23"/>
  <c r="C2046" i="23"/>
  <c r="C1695" i="23"/>
  <c r="C1722" i="23"/>
  <c r="C1452" i="23"/>
  <c r="C1047" i="23"/>
  <c r="C1560" i="23"/>
  <c r="C1911" i="23"/>
  <c r="C1965" i="23"/>
  <c r="C1101" i="23"/>
  <c r="C1803" i="23"/>
  <c r="C4233" i="23"/>
  <c r="C4584" i="23"/>
  <c r="C4935" i="23"/>
  <c r="C4611" i="23"/>
  <c r="C5070" i="23"/>
  <c r="C4206" i="23"/>
  <c r="C4557" i="23"/>
  <c r="C4854" i="23"/>
  <c r="C4665" i="23"/>
  <c r="C4746" i="23"/>
  <c r="C5016" i="23"/>
  <c r="C4962" i="23"/>
  <c r="C4908" i="23"/>
  <c r="C4719" i="23"/>
  <c r="C4152" i="23"/>
  <c r="C4692" i="23"/>
  <c r="C4503" i="23"/>
  <c r="C5097" i="23"/>
  <c r="C4827" i="23"/>
  <c r="C5124" i="23"/>
  <c r="C4773" i="23"/>
  <c r="C4800" i="23"/>
  <c r="C4530" i="23"/>
  <c r="C4125" i="23"/>
  <c r="C4638" i="23"/>
  <c r="C4989" i="23"/>
  <c r="C5043" i="23"/>
  <c r="C4179" i="23"/>
  <c r="C4881" i="23"/>
  <c r="C128" i="23"/>
  <c r="C479" i="23"/>
  <c r="C830" i="23"/>
  <c r="C506" i="23"/>
  <c r="C965" i="23"/>
  <c r="C101" i="23"/>
  <c r="C452" i="23"/>
  <c r="C749" i="23"/>
  <c r="C560" i="23"/>
  <c r="C641" i="23"/>
  <c r="C911" i="23"/>
  <c r="C857" i="23"/>
  <c r="C803" i="23"/>
  <c r="C614" i="23"/>
  <c r="C47" i="23"/>
  <c r="C587" i="23"/>
  <c r="C398" i="23"/>
  <c r="C992" i="23"/>
  <c r="C722" i="23"/>
  <c r="C1019" i="23"/>
  <c r="C668" i="23"/>
  <c r="C695" i="23"/>
  <c r="C425" i="23"/>
  <c r="C20" i="23"/>
  <c r="C533" i="23"/>
  <c r="C884" i="23"/>
  <c r="C938" i="23"/>
  <c r="C74" i="23"/>
  <c r="C776" i="23"/>
  <c r="C2180" i="23"/>
  <c r="C2531" i="23"/>
  <c r="C2882" i="23"/>
  <c r="C2558" i="23"/>
  <c r="C3017" i="23"/>
  <c r="C2153" i="23"/>
  <c r="C2504" i="23"/>
  <c r="C2801" i="23"/>
  <c r="C2612" i="23"/>
  <c r="C2693" i="23"/>
  <c r="C2963" i="23"/>
  <c r="C2909" i="23"/>
  <c r="C2855" i="23"/>
  <c r="C2666" i="23"/>
  <c r="C2099" i="23"/>
  <c r="C2639" i="23"/>
  <c r="C2450" i="23"/>
  <c r="C3044" i="23"/>
  <c r="C2774" i="23"/>
  <c r="C3071" i="23"/>
  <c r="C2720" i="23"/>
  <c r="C2747" i="23"/>
  <c r="C2477" i="23"/>
  <c r="C2072" i="23"/>
  <c r="C2585" i="23"/>
  <c r="C2936" i="23"/>
  <c r="C2990" i="23"/>
  <c r="C2126" i="23"/>
  <c r="C2828" i="23"/>
  <c r="C3206" i="23"/>
  <c r="C3557" i="23"/>
  <c r="C3908" i="23"/>
  <c r="C3584" i="23"/>
  <c r="C4043" i="23"/>
  <c r="C3179" i="23"/>
  <c r="C3530" i="23"/>
  <c r="C3827" i="23"/>
  <c r="C3638" i="23"/>
  <c r="C3719" i="23"/>
  <c r="C3989" i="23"/>
  <c r="C3935" i="23"/>
  <c r="C3881" i="23"/>
  <c r="C3692" i="23"/>
  <c r="C3125" i="23"/>
  <c r="C3665" i="23"/>
  <c r="C3476" i="23"/>
  <c r="C4070" i="23"/>
  <c r="C3800" i="23"/>
  <c r="C4097" i="23"/>
  <c r="C3746" i="23"/>
  <c r="C3773" i="23"/>
  <c r="C3503" i="23"/>
  <c r="C3098" i="23"/>
  <c r="C3611" i="23"/>
  <c r="C3962" i="23"/>
  <c r="C4016" i="23"/>
  <c r="C3152" i="23"/>
  <c r="C3854" i="23"/>
  <c r="C1154" i="23"/>
  <c r="C1505" i="23"/>
  <c r="C1856" i="23"/>
  <c r="C1532" i="23"/>
  <c r="C1991" i="23"/>
  <c r="C1127" i="23"/>
  <c r="C1478" i="23"/>
  <c r="C1775" i="23"/>
  <c r="C1586" i="23"/>
  <c r="C1667" i="23"/>
  <c r="C1937" i="23"/>
  <c r="C1883" i="23"/>
  <c r="C1829" i="23"/>
  <c r="C1640" i="23"/>
  <c r="C1073" i="23"/>
  <c r="C1613" i="23"/>
  <c r="C1424" i="23"/>
  <c r="C2018" i="23"/>
  <c r="C1748" i="23"/>
  <c r="C2045" i="23"/>
  <c r="C1694" i="23"/>
  <c r="C1721" i="23"/>
  <c r="C1451" i="23"/>
  <c r="C1046" i="23"/>
  <c r="C1559" i="23"/>
  <c r="C1910" i="23"/>
  <c r="C1964" i="23"/>
  <c r="C1100" i="23"/>
  <c r="C1802" i="23"/>
  <c r="C4232" i="23"/>
  <c r="C4583" i="23"/>
  <c r="C4934" i="23"/>
  <c r="C4610" i="23"/>
  <c r="C5069" i="23"/>
  <c r="C4205" i="23"/>
  <c r="C4556" i="23"/>
  <c r="C4853" i="23"/>
  <c r="C4664" i="23"/>
  <c r="C4745" i="23"/>
  <c r="C5015" i="23"/>
  <c r="C4961" i="23"/>
  <c r="C4907" i="23"/>
  <c r="C4718" i="23"/>
  <c r="C4151" i="23"/>
  <c r="C4691" i="23"/>
  <c r="C4502" i="23"/>
  <c r="C5096" i="23"/>
  <c r="C4826" i="23"/>
  <c r="C5123" i="23"/>
  <c r="C4772" i="23"/>
  <c r="C4799" i="23"/>
  <c r="C4529" i="23"/>
  <c r="C4124" i="23"/>
  <c r="C4637" i="23"/>
  <c r="C4988" i="23"/>
  <c r="C5042" i="23"/>
  <c r="C4178" i="23"/>
  <c r="C4880" i="23"/>
  <c r="C127" i="23"/>
  <c r="C478" i="23"/>
  <c r="C829" i="23"/>
  <c r="C505" i="23"/>
  <c r="C964" i="23"/>
  <c r="C100" i="23"/>
  <c r="C451" i="23"/>
  <c r="C748" i="23"/>
  <c r="C559" i="23"/>
  <c r="C640" i="23"/>
  <c r="C910" i="23"/>
  <c r="C856" i="23"/>
  <c r="C802" i="23"/>
  <c r="C613" i="23"/>
  <c r="C46" i="23"/>
  <c r="C586" i="23"/>
  <c r="C397" i="23"/>
  <c r="C991" i="23"/>
  <c r="C721" i="23"/>
  <c r="C1018" i="23"/>
  <c r="C667" i="23"/>
  <c r="C694" i="23"/>
  <c r="C424" i="23"/>
  <c r="C19" i="23"/>
  <c r="C532" i="23"/>
  <c r="C883" i="23"/>
  <c r="C937" i="23"/>
  <c r="C73" i="23"/>
  <c r="C775" i="23"/>
  <c r="C2179" i="23"/>
  <c r="C2530" i="23"/>
  <c r="C2881" i="23"/>
  <c r="C2557" i="23"/>
  <c r="C3016" i="23"/>
  <c r="C2152" i="23"/>
  <c r="C2503" i="23"/>
  <c r="C2800" i="23"/>
  <c r="C2611" i="23"/>
  <c r="C2692" i="23"/>
  <c r="C2962" i="23"/>
  <c r="C2908" i="23"/>
  <c r="C2854" i="23"/>
  <c r="C2665" i="23"/>
  <c r="C2098" i="23"/>
  <c r="C2638" i="23"/>
  <c r="C2449" i="23"/>
  <c r="C3043" i="23"/>
  <c r="C2773" i="23"/>
  <c r="C3070" i="23"/>
  <c r="C2719" i="23"/>
  <c r="C2746" i="23"/>
  <c r="C2476" i="23"/>
  <c r="C2071" i="23"/>
  <c r="C2584" i="23"/>
  <c r="C2935" i="23"/>
  <c r="C2989" i="23"/>
  <c r="C2125" i="23"/>
  <c r="C2827" i="23"/>
  <c r="C3205" i="23"/>
  <c r="C3556" i="23"/>
  <c r="C3907" i="23"/>
  <c r="C3583" i="23"/>
  <c r="C4042" i="23"/>
  <c r="C3178" i="23"/>
  <c r="C3529" i="23"/>
  <c r="C3826" i="23"/>
  <c r="C3637" i="23"/>
  <c r="C3718" i="23"/>
  <c r="C3988" i="23"/>
  <c r="C3934" i="23"/>
  <c r="C3880" i="23"/>
  <c r="C3691" i="23"/>
  <c r="C3124" i="23"/>
  <c r="C3664" i="23"/>
  <c r="C3475" i="23"/>
  <c r="C4069" i="23"/>
  <c r="C3799" i="23"/>
  <c r="C4096" i="23"/>
  <c r="C3745" i="23"/>
  <c r="C3772" i="23"/>
  <c r="C3502" i="23"/>
  <c r="C3097" i="23"/>
  <c r="C3610" i="23"/>
  <c r="C3961" i="23"/>
  <c r="C4015" i="23"/>
  <c r="C3151" i="23"/>
  <c r="C3853" i="23"/>
  <c r="C1153" i="23"/>
  <c r="C1504" i="23"/>
  <c r="C1855" i="23"/>
  <c r="C1531" i="23"/>
  <c r="C1990" i="23"/>
  <c r="C1126" i="23"/>
  <c r="C1477" i="23"/>
  <c r="C1774" i="23"/>
  <c r="C1585" i="23"/>
  <c r="C1666" i="23"/>
  <c r="C1936" i="23"/>
  <c r="C1882" i="23"/>
  <c r="C1828" i="23"/>
  <c r="C1639" i="23"/>
  <c r="C1072" i="23"/>
  <c r="C1612" i="23"/>
  <c r="C1423" i="23"/>
  <c r="C2017" i="23"/>
  <c r="C1747" i="23"/>
  <c r="C2044" i="23"/>
  <c r="C1693" i="23"/>
  <c r="C1720" i="23"/>
  <c r="C1450" i="23"/>
  <c r="C1045" i="23"/>
  <c r="C1558" i="23"/>
  <c r="C1909" i="23"/>
  <c r="C1963" i="23"/>
  <c r="C1099" i="23"/>
  <c r="C1801" i="23"/>
  <c r="C4231" i="23"/>
  <c r="C4582" i="23"/>
  <c r="C4933" i="23"/>
  <c r="C4609" i="23"/>
  <c r="C5068" i="23"/>
  <c r="C4204" i="23"/>
  <c r="C4555" i="23"/>
  <c r="C4852" i="23"/>
  <c r="C4663" i="23"/>
  <c r="C4744" i="23"/>
  <c r="C5014" i="23"/>
  <c r="C4960" i="23"/>
  <c r="C4906" i="23"/>
  <c r="C4717" i="23"/>
  <c r="C4150" i="23"/>
  <c r="C4690" i="23"/>
  <c r="C4501" i="23"/>
  <c r="C5095" i="23"/>
  <c r="C4825" i="23"/>
  <c r="C5122" i="23"/>
  <c r="C4771" i="23"/>
  <c r="C4798" i="23"/>
  <c r="C4528" i="23"/>
  <c r="C4123" i="23"/>
  <c r="C4636" i="23"/>
  <c r="C4987" i="23"/>
  <c r="C5041" i="23"/>
  <c r="C4177" i="23"/>
  <c r="C4879" i="23"/>
  <c r="C126" i="23"/>
  <c r="C477" i="23"/>
  <c r="C828" i="23"/>
  <c r="C504" i="23"/>
  <c r="C963" i="23"/>
  <c r="C99" i="23"/>
  <c r="C450" i="23"/>
  <c r="C747" i="23"/>
  <c r="C558" i="23"/>
  <c r="C639" i="23"/>
  <c r="C909" i="23"/>
  <c r="C855" i="23"/>
  <c r="C801" i="23"/>
  <c r="C612" i="23"/>
  <c r="C45" i="23"/>
  <c r="C585" i="23"/>
  <c r="C396" i="23"/>
  <c r="C990" i="23"/>
  <c r="C720" i="23"/>
  <c r="C1017" i="23"/>
  <c r="C666" i="23"/>
  <c r="C693" i="23"/>
  <c r="C423" i="23"/>
  <c r="C18" i="23"/>
  <c r="C531" i="23"/>
  <c r="C882" i="23"/>
  <c r="C936" i="23"/>
  <c r="C72" i="23"/>
  <c r="C774" i="23"/>
  <c r="C2178" i="23"/>
  <c r="C2529" i="23"/>
  <c r="C2880" i="23"/>
  <c r="C2556" i="23"/>
  <c r="C3015" i="23"/>
  <c r="C2151" i="23"/>
  <c r="C2502" i="23"/>
  <c r="C2799" i="23"/>
  <c r="C2610" i="23"/>
  <c r="C2691" i="23"/>
  <c r="C2961" i="23"/>
  <c r="C2907" i="23"/>
  <c r="C2853" i="23"/>
  <c r="C2664" i="23"/>
  <c r="C2097" i="23"/>
  <c r="C2637" i="23"/>
  <c r="C2448" i="23"/>
  <c r="C3042" i="23"/>
  <c r="C2772" i="23"/>
  <c r="C3069" i="23"/>
  <c r="C2718" i="23"/>
  <c r="C2745" i="23"/>
  <c r="C2475" i="23"/>
  <c r="C2070" i="23"/>
  <c r="C2583" i="23"/>
  <c r="C2934" i="23"/>
  <c r="C2988" i="23"/>
  <c r="C2124" i="23"/>
  <c r="C2826" i="23"/>
  <c r="C3204" i="23"/>
  <c r="C3555" i="23"/>
  <c r="C3906" i="23"/>
  <c r="C3582" i="23"/>
  <c r="C4041" i="23"/>
  <c r="C3177" i="23"/>
  <c r="C3528" i="23"/>
  <c r="C3825" i="23"/>
  <c r="C3636" i="23"/>
  <c r="C3717" i="23"/>
  <c r="C3987" i="23"/>
  <c r="C3933" i="23"/>
  <c r="C3879" i="23"/>
  <c r="C3690" i="23"/>
  <c r="C3123" i="23"/>
  <c r="C3663" i="23"/>
  <c r="C3474" i="23"/>
  <c r="C4068" i="23"/>
  <c r="C3798" i="23"/>
  <c r="C4095" i="23"/>
  <c r="C3744" i="23"/>
  <c r="C3771" i="23"/>
  <c r="C3501" i="23"/>
  <c r="C3096" i="23"/>
  <c r="C3609" i="23"/>
  <c r="C3960" i="23"/>
  <c r="C4014" i="23"/>
  <c r="C3150" i="23"/>
  <c r="C3852" i="23"/>
  <c r="C1152" i="23"/>
  <c r="C1503" i="23"/>
  <c r="C1854" i="23"/>
  <c r="C1530" i="23"/>
  <c r="C1989" i="23"/>
  <c r="C1125" i="23"/>
  <c r="C1476" i="23"/>
  <c r="C1773" i="23"/>
  <c r="C1584" i="23"/>
  <c r="C1665" i="23"/>
  <c r="C1935" i="23"/>
  <c r="C1881" i="23"/>
  <c r="C1827" i="23"/>
  <c r="C1638" i="23"/>
  <c r="C1071" i="23"/>
  <c r="C1611" i="23"/>
  <c r="C1422" i="23"/>
  <c r="C2016" i="23"/>
  <c r="C1746" i="23"/>
  <c r="C2043" i="23"/>
  <c r="C1692" i="23"/>
  <c r="C1719" i="23"/>
  <c r="C1449" i="23"/>
  <c r="C1044" i="23"/>
  <c r="C1557" i="23"/>
  <c r="C1908" i="23"/>
  <c r="C1962" i="23"/>
  <c r="C1098" i="23"/>
  <c r="C1800" i="23"/>
  <c r="C4230" i="23"/>
  <c r="C4581" i="23"/>
  <c r="C4932" i="23"/>
  <c r="C4608" i="23"/>
  <c r="C5067" i="23"/>
  <c r="C4203" i="23"/>
  <c r="C4554" i="23"/>
  <c r="C4851" i="23"/>
  <c r="C4662" i="23"/>
  <c r="C4743" i="23"/>
  <c r="C5013" i="23"/>
  <c r="C4959" i="23"/>
  <c r="C4905" i="23"/>
  <c r="C4716" i="23"/>
  <c r="C4149" i="23"/>
  <c r="C4689" i="23"/>
  <c r="C4500" i="23"/>
  <c r="C5094" i="23"/>
  <c r="C4824" i="23"/>
  <c r="C5121" i="23"/>
  <c r="C4770" i="23"/>
  <c r="C4797" i="23"/>
  <c r="C4527" i="23"/>
  <c r="C4122" i="23"/>
  <c r="C4635" i="23"/>
  <c r="C4986" i="23"/>
  <c r="C5040" i="23"/>
  <c r="C4176" i="23"/>
  <c r="C4878" i="23"/>
  <c r="C125" i="23"/>
  <c r="C476" i="23"/>
  <c r="C827" i="23"/>
  <c r="C503" i="23"/>
  <c r="C962" i="23"/>
  <c r="C98" i="23"/>
  <c r="C449" i="23"/>
  <c r="C746" i="23"/>
  <c r="C557" i="23"/>
  <c r="C638" i="23"/>
  <c r="C908" i="23"/>
  <c r="C854" i="23"/>
  <c r="C800" i="23"/>
  <c r="C611" i="23"/>
  <c r="C44" i="23"/>
  <c r="C584" i="23"/>
  <c r="C395" i="23"/>
  <c r="C989" i="23"/>
  <c r="C719" i="23"/>
  <c r="C1016" i="23"/>
  <c r="C665" i="23"/>
  <c r="C692" i="23"/>
  <c r="C422" i="23"/>
  <c r="C17" i="23"/>
  <c r="C530" i="23"/>
  <c r="C881" i="23"/>
  <c r="C935" i="23"/>
  <c r="C71" i="23"/>
  <c r="C773" i="23"/>
  <c r="C2177" i="23"/>
  <c r="C2528" i="23"/>
  <c r="C2879" i="23"/>
  <c r="C2555" i="23"/>
  <c r="C3014" i="23"/>
  <c r="C2150" i="23"/>
  <c r="C2501" i="23"/>
  <c r="C2798" i="23"/>
  <c r="C2609" i="23"/>
  <c r="C2690" i="23"/>
  <c r="C2960" i="23"/>
  <c r="C2906" i="23"/>
  <c r="C2852" i="23"/>
  <c r="C2663" i="23"/>
  <c r="C2096" i="23"/>
  <c r="C2636" i="23"/>
  <c r="C2447" i="23"/>
  <c r="C3041" i="23"/>
  <c r="C2771" i="23"/>
  <c r="C3068" i="23"/>
  <c r="C2717" i="23"/>
  <c r="C2744" i="23"/>
  <c r="C2474" i="23"/>
  <c r="C2069" i="23"/>
  <c r="C2582" i="23"/>
  <c r="C2933" i="23"/>
  <c r="C2987" i="23"/>
  <c r="C2123" i="23"/>
  <c r="C2825" i="23"/>
  <c r="C3203" i="23"/>
  <c r="C3554" i="23"/>
  <c r="C3905" i="23"/>
  <c r="C3581" i="23"/>
  <c r="C4040" i="23"/>
  <c r="C3176" i="23"/>
  <c r="C3527" i="23"/>
  <c r="C3824" i="23"/>
  <c r="C3635" i="23"/>
  <c r="C3716" i="23"/>
  <c r="C3986" i="23"/>
  <c r="C3932" i="23"/>
  <c r="C3878" i="23"/>
  <c r="C3689" i="23"/>
  <c r="C3122" i="23"/>
  <c r="C3662" i="23"/>
  <c r="C3473" i="23"/>
  <c r="C4067" i="23"/>
  <c r="C3797" i="23"/>
  <c r="C4094" i="23"/>
  <c r="C3743" i="23"/>
  <c r="C3770" i="23"/>
  <c r="C3500" i="23"/>
  <c r="C3095" i="23"/>
  <c r="C3608" i="23"/>
  <c r="C3959" i="23"/>
  <c r="C4013" i="23"/>
  <c r="C3149" i="23"/>
  <c r="C3851" i="23"/>
  <c r="C1151" i="23"/>
  <c r="C1502" i="23"/>
  <c r="C1853" i="23"/>
  <c r="C1529" i="23"/>
  <c r="C1988" i="23"/>
  <c r="C1124" i="23"/>
  <c r="C1475" i="23"/>
  <c r="C1772" i="23"/>
  <c r="C1583" i="23"/>
  <c r="C1664" i="23"/>
  <c r="C1934" i="23"/>
  <c r="C1880" i="23"/>
  <c r="C1826" i="23"/>
  <c r="C1637" i="23"/>
  <c r="C1070" i="23"/>
  <c r="C1610" i="23"/>
  <c r="C1421" i="23"/>
  <c r="C2015" i="23"/>
  <c r="C1745" i="23"/>
  <c r="C2042" i="23"/>
  <c r="C1691" i="23"/>
  <c r="C1718" i="23"/>
  <c r="C1448" i="23"/>
  <c r="C1043" i="23"/>
  <c r="C1556" i="23"/>
  <c r="C1907" i="23"/>
  <c r="C1961" i="23"/>
  <c r="C1097" i="23"/>
  <c r="C1799" i="23"/>
  <c r="C4229" i="23"/>
  <c r="C4580" i="23"/>
  <c r="C4931" i="23"/>
  <c r="C4607" i="23"/>
  <c r="C5066" i="23"/>
  <c r="C4202" i="23"/>
  <c r="C4553" i="23"/>
  <c r="C4850" i="23"/>
  <c r="C4661" i="23"/>
  <c r="C4742" i="23"/>
  <c r="C5012" i="23"/>
  <c r="C4958" i="23"/>
  <c r="C4904" i="23"/>
  <c r="C4715" i="23"/>
  <c r="C4148" i="23"/>
  <c r="C4688" i="23"/>
  <c r="C4499" i="23"/>
  <c r="C5093" i="23"/>
  <c r="C4823" i="23"/>
  <c r="C5120" i="23"/>
  <c r="C4769" i="23"/>
  <c r="C4796" i="23"/>
  <c r="C4526" i="23"/>
  <c r="C4121" i="23"/>
  <c r="C4634" i="23"/>
  <c r="C4985" i="23"/>
  <c r="C5039" i="23"/>
  <c r="C4175" i="23"/>
  <c r="C4877" i="23"/>
  <c r="C124" i="23"/>
  <c r="C475" i="23"/>
  <c r="C826" i="23"/>
  <c r="C502" i="23"/>
  <c r="C961" i="23"/>
  <c r="C97" i="23"/>
  <c r="C448" i="23"/>
  <c r="C745" i="23"/>
  <c r="C556" i="23"/>
  <c r="C637" i="23"/>
  <c r="C907" i="23"/>
  <c r="C853" i="23"/>
  <c r="C799" i="23"/>
  <c r="C610" i="23"/>
  <c r="C43" i="23"/>
  <c r="C583" i="23"/>
  <c r="C394" i="23"/>
  <c r="C988" i="23"/>
  <c r="C718" i="23"/>
  <c r="C1015" i="23"/>
  <c r="C664" i="23"/>
  <c r="C691" i="23"/>
  <c r="C421" i="23"/>
  <c r="C16" i="23"/>
  <c r="C529" i="23"/>
  <c r="C880" i="23"/>
  <c r="C934" i="23"/>
  <c r="C70" i="23"/>
  <c r="C772" i="23"/>
  <c r="C2176" i="23"/>
  <c r="C2527" i="23"/>
  <c r="C2878" i="23"/>
  <c r="C2554" i="23"/>
  <c r="C3013" i="23"/>
  <c r="C2149" i="23"/>
  <c r="C2500" i="23"/>
  <c r="C2797" i="23"/>
  <c r="C2608" i="23"/>
  <c r="C2689" i="23"/>
  <c r="C2959" i="23"/>
  <c r="C2905" i="23"/>
  <c r="C2851" i="23"/>
  <c r="C2662" i="23"/>
  <c r="C2095" i="23"/>
  <c r="C2635" i="23"/>
  <c r="C2446" i="23"/>
  <c r="C3040" i="23"/>
  <c r="C2770" i="23"/>
  <c r="C3067" i="23"/>
  <c r="C2716" i="23"/>
  <c r="C2743" i="23"/>
  <c r="C2473" i="23"/>
  <c r="C2068" i="23"/>
  <c r="C2581" i="23"/>
  <c r="C2932" i="23"/>
  <c r="C2986" i="23"/>
  <c r="C2122" i="23"/>
  <c r="C2824" i="23"/>
  <c r="C3202" i="23"/>
  <c r="C3553" i="23"/>
  <c r="C3904" i="23"/>
  <c r="C3580" i="23"/>
  <c r="C4039" i="23"/>
  <c r="C3175" i="23"/>
  <c r="C3526" i="23"/>
  <c r="C3823" i="23"/>
  <c r="C3634" i="23"/>
  <c r="C3715" i="23"/>
  <c r="C3985" i="23"/>
  <c r="C3931" i="23"/>
  <c r="C3877" i="23"/>
  <c r="C3688" i="23"/>
  <c r="C3121" i="23"/>
  <c r="C3661" i="23"/>
  <c r="C3472" i="23"/>
  <c r="C4066" i="23"/>
  <c r="C3796" i="23"/>
  <c r="C4093" i="23"/>
  <c r="C3742" i="23"/>
  <c r="C3769" i="23"/>
  <c r="C3499" i="23"/>
  <c r="C3094" i="23"/>
  <c r="C3607" i="23"/>
  <c r="C3958" i="23"/>
  <c r="C4012" i="23"/>
  <c r="C3148" i="23"/>
  <c r="C3850" i="23"/>
  <c r="C1150" i="23"/>
  <c r="C1501" i="23"/>
  <c r="C1852" i="23"/>
  <c r="C1528" i="23"/>
  <c r="C1987" i="23"/>
  <c r="C1123" i="23"/>
  <c r="C1474" i="23"/>
  <c r="C1771" i="23"/>
  <c r="C1582" i="23"/>
  <c r="C1663" i="23"/>
  <c r="C1933" i="23"/>
  <c r="C1879" i="23"/>
  <c r="C1825" i="23"/>
  <c r="C1636" i="23"/>
  <c r="C1069" i="23"/>
  <c r="C1609" i="23"/>
  <c r="C1420" i="23"/>
  <c r="C2014" i="23"/>
  <c r="C1744" i="23"/>
  <c r="C2041" i="23"/>
  <c r="C1690" i="23"/>
  <c r="C1717" i="23"/>
  <c r="C1447" i="23"/>
  <c r="C1042" i="23"/>
  <c r="C1555" i="23"/>
  <c r="C1906" i="23"/>
  <c r="C1960" i="23"/>
  <c r="C1096" i="23"/>
  <c r="C1798" i="23"/>
  <c r="C4228" i="23"/>
  <c r="C4579" i="23"/>
  <c r="C4930" i="23"/>
  <c r="C4606" i="23"/>
  <c r="C5065" i="23"/>
  <c r="C4201" i="23"/>
  <c r="C4552" i="23"/>
  <c r="C4849" i="23"/>
  <c r="C4660" i="23"/>
  <c r="C4741" i="23"/>
  <c r="C5011" i="23"/>
  <c r="C4957" i="23"/>
  <c r="C4903" i="23"/>
  <c r="C4714" i="23"/>
  <c r="C4147" i="23"/>
  <c r="C4687" i="23"/>
  <c r="C4498" i="23"/>
  <c r="C5092" i="23"/>
  <c r="C4822" i="23"/>
  <c r="C5119" i="23"/>
  <c r="C4768" i="23"/>
  <c r="C4795" i="23"/>
  <c r="C4525" i="23"/>
  <c r="C4120" i="23"/>
  <c r="C4633" i="23"/>
  <c r="C4984" i="23"/>
  <c r="C5038" i="23"/>
  <c r="C4174" i="23"/>
  <c r="C4876" i="23"/>
  <c r="C123" i="23"/>
  <c r="C474" i="23"/>
  <c r="C825" i="23"/>
  <c r="C501" i="23"/>
  <c r="C960" i="23"/>
  <c r="C96" i="23"/>
  <c r="C447" i="23"/>
  <c r="C744" i="23"/>
  <c r="C555" i="23"/>
  <c r="C636" i="23"/>
  <c r="C906" i="23"/>
  <c r="C852" i="23"/>
  <c r="C798" i="23"/>
  <c r="C609" i="23"/>
  <c r="C42" i="23"/>
  <c r="C582" i="23"/>
  <c r="C393" i="23"/>
  <c r="C987" i="23"/>
  <c r="C717" i="23"/>
  <c r="C1014" i="23"/>
  <c r="C663" i="23"/>
  <c r="C690" i="23"/>
  <c r="C420" i="23"/>
  <c r="C15" i="23"/>
  <c r="C528" i="23"/>
  <c r="C879" i="23"/>
  <c r="C933" i="23"/>
  <c r="C69" i="23"/>
  <c r="C771" i="23"/>
  <c r="C2175" i="23"/>
  <c r="C2526" i="23"/>
  <c r="C2877" i="23"/>
  <c r="C2553" i="23"/>
  <c r="C3012" i="23"/>
  <c r="C2148" i="23"/>
  <c r="C2499" i="23"/>
  <c r="C2796" i="23"/>
  <c r="C2607" i="23"/>
  <c r="C2688" i="23"/>
  <c r="C2958" i="23"/>
  <c r="C2904" i="23"/>
  <c r="C2850" i="23"/>
  <c r="C2661" i="23"/>
  <c r="C2094" i="23"/>
  <c r="C2634" i="23"/>
  <c r="C2445" i="23"/>
  <c r="C3039" i="23"/>
  <c r="C2769" i="23"/>
  <c r="C3066" i="23"/>
  <c r="C2715" i="23"/>
  <c r="C2742" i="23"/>
  <c r="C2472" i="23"/>
  <c r="C2067" i="23"/>
  <c r="C2580" i="23"/>
  <c r="C2931" i="23"/>
  <c r="C2985" i="23"/>
  <c r="C2121" i="23"/>
  <c r="C2823" i="23"/>
  <c r="C3201" i="23"/>
  <c r="C3552" i="23"/>
  <c r="C3903" i="23"/>
  <c r="C3579" i="23"/>
  <c r="C4038" i="23"/>
  <c r="C3174" i="23"/>
  <c r="C3525" i="23"/>
  <c r="C3822" i="23"/>
  <c r="C3633" i="23"/>
  <c r="C3714" i="23"/>
  <c r="C3984" i="23"/>
  <c r="C3930" i="23"/>
  <c r="C3876" i="23"/>
  <c r="C3687" i="23"/>
  <c r="C3120" i="23"/>
  <c r="C3660" i="23"/>
  <c r="C3471" i="23"/>
  <c r="C4065" i="23"/>
  <c r="C3795" i="23"/>
  <c r="C4092" i="23"/>
  <c r="C3741" i="23"/>
  <c r="C3768" i="23"/>
  <c r="C3498" i="23"/>
  <c r="C3093" i="23"/>
  <c r="C3606" i="23"/>
  <c r="C3957" i="23"/>
  <c r="C4011" i="23"/>
  <c r="C3147" i="23"/>
  <c r="C3849" i="23"/>
  <c r="C1149" i="23"/>
  <c r="C1500" i="23"/>
  <c r="C1851" i="23"/>
  <c r="C1527" i="23"/>
  <c r="C1986" i="23"/>
  <c r="C1122" i="23"/>
  <c r="C1473" i="23"/>
  <c r="C1770" i="23"/>
  <c r="C1581" i="23"/>
  <c r="C1662" i="23"/>
  <c r="C1932" i="23"/>
  <c r="C1878" i="23"/>
  <c r="C1824" i="23"/>
  <c r="C1635" i="23"/>
  <c r="C1068" i="23"/>
  <c r="C1608" i="23"/>
  <c r="C1419" i="23"/>
  <c r="C2013" i="23"/>
  <c r="C1743" i="23"/>
  <c r="C2040" i="23"/>
  <c r="C1689" i="23"/>
  <c r="C1716" i="23"/>
  <c r="C1446" i="23"/>
  <c r="C1041" i="23"/>
  <c r="C1554" i="23"/>
  <c r="C1905" i="23"/>
  <c r="C1959" i="23"/>
  <c r="C1095" i="23"/>
  <c r="C1797" i="23"/>
  <c r="C4227" i="23"/>
  <c r="C4578" i="23"/>
  <c r="C4929" i="23"/>
  <c r="C4605" i="23"/>
  <c r="C5064" i="23"/>
  <c r="C4200" i="23"/>
  <c r="C4551" i="23"/>
  <c r="C4848" i="23"/>
  <c r="C4659" i="23"/>
  <c r="C4740" i="23"/>
  <c r="C5010" i="23"/>
  <c r="C4956" i="23"/>
  <c r="C4902" i="23"/>
  <c r="C4713" i="23"/>
  <c r="C4146" i="23"/>
  <c r="C4686" i="23"/>
  <c r="C4497" i="23"/>
  <c r="C5091" i="23"/>
  <c r="C4821" i="23"/>
  <c r="C5118" i="23"/>
  <c r="C4767" i="23"/>
  <c r="C4794" i="23"/>
  <c r="C4524" i="23"/>
  <c r="C4119" i="23"/>
  <c r="C4632" i="23"/>
  <c r="C4983" i="23"/>
  <c r="C5037" i="23"/>
  <c r="C4173" i="23"/>
  <c r="C4875" i="23"/>
  <c r="C122" i="23"/>
  <c r="C473" i="23"/>
  <c r="C824" i="23"/>
  <c r="C500" i="23"/>
  <c r="C959" i="23"/>
  <c r="C95" i="23"/>
  <c r="C446" i="23"/>
  <c r="C743" i="23"/>
  <c r="C554" i="23"/>
  <c r="C635" i="23"/>
  <c r="C905" i="23"/>
  <c r="C851" i="23"/>
  <c r="C797" i="23"/>
  <c r="C608" i="23"/>
  <c r="C41" i="23"/>
  <c r="C581" i="23"/>
  <c r="C392" i="23"/>
  <c r="C986" i="23"/>
  <c r="C716" i="23"/>
  <c r="C1013" i="23"/>
  <c r="C662" i="23"/>
  <c r="C689" i="23"/>
  <c r="C419" i="23"/>
  <c r="C14" i="23"/>
  <c r="C527" i="23"/>
  <c r="C878" i="23"/>
  <c r="C932" i="23"/>
  <c r="C68" i="23"/>
  <c r="C770" i="23"/>
  <c r="C2174" i="23"/>
  <c r="C2525" i="23"/>
  <c r="C2876" i="23"/>
  <c r="C2552" i="23"/>
  <c r="C3011" i="23"/>
  <c r="C2147" i="23"/>
  <c r="C2498" i="23"/>
  <c r="C2795" i="23"/>
  <c r="C2606" i="23"/>
  <c r="C2687" i="23"/>
  <c r="C2957" i="23"/>
  <c r="C2903" i="23"/>
  <c r="C2849" i="23"/>
  <c r="C2660" i="23"/>
  <c r="C2093" i="23"/>
  <c r="C2633" i="23"/>
  <c r="C2444" i="23"/>
  <c r="C3038" i="23"/>
  <c r="C2768" i="23"/>
  <c r="C3065" i="23"/>
  <c r="C2714" i="23"/>
  <c r="C2741" i="23"/>
  <c r="C2471" i="23"/>
  <c r="C2066" i="23"/>
  <c r="C2579" i="23"/>
  <c r="C2930" i="23"/>
  <c r="C2984" i="23"/>
  <c r="C2120" i="23"/>
  <c r="C2822" i="23"/>
  <c r="C3200" i="23"/>
  <c r="C3551" i="23"/>
  <c r="C3902" i="23"/>
  <c r="C3578" i="23"/>
  <c r="C4037" i="23"/>
  <c r="C3173" i="23"/>
  <c r="C3524" i="23"/>
  <c r="C3821" i="23"/>
  <c r="C3632" i="23"/>
  <c r="C3713" i="23"/>
  <c r="C3983" i="23"/>
  <c r="C3929" i="23"/>
  <c r="C3875" i="23"/>
  <c r="C3686" i="23"/>
  <c r="C3119" i="23"/>
  <c r="C3659" i="23"/>
  <c r="C3470" i="23"/>
  <c r="C4064" i="23"/>
  <c r="C3794" i="23"/>
  <c r="C4091" i="23"/>
  <c r="C3740" i="23"/>
  <c r="C3767" i="23"/>
  <c r="C3497" i="23"/>
  <c r="C3092" i="23"/>
  <c r="C3605" i="23"/>
  <c r="C3956" i="23"/>
  <c r="C4010" i="23"/>
  <c r="C3146" i="23"/>
  <c r="C3848" i="23"/>
  <c r="C1148" i="23"/>
  <c r="C1499" i="23"/>
  <c r="C1850" i="23"/>
  <c r="C1526" i="23"/>
  <c r="C1985" i="23"/>
  <c r="C1121" i="23"/>
  <c r="C1472" i="23"/>
  <c r="C1769" i="23"/>
  <c r="C1580" i="23"/>
  <c r="C1661" i="23"/>
  <c r="C1931" i="23"/>
  <c r="C1877" i="23"/>
  <c r="C1823" i="23"/>
  <c r="C1634" i="23"/>
  <c r="C1067" i="23"/>
  <c r="C1607" i="23"/>
  <c r="C1418" i="23"/>
  <c r="C2012" i="23"/>
  <c r="C1742" i="23"/>
  <c r="C2039" i="23"/>
  <c r="C1688" i="23"/>
  <c r="C1715" i="23"/>
  <c r="C1445" i="23"/>
  <c r="C1040" i="23"/>
  <c r="C1553" i="23"/>
  <c r="C1904" i="23"/>
  <c r="C1958" i="23"/>
  <c r="C1094" i="23"/>
  <c r="C1796" i="23"/>
  <c r="C4226" i="23"/>
  <c r="C4577" i="23"/>
  <c r="C4928" i="23"/>
  <c r="C4604" i="23"/>
  <c r="C5063" i="23"/>
  <c r="C4199" i="23"/>
  <c r="C4550" i="23"/>
  <c r="C4847" i="23"/>
  <c r="C4658" i="23"/>
  <c r="C4739" i="23"/>
  <c r="C5009" i="23"/>
  <c r="C4955" i="23"/>
  <c r="C4901" i="23"/>
  <c r="C4712" i="23"/>
  <c r="C4145" i="23"/>
  <c r="C4685" i="23"/>
  <c r="C4496" i="23"/>
  <c r="C5090" i="23"/>
  <c r="C4820" i="23"/>
  <c r="C5117" i="23"/>
  <c r="C4766" i="23"/>
  <c r="C4793" i="23"/>
  <c r="C4523" i="23"/>
  <c r="C4118" i="23"/>
  <c r="C4631" i="23"/>
  <c r="C4982" i="23"/>
  <c r="C5036" i="23"/>
  <c r="C4172" i="23"/>
  <c r="C4874" i="23"/>
  <c r="C121" i="23"/>
  <c r="C472" i="23"/>
  <c r="C823" i="23"/>
  <c r="C499" i="23"/>
  <c r="C958" i="23"/>
  <c r="C94" i="23"/>
  <c r="C445" i="23"/>
  <c r="C742" i="23"/>
  <c r="C553" i="23"/>
  <c r="C634" i="23"/>
  <c r="C904" i="23"/>
  <c r="C850" i="23"/>
  <c r="C796" i="23"/>
  <c r="C607" i="23"/>
  <c r="C40" i="23"/>
  <c r="C580" i="23"/>
  <c r="C391" i="23"/>
  <c r="C985" i="23"/>
  <c r="C715" i="23"/>
  <c r="C1012" i="23"/>
  <c r="C661" i="23"/>
  <c r="C688" i="23"/>
  <c r="C418" i="23"/>
  <c r="C13" i="23"/>
  <c r="C526" i="23"/>
  <c r="C877" i="23"/>
  <c r="C931" i="23"/>
  <c r="C67" i="23"/>
  <c r="C769" i="23"/>
  <c r="C2173" i="23"/>
  <c r="C2524" i="23"/>
  <c r="C2875" i="23"/>
  <c r="C2551" i="23"/>
  <c r="C3010" i="23"/>
  <c r="C2146" i="23"/>
  <c r="C2497" i="23"/>
  <c r="C2794" i="23"/>
  <c r="C2605" i="23"/>
  <c r="C2686" i="23"/>
  <c r="C2956" i="23"/>
  <c r="C2902" i="23"/>
  <c r="C2848" i="23"/>
  <c r="C2659" i="23"/>
  <c r="C2092" i="23"/>
  <c r="C2632" i="23"/>
  <c r="C2443" i="23"/>
  <c r="C3037" i="23"/>
  <c r="C2767" i="23"/>
  <c r="C3064" i="23"/>
  <c r="C2713" i="23"/>
  <c r="C2740" i="23"/>
  <c r="C2470" i="23"/>
  <c r="C2065" i="23"/>
  <c r="C2578" i="23"/>
  <c r="C2929" i="23"/>
  <c r="C2983" i="23"/>
  <c r="C2119" i="23"/>
  <c r="C2821" i="23"/>
  <c r="C3199" i="23"/>
  <c r="C3550" i="23"/>
  <c r="C3901" i="23"/>
  <c r="C3577" i="23"/>
  <c r="C4036" i="23"/>
  <c r="C3172" i="23"/>
  <c r="C3523" i="23"/>
  <c r="C3820" i="23"/>
  <c r="C3631" i="23"/>
  <c r="C3712" i="23"/>
  <c r="C3982" i="23"/>
  <c r="C3928" i="23"/>
  <c r="C3874" i="23"/>
  <c r="C3685" i="23"/>
  <c r="C3118" i="23"/>
  <c r="C3658" i="23"/>
  <c r="C3469" i="23"/>
  <c r="C4063" i="23"/>
  <c r="C3793" i="23"/>
  <c r="C4090" i="23"/>
  <c r="C3739" i="23"/>
  <c r="C3766" i="23"/>
  <c r="C3496" i="23"/>
  <c r="C3091" i="23"/>
  <c r="C3604" i="23"/>
  <c r="C3955" i="23"/>
  <c r="C4009" i="23"/>
  <c r="C3145" i="23"/>
  <c r="C3847" i="23"/>
  <c r="C1147" i="23"/>
  <c r="C1498" i="23"/>
  <c r="C1849" i="23"/>
  <c r="C1525" i="23"/>
  <c r="C1984" i="23"/>
  <c r="C1120" i="23"/>
  <c r="C1471" i="23"/>
  <c r="C1768" i="23"/>
  <c r="C1579" i="23"/>
  <c r="C1660" i="23"/>
  <c r="C1930" i="23"/>
  <c r="C1876" i="23"/>
  <c r="C1822" i="23"/>
  <c r="C1633" i="23"/>
  <c r="C1066" i="23"/>
  <c r="C1606" i="23"/>
  <c r="C1417" i="23"/>
  <c r="C2011" i="23"/>
  <c r="C1741" i="23"/>
  <c r="C2038" i="23"/>
  <c r="C1687" i="23"/>
  <c r="C1714" i="23"/>
  <c r="C1444" i="23"/>
  <c r="C1039" i="23"/>
  <c r="C1552" i="23"/>
  <c r="C1903" i="23"/>
  <c r="C1957" i="23"/>
  <c r="C1093" i="23"/>
  <c r="C1795" i="23"/>
  <c r="C4225" i="23"/>
  <c r="C4576" i="23"/>
  <c r="C4927" i="23"/>
  <c r="C4603" i="23"/>
  <c r="C5062" i="23"/>
  <c r="C4198" i="23"/>
  <c r="C4549" i="23"/>
  <c r="C4846" i="23"/>
  <c r="C4657" i="23"/>
  <c r="C4738" i="23"/>
  <c r="C5008" i="23"/>
  <c r="C4954" i="23"/>
  <c r="C4900" i="23"/>
  <c r="C4711" i="23"/>
  <c r="C4144" i="23"/>
  <c r="C4684" i="23"/>
  <c r="C4495" i="23"/>
  <c r="C5089" i="23"/>
  <c r="C4819" i="23"/>
  <c r="C5116" i="23"/>
  <c r="C4765" i="23"/>
  <c r="C4792" i="23"/>
  <c r="C4522" i="23"/>
  <c r="C4117" i="23"/>
  <c r="C4630" i="23"/>
  <c r="C4981" i="23"/>
  <c r="C5035" i="23"/>
  <c r="C4171" i="23"/>
  <c r="C4873" i="23"/>
  <c r="C120" i="23"/>
  <c r="C471" i="23"/>
  <c r="C822" i="23"/>
  <c r="C498" i="23"/>
  <c r="C957" i="23"/>
  <c r="C93" i="23"/>
  <c r="C444" i="23"/>
  <c r="C741" i="23"/>
  <c r="C552" i="23"/>
  <c r="C633" i="23"/>
  <c r="C903" i="23"/>
  <c r="C849" i="23"/>
  <c r="C795" i="23"/>
  <c r="C606" i="23"/>
  <c r="C39" i="23"/>
  <c r="C579" i="23"/>
  <c r="C390" i="23"/>
  <c r="C984" i="23"/>
  <c r="C714" i="23"/>
  <c r="C1011" i="23"/>
  <c r="C660" i="23"/>
  <c r="C687" i="23"/>
  <c r="C417" i="23"/>
  <c r="C12" i="23"/>
  <c r="C525" i="23"/>
  <c r="C876" i="23"/>
  <c r="C930" i="23"/>
  <c r="C66" i="23"/>
  <c r="C768" i="23"/>
  <c r="C2172" i="23"/>
  <c r="C2523" i="23"/>
  <c r="C2874" i="23"/>
  <c r="C2550" i="23"/>
  <c r="C3009" i="23"/>
  <c r="C2145" i="23"/>
  <c r="C2496" i="23"/>
  <c r="C2793" i="23"/>
  <c r="C2604" i="23"/>
  <c r="C2685" i="23"/>
  <c r="C2955" i="23"/>
  <c r="C2901" i="23"/>
  <c r="C2847" i="23"/>
  <c r="C2658" i="23"/>
  <c r="C2091" i="23"/>
  <c r="C2631" i="23"/>
  <c r="C2442" i="23"/>
  <c r="C3036" i="23"/>
  <c r="C2766" i="23"/>
  <c r="C3063" i="23"/>
  <c r="C2712" i="23"/>
  <c r="C2739" i="23"/>
  <c r="C2469" i="23"/>
  <c r="C2064" i="23"/>
  <c r="C2577" i="23"/>
  <c r="C2928" i="23"/>
  <c r="C2982" i="23"/>
  <c r="C2118" i="23"/>
  <c r="C2820" i="23"/>
  <c r="C3198" i="23"/>
  <c r="C3549" i="23"/>
  <c r="C3900" i="23"/>
  <c r="C3576" i="23"/>
  <c r="C4035" i="23"/>
  <c r="C3171" i="23"/>
  <c r="C3522" i="23"/>
  <c r="C3819" i="23"/>
  <c r="C3630" i="23"/>
  <c r="C3711" i="23"/>
  <c r="C3981" i="23"/>
  <c r="C3927" i="23"/>
  <c r="C3873" i="23"/>
  <c r="C3684" i="23"/>
  <c r="C3117" i="23"/>
  <c r="C3657" i="23"/>
  <c r="C3468" i="23"/>
  <c r="C4062" i="23"/>
  <c r="C3792" i="23"/>
  <c r="C4089" i="23"/>
  <c r="C3738" i="23"/>
  <c r="C3765" i="23"/>
  <c r="C3495" i="23"/>
  <c r="C3090" i="23"/>
  <c r="C3603" i="23"/>
  <c r="C3954" i="23"/>
  <c r="C4008" i="23"/>
  <c r="C3144" i="23"/>
  <c r="C3846" i="23"/>
  <c r="C1146" i="23"/>
  <c r="C1497" i="23"/>
  <c r="C1848" i="23"/>
  <c r="C1524" i="23"/>
  <c r="C1983" i="23"/>
  <c r="C1119" i="23"/>
  <c r="C1470" i="23"/>
  <c r="C1767" i="23"/>
  <c r="C1578" i="23"/>
  <c r="C1659" i="23"/>
  <c r="C1929" i="23"/>
  <c r="C1875" i="23"/>
  <c r="C1821" i="23"/>
  <c r="C1632" i="23"/>
  <c r="C1065" i="23"/>
  <c r="C1605" i="23"/>
  <c r="C1416" i="23"/>
  <c r="C2010" i="23"/>
  <c r="C1740" i="23"/>
  <c r="C2037" i="23"/>
  <c r="C1686" i="23"/>
  <c r="C1713" i="23"/>
  <c r="C1443" i="23"/>
  <c r="C1038" i="23"/>
  <c r="C1551" i="23"/>
  <c r="C1902" i="23"/>
  <c r="C1956" i="23"/>
  <c r="C1092" i="23"/>
  <c r="C1794" i="23"/>
  <c r="C4224" i="23"/>
  <c r="C4575" i="23"/>
  <c r="C4926" i="23"/>
  <c r="C4602" i="23"/>
  <c r="C5061" i="23"/>
  <c r="C4197" i="23"/>
  <c r="C4548" i="23"/>
  <c r="C4845" i="23"/>
  <c r="C4656" i="23"/>
  <c r="C4737" i="23"/>
  <c r="C5007" i="23"/>
  <c r="C4953" i="23"/>
  <c r="C4899" i="23"/>
  <c r="C4710" i="23"/>
  <c r="C4143" i="23"/>
  <c r="C4683" i="23"/>
  <c r="C4494" i="23"/>
  <c r="C5088" i="23"/>
  <c r="C4818" i="23"/>
  <c r="C5115" i="23"/>
  <c r="C4764" i="23"/>
  <c r="C4791" i="23"/>
  <c r="C4521" i="23"/>
  <c r="C4116" i="23"/>
  <c r="C4629" i="23"/>
  <c r="C4980" i="23"/>
  <c r="C5034" i="23"/>
  <c r="C4170" i="23"/>
  <c r="C4872" i="23"/>
  <c r="C119" i="23"/>
  <c r="C470" i="23"/>
  <c r="C821" i="23"/>
  <c r="C497" i="23"/>
  <c r="C956" i="23"/>
  <c r="C92" i="23"/>
  <c r="C443" i="23"/>
  <c r="C740" i="23"/>
  <c r="C551" i="23"/>
  <c r="C632" i="23"/>
  <c r="C902" i="23"/>
  <c r="C848" i="23"/>
  <c r="C794" i="23"/>
  <c r="C605" i="23"/>
  <c r="C38" i="23"/>
  <c r="C578" i="23"/>
  <c r="C389" i="23"/>
  <c r="C983" i="23"/>
  <c r="C713" i="23"/>
  <c r="C1010" i="23"/>
  <c r="C659" i="23"/>
  <c r="C686" i="23"/>
  <c r="C416" i="23"/>
  <c r="C11" i="23"/>
  <c r="C524" i="23"/>
  <c r="C875" i="23"/>
  <c r="C929" i="23"/>
  <c r="C65" i="23"/>
  <c r="C767" i="23"/>
  <c r="C2171" i="23"/>
  <c r="C2522" i="23"/>
  <c r="C2873" i="23"/>
  <c r="C2549" i="23"/>
  <c r="C3008" i="23"/>
  <c r="C2144" i="23"/>
  <c r="C2495" i="23"/>
  <c r="C2792" i="23"/>
  <c r="C2603" i="23"/>
  <c r="C2684" i="23"/>
  <c r="C2954" i="23"/>
  <c r="C2900" i="23"/>
  <c r="C2846" i="23"/>
  <c r="C2657" i="23"/>
  <c r="C2090" i="23"/>
  <c r="C2630" i="23"/>
  <c r="C2441" i="23"/>
  <c r="C3035" i="23"/>
  <c r="C2765" i="23"/>
  <c r="C3062" i="23"/>
  <c r="C2711" i="23"/>
  <c r="C2738" i="23"/>
  <c r="C2468" i="23"/>
  <c r="C2063" i="23"/>
  <c r="C2576" i="23"/>
  <c r="C2927" i="23"/>
  <c r="C2981" i="23"/>
  <c r="C2117" i="23"/>
  <c r="C2819" i="23"/>
  <c r="C3197" i="23"/>
  <c r="C3548" i="23"/>
  <c r="C3899" i="23"/>
  <c r="C3575" i="23"/>
  <c r="C4034" i="23"/>
  <c r="C3170" i="23"/>
  <c r="C3521" i="23"/>
  <c r="C3818" i="23"/>
  <c r="C3629" i="23"/>
  <c r="C3710" i="23"/>
  <c r="C3980" i="23"/>
  <c r="C3926" i="23"/>
  <c r="C3872" i="23"/>
  <c r="C3683" i="23"/>
  <c r="C3116" i="23"/>
  <c r="C3656" i="23"/>
  <c r="C3467" i="23"/>
  <c r="C4061" i="23"/>
  <c r="C3791" i="23"/>
  <c r="C4088" i="23"/>
  <c r="C3737" i="23"/>
  <c r="C3764" i="23"/>
  <c r="C3494" i="23"/>
  <c r="C3089" i="23"/>
  <c r="C3602" i="23"/>
  <c r="C3953" i="23"/>
  <c r="C4007" i="23"/>
  <c r="C3143" i="23"/>
  <c r="C3845" i="23"/>
  <c r="C1145" i="23"/>
  <c r="C1496" i="23"/>
  <c r="C1847" i="23"/>
  <c r="C1523" i="23"/>
  <c r="C1982" i="23"/>
  <c r="C1118" i="23"/>
  <c r="C1469" i="23"/>
  <c r="C1766" i="23"/>
  <c r="C1577" i="23"/>
  <c r="C1658" i="23"/>
  <c r="C1928" i="23"/>
  <c r="C1874" i="23"/>
  <c r="C1820" i="23"/>
  <c r="C1631" i="23"/>
  <c r="C1064" i="23"/>
  <c r="C1604" i="23"/>
  <c r="C1415" i="23"/>
  <c r="C2009" i="23"/>
  <c r="C1739" i="23"/>
  <c r="C2036" i="23"/>
  <c r="C1685" i="23"/>
  <c r="C1712" i="23"/>
  <c r="C1442" i="23"/>
  <c r="C1037" i="23"/>
  <c r="C1550" i="23"/>
  <c r="C1901" i="23"/>
  <c r="C1955" i="23"/>
  <c r="C1091" i="23"/>
  <c r="C1793" i="23"/>
  <c r="C4223" i="23"/>
  <c r="C4574" i="23"/>
  <c r="C4925" i="23"/>
  <c r="C4601" i="23"/>
  <c r="C5060" i="23"/>
  <c r="C4196" i="23"/>
  <c r="C4547" i="23"/>
  <c r="C4844" i="23"/>
  <c r="C4655" i="23"/>
  <c r="C4736" i="23"/>
  <c r="C5006" i="23"/>
  <c r="C4952" i="23"/>
  <c r="C4898" i="23"/>
  <c r="C4709" i="23"/>
  <c r="C4142" i="23"/>
  <c r="C4682" i="23"/>
  <c r="C4493" i="23"/>
  <c r="C5087" i="23"/>
  <c r="C4817" i="23"/>
  <c r="C5114" i="23"/>
  <c r="C4763" i="23"/>
  <c r="C4790" i="23"/>
  <c r="C4520" i="23"/>
  <c r="C4115" i="23"/>
  <c r="C4628" i="23"/>
  <c r="C4979" i="23"/>
  <c r="C5033" i="23"/>
  <c r="C4169" i="23"/>
  <c r="C4871" i="23"/>
  <c r="C118" i="23"/>
  <c r="C469" i="23"/>
  <c r="C820" i="23"/>
  <c r="C496" i="23"/>
  <c r="C955" i="23"/>
  <c r="C91" i="23"/>
  <c r="C442" i="23"/>
  <c r="C739" i="23"/>
  <c r="C550" i="23"/>
  <c r="C631" i="23"/>
  <c r="C901" i="23"/>
  <c r="C847" i="23"/>
  <c r="C793" i="23"/>
  <c r="C604" i="23"/>
  <c r="C37" i="23"/>
  <c r="C577" i="23"/>
  <c r="C388" i="23"/>
  <c r="C982" i="23"/>
  <c r="C712" i="23"/>
  <c r="C1009" i="23"/>
  <c r="C658" i="23"/>
  <c r="C685" i="23"/>
  <c r="C415" i="23"/>
  <c r="C10" i="23"/>
  <c r="C523" i="23"/>
  <c r="C874" i="23"/>
  <c r="C928" i="23"/>
  <c r="C64" i="23"/>
  <c r="C766" i="23"/>
  <c r="C2170" i="23"/>
  <c r="C2521" i="23"/>
  <c r="C2872" i="23"/>
  <c r="C2548" i="23"/>
  <c r="C3007" i="23"/>
  <c r="C2143" i="23"/>
  <c r="C2494" i="23"/>
  <c r="C2791" i="23"/>
  <c r="C2602" i="23"/>
  <c r="C2683" i="23"/>
  <c r="C2953" i="23"/>
  <c r="C2899" i="23"/>
  <c r="C2845" i="23"/>
  <c r="C2656" i="23"/>
  <c r="C2089" i="23"/>
  <c r="C2629" i="23"/>
  <c r="C2440" i="23"/>
  <c r="C3034" i="23"/>
  <c r="C2764" i="23"/>
  <c r="C3061" i="23"/>
  <c r="C2710" i="23"/>
  <c r="C2737" i="23"/>
  <c r="C2467" i="23"/>
  <c r="C2062" i="23"/>
  <c r="C2575" i="23"/>
  <c r="C2926" i="23"/>
  <c r="C2980" i="23"/>
  <c r="C2116" i="23"/>
  <c r="C2818" i="23"/>
  <c r="C3196" i="23"/>
  <c r="C3547" i="23"/>
  <c r="C3898" i="23"/>
  <c r="C3574" i="23"/>
  <c r="C4033" i="23"/>
  <c r="C3169" i="23"/>
  <c r="C3520" i="23"/>
  <c r="C3817" i="23"/>
  <c r="C3628" i="23"/>
  <c r="C3709" i="23"/>
  <c r="C3979" i="23"/>
  <c r="C3925" i="23"/>
  <c r="C3871" i="23"/>
  <c r="C3682" i="23"/>
  <c r="C3115" i="23"/>
  <c r="C3655" i="23"/>
  <c r="C3466" i="23"/>
  <c r="C4060" i="23"/>
  <c r="C3790" i="23"/>
  <c r="C4087" i="23"/>
  <c r="C3736" i="23"/>
  <c r="C3763" i="23"/>
  <c r="C3493" i="23"/>
  <c r="C3088" i="23"/>
  <c r="C3601" i="23"/>
  <c r="C3952" i="23"/>
  <c r="C4006" i="23"/>
  <c r="C3142" i="23"/>
  <c r="C3844" i="23"/>
  <c r="C1144" i="23"/>
  <c r="C1495" i="23"/>
  <c r="C1846" i="23"/>
  <c r="C1522" i="23"/>
  <c r="C1981" i="23"/>
  <c r="C1117" i="23"/>
  <c r="C1468" i="23"/>
  <c r="C1765" i="23"/>
  <c r="C1576" i="23"/>
  <c r="C1657" i="23"/>
  <c r="C1927" i="23"/>
  <c r="C1873" i="23"/>
  <c r="C1819" i="23"/>
  <c r="C1630" i="23"/>
  <c r="C1063" i="23"/>
  <c r="C1603" i="23"/>
  <c r="C1414" i="23"/>
  <c r="C2008" i="23"/>
  <c r="C1738" i="23"/>
  <c r="C2035" i="23"/>
  <c r="C1684" i="23"/>
  <c r="C1711" i="23"/>
  <c r="C1441" i="23"/>
  <c r="C1036" i="23"/>
  <c r="C1549" i="23"/>
  <c r="C1900" i="23"/>
  <c r="C1954" i="23"/>
  <c r="C1090" i="23"/>
  <c r="C1792" i="23"/>
  <c r="C4222" i="23"/>
  <c r="C4573" i="23"/>
  <c r="C4924" i="23"/>
  <c r="C4600" i="23"/>
  <c r="C5059" i="23"/>
  <c r="C4195" i="23"/>
  <c r="C4546" i="23"/>
  <c r="C4843" i="23"/>
  <c r="C4654" i="23"/>
  <c r="C4735" i="23"/>
  <c r="C5005" i="23"/>
  <c r="C4951" i="23"/>
  <c r="C4897" i="23"/>
  <c r="C4708" i="23"/>
  <c r="C4141" i="23"/>
  <c r="C4681" i="23"/>
  <c r="C4492" i="23"/>
  <c r="C5086" i="23"/>
  <c r="C4816" i="23"/>
  <c r="C5113" i="23"/>
  <c r="C4762" i="23"/>
  <c r="C4789" i="23"/>
  <c r="C4519" i="23"/>
  <c r="C4114" i="23"/>
  <c r="C4627" i="23"/>
  <c r="C4978" i="23"/>
  <c r="C5032" i="23"/>
  <c r="C4168" i="23"/>
  <c r="C4870" i="23"/>
  <c r="C117" i="23"/>
  <c r="C468" i="23"/>
  <c r="C819" i="23"/>
  <c r="C495" i="23"/>
  <c r="C954" i="23"/>
  <c r="C90" i="23"/>
  <c r="C441" i="23"/>
  <c r="C738" i="23"/>
  <c r="C549" i="23"/>
  <c r="C630" i="23"/>
  <c r="C900" i="23"/>
  <c r="C846" i="23"/>
  <c r="C792" i="23"/>
  <c r="C603" i="23"/>
  <c r="C36" i="23"/>
  <c r="C576" i="23"/>
  <c r="C387" i="23"/>
  <c r="C981" i="23"/>
  <c r="C711" i="23"/>
  <c r="C1008" i="23"/>
  <c r="C657" i="23"/>
  <c r="C684" i="23"/>
  <c r="C414" i="23"/>
  <c r="C9" i="23"/>
  <c r="C522" i="23"/>
  <c r="C873" i="23"/>
  <c r="C927" i="23"/>
  <c r="C63" i="23"/>
  <c r="C765" i="23"/>
  <c r="C2169" i="23"/>
  <c r="C2520" i="23"/>
  <c r="C2871" i="23"/>
  <c r="C2547" i="23"/>
  <c r="C3006" i="23"/>
  <c r="C2142" i="23"/>
  <c r="C2493" i="23"/>
  <c r="C2790" i="23"/>
  <c r="C2601" i="23"/>
  <c r="C2682" i="23"/>
  <c r="C2952" i="23"/>
  <c r="C2898" i="23"/>
  <c r="C2844" i="23"/>
  <c r="C2655" i="23"/>
  <c r="C2088" i="23"/>
  <c r="C2628" i="23"/>
  <c r="C2439" i="23"/>
  <c r="C3033" i="23"/>
  <c r="C2763" i="23"/>
  <c r="C3060" i="23"/>
  <c r="C2709" i="23"/>
  <c r="C2736" i="23"/>
  <c r="C2466" i="23"/>
  <c r="C2061" i="23"/>
  <c r="C2574" i="23"/>
  <c r="C2925" i="23"/>
  <c r="C2979" i="23"/>
  <c r="C2115" i="23"/>
  <c r="C2817" i="23"/>
  <c r="C3195" i="23"/>
  <c r="C3546" i="23"/>
  <c r="C3897" i="23"/>
  <c r="C3573" i="23"/>
  <c r="C4032" i="23"/>
  <c r="C3168" i="23"/>
  <c r="C3519" i="23"/>
  <c r="C3816" i="23"/>
  <c r="C3627" i="23"/>
  <c r="C3708" i="23"/>
  <c r="C3978" i="23"/>
  <c r="C3924" i="23"/>
  <c r="C3870" i="23"/>
  <c r="C3681" i="23"/>
  <c r="C3114" i="23"/>
  <c r="C3654" i="23"/>
  <c r="C3465" i="23"/>
  <c r="C4059" i="23"/>
  <c r="C3789" i="23"/>
  <c r="C4086" i="23"/>
  <c r="C3735" i="23"/>
  <c r="C3762" i="23"/>
  <c r="C3492" i="23"/>
  <c r="C3087" i="23"/>
  <c r="C3600" i="23"/>
  <c r="C3951" i="23"/>
  <c r="C4005" i="23"/>
  <c r="C3141" i="23"/>
  <c r="C3843" i="23"/>
  <c r="C1143" i="23"/>
  <c r="C1494" i="23"/>
  <c r="C1845" i="23"/>
  <c r="C1521" i="23"/>
  <c r="C1980" i="23"/>
  <c r="C1116" i="23"/>
  <c r="C1467" i="23"/>
  <c r="C1764" i="23"/>
  <c r="C1575" i="23"/>
  <c r="C1656" i="23"/>
  <c r="C1926" i="23"/>
  <c r="C1872" i="23"/>
  <c r="C1818" i="23"/>
  <c r="C1629" i="23"/>
  <c r="C1062" i="23"/>
  <c r="C1602" i="23"/>
  <c r="C1413" i="23"/>
  <c r="C2007" i="23"/>
  <c r="C1737" i="23"/>
  <c r="C2034" i="23"/>
  <c r="C1683" i="23"/>
  <c r="C1710" i="23"/>
  <c r="C1440" i="23"/>
  <c r="C1035" i="23"/>
  <c r="C1548" i="23"/>
  <c r="C1899" i="23"/>
  <c r="C1953" i="23"/>
  <c r="C1089" i="23"/>
  <c r="C1791" i="23"/>
  <c r="C4221" i="23"/>
  <c r="C4572" i="23"/>
  <c r="C4923" i="23"/>
  <c r="C4599" i="23"/>
  <c r="C5058" i="23"/>
  <c r="C4194" i="23"/>
  <c r="C4545" i="23"/>
  <c r="C4842" i="23"/>
  <c r="C4653" i="23"/>
  <c r="C4734" i="23"/>
  <c r="C5004" i="23"/>
  <c r="C4950" i="23"/>
  <c r="C4896" i="23"/>
  <c r="C4707" i="23"/>
  <c r="C4140" i="23"/>
  <c r="C4680" i="23"/>
  <c r="C4491" i="23"/>
  <c r="C5085" i="23"/>
  <c r="C4815" i="23"/>
  <c r="C5112" i="23"/>
  <c r="C4761" i="23"/>
  <c r="C4788" i="23"/>
  <c r="C4518" i="23"/>
  <c r="C4113" i="23"/>
  <c r="C4626" i="23"/>
  <c r="C4977" i="23"/>
  <c r="C5031" i="23"/>
  <c r="C4167" i="23"/>
  <c r="C4869" i="23"/>
  <c r="C116" i="23"/>
  <c r="C467" i="23"/>
  <c r="C818" i="23"/>
  <c r="C494" i="23"/>
  <c r="C953" i="23"/>
  <c r="C89" i="23"/>
  <c r="C440" i="23"/>
  <c r="C737" i="23"/>
  <c r="C548" i="23"/>
  <c r="C629" i="23"/>
  <c r="C899" i="23"/>
  <c r="C845" i="23"/>
  <c r="C791" i="23"/>
  <c r="C602" i="23"/>
  <c r="C35" i="23"/>
  <c r="C575" i="23"/>
  <c r="C386" i="23"/>
  <c r="C980" i="23"/>
  <c r="C710" i="23"/>
  <c r="C1007" i="23"/>
  <c r="C656" i="23"/>
  <c r="C683" i="23"/>
  <c r="C413" i="23"/>
  <c r="C8" i="23"/>
  <c r="C521" i="23"/>
  <c r="C872" i="23"/>
  <c r="C926" i="23"/>
  <c r="C62" i="23"/>
  <c r="C764" i="23"/>
  <c r="C2168" i="23"/>
  <c r="C2519" i="23"/>
  <c r="C2870" i="23"/>
  <c r="C2546" i="23"/>
  <c r="C3005" i="23"/>
  <c r="C2141" i="23"/>
  <c r="C2492" i="23"/>
  <c r="C2789" i="23"/>
  <c r="C2600" i="23"/>
  <c r="C2681" i="23"/>
  <c r="C2951" i="23"/>
  <c r="C2897" i="23"/>
  <c r="C2843" i="23"/>
  <c r="C2654" i="23"/>
  <c r="C2087" i="23"/>
  <c r="C2627" i="23"/>
  <c r="C2438" i="23"/>
  <c r="C3032" i="23"/>
  <c r="C2762" i="23"/>
  <c r="C3059" i="23"/>
  <c r="C2708" i="23"/>
  <c r="C2735" i="23"/>
  <c r="C2465" i="23"/>
  <c r="C2060" i="23"/>
  <c r="C2573" i="23"/>
  <c r="C2924" i="23"/>
  <c r="C2978" i="23"/>
  <c r="C2114" i="23"/>
  <c r="C2816" i="23"/>
  <c r="C3194" i="23"/>
  <c r="C3545" i="23"/>
  <c r="C3896" i="23"/>
  <c r="C3572" i="23"/>
  <c r="C4031" i="23"/>
  <c r="C3167" i="23"/>
  <c r="C3518" i="23"/>
  <c r="C3815" i="23"/>
  <c r="C3626" i="23"/>
  <c r="C3707" i="23"/>
  <c r="C3977" i="23"/>
  <c r="C3923" i="23"/>
  <c r="C3869" i="23"/>
  <c r="C3680" i="23"/>
  <c r="C3113" i="23"/>
  <c r="C3653" i="23"/>
  <c r="C3464" i="23"/>
  <c r="C4058" i="23"/>
  <c r="C3788" i="23"/>
  <c r="C4085" i="23"/>
  <c r="C3734" i="23"/>
  <c r="C3761" i="23"/>
  <c r="C3491" i="23"/>
  <c r="C3086" i="23"/>
  <c r="C3599" i="23"/>
  <c r="C3950" i="23"/>
  <c r="C4004" i="23"/>
  <c r="C3140" i="23"/>
  <c r="C3842" i="23"/>
  <c r="C1142" i="23"/>
  <c r="C1493" i="23"/>
  <c r="C1844" i="23"/>
  <c r="C1520" i="23"/>
  <c r="C1979" i="23"/>
  <c r="C1115" i="23"/>
  <c r="C1466" i="23"/>
  <c r="C1763" i="23"/>
  <c r="C1574" i="23"/>
  <c r="C1655" i="23"/>
  <c r="C1925" i="23"/>
  <c r="C1871" i="23"/>
  <c r="C1817" i="23"/>
  <c r="C1628" i="23"/>
  <c r="C1061" i="23"/>
  <c r="C1601" i="23"/>
  <c r="C1412" i="23"/>
  <c r="C2006" i="23"/>
  <c r="C1736" i="23"/>
  <c r="C2033" i="23"/>
  <c r="C1682" i="23"/>
  <c r="C1709" i="23"/>
  <c r="C1439" i="23"/>
  <c r="C1034" i="23"/>
  <c r="C1547" i="23"/>
  <c r="C1898" i="23"/>
  <c r="C1952" i="23"/>
  <c r="C1088" i="23"/>
  <c r="C1790" i="23"/>
  <c r="C4220" i="23"/>
  <c r="C4571" i="23"/>
  <c r="C4922" i="23"/>
  <c r="C4598" i="23"/>
  <c r="C5057" i="23"/>
  <c r="C4193" i="23"/>
  <c r="C4544" i="23"/>
  <c r="C4841" i="23"/>
  <c r="C4652" i="23"/>
  <c r="C4733" i="23"/>
  <c r="C5003" i="23"/>
  <c r="C4949" i="23"/>
  <c r="C4895" i="23"/>
  <c r="C4706" i="23"/>
  <c r="C4139" i="23"/>
  <c r="C4679" i="23"/>
  <c r="C4490" i="23"/>
  <c r="C5084" i="23"/>
  <c r="C4814" i="23"/>
  <c r="C5111" i="23"/>
  <c r="C4760" i="23"/>
  <c r="C4787" i="23"/>
  <c r="C4517" i="23"/>
  <c r="C4112" i="23"/>
  <c r="C4625" i="23"/>
  <c r="C4976" i="23"/>
  <c r="C5030" i="23"/>
  <c r="C4166" i="23"/>
  <c r="C4868" i="23"/>
  <c r="C115" i="23"/>
  <c r="C466" i="23"/>
  <c r="C817" i="23"/>
  <c r="C493" i="23"/>
  <c r="C952" i="23"/>
  <c r="C88" i="23"/>
  <c r="C439" i="23"/>
  <c r="C736" i="23"/>
  <c r="C547" i="23"/>
  <c r="C628" i="23"/>
  <c r="C898" i="23"/>
  <c r="C844" i="23"/>
  <c r="C790" i="23"/>
  <c r="C601" i="23"/>
  <c r="C34" i="23"/>
  <c r="C574" i="23"/>
  <c r="C385" i="23"/>
  <c r="C979" i="23"/>
  <c r="C709" i="23"/>
  <c r="C1006" i="23"/>
  <c r="C655" i="23"/>
  <c r="C682" i="23"/>
  <c r="C412" i="23"/>
  <c r="C7" i="23"/>
  <c r="C520" i="23"/>
  <c r="C871" i="23"/>
  <c r="C925" i="23"/>
  <c r="C61" i="23"/>
  <c r="C763" i="23"/>
  <c r="C2167" i="23"/>
  <c r="C2518" i="23"/>
  <c r="C2869" i="23"/>
  <c r="C2545" i="23"/>
  <c r="C3004" i="23"/>
  <c r="C2140" i="23"/>
  <c r="C2491" i="23"/>
  <c r="C2788" i="23"/>
  <c r="C2599" i="23"/>
  <c r="C2680" i="23"/>
  <c r="C2950" i="23"/>
  <c r="C2896" i="23"/>
  <c r="C2842" i="23"/>
  <c r="C2653" i="23"/>
  <c r="C2086" i="23"/>
  <c r="C2626" i="23"/>
  <c r="C2437" i="23"/>
  <c r="C3031" i="23"/>
  <c r="C2761" i="23"/>
  <c r="C3058" i="23"/>
  <c r="C2707" i="23"/>
  <c r="C2734" i="23"/>
  <c r="C2464" i="23"/>
  <c r="C2059" i="23"/>
  <c r="C2572" i="23"/>
  <c r="C2923" i="23"/>
  <c r="C2977" i="23"/>
  <c r="C2113" i="23"/>
  <c r="C2815" i="23"/>
  <c r="C3193" i="23"/>
  <c r="C3544" i="23"/>
  <c r="C3895" i="23"/>
  <c r="C3571" i="23"/>
  <c r="C4030" i="23"/>
  <c r="C3166" i="23"/>
  <c r="C3517" i="23"/>
  <c r="C3814" i="23"/>
  <c r="C3625" i="23"/>
  <c r="C3706" i="23"/>
  <c r="C3976" i="23"/>
  <c r="C3922" i="23"/>
  <c r="C3868" i="23"/>
  <c r="C3679" i="23"/>
  <c r="C3112" i="23"/>
  <c r="C3652" i="23"/>
  <c r="C3463" i="23"/>
  <c r="C4057" i="23"/>
  <c r="C3787" i="23"/>
  <c r="C4084" i="23"/>
  <c r="C3733" i="23"/>
  <c r="C3760" i="23"/>
  <c r="C3490" i="23"/>
  <c r="C3085" i="23"/>
  <c r="C3598" i="23"/>
  <c r="C3949" i="23"/>
  <c r="C4003" i="23"/>
  <c r="C3139" i="23"/>
  <c r="C3841" i="23"/>
  <c r="C1141" i="23"/>
  <c r="C1492" i="23"/>
  <c r="C1843" i="23"/>
  <c r="C1519" i="23"/>
  <c r="C1978" i="23"/>
  <c r="C1114" i="23"/>
  <c r="C1465" i="23"/>
  <c r="C1762" i="23"/>
  <c r="C1573" i="23"/>
  <c r="C1654" i="23"/>
  <c r="C1924" i="23"/>
  <c r="C1870" i="23"/>
  <c r="C1816" i="23"/>
  <c r="C1627" i="23"/>
  <c r="C1060" i="23"/>
  <c r="C1600" i="23"/>
  <c r="C1411" i="23"/>
  <c r="C2005" i="23"/>
  <c r="C1735" i="23"/>
  <c r="C2032" i="23"/>
  <c r="C1681" i="23"/>
  <c r="C1708" i="23"/>
  <c r="C1438" i="23"/>
  <c r="C1033" i="23"/>
  <c r="C1546" i="23"/>
  <c r="C1897" i="23"/>
  <c r="C1951" i="23"/>
  <c r="C1087" i="23"/>
  <c r="C1789" i="23"/>
  <c r="C4219" i="23"/>
  <c r="C4570" i="23"/>
  <c r="C4921" i="23"/>
  <c r="C4597" i="23"/>
  <c r="C5056" i="23"/>
  <c r="C4192" i="23"/>
  <c r="C4543" i="23"/>
  <c r="C4840" i="23"/>
  <c r="C4651" i="23"/>
  <c r="C4732" i="23"/>
  <c r="C5002" i="23"/>
  <c r="C4948" i="23"/>
  <c r="C4894" i="23"/>
  <c r="C4705" i="23"/>
  <c r="C4138" i="23"/>
  <c r="C4678" i="23"/>
  <c r="C4489" i="23"/>
  <c r="C5083" i="23"/>
  <c r="C4813" i="23"/>
  <c r="C5110" i="23"/>
  <c r="C4759" i="23"/>
  <c r="C4786" i="23"/>
  <c r="C4516" i="23"/>
  <c r="C4111" i="23"/>
  <c r="C4624" i="23"/>
  <c r="C4975" i="23"/>
  <c r="C5029" i="23"/>
  <c r="C4165" i="23"/>
  <c r="C4867" i="23"/>
  <c r="C114" i="23"/>
  <c r="C465" i="23"/>
  <c r="C816" i="23"/>
  <c r="C492" i="23"/>
  <c r="C951" i="23"/>
  <c r="C87" i="23"/>
  <c r="C438" i="23"/>
  <c r="C735" i="23"/>
  <c r="C546" i="23"/>
  <c r="C627" i="23"/>
  <c r="C897" i="23"/>
  <c r="C843" i="23"/>
  <c r="C789" i="23"/>
  <c r="C600" i="23"/>
  <c r="C33" i="23"/>
  <c r="C573" i="23"/>
  <c r="C384" i="23"/>
  <c r="C978" i="23"/>
  <c r="C708" i="23"/>
  <c r="C1005" i="23"/>
  <c r="C654" i="23"/>
  <c r="C681" i="23"/>
  <c r="C411" i="23"/>
  <c r="C6" i="23"/>
  <c r="C519" i="23"/>
  <c r="C870" i="23"/>
  <c r="C924" i="23"/>
  <c r="C60" i="23"/>
  <c r="C762" i="23"/>
  <c r="C2166" i="23"/>
  <c r="C2517" i="23"/>
  <c r="C2868" i="23"/>
  <c r="C2544" i="23"/>
  <c r="C3003" i="23"/>
  <c r="C2139" i="23"/>
  <c r="C2490" i="23"/>
  <c r="C2787" i="23"/>
  <c r="C2598" i="23"/>
  <c r="C2679" i="23"/>
  <c r="C2949" i="23"/>
  <c r="C2895" i="23"/>
  <c r="C2841" i="23"/>
  <c r="C2652" i="23"/>
  <c r="C2085" i="23"/>
  <c r="C2625" i="23"/>
  <c r="C2436" i="23"/>
  <c r="C3030" i="23"/>
  <c r="C2760" i="23"/>
  <c r="C3057" i="23"/>
  <c r="C2706" i="23"/>
  <c r="C2733" i="23"/>
  <c r="C2463" i="23"/>
  <c r="C2058" i="23"/>
  <c r="C2571" i="23"/>
  <c r="C2922" i="23"/>
  <c r="C2976" i="23"/>
  <c r="C2112" i="23"/>
  <c r="C2814" i="23"/>
  <c r="C3192" i="23"/>
  <c r="C3543" i="23"/>
  <c r="C3894" i="23"/>
  <c r="C3570" i="23"/>
  <c r="C4029" i="23"/>
  <c r="C3165" i="23"/>
  <c r="C3516" i="23"/>
  <c r="C3813" i="23"/>
  <c r="C3624" i="23"/>
  <c r="C3705" i="23"/>
  <c r="C3975" i="23"/>
  <c r="C3921" i="23"/>
  <c r="C3867" i="23"/>
  <c r="C3678" i="23"/>
  <c r="C3111" i="23"/>
  <c r="C3651" i="23"/>
  <c r="C3462" i="23"/>
  <c r="C4056" i="23"/>
  <c r="C3786" i="23"/>
  <c r="C4083" i="23"/>
  <c r="C3732" i="23"/>
  <c r="C3759" i="23"/>
  <c r="C3489" i="23"/>
  <c r="C3084" i="23"/>
  <c r="C3597" i="23"/>
  <c r="C3948" i="23"/>
  <c r="C4002" i="23"/>
  <c r="C3138" i="23"/>
  <c r="C3840" i="23"/>
  <c r="C1140" i="23"/>
  <c r="C1491" i="23"/>
  <c r="C1842" i="23"/>
  <c r="C1518" i="23"/>
  <c r="C1977" i="23"/>
  <c r="C1113" i="23"/>
  <c r="C1464" i="23"/>
  <c r="C1761" i="23"/>
  <c r="C1572" i="23"/>
  <c r="C1653" i="23"/>
  <c r="C1923" i="23"/>
  <c r="C1869" i="23"/>
  <c r="C1815" i="23"/>
  <c r="C1626" i="23"/>
  <c r="C1059" i="23"/>
  <c r="C1599" i="23"/>
  <c r="C1410" i="23"/>
  <c r="C2004" i="23"/>
  <c r="C1734" i="23"/>
  <c r="C2031" i="23"/>
  <c r="C1680" i="23"/>
  <c r="C1707" i="23"/>
  <c r="C1437" i="23"/>
  <c r="C1032" i="23"/>
  <c r="C1545" i="23"/>
  <c r="C1896" i="23"/>
  <c r="C1950" i="23"/>
  <c r="C1086" i="23"/>
  <c r="C1788" i="23"/>
  <c r="C4218" i="23"/>
  <c r="C4569" i="23"/>
  <c r="C4920" i="23"/>
  <c r="C4596" i="23"/>
  <c r="C5055" i="23"/>
  <c r="C4191" i="23"/>
  <c r="C4542" i="23"/>
  <c r="C4839" i="23"/>
  <c r="C4650" i="23"/>
  <c r="C4731" i="23"/>
  <c r="C5001" i="23"/>
  <c r="C4947" i="23"/>
  <c r="C4893" i="23"/>
  <c r="C4704" i="23"/>
  <c r="C4137" i="23"/>
  <c r="C4677" i="23"/>
  <c r="C4488" i="23"/>
  <c r="C5082" i="23"/>
  <c r="C4812" i="23"/>
  <c r="C5109" i="23"/>
  <c r="C4758" i="23"/>
  <c r="C4785" i="23"/>
  <c r="C4515" i="23"/>
  <c r="C4110" i="23"/>
  <c r="C4623" i="23"/>
  <c r="C4974" i="23"/>
  <c r="C5028" i="23"/>
  <c r="C4164" i="23"/>
  <c r="C4866" i="23"/>
  <c r="C113" i="23"/>
  <c r="C464" i="23"/>
  <c r="C815" i="23"/>
  <c r="C491" i="23"/>
  <c r="C950" i="23"/>
  <c r="C86" i="23"/>
  <c r="C437" i="23"/>
  <c r="C734" i="23"/>
  <c r="C545" i="23"/>
  <c r="C626" i="23"/>
  <c r="C896" i="23"/>
  <c r="C842" i="23"/>
  <c r="C788" i="23"/>
  <c r="C599" i="23"/>
  <c r="C32" i="23"/>
  <c r="C572" i="23"/>
  <c r="C383" i="23"/>
  <c r="C977" i="23"/>
  <c r="C707" i="23"/>
  <c r="C1004" i="23"/>
  <c r="C653" i="23"/>
  <c r="C680" i="23"/>
  <c r="C410" i="23"/>
  <c r="C5" i="23"/>
  <c r="C518" i="23"/>
  <c r="C869" i="23"/>
  <c r="C923" i="23"/>
  <c r="C59" i="23"/>
  <c r="C761" i="23"/>
  <c r="C2165" i="23"/>
  <c r="C2516" i="23"/>
  <c r="C2867" i="23"/>
  <c r="C2543" i="23"/>
  <c r="C3002" i="23"/>
  <c r="C2138" i="23"/>
  <c r="C2489" i="23"/>
  <c r="C2786" i="23"/>
  <c r="C2597" i="23"/>
  <c r="C2678" i="23"/>
  <c r="C2948" i="23"/>
  <c r="C2894" i="23"/>
  <c r="C2840" i="23"/>
  <c r="C2651" i="23"/>
  <c r="C2084" i="23"/>
  <c r="C2624" i="23"/>
  <c r="C2435" i="23"/>
  <c r="C3029" i="23"/>
  <c r="C2759" i="23"/>
  <c r="C3056" i="23"/>
  <c r="C2705" i="23"/>
  <c r="C2732" i="23"/>
  <c r="C2462" i="23"/>
  <c r="C2057" i="23"/>
  <c r="C2570" i="23"/>
  <c r="C2921" i="23"/>
  <c r="C2975" i="23"/>
  <c r="C2111" i="23"/>
  <c r="C2813" i="23"/>
  <c r="C3191" i="23"/>
  <c r="C3542" i="23"/>
  <c r="C3893" i="23"/>
  <c r="C3569" i="23"/>
  <c r="C4028" i="23"/>
  <c r="C3164" i="23"/>
  <c r="C3515" i="23"/>
  <c r="C3812" i="23"/>
  <c r="C3623" i="23"/>
  <c r="C3704" i="23"/>
  <c r="C3974" i="23"/>
  <c r="C3920" i="23"/>
  <c r="C3866" i="23"/>
  <c r="C3677" i="23"/>
  <c r="C3110" i="23"/>
  <c r="C3650" i="23"/>
  <c r="C3461" i="23"/>
  <c r="C4055" i="23"/>
  <c r="C3785" i="23"/>
  <c r="C4082" i="23"/>
  <c r="C3731" i="23"/>
  <c r="C3758" i="23"/>
  <c r="C3488" i="23"/>
  <c r="C3083" i="23"/>
  <c r="C3596" i="23"/>
  <c r="C3947" i="23"/>
  <c r="C4001" i="23"/>
  <c r="C3137" i="23"/>
  <c r="C3839" i="23"/>
  <c r="C1139" i="23"/>
  <c r="C1490" i="23"/>
  <c r="C1841" i="23"/>
  <c r="C1517" i="23"/>
  <c r="C1976" i="23"/>
  <c r="C1112" i="23"/>
  <c r="C1463" i="23"/>
  <c r="C1760" i="23"/>
  <c r="C1571" i="23"/>
  <c r="C1652" i="23"/>
  <c r="C1922" i="23"/>
  <c r="C1868" i="23"/>
  <c r="C1814" i="23"/>
  <c r="C1625" i="23"/>
  <c r="C1058" i="23"/>
  <c r="C1598" i="23"/>
  <c r="C1409" i="23"/>
  <c r="C2003" i="23"/>
  <c r="C1733" i="23"/>
  <c r="C2030" i="23"/>
  <c r="C1679" i="23"/>
  <c r="C1706" i="23"/>
  <c r="C1436" i="23"/>
  <c r="C1031" i="23"/>
  <c r="C1544" i="23"/>
  <c r="C1895" i="23"/>
  <c r="C1949" i="23"/>
  <c r="C1085" i="23"/>
  <c r="C1787" i="23"/>
  <c r="C4217" i="23"/>
  <c r="C4568" i="23"/>
  <c r="C4919" i="23"/>
  <c r="C4595" i="23"/>
  <c r="C5054" i="23"/>
  <c r="C4190" i="23"/>
  <c r="C4541" i="23"/>
  <c r="C4838" i="23"/>
  <c r="C4649" i="23"/>
  <c r="C4730" i="23"/>
  <c r="C5000" i="23"/>
  <c r="C4946" i="23"/>
  <c r="C4892" i="23"/>
  <c r="C4703" i="23"/>
  <c r="C4136" i="23"/>
  <c r="C4676" i="23"/>
  <c r="C4487" i="23"/>
  <c r="C5081" i="23"/>
  <c r="C4811" i="23"/>
  <c r="C5108" i="23"/>
  <c r="C4757" i="23"/>
  <c r="C4784" i="23"/>
  <c r="C4514" i="23"/>
  <c r="C4109" i="23"/>
  <c r="C4622" i="23"/>
  <c r="C4973" i="23"/>
  <c r="C5027" i="23"/>
  <c r="C4163" i="23"/>
  <c r="C4865" i="23"/>
  <c r="C112" i="23"/>
  <c r="C463" i="23"/>
  <c r="C814" i="23"/>
  <c r="C490" i="23"/>
  <c r="C949" i="23"/>
  <c r="C85" i="23"/>
  <c r="C436" i="23"/>
  <c r="C733" i="23"/>
  <c r="C544" i="23"/>
  <c r="C625" i="23"/>
  <c r="C895" i="23"/>
  <c r="C841" i="23"/>
  <c r="C787" i="23"/>
  <c r="C598" i="23"/>
  <c r="C31" i="23"/>
  <c r="C571" i="23"/>
  <c r="C382" i="23"/>
  <c r="C976" i="23"/>
  <c r="C706" i="23"/>
  <c r="C1003" i="23"/>
  <c r="C652" i="23"/>
  <c r="C679" i="23"/>
  <c r="C409" i="23"/>
  <c r="C4" i="23"/>
  <c r="C517" i="23"/>
  <c r="C868" i="23"/>
  <c r="C922" i="23"/>
  <c r="C58" i="23"/>
  <c r="C760" i="23"/>
  <c r="C2164" i="23"/>
  <c r="C2515" i="23"/>
  <c r="C2866" i="23"/>
  <c r="C2542" i="23"/>
  <c r="C3001" i="23"/>
  <c r="C2137" i="23"/>
  <c r="C2488" i="23"/>
  <c r="C2785" i="23"/>
  <c r="C2596" i="23"/>
  <c r="C2677" i="23"/>
  <c r="C2947" i="23"/>
  <c r="C2893" i="23"/>
  <c r="C2839" i="23"/>
  <c r="C2650" i="23"/>
  <c r="C2083" i="23"/>
  <c r="C2623" i="23"/>
  <c r="C2434" i="23"/>
  <c r="C3028" i="23"/>
  <c r="C2758" i="23"/>
  <c r="C3055" i="23"/>
  <c r="C2704" i="23"/>
  <c r="C2731" i="23"/>
  <c r="C2461" i="23"/>
  <c r="C2056" i="23"/>
  <c r="C2569" i="23"/>
  <c r="C2920" i="23"/>
  <c r="C2974" i="23"/>
  <c r="C2110" i="23"/>
  <c r="C2812" i="23"/>
  <c r="C3190" i="23"/>
  <c r="C3541" i="23"/>
  <c r="C3892" i="23"/>
  <c r="C3568" i="23"/>
  <c r="C4027" i="23"/>
  <c r="C3163" i="23"/>
  <c r="C3514" i="23"/>
  <c r="C3811" i="23"/>
  <c r="C3622" i="23"/>
  <c r="C3703" i="23"/>
  <c r="C3973" i="23"/>
  <c r="C3919" i="23"/>
  <c r="C3865" i="23"/>
  <c r="C3676" i="23"/>
  <c r="C3109" i="23"/>
  <c r="C3649" i="23"/>
  <c r="C3460" i="23"/>
  <c r="C4054" i="23"/>
  <c r="C3784" i="23"/>
  <c r="C4081" i="23"/>
  <c r="C3730" i="23"/>
  <c r="C3757" i="23"/>
  <c r="C3487" i="23"/>
  <c r="C3082" i="23"/>
  <c r="C3595" i="23"/>
  <c r="C3946" i="23"/>
  <c r="C4000" i="23"/>
  <c r="C3136" i="23"/>
  <c r="C3838" i="23"/>
  <c r="C1138" i="23"/>
  <c r="C1489" i="23"/>
  <c r="C1840" i="23"/>
  <c r="C1516" i="23"/>
  <c r="C1975" i="23"/>
  <c r="C1111" i="23"/>
  <c r="C1462" i="23"/>
  <c r="C1759" i="23"/>
  <c r="C1570" i="23"/>
  <c r="C1651" i="23"/>
  <c r="C1921" i="23"/>
  <c r="C1867" i="23"/>
  <c r="C1813" i="23"/>
  <c r="C1624" i="23"/>
  <c r="C1057" i="23"/>
  <c r="C1597" i="23"/>
  <c r="C1408" i="23"/>
  <c r="C2002" i="23"/>
  <c r="C1732" i="23"/>
  <c r="C2029" i="23"/>
  <c r="C1678" i="23"/>
  <c r="C1705" i="23"/>
  <c r="C1435" i="23"/>
  <c r="C1030" i="23"/>
  <c r="C1543" i="23"/>
  <c r="C1894" i="23"/>
  <c r="C1948" i="23"/>
  <c r="C1084" i="23"/>
  <c r="C1786" i="23"/>
  <c r="C4216" i="23"/>
  <c r="C4567" i="23"/>
  <c r="C4918" i="23"/>
  <c r="C4594" i="23"/>
  <c r="C5053" i="23"/>
  <c r="C4189" i="23"/>
  <c r="C4540" i="23"/>
  <c r="C4837" i="23"/>
  <c r="C4648" i="23"/>
  <c r="C4729" i="23"/>
  <c r="C4999" i="23"/>
  <c r="C4945" i="23"/>
  <c r="C4891" i="23"/>
  <c r="C4702" i="23"/>
  <c r="C4135" i="23"/>
  <c r="C4675" i="23"/>
  <c r="C4486" i="23"/>
  <c r="C5080" i="23"/>
  <c r="C4810" i="23"/>
  <c r="C5107" i="23"/>
  <c r="C4756" i="23"/>
  <c r="C4783" i="23"/>
  <c r="C4513" i="23"/>
  <c r="C4108" i="23"/>
  <c r="C4621" i="23"/>
  <c r="C4972" i="23"/>
  <c r="C5026" i="23"/>
  <c r="C4162" i="23"/>
  <c r="C4864" i="23"/>
  <c r="C111" i="23"/>
  <c r="C462" i="23"/>
  <c r="C813" i="23"/>
  <c r="C489" i="23"/>
  <c r="C948" i="23"/>
  <c r="C84" i="23"/>
  <c r="C435" i="23"/>
  <c r="C732" i="23"/>
  <c r="C543" i="23"/>
  <c r="C624" i="23"/>
  <c r="C894" i="23"/>
  <c r="C840" i="23"/>
  <c r="C786" i="23"/>
  <c r="C597" i="23"/>
  <c r="C30" i="23"/>
  <c r="C570" i="23"/>
  <c r="C381" i="23"/>
  <c r="C975" i="23"/>
  <c r="C705" i="23"/>
  <c r="C1002" i="23"/>
  <c r="C651" i="23"/>
  <c r="C678" i="23"/>
  <c r="C408" i="23"/>
  <c r="C3" i="23"/>
  <c r="C516" i="23"/>
  <c r="C867" i="23"/>
  <c r="C921" i="23"/>
  <c r="C57" i="23"/>
  <c r="C759" i="23"/>
  <c r="C2163" i="23"/>
  <c r="C2514" i="23"/>
  <c r="C2865" i="23"/>
  <c r="C2541" i="23"/>
  <c r="C3000" i="23"/>
  <c r="C2136" i="23"/>
  <c r="C2487" i="23"/>
  <c r="C2784" i="23"/>
  <c r="C2595" i="23"/>
  <c r="C2676" i="23"/>
  <c r="C2946" i="23"/>
  <c r="C2892" i="23"/>
  <c r="C2838" i="23"/>
  <c r="C2649" i="23"/>
  <c r="C2082" i="23"/>
  <c r="C2622" i="23"/>
  <c r="C2433" i="23"/>
  <c r="C3027" i="23"/>
  <c r="C2757" i="23"/>
  <c r="C3054" i="23"/>
  <c r="C2703" i="23"/>
  <c r="C2730" i="23"/>
  <c r="C2460" i="23"/>
  <c r="C2055" i="23"/>
  <c r="C2568" i="23"/>
  <c r="C2919" i="23"/>
  <c r="C2973" i="23"/>
  <c r="C2109" i="23"/>
  <c r="C2811" i="23"/>
  <c r="C3189" i="23"/>
  <c r="C3540" i="23"/>
  <c r="C3891" i="23"/>
  <c r="C3567" i="23"/>
  <c r="C4026" i="23"/>
  <c r="C3162" i="23"/>
  <c r="C3513" i="23"/>
  <c r="C3810" i="23"/>
  <c r="C3621" i="23"/>
  <c r="C3702" i="23"/>
  <c r="C3972" i="23"/>
  <c r="C3918" i="23"/>
  <c r="C3864" i="23"/>
  <c r="C3675" i="23"/>
  <c r="C3108" i="23"/>
  <c r="C3648" i="23"/>
  <c r="C3459" i="23"/>
  <c r="C4053" i="23"/>
  <c r="C3783" i="23"/>
  <c r="C4080" i="23"/>
  <c r="C3729" i="23"/>
  <c r="C3756" i="23"/>
  <c r="C3486" i="23"/>
  <c r="C3081" i="23"/>
  <c r="C3594" i="23"/>
  <c r="C3945" i="23"/>
  <c r="C3999" i="23"/>
  <c r="C3135" i="23"/>
  <c r="C3837" i="23"/>
  <c r="C1137" i="23"/>
  <c r="C1488" i="23"/>
  <c r="C1839" i="23"/>
  <c r="C1515" i="23"/>
  <c r="C1974" i="23"/>
  <c r="C1110" i="23"/>
  <c r="C1461" i="23"/>
  <c r="C1758" i="23"/>
  <c r="C1569" i="23"/>
  <c r="C1650" i="23"/>
  <c r="C1920" i="23"/>
  <c r="C1866" i="23"/>
  <c r="C1812" i="23"/>
  <c r="C1623" i="23"/>
  <c r="C1056" i="23"/>
  <c r="C1596" i="23"/>
  <c r="C1407" i="23"/>
  <c r="C2001" i="23"/>
  <c r="C1731" i="23"/>
  <c r="C2028" i="23"/>
  <c r="C1677" i="23"/>
  <c r="C1704" i="23"/>
  <c r="C1434" i="23"/>
  <c r="C1029" i="23"/>
  <c r="C1542" i="23"/>
  <c r="C1893" i="23"/>
  <c r="C1947" i="23"/>
  <c r="C1083" i="23"/>
  <c r="C1785" i="23"/>
  <c r="C4215" i="23"/>
  <c r="C4566" i="23"/>
  <c r="C4917" i="23"/>
  <c r="C4593" i="23"/>
  <c r="C5052" i="23"/>
  <c r="C4188" i="23"/>
  <c r="C4539" i="23"/>
  <c r="C4836" i="23"/>
  <c r="C4647" i="23"/>
  <c r="C4728" i="23"/>
  <c r="C4998" i="23"/>
  <c r="C4944" i="23"/>
  <c r="C4890" i="23"/>
  <c r="C4701" i="23"/>
  <c r="C4134" i="23"/>
  <c r="C4674" i="23"/>
  <c r="C4485" i="23"/>
  <c r="C5079" i="23"/>
  <c r="C4809" i="23"/>
  <c r="C5106" i="23"/>
  <c r="C4755" i="23"/>
  <c r="C4782" i="23"/>
  <c r="C4512" i="23"/>
  <c r="C4107" i="23"/>
  <c r="C4620" i="23"/>
  <c r="C4971" i="23"/>
  <c r="C5025" i="23"/>
  <c r="C4161" i="23"/>
  <c r="C4863" i="23"/>
  <c r="B4" i="19"/>
  <c r="B5" i="19"/>
  <c r="B6" i="19"/>
  <c r="B7" i="19"/>
  <c r="B8" i="19"/>
  <c r="B9" i="19"/>
  <c r="B10" i="19"/>
  <c r="B11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4" i="19"/>
  <c r="D4" i="19"/>
  <c r="D5" i="19"/>
  <c r="C11" i="19"/>
  <c r="C10" i="19"/>
  <c r="C9" i="19"/>
  <c r="C8" i="19"/>
  <c r="C7" i="19"/>
  <c r="C6" i="19"/>
  <c r="C5" i="19"/>
  <c r="BD7" i="1" l="1"/>
  <c r="BD4" i="1"/>
  <c r="BC4" i="1"/>
  <c r="BC11" i="1"/>
  <c r="BC19" i="1"/>
  <c r="BC27" i="1"/>
  <c r="BC12" i="1"/>
  <c r="BC20" i="1"/>
  <c r="BC28" i="1"/>
  <c r="BC5" i="1"/>
  <c r="BC13" i="1"/>
  <c r="BC21" i="1"/>
  <c r="BC29" i="1"/>
  <c r="BC6" i="1"/>
  <c r="BC14" i="1"/>
  <c r="BC22" i="1"/>
  <c r="BC30" i="1"/>
  <c r="BC26" i="1"/>
  <c r="BC7" i="1"/>
  <c r="BC15" i="1"/>
  <c r="BC23" i="1"/>
  <c r="BC8" i="1"/>
  <c r="BC16" i="1"/>
  <c r="BC24" i="1"/>
  <c r="BC18" i="1"/>
  <c r="BC9" i="1"/>
  <c r="BC17" i="1"/>
  <c r="BC25" i="1"/>
  <c r="BC10" i="1"/>
  <c r="BB4" i="1"/>
  <c r="BB10" i="1"/>
  <c r="BB18" i="1"/>
  <c r="BB26" i="1"/>
  <c r="BB11" i="1"/>
  <c r="BB19" i="1"/>
  <c r="BB27" i="1"/>
  <c r="BB12" i="1"/>
  <c r="BB20" i="1"/>
  <c r="BB28" i="1"/>
  <c r="BB25" i="1"/>
  <c r="BB5" i="1"/>
  <c r="BB13" i="1"/>
  <c r="BB21" i="1"/>
  <c r="BB29" i="1"/>
  <c r="BB6" i="1"/>
  <c r="BB14" i="1"/>
  <c r="BB22" i="1"/>
  <c r="BB30" i="1"/>
  <c r="BB7" i="1"/>
  <c r="BB15" i="1"/>
  <c r="BB23" i="1"/>
  <c r="BB17" i="1"/>
  <c r="BB8" i="1"/>
  <c r="BB16" i="1"/>
  <c r="BB24" i="1"/>
  <c r="BB9" i="1"/>
  <c r="BA4" i="1"/>
  <c r="BA9" i="1"/>
  <c r="BA17" i="1"/>
  <c r="BA25" i="1"/>
  <c r="BA10" i="1"/>
  <c r="BA18" i="1"/>
  <c r="BA26" i="1"/>
  <c r="BA11" i="1"/>
  <c r="BA19" i="1"/>
  <c r="BA27" i="1"/>
  <c r="BA12" i="1"/>
  <c r="BA20" i="1"/>
  <c r="BA28" i="1"/>
  <c r="BA23" i="1"/>
  <c r="BA5" i="1"/>
  <c r="BA13" i="1"/>
  <c r="BA21" i="1"/>
  <c r="BA29" i="1"/>
  <c r="BA15" i="1"/>
  <c r="BA6" i="1"/>
  <c r="BA14" i="1"/>
  <c r="BA22" i="1"/>
  <c r="BA30" i="1"/>
  <c r="BA7" i="1"/>
  <c r="BA8" i="1"/>
  <c r="BA16" i="1"/>
  <c r="BA24" i="1"/>
  <c r="AZ4" i="1"/>
  <c r="AZ8" i="1"/>
  <c r="AZ16" i="1"/>
  <c r="AZ24" i="1"/>
  <c r="AZ15" i="1"/>
  <c r="AZ9" i="1"/>
  <c r="AZ17" i="1"/>
  <c r="AZ25" i="1"/>
  <c r="AZ10" i="1"/>
  <c r="AZ18" i="1"/>
  <c r="AZ26" i="1"/>
  <c r="AZ11" i="1"/>
  <c r="AZ19" i="1"/>
  <c r="AZ27" i="1"/>
  <c r="AZ12" i="1"/>
  <c r="AZ20" i="1"/>
  <c r="AZ28" i="1"/>
  <c r="AZ23" i="1"/>
  <c r="AZ5" i="1"/>
  <c r="AZ13" i="1"/>
  <c r="AZ21" i="1"/>
  <c r="AZ29" i="1"/>
  <c r="AZ6" i="1"/>
  <c r="AZ14" i="1"/>
  <c r="AZ22" i="1"/>
  <c r="AZ30" i="1"/>
  <c r="AZ7" i="1"/>
  <c r="AY4" i="1"/>
  <c r="AY7" i="1"/>
  <c r="AY15" i="1"/>
  <c r="AY23" i="1"/>
  <c r="AY28" i="1"/>
  <c r="AY8" i="1"/>
  <c r="AY16" i="1"/>
  <c r="AY24" i="1"/>
  <c r="AY9" i="1"/>
  <c r="AY17" i="1"/>
  <c r="AY25" i="1"/>
  <c r="AY10" i="1"/>
  <c r="AY18" i="1"/>
  <c r="AY26" i="1"/>
  <c r="AY12" i="1"/>
  <c r="AY11" i="1"/>
  <c r="AY19" i="1"/>
  <c r="AY27" i="1"/>
  <c r="AY20" i="1"/>
  <c r="AY5" i="1"/>
  <c r="AY13" i="1"/>
  <c r="AY21" i="1"/>
  <c r="AY29" i="1"/>
  <c r="AY6" i="1"/>
  <c r="AY14" i="1"/>
  <c r="AY22" i="1"/>
  <c r="AY30" i="1"/>
  <c r="AX4" i="1"/>
  <c r="AX6" i="1"/>
  <c r="AX14" i="1"/>
  <c r="AX22" i="1"/>
  <c r="AX30" i="1"/>
  <c r="AX7" i="1"/>
  <c r="AX15" i="1"/>
  <c r="AX23" i="1"/>
  <c r="AX8" i="1"/>
  <c r="AX16" i="1"/>
  <c r="AX24" i="1"/>
  <c r="AX9" i="1"/>
  <c r="AX17" i="1"/>
  <c r="AX25" i="1"/>
  <c r="AX29" i="1"/>
  <c r="AX10" i="1"/>
  <c r="AX18" i="1"/>
  <c r="AX26" i="1"/>
  <c r="AX5" i="1"/>
  <c r="AX11" i="1"/>
  <c r="AX19" i="1"/>
  <c r="AX27" i="1"/>
  <c r="AX13" i="1"/>
  <c r="AX12" i="1"/>
  <c r="AX20" i="1"/>
  <c r="AX28" i="1"/>
  <c r="AX21" i="1"/>
  <c r="G4" i="8"/>
  <c r="Y8" i="36"/>
  <c r="Y8" i="37"/>
  <c r="Y8" i="35"/>
  <c r="Y8" i="33"/>
  <c r="Y8" i="34"/>
  <c r="Y8" i="31"/>
  <c r="Y8" i="30"/>
  <c r="Y8" i="32"/>
  <c r="Y8" i="28"/>
  <c r="Y8" i="29"/>
  <c r="Y8" i="27"/>
  <c r="Y8" i="25"/>
  <c r="Y8" i="26"/>
  <c r="G5" i="8"/>
  <c r="Y9" i="37"/>
  <c r="Y9" i="35"/>
  <c r="Y9" i="36"/>
  <c r="Y9" i="34"/>
  <c r="Y9" i="33"/>
  <c r="Y9" i="31"/>
  <c r="Y9" i="32"/>
  <c r="Y9" i="30"/>
  <c r="Y9" i="28"/>
  <c r="Y9" i="29"/>
  <c r="Y9" i="27"/>
  <c r="Y9" i="26"/>
  <c r="Y9" i="25"/>
  <c r="G6" i="8"/>
  <c r="Y10" i="37"/>
  <c r="Y10" i="35"/>
  <c r="Y10" i="34"/>
  <c r="Y10" i="33"/>
  <c r="Y10" i="32"/>
  <c r="Y10" i="36"/>
  <c r="Y10" i="31"/>
  <c r="Y10" i="30"/>
  <c r="Y10" i="29"/>
  <c r="Y10" i="28"/>
  <c r="Y10" i="27"/>
  <c r="Y10" i="26"/>
  <c r="Y10" i="25"/>
  <c r="G7" i="8"/>
  <c r="Y11" i="37"/>
  <c r="Y11" i="36"/>
  <c r="Y11" i="35"/>
  <c r="Y11" i="34"/>
  <c r="Y11" i="30"/>
  <c r="Y11" i="31"/>
  <c r="Y11" i="32"/>
  <c r="Y11" i="33"/>
  <c r="Y11" i="29"/>
  <c r="Y11" i="28"/>
  <c r="Y11" i="27"/>
  <c r="Y11" i="25"/>
  <c r="Y11" i="26"/>
  <c r="Y5" i="35"/>
  <c r="Y5" i="36"/>
  <c r="Y5" i="34"/>
  <c r="Y5" i="37"/>
  <c r="Y5" i="32"/>
  <c r="Y5" i="33"/>
  <c r="Y5" i="30"/>
  <c r="Y5" i="28"/>
  <c r="Y5" i="31"/>
  <c r="Y5" i="29"/>
  <c r="Y5" i="27"/>
  <c r="Y5" i="26"/>
  <c r="Y5" i="25"/>
  <c r="N2" i="4"/>
  <c r="Y6" i="36"/>
  <c r="Y6" i="37"/>
  <c r="Y6" i="35"/>
  <c r="Y6" i="33"/>
  <c r="Y6" i="34"/>
  <c r="Y6" i="30"/>
  <c r="Y6" i="32"/>
  <c r="Y6" i="31"/>
  <c r="Y6" i="28"/>
  <c r="Y6" i="29"/>
  <c r="Y6" i="25"/>
  <c r="Y6" i="27"/>
  <c r="Y6" i="26"/>
  <c r="Y7" i="36"/>
  <c r="Y7" i="37"/>
  <c r="Y7" i="35"/>
  <c r="Y7" i="33"/>
  <c r="Y7" i="34"/>
  <c r="Y7" i="30"/>
  <c r="Y7" i="32"/>
  <c r="Y7" i="31"/>
  <c r="Y7" i="28"/>
  <c r="Y7" i="29"/>
  <c r="Y7" i="26"/>
  <c r="Y7" i="27"/>
  <c r="Y7" i="25"/>
  <c r="BD17" i="1"/>
  <c r="BD12" i="1"/>
  <c r="BD28" i="1"/>
  <c r="BD20" i="1"/>
  <c r="BD25" i="1"/>
  <c r="BD9" i="1"/>
  <c r="BD24" i="1"/>
  <c r="BD8" i="1"/>
  <c r="BD29" i="1"/>
  <c r="BD13" i="1"/>
  <c r="BD16" i="1"/>
  <c r="BD21" i="1"/>
  <c r="BD5" i="1"/>
  <c r="BD30" i="1"/>
  <c r="BD26" i="1"/>
  <c r="BD22" i="1"/>
  <c r="BD18" i="1"/>
  <c r="BD14" i="1"/>
  <c r="BD10" i="1"/>
  <c r="BD6" i="1"/>
  <c r="BD27" i="1"/>
  <c r="BD23" i="1"/>
  <c r="BD19" i="1"/>
  <c r="BD15" i="1"/>
  <c r="BD11" i="1"/>
  <c r="N3" i="4"/>
  <c r="M4" i="15"/>
  <c r="M5" i="15"/>
  <c r="M6" i="15"/>
  <c r="M7" i="15"/>
  <c r="M8" i="15"/>
  <c r="M9" i="15"/>
  <c r="M10" i="15"/>
  <c r="M11" i="15"/>
  <c r="M12" i="15"/>
  <c r="M3" i="15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" i="12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M15" i="5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4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A4" i="1"/>
  <c r="F5" i="1"/>
  <c r="F6" i="1"/>
  <c r="W6" i="1" s="1"/>
  <c r="F7" i="1"/>
  <c r="W7" i="1" s="1"/>
  <c r="F8" i="1"/>
  <c r="AF8" i="1" s="1"/>
  <c r="F9" i="1"/>
  <c r="AL9" i="1" s="1"/>
  <c r="F10" i="1"/>
  <c r="W10" i="1" s="1"/>
  <c r="F11" i="1"/>
  <c r="W11" i="1" s="1"/>
  <c r="F12" i="1"/>
  <c r="AI12" i="1" s="1"/>
  <c r="F13" i="1"/>
  <c r="W13" i="1" s="1"/>
  <c r="F14" i="1"/>
  <c r="AL14" i="1" s="1"/>
  <c r="F15" i="1"/>
  <c r="AL15" i="1" s="1"/>
  <c r="F16" i="1"/>
  <c r="AI16" i="1" s="1"/>
  <c r="F17" i="1"/>
  <c r="AL17" i="1" s="1"/>
  <c r="F18" i="1"/>
  <c r="AC18" i="1" s="1"/>
  <c r="F19" i="1"/>
  <c r="AO19" i="1" s="1"/>
  <c r="F20" i="1"/>
  <c r="W20" i="1" s="1"/>
  <c r="F21" i="1"/>
  <c r="W21" i="1" s="1"/>
  <c r="F22" i="1"/>
  <c r="AI22" i="1" s="1"/>
  <c r="F23" i="1"/>
  <c r="AO23" i="1" s="1"/>
  <c r="F24" i="1"/>
  <c r="AC24" i="1" s="1"/>
  <c r="F25" i="1"/>
  <c r="W25" i="1" s="1"/>
  <c r="F26" i="1"/>
  <c r="AI26" i="1" s="1"/>
  <c r="F27" i="1"/>
  <c r="AI27" i="1" s="1"/>
  <c r="F28" i="1"/>
  <c r="AL28" i="1" s="1"/>
  <c r="F29" i="1"/>
  <c r="W29" i="1" s="1"/>
  <c r="F30" i="1"/>
  <c r="W30" i="1" s="1"/>
  <c r="F4" i="1"/>
  <c r="AO4" i="1" s="1"/>
  <c r="C5" i="1"/>
  <c r="B6" i="2" s="1"/>
  <c r="C6" i="1"/>
  <c r="B7" i="2" s="1"/>
  <c r="C7" i="1"/>
  <c r="B8" i="2" s="1"/>
  <c r="C8" i="1"/>
  <c r="B9" i="2" s="1"/>
  <c r="C9" i="1"/>
  <c r="B10" i="2" s="1"/>
  <c r="C10" i="1"/>
  <c r="B11" i="2" s="1"/>
  <c r="C11" i="1"/>
  <c r="B12" i="2" s="1"/>
  <c r="C12" i="1"/>
  <c r="B13" i="2" s="1"/>
  <c r="C13" i="1"/>
  <c r="B14" i="2" s="1"/>
  <c r="C14" i="1"/>
  <c r="B15" i="2" s="1"/>
  <c r="C15" i="1"/>
  <c r="B16" i="2" s="1"/>
  <c r="C16" i="1"/>
  <c r="B17" i="2" s="1"/>
  <c r="C17" i="1"/>
  <c r="B18" i="2" s="1"/>
  <c r="C18" i="1"/>
  <c r="B19" i="2" s="1"/>
  <c r="C19" i="1"/>
  <c r="B20" i="2" s="1"/>
  <c r="C20" i="1"/>
  <c r="B21" i="2" s="1"/>
  <c r="C21" i="1"/>
  <c r="B22" i="2" s="1"/>
  <c r="C22" i="1"/>
  <c r="B23" i="2" s="1"/>
  <c r="C23" i="1"/>
  <c r="B24" i="2" s="1"/>
  <c r="C24" i="1"/>
  <c r="B25" i="2" s="1"/>
  <c r="C25" i="1"/>
  <c r="B26" i="2" s="1"/>
  <c r="C26" i="1"/>
  <c r="B27" i="2" s="1"/>
  <c r="C27" i="1"/>
  <c r="B28" i="2" s="1"/>
  <c r="C28" i="1"/>
  <c r="B29" i="2" s="1"/>
  <c r="C29" i="1"/>
  <c r="B30" i="2" s="1"/>
  <c r="C30" i="1"/>
  <c r="B31" i="2" s="1"/>
  <c r="C4" i="1"/>
  <c r="B5" i="2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4" i="1"/>
  <c r="S3" i="14"/>
  <c r="S4" i="14"/>
  <c r="S5" i="14"/>
  <c r="S6" i="14"/>
  <c r="S7" i="14"/>
  <c r="S8" i="14"/>
  <c r="S9" i="14"/>
  <c r="S10" i="14"/>
  <c r="S11" i="14"/>
  <c r="S12" i="14"/>
  <c r="R9" i="14"/>
  <c r="R8" i="14"/>
  <c r="R7" i="14"/>
  <c r="R6" i="14"/>
  <c r="R5" i="14"/>
  <c r="R4" i="14"/>
  <c r="R3" i="14"/>
  <c r="R10" i="14"/>
  <c r="R11" i="14"/>
  <c r="R12" i="14"/>
  <c r="P13" i="13"/>
  <c r="M30" i="5"/>
  <c r="P4" i="17"/>
  <c r="P5" i="17"/>
  <c r="P6" i="17"/>
  <c r="P7" i="17"/>
  <c r="P8" i="17"/>
  <c r="P9" i="17"/>
  <c r="P10" i="17"/>
  <c r="P11" i="17"/>
  <c r="P12" i="17"/>
  <c r="P13" i="17"/>
  <c r="O3" i="14"/>
  <c r="O4" i="14"/>
  <c r="O5" i="14"/>
  <c r="O6" i="14"/>
  <c r="O7" i="14"/>
  <c r="O8" i="14"/>
  <c r="O9" i="14"/>
  <c r="O10" i="14"/>
  <c r="O11" i="14"/>
  <c r="O12" i="14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I4" i="11"/>
  <c r="I5" i="11"/>
  <c r="I6" i="11"/>
  <c r="I7" i="11"/>
  <c r="I8" i="11"/>
  <c r="I9" i="11"/>
  <c r="I10" i="11"/>
  <c r="I11" i="11"/>
  <c r="I12" i="11"/>
  <c r="I13" i="1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2" i="6"/>
  <c r="Z2" i="6" s="1"/>
  <c r="Z2" i="5"/>
  <c r="AA2" i="5" s="1"/>
  <c r="Y4" i="35" l="1"/>
  <c r="Y4" i="36"/>
  <c r="Y4" i="37"/>
  <c r="Y4" i="34"/>
  <c r="Y4" i="33"/>
  <c r="Y4" i="30"/>
  <c r="Y4" i="31"/>
  <c r="Y4" i="32"/>
  <c r="Y4" i="29"/>
  <c r="Y4" i="26"/>
  <c r="Y4" i="27"/>
  <c r="Y4" i="25"/>
  <c r="Y4" i="28"/>
  <c r="A11449" i="23"/>
  <c r="A11476" i="23"/>
  <c r="A11557" i="23"/>
  <c r="A11665" i="23"/>
  <c r="A11800" i="23"/>
  <c r="A11530" i="23"/>
  <c r="A11638" i="23"/>
  <c r="A12124" i="23"/>
  <c r="A11746" i="23"/>
  <c r="A12205" i="23"/>
  <c r="A11503" i="23"/>
  <c r="A11611" i="23"/>
  <c r="A11584" i="23"/>
  <c r="A11422" i="23"/>
  <c r="A12259" i="23"/>
  <c r="A11854" i="23"/>
  <c r="A12097" i="23"/>
  <c r="A11692" i="23"/>
  <c r="A11962" i="23"/>
  <c r="A11827" i="23"/>
  <c r="A12070" i="23"/>
  <c r="A10423" i="23"/>
  <c r="A10531" i="23"/>
  <c r="A10639" i="23"/>
  <c r="A10774" i="23"/>
  <c r="A12043" i="23"/>
  <c r="A11935" i="23"/>
  <c r="A12151" i="23"/>
  <c r="A11881" i="23"/>
  <c r="A12313" i="23"/>
  <c r="A11314" i="23"/>
  <c r="A11368" i="23"/>
  <c r="A10504" i="23"/>
  <c r="A10612" i="23"/>
  <c r="A11098" i="23"/>
  <c r="A11341" i="23"/>
  <c r="A12016" i="23"/>
  <c r="A11719" i="23"/>
  <c r="A12232" i="23"/>
  <c r="A10477" i="23"/>
  <c r="A11773" i="23"/>
  <c r="A11908" i="23"/>
  <c r="A12286" i="23"/>
  <c r="A11989" i="23"/>
  <c r="A12178" i="23"/>
  <c r="A10450" i="23"/>
  <c r="A10558" i="23"/>
  <c r="A10396" i="23"/>
  <c r="A11233" i="23"/>
  <c r="A10828" i="23"/>
  <c r="A11071" i="23"/>
  <c r="A10666" i="23"/>
  <c r="A10936" i="23"/>
  <c r="A10801" i="23"/>
  <c r="A11044" i="23"/>
  <c r="A10747" i="23"/>
  <c r="A11395" i="23"/>
  <c r="A10585" i="23"/>
  <c r="A10369" i="23"/>
  <c r="A11017" i="23"/>
  <c r="A11125" i="23"/>
  <c r="A10855" i="23"/>
  <c r="A11287" i="23"/>
  <c r="A10288" i="23"/>
  <c r="A10342" i="23"/>
  <c r="A10909" i="23"/>
  <c r="A11179" i="23"/>
  <c r="A11152" i="23"/>
  <c r="A11206" i="23"/>
  <c r="A9397" i="23"/>
  <c r="A9505" i="23"/>
  <c r="A9613" i="23"/>
  <c r="A9748" i="23"/>
  <c r="A9991" i="23"/>
  <c r="A10099" i="23"/>
  <c r="A9829" i="23"/>
  <c r="A10261" i="23"/>
  <c r="A9262" i="23"/>
  <c r="A9316" i="23"/>
  <c r="A10882" i="23"/>
  <c r="A10315" i="23"/>
  <c r="A9478" i="23"/>
  <c r="A9586" i="23"/>
  <c r="A10072" i="23"/>
  <c r="A9694" i="23"/>
  <c r="A10153" i="23"/>
  <c r="A9289" i="23"/>
  <c r="A9964" i="23"/>
  <c r="A9667" i="23"/>
  <c r="A10180" i="23"/>
  <c r="A10720" i="23"/>
  <c r="A10963" i="23"/>
  <c r="A10693" i="23"/>
  <c r="A9424" i="23"/>
  <c r="A9532" i="23"/>
  <c r="A9370" i="23"/>
  <c r="A10207" i="23"/>
  <c r="A9802" i="23"/>
  <c r="A10045" i="23"/>
  <c r="A9640" i="23"/>
  <c r="A9910" i="23"/>
  <c r="A9775" i="23"/>
  <c r="A10018" i="23"/>
  <c r="A9856" i="23"/>
  <c r="A8371" i="23"/>
  <c r="A8479" i="23"/>
  <c r="A8587" i="23"/>
  <c r="A8722" i="23"/>
  <c r="A8965" i="23"/>
  <c r="A9073" i="23"/>
  <c r="A8803" i="23"/>
  <c r="A9235" i="23"/>
  <c r="A8236" i="23"/>
  <c r="A8290" i="23"/>
  <c r="A9883" i="23"/>
  <c r="A9343" i="23"/>
  <c r="A8452" i="23"/>
  <c r="A8560" i="23"/>
  <c r="A9046" i="23"/>
  <c r="A8668" i="23"/>
  <c r="A9127" i="23"/>
  <c r="A8263" i="23"/>
  <c r="A8938" i="23"/>
  <c r="A8641" i="23"/>
  <c r="A9154" i="23"/>
  <c r="A7399" i="23"/>
  <c r="A7507" i="23"/>
  <c r="A9721" i="23"/>
  <c r="A9559" i="23"/>
  <c r="A8425" i="23"/>
  <c r="A8533" i="23"/>
  <c r="A8695" i="23"/>
  <c r="A8317" i="23"/>
  <c r="A8857" i="23"/>
  <c r="A8830" i="23"/>
  <c r="A9208" i="23"/>
  <c r="A9937" i="23"/>
  <c r="A8398" i="23"/>
  <c r="A8506" i="23"/>
  <c r="A8344" i="23"/>
  <c r="A9181" i="23"/>
  <c r="A8776" i="23"/>
  <c r="A9019" i="23"/>
  <c r="A8614" i="23"/>
  <c r="A8884" i="23"/>
  <c r="A8749" i="23"/>
  <c r="A8992" i="23"/>
  <c r="A7345" i="23"/>
  <c r="A7453" i="23"/>
  <c r="A11260" i="23"/>
  <c r="A10234" i="23"/>
  <c r="A8911" i="23"/>
  <c r="A7669" i="23"/>
  <c r="A7291" i="23"/>
  <c r="A7831" i="23"/>
  <c r="A7804" i="23"/>
  <c r="A8182" i="23"/>
  <c r="A7885" i="23"/>
  <c r="A8074" i="23"/>
  <c r="A6346" i="23"/>
  <c r="A6454" i="23"/>
  <c r="A6292" i="23"/>
  <c r="A7129" i="23"/>
  <c r="A7372" i="23"/>
  <c r="A7426" i="23"/>
  <c r="A7318" i="23"/>
  <c r="A8155" i="23"/>
  <c r="A7750" i="23"/>
  <c r="A7993" i="23"/>
  <c r="A7588" i="23"/>
  <c r="A7858" i="23"/>
  <c r="A7723" i="23"/>
  <c r="A7966" i="23"/>
  <c r="A6319" i="23"/>
  <c r="A6427" i="23"/>
  <c r="A6535" i="23"/>
  <c r="A6670" i="23"/>
  <c r="A6913" i="23"/>
  <c r="A9451" i="23"/>
  <c r="A7480" i="23"/>
  <c r="A7534" i="23"/>
  <c r="A7561" i="23"/>
  <c r="A7696" i="23"/>
  <c r="A7939" i="23"/>
  <c r="A8047" i="23"/>
  <c r="A7777" i="23"/>
  <c r="A8209" i="23"/>
  <c r="A7210" i="23"/>
  <c r="A7264" i="23"/>
  <c r="A6400" i="23"/>
  <c r="A6508" i="23"/>
  <c r="A6994" i="23"/>
  <c r="A6616" i="23"/>
  <c r="A10126" i="23"/>
  <c r="A8020" i="23"/>
  <c r="A7642" i="23"/>
  <c r="A8101" i="23"/>
  <c r="A7237" i="23"/>
  <c r="A7912" i="23"/>
  <c r="A7615" i="23"/>
  <c r="A8128" i="23"/>
  <c r="A10990" i="23"/>
  <c r="A9100" i="23"/>
  <c r="A6643" i="23"/>
  <c r="A6724" i="23"/>
  <c r="A6967" i="23"/>
  <c r="A6562" i="23"/>
  <c r="A6832" i="23"/>
  <c r="A6697" i="23"/>
  <c r="A6940" i="23"/>
  <c r="A5482" i="23"/>
  <c r="A5590" i="23"/>
  <c r="A5185" i="23"/>
  <c r="A5563" i="23"/>
  <c r="A5401" i="23"/>
  <c r="A5644" i="23"/>
  <c r="A5995" i="23"/>
  <c r="A6481" i="23"/>
  <c r="A5293" i="23"/>
  <c r="A5509" i="23"/>
  <c r="A5887" i="23"/>
  <c r="A5725" i="23"/>
  <c r="A5158" i="23"/>
  <c r="A6373" i="23"/>
  <c r="A7021" i="23"/>
  <c r="A6751" i="23"/>
  <c r="A7183" i="23"/>
  <c r="A6184" i="23"/>
  <c r="A6238" i="23"/>
  <c r="A5320" i="23"/>
  <c r="A5266" i="23"/>
  <c r="A5698" i="23"/>
  <c r="A5536" i="23"/>
  <c r="A5671" i="23"/>
  <c r="A5347" i="23"/>
  <c r="A5617" i="23"/>
  <c r="A5779" i="23"/>
  <c r="A6130" i="23"/>
  <c r="A6022" i="23"/>
  <c r="A5212" i="23"/>
  <c r="A7075" i="23"/>
  <c r="A6211" i="23"/>
  <c r="A6886" i="23"/>
  <c r="A6589" i="23"/>
  <c r="A7102" i="23"/>
  <c r="A5374" i="23"/>
  <c r="A5968" i="23"/>
  <c r="A6049" i="23"/>
  <c r="A5860" i="23"/>
  <c r="A6076" i="23"/>
  <c r="A6805" i="23"/>
  <c r="A6778" i="23"/>
  <c r="A7156" i="23"/>
  <c r="A6859" i="23"/>
  <c r="A7048" i="23"/>
  <c r="A5428" i="23"/>
  <c r="A6103" i="23"/>
  <c r="A5941" i="23"/>
  <c r="A5806" i="23"/>
  <c r="A6157" i="23"/>
  <c r="A6265" i="23"/>
  <c r="A5455" i="23"/>
  <c r="A5239" i="23"/>
  <c r="A5752" i="23"/>
  <c r="A5833" i="23"/>
  <c r="A5914" i="23"/>
  <c r="A11475" i="23"/>
  <c r="A11583" i="23"/>
  <c r="A11421" i="23"/>
  <c r="A12258" i="23"/>
  <c r="A11448" i="23"/>
  <c r="A11556" i="23"/>
  <c r="A11664" i="23"/>
  <c r="A11799" i="23"/>
  <c r="A12042" i="23"/>
  <c r="A11529" i="23"/>
  <c r="A11637" i="23"/>
  <c r="A11502" i="23"/>
  <c r="A11610" i="23"/>
  <c r="A11772" i="23"/>
  <c r="A11394" i="23"/>
  <c r="A11934" i="23"/>
  <c r="A11745" i="23"/>
  <c r="A11907" i="23"/>
  <c r="A12285" i="23"/>
  <c r="A11988" i="23"/>
  <c r="A12177" i="23"/>
  <c r="A10449" i="23"/>
  <c r="A10557" i="23"/>
  <c r="A10395" i="23"/>
  <c r="A11232" i="23"/>
  <c r="A12123" i="23"/>
  <c r="A12096" i="23"/>
  <c r="A11691" i="23"/>
  <c r="A11961" i="23"/>
  <c r="A11826" i="23"/>
  <c r="A12069" i="23"/>
  <c r="A10422" i="23"/>
  <c r="A10530" i="23"/>
  <c r="A10638" i="23"/>
  <c r="A10773" i="23"/>
  <c r="A11853" i="23"/>
  <c r="A12204" i="23"/>
  <c r="A12150" i="23"/>
  <c r="A11880" i="23"/>
  <c r="A12312" i="23"/>
  <c r="A11313" i="23"/>
  <c r="A11367" i="23"/>
  <c r="A11340" i="23"/>
  <c r="A12015" i="23"/>
  <c r="A11718" i="23"/>
  <c r="A12231" i="23"/>
  <c r="A10476" i="23"/>
  <c r="A10584" i="23"/>
  <c r="A10746" i="23"/>
  <c r="A10368" i="23"/>
  <c r="A10908" i="23"/>
  <c r="A10881" i="23"/>
  <c r="A11259" i="23"/>
  <c r="A10962" i="23"/>
  <c r="A11151" i="23"/>
  <c r="A10827" i="23"/>
  <c r="A11070" i="23"/>
  <c r="A10665" i="23"/>
  <c r="A10935" i="23"/>
  <c r="A10800" i="23"/>
  <c r="A11043" i="23"/>
  <c r="A10611" i="23"/>
  <c r="A11097" i="23"/>
  <c r="A10719" i="23"/>
  <c r="A11016" i="23"/>
  <c r="A10692" i="23"/>
  <c r="A10287" i="23"/>
  <c r="A9423" i="23"/>
  <c r="A9531" i="23"/>
  <c r="A9369" i="23"/>
  <c r="A10206" i="23"/>
  <c r="A9801" i="23"/>
  <c r="A10044" i="23"/>
  <c r="A9639" i="23"/>
  <c r="A9909" i="23"/>
  <c r="A9774" i="23"/>
  <c r="A10017" i="23"/>
  <c r="A11178" i="23"/>
  <c r="A11124" i="23"/>
  <c r="A11205" i="23"/>
  <c r="A10341" i="23"/>
  <c r="A9396" i="23"/>
  <c r="A9504" i="23"/>
  <c r="A9612" i="23"/>
  <c r="A9747" i="23"/>
  <c r="A9990" i="23"/>
  <c r="A10098" i="23"/>
  <c r="A9828" i="23"/>
  <c r="A10260" i="23"/>
  <c r="A9261" i="23"/>
  <c r="A9315" i="23"/>
  <c r="A10503" i="23"/>
  <c r="A10989" i="23"/>
  <c r="A11286" i="23"/>
  <c r="A9450" i="23"/>
  <c r="A9558" i="23"/>
  <c r="A9720" i="23"/>
  <c r="A9342" i="23"/>
  <c r="A9882" i="23"/>
  <c r="A9855" i="23"/>
  <c r="A10233" i="23"/>
  <c r="A9936" i="23"/>
  <c r="A10125" i="23"/>
  <c r="A9477" i="23"/>
  <c r="A10179" i="23"/>
  <c r="A8397" i="23"/>
  <c r="A8505" i="23"/>
  <c r="A8343" i="23"/>
  <c r="A9180" i="23"/>
  <c r="A8775" i="23"/>
  <c r="A9018" i="23"/>
  <c r="A8613" i="23"/>
  <c r="A8883" i="23"/>
  <c r="A8748" i="23"/>
  <c r="A8991" i="23"/>
  <c r="A9666" i="23"/>
  <c r="A9963" i="23"/>
  <c r="A8370" i="23"/>
  <c r="A8478" i="23"/>
  <c r="A8586" i="23"/>
  <c r="A8721" i="23"/>
  <c r="A8964" i="23"/>
  <c r="A9072" i="23"/>
  <c r="A8802" i="23"/>
  <c r="A9234" i="23"/>
  <c r="A8235" i="23"/>
  <c r="A8289" i="23"/>
  <c r="A7425" i="23"/>
  <c r="A7533" i="23"/>
  <c r="A10854" i="23"/>
  <c r="A9288" i="23"/>
  <c r="A10152" i="23"/>
  <c r="A8451" i="23"/>
  <c r="A8559" i="23"/>
  <c r="A9045" i="23"/>
  <c r="A8667" i="23"/>
  <c r="A9126" i="23"/>
  <c r="A8262" i="23"/>
  <c r="A8937" i="23"/>
  <c r="A10071" i="23"/>
  <c r="A8424" i="23"/>
  <c r="A8532" i="23"/>
  <c r="A8694" i="23"/>
  <c r="A8316" i="23"/>
  <c r="A8856" i="23"/>
  <c r="A8829" i="23"/>
  <c r="A9207" i="23"/>
  <c r="A8910" i="23"/>
  <c r="A9099" i="23"/>
  <c r="A7371" i="23"/>
  <c r="A7479" i="23"/>
  <c r="A9585" i="23"/>
  <c r="A8019" i="23"/>
  <c r="A7641" i="23"/>
  <c r="A8100" i="23"/>
  <c r="A7236" i="23"/>
  <c r="A7911" i="23"/>
  <c r="A7614" i="23"/>
  <c r="A8127" i="23"/>
  <c r="A6372" i="23"/>
  <c r="A6480" i="23"/>
  <c r="A6642" i="23"/>
  <c r="A6264" i="23"/>
  <c r="A10314" i="23"/>
  <c r="A9153" i="23"/>
  <c r="A7344" i="23"/>
  <c r="A7668" i="23"/>
  <c r="A7290" i="23"/>
  <c r="A7830" i="23"/>
  <c r="A7803" i="23"/>
  <c r="A8181" i="23"/>
  <c r="A7884" i="23"/>
  <c r="A8073" i="23"/>
  <c r="A6345" i="23"/>
  <c r="A6453" i="23"/>
  <c r="A6291" i="23"/>
  <c r="A7128" i="23"/>
  <c r="A8640" i="23"/>
  <c r="A7398" i="23"/>
  <c r="A7452" i="23"/>
  <c r="A7317" i="23"/>
  <c r="A8154" i="23"/>
  <c r="A7749" i="23"/>
  <c r="A7992" i="23"/>
  <c r="A7587" i="23"/>
  <c r="A7857" i="23"/>
  <c r="A7722" i="23"/>
  <c r="A7965" i="23"/>
  <c r="A6318" i="23"/>
  <c r="A6426" i="23"/>
  <c r="A6534" i="23"/>
  <c r="A6669" i="23"/>
  <c r="A9693" i="23"/>
  <c r="A7560" i="23"/>
  <c r="A7695" i="23"/>
  <c r="A7938" i="23"/>
  <c r="A8046" i="23"/>
  <c r="A7776" i="23"/>
  <c r="A8208" i="23"/>
  <c r="A7209" i="23"/>
  <c r="A7263" i="23"/>
  <c r="A6804" i="23"/>
  <c r="A6777" i="23"/>
  <c r="A7155" i="23"/>
  <c r="A6858" i="23"/>
  <c r="A7047" i="23"/>
  <c r="A5427" i="23"/>
  <c r="A6102" i="23"/>
  <c r="A5940" i="23"/>
  <c r="A5805" i="23"/>
  <c r="A5913" i="23"/>
  <c r="A5454" i="23"/>
  <c r="A5238" i="23"/>
  <c r="A5751" i="23"/>
  <c r="A5832" i="23"/>
  <c r="A6615" i="23"/>
  <c r="A6723" i="23"/>
  <c r="A6966" i="23"/>
  <c r="A6561" i="23"/>
  <c r="A6831" i="23"/>
  <c r="A6696" i="23"/>
  <c r="A6939" i="23"/>
  <c r="A5481" i="23"/>
  <c r="A5589" i="23"/>
  <c r="A5184" i="23"/>
  <c r="A5562" i="23"/>
  <c r="A6399" i="23"/>
  <c r="A6993" i="23"/>
  <c r="A5292" i="23"/>
  <c r="A5508" i="23"/>
  <c r="A5886" i="23"/>
  <c r="A5724" i="23"/>
  <c r="A5157" i="23"/>
  <c r="A6129" i="23"/>
  <c r="A6507" i="23"/>
  <c r="A7020" i="23"/>
  <c r="A6750" i="23"/>
  <c r="A7182" i="23"/>
  <c r="A6183" i="23"/>
  <c r="A6237" i="23"/>
  <c r="A5319" i="23"/>
  <c r="A5265" i="23"/>
  <c r="A5697" i="23"/>
  <c r="A5535" i="23"/>
  <c r="A5670" i="23"/>
  <c r="A6912" i="23"/>
  <c r="A7074" i="23"/>
  <c r="A6210" i="23"/>
  <c r="A6885" i="23"/>
  <c r="A6588" i="23"/>
  <c r="A7101" i="23"/>
  <c r="A5373" i="23"/>
  <c r="A5967" i="23"/>
  <c r="A6048" i="23"/>
  <c r="A5859" i="23"/>
  <c r="A6075" i="23"/>
  <c r="A5616" i="23"/>
  <c r="A7506" i="23"/>
  <c r="A5400" i="23"/>
  <c r="A5643" i="23"/>
  <c r="A5994" i="23"/>
  <c r="A6156" i="23"/>
  <c r="A5211" i="23"/>
  <c r="A5346" i="23"/>
  <c r="A5778" i="23"/>
  <c r="A6021" i="23"/>
  <c r="A11440" i="23"/>
  <c r="A11467" i="23"/>
  <c r="A11575" i="23"/>
  <c r="A11413" i="23"/>
  <c r="A12250" i="23"/>
  <c r="A11548" i="23"/>
  <c r="A11656" i="23"/>
  <c r="A11791" i="23"/>
  <c r="A12034" i="23"/>
  <c r="A11521" i="23"/>
  <c r="A11629" i="23"/>
  <c r="A11494" i="23"/>
  <c r="A11602" i="23"/>
  <c r="A11764" i="23"/>
  <c r="A11386" i="23"/>
  <c r="A11926" i="23"/>
  <c r="A12196" i="23"/>
  <c r="A11899" i="23"/>
  <c r="A12277" i="23"/>
  <c r="A11980" i="23"/>
  <c r="A12169" i="23"/>
  <c r="A10441" i="23"/>
  <c r="A10549" i="23"/>
  <c r="A10387" i="23"/>
  <c r="A11224" i="23"/>
  <c r="A11737" i="23"/>
  <c r="A12088" i="23"/>
  <c r="A11683" i="23"/>
  <c r="A11953" i="23"/>
  <c r="A11818" i="23"/>
  <c r="A12061" i="23"/>
  <c r="A10414" i="23"/>
  <c r="A10522" i="23"/>
  <c r="A10630" i="23"/>
  <c r="A10765" i="23"/>
  <c r="A12115" i="23"/>
  <c r="A12142" i="23"/>
  <c r="A11872" i="23"/>
  <c r="A12304" i="23"/>
  <c r="A11305" i="23"/>
  <c r="A11359" i="23"/>
  <c r="A11332" i="23"/>
  <c r="A12007" i="23"/>
  <c r="A11710" i="23"/>
  <c r="A12223" i="23"/>
  <c r="A10468" i="23"/>
  <c r="A10576" i="23"/>
  <c r="A10738" i="23"/>
  <c r="A10360" i="23"/>
  <c r="A10603" i="23"/>
  <c r="A10495" i="23"/>
  <c r="A10900" i="23"/>
  <c r="A10873" i="23"/>
  <c r="A11251" i="23"/>
  <c r="A10954" i="23"/>
  <c r="A11143" i="23"/>
  <c r="A10819" i="23"/>
  <c r="A11062" i="23"/>
  <c r="A10657" i="23"/>
  <c r="A10927" i="23"/>
  <c r="A10792" i="23"/>
  <c r="A11035" i="23"/>
  <c r="A10306" i="23"/>
  <c r="A10846" i="23"/>
  <c r="A9415" i="23"/>
  <c r="A9523" i="23"/>
  <c r="A9361" i="23"/>
  <c r="A10198" i="23"/>
  <c r="A9793" i="23"/>
  <c r="A10036" i="23"/>
  <c r="A9631" i="23"/>
  <c r="A9901" i="23"/>
  <c r="A9766" i="23"/>
  <c r="A10009" i="23"/>
  <c r="A11089" i="23"/>
  <c r="A10981" i="23"/>
  <c r="A11278" i="23"/>
  <c r="A9388" i="23"/>
  <c r="A9496" i="23"/>
  <c r="A9604" i="23"/>
  <c r="A9739" i="23"/>
  <c r="A9982" i="23"/>
  <c r="A10090" i="23"/>
  <c r="A9820" i="23"/>
  <c r="A10252" i="23"/>
  <c r="A9253" i="23"/>
  <c r="A9307" i="23"/>
  <c r="A10711" i="23"/>
  <c r="A11008" i="23"/>
  <c r="A11170" i="23"/>
  <c r="A11116" i="23"/>
  <c r="A11197" i="23"/>
  <c r="A10333" i="23"/>
  <c r="A9442" i="23"/>
  <c r="A9550" i="23"/>
  <c r="A9712" i="23"/>
  <c r="A9334" i="23"/>
  <c r="A9874" i="23"/>
  <c r="A9847" i="23"/>
  <c r="A10225" i="23"/>
  <c r="A9928" i="23"/>
  <c r="A10117" i="23"/>
  <c r="A11845" i="23"/>
  <c r="A10063" i="23"/>
  <c r="A8389" i="23"/>
  <c r="A8497" i="23"/>
  <c r="A8335" i="23"/>
  <c r="A9172" i="23"/>
  <c r="A8767" i="23"/>
  <c r="A9010" i="23"/>
  <c r="A8605" i="23"/>
  <c r="A8875" i="23"/>
  <c r="A8740" i="23"/>
  <c r="A8983" i="23"/>
  <c r="A10684" i="23"/>
  <c r="A9577" i="23"/>
  <c r="A9469" i="23"/>
  <c r="A10171" i="23"/>
  <c r="A8362" i="23"/>
  <c r="A8470" i="23"/>
  <c r="A8578" i="23"/>
  <c r="A8713" i="23"/>
  <c r="A8956" i="23"/>
  <c r="A9064" i="23"/>
  <c r="A8794" i="23"/>
  <c r="A9226" i="23"/>
  <c r="A8227" i="23"/>
  <c r="A8281" i="23"/>
  <c r="A7417" i="23"/>
  <c r="A7525" i="23"/>
  <c r="A9658" i="23"/>
  <c r="A9955" i="23"/>
  <c r="A8443" i="23"/>
  <c r="A8551" i="23"/>
  <c r="A9037" i="23"/>
  <c r="A8659" i="23"/>
  <c r="A9118" i="23"/>
  <c r="A8254" i="23"/>
  <c r="A8929" i="23"/>
  <c r="A10144" i="23"/>
  <c r="A8416" i="23"/>
  <c r="A8524" i="23"/>
  <c r="A8686" i="23"/>
  <c r="A8308" i="23"/>
  <c r="A8848" i="23"/>
  <c r="A8821" i="23"/>
  <c r="A9199" i="23"/>
  <c r="A8902" i="23"/>
  <c r="A9091" i="23"/>
  <c r="A7363" i="23"/>
  <c r="A7471" i="23"/>
  <c r="A10279" i="23"/>
  <c r="A9685" i="23"/>
  <c r="A7444" i="23"/>
  <c r="A8011" i="23"/>
  <c r="A7633" i="23"/>
  <c r="A8092" i="23"/>
  <c r="A7228" i="23"/>
  <c r="A7903" i="23"/>
  <c r="A7606" i="23"/>
  <c r="A8119" i="23"/>
  <c r="A6364" i="23"/>
  <c r="A6472" i="23"/>
  <c r="A6634" i="23"/>
  <c r="A6256" i="23"/>
  <c r="A7498" i="23"/>
  <c r="A7660" i="23"/>
  <c r="A7282" i="23"/>
  <c r="A7822" i="23"/>
  <c r="A7795" i="23"/>
  <c r="A8173" i="23"/>
  <c r="A7876" i="23"/>
  <c r="A8065" i="23"/>
  <c r="A6337" i="23"/>
  <c r="A6445" i="23"/>
  <c r="A6283" i="23"/>
  <c r="A7120" i="23"/>
  <c r="A9145" i="23"/>
  <c r="A7309" i="23"/>
  <c r="A8146" i="23"/>
  <c r="A7741" i="23"/>
  <c r="A7984" i="23"/>
  <c r="A7579" i="23"/>
  <c r="A7849" i="23"/>
  <c r="A7714" i="23"/>
  <c r="A7957" i="23"/>
  <c r="A6310" i="23"/>
  <c r="A6418" i="23"/>
  <c r="A6526" i="23"/>
  <c r="A6661" i="23"/>
  <c r="A7336" i="23"/>
  <c r="A7552" i="23"/>
  <c r="A7687" i="23"/>
  <c r="A7930" i="23"/>
  <c r="A8038" i="23"/>
  <c r="A7768" i="23"/>
  <c r="A8200" i="23"/>
  <c r="A7201" i="23"/>
  <c r="A7255" i="23"/>
  <c r="A7390" i="23"/>
  <c r="A6796" i="23"/>
  <c r="A6769" i="23"/>
  <c r="A7147" i="23"/>
  <c r="A6850" i="23"/>
  <c r="A7039" i="23"/>
  <c r="A5419" i="23"/>
  <c r="A6094" i="23"/>
  <c r="A5932" i="23"/>
  <c r="A5797" i="23"/>
  <c r="A5905" i="23"/>
  <c r="A5446" i="23"/>
  <c r="A5230" i="23"/>
  <c r="A5743" i="23"/>
  <c r="A5824" i="23"/>
  <c r="A6985" i="23"/>
  <c r="A6121" i="23"/>
  <c r="A6715" i="23"/>
  <c r="A6958" i="23"/>
  <c r="A6553" i="23"/>
  <c r="A6823" i="23"/>
  <c r="A6688" i="23"/>
  <c r="A6931" i="23"/>
  <c r="A5473" i="23"/>
  <c r="A5581" i="23"/>
  <c r="A5176" i="23"/>
  <c r="A5554" i="23"/>
  <c r="A5770" i="23"/>
  <c r="A5284" i="23"/>
  <c r="A5500" i="23"/>
  <c r="A5878" i="23"/>
  <c r="A5716" i="23"/>
  <c r="A5149" i="23"/>
  <c r="A6013" i="23"/>
  <c r="A6607" i="23"/>
  <c r="A6904" i="23"/>
  <c r="A7012" i="23"/>
  <c r="A6742" i="23"/>
  <c r="A7174" i="23"/>
  <c r="A6175" i="23"/>
  <c r="A6229" i="23"/>
  <c r="A5311" i="23"/>
  <c r="A5257" i="23"/>
  <c r="A5689" i="23"/>
  <c r="A5527" i="23"/>
  <c r="A5662" i="23"/>
  <c r="A5338" i="23"/>
  <c r="A9280" i="23"/>
  <c r="A8632" i="23"/>
  <c r="A6499" i="23"/>
  <c r="A7066" i="23"/>
  <c r="A6202" i="23"/>
  <c r="A6877" i="23"/>
  <c r="A6580" i="23"/>
  <c r="A7093" i="23"/>
  <c r="A5365" i="23"/>
  <c r="A5959" i="23"/>
  <c r="A6040" i="23"/>
  <c r="A5851" i="23"/>
  <c r="A6067" i="23"/>
  <c r="A6391" i="23"/>
  <c r="A5392" i="23"/>
  <c r="A5635" i="23"/>
  <c r="A5986" i="23"/>
  <c r="A6148" i="23"/>
  <c r="A5203" i="23"/>
  <c r="A5608" i="23"/>
  <c r="A11459" i="23"/>
  <c r="A11567" i="23"/>
  <c r="A11405" i="23"/>
  <c r="A12242" i="23"/>
  <c r="A11540" i="23"/>
  <c r="A11648" i="23"/>
  <c r="A11783" i="23"/>
  <c r="A12026" i="23"/>
  <c r="A11513" i="23"/>
  <c r="A11621" i="23"/>
  <c r="A11432" i="23"/>
  <c r="A11486" i="23"/>
  <c r="A11594" i="23"/>
  <c r="A11756" i="23"/>
  <c r="A11378" i="23"/>
  <c r="A11918" i="23"/>
  <c r="A11891" i="23"/>
  <c r="A12269" i="23"/>
  <c r="A11972" i="23"/>
  <c r="A12161" i="23"/>
  <c r="A10433" i="23"/>
  <c r="A10541" i="23"/>
  <c r="A10379" i="23"/>
  <c r="A11216" i="23"/>
  <c r="A12080" i="23"/>
  <c r="A11675" i="23"/>
  <c r="A11945" i="23"/>
  <c r="A11810" i="23"/>
  <c r="A12053" i="23"/>
  <c r="A10406" i="23"/>
  <c r="A10514" i="23"/>
  <c r="A10622" i="23"/>
  <c r="A10757" i="23"/>
  <c r="A11837" i="23"/>
  <c r="A11729" i="23"/>
  <c r="A12134" i="23"/>
  <c r="A11864" i="23"/>
  <c r="A12296" i="23"/>
  <c r="A11297" i="23"/>
  <c r="A11351" i="23"/>
  <c r="A12188" i="23"/>
  <c r="A11324" i="23"/>
  <c r="A11999" i="23"/>
  <c r="A11702" i="23"/>
  <c r="A12215" i="23"/>
  <c r="A10460" i="23"/>
  <c r="A10568" i="23"/>
  <c r="A10730" i="23"/>
  <c r="A11081" i="23"/>
  <c r="A10352" i="23"/>
  <c r="A10892" i="23"/>
  <c r="A10865" i="23"/>
  <c r="A11243" i="23"/>
  <c r="A10946" i="23"/>
  <c r="A11135" i="23"/>
  <c r="A10595" i="23"/>
  <c r="A10487" i="23"/>
  <c r="A10811" i="23"/>
  <c r="A11054" i="23"/>
  <c r="A10649" i="23"/>
  <c r="A10919" i="23"/>
  <c r="A10784" i="23"/>
  <c r="A10703" i="23"/>
  <c r="A11000" i="23"/>
  <c r="A10676" i="23"/>
  <c r="A10271" i="23"/>
  <c r="A9407" i="23"/>
  <c r="A9515" i="23"/>
  <c r="A9353" i="23"/>
  <c r="A10190" i="23"/>
  <c r="A9785" i="23"/>
  <c r="A10028" i="23"/>
  <c r="A9623" i="23"/>
  <c r="A9893" i="23"/>
  <c r="A9758" i="23"/>
  <c r="A10001" i="23"/>
  <c r="A11162" i="23"/>
  <c r="A11108" i="23"/>
  <c r="A11189" i="23"/>
  <c r="A10325" i="23"/>
  <c r="A9380" i="23"/>
  <c r="A9488" i="23"/>
  <c r="A9596" i="23"/>
  <c r="A9731" i="23"/>
  <c r="A9974" i="23"/>
  <c r="A10082" i="23"/>
  <c r="A9812" i="23"/>
  <c r="A10244" i="23"/>
  <c r="A9245" i="23"/>
  <c r="A9299" i="23"/>
  <c r="A12107" i="23"/>
  <c r="A10973" i="23"/>
  <c r="A11270" i="23"/>
  <c r="A9434" i="23"/>
  <c r="A9542" i="23"/>
  <c r="A9704" i="23"/>
  <c r="A9326" i="23"/>
  <c r="A9866" i="23"/>
  <c r="A9839" i="23"/>
  <c r="A10217" i="23"/>
  <c r="A9920" i="23"/>
  <c r="A10109" i="23"/>
  <c r="A10136" i="23"/>
  <c r="A8381" i="23"/>
  <c r="A8489" i="23"/>
  <c r="A8327" i="23"/>
  <c r="A9164" i="23"/>
  <c r="A8759" i="23"/>
  <c r="A9002" i="23"/>
  <c r="A8597" i="23"/>
  <c r="A8867" i="23"/>
  <c r="A8732" i="23"/>
  <c r="A8975" i="23"/>
  <c r="A9677" i="23"/>
  <c r="A10055" i="23"/>
  <c r="A8354" i="23"/>
  <c r="A8462" i="23"/>
  <c r="A8570" i="23"/>
  <c r="A8705" i="23"/>
  <c r="A8948" i="23"/>
  <c r="A9056" i="23"/>
  <c r="A8786" i="23"/>
  <c r="A9218" i="23"/>
  <c r="A8219" i="23"/>
  <c r="A8273" i="23"/>
  <c r="A7409" i="23"/>
  <c r="A11027" i="23"/>
  <c r="A9569" i="23"/>
  <c r="A9461" i="23"/>
  <c r="A10163" i="23"/>
  <c r="A8435" i="23"/>
  <c r="A8543" i="23"/>
  <c r="A9029" i="23"/>
  <c r="A8651" i="23"/>
  <c r="A9110" i="23"/>
  <c r="A8246" i="23"/>
  <c r="A8921" i="23"/>
  <c r="A9947" i="23"/>
  <c r="A8408" i="23"/>
  <c r="A8516" i="23"/>
  <c r="A8678" i="23"/>
  <c r="A8300" i="23"/>
  <c r="A8840" i="23"/>
  <c r="A8813" i="23"/>
  <c r="A9191" i="23"/>
  <c r="A8894" i="23"/>
  <c r="A9083" i="23"/>
  <c r="A7355" i="23"/>
  <c r="A7463" i="23"/>
  <c r="A10298" i="23"/>
  <c r="A9272" i="23"/>
  <c r="A7517" i="23"/>
  <c r="A8003" i="23"/>
  <c r="A7625" i="23"/>
  <c r="A8084" i="23"/>
  <c r="A7220" i="23"/>
  <c r="A7895" i="23"/>
  <c r="A7598" i="23"/>
  <c r="A8111" i="23"/>
  <c r="A6356" i="23"/>
  <c r="A6464" i="23"/>
  <c r="A6626" i="23"/>
  <c r="A6248" i="23"/>
  <c r="A7328" i="23"/>
  <c r="A7652" i="23"/>
  <c r="A7274" i="23"/>
  <c r="A7814" i="23"/>
  <c r="A7787" i="23"/>
  <c r="A8165" i="23"/>
  <c r="A7868" i="23"/>
  <c r="A8057" i="23"/>
  <c r="A6329" i="23"/>
  <c r="A6437" i="23"/>
  <c r="A6275" i="23"/>
  <c r="A7112" i="23"/>
  <c r="A7382" i="23"/>
  <c r="A9650" i="23"/>
  <c r="A7436" i="23"/>
  <c r="A7301" i="23"/>
  <c r="A8138" i="23"/>
  <c r="A7733" i="23"/>
  <c r="A7976" i="23"/>
  <c r="A7571" i="23"/>
  <c r="A7841" i="23"/>
  <c r="A7706" i="23"/>
  <c r="A7949" i="23"/>
  <c r="A6302" i="23"/>
  <c r="A6410" i="23"/>
  <c r="A6518" i="23"/>
  <c r="A6653" i="23"/>
  <c r="A9137" i="23"/>
  <c r="A7544" i="23"/>
  <c r="A7679" i="23"/>
  <c r="A7922" i="23"/>
  <c r="A8030" i="23"/>
  <c r="A7760" i="23"/>
  <c r="A8192" i="23"/>
  <c r="A7193" i="23"/>
  <c r="A7247" i="23"/>
  <c r="A8624" i="23"/>
  <c r="A7490" i="23"/>
  <c r="A6491" i="23"/>
  <c r="A6788" i="23"/>
  <c r="A6761" i="23"/>
  <c r="A7139" i="23"/>
  <c r="A6842" i="23"/>
  <c r="A7031" i="23"/>
  <c r="A5411" i="23"/>
  <c r="A6086" i="23"/>
  <c r="A5924" i="23"/>
  <c r="A5789" i="23"/>
  <c r="A5897" i="23"/>
  <c r="A6113" i="23"/>
  <c r="A6383" i="23"/>
  <c r="A5438" i="23"/>
  <c r="A5222" i="23"/>
  <c r="A5735" i="23"/>
  <c r="A5816" i="23"/>
  <c r="A5600" i="23"/>
  <c r="A6707" i="23"/>
  <c r="A6950" i="23"/>
  <c r="A6545" i="23"/>
  <c r="A6815" i="23"/>
  <c r="A6680" i="23"/>
  <c r="A6923" i="23"/>
  <c r="A5465" i="23"/>
  <c r="A5573" i="23"/>
  <c r="A5168" i="23"/>
  <c r="A5546" i="23"/>
  <c r="A5330" i="23"/>
  <c r="A6005" i="23"/>
  <c r="A5276" i="23"/>
  <c r="A5492" i="23"/>
  <c r="A5870" i="23"/>
  <c r="A5708" i="23"/>
  <c r="A5141" i="23"/>
  <c r="A6896" i="23"/>
  <c r="A7004" i="23"/>
  <c r="A6734" i="23"/>
  <c r="A7166" i="23"/>
  <c r="A6167" i="23"/>
  <c r="A6221" i="23"/>
  <c r="A5303" i="23"/>
  <c r="A5249" i="23"/>
  <c r="A5681" i="23"/>
  <c r="A5519" i="23"/>
  <c r="A5654" i="23"/>
  <c r="A6599" i="23"/>
  <c r="A7058" i="23"/>
  <c r="A6194" i="23"/>
  <c r="A6869" i="23"/>
  <c r="A6572" i="23"/>
  <c r="A7085" i="23"/>
  <c r="A5357" i="23"/>
  <c r="A5951" i="23"/>
  <c r="A6032" i="23"/>
  <c r="A5843" i="23"/>
  <c r="A6059" i="23"/>
  <c r="A5762" i="23"/>
  <c r="A10838" i="23"/>
  <c r="A6977" i="23"/>
  <c r="A5384" i="23"/>
  <c r="A5627" i="23"/>
  <c r="A5978" i="23"/>
  <c r="A6140" i="23"/>
  <c r="A5195" i="23"/>
  <c r="Y25" i="37"/>
  <c r="Y25" i="35"/>
  <c r="Y25" i="36"/>
  <c r="Y25" i="34"/>
  <c r="Y25" i="33"/>
  <c r="Y25" i="30"/>
  <c r="Y25" i="32"/>
  <c r="Y25" i="31"/>
  <c r="Y25" i="29"/>
  <c r="Y25" i="28"/>
  <c r="Y25" i="26"/>
  <c r="Y25" i="27"/>
  <c r="Y25" i="25"/>
  <c r="Y17" i="37"/>
  <c r="Y17" i="36"/>
  <c r="Y17" i="35"/>
  <c r="Y17" i="33"/>
  <c r="Y17" i="34"/>
  <c r="Y17" i="32"/>
  <c r="Y17" i="31"/>
  <c r="Y17" i="30"/>
  <c r="Y17" i="29"/>
  <c r="Y17" i="28"/>
  <c r="Y17" i="27"/>
  <c r="Y17" i="26"/>
  <c r="Y17" i="25"/>
  <c r="A11501" i="23"/>
  <c r="A11609" i="23"/>
  <c r="A11771" i="23"/>
  <c r="A11393" i="23"/>
  <c r="A11582" i="23"/>
  <c r="A11420" i="23"/>
  <c r="A12257" i="23"/>
  <c r="A11852" i="23"/>
  <c r="A11447" i="23"/>
  <c r="A11555" i="23"/>
  <c r="A11528" i="23"/>
  <c r="A11636" i="23"/>
  <c r="A12122" i="23"/>
  <c r="A11744" i="23"/>
  <c r="A12203" i="23"/>
  <c r="A11339" i="23"/>
  <c r="A12014" i="23"/>
  <c r="A11717" i="23"/>
  <c r="A12230" i="23"/>
  <c r="A10475" i="23"/>
  <c r="A10583" i="23"/>
  <c r="A10745" i="23"/>
  <c r="A11906" i="23"/>
  <c r="A12284" i="23"/>
  <c r="A11987" i="23"/>
  <c r="A12176" i="23"/>
  <c r="A10448" i="23"/>
  <c r="A10556" i="23"/>
  <c r="A10394" i="23"/>
  <c r="A11231" i="23"/>
  <c r="A11474" i="23"/>
  <c r="A11798" i="23"/>
  <c r="A12041" i="23"/>
  <c r="A12095" i="23"/>
  <c r="A11690" i="23"/>
  <c r="A11960" i="23"/>
  <c r="A11825" i="23"/>
  <c r="A12068" i="23"/>
  <c r="A10421" i="23"/>
  <c r="A12149" i="23"/>
  <c r="A11879" i="23"/>
  <c r="A12311" i="23"/>
  <c r="A11312" i="23"/>
  <c r="A11366" i="23"/>
  <c r="A10502" i="23"/>
  <c r="A10610" i="23"/>
  <c r="A11096" i="23"/>
  <c r="A10772" i="23"/>
  <c r="A11663" i="23"/>
  <c r="A10637" i="23"/>
  <c r="A10718" i="23"/>
  <c r="A11177" i="23"/>
  <c r="A10313" i="23"/>
  <c r="A10988" i="23"/>
  <c r="A10691" i="23"/>
  <c r="A11204" i="23"/>
  <c r="A10529" i="23"/>
  <c r="A10907" i="23"/>
  <c r="A10880" i="23"/>
  <c r="A11258" i="23"/>
  <c r="A10961" i="23"/>
  <c r="A11150" i="23"/>
  <c r="A11933" i="23"/>
  <c r="A10367" i="23"/>
  <c r="A11285" i="23"/>
  <c r="A10934" i="23"/>
  <c r="A9449" i="23"/>
  <c r="A9557" i="23"/>
  <c r="A9719" i="23"/>
  <c r="A9341" i="23"/>
  <c r="A9881" i="23"/>
  <c r="A9854" i="23"/>
  <c r="A10232" i="23"/>
  <c r="A9935" i="23"/>
  <c r="A10124" i="23"/>
  <c r="A11015" i="23"/>
  <c r="A10826" i="23"/>
  <c r="A10286" i="23"/>
  <c r="A10799" i="23"/>
  <c r="A9422" i="23"/>
  <c r="A9530" i="23"/>
  <c r="A9368" i="23"/>
  <c r="A10205" i="23"/>
  <c r="A9800" i="23"/>
  <c r="A10043" i="23"/>
  <c r="A9638" i="23"/>
  <c r="A9908" i="23"/>
  <c r="A9773" i="23"/>
  <c r="A10016" i="23"/>
  <c r="A10853" i="23"/>
  <c r="A10664" i="23"/>
  <c r="A9476" i="23"/>
  <c r="A9584" i="23"/>
  <c r="A10070" i="23"/>
  <c r="A9692" i="23"/>
  <c r="A10151" i="23"/>
  <c r="A9287" i="23"/>
  <c r="A9962" i="23"/>
  <c r="A9665" i="23"/>
  <c r="A10178" i="23"/>
  <c r="A9989" i="23"/>
  <c r="A8423" i="23"/>
  <c r="A8531" i="23"/>
  <c r="A8693" i="23"/>
  <c r="A8315" i="23"/>
  <c r="A8855" i="23"/>
  <c r="A8828" i="23"/>
  <c r="A9206" i="23"/>
  <c r="A8909" i="23"/>
  <c r="A9098" i="23"/>
  <c r="A11069" i="23"/>
  <c r="A10340" i="23"/>
  <c r="A9746" i="23"/>
  <c r="A9611" i="23"/>
  <c r="A8396" i="23"/>
  <c r="A8504" i="23"/>
  <c r="A8342" i="23"/>
  <c r="A9179" i="23"/>
  <c r="A8774" i="23"/>
  <c r="A9017" i="23"/>
  <c r="A8612" i="23"/>
  <c r="A8882" i="23"/>
  <c r="A8747" i="23"/>
  <c r="A8990" i="23"/>
  <c r="A7343" i="23"/>
  <c r="A7451" i="23"/>
  <c r="A11123" i="23"/>
  <c r="A9503" i="23"/>
  <c r="A9314" i="23"/>
  <c r="A9395" i="23"/>
  <c r="A9260" i="23"/>
  <c r="A8369" i="23"/>
  <c r="A8477" i="23"/>
  <c r="A8585" i="23"/>
  <c r="A8720" i="23"/>
  <c r="A8963" i="23"/>
  <c r="A9071" i="23"/>
  <c r="A8801" i="23"/>
  <c r="A9827" i="23"/>
  <c r="A8450" i="23"/>
  <c r="A8558" i="23"/>
  <c r="A9044" i="23"/>
  <c r="A8666" i="23"/>
  <c r="A9125" i="23"/>
  <c r="A8261" i="23"/>
  <c r="A8936" i="23"/>
  <c r="A8639" i="23"/>
  <c r="A9152" i="23"/>
  <c r="A7397" i="23"/>
  <c r="A7505" i="23"/>
  <c r="A11042" i="23"/>
  <c r="A10097" i="23"/>
  <c r="A7559" i="23"/>
  <c r="A7694" i="23"/>
  <c r="A7937" i="23"/>
  <c r="A8045" i="23"/>
  <c r="A7775" i="23"/>
  <c r="A8207" i="23"/>
  <c r="A7208" i="23"/>
  <c r="A7262" i="23"/>
  <c r="A6398" i="23"/>
  <c r="A6506" i="23"/>
  <c r="A6992" i="23"/>
  <c r="A6614" i="23"/>
  <c r="A10259" i="23"/>
  <c r="A8018" i="23"/>
  <c r="A7640" i="23"/>
  <c r="A8099" i="23"/>
  <c r="A7235" i="23"/>
  <c r="A7910" i="23"/>
  <c r="A7613" i="23"/>
  <c r="A8126" i="23"/>
  <c r="A6371" i="23"/>
  <c r="A6479" i="23"/>
  <c r="A6641" i="23"/>
  <c r="A6263" i="23"/>
  <c r="A7370" i="23"/>
  <c r="A7667" i="23"/>
  <c r="A7289" i="23"/>
  <c r="A7829" i="23"/>
  <c r="A7802" i="23"/>
  <c r="A8180" i="23"/>
  <c r="A7883" i="23"/>
  <c r="A8072" i="23"/>
  <c r="A6344" i="23"/>
  <c r="A6452" i="23"/>
  <c r="A6290" i="23"/>
  <c r="A7127" i="23"/>
  <c r="A8234" i="23"/>
  <c r="A7478" i="23"/>
  <c r="A7316" i="23"/>
  <c r="A8153" i="23"/>
  <c r="A7748" i="23"/>
  <c r="A7991" i="23"/>
  <c r="A7586" i="23"/>
  <c r="A7856" i="23"/>
  <c r="A7721" i="23"/>
  <c r="A7964" i="23"/>
  <c r="A6317" i="23"/>
  <c r="A9233" i="23"/>
  <c r="A7532" i="23"/>
  <c r="A6425" i="23"/>
  <c r="A6911" i="23"/>
  <c r="A7073" i="23"/>
  <c r="A6209" i="23"/>
  <c r="A6884" i="23"/>
  <c r="A6587" i="23"/>
  <c r="A7100" i="23"/>
  <c r="A5372" i="23"/>
  <c r="A5966" i="23"/>
  <c r="A6047" i="23"/>
  <c r="A5858" i="23"/>
  <c r="A6074" i="23"/>
  <c r="A5399" i="23"/>
  <c r="A5642" i="23"/>
  <c r="A5993" i="23"/>
  <c r="A6155" i="23"/>
  <c r="A5210" i="23"/>
  <c r="A5912" i="23"/>
  <c r="A8288" i="23"/>
  <c r="A7424" i="23"/>
  <c r="A6803" i="23"/>
  <c r="A6776" i="23"/>
  <c r="A7154" i="23"/>
  <c r="A6857" i="23"/>
  <c r="A7046" i="23"/>
  <c r="A5426" i="23"/>
  <c r="A6101" i="23"/>
  <c r="A5939" i="23"/>
  <c r="A5804" i="23"/>
  <c r="A5453" i="23"/>
  <c r="A5237" i="23"/>
  <c r="A5750" i="23"/>
  <c r="A5831" i="23"/>
  <c r="A5723" i="23"/>
  <c r="A6722" i="23"/>
  <c r="A6965" i="23"/>
  <c r="A6560" i="23"/>
  <c r="A6830" i="23"/>
  <c r="A6695" i="23"/>
  <c r="A6938" i="23"/>
  <c r="A5480" i="23"/>
  <c r="A5588" i="23"/>
  <c r="A5183" i="23"/>
  <c r="A5561" i="23"/>
  <c r="A5291" i="23"/>
  <c r="A5507" i="23"/>
  <c r="A6668" i="23"/>
  <c r="A7019" i="23"/>
  <c r="A6749" i="23"/>
  <c r="A7181" i="23"/>
  <c r="A6182" i="23"/>
  <c r="A6236" i="23"/>
  <c r="A5318" i="23"/>
  <c r="A5264" i="23"/>
  <c r="A5696" i="23"/>
  <c r="A5534" i="23"/>
  <c r="A5669" i="23"/>
  <c r="A5156" i="23"/>
  <c r="A6533" i="23"/>
  <c r="A5345" i="23"/>
  <c r="A5615" i="23"/>
  <c r="A5777" i="23"/>
  <c r="A6128" i="23"/>
  <c r="A6020" i="23"/>
  <c r="A5885" i="23"/>
  <c r="A11493" i="23"/>
  <c r="A11601" i="23"/>
  <c r="A11763" i="23"/>
  <c r="A11385" i="23"/>
  <c r="A11439" i="23"/>
  <c r="A11466" i="23"/>
  <c r="A11574" i="23"/>
  <c r="A11412" i="23"/>
  <c r="A12249" i="23"/>
  <c r="A11844" i="23"/>
  <c r="A11547" i="23"/>
  <c r="A11520" i="23"/>
  <c r="A11628" i="23"/>
  <c r="A12114" i="23"/>
  <c r="A11736" i="23"/>
  <c r="A12195" i="23"/>
  <c r="A12033" i="23"/>
  <c r="A11331" i="23"/>
  <c r="A12006" i="23"/>
  <c r="A11709" i="23"/>
  <c r="A12222" i="23"/>
  <c r="A10467" i="23"/>
  <c r="A10575" i="23"/>
  <c r="A10737" i="23"/>
  <c r="A11925" i="23"/>
  <c r="A11898" i="23"/>
  <c r="A12276" i="23"/>
  <c r="A11979" i="23"/>
  <c r="A12168" i="23"/>
  <c r="A10440" i="23"/>
  <c r="A10548" i="23"/>
  <c r="A10386" i="23"/>
  <c r="A11223" i="23"/>
  <c r="A12087" i="23"/>
  <c r="A11682" i="23"/>
  <c r="A11952" i="23"/>
  <c r="A11817" i="23"/>
  <c r="A12060" i="23"/>
  <c r="A10413" i="23"/>
  <c r="A11790" i="23"/>
  <c r="A12141" i="23"/>
  <c r="A11871" i="23"/>
  <c r="A12303" i="23"/>
  <c r="A11304" i="23"/>
  <c r="A11358" i="23"/>
  <c r="A10494" i="23"/>
  <c r="A10602" i="23"/>
  <c r="A11088" i="23"/>
  <c r="A10710" i="23"/>
  <c r="A11169" i="23"/>
  <c r="A10305" i="23"/>
  <c r="A10980" i="23"/>
  <c r="A10683" i="23"/>
  <c r="A11196" i="23"/>
  <c r="A11655" i="23"/>
  <c r="A10629" i="23"/>
  <c r="A10899" i="23"/>
  <c r="A10872" i="23"/>
  <c r="A11250" i="23"/>
  <c r="A10953" i="23"/>
  <c r="A11142" i="23"/>
  <c r="A10521" i="23"/>
  <c r="A10359" i="23"/>
  <c r="A10764" i="23"/>
  <c r="A11115" i="23"/>
  <c r="A11061" i="23"/>
  <c r="A10332" i="23"/>
  <c r="A11034" i="23"/>
  <c r="A9441" i="23"/>
  <c r="A9549" i="23"/>
  <c r="A9711" i="23"/>
  <c r="A9333" i="23"/>
  <c r="A9873" i="23"/>
  <c r="A9846" i="23"/>
  <c r="A10224" i="23"/>
  <c r="A9927" i="23"/>
  <c r="A10116" i="23"/>
  <c r="A10845" i="23"/>
  <c r="A10656" i="23"/>
  <c r="A9414" i="23"/>
  <c r="A9522" i="23"/>
  <c r="A9360" i="23"/>
  <c r="A10197" i="23"/>
  <c r="A9792" i="23"/>
  <c r="A10035" i="23"/>
  <c r="A9630" i="23"/>
  <c r="A9900" i="23"/>
  <c r="A9765" i="23"/>
  <c r="A10008" i="23"/>
  <c r="A11007" i="23"/>
  <c r="A10818" i="23"/>
  <c r="A10278" i="23"/>
  <c r="A10791" i="23"/>
  <c r="A9468" i="23"/>
  <c r="A9576" i="23"/>
  <c r="A10062" i="23"/>
  <c r="A9684" i="23"/>
  <c r="A10143" i="23"/>
  <c r="A9279" i="23"/>
  <c r="A9954" i="23"/>
  <c r="A9657" i="23"/>
  <c r="A10170" i="23"/>
  <c r="A9819" i="23"/>
  <c r="A8415" i="23"/>
  <c r="A8523" i="23"/>
  <c r="A8685" i="23"/>
  <c r="A8307" i="23"/>
  <c r="A8847" i="23"/>
  <c r="A8820" i="23"/>
  <c r="A9198" i="23"/>
  <c r="A8901" i="23"/>
  <c r="A9090" i="23"/>
  <c r="A10089" i="23"/>
  <c r="A9981" i="23"/>
  <c r="A8388" i="23"/>
  <c r="A8496" i="23"/>
  <c r="A8334" i="23"/>
  <c r="A9171" i="23"/>
  <c r="A8766" i="23"/>
  <c r="A9009" i="23"/>
  <c r="A8604" i="23"/>
  <c r="A8874" i="23"/>
  <c r="A8739" i="23"/>
  <c r="A8982" i="23"/>
  <c r="A7335" i="23"/>
  <c r="A7443" i="23"/>
  <c r="A9738" i="23"/>
  <c r="A9603" i="23"/>
  <c r="A8361" i="23"/>
  <c r="A8469" i="23"/>
  <c r="A8577" i="23"/>
  <c r="A8712" i="23"/>
  <c r="A8955" i="23"/>
  <c r="A9063" i="23"/>
  <c r="A8793" i="23"/>
  <c r="A9387" i="23"/>
  <c r="A9252" i="23"/>
  <c r="A8442" i="23"/>
  <c r="A8550" i="23"/>
  <c r="A9036" i="23"/>
  <c r="A8658" i="23"/>
  <c r="A9117" i="23"/>
  <c r="A8253" i="23"/>
  <c r="A8928" i="23"/>
  <c r="A8631" i="23"/>
  <c r="A9144" i="23"/>
  <c r="A7389" i="23"/>
  <c r="A7497" i="23"/>
  <c r="A11277" i="23"/>
  <c r="A10251" i="23"/>
  <c r="A9306" i="23"/>
  <c r="A8226" i="23"/>
  <c r="A7362" i="23"/>
  <c r="A7551" i="23"/>
  <c r="A7686" i="23"/>
  <c r="A7929" i="23"/>
  <c r="A8037" i="23"/>
  <c r="A7767" i="23"/>
  <c r="A8199" i="23"/>
  <c r="A7200" i="23"/>
  <c r="A7254" i="23"/>
  <c r="A6390" i="23"/>
  <c r="A6498" i="23"/>
  <c r="A6984" i="23"/>
  <c r="A6606" i="23"/>
  <c r="A10926" i="23"/>
  <c r="A9225" i="23"/>
  <c r="A7416" i="23"/>
  <c r="A7470" i="23"/>
  <c r="A8010" i="23"/>
  <c r="A7632" i="23"/>
  <c r="A8091" i="23"/>
  <c r="A7227" i="23"/>
  <c r="A7902" i="23"/>
  <c r="A7605" i="23"/>
  <c r="A8118" i="23"/>
  <c r="A6363" i="23"/>
  <c r="A6471" i="23"/>
  <c r="A6633" i="23"/>
  <c r="A6255" i="23"/>
  <c r="A7524" i="23"/>
  <c r="A7659" i="23"/>
  <c r="A7281" i="23"/>
  <c r="A7821" i="23"/>
  <c r="A7794" i="23"/>
  <c r="A8172" i="23"/>
  <c r="A7875" i="23"/>
  <c r="A8064" i="23"/>
  <c r="A6336" i="23"/>
  <c r="A6444" i="23"/>
  <c r="A6282" i="23"/>
  <c r="A7119" i="23"/>
  <c r="A7308" i="23"/>
  <c r="A8145" i="23"/>
  <c r="A7740" i="23"/>
  <c r="A7983" i="23"/>
  <c r="A7578" i="23"/>
  <c r="A7848" i="23"/>
  <c r="A7713" i="23"/>
  <c r="A7956" i="23"/>
  <c r="A6309" i="23"/>
  <c r="A8280" i="23"/>
  <c r="A6660" i="23"/>
  <c r="A7065" i="23"/>
  <c r="A6201" i="23"/>
  <c r="A6876" i="23"/>
  <c r="A6579" i="23"/>
  <c r="A7092" i="23"/>
  <c r="A5364" i="23"/>
  <c r="A5958" i="23"/>
  <c r="A6039" i="23"/>
  <c r="A5850" i="23"/>
  <c r="A6066" i="23"/>
  <c r="A5877" i="23"/>
  <c r="A6525" i="23"/>
  <c r="A5391" i="23"/>
  <c r="A5634" i="23"/>
  <c r="A5985" i="23"/>
  <c r="A6147" i="23"/>
  <c r="A5202" i="23"/>
  <c r="A5904" i="23"/>
  <c r="A6417" i="23"/>
  <c r="A6795" i="23"/>
  <c r="A6768" i="23"/>
  <c r="A7146" i="23"/>
  <c r="A6849" i="23"/>
  <c r="A7038" i="23"/>
  <c r="A5418" i="23"/>
  <c r="A6093" i="23"/>
  <c r="A5931" i="23"/>
  <c r="A5796" i="23"/>
  <c r="A5445" i="23"/>
  <c r="A5229" i="23"/>
  <c r="A5742" i="23"/>
  <c r="A5823" i="23"/>
  <c r="A5283" i="23"/>
  <c r="A5148" i="23"/>
  <c r="A9495" i="23"/>
  <c r="A6714" i="23"/>
  <c r="A6957" i="23"/>
  <c r="A6552" i="23"/>
  <c r="A6822" i="23"/>
  <c r="A6687" i="23"/>
  <c r="A6930" i="23"/>
  <c r="A5472" i="23"/>
  <c r="A5580" i="23"/>
  <c r="A5175" i="23"/>
  <c r="A5553" i="23"/>
  <c r="A6903" i="23"/>
  <c r="A7011" i="23"/>
  <c r="A6741" i="23"/>
  <c r="A7173" i="23"/>
  <c r="A6174" i="23"/>
  <c r="A6228" i="23"/>
  <c r="A5310" i="23"/>
  <c r="A5256" i="23"/>
  <c r="A5688" i="23"/>
  <c r="A5526" i="23"/>
  <c r="A5661" i="23"/>
  <c r="A5715" i="23"/>
  <c r="A5337" i="23"/>
  <c r="A5607" i="23"/>
  <c r="A5769" i="23"/>
  <c r="A6120" i="23"/>
  <c r="A6012" i="23"/>
  <c r="A5499" i="23"/>
  <c r="A11431" i="23"/>
  <c r="A11485" i="23"/>
  <c r="A11593" i="23"/>
  <c r="A11755" i="23"/>
  <c r="A11377" i="23"/>
  <c r="A11458" i="23"/>
  <c r="A11566" i="23"/>
  <c r="A11404" i="23"/>
  <c r="A12241" i="23"/>
  <c r="A11836" i="23"/>
  <c r="A11539" i="23"/>
  <c r="A11512" i="23"/>
  <c r="A11620" i="23"/>
  <c r="A12106" i="23"/>
  <c r="A11728" i="23"/>
  <c r="A11782" i="23"/>
  <c r="A12187" i="23"/>
  <c r="A11323" i="23"/>
  <c r="A11998" i="23"/>
  <c r="A11701" i="23"/>
  <c r="A12214" i="23"/>
  <c r="A10459" i="23"/>
  <c r="A10567" i="23"/>
  <c r="A10729" i="23"/>
  <c r="A11647" i="23"/>
  <c r="A11890" i="23"/>
  <c r="A12268" i="23"/>
  <c r="A11971" i="23"/>
  <c r="A12160" i="23"/>
  <c r="A10432" i="23"/>
  <c r="A10540" i="23"/>
  <c r="A10378" i="23"/>
  <c r="A11215" i="23"/>
  <c r="A12025" i="23"/>
  <c r="A12079" i="23"/>
  <c r="A11674" i="23"/>
  <c r="A11944" i="23"/>
  <c r="A11809" i="23"/>
  <c r="A12052" i="23"/>
  <c r="A10405" i="23"/>
  <c r="A12133" i="23"/>
  <c r="A11863" i="23"/>
  <c r="A12295" i="23"/>
  <c r="A11296" i="23"/>
  <c r="A11350" i="23"/>
  <c r="A10486" i="23"/>
  <c r="A10594" i="23"/>
  <c r="A11080" i="23"/>
  <c r="A10702" i="23"/>
  <c r="A11161" i="23"/>
  <c r="A10297" i="23"/>
  <c r="A10972" i="23"/>
  <c r="A10675" i="23"/>
  <c r="A11188" i="23"/>
  <c r="A10351" i="23"/>
  <c r="A10891" i="23"/>
  <c r="A10864" i="23"/>
  <c r="A11242" i="23"/>
  <c r="A10945" i="23"/>
  <c r="A11134" i="23"/>
  <c r="A10756" i="23"/>
  <c r="A11917" i="23"/>
  <c r="A10513" i="23"/>
  <c r="A11269" i="23"/>
  <c r="A10918" i="23"/>
  <c r="A9433" i="23"/>
  <c r="A9541" i="23"/>
  <c r="A9703" i="23"/>
  <c r="A9325" i="23"/>
  <c r="A9865" i="23"/>
  <c r="A9838" i="23"/>
  <c r="A10216" i="23"/>
  <c r="A9919" i="23"/>
  <c r="A10108" i="23"/>
  <c r="A10999" i="23"/>
  <c r="A10810" i="23"/>
  <c r="A10270" i="23"/>
  <c r="A10783" i="23"/>
  <c r="A9406" i="23"/>
  <c r="A9514" i="23"/>
  <c r="A9352" i="23"/>
  <c r="A10189" i="23"/>
  <c r="A9784" i="23"/>
  <c r="A10027" i="23"/>
  <c r="A9622" i="23"/>
  <c r="A9892" i="23"/>
  <c r="A9757" i="23"/>
  <c r="A10000" i="23"/>
  <c r="A10621" i="23"/>
  <c r="A10837" i="23"/>
  <c r="A10648" i="23"/>
  <c r="A11026" i="23"/>
  <c r="A9460" i="23"/>
  <c r="A9568" i="23"/>
  <c r="A10054" i="23"/>
  <c r="A9676" i="23"/>
  <c r="A10135" i="23"/>
  <c r="A9271" i="23"/>
  <c r="A9946" i="23"/>
  <c r="A9649" i="23"/>
  <c r="A10162" i="23"/>
  <c r="A9379" i="23"/>
  <c r="A9244" i="23"/>
  <c r="A8407" i="23"/>
  <c r="A8515" i="23"/>
  <c r="A8677" i="23"/>
  <c r="A8299" i="23"/>
  <c r="A8839" i="23"/>
  <c r="A8812" i="23"/>
  <c r="A9190" i="23"/>
  <c r="A8893" i="23"/>
  <c r="A9082" i="23"/>
  <c r="A10243" i="23"/>
  <c r="A9811" i="23"/>
  <c r="A8380" i="23"/>
  <c r="A8488" i="23"/>
  <c r="A8326" i="23"/>
  <c r="A9163" i="23"/>
  <c r="A8758" i="23"/>
  <c r="A9001" i="23"/>
  <c r="A8596" i="23"/>
  <c r="A8866" i="23"/>
  <c r="A8731" i="23"/>
  <c r="A8974" i="23"/>
  <c r="A7327" i="23"/>
  <c r="A7435" i="23"/>
  <c r="A11053" i="23"/>
  <c r="A10324" i="23"/>
  <c r="A10081" i="23"/>
  <c r="A9973" i="23"/>
  <c r="A8353" i="23"/>
  <c r="A8461" i="23"/>
  <c r="A8569" i="23"/>
  <c r="A8704" i="23"/>
  <c r="A8947" i="23"/>
  <c r="A9055" i="23"/>
  <c r="A8785" i="23"/>
  <c r="A9595" i="23"/>
  <c r="A8434" i="23"/>
  <c r="A8542" i="23"/>
  <c r="A9028" i="23"/>
  <c r="A8650" i="23"/>
  <c r="A9109" i="23"/>
  <c r="A8245" i="23"/>
  <c r="A8920" i="23"/>
  <c r="A8623" i="23"/>
  <c r="A9136" i="23"/>
  <c r="A7381" i="23"/>
  <c r="A7489" i="23"/>
  <c r="A9487" i="23"/>
  <c r="A9298" i="23"/>
  <c r="A7543" i="23"/>
  <c r="A7678" i="23"/>
  <c r="A7921" i="23"/>
  <c r="A8029" i="23"/>
  <c r="A7759" i="23"/>
  <c r="A8191" i="23"/>
  <c r="A7192" i="23"/>
  <c r="A7246" i="23"/>
  <c r="A6382" i="23"/>
  <c r="A6490" i="23"/>
  <c r="A6976" i="23"/>
  <c r="A6598" i="23"/>
  <c r="A8272" i="23"/>
  <c r="A8218" i="23"/>
  <c r="A7516" i="23"/>
  <c r="A8002" i="23"/>
  <c r="A7624" i="23"/>
  <c r="A8083" i="23"/>
  <c r="A7219" i="23"/>
  <c r="A7894" i="23"/>
  <c r="A7597" i="23"/>
  <c r="A8110" i="23"/>
  <c r="A6355" i="23"/>
  <c r="A6463" i="23"/>
  <c r="A6625" i="23"/>
  <c r="A6247" i="23"/>
  <c r="A9217" i="23"/>
  <c r="A9730" i="23"/>
  <c r="A7354" i="23"/>
  <c r="A7651" i="23"/>
  <c r="A7273" i="23"/>
  <c r="A7813" i="23"/>
  <c r="A7786" i="23"/>
  <c r="A8164" i="23"/>
  <c r="A7867" i="23"/>
  <c r="A8056" i="23"/>
  <c r="A6328" i="23"/>
  <c r="A6436" i="23"/>
  <c r="A6274" i="23"/>
  <c r="A7111" i="23"/>
  <c r="A7462" i="23"/>
  <c r="A7300" i="23"/>
  <c r="A8137" i="23"/>
  <c r="A7732" i="23"/>
  <c r="A7975" i="23"/>
  <c r="A7570" i="23"/>
  <c r="A7840" i="23"/>
  <c r="A7705" i="23"/>
  <c r="A7948" i="23"/>
  <c r="A11107" i="23"/>
  <c r="A7057" i="23"/>
  <c r="A6193" i="23"/>
  <c r="A6868" i="23"/>
  <c r="A6571" i="23"/>
  <c r="A7084" i="23"/>
  <c r="A5356" i="23"/>
  <c r="A5950" i="23"/>
  <c r="A6031" i="23"/>
  <c r="A5842" i="23"/>
  <c r="A6058" i="23"/>
  <c r="A5707" i="23"/>
  <c r="A5140" i="23"/>
  <c r="A5383" i="23"/>
  <c r="A5626" i="23"/>
  <c r="A5977" i="23"/>
  <c r="A6139" i="23"/>
  <c r="A5194" i="23"/>
  <c r="A5896" i="23"/>
  <c r="A5491" i="23"/>
  <c r="A6652" i="23"/>
  <c r="A6787" i="23"/>
  <c r="A6760" i="23"/>
  <c r="A7138" i="23"/>
  <c r="A6841" i="23"/>
  <c r="A7030" i="23"/>
  <c r="A5410" i="23"/>
  <c r="A6085" i="23"/>
  <c r="A5923" i="23"/>
  <c r="A5788" i="23"/>
  <c r="A6301" i="23"/>
  <c r="A5275" i="23"/>
  <c r="A7408" i="23"/>
  <c r="A6517" i="23"/>
  <c r="A5437" i="23"/>
  <c r="A5221" i="23"/>
  <c r="A5734" i="23"/>
  <c r="A5815" i="23"/>
  <c r="A6409" i="23"/>
  <c r="A6706" i="23"/>
  <c r="A6949" i="23"/>
  <c r="A6544" i="23"/>
  <c r="A6814" i="23"/>
  <c r="A6679" i="23"/>
  <c r="A6922" i="23"/>
  <c r="A5464" i="23"/>
  <c r="A5572" i="23"/>
  <c r="A5167" i="23"/>
  <c r="A5545" i="23"/>
  <c r="A5869" i="23"/>
  <c r="A6895" i="23"/>
  <c r="A7003" i="23"/>
  <c r="A6733" i="23"/>
  <c r="A7165" i="23"/>
  <c r="A6166" i="23"/>
  <c r="A6220" i="23"/>
  <c r="A5302" i="23"/>
  <c r="A5248" i="23"/>
  <c r="A5680" i="23"/>
  <c r="A5518" i="23"/>
  <c r="A5653" i="23"/>
  <c r="A5329" i="23"/>
  <c r="A5599" i="23"/>
  <c r="A5761" i="23"/>
  <c r="A6112" i="23"/>
  <c r="A6004" i="23"/>
  <c r="Y24" i="37"/>
  <c r="Y24" i="36"/>
  <c r="Y24" i="35"/>
  <c r="Y24" i="34"/>
  <c r="Y24" i="32"/>
  <c r="Y24" i="33"/>
  <c r="Y24" i="31"/>
  <c r="Y24" i="30"/>
  <c r="Y24" i="29"/>
  <c r="Y24" i="27"/>
  <c r="Y24" i="28"/>
  <c r="Y24" i="26"/>
  <c r="Y24" i="25"/>
  <c r="Y16" i="37"/>
  <c r="Y16" i="35"/>
  <c r="Y16" i="36"/>
  <c r="Y16" i="32"/>
  <c r="Y16" i="34"/>
  <c r="Y16" i="33"/>
  <c r="Y16" i="30"/>
  <c r="Y16" i="29"/>
  <c r="Y16" i="31"/>
  <c r="Y16" i="28"/>
  <c r="Y16" i="27"/>
  <c r="Y16" i="26"/>
  <c r="Y16" i="25"/>
  <c r="A11527" i="23"/>
  <c r="A11635" i="23"/>
  <c r="A12121" i="23"/>
  <c r="A11743" i="23"/>
  <c r="A11500" i="23"/>
  <c r="A11608" i="23"/>
  <c r="A11770" i="23"/>
  <c r="A11392" i="23"/>
  <c r="A11932" i="23"/>
  <c r="A11581" i="23"/>
  <c r="A11446" i="23"/>
  <c r="A11554" i="23"/>
  <c r="A11662" i="23"/>
  <c r="A11797" i="23"/>
  <c r="A12040" i="23"/>
  <c r="A11419" i="23"/>
  <c r="A12148" i="23"/>
  <c r="A11878" i="23"/>
  <c r="A12310" i="23"/>
  <c r="A11311" i="23"/>
  <c r="A11365" i="23"/>
  <c r="A10501" i="23"/>
  <c r="A10609" i="23"/>
  <c r="A11095" i="23"/>
  <c r="A11338" i="23"/>
  <c r="A12013" i="23"/>
  <c r="A11716" i="23"/>
  <c r="A12229" i="23"/>
  <c r="A10474" i="23"/>
  <c r="A10582" i="23"/>
  <c r="A10744" i="23"/>
  <c r="A11905" i="23"/>
  <c r="A12283" i="23"/>
  <c r="A11986" i="23"/>
  <c r="A12175" i="23"/>
  <c r="A10447" i="23"/>
  <c r="A11473" i="23"/>
  <c r="A11851" i="23"/>
  <c r="A12094" i="23"/>
  <c r="A11689" i="23"/>
  <c r="A11959" i="23"/>
  <c r="A11824" i="23"/>
  <c r="A12067" i="23"/>
  <c r="A10420" i="23"/>
  <c r="A10528" i="23"/>
  <c r="A10636" i="23"/>
  <c r="A10771" i="23"/>
  <c r="A10366" i="23"/>
  <c r="A11014" i="23"/>
  <c r="A11122" i="23"/>
  <c r="A10852" i="23"/>
  <c r="A11284" i="23"/>
  <c r="A10285" i="23"/>
  <c r="A10339" i="23"/>
  <c r="A12256" i="23"/>
  <c r="A12202" i="23"/>
  <c r="A11230" i="23"/>
  <c r="A10717" i="23"/>
  <c r="A11176" i="23"/>
  <c r="A10312" i="23"/>
  <c r="A10987" i="23"/>
  <c r="A10690" i="23"/>
  <c r="A11203" i="23"/>
  <c r="A10393" i="23"/>
  <c r="A10663" i="23"/>
  <c r="A11257" i="23"/>
  <c r="A9475" i="23"/>
  <c r="A9583" i="23"/>
  <c r="A10069" i="23"/>
  <c r="A9691" i="23"/>
  <c r="A10150" i="23"/>
  <c r="A9286" i="23"/>
  <c r="A9961" i="23"/>
  <c r="A9664" i="23"/>
  <c r="A10177" i="23"/>
  <c r="A10933" i="23"/>
  <c r="A10960" i="23"/>
  <c r="A9448" i="23"/>
  <c r="A9556" i="23"/>
  <c r="A9718" i="23"/>
  <c r="A9340" i="23"/>
  <c r="A9880" i="23"/>
  <c r="A9853" i="23"/>
  <c r="A10231" i="23"/>
  <c r="A9934" i="23"/>
  <c r="A10123" i="23"/>
  <c r="A10825" i="23"/>
  <c r="A10555" i="23"/>
  <c r="A11068" i="23"/>
  <c r="A10879" i="23"/>
  <c r="A11041" i="23"/>
  <c r="A9394" i="23"/>
  <c r="A9502" i="23"/>
  <c r="A9610" i="23"/>
  <c r="A9745" i="23"/>
  <c r="A9988" i="23"/>
  <c r="A10096" i="23"/>
  <c r="A9826" i="23"/>
  <c r="A10258" i="23"/>
  <c r="A9259" i="23"/>
  <c r="A9313" i="23"/>
  <c r="A9907" i="23"/>
  <c r="A8449" i="23"/>
  <c r="A8557" i="23"/>
  <c r="A9043" i="23"/>
  <c r="A8665" i="23"/>
  <c r="A9124" i="23"/>
  <c r="A8260" i="23"/>
  <c r="A8935" i="23"/>
  <c r="A8638" i="23"/>
  <c r="A9151" i="23"/>
  <c r="A9637" i="23"/>
  <c r="A10042" i="23"/>
  <c r="A8422" i="23"/>
  <c r="A8530" i="23"/>
  <c r="A8692" i="23"/>
  <c r="A8314" i="23"/>
  <c r="A8854" i="23"/>
  <c r="A8827" i="23"/>
  <c r="A9205" i="23"/>
  <c r="A8908" i="23"/>
  <c r="A9097" i="23"/>
  <c r="A7369" i="23"/>
  <c r="A7477" i="23"/>
  <c r="A9799" i="23"/>
  <c r="A10204" i="23"/>
  <c r="A8395" i="23"/>
  <c r="A8503" i="23"/>
  <c r="A8341" i="23"/>
  <c r="A9178" i="23"/>
  <c r="A8773" i="23"/>
  <c r="A9016" i="23"/>
  <c r="A8611" i="23"/>
  <c r="A9529" i="23"/>
  <c r="A10015" i="23"/>
  <c r="A8368" i="23"/>
  <c r="A8476" i="23"/>
  <c r="A8584" i="23"/>
  <c r="A8719" i="23"/>
  <c r="A8962" i="23"/>
  <c r="A9070" i="23"/>
  <c r="A8800" i="23"/>
  <c r="A9232" i="23"/>
  <c r="A8233" i="23"/>
  <c r="A8287" i="23"/>
  <c r="A7423" i="23"/>
  <c r="A7531" i="23"/>
  <c r="A10906" i="23"/>
  <c r="A10798" i="23"/>
  <c r="A9421" i="23"/>
  <c r="A9772" i="23"/>
  <c r="A8989" i="23"/>
  <c r="A7504" i="23"/>
  <c r="A7315" i="23"/>
  <c r="A8152" i="23"/>
  <c r="A7747" i="23"/>
  <c r="A7990" i="23"/>
  <c r="A7585" i="23"/>
  <c r="A7855" i="23"/>
  <c r="A7720" i="23"/>
  <c r="A7963" i="23"/>
  <c r="A6316" i="23"/>
  <c r="A6424" i="23"/>
  <c r="A6532" i="23"/>
  <c r="A6667" i="23"/>
  <c r="A6910" i="23"/>
  <c r="A9367" i="23"/>
  <c r="A8746" i="23"/>
  <c r="A8881" i="23"/>
  <c r="A7558" i="23"/>
  <c r="A7693" i="23"/>
  <c r="A7936" i="23"/>
  <c r="A8044" i="23"/>
  <c r="A7774" i="23"/>
  <c r="A8206" i="23"/>
  <c r="A7207" i="23"/>
  <c r="A7261" i="23"/>
  <c r="A6397" i="23"/>
  <c r="A6505" i="23"/>
  <c r="A6991" i="23"/>
  <c r="A6613" i="23"/>
  <c r="A8017" i="23"/>
  <c r="A7639" i="23"/>
  <c r="A8098" i="23"/>
  <c r="A7234" i="23"/>
  <c r="A7909" i="23"/>
  <c r="A7612" i="23"/>
  <c r="A8125" i="23"/>
  <c r="A6370" i="23"/>
  <c r="A6478" i="23"/>
  <c r="A6640" i="23"/>
  <c r="A6262" i="23"/>
  <c r="A7396" i="23"/>
  <c r="A7666" i="23"/>
  <c r="A7288" i="23"/>
  <c r="A7828" i="23"/>
  <c r="A7801" i="23"/>
  <c r="A8179" i="23"/>
  <c r="A7882" i="23"/>
  <c r="A8071" i="23"/>
  <c r="A7450" i="23"/>
  <c r="A7018" i="23"/>
  <c r="A6748" i="23"/>
  <c r="A7180" i="23"/>
  <c r="A6181" i="23"/>
  <c r="A6235" i="23"/>
  <c r="A5317" i="23"/>
  <c r="A5263" i="23"/>
  <c r="A5695" i="23"/>
  <c r="A5533" i="23"/>
  <c r="A5668" i="23"/>
  <c r="A11149" i="23"/>
  <c r="A7126" i="23"/>
  <c r="A5344" i="23"/>
  <c r="A5614" i="23"/>
  <c r="A5776" i="23"/>
  <c r="A6127" i="23"/>
  <c r="A6019" i="23"/>
  <c r="A5452" i="23"/>
  <c r="A5236" i="23"/>
  <c r="A6289" i="23"/>
  <c r="A7072" i="23"/>
  <c r="A6208" i="23"/>
  <c r="A6883" i="23"/>
  <c r="A6586" i="23"/>
  <c r="A7099" i="23"/>
  <c r="A5371" i="23"/>
  <c r="A5965" i="23"/>
  <c r="A6046" i="23"/>
  <c r="A5857" i="23"/>
  <c r="A6073" i="23"/>
  <c r="A5911" i="23"/>
  <c r="A6451" i="23"/>
  <c r="A5398" i="23"/>
  <c r="A5641" i="23"/>
  <c r="A5992" i="23"/>
  <c r="A6154" i="23"/>
  <c r="A5209" i="23"/>
  <c r="A5749" i="23"/>
  <c r="A6343" i="23"/>
  <c r="A6802" i="23"/>
  <c r="A6775" i="23"/>
  <c r="A7153" i="23"/>
  <c r="A6856" i="23"/>
  <c r="A7045" i="23"/>
  <c r="A5425" i="23"/>
  <c r="A6100" i="23"/>
  <c r="A5938" i="23"/>
  <c r="A5803" i="23"/>
  <c r="A6721" i="23"/>
  <c r="A6964" i="23"/>
  <c r="A6559" i="23"/>
  <c r="A6829" i="23"/>
  <c r="A6694" i="23"/>
  <c r="A6937" i="23"/>
  <c r="A5479" i="23"/>
  <c r="A5587" i="23"/>
  <c r="A5182" i="23"/>
  <c r="A5560" i="23"/>
  <c r="A5290" i="23"/>
  <c r="A5506" i="23"/>
  <c r="A5884" i="23"/>
  <c r="A5722" i="23"/>
  <c r="A5155" i="23"/>
  <c r="A7342" i="23"/>
  <c r="A5830" i="23"/>
  <c r="A11511" i="23"/>
  <c r="A11619" i="23"/>
  <c r="A12105" i="23"/>
  <c r="A11727" i="23"/>
  <c r="A11430" i="23"/>
  <c r="A11484" i="23"/>
  <c r="A11592" i="23"/>
  <c r="A11754" i="23"/>
  <c r="A11376" i="23"/>
  <c r="A11916" i="23"/>
  <c r="A11457" i="23"/>
  <c r="A11565" i="23"/>
  <c r="A11538" i="23"/>
  <c r="A11646" i="23"/>
  <c r="A11781" i="23"/>
  <c r="A12024" i="23"/>
  <c r="A12132" i="23"/>
  <c r="A11862" i="23"/>
  <c r="A12294" i="23"/>
  <c r="A11295" i="23"/>
  <c r="A11349" i="23"/>
  <c r="A10485" i="23"/>
  <c r="A10593" i="23"/>
  <c r="A11079" i="23"/>
  <c r="A12186" i="23"/>
  <c r="A11322" i="23"/>
  <c r="A11997" i="23"/>
  <c r="A11700" i="23"/>
  <c r="A12213" i="23"/>
  <c r="A10458" i="23"/>
  <c r="A10566" i="23"/>
  <c r="A10728" i="23"/>
  <c r="A12240" i="23"/>
  <c r="A11403" i="23"/>
  <c r="A11889" i="23"/>
  <c r="A12267" i="23"/>
  <c r="A11970" i="23"/>
  <c r="A12159" i="23"/>
  <c r="A10431" i="23"/>
  <c r="A11835" i="23"/>
  <c r="A12078" i="23"/>
  <c r="A11673" i="23"/>
  <c r="A11943" i="23"/>
  <c r="A11808" i="23"/>
  <c r="A12051" i="23"/>
  <c r="A10404" i="23"/>
  <c r="A10512" i="23"/>
  <c r="A10620" i="23"/>
  <c r="A10755" i="23"/>
  <c r="A10377" i="23"/>
  <c r="A10539" i="23"/>
  <c r="A10998" i="23"/>
  <c r="A11106" i="23"/>
  <c r="A10836" i="23"/>
  <c r="A11268" i="23"/>
  <c r="A10269" i="23"/>
  <c r="A10323" i="23"/>
  <c r="A10701" i="23"/>
  <c r="A11160" i="23"/>
  <c r="A10296" i="23"/>
  <c r="A10971" i="23"/>
  <c r="A10674" i="23"/>
  <c r="A11187" i="23"/>
  <c r="A11214" i="23"/>
  <c r="A10647" i="23"/>
  <c r="A11241" i="23"/>
  <c r="A11025" i="23"/>
  <c r="A9459" i="23"/>
  <c r="A9567" i="23"/>
  <c r="A10053" i="23"/>
  <c r="A9675" i="23"/>
  <c r="A10134" i="23"/>
  <c r="A9270" i="23"/>
  <c r="A9945" i="23"/>
  <c r="A9648" i="23"/>
  <c r="A10161" i="23"/>
  <c r="A10350" i="23"/>
  <c r="A10917" i="23"/>
  <c r="A10944" i="23"/>
  <c r="A9432" i="23"/>
  <c r="A9540" i="23"/>
  <c r="A9702" i="23"/>
  <c r="A9324" i="23"/>
  <c r="A9864" i="23"/>
  <c r="A9837" i="23"/>
  <c r="A10215" i="23"/>
  <c r="A9918" i="23"/>
  <c r="A10107" i="23"/>
  <c r="A10809" i="23"/>
  <c r="A11052" i="23"/>
  <c r="A10863" i="23"/>
  <c r="A9378" i="23"/>
  <c r="A9486" i="23"/>
  <c r="A9594" i="23"/>
  <c r="A9729" i="23"/>
  <c r="A9972" i="23"/>
  <c r="A10080" i="23"/>
  <c r="A9810" i="23"/>
  <c r="A10242" i="23"/>
  <c r="A9243" i="23"/>
  <c r="A9297" i="23"/>
  <c r="A10188" i="23"/>
  <c r="A8433" i="23"/>
  <c r="A8541" i="23"/>
  <c r="A9027" i="23"/>
  <c r="A8649" i="23"/>
  <c r="A9108" i="23"/>
  <c r="A8244" i="23"/>
  <c r="A8919" i="23"/>
  <c r="A8622" i="23"/>
  <c r="A9135" i="23"/>
  <c r="A10890" i="23"/>
  <c r="A10782" i="23"/>
  <c r="A9351" i="23"/>
  <c r="A9513" i="23"/>
  <c r="A9999" i="23"/>
  <c r="A8406" i="23"/>
  <c r="A8514" i="23"/>
  <c r="A8676" i="23"/>
  <c r="A8298" i="23"/>
  <c r="A8838" i="23"/>
  <c r="A8811" i="23"/>
  <c r="A9189" i="23"/>
  <c r="A8892" i="23"/>
  <c r="A9081" i="23"/>
  <c r="A7353" i="23"/>
  <c r="A7461" i="23"/>
  <c r="A9405" i="23"/>
  <c r="A9756" i="23"/>
  <c r="A9891" i="23"/>
  <c r="A8379" i="23"/>
  <c r="A8487" i="23"/>
  <c r="A8325" i="23"/>
  <c r="A9162" i="23"/>
  <c r="A8757" i="23"/>
  <c r="A9000" i="23"/>
  <c r="A8595" i="23"/>
  <c r="A10026" i="23"/>
  <c r="A8352" i="23"/>
  <c r="A8460" i="23"/>
  <c r="A8568" i="23"/>
  <c r="A8703" i="23"/>
  <c r="A8946" i="23"/>
  <c r="A9054" i="23"/>
  <c r="A8784" i="23"/>
  <c r="A9216" i="23"/>
  <c r="A8217" i="23"/>
  <c r="A8271" i="23"/>
  <c r="A7407" i="23"/>
  <c r="A11133" i="23"/>
  <c r="A9783" i="23"/>
  <c r="A7488" i="23"/>
  <c r="A7299" i="23"/>
  <c r="A8136" i="23"/>
  <c r="A7731" i="23"/>
  <c r="A7974" i="23"/>
  <c r="A7569" i="23"/>
  <c r="A7839" i="23"/>
  <c r="A7704" i="23"/>
  <c r="A7947" i="23"/>
  <c r="A6300" i="23"/>
  <c r="A6408" i="23"/>
  <c r="A6516" i="23"/>
  <c r="A6651" i="23"/>
  <c r="A7542" i="23"/>
  <c r="A7677" i="23"/>
  <c r="A7920" i="23"/>
  <c r="A8028" i="23"/>
  <c r="A7758" i="23"/>
  <c r="A8190" i="23"/>
  <c r="A7191" i="23"/>
  <c r="A7245" i="23"/>
  <c r="A6381" i="23"/>
  <c r="A6489" i="23"/>
  <c r="A6975" i="23"/>
  <c r="A6597" i="23"/>
  <c r="A8973" i="23"/>
  <c r="A7515" i="23"/>
  <c r="A8001" i="23"/>
  <c r="A7623" i="23"/>
  <c r="A8082" i="23"/>
  <c r="A7218" i="23"/>
  <c r="A7893" i="23"/>
  <c r="A7596" i="23"/>
  <c r="A8109" i="23"/>
  <c r="A6354" i="23"/>
  <c r="A6462" i="23"/>
  <c r="A6624" i="23"/>
  <c r="A6246" i="23"/>
  <c r="A8865" i="23"/>
  <c r="A7380" i="23"/>
  <c r="A7650" i="23"/>
  <c r="A7272" i="23"/>
  <c r="A7812" i="23"/>
  <c r="A7785" i="23"/>
  <c r="A8163" i="23"/>
  <c r="A7866" i="23"/>
  <c r="A8055" i="23"/>
  <c r="A9621" i="23"/>
  <c r="A7434" i="23"/>
  <c r="A8730" i="23"/>
  <c r="A6327" i="23"/>
  <c r="A6894" i="23"/>
  <c r="A7002" i="23"/>
  <c r="A6732" i="23"/>
  <c r="A7164" i="23"/>
  <c r="A6165" i="23"/>
  <c r="A6219" i="23"/>
  <c r="A5301" i="23"/>
  <c r="A5247" i="23"/>
  <c r="A5679" i="23"/>
  <c r="A5517" i="23"/>
  <c r="A5652" i="23"/>
  <c r="A5733" i="23"/>
  <c r="A5328" i="23"/>
  <c r="A5598" i="23"/>
  <c r="A5760" i="23"/>
  <c r="A6111" i="23"/>
  <c r="A6003" i="23"/>
  <c r="A7056" i="23"/>
  <c r="A6192" i="23"/>
  <c r="A6867" i="23"/>
  <c r="A6570" i="23"/>
  <c r="A7083" i="23"/>
  <c r="A5355" i="23"/>
  <c r="A5949" i="23"/>
  <c r="A6030" i="23"/>
  <c r="A5841" i="23"/>
  <c r="A6057" i="23"/>
  <c r="A5895" i="23"/>
  <c r="A5382" i="23"/>
  <c r="A5625" i="23"/>
  <c r="A5976" i="23"/>
  <c r="A6138" i="23"/>
  <c r="A5193" i="23"/>
  <c r="A6786" i="23"/>
  <c r="A6759" i="23"/>
  <c r="A7137" i="23"/>
  <c r="A6840" i="23"/>
  <c r="A7029" i="23"/>
  <c r="A5409" i="23"/>
  <c r="A6084" i="23"/>
  <c r="A5922" i="23"/>
  <c r="A5787" i="23"/>
  <c r="A7326" i="23"/>
  <c r="A6273" i="23"/>
  <c r="A6705" i="23"/>
  <c r="A6948" i="23"/>
  <c r="A6543" i="23"/>
  <c r="A6813" i="23"/>
  <c r="A6678" i="23"/>
  <c r="A6921" i="23"/>
  <c r="A5463" i="23"/>
  <c r="A5571" i="23"/>
  <c r="A5166" i="23"/>
  <c r="A5544" i="23"/>
  <c r="A7110" i="23"/>
  <c r="A5436" i="23"/>
  <c r="A6435" i="23"/>
  <c r="A5274" i="23"/>
  <c r="A5490" i="23"/>
  <c r="A5868" i="23"/>
  <c r="A5706" i="23"/>
  <c r="A5139" i="23"/>
  <c r="A5220" i="23"/>
  <c r="A5814" i="23"/>
  <c r="Y23" i="37"/>
  <c r="Y23" i="36"/>
  <c r="Y23" i="35"/>
  <c r="Y23" i="33"/>
  <c r="Y23" i="32"/>
  <c r="Y23" i="34"/>
  <c r="Y23" i="31"/>
  <c r="Y23" i="29"/>
  <c r="Y23" i="30"/>
  <c r="Y23" i="27"/>
  <c r="Y23" i="28"/>
  <c r="Y23" i="26"/>
  <c r="Y23" i="25"/>
  <c r="A11445" i="23"/>
  <c r="A11553" i="23"/>
  <c r="A11661" i="23"/>
  <c r="A11796" i="23"/>
  <c r="A11526" i="23"/>
  <c r="A11634" i="23"/>
  <c r="A12120" i="23"/>
  <c r="A11742" i="23"/>
  <c r="A12201" i="23"/>
  <c r="A11499" i="23"/>
  <c r="A11607" i="23"/>
  <c r="A11580" i="23"/>
  <c r="A11418" i="23"/>
  <c r="A12255" i="23"/>
  <c r="A11850" i="23"/>
  <c r="A11472" i="23"/>
  <c r="A11931" i="23"/>
  <c r="A12093" i="23"/>
  <c r="A11688" i="23"/>
  <c r="A11958" i="23"/>
  <c r="A11823" i="23"/>
  <c r="A12066" i="23"/>
  <c r="A10419" i="23"/>
  <c r="A10527" i="23"/>
  <c r="A10635" i="23"/>
  <c r="A10770" i="23"/>
  <c r="A11391" i="23"/>
  <c r="A12147" i="23"/>
  <c r="A11877" i="23"/>
  <c r="A12309" i="23"/>
  <c r="A11310" i="23"/>
  <c r="A11364" i="23"/>
  <c r="A10500" i="23"/>
  <c r="A10608" i="23"/>
  <c r="A11094" i="23"/>
  <c r="A11769" i="23"/>
  <c r="A11337" i="23"/>
  <c r="A12012" i="23"/>
  <c r="A11715" i="23"/>
  <c r="A12228" i="23"/>
  <c r="A10473" i="23"/>
  <c r="A11904" i="23"/>
  <c r="A12282" i="23"/>
  <c r="A11985" i="23"/>
  <c r="A12174" i="23"/>
  <c r="A10446" i="23"/>
  <c r="A10554" i="23"/>
  <c r="A10392" i="23"/>
  <c r="A11229" i="23"/>
  <c r="A10581" i="23"/>
  <c r="A12039" i="23"/>
  <c r="A10824" i="23"/>
  <c r="A11067" i="23"/>
  <c r="A10662" i="23"/>
  <c r="A10932" i="23"/>
  <c r="A10797" i="23"/>
  <c r="A11040" i="23"/>
  <c r="A11013" i="23"/>
  <c r="A11121" i="23"/>
  <c r="A10851" i="23"/>
  <c r="A11283" i="23"/>
  <c r="A10284" i="23"/>
  <c r="A10338" i="23"/>
  <c r="A10878" i="23"/>
  <c r="A10311" i="23"/>
  <c r="A9393" i="23"/>
  <c r="A9501" i="23"/>
  <c r="A9609" i="23"/>
  <c r="A9744" i="23"/>
  <c r="A9987" i="23"/>
  <c r="A10095" i="23"/>
  <c r="A9825" i="23"/>
  <c r="A10257" i="23"/>
  <c r="A9258" i="23"/>
  <c r="A9312" i="23"/>
  <c r="A11256" i="23"/>
  <c r="A10986" i="23"/>
  <c r="A9474" i="23"/>
  <c r="A9582" i="23"/>
  <c r="A10068" i="23"/>
  <c r="A9690" i="23"/>
  <c r="A10149" i="23"/>
  <c r="A9285" i="23"/>
  <c r="A9960" i="23"/>
  <c r="A9663" i="23"/>
  <c r="A10176" i="23"/>
  <c r="A10716" i="23"/>
  <c r="A10365" i="23"/>
  <c r="A10905" i="23"/>
  <c r="A11175" i="23"/>
  <c r="A11148" i="23"/>
  <c r="A11202" i="23"/>
  <c r="A9420" i="23"/>
  <c r="A9528" i="23"/>
  <c r="A9366" i="23"/>
  <c r="A10203" i="23"/>
  <c r="A9798" i="23"/>
  <c r="A10041" i="23"/>
  <c r="A9636" i="23"/>
  <c r="A9906" i="23"/>
  <c r="A9771" i="23"/>
  <c r="A10014" i="23"/>
  <c r="A9717" i="23"/>
  <c r="A8367" i="23"/>
  <c r="A8475" i="23"/>
  <c r="A8583" i="23"/>
  <c r="A8718" i="23"/>
  <c r="A8961" i="23"/>
  <c r="A9069" i="23"/>
  <c r="A8799" i="23"/>
  <c r="A9231" i="23"/>
  <c r="A8232" i="23"/>
  <c r="A8286" i="23"/>
  <c r="A9555" i="23"/>
  <c r="A9447" i="23"/>
  <c r="A10122" i="23"/>
  <c r="A8448" i="23"/>
  <c r="A8556" i="23"/>
  <c r="A9042" i="23"/>
  <c r="A8664" i="23"/>
  <c r="A9123" i="23"/>
  <c r="A8259" i="23"/>
  <c r="A8934" i="23"/>
  <c r="A8637" i="23"/>
  <c r="A9150" i="23"/>
  <c r="A7395" i="23"/>
  <c r="A7503" i="23"/>
  <c r="A10743" i="23"/>
  <c r="A10689" i="23"/>
  <c r="A9933" i="23"/>
  <c r="A10230" i="23"/>
  <c r="A8421" i="23"/>
  <c r="A8529" i="23"/>
  <c r="A8691" i="23"/>
  <c r="A8313" i="23"/>
  <c r="A8853" i="23"/>
  <c r="A8826" i="23"/>
  <c r="A9204" i="23"/>
  <c r="A9879" i="23"/>
  <c r="A8394" i="23"/>
  <c r="A8502" i="23"/>
  <c r="A8340" i="23"/>
  <c r="A9177" i="23"/>
  <c r="A8772" i="23"/>
  <c r="A9015" i="23"/>
  <c r="A8610" i="23"/>
  <c r="A8880" i="23"/>
  <c r="A8745" i="23"/>
  <c r="A8988" i="23"/>
  <c r="A7341" i="23"/>
  <c r="A7449" i="23"/>
  <c r="A9339" i="23"/>
  <c r="A7422" i="23"/>
  <c r="A7665" i="23"/>
  <c r="A7287" i="23"/>
  <c r="A7827" i="23"/>
  <c r="A7800" i="23"/>
  <c r="A8178" i="23"/>
  <c r="A7881" i="23"/>
  <c r="A8070" i="23"/>
  <c r="A6342" i="23"/>
  <c r="A6450" i="23"/>
  <c r="A6288" i="23"/>
  <c r="A7125" i="23"/>
  <c r="A7476" i="23"/>
  <c r="A7530" i="23"/>
  <c r="A7314" i="23"/>
  <c r="A8151" i="23"/>
  <c r="A7746" i="23"/>
  <c r="A7989" i="23"/>
  <c r="A7584" i="23"/>
  <c r="A7854" i="23"/>
  <c r="A7719" i="23"/>
  <c r="A7962" i="23"/>
  <c r="A6315" i="23"/>
  <c r="A6423" i="23"/>
  <c r="A6531" i="23"/>
  <c r="A6666" i="23"/>
  <c r="A9852" i="23"/>
  <c r="A9096" i="23"/>
  <c r="A7557" i="23"/>
  <c r="A7692" i="23"/>
  <c r="A7935" i="23"/>
  <c r="A8043" i="23"/>
  <c r="A7773" i="23"/>
  <c r="A8205" i="23"/>
  <c r="A7206" i="23"/>
  <c r="A7260" i="23"/>
  <c r="A6396" i="23"/>
  <c r="A6504" i="23"/>
  <c r="A6990" i="23"/>
  <c r="A6612" i="23"/>
  <c r="A8016" i="23"/>
  <c r="A7638" i="23"/>
  <c r="A8097" i="23"/>
  <c r="A7233" i="23"/>
  <c r="A7908" i="23"/>
  <c r="A7611" i="23"/>
  <c r="A8124" i="23"/>
  <c r="A10959" i="23"/>
  <c r="A7368" i="23"/>
  <c r="A6720" i="23"/>
  <c r="A6963" i="23"/>
  <c r="A6558" i="23"/>
  <c r="A6828" i="23"/>
  <c r="A6693" i="23"/>
  <c r="A6936" i="23"/>
  <c r="A5478" i="23"/>
  <c r="A5586" i="23"/>
  <c r="A5181" i="23"/>
  <c r="A5559" i="23"/>
  <c r="A5289" i="23"/>
  <c r="A5505" i="23"/>
  <c r="A5883" i="23"/>
  <c r="A5721" i="23"/>
  <c r="A5154" i="23"/>
  <c r="A5991" i="23"/>
  <c r="A7017" i="23"/>
  <c r="A6747" i="23"/>
  <c r="A7179" i="23"/>
  <c r="A6180" i="23"/>
  <c r="A6234" i="23"/>
  <c r="A5316" i="23"/>
  <c r="A5262" i="23"/>
  <c r="A5694" i="23"/>
  <c r="A5532" i="23"/>
  <c r="A5667" i="23"/>
  <c r="A5640" i="23"/>
  <c r="A6153" i="23"/>
  <c r="A6909" i="23"/>
  <c r="A5343" i="23"/>
  <c r="A5613" i="23"/>
  <c r="A5775" i="23"/>
  <c r="A6126" i="23"/>
  <c r="A6018" i="23"/>
  <c r="A5910" i="23"/>
  <c r="A6261" i="23"/>
  <c r="A7071" i="23"/>
  <c r="A6207" i="23"/>
  <c r="A6882" i="23"/>
  <c r="A6585" i="23"/>
  <c r="A7098" i="23"/>
  <c r="A5370" i="23"/>
  <c r="A5964" i="23"/>
  <c r="A6045" i="23"/>
  <c r="A5856" i="23"/>
  <c r="A6072" i="23"/>
  <c r="A6639" i="23"/>
  <c r="A5397" i="23"/>
  <c r="A6477" i="23"/>
  <c r="A6801" i="23"/>
  <c r="A6774" i="23"/>
  <c r="A7152" i="23"/>
  <c r="A6855" i="23"/>
  <c r="A7044" i="23"/>
  <c r="A5424" i="23"/>
  <c r="A6099" i="23"/>
  <c r="A5937" i="23"/>
  <c r="A5802" i="23"/>
  <c r="A8907" i="23"/>
  <c r="A5208" i="23"/>
  <c r="A6369" i="23"/>
  <c r="A5451" i="23"/>
  <c r="A5235" i="23"/>
  <c r="A5748" i="23"/>
  <c r="A5829" i="23"/>
  <c r="A11437" i="23"/>
  <c r="A11545" i="23"/>
  <c r="A11653" i="23"/>
  <c r="A11788" i="23"/>
  <c r="A11518" i="23"/>
  <c r="A11626" i="23"/>
  <c r="A12112" i="23"/>
  <c r="A11734" i="23"/>
  <c r="A12193" i="23"/>
  <c r="A11491" i="23"/>
  <c r="A11599" i="23"/>
  <c r="A11464" i="23"/>
  <c r="A11572" i="23"/>
  <c r="A11410" i="23"/>
  <c r="A12247" i="23"/>
  <c r="A11842" i="23"/>
  <c r="A12085" i="23"/>
  <c r="A11680" i="23"/>
  <c r="A11950" i="23"/>
  <c r="A11815" i="23"/>
  <c r="A12058" i="23"/>
  <c r="A10411" i="23"/>
  <c r="A10519" i="23"/>
  <c r="A10627" i="23"/>
  <c r="A10762" i="23"/>
  <c r="A12139" i="23"/>
  <c r="A11869" i="23"/>
  <c r="A12301" i="23"/>
  <c r="A11302" i="23"/>
  <c r="A11356" i="23"/>
  <c r="A10492" i="23"/>
  <c r="A10600" i="23"/>
  <c r="A11086" i="23"/>
  <c r="A12031" i="23"/>
  <c r="A11383" i="23"/>
  <c r="A11923" i="23"/>
  <c r="A11329" i="23"/>
  <c r="A12004" i="23"/>
  <c r="A11707" i="23"/>
  <c r="A12220" i="23"/>
  <c r="A10465" i="23"/>
  <c r="A11896" i="23"/>
  <c r="A12274" i="23"/>
  <c r="A11977" i="23"/>
  <c r="A12166" i="23"/>
  <c r="A10438" i="23"/>
  <c r="A10546" i="23"/>
  <c r="A10384" i="23"/>
  <c r="A11221" i="23"/>
  <c r="A10357" i="23"/>
  <c r="A10735" i="23"/>
  <c r="A10816" i="23"/>
  <c r="A11059" i="23"/>
  <c r="A10654" i="23"/>
  <c r="A10924" i="23"/>
  <c r="A10789" i="23"/>
  <c r="A11032" i="23"/>
  <c r="A10573" i="23"/>
  <c r="A11005" i="23"/>
  <c r="A11113" i="23"/>
  <c r="A10843" i="23"/>
  <c r="A11275" i="23"/>
  <c r="A10276" i="23"/>
  <c r="A10330" i="23"/>
  <c r="A10708" i="23"/>
  <c r="A10951" i="23"/>
  <c r="A10681" i="23"/>
  <c r="A9385" i="23"/>
  <c r="A9493" i="23"/>
  <c r="A9601" i="23"/>
  <c r="A9736" i="23"/>
  <c r="A9979" i="23"/>
  <c r="A10087" i="23"/>
  <c r="A9817" i="23"/>
  <c r="A10249" i="23"/>
  <c r="A9250" i="23"/>
  <c r="A9304" i="23"/>
  <c r="A11761" i="23"/>
  <c r="A10897" i="23"/>
  <c r="A11167" i="23"/>
  <c r="A11140" i="23"/>
  <c r="A11194" i="23"/>
  <c r="A9466" i="23"/>
  <c r="A9574" i="23"/>
  <c r="A10060" i="23"/>
  <c r="A9682" i="23"/>
  <c r="A10141" i="23"/>
  <c r="A9277" i="23"/>
  <c r="A9952" i="23"/>
  <c r="A9655" i="23"/>
  <c r="A10168" i="23"/>
  <c r="A11248" i="23"/>
  <c r="A10978" i="23"/>
  <c r="A9412" i="23"/>
  <c r="A9520" i="23"/>
  <c r="A9358" i="23"/>
  <c r="A10195" i="23"/>
  <c r="A9790" i="23"/>
  <c r="A10033" i="23"/>
  <c r="A9628" i="23"/>
  <c r="A9898" i="23"/>
  <c r="A9763" i="23"/>
  <c r="A10006" i="23"/>
  <c r="A9871" i="23"/>
  <c r="A8359" i="23"/>
  <c r="A8467" i="23"/>
  <c r="A8575" i="23"/>
  <c r="A8710" i="23"/>
  <c r="A8953" i="23"/>
  <c r="A9061" i="23"/>
  <c r="A8791" i="23"/>
  <c r="A9223" i="23"/>
  <c r="A8224" i="23"/>
  <c r="A8278" i="23"/>
  <c r="A10303" i="23"/>
  <c r="A9331" i="23"/>
  <c r="A9709" i="23"/>
  <c r="A8440" i="23"/>
  <c r="A8548" i="23"/>
  <c r="A9034" i="23"/>
  <c r="A8656" i="23"/>
  <c r="A9115" i="23"/>
  <c r="A8251" i="23"/>
  <c r="A8926" i="23"/>
  <c r="A8629" i="23"/>
  <c r="A9142" i="23"/>
  <c r="A7387" i="23"/>
  <c r="A7495" i="23"/>
  <c r="A10870" i="23"/>
  <c r="A9547" i="23"/>
  <c r="A9439" i="23"/>
  <c r="A10114" i="23"/>
  <c r="A8413" i="23"/>
  <c r="A8521" i="23"/>
  <c r="A8683" i="23"/>
  <c r="A8305" i="23"/>
  <c r="A8845" i="23"/>
  <c r="A8818" i="23"/>
  <c r="A9196" i="23"/>
  <c r="A10222" i="23"/>
  <c r="A8386" i="23"/>
  <c r="A8494" i="23"/>
  <c r="A8332" i="23"/>
  <c r="A9169" i="23"/>
  <c r="A8764" i="23"/>
  <c r="A9007" i="23"/>
  <c r="A8602" i="23"/>
  <c r="A8872" i="23"/>
  <c r="A8737" i="23"/>
  <c r="A8980" i="23"/>
  <c r="A7333" i="23"/>
  <c r="A7441" i="23"/>
  <c r="A9844" i="23"/>
  <c r="A7657" i="23"/>
  <c r="A7279" i="23"/>
  <c r="A7819" i="23"/>
  <c r="A7792" i="23"/>
  <c r="A8170" i="23"/>
  <c r="A7873" i="23"/>
  <c r="A8062" i="23"/>
  <c r="A6334" i="23"/>
  <c r="A6442" i="23"/>
  <c r="A6280" i="23"/>
  <c r="A7117" i="23"/>
  <c r="A7306" i="23"/>
  <c r="A8143" i="23"/>
  <c r="A7738" i="23"/>
  <c r="A7981" i="23"/>
  <c r="A7576" i="23"/>
  <c r="A7846" i="23"/>
  <c r="A7711" i="23"/>
  <c r="A7954" i="23"/>
  <c r="A6307" i="23"/>
  <c r="A6415" i="23"/>
  <c r="A6523" i="23"/>
  <c r="A6658" i="23"/>
  <c r="A9925" i="23"/>
  <c r="A7360" i="23"/>
  <c r="A7414" i="23"/>
  <c r="A7549" i="23"/>
  <c r="A7684" i="23"/>
  <c r="A7927" i="23"/>
  <c r="A8035" i="23"/>
  <c r="A7765" i="23"/>
  <c r="A8197" i="23"/>
  <c r="A7198" i="23"/>
  <c r="A7252" i="23"/>
  <c r="A6388" i="23"/>
  <c r="A6496" i="23"/>
  <c r="A6982" i="23"/>
  <c r="A6604" i="23"/>
  <c r="A9088" i="23"/>
  <c r="A7522" i="23"/>
  <c r="A8008" i="23"/>
  <c r="A7630" i="23"/>
  <c r="A8089" i="23"/>
  <c r="A7225" i="23"/>
  <c r="A7900" i="23"/>
  <c r="A7603" i="23"/>
  <c r="A8116" i="23"/>
  <c r="A8899" i="23"/>
  <c r="A6469" i="23"/>
  <c r="A6712" i="23"/>
  <c r="A6955" i="23"/>
  <c r="A6550" i="23"/>
  <c r="A6820" i="23"/>
  <c r="A6685" i="23"/>
  <c r="A6928" i="23"/>
  <c r="A5470" i="23"/>
  <c r="A5578" i="23"/>
  <c r="A5173" i="23"/>
  <c r="A5551" i="23"/>
  <c r="A5200" i="23"/>
  <c r="A6361" i="23"/>
  <c r="A5281" i="23"/>
  <c r="A5497" i="23"/>
  <c r="A5875" i="23"/>
  <c r="A5713" i="23"/>
  <c r="A5146" i="23"/>
  <c r="A6901" i="23"/>
  <c r="A7009" i="23"/>
  <c r="A6739" i="23"/>
  <c r="A7171" i="23"/>
  <c r="A6172" i="23"/>
  <c r="A6226" i="23"/>
  <c r="A5308" i="23"/>
  <c r="A5254" i="23"/>
  <c r="A5686" i="23"/>
  <c r="A5524" i="23"/>
  <c r="A5659" i="23"/>
  <c r="A5389" i="23"/>
  <c r="A5335" i="23"/>
  <c r="A5605" i="23"/>
  <c r="A5767" i="23"/>
  <c r="A6118" i="23"/>
  <c r="A6010" i="23"/>
  <c r="A5902" i="23"/>
  <c r="A7063" i="23"/>
  <c r="A6199" i="23"/>
  <c r="A6874" i="23"/>
  <c r="A6577" i="23"/>
  <c r="A7090" i="23"/>
  <c r="A5362" i="23"/>
  <c r="A5956" i="23"/>
  <c r="A6037" i="23"/>
  <c r="A5848" i="23"/>
  <c r="A6064" i="23"/>
  <c r="A7468" i="23"/>
  <c r="A6253" i="23"/>
  <c r="A6793" i="23"/>
  <c r="A6766" i="23"/>
  <c r="A7144" i="23"/>
  <c r="A6847" i="23"/>
  <c r="A7036" i="23"/>
  <c r="A5416" i="23"/>
  <c r="A6091" i="23"/>
  <c r="A5929" i="23"/>
  <c r="A5794" i="23"/>
  <c r="A5632" i="23"/>
  <c r="A6631" i="23"/>
  <c r="A5443" i="23"/>
  <c r="A5227" i="23"/>
  <c r="A5740" i="23"/>
  <c r="A5821" i="23"/>
  <c r="A5983" i="23"/>
  <c r="A6145" i="23"/>
  <c r="A11429" i="23"/>
  <c r="A11537" i="23"/>
  <c r="A11645" i="23"/>
  <c r="A11780" i="23"/>
  <c r="A11510" i="23"/>
  <c r="A11618" i="23"/>
  <c r="A12104" i="23"/>
  <c r="A11726" i="23"/>
  <c r="A11483" i="23"/>
  <c r="A11591" i="23"/>
  <c r="A11456" i="23"/>
  <c r="A11564" i="23"/>
  <c r="A11402" i="23"/>
  <c r="A12239" i="23"/>
  <c r="A11834" i="23"/>
  <c r="A11915" i="23"/>
  <c r="A12077" i="23"/>
  <c r="A11672" i="23"/>
  <c r="A11942" i="23"/>
  <c r="A11807" i="23"/>
  <c r="A12050" i="23"/>
  <c r="A10403" i="23"/>
  <c r="A10511" i="23"/>
  <c r="A10619" i="23"/>
  <c r="A10754" i="23"/>
  <c r="A12131" i="23"/>
  <c r="A11861" i="23"/>
  <c r="A12293" i="23"/>
  <c r="A11294" i="23"/>
  <c r="A11348" i="23"/>
  <c r="A10484" i="23"/>
  <c r="A10592" i="23"/>
  <c r="A11078" i="23"/>
  <c r="A12185" i="23"/>
  <c r="A11321" i="23"/>
  <c r="A11996" i="23"/>
  <c r="A11699" i="23"/>
  <c r="A12212" i="23"/>
  <c r="A10457" i="23"/>
  <c r="A11375" i="23"/>
  <c r="A11888" i="23"/>
  <c r="A12266" i="23"/>
  <c r="A11969" i="23"/>
  <c r="A12158" i="23"/>
  <c r="A10430" i="23"/>
  <c r="A10538" i="23"/>
  <c r="A10376" i="23"/>
  <c r="A11213" i="23"/>
  <c r="A10808" i="23"/>
  <c r="A11051" i="23"/>
  <c r="A10646" i="23"/>
  <c r="A10916" i="23"/>
  <c r="A10781" i="23"/>
  <c r="A11024" i="23"/>
  <c r="A12023" i="23"/>
  <c r="A10727" i="23"/>
  <c r="A10997" i="23"/>
  <c r="A11105" i="23"/>
  <c r="A10835" i="23"/>
  <c r="A11267" i="23"/>
  <c r="A10268" i="23"/>
  <c r="A10322" i="23"/>
  <c r="A10565" i="23"/>
  <c r="A11753" i="23"/>
  <c r="A10862" i="23"/>
  <c r="A10295" i="23"/>
  <c r="A9377" i="23"/>
  <c r="A9485" i="23"/>
  <c r="A9593" i="23"/>
  <c r="A9728" i="23"/>
  <c r="A9971" i="23"/>
  <c r="A10079" i="23"/>
  <c r="A9809" i="23"/>
  <c r="A10241" i="23"/>
  <c r="A9242" i="23"/>
  <c r="A9296" i="23"/>
  <c r="A11240" i="23"/>
  <c r="A10970" i="23"/>
  <c r="A9458" i="23"/>
  <c r="A9566" i="23"/>
  <c r="A10052" i="23"/>
  <c r="A9674" i="23"/>
  <c r="A10133" i="23"/>
  <c r="A9269" i="23"/>
  <c r="A9944" i="23"/>
  <c r="A9647" i="23"/>
  <c r="A10160" i="23"/>
  <c r="A10349" i="23"/>
  <c r="A10700" i="23"/>
  <c r="A10889" i="23"/>
  <c r="A11159" i="23"/>
  <c r="A11132" i="23"/>
  <c r="A11186" i="23"/>
  <c r="A9404" i="23"/>
  <c r="A9512" i="23"/>
  <c r="A9350" i="23"/>
  <c r="A10187" i="23"/>
  <c r="A9782" i="23"/>
  <c r="A10025" i="23"/>
  <c r="A9620" i="23"/>
  <c r="A9890" i="23"/>
  <c r="A9755" i="23"/>
  <c r="A9998" i="23"/>
  <c r="A10214" i="23"/>
  <c r="A8351" i="23"/>
  <c r="A8459" i="23"/>
  <c r="A8567" i="23"/>
  <c r="A8702" i="23"/>
  <c r="A8945" i="23"/>
  <c r="A9053" i="23"/>
  <c r="A8783" i="23"/>
  <c r="A9215" i="23"/>
  <c r="A8216" i="23"/>
  <c r="A8270" i="23"/>
  <c r="A9836" i="23"/>
  <c r="A9863" i="23"/>
  <c r="A8432" i="23"/>
  <c r="A8540" i="23"/>
  <c r="A9026" i="23"/>
  <c r="A8648" i="23"/>
  <c r="A9107" i="23"/>
  <c r="A8243" i="23"/>
  <c r="A8918" i="23"/>
  <c r="A8621" i="23"/>
  <c r="A9134" i="23"/>
  <c r="A7379" i="23"/>
  <c r="A7487" i="23"/>
  <c r="A9323" i="23"/>
  <c r="A9701" i="23"/>
  <c r="A8405" i="23"/>
  <c r="A8513" i="23"/>
  <c r="A8675" i="23"/>
  <c r="A8297" i="23"/>
  <c r="A8837" i="23"/>
  <c r="A8810" i="23"/>
  <c r="A9188" i="23"/>
  <c r="A9431" i="23"/>
  <c r="A10106" i="23"/>
  <c r="A8378" i="23"/>
  <c r="A8486" i="23"/>
  <c r="A8324" i="23"/>
  <c r="A9161" i="23"/>
  <c r="A8756" i="23"/>
  <c r="A8999" i="23"/>
  <c r="A8594" i="23"/>
  <c r="A8864" i="23"/>
  <c r="A8729" i="23"/>
  <c r="A8972" i="23"/>
  <c r="A7325" i="23"/>
  <c r="A7433" i="23"/>
  <c r="A10943" i="23"/>
  <c r="A9917" i="23"/>
  <c r="A9080" i="23"/>
  <c r="A7406" i="23"/>
  <c r="A7649" i="23"/>
  <c r="A7271" i="23"/>
  <c r="A7811" i="23"/>
  <c r="A7784" i="23"/>
  <c r="A8162" i="23"/>
  <c r="A7865" i="23"/>
  <c r="A8054" i="23"/>
  <c r="A6326" i="23"/>
  <c r="A6434" i="23"/>
  <c r="A6272" i="23"/>
  <c r="A7109" i="23"/>
  <c r="A8891" i="23"/>
  <c r="A7460" i="23"/>
  <c r="A7298" i="23"/>
  <c r="A8135" i="23"/>
  <c r="A7730" i="23"/>
  <c r="A7973" i="23"/>
  <c r="A7568" i="23"/>
  <c r="A7838" i="23"/>
  <c r="A7703" i="23"/>
  <c r="A7946" i="23"/>
  <c r="A6299" i="23"/>
  <c r="A6407" i="23"/>
  <c r="A6515" i="23"/>
  <c r="A6650" i="23"/>
  <c r="A10673" i="23"/>
  <c r="A7541" i="23"/>
  <c r="A7676" i="23"/>
  <c r="A7919" i="23"/>
  <c r="A8027" i="23"/>
  <c r="A7757" i="23"/>
  <c r="A8189" i="23"/>
  <c r="A7190" i="23"/>
  <c r="A7244" i="23"/>
  <c r="A6380" i="23"/>
  <c r="A6488" i="23"/>
  <c r="A6974" i="23"/>
  <c r="A7514" i="23"/>
  <c r="A8000" i="23"/>
  <c r="A7622" i="23"/>
  <c r="A8081" i="23"/>
  <c r="A7217" i="23"/>
  <c r="A7892" i="23"/>
  <c r="A7595" i="23"/>
  <c r="A8108" i="23"/>
  <c r="A9539" i="23"/>
  <c r="A7352" i="23"/>
  <c r="A6245" i="23"/>
  <c r="A6704" i="23"/>
  <c r="A6947" i="23"/>
  <c r="A6542" i="23"/>
  <c r="A6812" i="23"/>
  <c r="A6677" i="23"/>
  <c r="A6920" i="23"/>
  <c r="A5462" i="23"/>
  <c r="A5570" i="23"/>
  <c r="A5165" i="23"/>
  <c r="A5543" i="23"/>
  <c r="A5975" i="23"/>
  <c r="A6623" i="23"/>
  <c r="A5273" i="23"/>
  <c r="A5489" i="23"/>
  <c r="A5867" i="23"/>
  <c r="A5705" i="23"/>
  <c r="A5138" i="23"/>
  <c r="A5381" i="23"/>
  <c r="A6461" i="23"/>
  <c r="A6596" i="23"/>
  <c r="A6893" i="23"/>
  <c r="A7001" i="23"/>
  <c r="A6731" i="23"/>
  <c r="A7163" i="23"/>
  <c r="A6164" i="23"/>
  <c r="A6218" i="23"/>
  <c r="A5300" i="23"/>
  <c r="A5246" i="23"/>
  <c r="A5678" i="23"/>
  <c r="A5516" i="23"/>
  <c r="A5651" i="23"/>
  <c r="A5192" i="23"/>
  <c r="A6353" i="23"/>
  <c r="A5327" i="23"/>
  <c r="A5597" i="23"/>
  <c r="A5759" i="23"/>
  <c r="A6110" i="23"/>
  <c r="A6002" i="23"/>
  <c r="A5894" i="23"/>
  <c r="A5624" i="23"/>
  <c r="A7055" i="23"/>
  <c r="A6191" i="23"/>
  <c r="A6866" i="23"/>
  <c r="A6569" i="23"/>
  <c r="A7082" i="23"/>
  <c r="A5354" i="23"/>
  <c r="A5948" i="23"/>
  <c r="A6029" i="23"/>
  <c r="A5840" i="23"/>
  <c r="A6056" i="23"/>
  <c r="A6785" i="23"/>
  <c r="A6758" i="23"/>
  <c r="A7136" i="23"/>
  <c r="A6839" i="23"/>
  <c r="A7028" i="23"/>
  <c r="A5408" i="23"/>
  <c r="A6083" i="23"/>
  <c r="A5921" i="23"/>
  <c r="A5786" i="23"/>
  <c r="A6137" i="23"/>
  <c r="A5435" i="23"/>
  <c r="A5219" i="23"/>
  <c r="A5732" i="23"/>
  <c r="A5813" i="23"/>
  <c r="Y30" i="34"/>
  <c r="Y30" i="36"/>
  <c r="Y30" i="35"/>
  <c r="Y30" i="37"/>
  <c r="Y30" i="33"/>
  <c r="Y30" i="32"/>
  <c r="Y30" i="29"/>
  <c r="Y30" i="31"/>
  <c r="Y30" i="30"/>
  <c r="Y30" i="28"/>
  <c r="Y30" i="27"/>
  <c r="Y30" i="26"/>
  <c r="Y30" i="25"/>
  <c r="Y22" i="37"/>
  <c r="Y22" i="36"/>
  <c r="Y22" i="35"/>
  <c r="Y22" i="33"/>
  <c r="Y22" i="32"/>
  <c r="Y22" i="34"/>
  <c r="Y22" i="29"/>
  <c r="Y22" i="31"/>
  <c r="Y22" i="30"/>
  <c r="Y22" i="27"/>
  <c r="Y22" i="26"/>
  <c r="Y22" i="28"/>
  <c r="Y22" i="25"/>
  <c r="Y14" i="37"/>
  <c r="Y14" i="36"/>
  <c r="Y14" i="35"/>
  <c r="Y14" i="33"/>
  <c r="Y14" i="34"/>
  <c r="Y14" i="32"/>
  <c r="Y14" i="29"/>
  <c r="Y14" i="31"/>
  <c r="Y14" i="30"/>
  <c r="Y14" i="28"/>
  <c r="Y14" i="27"/>
  <c r="Y14" i="26"/>
  <c r="Y14" i="25"/>
  <c r="Y15" i="35"/>
  <c r="Y15" i="36"/>
  <c r="Y15" i="32"/>
  <c r="Y15" i="33"/>
  <c r="Y15" i="30"/>
  <c r="Y15" i="29"/>
  <c r="Y15" i="37"/>
  <c r="Y15" i="31"/>
  <c r="Y15" i="34"/>
  <c r="Y15" i="28"/>
  <c r="Y15" i="27"/>
  <c r="Y15" i="26"/>
  <c r="Y15" i="25"/>
  <c r="A11471" i="23"/>
  <c r="A11579" i="23"/>
  <c r="A11417" i="23"/>
  <c r="A12254" i="23"/>
  <c r="A11444" i="23"/>
  <c r="A11552" i="23"/>
  <c r="A11660" i="23"/>
  <c r="A11795" i="23"/>
  <c r="A12038" i="23"/>
  <c r="A11525" i="23"/>
  <c r="A11633" i="23"/>
  <c r="A11498" i="23"/>
  <c r="A11606" i="23"/>
  <c r="A11768" i="23"/>
  <c r="A11390" i="23"/>
  <c r="A11930" i="23"/>
  <c r="A11903" i="23"/>
  <c r="A12281" i="23"/>
  <c r="A11984" i="23"/>
  <c r="A12173" i="23"/>
  <c r="A10445" i="23"/>
  <c r="A10553" i="23"/>
  <c r="A10391" i="23"/>
  <c r="A11228" i="23"/>
  <c r="A11849" i="23"/>
  <c r="A12200" i="23"/>
  <c r="A12092" i="23"/>
  <c r="A11687" i="23"/>
  <c r="A11957" i="23"/>
  <c r="A11822" i="23"/>
  <c r="A12065" i="23"/>
  <c r="A10418" i="23"/>
  <c r="A10526" i="23"/>
  <c r="A10634" i="23"/>
  <c r="A10769" i="23"/>
  <c r="A12146" i="23"/>
  <c r="A11876" i="23"/>
  <c r="A12308" i="23"/>
  <c r="A11309" i="23"/>
  <c r="A11363" i="23"/>
  <c r="A12119" i="23"/>
  <c r="A11336" i="23"/>
  <c r="A12011" i="23"/>
  <c r="A11714" i="23"/>
  <c r="A12227" i="23"/>
  <c r="A10472" i="23"/>
  <c r="A10580" i="23"/>
  <c r="A10742" i="23"/>
  <c r="A10364" i="23"/>
  <c r="A10904" i="23"/>
  <c r="A10877" i="23"/>
  <c r="A11255" i="23"/>
  <c r="A10958" i="23"/>
  <c r="A11147" i="23"/>
  <c r="A10607" i="23"/>
  <c r="A10823" i="23"/>
  <c r="A11066" i="23"/>
  <c r="A10661" i="23"/>
  <c r="A10931" i="23"/>
  <c r="A10796" i="23"/>
  <c r="A11039" i="23"/>
  <c r="A10499" i="23"/>
  <c r="A11174" i="23"/>
  <c r="A11120" i="23"/>
  <c r="A11201" i="23"/>
  <c r="A10337" i="23"/>
  <c r="A9419" i="23"/>
  <c r="A9527" i="23"/>
  <c r="A9365" i="23"/>
  <c r="A10202" i="23"/>
  <c r="A9797" i="23"/>
  <c r="A10040" i="23"/>
  <c r="A9635" i="23"/>
  <c r="A9905" i="23"/>
  <c r="A9770" i="23"/>
  <c r="A10013" i="23"/>
  <c r="A10310" i="23"/>
  <c r="A10850" i="23"/>
  <c r="A9392" i="23"/>
  <c r="A9500" i="23"/>
  <c r="A9608" i="23"/>
  <c r="A9743" i="23"/>
  <c r="A9986" i="23"/>
  <c r="A10094" i="23"/>
  <c r="A9824" i="23"/>
  <c r="A10256" i="23"/>
  <c r="A9257" i="23"/>
  <c r="A9311" i="23"/>
  <c r="A11741" i="23"/>
  <c r="A10715" i="23"/>
  <c r="A11012" i="23"/>
  <c r="A10688" i="23"/>
  <c r="A10283" i="23"/>
  <c r="A9446" i="23"/>
  <c r="A9554" i="23"/>
  <c r="A9716" i="23"/>
  <c r="A9338" i="23"/>
  <c r="A9878" i="23"/>
  <c r="A9851" i="23"/>
  <c r="A10229" i="23"/>
  <c r="A9932" i="23"/>
  <c r="A10121" i="23"/>
  <c r="A11093" i="23"/>
  <c r="A9284" i="23"/>
  <c r="A8393" i="23"/>
  <c r="A8501" i="23"/>
  <c r="A8339" i="23"/>
  <c r="A9176" i="23"/>
  <c r="A8771" i="23"/>
  <c r="A9014" i="23"/>
  <c r="A8609" i="23"/>
  <c r="A8879" i="23"/>
  <c r="A8744" i="23"/>
  <c r="A8987" i="23"/>
  <c r="A11282" i="23"/>
  <c r="A10148" i="23"/>
  <c r="A9689" i="23"/>
  <c r="A8366" i="23"/>
  <c r="A8474" i="23"/>
  <c r="A8582" i="23"/>
  <c r="A8717" i="23"/>
  <c r="A8960" i="23"/>
  <c r="A9068" i="23"/>
  <c r="A8798" i="23"/>
  <c r="A9230" i="23"/>
  <c r="A8231" i="23"/>
  <c r="A8285" i="23"/>
  <c r="A7421" i="23"/>
  <c r="A7529" i="23"/>
  <c r="A10985" i="23"/>
  <c r="A10067" i="23"/>
  <c r="A9581" i="23"/>
  <c r="A8447" i="23"/>
  <c r="A8555" i="23"/>
  <c r="A9041" i="23"/>
  <c r="A8663" i="23"/>
  <c r="A9122" i="23"/>
  <c r="A8258" i="23"/>
  <c r="A8933" i="23"/>
  <c r="A9662" i="23"/>
  <c r="A8420" i="23"/>
  <c r="A8528" i="23"/>
  <c r="A8690" i="23"/>
  <c r="A8312" i="23"/>
  <c r="A8852" i="23"/>
  <c r="A8825" i="23"/>
  <c r="A9203" i="23"/>
  <c r="A8906" i="23"/>
  <c r="A9095" i="23"/>
  <c r="A7367" i="23"/>
  <c r="A7475" i="23"/>
  <c r="A9959" i="23"/>
  <c r="A8636" i="23"/>
  <c r="A7340" i="23"/>
  <c r="A8015" i="23"/>
  <c r="A7637" i="23"/>
  <c r="A8096" i="23"/>
  <c r="A7232" i="23"/>
  <c r="A7907" i="23"/>
  <c r="A7610" i="23"/>
  <c r="A8123" i="23"/>
  <c r="A6368" i="23"/>
  <c r="A6476" i="23"/>
  <c r="A6638" i="23"/>
  <c r="A6260" i="23"/>
  <c r="A7394" i="23"/>
  <c r="A7448" i="23"/>
  <c r="A7664" i="23"/>
  <c r="A7286" i="23"/>
  <c r="A7826" i="23"/>
  <c r="A7799" i="23"/>
  <c r="A8177" i="23"/>
  <c r="A7880" i="23"/>
  <c r="A8069" i="23"/>
  <c r="A6341" i="23"/>
  <c r="A6449" i="23"/>
  <c r="A6287" i="23"/>
  <c r="A7124" i="23"/>
  <c r="A7502" i="23"/>
  <c r="A9473" i="23"/>
  <c r="A7313" i="23"/>
  <c r="A8150" i="23"/>
  <c r="A7745" i="23"/>
  <c r="A7988" i="23"/>
  <c r="A7583" i="23"/>
  <c r="A7853" i="23"/>
  <c r="A7718" i="23"/>
  <c r="A7961" i="23"/>
  <c r="A6314" i="23"/>
  <c r="A6422" i="23"/>
  <c r="A6530" i="23"/>
  <c r="A6665" i="23"/>
  <c r="A7556" i="23"/>
  <c r="A7691" i="23"/>
  <c r="A7934" i="23"/>
  <c r="A8042" i="23"/>
  <c r="A7772" i="23"/>
  <c r="A8204" i="23"/>
  <c r="A7205" i="23"/>
  <c r="A7259" i="23"/>
  <c r="A10175" i="23"/>
  <c r="A9149" i="23"/>
  <c r="A6989" i="23"/>
  <c r="A6800" i="23"/>
  <c r="A6773" i="23"/>
  <c r="A7151" i="23"/>
  <c r="A6854" i="23"/>
  <c r="A7043" i="23"/>
  <c r="A5423" i="23"/>
  <c r="A6098" i="23"/>
  <c r="A5936" i="23"/>
  <c r="A5801" i="23"/>
  <c r="A5342" i="23"/>
  <c r="A5774" i="23"/>
  <c r="A6017" i="23"/>
  <c r="A6503" i="23"/>
  <c r="A5450" i="23"/>
  <c r="A5234" i="23"/>
  <c r="A5747" i="23"/>
  <c r="A5828" i="23"/>
  <c r="A6395" i="23"/>
  <c r="A6719" i="23"/>
  <c r="A6962" i="23"/>
  <c r="A6557" i="23"/>
  <c r="A6827" i="23"/>
  <c r="A6692" i="23"/>
  <c r="A6935" i="23"/>
  <c r="A5477" i="23"/>
  <c r="A5585" i="23"/>
  <c r="A5180" i="23"/>
  <c r="A5558" i="23"/>
  <c r="A5612" i="23"/>
  <c r="A6125" i="23"/>
  <c r="A5288" i="23"/>
  <c r="A5504" i="23"/>
  <c r="A5882" i="23"/>
  <c r="A5720" i="23"/>
  <c r="A5153" i="23"/>
  <c r="A7016" i="23"/>
  <c r="A6746" i="23"/>
  <c r="A7178" i="23"/>
  <c r="A6179" i="23"/>
  <c r="A6233" i="23"/>
  <c r="A5315" i="23"/>
  <c r="A5261" i="23"/>
  <c r="A5693" i="23"/>
  <c r="A5531" i="23"/>
  <c r="A5666" i="23"/>
  <c r="A5909" i="23"/>
  <c r="A7070" i="23"/>
  <c r="A6206" i="23"/>
  <c r="A6881" i="23"/>
  <c r="A6584" i="23"/>
  <c r="A7097" i="23"/>
  <c r="A5369" i="23"/>
  <c r="A5963" i="23"/>
  <c r="A6044" i="23"/>
  <c r="A5855" i="23"/>
  <c r="A6071" i="23"/>
  <c r="A6611" i="23"/>
  <c r="A5396" i="23"/>
  <c r="A5639" i="23"/>
  <c r="A5990" i="23"/>
  <c r="A6152" i="23"/>
  <c r="A5207" i="23"/>
  <c r="A6908" i="23"/>
  <c r="A11463" i="23"/>
  <c r="A11571" i="23"/>
  <c r="A11409" i="23"/>
  <c r="A12246" i="23"/>
  <c r="A11544" i="23"/>
  <c r="A11652" i="23"/>
  <c r="A11787" i="23"/>
  <c r="A12030" i="23"/>
  <c r="A11517" i="23"/>
  <c r="A11625" i="23"/>
  <c r="A11490" i="23"/>
  <c r="A11598" i="23"/>
  <c r="A11760" i="23"/>
  <c r="A11382" i="23"/>
  <c r="A11922" i="23"/>
  <c r="A11436" i="23"/>
  <c r="A12111" i="23"/>
  <c r="A11895" i="23"/>
  <c r="A12273" i="23"/>
  <c r="A11976" i="23"/>
  <c r="A12165" i="23"/>
  <c r="A10437" i="23"/>
  <c r="A10545" i="23"/>
  <c r="A10383" i="23"/>
  <c r="A11220" i="23"/>
  <c r="A12084" i="23"/>
  <c r="A11679" i="23"/>
  <c r="A11949" i="23"/>
  <c r="A11814" i="23"/>
  <c r="A12057" i="23"/>
  <c r="A10410" i="23"/>
  <c r="A10518" i="23"/>
  <c r="A10626" i="23"/>
  <c r="A10761" i="23"/>
  <c r="A12138" i="23"/>
  <c r="A11868" i="23"/>
  <c r="A12300" i="23"/>
  <c r="A11301" i="23"/>
  <c r="A11355" i="23"/>
  <c r="A12192" i="23"/>
  <c r="A11328" i="23"/>
  <c r="A12003" i="23"/>
  <c r="A11706" i="23"/>
  <c r="A12219" i="23"/>
  <c r="A10464" i="23"/>
  <c r="A10572" i="23"/>
  <c r="A10734" i="23"/>
  <c r="A10356" i="23"/>
  <c r="A10896" i="23"/>
  <c r="A10869" i="23"/>
  <c r="A11247" i="23"/>
  <c r="A10950" i="23"/>
  <c r="A11139" i="23"/>
  <c r="A11841" i="23"/>
  <c r="A10815" i="23"/>
  <c r="A11058" i="23"/>
  <c r="A10653" i="23"/>
  <c r="A10923" i="23"/>
  <c r="A10788" i="23"/>
  <c r="A11085" i="23"/>
  <c r="A11733" i="23"/>
  <c r="A10491" i="23"/>
  <c r="A10977" i="23"/>
  <c r="A11274" i="23"/>
  <c r="A9411" i="23"/>
  <c r="A9519" i="23"/>
  <c r="A9357" i="23"/>
  <c r="A10194" i="23"/>
  <c r="A9789" i="23"/>
  <c r="A10032" i="23"/>
  <c r="A9627" i="23"/>
  <c r="A9897" i="23"/>
  <c r="A9762" i="23"/>
  <c r="A10005" i="23"/>
  <c r="A10599" i="23"/>
  <c r="A10707" i="23"/>
  <c r="A11004" i="23"/>
  <c r="A10680" i="23"/>
  <c r="A10275" i="23"/>
  <c r="A9384" i="23"/>
  <c r="A9492" i="23"/>
  <c r="A9600" i="23"/>
  <c r="A9735" i="23"/>
  <c r="A9978" i="23"/>
  <c r="A10086" i="23"/>
  <c r="A9816" i="23"/>
  <c r="A10248" i="23"/>
  <c r="A9249" i="23"/>
  <c r="A9303" i="23"/>
  <c r="A10302" i="23"/>
  <c r="A10842" i="23"/>
  <c r="A9438" i="23"/>
  <c r="A9546" i="23"/>
  <c r="A9708" i="23"/>
  <c r="A9330" i="23"/>
  <c r="A9870" i="23"/>
  <c r="A9843" i="23"/>
  <c r="A10221" i="23"/>
  <c r="A9924" i="23"/>
  <c r="A10113" i="23"/>
  <c r="A9654" i="23"/>
  <c r="A8385" i="23"/>
  <c r="A8493" i="23"/>
  <c r="A8331" i="23"/>
  <c r="A9168" i="23"/>
  <c r="A8763" i="23"/>
  <c r="A9006" i="23"/>
  <c r="A8601" i="23"/>
  <c r="A8871" i="23"/>
  <c r="A8736" i="23"/>
  <c r="A8979" i="23"/>
  <c r="A11166" i="23"/>
  <c r="A9951" i="23"/>
  <c r="A9276" i="23"/>
  <c r="A8358" i="23"/>
  <c r="A8466" i="23"/>
  <c r="A8574" i="23"/>
  <c r="A8709" i="23"/>
  <c r="A8952" i="23"/>
  <c r="A9060" i="23"/>
  <c r="A8790" i="23"/>
  <c r="A9222" i="23"/>
  <c r="A8223" i="23"/>
  <c r="A8277" i="23"/>
  <c r="A7413" i="23"/>
  <c r="A10140" i="23"/>
  <c r="A11031" i="23"/>
  <c r="A9681" i="23"/>
  <c r="A8439" i="23"/>
  <c r="A8547" i="23"/>
  <c r="A9033" i="23"/>
  <c r="A8655" i="23"/>
  <c r="A9114" i="23"/>
  <c r="A8250" i="23"/>
  <c r="A8925" i="23"/>
  <c r="A9573" i="23"/>
  <c r="A8412" i="23"/>
  <c r="A8520" i="23"/>
  <c r="A8682" i="23"/>
  <c r="A8304" i="23"/>
  <c r="A8844" i="23"/>
  <c r="A8817" i="23"/>
  <c r="A9195" i="23"/>
  <c r="A8898" i="23"/>
  <c r="A9087" i="23"/>
  <c r="A7359" i="23"/>
  <c r="A7467" i="23"/>
  <c r="A11112" i="23"/>
  <c r="A11193" i="23"/>
  <c r="A9465" i="23"/>
  <c r="A10167" i="23"/>
  <c r="A7521" i="23"/>
  <c r="A8007" i="23"/>
  <c r="A7629" i="23"/>
  <c r="A8088" i="23"/>
  <c r="A7224" i="23"/>
  <c r="A7899" i="23"/>
  <c r="A7602" i="23"/>
  <c r="A8115" i="23"/>
  <c r="A6360" i="23"/>
  <c r="A6468" i="23"/>
  <c r="A6630" i="23"/>
  <c r="A6252" i="23"/>
  <c r="A9141" i="23"/>
  <c r="A8628" i="23"/>
  <c r="A7656" i="23"/>
  <c r="A7278" i="23"/>
  <c r="A7818" i="23"/>
  <c r="A7791" i="23"/>
  <c r="A8169" i="23"/>
  <c r="A7872" i="23"/>
  <c r="A8061" i="23"/>
  <c r="A6333" i="23"/>
  <c r="A6441" i="23"/>
  <c r="A6279" i="23"/>
  <c r="A7116" i="23"/>
  <c r="A10059" i="23"/>
  <c r="A7332" i="23"/>
  <c r="A7305" i="23"/>
  <c r="A8142" i="23"/>
  <c r="A7737" i="23"/>
  <c r="A7980" i="23"/>
  <c r="A7575" i="23"/>
  <c r="A7845" i="23"/>
  <c r="A7710" i="23"/>
  <c r="A7953" i="23"/>
  <c r="A6306" i="23"/>
  <c r="A6414" i="23"/>
  <c r="A6522" i="23"/>
  <c r="A6657" i="23"/>
  <c r="A7440" i="23"/>
  <c r="A7548" i="23"/>
  <c r="A7683" i="23"/>
  <c r="A7926" i="23"/>
  <c r="A8034" i="23"/>
  <c r="A7764" i="23"/>
  <c r="A8196" i="23"/>
  <c r="A7197" i="23"/>
  <c r="A7251" i="23"/>
  <c r="A10329" i="23"/>
  <c r="A7494" i="23"/>
  <c r="A6792" i="23"/>
  <c r="A6765" i="23"/>
  <c r="A7143" i="23"/>
  <c r="A6846" i="23"/>
  <c r="A7035" i="23"/>
  <c r="A5415" i="23"/>
  <c r="A6090" i="23"/>
  <c r="A5928" i="23"/>
  <c r="A5793" i="23"/>
  <c r="A7386" i="23"/>
  <c r="A6603" i="23"/>
  <c r="A5442" i="23"/>
  <c r="A5226" i="23"/>
  <c r="A5739" i="23"/>
  <c r="A5820" i="23"/>
  <c r="A6981" i="23"/>
  <c r="A6711" i="23"/>
  <c r="A6954" i="23"/>
  <c r="A6549" i="23"/>
  <c r="A6819" i="23"/>
  <c r="A6684" i="23"/>
  <c r="A6927" i="23"/>
  <c r="A5469" i="23"/>
  <c r="A5577" i="23"/>
  <c r="A5172" i="23"/>
  <c r="A5550" i="23"/>
  <c r="A6495" i="23"/>
  <c r="A5280" i="23"/>
  <c r="A5496" i="23"/>
  <c r="A5874" i="23"/>
  <c r="A5712" i="23"/>
  <c r="A5145" i="23"/>
  <c r="A6387" i="23"/>
  <c r="A6900" i="23"/>
  <c r="A7008" i="23"/>
  <c r="A6738" i="23"/>
  <c r="A7170" i="23"/>
  <c r="A6171" i="23"/>
  <c r="A6225" i="23"/>
  <c r="A5307" i="23"/>
  <c r="A5253" i="23"/>
  <c r="A5685" i="23"/>
  <c r="A5523" i="23"/>
  <c r="A5658" i="23"/>
  <c r="A5901" i="23"/>
  <c r="A5766" i="23"/>
  <c r="A6009" i="23"/>
  <c r="A7062" i="23"/>
  <c r="A6198" i="23"/>
  <c r="A6873" i="23"/>
  <c r="A6576" i="23"/>
  <c r="A7089" i="23"/>
  <c r="A5361" i="23"/>
  <c r="A5955" i="23"/>
  <c r="A6036" i="23"/>
  <c r="A5847" i="23"/>
  <c r="A6063" i="23"/>
  <c r="A5604" i="23"/>
  <c r="A6117" i="23"/>
  <c r="A5388" i="23"/>
  <c r="A5631" i="23"/>
  <c r="A5982" i="23"/>
  <c r="A6144" i="23"/>
  <c r="A5199" i="23"/>
  <c r="A5334" i="23"/>
  <c r="A11455" i="23"/>
  <c r="A11563" i="23"/>
  <c r="A11401" i="23"/>
  <c r="A12238" i="23"/>
  <c r="A11536" i="23"/>
  <c r="A11644" i="23"/>
  <c r="A11779" i="23"/>
  <c r="A12022" i="23"/>
  <c r="A11509" i="23"/>
  <c r="A11617" i="23"/>
  <c r="A11482" i="23"/>
  <c r="A11590" i="23"/>
  <c r="A11752" i="23"/>
  <c r="A11374" i="23"/>
  <c r="A11914" i="23"/>
  <c r="A11887" i="23"/>
  <c r="A12265" i="23"/>
  <c r="A11968" i="23"/>
  <c r="A12157" i="23"/>
  <c r="A10429" i="23"/>
  <c r="A10537" i="23"/>
  <c r="A10375" i="23"/>
  <c r="A11212" i="23"/>
  <c r="A11725" i="23"/>
  <c r="A11833" i="23"/>
  <c r="A11428" i="23"/>
  <c r="A12103" i="23"/>
  <c r="A12076" i="23"/>
  <c r="A11671" i="23"/>
  <c r="A11941" i="23"/>
  <c r="A11806" i="23"/>
  <c r="A12049" i="23"/>
  <c r="A10402" i="23"/>
  <c r="A10510" i="23"/>
  <c r="A10618" i="23"/>
  <c r="A10753" i="23"/>
  <c r="A12130" i="23"/>
  <c r="A11860" i="23"/>
  <c r="A12292" i="23"/>
  <c r="A11293" i="23"/>
  <c r="A11347" i="23"/>
  <c r="A12184" i="23"/>
  <c r="A11320" i="23"/>
  <c r="A11995" i="23"/>
  <c r="A11698" i="23"/>
  <c r="A12211" i="23"/>
  <c r="A10456" i="23"/>
  <c r="A10564" i="23"/>
  <c r="A10726" i="23"/>
  <c r="A10483" i="23"/>
  <c r="A10348" i="23"/>
  <c r="A10888" i="23"/>
  <c r="A10861" i="23"/>
  <c r="A11239" i="23"/>
  <c r="A10942" i="23"/>
  <c r="A11131" i="23"/>
  <c r="A10807" i="23"/>
  <c r="A11050" i="23"/>
  <c r="A10645" i="23"/>
  <c r="A10915" i="23"/>
  <c r="A10780" i="23"/>
  <c r="A11077" i="23"/>
  <c r="A11158" i="23"/>
  <c r="A11104" i="23"/>
  <c r="A11185" i="23"/>
  <c r="A10321" i="23"/>
  <c r="A9403" i="23"/>
  <c r="A9511" i="23"/>
  <c r="A9349" i="23"/>
  <c r="A10186" i="23"/>
  <c r="A9781" i="23"/>
  <c r="A10024" i="23"/>
  <c r="A9619" i="23"/>
  <c r="A9889" i="23"/>
  <c r="A9754" i="23"/>
  <c r="A9997" i="23"/>
  <c r="A10294" i="23"/>
  <c r="A10834" i="23"/>
  <c r="A9376" i="23"/>
  <c r="A9484" i="23"/>
  <c r="A9592" i="23"/>
  <c r="A9727" i="23"/>
  <c r="A9970" i="23"/>
  <c r="A10078" i="23"/>
  <c r="A9808" i="23"/>
  <c r="A10240" i="23"/>
  <c r="A9241" i="23"/>
  <c r="A9295" i="23"/>
  <c r="A10591" i="23"/>
  <c r="A11023" i="23"/>
  <c r="A10699" i="23"/>
  <c r="A10996" i="23"/>
  <c r="A10672" i="23"/>
  <c r="A10267" i="23"/>
  <c r="A9430" i="23"/>
  <c r="A9538" i="23"/>
  <c r="A9700" i="23"/>
  <c r="A9322" i="23"/>
  <c r="A9862" i="23"/>
  <c r="A9835" i="23"/>
  <c r="A10213" i="23"/>
  <c r="A9916" i="23"/>
  <c r="A10105" i="23"/>
  <c r="A9565" i="23"/>
  <c r="A8377" i="23"/>
  <c r="A8485" i="23"/>
  <c r="A8323" i="23"/>
  <c r="A9160" i="23"/>
  <c r="A8755" i="23"/>
  <c r="A8998" i="23"/>
  <c r="A8593" i="23"/>
  <c r="A8863" i="23"/>
  <c r="A8728" i="23"/>
  <c r="A8971" i="23"/>
  <c r="A9457" i="23"/>
  <c r="A10159" i="23"/>
  <c r="A9646" i="23"/>
  <c r="A8350" i="23"/>
  <c r="A8458" i="23"/>
  <c r="A8566" i="23"/>
  <c r="A8701" i="23"/>
  <c r="A8944" i="23"/>
  <c r="A9052" i="23"/>
  <c r="A8782" i="23"/>
  <c r="A9214" i="23"/>
  <c r="A8215" i="23"/>
  <c r="A8269" i="23"/>
  <c r="A7405" i="23"/>
  <c r="A11266" i="23"/>
  <c r="A9943" i="23"/>
  <c r="A9268" i="23"/>
  <c r="A8431" i="23"/>
  <c r="A8539" i="23"/>
  <c r="A9025" i="23"/>
  <c r="A8647" i="23"/>
  <c r="A9106" i="23"/>
  <c r="A8242" i="23"/>
  <c r="A8917" i="23"/>
  <c r="A9673" i="23"/>
  <c r="A8404" i="23"/>
  <c r="A8512" i="23"/>
  <c r="A8674" i="23"/>
  <c r="A8296" i="23"/>
  <c r="A8836" i="23"/>
  <c r="A8809" i="23"/>
  <c r="A9187" i="23"/>
  <c r="A8890" i="23"/>
  <c r="A9079" i="23"/>
  <c r="A7351" i="23"/>
  <c r="A7459" i="23"/>
  <c r="A10051" i="23"/>
  <c r="A7324" i="23"/>
  <c r="A7513" i="23"/>
  <c r="A7999" i="23"/>
  <c r="A7621" i="23"/>
  <c r="A8080" i="23"/>
  <c r="A7216" i="23"/>
  <c r="A7891" i="23"/>
  <c r="A7594" i="23"/>
  <c r="A8107" i="23"/>
  <c r="A6352" i="23"/>
  <c r="A6460" i="23"/>
  <c r="A6622" i="23"/>
  <c r="A6244" i="23"/>
  <c r="A7378" i="23"/>
  <c r="A10132" i="23"/>
  <c r="A7432" i="23"/>
  <c r="A7648" i="23"/>
  <c r="A7270" i="23"/>
  <c r="A7810" i="23"/>
  <c r="A7783" i="23"/>
  <c r="A8161" i="23"/>
  <c r="A7864" i="23"/>
  <c r="A8053" i="23"/>
  <c r="A6325" i="23"/>
  <c r="A6433" i="23"/>
  <c r="A6271" i="23"/>
  <c r="A7108" i="23"/>
  <c r="A9133" i="23"/>
  <c r="A7486" i="23"/>
  <c r="A8620" i="23"/>
  <c r="A7297" i="23"/>
  <c r="A8134" i="23"/>
  <c r="A7729" i="23"/>
  <c r="A7972" i="23"/>
  <c r="A7567" i="23"/>
  <c r="A7837" i="23"/>
  <c r="A7702" i="23"/>
  <c r="A7945" i="23"/>
  <c r="A6298" i="23"/>
  <c r="A6406" i="23"/>
  <c r="A6514" i="23"/>
  <c r="A6649" i="23"/>
  <c r="A7540" i="23"/>
  <c r="A7675" i="23"/>
  <c r="A7918" i="23"/>
  <c r="A8026" i="23"/>
  <c r="A7756" i="23"/>
  <c r="A8188" i="23"/>
  <c r="A7189" i="23"/>
  <c r="A7243" i="23"/>
  <c r="A6784" i="23"/>
  <c r="A6757" i="23"/>
  <c r="A7135" i="23"/>
  <c r="A6838" i="23"/>
  <c r="A7027" i="23"/>
  <c r="A5407" i="23"/>
  <c r="A6082" i="23"/>
  <c r="A5920" i="23"/>
  <c r="A5785" i="23"/>
  <c r="A5596" i="23"/>
  <c r="A5434" i="23"/>
  <c r="A5218" i="23"/>
  <c r="A5731" i="23"/>
  <c r="A5812" i="23"/>
  <c r="A6703" i="23"/>
  <c r="A6946" i="23"/>
  <c r="A6541" i="23"/>
  <c r="A6811" i="23"/>
  <c r="A6676" i="23"/>
  <c r="A6919" i="23"/>
  <c r="A5461" i="23"/>
  <c r="A5569" i="23"/>
  <c r="A5164" i="23"/>
  <c r="A5542" i="23"/>
  <c r="A5272" i="23"/>
  <c r="A5488" i="23"/>
  <c r="A5866" i="23"/>
  <c r="A5704" i="23"/>
  <c r="A5137" i="23"/>
  <c r="A5758" i="23"/>
  <c r="A6973" i="23"/>
  <c r="A6595" i="23"/>
  <c r="A6892" i="23"/>
  <c r="A7000" i="23"/>
  <c r="A6730" i="23"/>
  <c r="A7162" i="23"/>
  <c r="A6163" i="23"/>
  <c r="A6217" i="23"/>
  <c r="A5299" i="23"/>
  <c r="A5245" i="23"/>
  <c r="A5677" i="23"/>
  <c r="A5515" i="23"/>
  <c r="A5650" i="23"/>
  <c r="A5893" i="23"/>
  <c r="A10969" i="23"/>
  <c r="A6487" i="23"/>
  <c r="A6379" i="23"/>
  <c r="A7054" i="23"/>
  <c r="A6190" i="23"/>
  <c r="A6865" i="23"/>
  <c r="A6568" i="23"/>
  <c r="A7081" i="23"/>
  <c r="A5353" i="23"/>
  <c r="A5947" i="23"/>
  <c r="A6028" i="23"/>
  <c r="A5839" i="23"/>
  <c r="A6055" i="23"/>
  <c r="A5326" i="23"/>
  <c r="A6001" i="23"/>
  <c r="A5380" i="23"/>
  <c r="A5623" i="23"/>
  <c r="A5974" i="23"/>
  <c r="A6136" i="23"/>
  <c r="A5191" i="23"/>
  <c r="A6109" i="23"/>
  <c r="Y29" i="34"/>
  <c r="Y29" i="35"/>
  <c r="Y29" i="36"/>
  <c r="Y29" i="37"/>
  <c r="Y29" i="32"/>
  <c r="Y29" i="30"/>
  <c r="Y29" i="31"/>
  <c r="Y29" i="29"/>
  <c r="Y29" i="33"/>
  <c r="Y29" i="28"/>
  <c r="Y29" i="26"/>
  <c r="Y29" i="27"/>
  <c r="Y29" i="25"/>
  <c r="Y21" i="37"/>
  <c r="Y21" i="36"/>
  <c r="Y21" i="35"/>
  <c r="Y21" i="32"/>
  <c r="Y21" i="34"/>
  <c r="Y21" i="33"/>
  <c r="Y21" i="30"/>
  <c r="Y21" i="31"/>
  <c r="Y21" i="29"/>
  <c r="Y21" i="27"/>
  <c r="Y21" i="26"/>
  <c r="Y21" i="28"/>
  <c r="Y21" i="25"/>
  <c r="M34" i="5"/>
  <c r="Y13" i="37"/>
  <c r="Y13" i="36"/>
  <c r="Y13" i="35"/>
  <c r="Y13" i="34"/>
  <c r="Y13" i="33"/>
  <c r="Y13" i="32"/>
  <c r="Y13" i="31"/>
  <c r="Y13" i="30"/>
  <c r="Y13" i="27"/>
  <c r="Y13" i="28"/>
  <c r="Y13" i="29"/>
  <c r="Y13" i="26"/>
  <c r="Y13" i="25"/>
  <c r="A11451" i="23"/>
  <c r="A11559" i="23"/>
  <c r="A11397" i="23"/>
  <c r="A12234" i="23"/>
  <c r="A11532" i="23"/>
  <c r="A11640" i="23"/>
  <c r="A11775" i="23"/>
  <c r="A12018" i="23"/>
  <c r="A11424" i="23"/>
  <c r="A11505" i="23"/>
  <c r="A11478" i="23"/>
  <c r="A11586" i="23"/>
  <c r="A11748" i="23"/>
  <c r="A11370" i="23"/>
  <c r="A11910" i="23"/>
  <c r="A11613" i="23"/>
  <c r="A11883" i="23"/>
  <c r="A12261" i="23"/>
  <c r="A11964" i="23"/>
  <c r="A12153" i="23"/>
  <c r="A10425" i="23"/>
  <c r="A10533" i="23"/>
  <c r="A10371" i="23"/>
  <c r="A12072" i="23"/>
  <c r="A11667" i="23"/>
  <c r="A11937" i="23"/>
  <c r="A11802" i="23"/>
  <c r="A12045" i="23"/>
  <c r="A10398" i="23"/>
  <c r="A10506" i="23"/>
  <c r="A10614" i="23"/>
  <c r="A10749" i="23"/>
  <c r="A12126" i="23"/>
  <c r="A11856" i="23"/>
  <c r="A12288" i="23"/>
  <c r="A11289" i="23"/>
  <c r="A11343" i="23"/>
  <c r="A11721" i="23"/>
  <c r="A12180" i="23"/>
  <c r="A11316" i="23"/>
  <c r="A11991" i="23"/>
  <c r="A11694" i="23"/>
  <c r="A12207" i="23"/>
  <c r="A10452" i="23"/>
  <c r="A10560" i="23"/>
  <c r="A10722" i="23"/>
  <c r="A12099" i="23"/>
  <c r="A10344" i="23"/>
  <c r="A10884" i="23"/>
  <c r="A10857" i="23"/>
  <c r="A11235" i="23"/>
  <c r="A10938" i="23"/>
  <c r="A11127" i="23"/>
  <c r="A11073" i="23"/>
  <c r="A10803" i="23"/>
  <c r="A11046" i="23"/>
  <c r="A10641" i="23"/>
  <c r="A10911" i="23"/>
  <c r="A10776" i="23"/>
  <c r="A10587" i="23"/>
  <c r="A11829" i="23"/>
  <c r="A10290" i="23"/>
  <c r="A10830" i="23"/>
  <c r="A9399" i="23"/>
  <c r="A9507" i="23"/>
  <c r="A9345" i="23"/>
  <c r="A10182" i="23"/>
  <c r="A9777" i="23"/>
  <c r="A10020" i="23"/>
  <c r="A9615" i="23"/>
  <c r="A9885" i="23"/>
  <c r="A9750" i="23"/>
  <c r="A10965" i="23"/>
  <c r="A11262" i="23"/>
  <c r="A11019" i="23"/>
  <c r="A9372" i="23"/>
  <c r="A9480" i="23"/>
  <c r="A9588" i="23"/>
  <c r="A9723" i="23"/>
  <c r="A9966" i="23"/>
  <c r="A10074" i="23"/>
  <c r="A9804" i="23"/>
  <c r="A10236" i="23"/>
  <c r="A9237" i="23"/>
  <c r="A9291" i="23"/>
  <c r="A10479" i="23"/>
  <c r="A10695" i="23"/>
  <c r="A10992" i="23"/>
  <c r="A11154" i="23"/>
  <c r="A11100" i="23"/>
  <c r="A11181" i="23"/>
  <c r="A10317" i="23"/>
  <c r="A9426" i="23"/>
  <c r="A9534" i="23"/>
  <c r="A9696" i="23"/>
  <c r="A9318" i="23"/>
  <c r="A9858" i="23"/>
  <c r="A9831" i="23"/>
  <c r="A10209" i="23"/>
  <c r="A9912" i="23"/>
  <c r="A10101" i="23"/>
  <c r="A9939" i="23"/>
  <c r="A8373" i="23"/>
  <c r="A8481" i="23"/>
  <c r="A8319" i="23"/>
  <c r="A9156" i="23"/>
  <c r="A8751" i="23"/>
  <c r="A8994" i="23"/>
  <c r="A8589" i="23"/>
  <c r="A8859" i="23"/>
  <c r="A8724" i="23"/>
  <c r="A8967" i="23"/>
  <c r="A10263" i="23"/>
  <c r="A9264" i="23"/>
  <c r="A10128" i="23"/>
  <c r="A9993" i="23"/>
  <c r="A8346" i="23"/>
  <c r="A8454" i="23"/>
  <c r="A8562" i="23"/>
  <c r="A8697" i="23"/>
  <c r="A8940" i="23"/>
  <c r="A9048" i="23"/>
  <c r="A8778" i="23"/>
  <c r="A9210" i="23"/>
  <c r="A8211" i="23"/>
  <c r="A8265" i="23"/>
  <c r="A7401" i="23"/>
  <c r="A10668" i="23"/>
  <c r="A9669" i="23"/>
  <c r="A11208" i="23"/>
  <c r="A10047" i="23"/>
  <c r="A8427" i="23"/>
  <c r="A8535" i="23"/>
  <c r="A9021" i="23"/>
  <c r="A8643" i="23"/>
  <c r="A9102" i="23"/>
  <c r="A8238" i="23"/>
  <c r="A9453" i="23"/>
  <c r="A10155" i="23"/>
  <c r="A8400" i="23"/>
  <c r="A8508" i="23"/>
  <c r="A8670" i="23"/>
  <c r="A8292" i="23"/>
  <c r="A8832" i="23"/>
  <c r="A8805" i="23"/>
  <c r="A9183" i="23"/>
  <c r="A8886" i="23"/>
  <c r="A9075" i="23"/>
  <c r="A7347" i="23"/>
  <c r="A7455" i="23"/>
  <c r="A9642" i="23"/>
  <c r="A9561" i="23"/>
  <c r="A9129" i="23"/>
  <c r="A7428" i="23"/>
  <c r="A7509" i="23"/>
  <c r="A7995" i="23"/>
  <c r="A7617" i="23"/>
  <c r="A8076" i="23"/>
  <c r="A7212" i="23"/>
  <c r="A7887" i="23"/>
  <c r="A7590" i="23"/>
  <c r="A8103" i="23"/>
  <c r="A6348" i="23"/>
  <c r="A6456" i="23"/>
  <c r="A6618" i="23"/>
  <c r="A6240" i="23"/>
  <c r="A8616" i="23"/>
  <c r="A7482" i="23"/>
  <c r="A8913" i="23"/>
  <c r="A7644" i="23"/>
  <c r="A7266" i="23"/>
  <c r="A7806" i="23"/>
  <c r="A7779" i="23"/>
  <c r="A8157" i="23"/>
  <c r="A7860" i="23"/>
  <c r="A8049" i="23"/>
  <c r="A6321" i="23"/>
  <c r="A6429" i="23"/>
  <c r="A6267" i="23"/>
  <c r="A7104" i="23"/>
  <c r="A7293" i="23"/>
  <c r="A8130" i="23"/>
  <c r="A7725" i="23"/>
  <c r="A7968" i="23"/>
  <c r="A7563" i="23"/>
  <c r="A7833" i="23"/>
  <c r="A7698" i="23"/>
  <c r="A7941" i="23"/>
  <c r="A6294" i="23"/>
  <c r="A6402" i="23"/>
  <c r="A6510" i="23"/>
  <c r="A6645" i="23"/>
  <c r="A7320" i="23"/>
  <c r="A7536" i="23"/>
  <c r="A7671" i="23"/>
  <c r="A7914" i="23"/>
  <c r="A8022" i="23"/>
  <c r="A7752" i="23"/>
  <c r="A8184" i="23"/>
  <c r="A7185" i="23"/>
  <c r="A7239" i="23"/>
  <c r="A7374" i="23"/>
  <c r="A6780" i="23"/>
  <c r="A6753" i="23"/>
  <c r="A7131" i="23"/>
  <c r="A6834" i="23"/>
  <c r="A7023" i="23"/>
  <c r="A5403" i="23"/>
  <c r="A6078" i="23"/>
  <c r="A5916" i="23"/>
  <c r="A5781" i="23"/>
  <c r="A5889" i="23"/>
  <c r="A5754" i="23"/>
  <c r="A6969" i="23"/>
  <c r="A5430" i="23"/>
  <c r="A5214" i="23"/>
  <c r="A5727" i="23"/>
  <c r="A5808" i="23"/>
  <c r="A6483" i="23"/>
  <c r="A6591" i="23"/>
  <c r="A6699" i="23"/>
  <c r="A6942" i="23"/>
  <c r="A6537" i="23"/>
  <c r="A6807" i="23"/>
  <c r="A6672" i="23"/>
  <c r="A6915" i="23"/>
  <c r="A5457" i="23"/>
  <c r="A5565" i="23"/>
  <c r="A5160" i="23"/>
  <c r="A5538" i="23"/>
  <c r="A5592" i="23"/>
  <c r="A6375" i="23"/>
  <c r="A5268" i="23"/>
  <c r="A5484" i="23"/>
  <c r="A5862" i="23"/>
  <c r="A5700" i="23"/>
  <c r="A5133" i="23"/>
  <c r="A5322" i="23"/>
  <c r="A6105" i="23"/>
  <c r="A6888" i="23"/>
  <c r="A6996" i="23"/>
  <c r="A6726" i="23"/>
  <c r="A7158" i="23"/>
  <c r="A6159" i="23"/>
  <c r="A6213" i="23"/>
  <c r="A5295" i="23"/>
  <c r="A5241" i="23"/>
  <c r="A5673" i="23"/>
  <c r="A5511" i="23"/>
  <c r="A5646" i="23"/>
  <c r="A7050" i="23"/>
  <c r="A6186" i="23"/>
  <c r="A6861" i="23"/>
  <c r="A6564" i="23"/>
  <c r="A7077" i="23"/>
  <c r="A5349" i="23"/>
  <c r="A5943" i="23"/>
  <c r="A6024" i="23"/>
  <c r="A5835" i="23"/>
  <c r="A6051" i="23"/>
  <c r="A5376" i="23"/>
  <c r="A5619" i="23"/>
  <c r="A5970" i="23"/>
  <c r="A6132" i="23"/>
  <c r="A5187" i="23"/>
  <c r="A5997" i="23"/>
  <c r="A11497" i="23"/>
  <c r="A11605" i="23"/>
  <c r="A11767" i="23"/>
  <c r="A11389" i="23"/>
  <c r="A11470" i="23"/>
  <c r="A11578" i="23"/>
  <c r="A11416" i="23"/>
  <c r="A12253" i="23"/>
  <c r="A11848" i="23"/>
  <c r="A11551" i="23"/>
  <c r="A11524" i="23"/>
  <c r="A11632" i="23"/>
  <c r="A12118" i="23"/>
  <c r="A11740" i="23"/>
  <c r="A12199" i="23"/>
  <c r="A11335" i="23"/>
  <c r="A12010" i="23"/>
  <c r="A11713" i="23"/>
  <c r="A12226" i="23"/>
  <c r="A10471" i="23"/>
  <c r="A10579" i="23"/>
  <c r="A10741" i="23"/>
  <c r="A11794" i="23"/>
  <c r="A11659" i="23"/>
  <c r="A12037" i="23"/>
  <c r="A11902" i="23"/>
  <c r="A12280" i="23"/>
  <c r="A11983" i="23"/>
  <c r="A12172" i="23"/>
  <c r="A10444" i="23"/>
  <c r="A10552" i="23"/>
  <c r="A10390" i="23"/>
  <c r="A11227" i="23"/>
  <c r="A11929" i="23"/>
  <c r="A12091" i="23"/>
  <c r="A11686" i="23"/>
  <c r="A11956" i="23"/>
  <c r="A11821" i="23"/>
  <c r="A12064" i="23"/>
  <c r="A10417" i="23"/>
  <c r="A12145" i="23"/>
  <c r="A11875" i="23"/>
  <c r="A12307" i="23"/>
  <c r="A11308" i="23"/>
  <c r="A11362" i="23"/>
  <c r="A10498" i="23"/>
  <c r="A10606" i="23"/>
  <c r="A11092" i="23"/>
  <c r="A10714" i="23"/>
  <c r="A11173" i="23"/>
  <c r="A10309" i="23"/>
  <c r="A10984" i="23"/>
  <c r="A10687" i="23"/>
  <c r="A11200" i="23"/>
  <c r="A10903" i="23"/>
  <c r="A10876" i="23"/>
  <c r="A11254" i="23"/>
  <c r="A10957" i="23"/>
  <c r="A11146" i="23"/>
  <c r="A11443" i="23"/>
  <c r="A10633" i="23"/>
  <c r="A11011" i="23"/>
  <c r="A10822" i="23"/>
  <c r="A10282" i="23"/>
  <c r="A10795" i="23"/>
  <c r="A9445" i="23"/>
  <c r="A9553" i="23"/>
  <c r="A9715" i="23"/>
  <c r="A9337" i="23"/>
  <c r="A9877" i="23"/>
  <c r="A9850" i="23"/>
  <c r="A10228" i="23"/>
  <c r="A9931" i="23"/>
  <c r="A10120" i="23"/>
  <c r="A11119" i="23"/>
  <c r="A11065" i="23"/>
  <c r="A10336" i="23"/>
  <c r="A11038" i="23"/>
  <c r="A9418" i="23"/>
  <c r="A9526" i="23"/>
  <c r="A9364" i="23"/>
  <c r="A10201" i="23"/>
  <c r="A9796" i="23"/>
  <c r="A10039" i="23"/>
  <c r="A9634" i="23"/>
  <c r="A9904" i="23"/>
  <c r="A9769" i="23"/>
  <c r="A10012" i="23"/>
  <c r="A10768" i="23"/>
  <c r="A11281" i="23"/>
  <c r="A10930" i="23"/>
  <c r="A9472" i="23"/>
  <c r="A9580" i="23"/>
  <c r="A10066" i="23"/>
  <c r="A9688" i="23"/>
  <c r="A10147" i="23"/>
  <c r="A9283" i="23"/>
  <c r="A9958" i="23"/>
  <c r="A9661" i="23"/>
  <c r="A10174" i="23"/>
  <c r="A10525" i="23"/>
  <c r="A9499" i="23"/>
  <c r="A9310" i="23"/>
  <c r="A8419" i="23"/>
  <c r="A8527" i="23"/>
  <c r="A8689" i="23"/>
  <c r="A8311" i="23"/>
  <c r="A8851" i="23"/>
  <c r="A8824" i="23"/>
  <c r="A9202" i="23"/>
  <c r="A8905" i="23"/>
  <c r="A9094" i="23"/>
  <c r="A10849" i="23"/>
  <c r="A9391" i="23"/>
  <c r="A9256" i="23"/>
  <c r="A10255" i="23"/>
  <c r="A8392" i="23"/>
  <c r="A8500" i="23"/>
  <c r="A8338" i="23"/>
  <c r="A9175" i="23"/>
  <c r="A8770" i="23"/>
  <c r="A9013" i="23"/>
  <c r="A8608" i="23"/>
  <c r="A8878" i="23"/>
  <c r="A8743" i="23"/>
  <c r="A8986" i="23"/>
  <c r="A7339" i="23"/>
  <c r="A7447" i="23"/>
  <c r="A9823" i="23"/>
  <c r="A10093" i="23"/>
  <c r="A8365" i="23"/>
  <c r="A8473" i="23"/>
  <c r="A8581" i="23"/>
  <c r="A8716" i="23"/>
  <c r="A8959" i="23"/>
  <c r="A9067" i="23"/>
  <c r="A8797" i="23"/>
  <c r="A9742" i="23"/>
  <c r="A8446" i="23"/>
  <c r="A8554" i="23"/>
  <c r="A9040" i="23"/>
  <c r="A8662" i="23"/>
  <c r="A9121" i="23"/>
  <c r="A8257" i="23"/>
  <c r="A8932" i="23"/>
  <c r="A8635" i="23"/>
  <c r="A9148" i="23"/>
  <c r="A7393" i="23"/>
  <c r="A7501" i="23"/>
  <c r="A10660" i="23"/>
  <c r="A9607" i="23"/>
  <c r="A7555" i="23"/>
  <c r="A7690" i="23"/>
  <c r="A7933" i="23"/>
  <c r="A8041" i="23"/>
  <c r="A7771" i="23"/>
  <c r="A8203" i="23"/>
  <c r="A7204" i="23"/>
  <c r="A7258" i="23"/>
  <c r="A6394" i="23"/>
  <c r="A6502" i="23"/>
  <c r="A6988" i="23"/>
  <c r="A6610" i="23"/>
  <c r="A8284" i="23"/>
  <c r="A7366" i="23"/>
  <c r="A8014" i="23"/>
  <c r="A7636" i="23"/>
  <c r="A8095" i="23"/>
  <c r="A7231" i="23"/>
  <c r="A7906" i="23"/>
  <c r="A7609" i="23"/>
  <c r="A8122" i="23"/>
  <c r="A6367" i="23"/>
  <c r="A6475" i="23"/>
  <c r="A6637" i="23"/>
  <c r="A6259" i="23"/>
  <c r="A8230" i="23"/>
  <c r="A7420" i="23"/>
  <c r="A9229" i="23"/>
  <c r="A7474" i="23"/>
  <c r="A7663" i="23"/>
  <c r="A7285" i="23"/>
  <c r="A7825" i="23"/>
  <c r="A7798" i="23"/>
  <c r="A8176" i="23"/>
  <c r="A7879" i="23"/>
  <c r="A8068" i="23"/>
  <c r="A6340" i="23"/>
  <c r="A6448" i="23"/>
  <c r="A6286" i="23"/>
  <c r="A7123" i="23"/>
  <c r="A10363" i="23"/>
  <c r="A7312" i="23"/>
  <c r="A8149" i="23"/>
  <c r="A7744" i="23"/>
  <c r="A7987" i="23"/>
  <c r="A7582" i="23"/>
  <c r="A7852" i="23"/>
  <c r="A7717" i="23"/>
  <c r="A7960" i="23"/>
  <c r="A6313" i="23"/>
  <c r="A9985" i="23"/>
  <c r="A7069" i="23"/>
  <c r="A6205" i="23"/>
  <c r="A6880" i="23"/>
  <c r="A6583" i="23"/>
  <c r="A7096" i="23"/>
  <c r="A5368" i="23"/>
  <c r="A5962" i="23"/>
  <c r="A6043" i="23"/>
  <c r="A5854" i="23"/>
  <c r="A6070" i="23"/>
  <c r="A7528" i="23"/>
  <c r="A5395" i="23"/>
  <c r="A5638" i="23"/>
  <c r="A5989" i="23"/>
  <c r="A6151" i="23"/>
  <c r="A5206" i="23"/>
  <c r="A6799" i="23"/>
  <c r="A6772" i="23"/>
  <c r="A7150" i="23"/>
  <c r="A6853" i="23"/>
  <c r="A7042" i="23"/>
  <c r="A5422" i="23"/>
  <c r="A6097" i="23"/>
  <c r="A5935" i="23"/>
  <c r="A5800" i="23"/>
  <c r="A6664" i="23"/>
  <c r="A5449" i="23"/>
  <c r="A5233" i="23"/>
  <c r="A5746" i="23"/>
  <c r="A5827" i="23"/>
  <c r="A6421" i="23"/>
  <c r="A5503" i="23"/>
  <c r="A5881" i="23"/>
  <c r="A5908" i="23"/>
  <c r="A6529" i="23"/>
  <c r="A6718" i="23"/>
  <c r="A6961" i="23"/>
  <c r="A6556" i="23"/>
  <c r="A6826" i="23"/>
  <c r="A6691" i="23"/>
  <c r="A6934" i="23"/>
  <c r="A5476" i="23"/>
  <c r="A5584" i="23"/>
  <c r="A5179" i="23"/>
  <c r="A5557" i="23"/>
  <c r="A5719" i="23"/>
  <c r="A7015" i="23"/>
  <c r="A6745" i="23"/>
  <c r="A7177" i="23"/>
  <c r="A6178" i="23"/>
  <c r="A6232" i="23"/>
  <c r="A5314" i="23"/>
  <c r="A5260" i="23"/>
  <c r="A5692" i="23"/>
  <c r="A5530" i="23"/>
  <c r="A5665" i="23"/>
  <c r="A6907" i="23"/>
  <c r="A5341" i="23"/>
  <c r="A5611" i="23"/>
  <c r="A5773" i="23"/>
  <c r="A6124" i="23"/>
  <c r="A6016" i="23"/>
  <c r="A5287" i="23"/>
  <c r="A5152" i="23"/>
  <c r="A11489" i="23"/>
  <c r="A11597" i="23"/>
  <c r="A11759" i="23"/>
  <c r="A11381" i="23"/>
  <c r="A11435" i="23"/>
  <c r="A11462" i="23"/>
  <c r="A11570" i="23"/>
  <c r="A11408" i="23"/>
  <c r="A12245" i="23"/>
  <c r="A11840" i="23"/>
  <c r="A11543" i="23"/>
  <c r="A11516" i="23"/>
  <c r="A11624" i="23"/>
  <c r="A12110" i="23"/>
  <c r="A11732" i="23"/>
  <c r="A12191" i="23"/>
  <c r="A11327" i="23"/>
  <c r="A12002" i="23"/>
  <c r="A11705" i="23"/>
  <c r="A12218" i="23"/>
  <c r="A10463" i="23"/>
  <c r="A10571" i="23"/>
  <c r="A10733" i="23"/>
  <c r="A11894" i="23"/>
  <c r="A12272" i="23"/>
  <c r="A11975" i="23"/>
  <c r="A12164" i="23"/>
  <c r="A10436" i="23"/>
  <c r="A10544" i="23"/>
  <c r="A10382" i="23"/>
  <c r="A11219" i="23"/>
  <c r="A11786" i="23"/>
  <c r="A11651" i="23"/>
  <c r="A12083" i="23"/>
  <c r="A11678" i="23"/>
  <c r="A11948" i="23"/>
  <c r="A11813" i="23"/>
  <c r="A12056" i="23"/>
  <c r="A10409" i="23"/>
  <c r="A12029" i="23"/>
  <c r="A12137" i="23"/>
  <c r="A11867" i="23"/>
  <c r="A12299" i="23"/>
  <c r="A11300" i="23"/>
  <c r="A11354" i="23"/>
  <c r="A10490" i="23"/>
  <c r="A10598" i="23"/>
  <c r="A11084" i="23"/>
  <c r="A10625" i="23"/>
  <c r="A11921" i="23"/>
  <c r="A10517" i="23"/>
  <c r="A10706" i="23"/>
  <c r="A11165" i="23"/>
  <c r="A10301" i="23"/>
  <c r="A10976" i="23"/>
  <c r="A10679" i="23"/>
  <c r="A11192" i="23"/>
  <c r="A10355" i="23"/>
  <c r="A10895" i="23"/>
  <c r="A10868" i="23"/>
  <c r="A11246" i="23"/>
  <c r="A10949" i="23"/>
  <c r="A11138" i="23"/>
  <c r="A10841" i="23"/>
  <c r="A10652" i="23"/>
  <c r="A9437" i="23"/>
  <c r="A9545" i="23"/>
  <c r="A9707" i="23"/>
  <c r="A9329" i="23"/>
  <c r="A9869" i="23"/>
  <c r="A9842" i="23"/>
  <c r="A10220" i="23"/>
  <c r="A9923" i="23"/>
  <c r="A10112" i="23"/>
  <c r="A11273" i="23"/>
  <c r="A10922" i="23"/>
  <c r="A9410" i="23"/>
  <c r="A9518" i="23"/>
  <c r="A9356" i="23"/>
  <c r="A10193" i="23"/>
  <c r="A9788" i="23"/>
  <c r="A10031" i="23"/>
  <c r="A9626" i="23"/>
  <c r="A9896" i="23"/>
  <c r="A9761" i="23"/>
  <c r="A10004" i="23"/>
  <c r="A11003" i="23"/>
  <c r="A10814" i="23"/>
  <c r="A11111" i="23"/>
  <c r="A11057" i="23"/>
  <c r="A10328" i="23"/>
  <c r="A9464" i="23"/>
  <c r="A9572" i="23"/>
  <c r="A10058" i="23"/>
  <c r="A9680" i="23"/>
  <c r="A10139" i="23"/>
  <c r="A9275" i="23"/>
  <c r="A9950" i="23"/>
  <c r="A9653" i="23"/>
  <c r="A10166" i="23"/>
  <c r="A9734" i="23"/>
  <c r="A8411" i="23"/>
  <c r="A8519" i="23"/>
  <c r="A8681" i="23"/>
  <c r="A8303" i="23"/>
  <c r="A8843" i="23"/>
  <c r="A8816" i="23"/>
  <c r="A9194" i="23"/>
  <c r="A8897" i="23"/>
  <c r="A9086" i="23"/>
  <c r="A9599" i="23"/>
  <c r="A9491" i="23"/>
  <c r="A9302" i="23"/>
  <c r="A8384" i="23"/>
  <c r="A8492" i="23"/>
  <c r="A8330" i="23"/>
  <c r="A9167" i="23"/>
  <c r="A8762" i="23"/>
  <c r="A9005" i="23"/>
  <c r="A8600" i="23"/>
  <c r="A8870" i="23"/>
  <c r="A8735" i="23"/>
  <c r="A8978" i="23"/>
  <c r="A7331" i="23"/>
  <c r="A7439" i="23"/>
  <c r="A10787" i="23"/>
  <c r="A9383" i="23"/>
  <c r="A9248" i="23"/>
  <c r="A10247" i="23"/>
  <c r="A8357" i="23"/>
  <c r="A8465" i="23"/>
  <c r="A8573" i="23"/>
  <c r="A8708" i="23"/>
  <c r="A8951" i="23"/>
  <c r="A9059" i="23"/>
  <c r="A8789" i="23"/>
  <c r="A11030" i="23"/>
  <c r="A10085" i="23"/>
  <c r="A8438" i="23"/>
  <c r="A8546" i="23"/>
  <c r="A9032" i="23"/>
  <c r="A8654" i="23"/>
  <c r="A9113" i="23"/>
  <c r="A8249" i="23"/>
  <c r="A8924" i="23"/>
  <c r="A8627" i="23"/>
  <c r="A9140" i="23"/>
  <c r="A7385" i="23"/>
  <c r="A7493" i="23"/>
  <c r="A9977" i="23"/>
  <c r="A7466" i="23"/>
  <c r="A7547" i="23"/>
  <c r="A7682" i="23"/>
  <c r="A7925" i="23"/>
  <c r="A8033" i="23"/>
  <c r="A7763" i="23"/>
  <c r="A8195" i="23"/>
  <c r="A7196" i="23"/>
  <c r="A7250" i="23"/>
  <c r="A6386" i="23"/>
  <c r="A6494" i="23"/>
  <c r="A6980" i="23"/>
  <c r="A6602" i="23"/>
  <c r="A10274" i="23"/>
  <c r="A7520" i="23"/>
  <c r="A8006" i="23"/>
  <c r="A7628" i="23"/>
  <c r="A8087" i="23"/>
  <c r="A7223" i="23"/>
  <c r="A7898" i="23"/>
  <c r="A7601" i="23"/>
  <c r="A8114" i="23"/>
  <c r="A6359" i="23"/>
  <c r="A6467" i="23"/>
  <c r="A6629" i="23"/>
  <c r="A6251" i="23"/>
  <c r="A8276" i="23"/>
  <c r="A7655" i="23"/>
  <c r="A7277" i="23"/>
  <c r="A7817" i="23"/>
  <c r="A7790" i="23"/>
  <c r="A8168" i="23"/>
  <c r="A7871" i="23"/>
  <c r="A8060" i="23"/>
  <c r="A6332" i="23"/>
  <c r="A6440" i="23"/>
  <c r="A6278" i="23"/>
  <c r="A7115" i="23"/>
  <c r="A9815" i="23"/>
  <c r="A9221" i="23"/>
  <c r="A7358" i="23"/>
  <c r="A7304" i="23"/>
  <c r="A8141" i="23"/>
  <c r="A7736" i="23"/>
  <c r="A7979" i="23"/>
  <c r="A7574" i="23"/>
  <c r="A7844" i="23"/>
  <c r="A7709" i="23"/>
  <c r="A7952" i="23"/>
  <c r="A6305" i="23"/>
  <c r="A10760" i="23"/>
  <c r="A7412" i="23"/>
  <c r="A7061" i="23"/>
  <c r="A6197" i="23"/>
  <c r="A6872" i="23"/>
  <c r="A6575" i="23"/>
  <c r="A7088" i="23"/>
  <c r="A5360" i="23"/>
  <c r="A5954" i="23"/>
  <c r="A6035" i="23"/>
  <c r="A5846" i="23"/>
  <c r="A6062" i="23"/>
  <c r="A5900" i="23"/>
  <c r="A5387" i="23"/>
  <c r="A5630" i="23"/>
  <c r="A5981" i="23"/>
  <c r="A6143" i="23"/>
  <c r="A5198" i="23"/>
  <c r="A5873" i="23"/>
  <c r="A5144" i="23"/>
  <c r="A6791" i="23"/>
  <c r="A6764" i="23"/>
  <c r="A7142" i="23"/>
  <c r="A6845" i="23"/>
  <c r="A7034" i="23"/>
  <c r="A5414" i="23"/>
  <c r="A6089" i="23"/>
  <c r="A5927" i="23"/>
  <c r="A5792" i="23"/>
  <c r="A5441" i="23"/>
  <c r="A5225" i="23"/>
  <c r="A5738" i="23"/>
  <c r="A5819" i="23"/>
  <c r="A6710" i="23"/>
  <c r="A6953" i="23"/>
  <c r="A6548" i="23"/>
  <c r="A6818" i="23"/>
  <c r="A6683" i="23"/>
  <c r="A6926" i="23"/>
  <c r="A5468" i="23"/>
  <c r="A5576" i="23"/>
  <c r="A5171" i="23"/>
  <c r="A5549" i="23"/>
  <c r="A6521" i="23"/>
  <c r="A6899" i="23"/>
  <c r="A7007" i="23"/>
  <c r="A6737" i="23"/>
  <c r="A7169" i="23"/>
  <c r="A6170" i="23"/>
  <c r="A6224" i="23"/>
  <c r="A5306" i="23"/>
  <c r="A5252" i="23"/>
  <c r="A5684" i="23"/>
  <c r="A5522" i="23"/>
  <c r="A5657" i="23"/>
  <c r="A5279" i="23"/>
  <c r="A5495" i="23"/>
  <c r="A8222" i="23"/>
  <c r="A6413" i="23"/>
  <c r="A5333" i="23"/>
  <c r="A5603" i="23"/>
  <c r="A5765" i="23"/>
  <c r="A6116" i="23"/>
  <c r="A6008" i="23"/>
  <c r="A6656" i="23"/>
  <c r="A5711" i="23"/>
  <c r="A11481" i="23"/>
  <c r="A11589" i="23"/>
  <c r="A11751" i="23"/>
  <c r="A11373" i="23"/>
  <c r="A11454" i="23"/>
  <c r="A11562" i="23"/>
  <c r="A11400" i="23"/>
  <c r="A12237" i="23"/>
  <c r="A11832" i="23"/>
  <c r="A11535" i="23"/>
  <c r="A11508" i="23"/>
  <c r="A11616" i="23"/>
  <c r="A12102" i="23"/>
  <c r="A11724" i="23"/>
  <c r="A12183" i="23"/>
  <c r="A11319" i="23"/>
  <c r="A11994" i="23"/>
  <c r="A11697" i="23"/>
  <c r="A12210" i="23"/>
  <c r="A10455" i="23"/>
  <c r="A10563" i="23"/>
  <c r="A10725" i="23"/>
  <c r="A12021" i="23"/>
  <c r="A11886" i="23"/>
  <c r="A12264" i="23"/>
  <c r="A11967" i="23"/>
  <c r="A12156" i="23"/>
  <c r="A10428" i="23"/>
  <c r="A10536" i="23"/>
  <c r="A10374" i="23"/>
  <c r="A11211" i="23"/>
  <c r="A11913" i="23"/>
  <c r="A11427" i="23"/>
  <c r="A12075" i="23"/>
  <c r="A11670" i="23"/>
  <c r="A11940" i="23"/>
  <c r="A11805" i="23"/>
  <c r="A12048" i="23"/>
  <c r="A10401" i="23"/>
  <c r="A11643" i="23"/>
  <c r="A12129" i="23"/>
  <c r="A11859" i="23"/>
  <c r="A12291" i="23"/>
  <c r="A11292" i="23"/>
  <c r="A11346" i="23"/>
  <c r="A10482" i="23"/>
  <c r="A10590" i="23"/>
  <c r="A11076" i="23"/>
  <c r="A11778" i="23"/>
  <c r="A10752" i="23"/>
  <c r="A10698" i="23"/>
  <c r="A11157" i="23"/>
  <c r="A10293" i="23"/>
  <c r="A10968" i="23"/>
  <c r="A10671" i="23"/>
  <c r="A11184" i="23"/>
  <c r="A10617" i="23"/>
  <c r="A10509" i="23"/>
  <c r="A10347" i="23"/>
  <c r="A10887" i="23"/>
  <c r="A10860" i="23"/>
  <c r="A11238" i="23"/>
  <c r="A10941" i="23"/>
  <c r="A11130" i="23"/>
  <c r="A10995" i="23"/>
  <c r="A10806" i="23"/>
  <c r="A10266" i="23"/>
  <c r="A10779" i="23"/>
  <c r="A9429" i="23"/>
  <c r="A9537" i="23"/>
  <c r="A9699" i="23"/>
  <c r="A9321" i="23"/>
  <c r="A9861" i="23"/>
  <c r="A9834" i="23"/>
  <c r="A10212" i="23"/>
  <c r="A9915" i="23"/>
  <c r="A10104" i="23"/>
  <c r="A11103" i="23"/>
  <c r="A11049" i="23"/>
  <c r="A10320" i="23"/>
  <c r="A9402" i="23"/>
  <c r="A9510" i="23"/>
  <c r="A9348" i="23"/>
  <c r="A10185" i="23"/>
  <c r="A9780" i="23"/>
  <c r="A10023" i="23"/>
  <c r="A9618" i="23"/>
  <c r="A9888" i="23"/>
  <c r="A9753" i="23"/>
  <c r="A9996" i="23"/>
  <c r="A11265" i="23"/>
  <c r="A10914" i="23"/>
  <c r="A9456" i="23"/>
  <c r="A9564" i="23"/>
  <c r="A10050" i="23"/>
  <c r="A9672" i="23"/>
  <c r="A10131" i="23"/>
  <c r="A9267" i="23"/>
  <c r="A9942" i="23"/>
  <c r="A9645" i="23"/>
  <c r="A10158" i="23"/>
  <c r="A10077" i="23"/>
  <c r="A8403" i="23"/>
  <c r="A8511" i="23"/>
  <c r="A8673" i="23"/>
  <c r="A8295" i="23"/>
  <c r="A8835" i="23"/>
  <c r="A8808" i="23"/>
  <c r="A9186" i="23"/>
  <c r="A8889" i="23"/>
  <c r="A9078" i="23"/>
  <c r="A10644" i="23"/>
  <c r="A11022" i="23"/>
  <c r="A9969" i="23"/>
  <c r="A9726" i="23"/>
  <c r="A8376" i="23"/>
  <c r="A8484" i="23"/>
  <c r="A8322" i="23"/>
  <c r="A9159" i="23"/>
  <c r="A8754" i="23"/>
  <c r="A8997" i="23"/>
  <c r="A8592" i="23"/>
  <c r="A8862" i="23"/>
  <c r="A8727" i="23"/>
  <c r="A8970" i="23"/>
  <c r="A7323" i="23"/>
  <c r="A7431" i="23"/>
  <c r="A10833" i="23"/>
  <c r="A9591" i="23"/>
  <c r="A9483" i="23"/>
  <c r="A9294" i="23"/>
  <c r="A8349" i="23"/>
  <c r="A8457" i="23"/>
  <c r="A8565" i="23"/>
  <c r="A8700" i="23"/>
  <c r="A8943" i="23"/>
  <c r="A9051" i="23"/>
  <c r="A8781" i="23"/>
  <c r="A10239" i="23"/>
  <c r="A8430" i="23"/>
  <c r="A8538" i="23"/>
  <c r="A9024" i="23"/>
  <c r="A8646" i="23"/>
  <c r="A9105" i="23"/>
  <c r="A8241" i="23"/>
  <c r="A8916" i="23"/>
  <c r="A8619" i="23"/>
  <c r="A9132" i="23"/>
  <c r="A7377" i="23"/>
  <c r="A7485" i="23"/>
  <c r="A9807" i="23"/>
  <c r="A9213" i="23"/>
  <c r="A7539" i="23"/>
  <c r="A7674" i="23"/>
  <c r="A7917" i="23"/>
  <c r="A8025" i="23"/>
  <c r="A7755" i="23"/>
  <c r="A8187" i="23"/>
  <c r="A7188" i="23"/>
  <c r="A7242" i="23"/>
  <c r="A6378" i="23"/>
  <c r="A6486" i="23"/>
  <c r="A6972" i="23"/>
  <c r="A6594" i="23"/>
  <c r="A9375" i="23"/>
  <c r="A7350" i="23"/>
  <c r="A7512" i="23"/>
  <c r="A7998" i="23"/>
  <c r="A7620" i="23"/>
  <c r="A8079" i="23"/>
  <c r="A7215" i="23"/>
  <c r="A7890" i="23"/>
  <c r="A7593" i="23"/>
  <c r="A8106" i="23"/>
  <c r="A6351" i="23"/>
  <c r="A6459" i="23"/>
  <c r="A6621" i="23"/>
  <c r="A6243" i="23"/>
  <c r="A7404" i="23"/>
  <c r="A7458" i="23"/>
  <c r="A7647" i="23"/>
  <c r="A7269" i="23"/>
  <c r="A7809" i="23"/>
  <c r="A7782" i="23"/>
  <c r="A8160" i="23"/>
  <c r="A7863" i="23"/>
  <c r="A8052" i="23"/>
  <c r="A6324" i="23"/>
  <c r="A6432" i="23"/>
  <c r="A6270" i="23"/>
  <c r="A7107" i="23"/>
  <c r="A8268" i="23"/>
  <c r="A7296" i="23"/>
  <c r="A8133" i="23"/>
  <c r="A7728" i="23"/>
  <c r="A7971" i="23"/>
  <c r="A7566" i="23"/>
  <c r="A7836" i="23"/>
  <c r="A7701" i="23"/>
  <c r="A7944" i="23"/>
  <c r="A8214" i="23"/>
  <c r="A6513" i="23"/>
  <c r="A7053" i="23"/>
  <c r="A6189" i="23"/>
  <c r="A6864" i="23"/>
  <c r="A6567" i="23"/>
  <c r="A7080" i="23"/>
  <c r="A5352" i="23"/>
  <c r="A5946" i="23"/>
  <c r="A6027" i="23"/>
  <c r="A5838" i="23"/>
  <c r="A6054" i="23"/>
  <c r="A6405" i="23"/>
  <c r="A5379" i="23"/>
  <c r="A5622" i="23"/>
  <c r="A5973" i="23"/>
  <c r="A6135" i="23"/>
  <c r="A5190" i="23"/>
  <c r="A6297" i="23"/>
  <c r="A6783" i="23"/>
  <c r="A6756" i="23"/>
  <c r="A7134" i="23"/>
  <c r="A6837" i="23"/>
  <c r="A7026" i="23"/>
  <c r="A5406" i="23"/>
  <c r="A6081" i="23"/>
  <c r="A5919" i="23"/>
  <c r="A5784" i="23"/>
  <c r="A5433" i="23"/>
  <c r="A5217" i="23"/>
  <c r="A5730" i="23"/>
  <c r="A5811" i="23"/>
  <c r="A6702" i="23"/>
  <c r="A6945" i="23"/>
  <c r="A6540" i="23"/>
  <c r="A6810" i="23"/>
  <c r="A6675" i="23"/>
  <c r="A6918" i="23"/>
  <c r="A5460" i="23"/>
  <c r="A5568" i="23"/>
  <c r="A5163" i="23"/>
  <c r="A5541" i="23"/>
  <c r="A5487" i="23"/>
  <c r="A5703" i="23"/>
  <c r="A5136" i="23"/>
  <c r="A5892" i="23"/>
  <c r="A6891" i="23"/>
  <c r="A6999" i="23"/>
  <c r="A6729" i="23"/>
  <c r="A7161" i="23"/>
  <c r="A6162" i="23"/>
  <c r="A6216" i="23"/>
  <c r="A5298" i="23"/>
  <c r="A5244" i="23"/>
  <c r="A5676" i="23"/>
  <c r="A5514" i="23"/>
  <c r="A5649" i="23"/>
  <c r="A5865" i="23"/>
  <c r="A9240" i="23"/>
  <c r="A6648" i="23"/>
  <c r="A5325" i="23"/>
  <c r="A5595" i="23"/>
  <c r="A5757" i="23"/>
  <c r="A6108" i="23"/>
  <c r="A6000" i="23"/>
  <c r="A5271" i="23"/>
  <c r="Y28" i="37"/>
  <c r="Y28" i="35"/>
  <c r="Y28" i="32"/>
  <c r="Y28" i="34"/>
  <c r="Y28" i="33"/>
  <c r="Y28" i="36"/>
  <c r="Y28" i="30"/>
  <c r="Y28" i="29"/>
  <c r="Y28" i="31"/>
  <c r="Y28" i="28"/>
  <c r="Y28" i="27"/>
  <c r="Y28" i="26"/>
  <c r="Y28" i="25"/>
  <c r="Y20" i="37"/>
  <c r="Y20" i="36"/>
  <c r="Y20" i="35"/>
  <c r="Y20" i="32"/>
  <c r="Y20" i="34"/>
  <c r="Y20" i="33"/>
  <c r="Y20" i="30"/>
  <c r="Y20" i="31"/>
  <c r="Y20" i="29"/>
  <c r="Y20" i="28"/>
  <c r="Y20" i="27"/>
  <c r="Y20" i="26"/>
  <c r="Y20" i="25"/>
  <c r="Y12" i="35"/>
  <c r="Y12" i="36"/>
  <c r="Y12" i="37"/>
  <c r="Y12" i="33"/>
  <c r="Y12" i="32"/>
  <c r="Y12" i="34"/>
  <c r="Y12" i="31"/>
  <c r="Y12" i="30"/>
  <c r="Y12" i="29"/>
  <c r="Y12" i="28"/>
  <c r="Y12" i="27"/>
  <c r="Y12" i="26"/>
  <c r="Y12" i="25"/>
  <c r="A11519" i="23"/>
  <c r="A11627" i="23"/>
  <c r="A12113" i="23"/>
  <c r="A11735" i="23"/>
  <c r="A11492" i="23"/>
  <c r="A11600" i="23"/>
  <c r="A11762" i="23"/>
  <c r="A11384" i="23"/>
  <c r="A11924" i="23"/>
  <c r="A11438" i="23"/>
  <c r="A11465" i="23"/>
  <c r="A11573" i="23"/>
  <c r="A11546" i="23"/>
  <c r="A11654" i="23"/>
  <c r="A11789" i="23"/>
  <c r="A12032" i="23"/>
  <c r="A12140" i="23"/>
  <c r="A11870" i="23"/>
  <c r="A12302" i="23"/>
  <c r="A11303" i="23"/>
  <c r="A11357" i="23"/>
  <c r="A10493" i="23"/>
  <c r="A10601" i="23"/>
  <c r="A11087" i="23"/>
  <c r="A12248" i="23"/>
  <c r="A11411" i="23"/>
  <c r="A11843" i="23"/>
  <c r="A11330" i="23"/>
  <c r="A12005" i="23"/>
  <c r="A11708" i="23"/>
  <c r="A12221" i="23"/>
  <c r="A10466" i="23"/>
  <c r="A10574" i="23"/>
  <c r="A10736" i="23"/>
  <c r="A12194" i="23"/>
  <c r="A11897" i="23"/>
  <c r="A12275" i="23"/>
  <c r="A11978" i="23"/>
  <c r="A12167" i="23"/>
  <c r="A10439" i="23"/>
  <c r="A12086" i="23"/>
  <c r="A11681" i="23"/>
  <c r="A11951" i="23"/>
  <c r="A11816" i="23"/>
  <c r="A12059" i="23"/>
  <c r="A10412" i="23"/>
  <c r="A10520" i="23"/>
  <c r="A10628" i="23"/>
  <c r="A10763" i="23"/>
  <c r="A11006" i="23"/>
  <c r="A11114" i="23"/>
  <c r="A10844" i="23"/>
  <c r="A11276" i="23"/>
  <c r="A10277" i="23"/>
  <c r="A10331" i="23"/>
  <c r="A10709" i="23"/>
  <c r="A11168" i="23"/>
  <c r="A10304" i="23"/>
  <c r="A10979" i="23"/>
  <c r="A10682" i="23"/>
  <c r="A11195" i="23"/>
  <c r="A10385" i="23"/>
  <c r="A10358" i="23"/>
  <c r="A10817" i="23"/>
  <c r="A10898" i="23"/>
  <c r="A10790" i="23"/>
  <c r="A11141" i="23"/>
  <c r="A9467" i="23"/>
  <c r="A9575" i="23"/>
  <c r="A10061" i="23"/>
  <c r="A9683" i="23"/>
  <c r="A10142" i="23"/>
  <c r="A9278" i="23"/>
  <c r="A9953" i="23"/>
  <c r="A9656" i="23"/>
  <c r="A10169" i="23"/>
  <c r="A11060" i="23"/>
  <c r="A10871" i="23"/>
  <c r="A11033" i="23"/>
  <c r="A9440" i="23"/>
  <c r="A9548" i="23"/>
  <c r="A9710" i="23"/>
  <c r="A9332" i="23"/>
  <c r="A9872" i="23"/>
  <c r="A9845" i="23"/>
  <c r="A10223" i="23"/>
  <c r="A9926" i="23"/>
  <c r="A10115" i="23"/>
  <c r="A11222" i="23"/>
  <c r="A10925" i="23"/>
  <c r="A10952" i="23"/>
  <c r="A9386" i="23"/>
  <c r="A9494" i="23"/>
  <c r="A9602" i="23"/>
  <c r="A9737" i="23"/>
  <c r="A9980" i="23"/>
  <c r="A10088" i="23"/>
  <c r="A9818" i="23"/>
  <c r="A10250" i="23"/>
  <c r="A9251" i="23"/>
  <c r="A9305" i="23"/>
  <c r="A10547" i="23"/>
  <c r="A9521" i="23"/>
  <c r="A10007" i="23"/>
  <c r="A8441" i="23"/>
  <c r="A8549" i="23"/>
  <c r="A9035" i="23"/>
  <c r="A8657" i="23"/>
  <c r="A9116" i="23"/>
  <c r="A8252" i="23"/>
  <c r="A8927" i="23"/>
  <c r="A8630" i="23"/>
  <c r="A9143" i="23"/>
  <c r="A9413" i="23"/>
  <c r="A9764" i="23"/>
  <c r="A9899" i="23"/>
  <c r="A8414" i="23"/>
  <c r="A8522" i="23"/>
  <c r="A8684" i="23"/>
  <c r="A8306" i="23"/>
  <c r="A8846" i="23"/>
  <c r="A8819" i="23"/>
  <c r="A9197" i="23"/>
  <c r="A8900" i="23"/>
  <c r="A9089" i="23"/>
  <c r="A7361" i="23"/>
  <c r="A7469" i="23"/>
  <c r="A11249" i="23"/>
  <c r="A9629" i="23"/>
  <c r="A10034" i="23"/>
  <c r="A8387" i="23"/>
  <c r="A8495" i="23"/>
  <c r="A8333" i="23"/>
  <c r="A9170" i="23"/>
  <c r="A8765" i="23"/>
  <c r="A9008" i="23"/>
  <c r="A8603" i="23"/>
  <c r="A10196" i="23"/>
  <c r="A8360" i="23"/>
  <c r="A8468" i="23"/>
  <c r="A8576" i="23"/>
  <c r="A8711" i="23"/>
  <c r="A8954" i="23"/>
  <c r="A9062" i="23"/>
  <c r="A8792" i="23"/>
  <c r="A9224" i="23"/>
  <c r="A8225" i="23"/>
  <c r="A8279" i="23"/>
  <c r="A7415" i="23"/>
  <c r="A7523" i="23"/>
  <c r="A9359" i="23"/>
  <c r="A9791" i="23"/>
  <c r="A7307" i="23"/>
  <c r="A8144" i="23"/>
  <c r="A7739" i="23"/>
  <c r="A7982" i="23"/>
  <c r="A7577" i="23"/>
  <c r="A7847" i="23"/>
  <c r="A7712" i="23"/>
  <c r="A7955" i="23"/>
  <c r="A6308" i="23"/>
  <c r="A6416" i="23"/>
  <c r="A6524" i="23"/>
  <c r="A6659" i="23"/>
  <c r="A7334" i="23"/>
  <c r="A8981" i="23"/>
  <c r="A7388" i="23"/>
  <c r="A7550" i="23"/>
  <c r="A7685" i="23"/>
  <c r="A7928" i="23"/>
  <c r="A8036" i="23"/>
  <c r="A7766" i="23"/>
  <c r="A8198" i="23"/>
  <c r="A7199" i="23"/>
  <c r="A7253" i="23"/>
  <c r="A6389" i="23"/>
  <c r="A6497" i="23"/>
  <c r="A6983" i="23"/>
  <c r="A6605" i="23"/>
  <c r="A10655" i="23"/>
  <c r="A8738" i="23"/>
  <c r="A7442" i="23"/>
  <c r="A8873" i="23"/>
  <c r="A7496" i="23"/>
  <c r="A8009" i="23"/>
  <c r="A7631" i="23"/>
  <c r="A8090" i="23"/>
  <c r="A7226" i="23"/>
  <c r="A7901" i="23"/>
  <c r="A7604" i="23"/>
  <c r="A8117" i="23"/>
  <c r="A6362" i="23"/>
  <c r="A6470" i="23"/>
  <c r="A6632" i="23"/>
  <c r="A6254" i="23"/>
  <c r="A7658" i="23"/>
  <c r="A7280" i="23"/>
  <c r="A7820" i="23"/>
  <c r="A7793" i="23"/>
  <c r="A8171" i="23"/>
  <c r="A7874" i="23"/>
  <c r="A8063" i="23"/>
  <c r="A6902" i="23"/>
  <c r="A7010" i="23"/>
  <c r="A6740" i="23"/>
  <c r="A7172" i="23"/>
  <c r="A6173" i="23"/>
  <c r="A6227" i="23"/>
  <c r="A5309" i="23"/>
  <c r="A5255" i="23"/>
  <c r="A5687" i="23"/>
  <c r="A5525" i="23"/>
  <c r="A5660" i="23"/>
  <c r="A5336" i="23"/>
  <c r="A5606" i="23"/>
  <c r="A5768" i="23"/>
  <c r="A6119" i="23"/>
  <c r="A6011" i="23"/>
  <c r="A7064" i="23"/>
  <c r="A6200" i="23"/>
  <c r="A6875" i="23"/>
  <c r="A6578" i="23"/>
  <c r="A7091" i="23"/>
  <c r="A5363" i="23"/>
  <c r="A5957" i="23"/>
  <c r="A6038" i="23"/>
  <c r="A5849" i="23"/>
  <c r="A6065" i="23"/>
  <c r="A5903" i="23"/>
  <c r="A7118" i="23"/>
  <c r="A5390" i="23"/>
  <c r="A5633" i="23"/>
  <c r="A5984" i="23"/>
  <c r="A6146" i="23"/>
  <c r="A5201" i="23"/>
  <c r="A5444" i="23"/>
  <c r="A6281" i="23"/>
  <c r="A6794" i="23"/>
  <c r="A6767" i="23"/>
  <c r="A7145" i="23"/>
  <c r="A6848" i="23"/>
  <c r="A7037" i="23"/>
  <c r="A5417" i="23"/>
  <c r="A6092" i="23"/>
  <c r="A5930" i="23"/>
  <c r="A5795" i="23"/>
  <c r="A6443" i="23"/>
  <c r="A6335" i="23"/>
  <c r="A6713" i="23"/>
  <c r="A6956" i="23"/>
  <c r="A6551" i="23"/>
  <c r="A6821" i="23"/>
  <c r="A6686" i="23"/>
  <c r="A6929" i="23"/>
  <c r="A5471" i="23"/>
  <c r="A5579" i="23"/>
  <c r="A5174" i="23"/>
  <c r="A5552" i="23"/>
  <c r="A5228" i="23"/>
  <c r="A5741" i="23"/>
  <c r="A5822" i="23"/>
  <c r="A5282" i="23"/>
  <c r="A5498" i="23"/>
  <c r="A5876" i="23"/>
  <c r="A5714" i="23"/>
  <c r="A5147" i="23"/>
  <c r="A11531" i="23"/>
  <c r="A11639" i="23"/>
  <c r="A12125" i="23"/>
  <c r="A11747" i="23"/>
  <c r="A11504" i="23"/>
  <c r="A11612" i="23"/>
  <c r="A11774" i="23"/>
  <c r="A11396" i="23"/>
  <c r="A11936" i="23"/>
  <c r="A11585" i="23"/>
  <c r="A11477" i="23"/>
  <c r="A11558" i="23"/>
  <c r="A11666" i="23"/>
  <c r="A11801" i="23"/>
  <c r="A12044" i="23"/>
  <c r="A11855" i="23"/>
  <c r="A12152" i="23"/>
  <c r="A11882" i="23"/>
  <c r="A12314" i="23"/>
  <c r="A11315" i="23"/>
  <c r="A11369" i="23"/>
  <c r="A10505" i="23"/>
  <c r="A10613" i="23"/>
  <c r="A11099" i="23"/>
  <c r="A12206" i="23"/>
  <c r="A12260" i="23"/>
  <c r="A11342" i="23"/>
  <c r="A12017" i="23"/>
  <c r="A11720" i="23"/>
  <c r="A12233" i="23"/>
  <c r="A10478" i="23"/>
  <c r="A10586" i="23"/>
  <c r="A10748" i="23"/>
  <c r="A11423" i="23"/>
  <c r="A11909" i="23"/>
  <c r="A12287" i="23"/>
  <c r="A11990" i="23"/>
  <c r="A12179" i="23"/>
  <c r="A10451" i="23"/>
  <c r="A12098" i="23"/>
  <c r="A11693" i="23"/>
  <c r="A11963" i="23"/>
  <c r="A11828" i="23"/>
  <c r="A12071" i="23"/>
  <c r="A10424" i="23"/>
  <c r="A10532" i="23"/>
  <c r="A10640" i="23"/>
  <c r="A10775" i="23"/>
  <c r="A10559" i="23"/>
  <c r="A10370" i="23"/>
  <c r="A11018" i="23"/>
  <c r="A11126" i="23"/>
  <c r="A10856" i="23"/>
  <c r="A11288" i="23"/>
  <c r="A10289" i="23"/>
  <c r="A10343" i="23"/>
  <c r="A10721" i="23"/>
  <c r="A11180" i="23"/>
  <c r="A10316" i="23"/>
  <c r="A10991" i="23"/>
  <c r="A10694" i="23"/>
  <c r="A11207" i="23"/>
  <c r="A11450" i="23"/>
  <c r="A11234" i="23"/>
  <c r="A11072" i="23"/>
  <c r="A10883" i="23"/>
  <c r="A11045" i="23"/>
  <c r="A9479" i="23"/>
  <c r="A9587" i="23"/>
  <c r="A10073" i="23"/>
  <c r="A9695" i="23"/>
  <c r="A10154" i="23"/>
  <c r="A9290" i="23"/>
  <c r="A9965" i="23"/>
  <c r="A9668" i="23"/>
  <c r="A10181" i="23"/>
  <c r="A10667" i="23"/>
  <c r="A11261" i="23"/>
  <c r="A9452" i="23"/>
  <c r="A9560" i="23"/>
  <c r="A9722" i="23"/>
  <c r="A9344" i="23"/>
  <c r="A9884" i="23"/>
  <c r="A9857" i="23"/>
  <c r="A10235" i="23"/>
  <c r="A9938" i="23"/>
  <c r="A10127" i="23"/>
  <c r="A10829" i="23"/>
  <c r="A10910" i="23"/>
  <c r="A10802" i="23"/>
  <c r="A11153" i="23"/>
  <c r="A9398" i="23"/>
  <c r="A9506" i="23"/>
  <c r="A9614" i="23"/>
  <c r="A9749" i="23"/>
  <c r="A9992" i="23"/>
  <c r="A10100" i="23"/>
  <c r="A9830" i="23"/>
  <c r="A10262" i="23"/>
  <c r="A9263" i="23"/>
  <c r="A9317" i="23"/>
  <c r="A9371" i="23"/>
  <c r="A8453" i="23"/>
  <c r="A8561" i="23"/>
  <c r="A9047" i="23"/>
  <c r="A8669" i="23"/>
  <c r="A9128" i="23"/>
  <c r="A8264" i="23"/>
  <c r="A8939" i="23"/>
  <c r="A8642" i="23"/>
  <c r="A9155" i="23"/>
  <c r="A10937" i="23"/>
  <c r="A9533" i="23"/>
  <c r="A10019" i="23"/>
  <c r="A10397" i="23"/>
  <c r="A9425" i="23"/>
  <c r="A9776" i="23"/>
  <c r="A8426" i="23"/>
  <c r="A8534" i="23"/>
  <c r="A8696" i="23"/>
  <c r="A8318" i="23"/>
  <c r="A8858" i="23"/>
  <c r="A8831" i="23"/>
  <c r="A9209" i="23"/>
  <c r="A8912" i="23"/>
  <c r="A9101" i="23"/>
  <c r="A7373" i="23"/>
  <c r="A7481" i="23"/>
  <c r="A9911" i="23"/>
  <c r="A9641" i="23"/>
  <c r="A8399" i="23"/>
  <c r="A8507" i="23"/>
  <c r="A8345" i="23"/>
  <c r="A9182" i="23"/>
  <c r="A8777" i="23"/>
  <c r="A9020" i="23"/>
  <c r="A8615" i="23"/>
  <c r="A9803" i="23"/>
  <c r="A8372" i="23"/>
  <c r="A8480" i="23"/>
  <c r="A8588" i="23"/>
  <c r="A8723" i="23"/>
  <c r="A8966" i="23"/>
  <c r="A9074" i="23"/>
  <c r="A8804" i="23"/>
  <c r="A9236" i="23"/>
  <c r="A8237" i="23"/>
  <c r="A8291" i="23"/>
  <c r="A7427" i="23"/>
  <c r="A7535" i="23"/>
  <c r="A10964" i="23"/>
  <c r="A10208" i="23"/>
  <c r="A7400" i="23"/>
  <c r="A7319" i="23"/>
  <c r="A8156" i="23"/>
  <c r="A7751" i="23"/>
  <c r="A7994" i="23"/>
  <c r="A7589" i="23"/>
  <c r="A7859" i="23"/>
  <c r="A7724" i="23"/>
  <c r="A7967" i="23"/>
  <c r="A6320" i="23"/>
  <c r="A6428" i="23"/>
  <c r="A6536" i="23"/>
  <c r="A6671" i="23"/>
  <c r="A6914" i="23"/>
  <c r="A7454" i="23"/>
  <c r="A7508" i="23"/>
  <c r="A7562" i="23"/>
  <c r="A7697" i="23"/>
  <c r="A7940" i="23"/>
  <c r="A8048" i="23"/>
  <c r="A7778" i="23"/>
  <c r="A8210" i="23"/>
  <c r="A7211" i="23"/>
  <c r="A7265" i="23"/>
  <c r="A6401" i="23"/>
  <c r="A6509" i="23"/>
  <c r="A6995" i="23"/>
  <c r="A6617" i="23"/>
  <c r="A10046" i="23"/>
  <c r="A8993" i="23"/>
  <c r="A8750" i="23"/>
  <c r="A8021" i="23"/>
  <c r="A7643" i="23"/>
  <c r="A8102" i="23"/>
  <c r="A7238" i="23"/>
  <c r="A7913" i="23"/>
  <c r="A7616" i="23"/>
  <c r="A8129" i="23"/>
  <c r="A6374" i="23"/>
  <c r="A6482" i="23"/>
  <c r="A6644" i="23"/>
  <c r="A6266" i="23"/>
  <c r="A7670" i="23"/>
  <c r="A7292" i="23"/>
  <c r="A7832" i="23"/>
  <c r="A7805" i="23"/>
  <c r="A8183" i="23"/>
  <c r="A7886" i="23"/>
  <c r="A8075" i="23"/>
  <c r="A7346" i="23"/>
  <c r="A7022" i="23"/>
  <c r="A6752" i="23"/>
  <c r="A7184" i="23"/>
  <c r="A6185" i="23"/>
  <c r="A6239" i="23"/>
  <c r="A5321" i="23"/>
  <c r="A5267" i="23"/>
  <c r="A5699" i="23"/>
  <c r="A5537" i="23"/>
  <c r="A5672" i="23"/>
  <c r="A5456" i="23"/>
  <c r="A5348" i="23"/>
  <c r="A5618" i="23"/>
  <c r="A5780" i="23"/>
  <c r="A6131" i="23"/>
  <c r="A6023" i="23"/>
  <c r="A7076" i="23"/>
  <c r="A6212" i="23"/>
  <c r="A6887" i="23"/>
  <c r="A6590" i="23"/>
  <c r="A7103" i="23"/>
  <c r="A5375" i="23"/>
  <c r="A5969" i="23"/>
  <c r="A6050" i="23"/>
  <c r="A5861" i="23"/>
  <c r="A6077" i="23"/>
  <c r="A5753" i="23"/>
  <c r="A5402" i="23"/>
  <c r="A5645" i="23"/>
  <c r="A5996" i="23"/>
  <c r="A6158" i="23"/>
  <c r="A5213" i="23"/>
  <c r="A8885" i="23"/>
  <c r="A7130" i="23"/>
  <c r="A6806" i="23"/>
  <c r="A6779" i="23"/>
  <c r="A7157" i="23"/>
  <c r="A6860" i="23"/>
  <c r="A7049" i="23"/>
  <c r="A5429" i="23"/>
  <c r="A6104" i="23"/>
  <c r="A5942" i="23"/>
  <c r="A5807" i="23"/>
  <c r="A6293" i="23"/>
  <c r="A5240" i="23"/>
  <c r="A5834" i="23"/>
  <c r="A6455" i="23"/>
  <c r="A6725" i="23"/>
  <c r="A6968" i="23"/>
  <c r="A6563" i="23"/>
  <c r="A6833" i="23"/>
  <c r="A6698" i="23"/>
  <c r="A6941" i="23"/>
  <c r="A5483" i="23"/>
  <c r="A5591" i="23"/>
  <c r="A5186" i="23"/>
  <c r="A5564" i="23"/>
  <c r="A5915" i="23"/>
  <c r="A6347" i="23"/>
  <c r="A5294" i="23"/>
  <c r="A5510" i="23"/>
  <c r="A5888" i="23"/>
  <c r="A5726" i="23"/>
  <c r="A5159" i="23"/>
  <c r="A11523" i="23"/>
  <c r="A11631" i="23"/>
  <c r="A12117" i="23"/>
  <c r="A11739" i="23"/>
  <c r="A11496" i="23"/>
  <c r="A11604" i="23"/>
  <c r="A11766" i="23"/>
  <c r="A11388" i="23"/>
  <c r="A11928" i="23"/>
  <c r="A11469" i="23"/>
  <c r="A11577" i="23"/>
  <c r="A11550" i="23"/>
  <c r="A11658" i="23"/>
  <c r="A11793" i="23"/>
  <c r="A12036" i="23"/>
  <c r="A12144" i="23"/>
  <c r="A11874" i="23"/>
  <c r="A12306" i="23"/>
  <c r="A11307" i="23"/>
  <c r="A11361" i="23"/>
  <c r="A10497" i="23"/>
  <c r="A10605" i="23"/>
  <c r="A11091" i="23"/>
  <c r="A11442" i="23"/>
  <c r="A11334" i="23"/>
  <c r="A12009" i="23"/>
  <c r="A11712" i="23"/>
  <c r="A12225" i="23"/>
  <c r="A10470" i="23"/>
  <c r="A10578" i="23"/>
  <c r="A10740" i="23"/>
  <c r="A12252" i="23"/>
  <c r="A11847" i="23"/>
  <c r="A11901" i="23"/>
  <c r="A12279" i="23"/>
  <c r="A11982" i="23"/>
  <c r="A12171" i="23"/>
  <c r="A10443" i="23"/>
  <c r="A12090" i="23"/>
  <c r="A11685" i="23"/>
  <c r="A11955" i="23"/>
  <c r="A11820" i="23"/>
  <c r="A12063" i="23"/>
  <c r="A10416" i="23"/>
  <c r="A10524" i="23"/>
  <c r="A10632" i="23"/>
  <c r="A10767" i="23"/>
  <c r="A12198" i="23"/>
  <c r="A11226" i="23"/>
  <c r="A10389" i="23"/>
  <c r="A11010" i="23"/>
  <c r="A11118" i="23"/>
  <c r="A10848" i="23"/>
  <c r="A11280" i="23"/>
  <c r="A10281" i="23"/>
  <c r="A10335" i="23"/>
  <c r="A10551" i="23"/>
  <c r="A11415" i="23"/>
  <c r="A10713" i="23"/>
  <c r="A11172" i="23"/>
  <c r="A10308" i="23"/>
  <c r="A10983" i="23"/>
  <c r="A10686" i="23"/>
  <c r="A11199" i="23"/>
  <c r="A10929" i="23"/>
  <c r="A10956" i="23"/>
  <c r="A9471" i="23"/>
  <c r="A9579" i="23"/>
  <c r="A10065" i="23"/>
  <c r="A9687" i="23"/>
  <c r="A10146" i="23"/>
  <c r="A9282" i="23"/>
  <c r="A9957" i="23"/>
  <c r="A9660" i="23"/>
  <c r="A10173" i="23"/>
  <c r="A10821" i="23"/>
  <c r="A10902" i="23"/>
  <c r="A10794" i="23"/>
  <c r="A11145" i="23"/>
  <c r="A9444" i="23"/>
  <c r="A9552" i="23"/>
  <c r="A9714" i="23"/>
  <c r="A9336" i="23"/>
  <c r="A9876" i="23"/>
  <c r="A9849" i="23"/>
  <c r="A10227" i="23"/>
  <c r="A9930" i="23"/>
  <c r="A10119" i="23"/>
  <c r="A10362" i="23"/>
  <c r="A10659" i="23"/>
  <c r="A11253" i="23"/>
  <c r="A9390" i="23"/>
  <c r="A9498" i="23"/>
  <c r="A9606" i="23"/>
  <c r="A9741" i="23"/>
  <c r="A9984" i="23"/>
  <c r="A10092" i="23"/>
  <c r="A9822" i="23"/>
  <c r="A10254" i="23"/>
  <c r="A9255" i="23"/>
  <c r="A9309" i="23"/>
  <c r="A9795" i="23"/>
  <c r="A8445" i="23"/>
  <c r="A8553" i="23"/>
  <c r="A9039" i="23"/>
  <c r="A8661" i="23"/>
  <c r="A9120" i="23"/>
  <c r="A8256" i="23"/>
  <c r="A8931" i="23"/>
  <c r="A8634" i="23"/>
  <c r="A9147" i="23"/>
  <c r="A10200" i="23"/>
  <c r="A9363" i="23"/>
  <c r="A8418" i="23"/>
  <c r="A8526" i="23"/>
  <c r="A8688" i="23"/>
  <c r="A8310" i="23"/>
  <c r="A8850" i="23"/>
  <c r="A8823" i="23"/>
  <c r="A9201" i="23"/>
  <c r="A8904" i="23"/>
  <c r="A9093" i="23"/>
  <c r="A7365" i="23"/>
  <c r="A7473" i="23"/>
  <c r="A9525" i="23"/>
  <c r="A10011" i="23"/>
  <c r="A9417" i="23"/>
  <c r="A9768" i="23"/>
  <c r="A8391" i="23"/>
  <c r="A8499" i="23"/>
  <c r="A8337" i="23"/>
  <c r="A9174" i="23"/>
  <c r="A8769" i="23"/>
  <c r="A9012" i="23"/>
  <c r="A8607" i="23"/>
  <c r="A9633" i="23"/>
  <c r="A8364" i="23"/>
  <c r="A8472" i="23"/>
  <c r="A8580" i="23"/>
  <c r="A8715" i="23"/>
  <c r="A8958" i="23"/>
  <c r="A9066" i="23"/>
  <c r="A8796" i="23"/>
  <c r="A9228" i="23"/>
  <c r="A8229" i="23"/>
  <c r="A8283" i="23"/>
  <c r="A7419" i="23"/>
  <c r="A7527" i="23"/>
  <c r="A11064" i="23"/>
  <c r="A10038" i="23"/>
  <c r="A7311" i="23"/>
  <c r="A8148" i="23"/>
  <c r="A7743" i="23"/>
  <c r="A7986" i="23"/>
  <c r="A7581" i="23"/>
  <c r="A7851" i="23"/>
  <c r="A7716" i="23"/>
  <c r="A7959" i="23"/>
  <c r="A6312" i="23"/>
  <c r="A6420" i="23"/>
  <c r="A6528" i="23"/>
  <c r="A6663" i="23"/>
  <c r="A6906" i="23"/>
  <c r="A9903" i="23"/>
  <c r="A7554" i="23"/>
  <c r="A7689" i="23"/>
  <c r="A7932" i="23"/>
  <c r="A8040" i="23"/>
  <c r="A7770" i="23"/>
  <c r="A8202" i="23"/>
  <c r="A7203" i="23"/>
  <c r="A7257" i="23"/>
  <c r="A6393" i="23"/>
  <c r="A6501" i="23"/>
  <c r="A6987" i="23"/>
  <c r="A6609" i="23"/>
  <c r="A10875" i="23"/>
  <c r="A7338" i="23"/>
  <c r="A7392" i="23"/>
  <c r="A8013" i="23"/>
  <c r="A7635" i="23"/>
  <c r="A8094" i="23"/>
  <c r="A7230" i="23"/>
  <c r="A7905" i="23"/>
  <c r="A7608" i="23"/>
  <c r="A8121" i="23"/>
  <c r="A6366" i="23"/>
  <c r="A6474" i="23"/>
  <c r="A6636" i="23"/>
  <c r="A6258" i="23"/>
  <c r="A8742" i="23"/>
  <c r="A7500" i="23"/>
  <c r="A7662" i="23"/>
  <c r="A7284" i="23"/>
  <c r="A7824" i="23"/>
  <c r="A7797" i="23"/>
  <c r="A8175" i="23"/>
  <c r="A7878" i="23"/>
  <c r="A8067" i="23"/>
  <c r="A8877" i="23"/>
  <c r="A6447" i="23"/>
  <c r="A7014" i="23"/>
  <c r="A6744" i="23"/>
  <c r="A7176" i="23"/>
  <c r="A6177" i="23"/>
  <c r="A6231" i="23"/>
  <c r="A5313" i="23"/>
  <c r="A5259" i="23"/>
  <c r="A5691" i="23"/>
  <c r="A5529" i="23"/>
  <c r="A5664" i="23"/>
  <c r="A6339" i="23"/>
  <c r="A5340" i="23"/>
  <c r="A5610" i="23"/>
  <c r="A5772" i="23"/>
  <c r="A6123" i="23"/>
  <c r="A6015" i="23"/>
  <c r="A5826" i="23"/>
  <c r="A7068" i="23"/>
  <c r="A6204" i="23"/>
  <c r="A6879" i="23"/>
  <c r="A6582" i="23"/>
  <c r="A7095" i="23"/>
  <c r="A5367" i="23"/>
  <c r="A5961" i="23"/>
  <c r="A6042" i="23"/>
  <c r="A5853" i="23"/>
  <c r="A6069" i="23"/>
  <c r="A5232" i="23"/>
  <c r="A8985" i="23"/>
  <c r="A5394" i="23"/>
  <c r="A5637" i="23"/>
  <c r="A5988" i="23"/>
  <c r="A6150" i="23"/>
  <c r="A5205" i="23"/>
  <c r="A7446" i="23"/>
  <c r="A6798" i="23"/>
  <c r="A6771" i="23"/>
  <c r="A7149" i="23"/>
  <c r="A6852" i="23"/>
  <c r="A7041" i="23"/>
  <c r="A5421" i="23"/>
  <c r="A6096" i="23"/>
  <c r="A5934" i="23"/>
  <c r="A5799" i="23"/>
  <c r="A5745" i="23"/>
  <c r="A7122" i="23"/>
  <c r="A6717" i="23"/>
  <c r="A6960" i="23"/>
  <c r="A6555" i="23"/>
  <c r="A6825" i="23"/>
  <c r="A6690" i="23"/>
  <c r="A6933" i="23"/>
  <c r="A5475" i="23"/>
  <c r="A5583" i="23"/>
  <c r="A5178" i="23"/>
  <c r="A5556" i="23"/>
  <c r="A5907" i="23"/>
  <c r="A11037" i="23"/>
  <c r="A6285" i="23"/>
  <c r="A5286" i="23"/>
  <c r="A5502" i="23"/>
  <c r="A5880" i="23"/>
  <c r="A5718" i="23"/>
  <c r="A5151" i="23"/>
  <c r="A5448" i="23"/>
  <c r="A11515" i="23"/>
  <c r="A11623" i="23"/>
  <c r="A12109" i="23"/>
  <c r="A11731" i="23"/>
  <c r="A11488" i="23"/>
  <c r="A11596" i="23"/>
  <c r="A11758" i="23"/>
  <c r="A11380" i="23"/>
  <c r="A11920" i="23"/>
  <c r="A11461" i="23"/>
  <c r="A11569" i="23"/>
  <c r="A11542" i="23"/>
  <c r="A11650" i="23"/>
  <c r="A11785" i="23"/>
  <c r="A12028" i="23"/>
  <c r="A11839" i="23"/>
  <c r="A12136" i="23"/>
  <c r="A11866" i="23"/>
  <c r="A12298" i="23"/>
  <c r="A11299" i="23"/>
  <c r="A11353" i="23"/>
  <c r="A10489" i="23"/>
  <c r="A10597" i="23"/>
  <c r="A11083" i="23"/>
  <c r="A12190" i="23"/>
  <c r="A11326" i="23"/>
  <c r="A12001" i="23"/>
  <c r="A11704" i="23"/>
  <c r="A12217" i="23"/>
  <c r="A10462" i="23"/>
  <c r="A10570" i="23"/>
  <c r="A10732" i="23"/>
  <c r="A11434" i="23"/>
  <c r="A11893" i="23"/>
  <c r="A12271" i="23"/>
  <c r="A11974" i="23"/>
  <c r="A12163" i="23"/>
  <c r="A10435" i="23"/>
  <c r="A12244" i="23"/>
  <c r="A12082" i="23"/>
  <c r="A11677" i="23"/>
  <c r="A11947" i="23"/>
  <c r="A11812" i="23"/>
  <c r="A12055" i="23"/>
  <c r="A10408" i="23"/>
  <c r="A10516" i="23"/>
  <c r="A10624" i="23"/>
  <c r="A10759" i="23"/>
  <c r="A11002" i="23"/>
  <c r="A11110" i="23"/>
  <c r="A10840" i="23"/>
  <c r="A11272" i="23"/>
  <c r="A10273" i="23"/>
  <c r="A10327" i="23"/>
  <c r="A10381" i="23"/>
  <c r="A10705" i="23"/>
  <c r="A11164" i="23"/>
  <c r="A10300" i="23"/>
  <c r="A10975" i="23"/>
  <c r="A10678" i="23"/>
  <c r="A11191" i="23"/>
  <c r="A11407" i="23"/>
  <c r="A10543" i="23"/>
  <c r="A11056" i="23"/>
  <c r="A10867" i="23"/>
  <c r="A9463" i="23"/>
  <c r="A9571" i="23"/>
  <c r="A10057" i="23"/>
  <c r="A9679" i="23"/>
  <c r="A10138" i="23"/>
  <c r="A9274" i="23"/>
  <c r="A9949" i="23"/>
  <c r="A9652" i="23"/>
  <c r="A10165" i="23"/>
  <c r="A10651" i="23"/>
  <c r="A11245" i="23"/>
  <c r="A9436" i="23"/>
  <c r="A9544" i="23"/>
  <c r="A9706" i="23"/>
  <c r="A9328" i="23"/>
  <c r="A9868" i="23"/>
  <c r="A9841" i="23"/>
  <c r="A10219" i="23"/>
  <c r="A9922" i="23"/>
  <c r="A10111" i="23"/>
  <c r="A11218" i="23"/>
  <c r="A10354" i="23"/>
  <c r="A10813" i="23"/>
  <c r="A10894" i="23"/>
  <c r="A10786" i="23"/>
  <c r="A11137" i="23"/>
  <c r="A9382" i="23"/>
  <c r="A9490" i="23"/>
  <c r="A9598" i="23"/>
  <c r="A9733" i="23"/>
  <c r="A9976" i="23"/>
  <c r="A10084" i="23"/>
  <c r="A9814" i="23"/>
  <c r="A10246" i="23"/>
  <c r="A9247" i="23"/>
  <c r="A9301" i="23"/>
  <c r="A11029" i="23"/>
  <c r="A9625" i="23"/>
  <c r="A8437" i="23"/>
  <c r="A8545" i="23"/>
  <c r="A9031" i="23"/>
  <c r="A8653" i="23"/>
  <c r="A9112" i="23"/>
  <c r="A8248" i="23"/>
  <c r="A8923" i="23"/>
  <c r="A8626" i="23"/>
  <c r="A9139" i="23"/>
  <c r="A10948" i="23"/>
  <c r="A10030" i="23"/>
  <c r="A9787" i="23"/>
  <c r="A8410" i="23"/>
  <c r="A8518" i="23"/>
  <c r="A8680" i="23"/>
  <c r="A8302" i="23"/>
  <c r="A8842" i="23"/>
  <c r="A8815" i="23"/>
  <c r="A9193" i="23"/>
  <c r="A8896" i="23"/>
  <c r="A9085" i="23"/>
  <c r="A7357" i="23"/>
  <c r="A7465" i="23"/>
  <c r="A10921" i="23"/>
  <c r="A10192" i="23"/>
  <c r="A9355" i="23"/>
  <c r="A8383" i="23"/>
  <c r="A8491" i="23"/>
  <c r="A8329" i="23"/>
  <c r="A9166" i="23"/>
  <c r="A8761" i="23"/>
  <c r="A9004" i="23"/>
  <c r="A8599" i="23"/>
  <c r="A9409" i="23"/>
  <c r="A9760" i="23"/>
  <c r="A8356" i="23"/>
  <c r="A8464" i="23"/>
  <c r="A8572" i="23"/>
  <c r="A8707" i="23"/>
  <c r="A8950" i="23"/>
  <c r="A9058" i="23"/>
  <c r="A8788" i="23"/>
  <c r="A9220" i="23"/>
  <c r="A8221" i="23"/>
  <c r="A8275" i="23"/>
  <c r="A7411" i="23"/>
  <c r="A9895" i="23"/>
  <c r="A8734" i="23"/>
  <c r="A7384" i="23"/>
  <c r="A7303" i="23"/>
  <c r="A8140" i="23"/>
  <c r="A7735" i="23"/>
  <c r="A7978" i="23"/>
  <c r="A7573" i="23"/>
  <c r="A7843" i="23"/>
  <c r="A7708" i="23"/>
  <c r="A7951" i="23"/>
  <c r="A6304" i="23"/>
  <c r="A6412" i="23"/>
  <c r="A6520" i="23"/>
  <c r="A6655" i="23"/>
  <c r="A10003" i="23"/>
  <c r="A8869" i="23"/>
  <c r="A7438" i="23"/>
  <c r="A7492" i="23"/>
  <c r="A7546" i="23"/>
  <c r="A7681" i="23"/>
  <c r="A7924" i="23"/>
  <c r="A8032" i="23"/>
  <c r="A7762" i="23"/>
  <c r="A8194" i="23"/>
  <c r="A7195" i="23"/>
  <c r="A7249" i="23"/>
  <c r="A6385" i="23"/>
  <c r="A6493" i="23"/>
  <c r="A6979" i="23"/>
  <c r="A6601" i="23"/>
  <c r="A7519" i="23"/>
  <c r="A8005" i="23"/>
  <c r="A7627" i="23"/>
  <c r="A8086" i="23"/>
  <c r="A7222" i="23"/>
  <c r="A7897" i="23"/>
  <c r="A7600" i="23"/>
  <c r="A8113" i="23"/>
  <c r="A6358" i="23"/>
  <c r="A6466" i="23"/>
  <c r="A6628" i="23"/>
  <c r="A6250" i="23"/>
  <c r="A9517" i="23"/>
  <c r="A7654" i="23"/>
  <c r="A7276" i="23"/>
  <c r="A7816" i="23"/>
  <c r="A7789" i="23"/>
  <c r="A8167" i="23"/>
  <c r="A7870" i="23"/>
  <c r="A8059" i="23"/>
  <c r="A8977" i="23"/>
  <c r="A7330" i="23"/>
  <c r="A7114" i="23"/>
  <c r="A6898" i="23"/>
  <c r="A7006" i="23"/>
  <c r="A6736" i="23"/>
  <c r="A7168" i="23"/>
  <c r="A6169" i="23"/>
  <c r="A6223" i="23"/>
  <c r="A5305" i="23"/>
  <c r="A5251" i="23"/>
  <c r="A5683" i="23"/>
  <c r="A5521" i="23"/>
  <c r="A5656" i="23"/>
  <c r="A6277" i="23"/>
  <c r="A5332" i="23"/>
  <c r="A5602" i="23"/>
  <c r="A5764" i="23"/>
  <c r="A6115" i="23"/>
  <c r="A6007" i="23"/>
  <c r="A6439" i="23"/>
  <c r="A7060" i="23"/>
  <c r="A6196" i="23"/>
  <c r="A6871" i="23"/>
  <c r="A6574" i="23"/>
  <c r="A7087" i="23"/>
  <c r="A5359" i="23"/>
  <c r="A5953" i="23"/>
  <c r="A6034" i="23"/>
  <c r="A5845" i="23"/>
  <c r="A6061" i="23"/>
  <c r="A5440" i="23"/>
  <c r="A5818" i="23"/>
  <c r="A6331" i="23"/>
  <c r="A5386" i="23"/>
  <c r="A5629" i="23"/>
  <c r="A5980" i="23"/>
  <c r="A6142" i="23"/>
  <c r="A5197" i="23"/>
  <c r="A5224" i="23"/>
  <c r="A6790" i="23"/>
  <c r="A6763" i="23"/>
  <c r="A7141" i="23"/>
  <c r="A6844" i="23"/>
  <c r="A7033" i="23"/>
  <c r="A5413" i="23"/>
  <c r="A6088" i="23"/>
  <c r="A5926" i="23"/>
  <c r="A5791" i="23"/>
  <c r="A6709" i="23"/>
  <c r="A6952" i="23"/>
  <c r="A6547" i="23"/>
  <c r="A6817" i="23"/>
  <c r="A6682" i="23"/>
  <c r="A6925" i="23"/>
  <c r="A5467" i="23"/>
  <c r="A5575" i="23"/>
  <c r="A5170" i="23"/>
  <c r="A5548" i="23"/>
  <c r="A5899" i="23"/>
  <c r="A5278" i="23"/>
  <c r="A5494" i="23"/>
  <c r="A5872" i="23"/>
  <c r="A5710" i="23"/>
  <c r="A5143" i="23"/>
  <c r="A5737" i="23"/>
  <c r="A11507" i="23"/>
  <c r="A11615" i="23"/>
  <c r="A12101" i="23"/>
  <c r="A11723" i="23"/>
  <c r="A11426" i="23"/>
  <c r="A11480" i="23"/>
  <c r="A11588" i="23"/>
  <c r="A11750" i="23"/>
  <c r="A11372" i="23"/>
  <c r="A11912" i="23"/>
  <c r="A11453" i="23"/>
  <c r="A11561" i="23"/>
  <c r="A11534" i="23"/>
  <c r="A11642" i="23"/>
  <c r="A11777" i="23"/>
  <c r="A12020" i="23"/>
  <c r="A12236" i="23"/>
  <c r="A12128" i="23"/>
  <c r="A11858" i="23"/>
  <c r="A12290" i="23"/>
  <c r="A11291" i="23"/>
  <c r="A11345" i="23"/>
  <c r="A10481" i="23"/>
  <c r="A10589" i="23"/>
  <c r="A11075" i="23"/>
  <c r="A11399" i="23"/>
  <c r="A12182" i="23"/>
  <c r="A11318" i="23"/>
  <c r="A11993" i="23"/>
  <c r="A11696" i="23"/>
  <c r="A12209" i="23"/>
  <c r="A10454" i="23"/>
  <c r="A10562" i="23"/>
  <c r="A10724" i="23"/>
  <c r="A11831" i="23"/>
  <c r="A11885" i="23"/>
  <c r="A12263" i="23"/>
  <c r="A11966" i="23"/>
  <c r="A12155" i="23"/>
  <c r="A10427" i="23"/>
  <c r="A12074" i="23"/>
  <c r="A11669" i="23"/>
  <c r="A11939" i="23"/>
  <c r="A11804" i="23"/>
  <c r="A12047" i="23"/>
  <c r="A10400" i="23"/>
  <c r="A10508" i="23"/>
  <c r="A10616" i="23"/>
  <c r="A10751" i="23"/>
  <c r="A10994" i="23"/>
  <c r="A11102" i="23"/>
  <c r="A10832" i="23"/>
  <c r="A11264" i="23"/>
  <c r="A10265" i="23"/>
  <c r="A10319" i="23"/>
  <c r="A10697" i="23"/>
  <c r="A11156" i="23"/>
  <c r="A10292" i="23"/>
  <c r="A10967" i="23"/>
  <c r="A10670" i="23"/>
  <c r="A11183" i="23"/>
  <c r="A11210" i="23"/>
  <c r="A10535" i="23"/>
  <c r="A10346" i="23"/>
  <c r="A10913" i="23"/>
  <c r="A10940" i="23"/>
  <c r="A9455" i="23"/>
  <c r="A9563" i="23"/>
  <c r="A10049" i="23"/>
  <c r="A9671" i="23"/>
  <c r="A10130" i="23"/>
  <c r="A9266" i="23"/>
  <c r="A9941" i="23"/>
  <c r="A9644" i="23"/>
  <c r="A10157" i="23"/>
  <c r="A10805" i="23"/>
  <c r="A10886" i="23"/>
  <c r="A10778" i="23"/>
  <c r="A11129" i="23"/>
  <c r="A9428" i="23"/>
  <c r="A9536" i="23"/>
  <c r="A9698" i="23"/>
  <c r="A9320" i="23"/>
  <c r="A9860" i="23"/>
  <c r="A9833" i="23"/>
  <c r="A10211" i="23"/>
  <c r="A9914" i="23"/>
  <c r="A10103" i="23"/>
  <c r="A10373" i="23"/>
  <c r="A10643" i="23"/>
  <c r="A11237" i="23"/>
  <c r="A9374" i="23"/>
  <c r="A9482" i="23"/>
  <c r="A9590" i="23"/>
  <c r="A9725" i="23"/>
  <c r="A9968" i="23"/>
  <c r="A10076" i="23"/>
  <c r="A9806" i="23"/>
  <c r="A10238" i="23"/>
  <c r="A9239" i="23"/>
  <c r="A9293" i="23"/>
  <c r="A9401" i="23"/>
  <c r="A9752" i="23"/>
  <c r="A8429" i="23"/>
  <c r="A8537" i="23"/>
  <c r="A9023" i="23"/>
  <c r="A8645" i="23"/>
  <c r="A9104" i="23"/>
  <c r="A8240" i="23"/>
  <c r="A8915" i="23"/>
  <c r="A8618" i="23"/>
  <c r="A9131" i="23"/>
  <c r="A11048" i="23"/>
  <c r="A9887" i="23"/>
  <c r="A9617" i="23"/>
  <c r="A8402" i="23"/>
  <c r="A8510" i="23"/>
  <c r="A8672" i="23"/>
  <c r="A8294" i="23"/>
  <c r="A8834" i="23"/>
  <c r="A8807" i="23"/>
  <c r="A9185" i="23"/>
  <c r="A8888" i="23"/>
  <c r="A9077" i="23"/>
  <c r="A7349" i="23"/>
  <c r="A7457" i="23"/>
  <c r="A11021" i="23"/>
  <c r="A10022" i="23"/>
  <c r="A9779" i="23"/>
  <c r="A8375" i="23"/>
  <c r="A8483" i="23"/>
  <c r="A8321" i="23"/>
  <c r="A9158" i="23"/>
  <c r="A8753" i="23"/>
  <c r="A8996" i="23"/>
  <c r="A8591" i="23"/>
  <c r="A9347" i="23"/>
  <c r="A8348" i="23"/>
  <c r="A8456" i="23"/>
  <c r="A8564" i="23"/>
  <c r="A8699" i="23"/>
  <c r="A8942" i="23"/>
  <c r="A9050" i="23"/>
  <c r="A8780" i="23"/>
  <c r="A9212" i="23"/>
  <c r="A8213" i="23"/>
  <c r="A8267" i="23"/>
  <c r="A7403" i="23"/>
  <c r="A10859" i="23"/>
  <c r="A9509" i="23"/>
  <c r="A9995" i="23"/>
  <c r="A7295" i="23"/>
  <c r="A8132" i="23"/>
  <c r="A7727" i="23"/>
  <c r="A7970" i="23"/>
  <c r="A7565" i="23"/>
  <c r="A7835" i="23"/>
  <c r="A7700" i="23"/>
  <c r="A7943" i="23"/>
  <c r="A6296" i="23"/>
  <c r="A6404" i="23"/>
  <c r="A6512" i="23"/>
  <c r="A6647" i="23"/>
  <c r="A8969" i="23"/>
  <c r="A8726" i="23"/>
  <c r="A7538" i="23"/>
  <c r="A7673" i="23"/>
  <c r="A7916" i="23"/>
  <c r="A8024" i="23"/>
  <c r="A7754" i="23"/>
  <c r="A8186" i="23"/>
  <c r="A7187" i="23"/>
  <c r="A7241" i="23"/>
  <c r="A6377" i="23"/>
  <c r="A6485" i="23"/>
  <c r="A6971" i="23"/>
  <c r="A6593" i="23"/>
  <c r="A8861" i="23"/>
  <c r="A7322" i="23"/>
  <c r="A7376" i="23"/>
  <c r="A7511" i="23"/>
  <c r="A7997" i="23"/>
  <c r="A7619" i="23"/>
  <c r="A8078" i="23"/>
  <c r="A7214" i="23"/>
  <c r="A7889" i="23"/>
  <c r="A7592" i="23"/>
  <c r="A8105" i="23"/>
  <c r="A6350" i="23"/>
  <c r="A6458" i="23"/>
  <c r="A6620" i="23"/>
  <c r="A6242" i="23"/>
  <c r="A7484" i="23"/>
  <c r="A7646" i="23"/>
  <c r="A7268" i="23"/>
  <c r="A7808" i="23"/>
  <c r="A7781" i="23"/>
  <c r="A8159" i="23"/>
  <c r="A7862" i="23"/>
  <c r="A8051" i="23"/>
  <c r="A6890" i="23"/>
  <c r="A6998" i="23"/>
  <c r="A6728" i="23"/>
  <c r="A7160" i="23"/>
  <c r="A6161" i="23"/>
  <c r="A6215" i="23"/>
  <c r="A5297" i="23"/>
  <c r="A5243" i="23"/>
  <c r="A5675" i="23"/>
  <c r="A5513" i="23"/>
  <c r="A5648" i="23"/>
  <c r="A5432" i="23"/>
  <c r="A5324" i="23"/>
  <c r="A5594" i="23"/>
  <c r="A5756" i="23"/>
  <c r="A6107" i="23"/>
  <c r="A5999" i="23"/>
  <c r="A7106" i="23"/>
  <c r="A7052" i="23"/>
  <c r="A6188" i="23"/>
  <c r="A6863" i="23"/>
  <c r="A6566" i="23"/>
  <c r="A7079" i="23"/>
  <c r="A5351" i="23"/>
  <c r="A5945" i="23"/>
  <c r="A6026" i="23"/>
  <c r="A5837" i="23"/>
  <c r="A6053" i="23"/>
  <c r="A10184" i="23"/>
  <c r="A5729" i="23"/>
  <c r="A6269" i="23"/>
  <c r="A5378" i="23"/>
  <c r="A5621" i="23"/>
  <c r="A5972" i="23"/>
  <c r="A6134" i="23"/>
  <c r="A5189" i="23"/>
  <c r="A6431" i="23"/>
  <c r="A6782" i="23"/>
  <c r="A6755" i="23"/>
  <c r="A7133" i="23"/>
  <c r="A6836" i="23"/>
  <c r="A7025" i="23"/>
  <c r="A5405" i="23"/>
  <c r="A6080" i="23"/>
  <c r="A5918" i="23"/>
  <c r="A5783" i="23"/>
  <c r="A5216" i="23"/>
  <c r="A5810" i="23"/>
  <c r="A6701" i="23"/>
  <c r="A6944" i="23"/>
  <c r="A6539" i="23"/>
  <c r="A6809" i="23"/>
  <c r="A6674" i="23"/>
  <c r="A6917" i="23"/>
  <c r="A5459" i="23"/>
  <c r="A5567" i="23"/>
  <c r="A5162" i="23"/>
  <c r="A5540" i="23"/>
  <c r="A5891" i="23"/>
  <c r="A7430" i="23"/>
  <c r="A6323" i="23"/>
  <c r="A5270" i="23"/>
  <c r="A5486" i="23"/>
  <c r="A5864" i="23"/>
  <c r="A5702" i="23"/>
  <c r="A5135" i="23"/>
  <c r="Y27" i="35"/>
  <c r="Y27" i="37"/>
  <c r="Y27" i="36"/>
  <c r="Y27" i="34"/>
  <c r="Y27" i="33"/>
  <c r="Y27" i="32"/>
  <c r="Y27" i="29"/>
  <c r="Y27" i="30"/>
  <c r="Y27" i="27"/>
  <c r="Y27" i="28"/>
  <c r="Y27" i="31"/>
  <c r="Y27" i="26"/>
  <c r="Y27" i="25"/>
  <c r="Y19" i="36"/>
  <c r="Y19" i="35"/>
  <c r="Y19" i="32"/>
  <c r="Y19" i="34"/>
  <c r="Y19" i="33"/>
  <c r="Y19" i="37"/>
  <c r="Y19" i="31"/>
  <c r="Y19" i="29"/>
  <c r="Y19" i="30"/>
  <c r="Y19" i="28"/>
  <c r="Y19" i="27"/>
  <c r="Y19" i="25"/>
  <c r="Y19" i="26"/>
  <c r="A11441" i="23"/>
  <c r="A11549" i="23"/>
  <c r="A11657" i="23"/>
  <c r="A11792" i="23"/>
  <c r="A11522" i="23"/>
  <c r="A11630" i="23"/>
  <c r="A12116" i="23"/>
  <c r="A11738" i="23"/>
  <c r="A12197" i="23"/>
  <c r="A11495" i="23"/>
  <c r="A11603" i="23"/>
  <c r="A11468" i="23"/>
  <c r="A11576" i="23"/>
  <c r="A11414" i="23"/>
  <c r="A12251" i="23"/>
  <c r="A11846" i="23"/>
  <c r="A11765" i="23"/>
  <c r="A12089" i="23"/>
  <c r="A11684" i="23"/>
  <c r="A11954" i="23"/>
  <c r="A11819" i="23"/>
  <c r="A12062" i="23"/>
  <c r="A10415" i="23"/>
  <c r="A10523" i="23"/>
  <c r="A10631" i="23"/>
  <c r="A10766" i="23"/>
  <c r="A12143" i="23"/>
  <c r="A11873" i="23"/>
  <c r="A12305" i="23"/>
  <c r="A11306" i="23"/>
  <c r="A11360" i="23"/>
  <c r="A10496" i="23"/>
  <c r="A10604" i="23"/>
  <c r="A11090" i="23"/>
  <c r="A11333" i="23"/>
  <c r="A12008" i="23"/>
  <c r="A11711" i="23"/>
  <c r="A12224" i="23"/>
  <c r="A10469" i="23"/>
  <c r="A11927" i="23"/>
  <c r="A11900" i="23"/>
  <c r="A12278" i="23"/>
  <c r="A11981" i="23"/>
  <c r="A12170" i="23"/>
  <c r="A10442" i="23"/>
  <c r="A10550" i="23"/>
  <c r="A10388" i="23"/>
  <c r="A11225" i="23"/>
  <c r="A10361" i="23"/>
  <c r="A10820" i="23"/>
  <c r="A11063" i="23"/>
  <c r="A10658" i="23"/>
  <c r="A10928" i="23"/>
  <c r="A10793" i="23"/>
  <c r="A11036" i="23"/>
  <c r="A11009" i="23"/>
  <c r="A11117" i="23"/>
  <c r="A10847" i="23"/>
  <c r="A11279" i="23"/>
  <c r="A10280" i="23"/>
  <c r="A10334" i="23"/>
  <c r="A11387" i="23"/>
  <c r="A10739" i="23"/>
  <c r="A12035" i="23"/>
  <c r="A10577" i="23"/>
  <c r="A11252" i="23"/>
  <c r="A10982" i="23"/>
  <c r="A9389" i="23"/>
  <c r="A9497" i="23"/>
  <c r="A9605" i="23"/>
  <c r="A9740" i="23"/>
  <c r="A9983" i="23"/>
  <c r="A10091" i="23"/>
  <c r="A9821" i="23"/>
  <c r="A10253" i="23"/>
  <c r="A9254" i="23"/>
  <c r="A9308" i="23"/>
  <c r="A10712" i="23"/>
  <c r="A10955" i="23"/>
  <c r="A10685" i="23"/>
  <c r="A9470" i="23"/>
  <c r="A9578" i="23"/>
  <c r="A10064" i="23"/>
  <c r="A9686" i="23"/>
  <c r="A10145" i="23"/>
  <c r="A9281" i="23"/>
  <c r="A9956" i="23"/>
  <c r="A9659" i="23"/>
  <c r="A10172" i="23"/>
  <c r="A10874" i="23"/>
  <c r="A10307" i="23"/>
  <c r="A9416" i="23"/>
  <c r="A9524" i="23"/>
  <c r="A9362" i="23"/>
  <c r="A10199" i="23"/>
  <c r="A9794" i="23"/>
  <c r="A10037" i="23"/>
  <c r="A9632" i="23"/>
  <c r="A9902" i="23"/>
  <c r="A9767" i="23"/>
  <c r="A10010" i="23"/>
  <c r="A9929" i="23"/>
  <c r="A8363" i="23"/>
  <c r="A8471" i="23"/>
  <c r="A8579" i="23"/>
  <c r="A8714" i="23"/>
  <c r="A8957" i="23"/>
  <c r="A9065" i="23"/>
  <c r="A8795" i="23"/>
  <c r="A9227" i="23"/>
  <c r="A8228" i="23"/>
  <c r="A8282" i="23"/>
  <c r="A11198" i="23"/>
  <c r="A10226" i="23"/>
  <c r="A9848" i="23"/>
  <c r="A8444" i="23"/>
  <c r="A8552" i="23"/>
  <c r="A9038" i="23"/>
  <c r="A8660" i="23"/>
  <c r="A9119" i="23"/>
  <c r="A8255" i="23"/>
  <c r="A8930" i="23"/>
  <c r="A8633" i="23"/>
  <c r="A9146" i="23"/>
  <c r="A7391" i="23"/>
  <c r="A7499" i="23"/>
  <c r="A11171" i="23"/>
  <c r="A11144" i="23"/>
  <c r="A9875" i="23"/>
  <c r="A9335" i="23"/>
  <c r="A8417" i="23"/>
  <c r="A8525" i="23"/>
  <c r="A8687" i="23"/>
  <c r="A8309" i="23"/>
  <c r="A8849" i="23"/>
  <c r="A8822" i="23"/>
  <c r="A9200" i="23"/>
  <c r="A9551" i="23"/>
  <c r="A8390" i="23"/>
  <c r="A8498" i="23"/>
  <c r="A8336" i="23"/>
  <c r="A9173" i="23"/>
  <c r="A8768" i="23"/>
  <c r="A9011" i="23"/>
  <c r="A8606" i="23"/>
  <c r="A8876" i="23"/>
  <c r="A8741" i="23"/>
  <c r="A8984" i="23"/>
  <c r="A7337" i="23"/>
  <c r="A7445" i="23"/>
  <c r="A9443" i="23"/>
  <c r="A10118" i="23"/>
  <c r="A7526" i="23"/>
  <c r="A7661" i="23"/>
  <c r="A7283" i="23"/>
  <c r="A7823" i="23"/>
  <c r="A7796" i="23"/>
  <c r="A8174" i="23"/>
  <c r="A7877" i="23"/>
  <c r="A8066" i="23"/>
  <c r="A6338" i="23"/>
  <c r="A6446" i="23"/>
  <c r="A6284" i="23"/>
  <c r="A7121" i="23"/>
  <c r="A9092" i="23"/>
  <c r="A9713" i="23"/>
  <c r="A8903" i="23"/>
  <c r="A7310" i="23"/>
  <c r="A8147" i="23"/>
  <c r="A7742" i="23"/>
  <c r="A7985" i="23"/>
  <c r="A7580" i="23"/>
  <c r="A7850" i="23"/>
  <c r="A7715" i="23"/>
  <c r="A7958" i="23"/>
  <c r="A6311" i="23"/>
  <c r="A6419" i="23"/>
  <c r="A6527" i="23"/>
  <c r="A6662" i="23"/>
  <c r="A7553" i="23"/>
  <c r="A7688" i="23"/>
  <c r="A7931" i="23"/>
  <c r="A8039" i="23"/>
  <c r="A7769" i="23"/>
  <c r="A8201" i="23"/>
  <c r="A7202" i="23"/>
  <c r="A7256" i="23"/>
  <c r="A6392" i="23"/>
  <c r="A6500" i="23"/>
  <c r="A6986" i="23"/>
  <c r="A6608" i="23"/>
  <c r="A7418" i="23"/>
  <c r="A8012" i="23"/>
  <c r="A7634" i="23"/>
  <c r="A8093" i="23"/>
  <c r="A7229" i="23"/>
  <c r="A7904" i="23"/>
  <c r="A7607" i="23"/>
  <c r="A8120" i="23"/>
  <c r="A7472" i="23"/>
  <c r="A6716" i="23"/>
  <c r="A6959" i="23"/>
  <c r="A6554" i="23"/>
  <c r="A6824" i="23"/>
  <c r="A6689" i="23"/>
  <c r="A6932" i="23"/>
  <c r="A5474" i="23"/>
  <c r="A5582" i="23"/>
  <c r="A5177" i="23"/>
  <c r="A5555" i="23"/>
  <c r="A6149" i="23"/>
  <c r="A6257" i="23"/>
  <c r="A5285" i="23"/>
  <c r="A5501" i="23"/>
  <c r="A5879" i="23"/>
  <c r="A5717" i="23"/>
  <c r="A5150" i="23"/>
  <c r="A5636" i="23"/>
  <c r="A6635" i="23"/>
  <c r="A6905" i="23"/>
  <c r="A7013" i="23"/>
  <c r="A6743" i="23"/>
  <c r="A7175" i="23"/>
  <c r="A6176" i="23"/>
  <c r="A6230" i="23"/>
  <c r="A5312" i="23"/>
  <c r="A5258" i="23"/>
  <c r="A5690" i="23"/>
  <c r="A5528" i="23"/>
  <c r="A5663" i="23"/>
  <c r="A10901" i="23"/>
  <c r="A6473" i="23"/>
  <c r="A5339" i="23"/>
  <c r="A5609" i="23"/>
  <c r="A5771" i="23"/>
  <c r="A6122" i="23"/>
  <c r="A6014" i="23"/>
  <c r="A6365" i="23"/>
  <c r="A7067" i="23"/>
  <c r="A6203" i="23"/>
  <c r="A6878" i="23"/>
  <c r="A6581" i="23"/>
  <c r="A7094" i="23"/>
  <c r="A5366" i="23"/>
  <c r="A5960" i="23"/>
  <c r="A6041" i="23"/>
  <c r="A5852" i="23"/>
  <c r="A6068" i="23"/>
  <c r="A5987" i="23"/>
  <c r="A5204" i="23"/>
  <c r="A6797" i="23"/>
  <c r="A6770" i="23"/>
  <c r="A7148" i="23"/>
  <c r="A6851" i="23"/>
  <c r="A7040" i="23"/>
  <c r="A5420" i="23"/>
  <c r="A6095" i="23"/>
  <c r="A5933" i="23"/>
  <c r="A5798" i="23"/>
  <c r="A7364" i="23"/>
  <c r="A5447" i="23"/>
  <c r="A5231" i="23"/>
  <c r="A5744" i="23"/>
  <c r="A5825" i="23"/>
  <c r="A5906" i="23"/>
  <c r="A5393" i="23"/>
  <c r="A11433" i="23"/>
  <c r="A11541" i="23"/>
  <c r="A11649" i="23"/>
  <c r="A11784" i="23"/>
  <c r="A11514" i="23"/>
  <c r="A11622" i="23"/>
  <c r="A12108" i="23"/>
  <c r="A11730" i="23"/>
  <c r="A11487" i="23"/>
  <c r="A11595" i="23"/>
  <c r="A11460" i="23"/>
  <c r="A11568" i="23"/>
  <c r="A11406" i="23"/>
  <c r="A12243" i="23"/>
  <c r="A11838" i="23"/>
  <c r="A12081" i="23"/>
  <c r="A11676" i="23"/>
  <c r="A11946" i="23"/>
  <c r="A11811" i="23"/>
  <c r="A12054" i="23"/>
  <c r="A10407" i="23"/>
  <c r="A10515" i="23"/>
  <c r="A10623" i="23"/>
  <c r="A10758" i="23"/>
  <c r="A11379" i="23"/>
  <c r="A12027" i="23"/>
  <c r="A11757" i="23"/>
  <c r="A11919" i="23"/>
  <c r="A12135" i="23"/>
  <c r="A11865" i="23"/>
  <c r="A12297" i="23"/>
  <c r="A11298" i="23"/>
  <c r="A11352" i="23"/>
  <c r="A10488" i="23"/>
  <c r="A10596" i="23"/>
  <c r="A11082" i="23"/>
  <c r="A12189" i="23"/>
  <c r="A11325" i="23"/>
  <c r="A12000" i="23"/>
  <c r="A11703" i="23"/>
  <c r="A12216" i="23"/>
  <c r="A10461" i="23"/>
  <c r="A11892" i="23"/>
  <c r="A12270" i="23"/>
  <c r="A11973" i="23"/>
  <c r="A12162" i="23"/>
  <c r="A10434" i="23"/>
  <c r="A10542" i="23"/>
  <c r="A10380" i="23"/>
  <c r="A11217" i="23"/>
  <c r="A10812" i="23"/>
  <c r="A11055" i="23"/>
  <c r="A10650" i="23"/>
  <c r="A10920" i="23"/>
  <c r="A10785" i="23"/>
  <c r="A11028" i="23"/>
  <c r="A11001" i="23"/>
  <c r="A11109" i="23"/>
  <c r="A10839" i="23"/>
  <c r="A11271" i="23"/>
  <c r="A10272" i="23"/>
  <c r="A10326" i="23"/>
  <c r="A10731" i="23"/>
  <c r="A10893" i="23"/>
  <c r="A11163" i="23"/>
  <c r="A11136" i="23"/>
  <c r="A11190" i="23"/>
  <c r="A9381" i="23"/>
  <c r="A9489" i="23"/>
  <c r="A9597" i="23"/>
  <c r="A9732" i="23"/>
  <c r="A9975" i="23"/>
  <c r="A10083" i="23"/>
  <c r="A9813" i="23"/>
  <c r="A10245" i="23"/>
  <c r="A9246" i="23"/>
  <c r="A9300" i="23"/>
  <c r="A10866" i="23"/>
  <c r="A10299" i="23"/>
  <c r="A9462" i="23"/>
  <c r="A9570" i="23"/>
  <c r="A10056" i="23"/>
  <c r="A9678" i="23"/>
  <c r="A10137" i="23"/>
  <c r="A9273" i="23"/>
  <c r="A9948" i="23"/>
  <c r="A9651" i="23"/>
  <c r="A10164" i="23"/>
  <c r="A10353" i="23"/>
  <c r="A10704" i="23"/>
  <c r="A10947" i="23"/>
  <c r="A10677" i="23"/>
  <c r="A9408" i="23"/>
  <c r="A9516" i="23"/>
  <c r="A9354" i="23"/>
  <c r="A10191" i="23"/>
  <c r="A9786" i="23"/>
  <c r="A10029" i="23"/>
  <c r="A9624" i="23"/>
  <c r="A9894" i="23"/>
  <c r="A9759" i="23"/>
  <c r="A10002" i="23"/>
  <c r="A9543" i="23"/>
  <c r="A8355" i="23"/>
  <c r="A8463" i="23"/>
  <c r="A8571" i="23"/>
  <c r="A8706" i="23"/>
  <c r="A8949" i="23"/>
  <c r="A9057" i="23"/>
  <c r="A8787" i="23"/>
  <c r="A9219" i="23"/>
  <c r="A8220" i="23"/>
  <c r="A8274" i="23"/>
  <c r="A10569" i="23"/>
  <c r="A11244" i="23"/>
  <c r="A9435" i="23"/>
  <c r="A10110" i="23"/>
  <c r="A9921" i="23"/>
  <c r="A8436" i="23"/>
  <c r="A8544" i="23"/>
  <c r="A9030" i="23"/>
  <c r="A8652" i="23"/>
  <c r="A9111" i="23"/>
  <c r="A8247" i="23"/>
  <c r="A8922" i="23"/>
  <c r="A8625" i="23"/>
  <c r="A9138" i="23"/>
  <c r="A7383" i="23"/>
  <c r="A7491" i="23"/>
  <c r="A10218" i="23"/>
  <c r="A9840" i="23"/>
  <c r="A8409" i="23"/>
  <c r="A8517" i="23"/>
  <c r="A8679" i="23"/>
  <c r="A8301" i="23"/>
  <c r="A8841" i="23"/>
  <c r="A8814" i="23"/>
  <c r="A9192" i="23"/>
  <c r="A9327" i="23"/>
  <c r="A8382" i="23"/>
  <c r="A8490" i="23"/>
  <c r="A8328" i="23"/>
  <c r="A9165" i="23"/>
  <c r="A8760" i="23"/>
  <c r="A9003" i="23"/>
  <c r="A8598" i="23"/>
  <c r="A8868" i="23"/>
  <c r="A8733" i="23"/>
  <c r="A8976" i="23"/>
  <c r="A7329" i="23"/>
  <c r="A7437" i="23"/>
  <c r="A10974" i="23"/>
  <c r="A9705" i="23"/>
  <c r="A7653" i="23"/>
  <c r="A7275" i="23"/>
  <c r="A7815" i="23"/>
  <c r="A7788" i="23"/>
  <c r="A8166" i="23"/>
  <c r="A7869" i="23"/>
  <c r="A8058" i="23"/>
  <c r="A6330" i="23"/>
  <c r="A6438" i="23"/>
  <c r="A6276" i="23"/>
  <c r="A7113" i="23"/>
  <c r="A9867" i="23"/>
  <c r="A7356" i="23"/>
  <c r="A7410" i="23"/>
  <c r="A7302" i="23"/>
  <c r="A8139" i="23"/>
  <c r="A7734" i="23"/>
  <c r="A7977" i="23"/>
  <c r="A7572" i="23"/>
  <c r="A7842" i="23"/>
  <c r="A7707" i="23"/>
  <c r="A7950" i="23"/>
  <c r="A6303" i="23"/>
  <c r="A6411" i="23"/>
  <c r="A6519" i="23"/>
  <c r="A6654" i="23"/>
  <c r="A9084" i="23"/>
  <c r="A7464" i="23"/>
  <c r="A8895" i="23"/>
  <c r="A7545" i="23"/>
  <c r="A7680" i="23"/>
  <c r="A7923" i="23"/>
  <c r="A8031" i="23"/>
  <c r="A7761" i="23"/>
  <c r="A8193" i="23"/>
  <c r="A7194" i="23"/>
  <c r="A7248" i="23"/>
  <c r="A6384" i="23"/>
  <c r="A6492" i="23"/>
  <c r="A6978" i="23"/>
  <c r="A6600" i="23"/>
  <c r="A7518" i="23"/>
  <c r="A8004" i="23"/>
  <c r="A7626" i="23"/>
  <c r="A8085" i="23"/>
  <c r="A7221" i="23"/>
  <c r="A7896" i="23"/>
  <c r="A7599" i="23"/>
  <c r="A8112" i="23"/>
  <c r="A6708" i="23"/>
  <c r="A6951" i="23"/>
  <c r="A6546" i="23"/>
  <c r="A6816" i="23"/>
  <c r="A6681" i="23"/>
  <c r="A6924" i="23"/>
  <c r="A5466" i="23"/>
  <c r="A5574" i="23"/>
  <c r="A5169" i="23"/>
  <c r="A5547" i="23"/>
  <c r="A6465" i="23"/>
  <c r="A5277" i="23"/>
  <c r="A5493" i="23"/>
  <c r="A5871" i="23"/>
  <c r="A5709" i="23"/>
  <c r="A5142" i="23"/>
  <c r="A6897" i="23"/>
  <c r="A7005" i="23"/>
  <c r="A6735" i="23"/>
  <c r="A7167" i="23"/>
  <c r="A6168" i="23"/>
  <c r="A6222" i="23"/>
  <c r="A5304" i="23"/>
  <c r="A5250" i="23"/>
  <c r="A5682" i="23"/>
  <c r="A5520" i="23"/>
  <c r="A5655" i="23"/>
  <c r="A5979" i="23"/>
  <c r="A6249" i="23"/>
  <c r="A5331" i="23"/>
  <c r="A5601" i="23"/>
  <c r="A5763" i="23"/>
  <c r="A6114" i="23"/>
  <c r="A6006" i="23"/>
  <c r="A6141" i="23"/>
  <c r="A6627" i="23"/>
  <c r="A7059" i="23"/>
  <c r="A6195" i="23"/>
  <c r="A6870" i="23"/>
  <c r="A6573" i="23"/>
  <c r="A7086" i="23"/>
  <c r="A5358" i="23"/>
  <c r="A5952" i="23"/>
  <c r="A6033" i="23"/>
  <c r="A5844" i="23"/>
  <c r="A6060" i="23"/>
  <c r="A6357" i="23"/>
  <c r="A6789" i="23"/>
  <c r="A6762" i="23"/>
  <c r="A7140" i="23"/>
  <c r="A6843" i="23"/>
  <c r="A7032" i="23"/>
  <c r="A5412" i="23"/>
  <c r="A6087" i="23"/>
  <c r="A5925" i="23"/>
  <c r="A5790" i="23"/>
  <c r="A5385" i="23"/>
  <c r="A5439" i="23"/>
  <c r="A5223" i="23"/>
  <c r="A5736" i="23"/>
  <c r="A5817" i="23"/>
  <c r="A5898" i="23"/>
  <c r="A5628" i="23"/>
  <c r="A5196" i="23"/>
  <c r="A11425" i="23"/>
  <c r="A11533" i="23"/>
  <c r="A11641" i="23"/>
  <c r="A11776" i="23"/>
  <c r="A11506" i="23"/>
  <c r="A11614" i="23"/>
  <c r="A12100" i="23"/>
  <c r="A11722" i="23"/>
  <c r="A11479" i="23"/>
  <c r="A11587" i="23"/>
  <c r="A11452" i="23"/>
  <c r="A11560" i="23"/>
  <c r="A11398" i="23"/>
  <c r="A12235" i="23"/>
  <c r="A11830" i="23"/>
  <c r="A12073" i="23"/>
  <c r="A11668" i="23"/>
  <c r="A11938" i="23"/>
  <c r="A11803" i="23"/>
  <c r="A12046" i="23"/>
  <c r="A10399" i="23"/>
  <c r="A10507" i="23"/>
  <c r="A10615" i="23"/>
  <c r="A10750" i="23"/>
  <c r="A12127" i="23"/>
  <c r="A11857" i="23"/>
  <c r="A12289" i="23"/>
  <c r="A11290" i="23"/>
  <c r="A11344" i="23"/>
  <c r="A10480" i="23"/>
  <c r="A10588" i="23"/>
  <c r="A11074" i="23"/>
  <c r="A11371" i="23"/>
  <c r="A11749" i="23"/>
  <c r="A12181" i="23"/>
  <c r="A11317" i="23"/>
  <c r="A11992" i="23"/>
  <c r="A11695" i="23"/>
  <c r="A12208" i="23"/>
  <c r="A10453" i="23"/>
  <c r="A11911" i="23"/>
  <c r="A11884" i="23"/>
  <c r="A12262" i="23"/>
  <c r="A11965" i="23"/>
  <c r="A12154" i="23"/>
  <c r="A10426" i="23"/>
  <c r="A10534" i="23"/>
  <c r="A10372" i="23"/>
  <c r="A11209" i="23"/>
  <c r="A12019" i="23"/>
  <c r="A10723" i="23"/>
  <c r="A10561" i="23"/>
  <c r="A10804" i="23"/>
  <c r="A11047" i="23"/>
  <c r="A10642" i="23"/>
  <c r="A10912" i="23"/>
  <c r="A10777" i="23"/>
  <c r="A11020" i="23"/>
  <c r="A10993" i="23"/>
  <c r="A11101" i="23"/>
  <c r="A10831" i="23"/>
  <c r="A11263" i="23"/>
  <c r="A10264" i="23"/>
  <c r="A10318" i="23"/>
  <c r="A11236" i="23"/>
  <c r="A10966" i="23"/>
  <c r="A9373" i="23"/>
  <c r="A9481" i="23"/>
  <c r="A9589" i="23"/>
  <c r="A9724" i="23"/>
  <c r="A9967" i="23"/>
  <c r="A10075" i="23"/>
  <c r="A9805" i="23"/>
  <c r="A10237" i="23"/>
  <c r="A9238" i="23"/>
  <c r="A9292" i="23"/>
  <c r="A10345" i="23"/>
  <c r="A10696" i="23"/>
  <c r="A10939" i="23"/>
  <c r="A10669" i="23"/>
  <c r="A9454" i="23"/>
  <c r="A9562" i="23"/>
  <c r="A10048" i="23"/>
  <c r="A9670" i="23"/>
  <c r="A10129" i="23"/>
  <c r="A9265" i="23"/>
  <c r="A9940" i="23"/>
  <c r="A9643" i="23"/>
  <c r="A10156" i="23"/>
  <c r="A10858" i="23"/>
  <c r="A10291" i="23"/>
  <c r="A9400" i="23"/>
  <c r="A9508" i="23"/>
  <c r="A9346" i="23"/>
  <c r="A10183" i="23"/>
  <c r="A9778" i="23"/>
  <c r="A10021" i="23"/>
  <c r="A9616" i="23"/>
  <c r="A9886" i="23"/>
  <c r="A9751" i="23"/>
  <c r="A9994" i="23"/>
  <c r="A9319" i="23"/>
  <c r="A8347" i="23"/>
  <c r="A8455" i="23"/>
  <c r="A8563" i="23"/>
  <c r="A8698" i="23"/>
  <c r="A8941" i="23"/>
  <c r="A9049" i="23"/>
  <c r="A8779" i="23"/>
  <c r="A9211" i="23"/>
  <c r="A8212" i="23"/>
  <c r="A8266" i="23"/>
  <c r="A9697" i="23"/>
  <c r="A9535" i="23"/>
  <c r="A8428" i="23"/>
  <c r="A8536" i="23"/>
  <c r="A9022" i="23"/>
  <c r="A8644" i="23"/>
  <c r="A9103" i="23"/>
  <c r="A8239" i="23"/>
  <c r="A8914" i="23"/>
  <c r="A8617" i="23"/>
  <c r="A9130" i="23"/>
  <c r="A7375" i="23"/>
  <c r="A7483" i="23"/>
  <c r="A11182" i="23"/>
  <c r="A9427" i="23"/>
  <c r="A10102" i="23"/>
  <c r="A9913" i="23"/>
  <c r="A8401" i="23"/>
  <c r="A8509" i="23"/>
  <c r="A8671" i="23"/>
  <c r="A8293" i="23"/>
  <c r="A8833" i="23"/>
  <c r="A8806" i="23"/>
  <c r="A9184" i="23"/>
  <c r="A9832" i="23"/>
  <c r="A8374" i="23"/>
  <c r="A8482" i="23"/>
  <c r="A8320" i="23"/>
  <c r="A9157" i="23"/>
  <c r="A8752" i="23"/>
  <c r="A8995" i="23"/>
  <c r="A8590" i="23"/>
  <c r="A8860" i="23"/>
  <c r="A8725" i="23"/>
  <c r="A8968" i="23"/>
  <c r="A7321" i="23"/>
  <c r="A7429" i="23"/>
  <c r="A10885" i="23"/>
  <c r="A9859" i="23"/>
  <c r="A10210" i="23"/>
  <c r="A7645" i="23"/>
  <c r="A7267" i="23"/>
  <c r="A7807" i="23"/>
  <c r="A7780" i="23"/>
  <c r="A8158" i="23"/>
  <c r="A7861" i="23"/>
  <c r="A8050" i="23"/>
  <c r="A6322" i="23"/>
  <c r="A6430" i="23"/>
  <c r="A6268" i="23"/>
  <c r="A7105" i="23"/>
  <c r="A11155" i="23"/>
  <c r="A7294" i="23"/>
  <c r="A8131" i="23"/>
  <c r="A7726" i="23"/>
  <c r="A7969" i="23"/>
  <c r="A7564" i="23"/>
  <c r="A7834" i="23"/>
  <c r="A7699" i="23"/>
  <c r="A7942" i="23"/>
  <c r="A6295" i="23"/>
  <c r="A6403" i="23"/>
  <c r="A6511" i="23"/>
  <c r="A6646" i="23"/>
  <c r="A11128" i="23"/>
  <c r="A7537" i="23"/>
  <c r="A7672" i="23"/>
  <c r="A7915" i="23"/>
  <c r="A8023" i="23"/>
  <c r="A7753" i="23"/>
  <c r="A8185" i="23"/>
  <c r="A7186" i="23"/>
  <c r="A7240" i="23"/>
  <c r="A6376" i="23"/>
  <c r="A6484" i="23"/>
  <c r="A6970" i="23"/>
  <c r="A8887" i="23"/>
  <c r="A7402" i="23"/>
  <c r="A7510" i="23"/>
  <c r="A7996" i="23"/>
  <c r="A7618" i="23"/>
  <c r="A8077" i="23"/>
  <c r="A7213" i="23"/>
  <c r="A7888" i="23"/>
  <c r="A7591" i="23"/>
  <c r="A8104" i="23"/>
  <c r="A7456" i="23"/>
  <c r="A7348" i="23"/>
  <c r="A6349" i="23"/>
  <c r="A6592" i="23"/>
  <c r="A6700" i="23"/>
  <c r="A6943" i="23"/>
  <c r="A6538" i="23"/>
  <c r="A6808" i="23"/>
  <c r="A6673" i="23"/>
  <c r="A6916" i="23"/>
  <c r="A5458" i="23"/>
  <c r="A5566" i="23"/>
  <c r="A5161" i="23"/>
  <c r="A5539" i="23"/>
  <c r="A5620" i="23"/>
  <c r="A9076" i="23"/>
  <c r="A5269" i="23"/>
  <c r="A5485" i="23"/>
  <c r="A5863" i="23"/>
  <c r="A5701" i="23"/>
  <c r="A5134" i="23"/>
  <c r="A5971" i="23"/>
  <c r="A6889" i="23"/>
  <c r="A6997" i="23"/>
  <c r="A6727" i="23"/>
  <c r="A7159" i="23"/>
  <c r="A6160" i="23"/>
  <c r="A6214" i="23"/>
  <c r="A5296" i="23"/>
  <c r="A5242" i="23"/>
  <c r="A5674" i="23"/>
  <c r="A5512" i="23"/>
  <c r="A5647" i="23"/>
  <c r="A6133" i="23"/>
  <c r="A5323" i="23"/>
  <c r="A5593" i="23"/>
  <c r="A5755" i="23"/>
  <c r="A6106" i="23"/>
  <c r="A5998" i="23"/>
  <c r="A7051" i="23"/>
  <c r="A6187" i="23"/>
  <c r="A6862" i="23"/>
  <c r="A6565" i="23"/>
  <c r="A7078" i="23"/>
  <c r="A5350" i="23"/>
  <c r="A5944" i="23"/>
  <c r="A6025" i="23"/>
  <c r="A5836" i="23"/>
  <c r="A6052" i="23"/>
  <c r="A5377" i="23"/>
  <c r="A6619" i="23"/>
  <c r="A6781" i="23"/>
  <c r="A6754" i="23"/>
  <c r="A7132" i="23"/>
  <c r="A6835" i="23"/>
  <c r="A7024" i="23"/>
  <c r="A5404" i="23"/>
  <c r="A6079" i="23"/>
  <c r="A5917" i="23"/>
  <c r="A5782" i="23"/>
  <c r="A6241" i="23"/>
  <c r="A5188" i="23"/>
  <c r="A6457" i="23"/>
  <c r="A5431" i="23"/>
  <c r="A5215" i="23"/>
  <c r="A5728" i="23"/>
  <c r="A5809" i="23"/>
  <c r="A5890" i="23"/>
  <c r="Y26" i="35"/>
  <c r="Y26" i="36"/>
  <c r="Y26" i="34"/>
  <c r="Y26" i="37"/>
  <c r="Y26" i="33"/>
  <c r="Y26" i="32"/>
  <c r="Y26" i="30"/>
  <c r="Y26" i="29"/>
  <c r="Y26" i="31"/>
  <c r="Y26" i="26"/>
  <c r="Y26" i="27"/>
  <c r="Y26" i="28"/>
  <c r="Y26" i="25"/>
  <c r="AS9" i="9"/>
  <c r="Y18" i="36"/>
  <c r="Y18" i="37"/>
  <c r="Y18" i="35"/>
  <c r="Y18" i="33"/>
  <c r="Y18" i="34"/>
  <c r="Y18" i="32"/>
  <c r="Y18" i="31"/>
  <c r="Y18" i="30"/>
  <c r="Y18" i="29"/>
  <c r="Y18" i="28"/>
  <c r="Y18" i="27"/>
  <c r="Y18" i="26"/>
  <c r="Y18" i="25"/>
  <c r="S43" i="9"/>
  <c r="AO8" i="1"/>
  <c r="AQ8" i="1" s="1"/>
  <c r="AL19" i="1"/>
  <c r="AN19" i="1" s="1"/>
  <c r="AL8" i="1"/>
  <c r="AN8" i="1" s="1"/>
  <c r="W9" i="1"/>
  <c r="Y9" i="1" s="1"/>
  <c r="Z8" i="1"/>
  <c r="AB8" i="1" s="1"/>
  <c r="AO16" i="1"/>
  <c r="AQ16" i="1" s="1"/>
  <c r="AL4" i="1"/>
  <c r="AN4" i="1" s="1"/>
  <c r="AL24" i="1"/>
  <c r="AN24" i="1" s="1"/>
  <c r="Z13" i="1"/>
  <c r="AB13" i="1" s="1"/>
  <c r="AO29" i="1"/>
  <c r="AQ29" i="1" s="1"/>
  <c r="AF17" i="1"/>
  <c r="AH17" i="1" s="1"/>
  <c r="AO13" i="1"/>
  <c r="AQ13" i="1" s="1"/>
  <c r="AI11" i="1"/>
  <c r="AK11" i="1" s="1"/>
  <c r="AF22" i="1"/>
  <c r="AH22" i="1" s="1"/>
  <c r="AC25" i="1"/>
  <c r="AE25" i="1" s="1"/>
  <c r="AI8" i="1"/>
  <c r="AK8" i="1" s="1"/>
  <c r="AF6" i="1"/>
  <c r="AH6" i="1" s="1"/>
  <c r="AO25" i="1"/>
  <c r="AQ25" i="1" s="1"/>
  <c r="AC14" i="1"/>
  <c r="AE14" i="1" s="1"/>
  <c r="AI15" i="1"/>
  <c r="AK15" i="1" s="1"/>
  <c r="AC15" i="1"/>
  <c r="AE15" i="1" s="1"/>
  <c r="W16" i="1"/>
  <c r="Y16" i="1" s="1"/>
  <c r="Z25" i="1"/>
  <c r="AB25" i="1" s="1"/>
  <c r="Z24" i="1"/>
  <c r="AB24" i="1" s="1"/>
  <c r="Z15" i="1"/>
  <c r="AB15" i="1" s="1"/>
  <c r="Y20" i="1"/>
  <c r="AE18" i="1"/>
  <c r="AN17" i="1"/>
  <c r="AN9" i="1"/>
  <c r="AK16" i="1"/>
  <c r="AN28" i="1"/>
  <c r="AQ4" i="1"/>
  <c r="AQ23" i="1"/>
  <c r="Y7" i="1"/>
  <c r="AK22" i="1"/>
  <c r="AN14" i="1"/>
  <c r="AK26" i="1"/>
  <c r="AK12" i="1"/>
  <c r="AF10" i="1"/>
  <c r="AQ19" i="1"/>
  <c r="AK27" i="1"/>
  <c r="W28" i="1"/>
  <c r="AF28" i="1"/>
  <c r="Z10" i="1"/>
  <c r="AC28" i="1"/>
  <c r="H24" i="2"/>
  <c r="W27" i="1"/>
  <c r="AF27" i="1"/>
  <c r="AF19" i="1"/>
  <c r="W19" i="1"/>
  <c r="Y11" i="1"/>
  <c r="AC6" i="1"/>
  <c r="AL22" i="1"/>
  <c r="W24" i="1"/>
  <c r="Z23" i="1"/>
  <c r="AO21" i="1"/>
  <c r="AO11" i="1"/>
  <c r="AI4" i="1"/>
  <c r="AL11" i="1"/>
  <c r="AL16" i="1"/>
  <c r="AI19" i="1"/>
  <c r="AI23" i="1"/>
  <c r="Z16" i="1"/>
  <c r="Z5" i="1"/>
  <c r="AL12" i="1"/>
  <c r="AF25" i="1"/>
  <c r="AF14" i="1"/>
  <c r="AF20" i="1"/>
  <c r="AC23" i="1"/>
  <c r="AC20" i="1"/>
  <c r="AC10" i="1"/>
  <c r="AF18" i="1"/>
  <c r="W18" i="1"/>
  <c r="AI18" i="1"/>
  <c r="AL26" i="1"/>
  <c r="AC12" i="1"/>
  <c r="Y25" i="1"/>
  <c r="Z17" i="1"/>
  <c r="AF11" i="1"/>
  <c r="AO30" i="1"/>
  <c r="W17" i="1"/>
  <c r="AO5" i="1"/>
  <c r="AO18" i="1"/>
  <c r="AL29" i="1"/>
  <c r="AL18" i="1"/>
  <c r="AL30" i="1"/>
  <c r="AI25" i="1"/>
  <c r="AI7" i="1"/>
  <c r="Z22" i="1"/>
  <c r="Z20" i="1"/>
  <c r="AF24" i="1"/>
  <c r="AF9" i="1"/>
  <c r="AF29" i="1"/>
  <c r="AO17" i="1"/>
  <c r="AC7" i="1"/>
  <c r="AC4" i="1"/>
  <c r="AO9" i="1"/>
  <c r="Y10" i="1"/>
  <c r="Z28" i="1"/>
  <c r="AI28" i="1"/>
  <c r="H10" i="2"/>
  <c r="G29" i="2"/>
  <c r="AE24" i="1"/>
  <c r="AH8" i="1"/>
  <c r="W15" i="1"/>
  <c r="AC8" i="1"/>
  <c r="AL23" i="1"/>
  <c r="AO28" i="1"/>
  <c r="AO10" i="1"/>
  <c r="AL21" i="1"/>
  <c r="AL10" i="1"/>
  <c r="AI17" i="1"/>
  <c r="AI30" i="1"/>
  <c r="Z14" i="1"/>
  <c r="Z12" i="1"/>
  <c r="AC17" i="1"/>
  <c r="AF23" i="1"/>
  <c r="AF21" i="1"/>
  <c r="AC29" i="1"/>
  <c r="AC27" i="1"/>
  <c r="AL7" i="1"/>
  <c r="AN15" i="1"/>
  <c r="AO24" i="1"/>
  <c r="W23" i="1"/>
  <c r="AC30" i="1"/>
  <c r="AI20" i="1"/>
  <c r="AO20" i="1"/>
  <c r="AL6" i="1"/>
  <c r="AL13" i="1"/>
  <c r="AL25" i="1"/>
  <c r="AC16" i="1"/>
  <c r="AI9" i="1"/>
  <c r="Z6" i="1"/>
  <c r="Z27" i="1"/>
  <c r="Z30" i="1"/>
  <c r="AF15" i="1"/>
  <c r="AF13" i="1"/>
  <c r="AI10" i="1"/>
  <c r="AC21" i="1"/>
  <c r="AC19" i="1"/>
  <c r="AI5" i="1"/>
  <c r="W26" i="1"/>
  <c r="AF26" i="1"/>
  <c r="AF12" i="1"/>
  <c r="G12" i="2"/>
  <c r="Y30" i="1"/>
  <c r="AO22" i="1"/>
  <c r="W22" i="1"/>
  <c r="AO14" i="1"/>
  <c r="W14" i="1"/>
  <c r="Y6" i="1"/>
  <c r="AL20" i="1"/>
  <c r="Z4" i="1"/>
  <c r="Z18" i="1"/>
  <c r="AF16" i="1"/>
  <c r="AO15" i="1"/>
  <c r="AO12" i="1"/>
  <c r="AL5" i="1"/>
  <c r="Z7" i="1"/>
  <c r="AI24" i="1"/>
  <c r="AI14" i="1"/>
  <c r="Z29" i="1"/>
  <c r="Z19" i="1"/>
  <c r="W12" i="1"/>
  <c r="AF7" i="1"/>
  <c r="AF5" i="1"/>
  <c r="AI29" i="1"/>
  <c r="AC13" i="1"/>
  <c r="AC11" i="1"/>
  <c r="Z9" i="1"/>
  <c r="AO26" i="1"/>
  <c r="Y29" i="1"/>
  <c r="Y21" i="1"/>
  <c r="Y13" i="1"/>
  <c r="Y5" i="1"/>
  <c r="AI13" i="1"/>
  <c r="AO6" i="1"/>
  <c r="W8" i="1"/>
  <c r="AC9" i="1"/>
  <c r="AO7" i="1"/>
  <c r="AO27" i="1"/>
  <c r="AI21" i="1"/>
  <c r="AL27" i="1"/>
  <c r="Z26" i="1"/>
  <c r="AI6" i="1"/>
  <c r="Z21" i="1"/>
  <c r="Z11" i="1"/>
  <c r="AF30" i="1"/>
  <c r="AF4" i="1"/>
  <c r="AC22" i="1"/>
  <c r="AC5" i="1"/>
  <c r="AC26" i="1"/>
  <c r="G20" i="2"/>
  <c r="H19" i="2"/>
  <c r="G30" i="2"/>
  <c r="G21" i="2"/>
  <c r="G26" i="2"/>
  <c r="G18" i="2"/>
  <c r="G10" i="2"/>
  <c r="G24" i="2"/>
  <c r="G16" i="2"/>
  <c r="G8" i="2"/>
  <c r="G31" i="2"/>
  <c r="G9" i="2"/>
  <c r="G17" i="2"/>
  <c r="G25" i="2"/>
  <c r="G11" i="2"/>
  <c r="H11" i="2"/>
  <c r="G22" i="2"/>
  <c r="G13" i="2"/>
  <c r="G23" i="2"/>
  <c r="G14" i="2"/>
  <c r="G5" i="2"/>
  <c r="H23" i="2"/>
  <c r="G15" i="2"/>
  <c r="G6" i="2"/>
  <c r="G27" i="2"/>
  <c r="H20" i="2"/>
  <c r="H12" i="2"/>
  <c r="H4" i="2"/>
  <c r="H28" i="2"/>
  <c r="H29" i="2"/>
  <c r="H27" i="2"/>
  <c r="H6" i="2"/>
  <c r="H7" i="2"/>
  <c r="H14" i="2"/>
  <c r="H15" i="2"/>
  <c r="H22" i="2"/>
  <c r="H5" i="2"/>
  <c r="H31" i="2"/>
  <c r="H13" i="2"/>
  <c r="G7" i="2"/>
  <c r="H25" i="2"/>
  <c r="H16" i="2"/>
  <c r="G19" i="2"/>
  <c r="H26" i="2"/>
  <c r="H17" i="2"/>
  <c r="H8" i="2"/>
  <c r="H30" i="2"/>
  <c r="H18" i="2"/>
  <c r="H9" i="2"/>
  <c r="G28" i="2"/>
  <c r="H21" i="2"/>
  <c r="A5" i="2"/>
  <c r="A3216" i="23"/>
  <c r="A192" i="23"/>
  <c r="A1245" i="23"/>
  <c r="A2325" i="23"/>
  <c r="A3378" i="23"/>
  <c r="A165" i="23"/>
  <c r="A1218" i="23"/>
  <c r="A2298" i="23"/>
  <c r="A4377" i="23"/>
  <c r="A327" i="23"/>
  <c r="A138" i="23"/>
  <c r="A1191" i="23"/>
  <c r="A2271" i="23"/>
  <c r="A4350" i="23"/>
  <c r="A300" i="23"/>
  <c r="A1353" i="23"/>
  <c r="A2406" i="23"/>
  <c r="A1164" i="23"/>
  <c r="A2244" i="23"/>
  <c r="A4323" i="23"/>
  <c r="A3351" i="23"/>
  <c r="A1326" i="23"/>
  <c r="A2217" i="23"/>
  <c r="A4296" i="23"/>
  <c r="A3324" i="23"/>
  <c r="A2379" i="23"/>
  <c r="A2190" i="23"/>
  <c r="A4269" i="23"/>
  <c r="A3297" i="23"/>
  <c r="A273" i="23"/>
  <c r="A2352" i="23"/>
  <c r="A4431" i="23"/>
  <c r="A246" i="23"/>
  <c r="A3243" i="23"/>
  <c r="A3405" i="23"/>
  <c r="A3270" i="23"/>
  <c r="A1380" i="23"/>
  <c r="A4242" i="23"/>
  <c r="A1272" i="23"/>
  <c r="A4458" i="23"/>
  <c r="A1299" i="23"/>
  <c r="A4404" i="23"/>
  <c r="A3432" i="23"/>
  <c r="A354" i="23"/>
  <c r="A219" i="23"/>
  <c r="A489" i="23"/>
  <c r="A840" i="23"/>
  <c r="A1002" i="23"/>
  <c r="A57" i="23"/>
  <c r="A2487" i="23"/>
  <c r="A2082" i="23"/>
  <c r="A2460" i="23"/>
  <c r="A3540" i="23"/>
  <c r="A3702" i="23"/>
  <c r="A4053" i="23"/>
  <c r="A3945" i="23"/>
  <c r="A1974" i="23"/>
  <c r="A1812" i="23"/>
  <c r="A1677" i="23"/>
  <c r="A1785" i="23"/>
  <c r="A4593" i="23"/>
  <c r="A4944" i="23"/>
  <c r="A5106" i="23"/>
  <c r="A4161" i="23"/>
  <c r="A948" i="23"/>
  <c r="A786" i="23"/>
  <c r="A651" i="23"/>
  <c r="A759" i="23"/>
  <c r="A2784" i="23"/>
  <c r="A2622" i="23"/>
  <c r="A2055" i="23"/>
  <c r="A3891" i="23"/>
  <c r="A3972" i="23"/>
  <c r="A3783" i="23"/>
  <c r="A3999" i="23"/>
  <c r="A1110" i="23"/>
  <c r="A1623" i="23"/>
  <c r="A1704" i="23"/>
  <c r="A5052" i="23"/>
  <c r="A4890" i="23"/>
  <c r="A4755" i="23"/>
  <c r="A4863" i="23"/>
  <c r="A84" i="23"/>
  <c r="A597" i="23"/>
  <c r="A678" i="23"/>
  <c r="A2163" i="23"/>
  <c r="A2595" i="23"/>
  <c r="A2433" i="23"/>
  <c r="A2568" i="23"/>
  <c r="A3567" i="23"/>
  <c r="A3918" i="23"/>
  <c r="A4080" i="23"/>
  <c r="A3135" i="23"/>
  <c r="A1461" i="23"/>
  <c r="A1056" i="23"/>
  <c r="A1434" i="23"/>
  <c r="A4188" i="23"/>
  <c r="A4701" i="23"/>
  <c r="A4782" i="23"/>
  <c r="A435" i="23"/>
  <c r="A30" i="23"/>
  <c r="A408" i="23"/>
  <c r="A2514" i="23"/>
  <c r="A2676" i="23"/>
  <c r="A3027" i="23"/>
  <c r="A2919" i="23"/>
  <c r="A4026" i="23"/>
  <c r="A3864" i="23"/>
  <c r="A3729" i="23"/>
  <c r="A3837" i="23"/>
  <c r="A1758" i="23"/>
  <c r="A1596" i="23"/>
  <c r="A1029" i="23"/>
  <c r="A4539" i="23"/>
  <c r="A4134" i="23"/>
  <c r="A4512" i="23"/>
  <c r="A543" i="23"/>
  <c r="A516" i="23"/>
  <c r="A2892" i="23"/>
  <c r="A2109" i="23"/>
  <c r="A3108" i="23"/>
  <c r="A1488" i="23"/>
  <c r="A2001" i="23"/>
  <c r="A4728" i="23"/>
  <c r="A4971" i="23"/>
  <c r="A3513" i="23"/>
  <c r="A4566" i="23"/>
  <c r="A2136" i="23"/>
  <c r="A3675" i="23"/>
  <c r="A624" i="23"/>
  <c r="A867" i="23"/>
  <c r="A2838" i="23"/>
  <c r="A2811" i="23"/>
  <c r="A3648" i="23"/>
  <c r="A1839" i="23"/>
  <c r="A1731" i="23"/>
  <c r="A4998" i="23"/>
  <c r="A5025" i="23"/>
  <c r="A4215" i="23"/>
  <c r="A111" i="23"/>
  <c r="A3054" i="23"/>
  <c r="A1893" i="23"/>
  <c r="A705" i="23"/>
  <c r="A1866" i="23"/>
  <c r="A4107" i="23"/>
  <c r="A732" i="23"/>
  <c r="A1137" i="23"/>
  <c r="A4647" i="23"/>
  <c r="A894" i="23"/>
  <c r="A921" i="23"/>
  <c r="A2649" i="23"/>
  <c r="A3189" i="23"/>
  <c r="A3459" i="23"/>
  <c r="A1515" i="23"/>
  <c r="A2028" i="23"/>
  <c r="A4674" i="23"/>
  <c r="A4485" i="23"/>
  <c r="A381" i="23"/>
  <c r="A3486" i="23"/>
  <c r="A3621" i="23"/>
  <c r="A2946" i="23"/>
  <c r="A570" i="23"/>
  <c r="A2865" i="23"/>
  <c r="A2757" i="23"/>
  <c r="A3162" i="23"/>
  <c r="A3756" i="23"/>
  <c r="A1569" i="23"/>
  <c r="A1542" i="23"/>
  <c r="A2541" i="23"/>
  <c r="A5079" i="23"/>
  <c r="A2730" i="23"/>
  <c r="A4836" i="23"/>
  <c r="A2973" i="23"/>
  <c r="A1650" i="23"/>
  <c r="A813" i="23"/>
  <c r="A1083" i="23"/>
  <c r="A1407" i="23"/>
  <c r="A462" i="23"/>
  <c r="A975" i="23"/>
  <c r="A3000" i="23"/>
  <c r="A2703" i="23"/>
  <c r="A3810" i="23"/>
  <c r="A3081" i="23"/>
  <c r="A1920" i="23"/>
  <c r="A1947" i="23"/>
  <c r="A4917" i="23"/>
  <c r="A4809" i="23"/>
  <c r="A3594" i="23"/>
  <c r="A3" i="23"/>
  <c r="A4620" i="23"/>
  <c r="A16" i="2"/>
  <c r="A1175" i="23"/>
  <c r="A2255" i="23"/>
  <c r="A4334" i="23"/>
  <c r="A3362" i="23"/>
  <c r="A1337" i="23"/>
  <c r="A2228" i="23"/>
  <c r="A4307" i="23"/>
  <c r="A3335" i="23"/>
  <c r="A2390" i="23"/>
  <c r="A2201" i="23"/>
  <c r="A4280" i="23"/>
  <c r="A3308" i="23"/>
  <c r="A284" i="23"/>
  <c r="A2363" i="23"/>
  <c r="A4442" i="23"/>
  <c r="A4253" i="23"/>
  <c r="A3281" i="23"/>
  <c r="A257" i="23"/>
  <c r="A1310" i="23"/>
  <c r="A4415" i="23"/>
  <c r="A3254" i="23"/>
  <c r="A230" i="23"/>
  <c r="A1283" i="23"/>
  <c r="A3416" i="23"/>
  <c r="A365" i="23"/>
  <c r="A3227" i="23"/>
  <c r="A203" i="23"/>
  <c r="A1256" i="23"/>
  <c r="A2336" i="23"/>
  <c r="A3389" i="23"/>
  <c r="A176" i="23"/>
  <c r="A338" i="23"/>
  <c r="A2417" i="23"/>
  <c r="A4361" i="23"/>
  <c r="A4388" i="23"/>
  <c r="A4469" i="23"/>
  <c r="A2282" i="23"/>
  <c r="A1202" i="23"/>
  <c r="A1364" i="23"/>
  <c r="A1229" i="23"/>
  <c r="A149" i="23"/>
  <c r="A1391" i="23"/>
  <c r="A3443" i="23"/>
  <c r="A311" i="23"/>
  <c r="A959" i="23"/>
  <c r="A797" i="23"/>
  <c r="A662" i="23"/>
  <c r="A770" i="23"/>
  <c r="A2795" i="23"/>
  <c r="A2633" i="23"/>
  <c r="A2066" i="23"/>
  <c r="A3902" i="23"/>
  <c r="A3983" i="23"/>
  <c r="A3794" i="23"/>
  <c r="A4010" i="23"/>
  <c r="A1121" i="23"/>
  <c r="A1634" i="23"/>
  <c r="A1715" i="23"/>
  <c r="A4226" i="23"/>
  <c r="A4658" i="23"/>
  <c r="A4496" i="23"/>
  <c r="A4631" i="23"/>
  <c r="A95" i="23"/>
  <c r="A608" i="23"/>
  <c r="A689" i="23"/>
  <c r="A2174" i="23"/>
  <c r="A2606" i="23"/>
  <c r="A2444" i="23"/>
  <c r="A2579" i="23"/>
  <c r="A3578" i="23"/>
  <c r="A3929" i="23"/>
  <c r="A4091" i="23"/>
  <c r="A3146" i="23"/>
  <c r="A1472" i="23"/>
  <c r="A1067" i="23"/>
  <c r="A1445" i="23"/>
  <c r="A4577" i="23"/>
  <c r="A4739" i="23"/>
  <c r="A5090" i="23"/>
  <c r="A4982" i="23"/>
  <c r="A446" i="23"/>
  <c r="A41" i="23"/>
  <c r="A419" i="23"/>
  <c r="A2525" i="23"/>
  <c r="A2687" i="23"/>
  <c r="A3038" i="23"/>
  <c r="A2930" i="23"/>
  <c r="A4037" i="23"/>
  <c r="A3875" i="23"/>
  <c r="A3740" i="23"/>
  <c r="A3848" i="23"/>
  <c r="A1769" i="23"/>
  <c r="A1607" i="23"/>
  <c r="A1040" i="23"/>
  <c r="A4928" i="23"/>
  <c r="A5009" i="23"/>
  <c r="A4820" i="23"/>
  <c r="A5036" i="23"/>
  <c r="A743" i="23"/>
  <c r="A581" i="23"/>
  <c r="A14" i="23"/>
  <c r="A2876" i="23"/>
  <c r="A2957" i="23"/>
  <c r="A2768" i="23"/>
  <c r="A2984" i="23"/>
  <c r="A3173" i="23"/>
  <c r="A3686" i="23"/>
  <c r="A3767" i="23"/>
  <c r="A1148" i="23"/>
  <c r="A1580" i="23"/>
  <c r="A1418" i="23"/>
  <c r="A1553" i="23"/>
  <c r="A4604" i="23"/>
  <c r="A4955" i="23"/>
  <c r="A5117" i="23"/>
  <c r="A4172" i="23"/>
  <c r="A122" i="23"/>
  <c r="A554" i="23"/>
  <c r="A392" i="23"/>
  <c r="A527" i="23"/>
  <c r="A2552" i="23"/>
  <c r="A2903" i="23"/>
  <c r="A3065" i="23"/>
  <c r="A2120" i="23"/>
  <c r="A3524" i="23"/>
  <c r="A3119" i="23"/>
  <c r="A3497" i="23"/>
  <c r="A1499" i="23"/>
  <c r="A1661" i="23"/>
  <c r="A2012" i="23"/>
  <c r="A1904" i="23"/>
  <c r="A5063" i="23"/>
  <c r="A4901" i="23"/>
  <c r="A4766" i="23"/>
  <c r="A4874" i="23"/>
  <c r="A824" i="23"/>
  <c r="A905" i="23"/>
  <c r="A716" i="23"/>
  <c r="A932" i="23"/>
  <c r="A2147" i="23"/>
  <c r="A2660" i="23"/>
  <c r="A2741" i="23"/>
  <c r="A3200" i="23"/>
  <c r="A3632" i="23"/>
  <c r="A3470" i="23"/>
  <c r="A3605" i="23"/>
  <c r="A1526" i="23"/>
  <c r="A1877" i="23"/>
  <c r="A2039" i="23"/>
  <c r="A1094" i="23"/>
  <c r="A4550" i="23"/>
  <c r="A4145" i="23"/>
  <c r="A4523" i="23"/>
  <c r="A851" i="23"/>
  <c r="A2093" i="23"/>
  <c r="A4064" i="23"/>
  <c r="A1688" i="23"/>
  <c r="A4118" i="23"/>
  <c r="A986" i="23"/>
  <c r="A2714" i="23"/>
  <c r="A3092" i="23"/>
  <c r="A1958" i="23"/>
  <c r="A2309" i="23"/>
  <c r="A1013" i="23"/>
  <c r="A2471" i="23"/>
  <c r="A3956" i="23"/>
  <c r="A1796" i="23"/>
  <c r="A878" i="23"/>
  <c r="A2822" i="23"/>
  <c r="A1850" i="23"/>
  <c r="A4199" i="23"/>
  <c r="A68" i="23"/>
  <c r="A3551" i="23"/>
  <c r="A1985" i="23"/>
  <c r="A4847" i="23"/>
  <c r="A500" i="23"/>
  <c r="A2498" i="23"/>
  <c r="A3713" i="23"/>
  <c r="A1823" i="23"/>
  <c r="A4685" i="23"/>
  <c r="A3011" i="23"/>
  <c r="A2849" i="23"/>
  <c r="A635" i="23"/>
  <c r="A3821" i="23"/>
  <c r="A3659" i="23"/>
  <c r="A4793" i="23"/>
  <c r="A1931" i="23"/>
  <c r="A1742" i="23"/>
  <c r="A473" i="23"/>
  <c r="A4712" i="23"/>
  <c r="A30" i="2"/>
  <c r="A190" i="23"/>
  <c r="A1243" i="23"/>
  <c r="A2323" i="23"/>
  <c r="A4402" i="23"/>
  <c r="A352" i="23"/>
  <c r="A163" i="23"/>
  <c r="A1216" i="23"/>
  <c r="A2296" i="23"/>
  <c r="A4375" i="23"/>
  <c r="A325" i="23"/>
  <c r="A1378" i="23"/>
  <c r="A2431" i="23"/>
  <c r="A1189" i="23"/>
  <c r="A2269" i="23"/>
  <c r="A4348" i="23"/>
  <c r="A3376" i="23"/>
  <c r="A1351" i="23"/>
  <c r="A2242" i="23"/>
  <c r="A4321" i="23"/>
  <c r="A3349" i="23"/>
  <c r="A2404" i="23"/>
  <c r="A2215" i="23"/>
  <c r="A4294" i="23"/>
  <c r="A3322" i="23"/>
  <c r="A298" i="23"/>
  <c r="A2377" i="23"/>
  <c r="A4456" i="23"/>
  <c r="A3457" i="23"/>
  <c r="A4267" i="23"/>
  <c r="A3295" i="23"/>
  <c r="A271" i="23"/>
  <c r="A1324" i="23"/>
  <c r="A4429" i="23"/>
  <c r="A244" i="23"/>
  <c r="A4186" i="23"/>
  <c r="A5131" i="23"/>
  <c r="A4969" i="23"/>
  <c r="A4618" i="23"/>
  <c r="A1567" i="23"/>
  <c r="A1432" i="23"/>
  <c r="A1594" i="23"/>
  <c r="A1162" i="23"/>
  <c r="A3781" i="23"/>
  <c r="A3700" i="23"/>
  <c r="A3187" i="23"/>
  <c r="A3241" i="23"/>
  <c r="A3403" i="23"/>
  <c r="A1405" i="23"/>
  <c r="A5050" i="23"/>
  <c r="A4834" i="23"/>
  <c r="A5023" i="23"/>
  <c r="A4942" i="23"/>
  <c r="A1054" i="23"/>
  <c r="A1621" i="23"/>
  <c r="A1783" i="23"/>
  <c r="A3862" i="23"/>
  <c r="A3754" i="23"/>
  <c r="A3889" i="23"/>
  <c r="A4051" i="23"/>
  <c r="A3268" i="23"/>
  <c r="A3430" i="23"/>
  <c r="A2350" i="23"/>
  <c r="A1270" i="23"/>
  <c r="A379" i="23"/>
  <c r="A4537" i="23"/>
  <c r="A4159" i="23"/>
  <c r="A4564" i="23"/>
  <c r="A1108" i="23"/>
  <c r="A2053" i="23"/>
  <c r="A1891" i="23"/>
  <c r="A1540" i="23"/>
  <c r="A3619" i="23"/>
  <c r="A3484" i="23"/>
  <c r="A3646" i="23"/>
  <c r="A1297" i="23"/>
  <c r="A217" i="23"/>
  <c r="A4699" i="23"/>
  <c r="A4591" i="23"/>
  <c r="A1756" i="23"/>
  <c r="A1135" i="23"/>
  <c r="A3511" i="23"/>
  <c r="A3727" i="23"/>
  <c r="A2134" i="23"/>
  <c r="A3079" i="23"/>
  <c r="A2917" i="23"/>
  <c r="A2566" i="23"/>
  <c r="A541" i="23"/>
  <c r="A406" i="23"/>
  <c r="A568" i="23"/>
  <c r="A136" i="23"/>
  <c r="A4996" i="23"/>
  <c r="A4726" i="23"/>
  <c r="A4240" i="23"/>
  <c r="A2026" i="23"/>
  <c r="A1999" i="23"/>
  <c r="A4105" i="23"/>
  <c r="A3835" i="23"/>
  <c r="A2998" i="23"/>
  <c r="A2782" i="23"/>
  <c r="A2971" i="23"/>
  <c r="A2890" i="23"/>
  <c r="A28" i="23"/>
  <c r="A595" i="23"/>
  <c r="A757" i="23"/>
  <c r="A4888" i="23"/>
  <c r="A4645" i="23"/>
  <c r="A4915" i="23"/>
  <c r="A1810" i="23"/>
  <c r="A1081" i="23"/>
  <c r="A1864" i="23"/>
  <c r="A3808" i="23"/>
  <c r="A3538" i="23"/>
  <c r="A2944" i="23"/>
  <c r="A3052" i="23"/>
  <c r="A2701" i="23"/>
  <c r="A2539" i="23"/>
  <c r="A433" i="23"/>
  <c r="A55" i="23"/>
  <c r="A460" i="23"/>
  <c r="A4807" i="23"/>
  <c r="A4672" i="23"/>
  <c r="A1918" i="23"/>
  <c r="A1837" i="23"/>
  <c r="A3160" i="23"/>
  <c r="A3673" i="23"/>
  <c r="A3916" i="23"/>
  <c r="A2080" i="23"/>
  <c r="A2647" i="23"/>
  <c r="A2809" i="23"/>
  <c r="A784" i="23"/>
  <c r="A676" i="23"/>
  <c r="A811" i="23"/>
  <c r="A973" i="23"/>
  <c r="A4780" i="23"/>
  <c r="A4861" i="23"/>
  <c r="A1459" i="23"/>
  <c r="A1945" i="23"/>
  <c r="A4024" i="23"/>
  <c r="A3133" i="23"/>
  <c r="A3565" i="23"/>
  <c r="A2485" i="23"/>
  <c r="A2107" i="23"/>
  <c r="A2512" i="23"/>
  <c r="A82" i="23"/>
  <c r="A1027" i="23"/>
  <c r="A865" i="23"/>
  <c r="A514" i="23"/>
  <c r="A4483" i="23"/>
  <c r="A5104" i="23"/>
  <c r="A1648" i="23"/>
  <c r="A3997" i="23"/>
  <c r="A2674" i="23"/>
  <c r="A703" i="23"/>
  <c r="A487" i="23"/>
  <c r="A4510" i="23"/>
  <c r="A1675" i="23"/>
  <c r="A3592" i="23"/>
  <c r="A2863" i="23"/>
  <c r="A730" i="23"/>
  <c r="A4753" i="23"/>
  <c r="A1486" i="23"/>
  <c r="A3214" i="23"/>
  <c r="A2620" i="23"/>
  <c r="A1000" i="23"/>
  <c r="A5077" i="23"/>
  <c r="A3970" i="23"/>
  <c r="A2593" i="23"/>
  <c r="A3025" i="23"/>
  <c r="A919" i="23"/>
  <c r="A1972" i="23"/>
  <c r="A3106" i="23"/>
  <c r="A2755" i="23"/>
  <c r="A2188" i="23"/>
  <c r="A649" i="23"/>
  <c r="A1513" i="23"/>
  <c r="A892" i="23"/>
  <c r="A4078" i="23"/>
  <c r="A622" i="23"/>
  <c r="A3943" i="23"/>
  <c r="A109" i="23"/>
  <c r="A2836" i="23"/>
  <c r="A838" i="23"/>
  <c r="A4132" i="23"/>
  <c r="A2728" i="23"/>
  <c r="A1729" i="23"/>
  <c r="A2161" i="23"/>
  <c r="A2458" i="23"/>
  <c r="A946" i="23"/>
  <c r="A4213" i="23"/>
  <c r="A1702" i="23"/>
  <c r="A6" i="2"/>
  <c r="A166" i="23"/>
  <c r="A1219" i="23"/>
  <c r="A2299" i="23"/>
  <c r="A4378" i="23"/>
  <c r="A328" i="23"/>
  <c r="A139" i="23"/>
  <c r="A1192" i="23"/>
  <c r="A2272" i="23"/>
  <c r="A4351" i="23"/>
  <c r="A301" i="23"/>
  <c r="A1354" i="23"/>
  <c r="A2407" i="23"/>
  <c r="A1165" i="23"/>
  <c r="A2245" i="23"/>
  <c r="A4324" i="23"/>
  <c r="A3352" i="23"/>
  <c r="A1327" i="23"/>
  <c r="A2218" i="23"/>
  <c r="A4297" i="23"/>
  <c r="A3325" i="23"/>
  <c r="A2380" i="23"/>
  <c r="A2191" i="23"/>
  <c r="A4270" i="23"/>
  <c r="A3298" i="23"/>
  <c r="A274" i="23"/>
  <c r="A2353" i="23"/>
  <c r="A4432" i="23"/>
  <c r="A4243" i="23"/>
  <c r="A3271" i="23"/>
  <c r="A247" i="23"/>
  <c r="A1300" i="23"/>
  <c r="A4405" i="23"/>
  <c r="A3244" i="23"/>
  <c r="A3406" i="23"/>
  <c r="A2326" i="23"/>
  <c r="A1381" i="23"/>
  <c r="A1246" i="23"/>
  <c r="A355" i="23"/>
  <c r="A193" i="23"/>
  <c r="A220" i="23"/>
  <c r="A3433" i="23"/>
  <c r="A3379" i="23"/>
  <c r="A4459" i="23"/>
  <c r="A3217" i="23"/>
  <c r="A1273" i="23"/>
  <c r="A85" i="23"/>
  <c r="A598" i="23"/>
  <c r="A679" i="23"/>
  <c r="A2164" i="23"/>
  <c r="A2596" i="23"/>
  <c r="A2434" i="23"/>
  <c r="A2569" i="23"/>
  <c r="A3568" i="23"/>
  <c r="A3919" i="23"/>
  <c r="A4081" i="23"/>
  <c r="A3136" i="23"/>
  <c r="A1462" i="23"/>
  <c r="A1057" i="23"/>
  <c r="A1435" i="23"/>
  <c r="A4567" i="23"/>
  <c r="A4729" i="23"/>
  <c r="A5080" i="23"/>
  <c r="A4972" i="23"/>
  <c r="A436" i="23"/>
  <c r="A31" i="23"/>
  <c r="A409" i="23"/>
  <c r="A2515" i="23"/>
  <c r="A2677" i="23"/>
  <c r="A3028" i="23"/>
  <c r="A2920" i="23"/>
  <c r="A4027" i="23"/>
  <c r="A3865" i="23"/>
  <c r="A3730" i="23"/>
  <c r="A3838" i="23"/>
  <c r="A1759" i="23"/>
  <c r="A1597" i="23"/>
  <c r="A1030" i="23"/>
  <c r="A4918" i="23"/>
  <c r="A4999" i="23"/>
  <c r="A4810" i="23"/>
  <c r="A5026" i="23"/>
  <c r="A733" i="23"/>
  <c r="A571" i="23"/>
  <c r="A4" i="23"/>
  <c r="A2866" i="23"/>
  <c r="A2947" i="23"/>
  <c r="A2758" i="23"/>
  <c r="A2974" i="23"/>
  <c r="A3163" i="23"/>
  <c r="A3676" i="23"/>
  <c r="A3757" i="23"/>
  <c r="A1138" i="23"/>
  <c r="A1570" i="23"/>
  <c r="A1408" i="23"/>
  <c r="A1543" i="23"/>
  <c r="A4594" i="23"/>
  <c r="A4945" i="23"/>
  <c r="A5107" i="23"/>
  <c r="A4162" i="23"/>
  <c r="A112" i="23"/>
  <c r="A544" i="23"/>
  <c r="A382" i="23"/>
  <c r="A517" i="23"/>
  <c r="A2542" i="23"/>
  <c r="A2893" i="23"/>
  <c r="A3055" i="23"/>
  <c r="A2110" i="23"/>
  <c r="A3514" i="23"/>
  <c r="A3109" i="23"/>
  <c r="A3487" i="23"/>
  <c r="A1489" i="23"/>
  <c r="A1651" i="23"/>
  <c r="A2002" i="23"/>
  <c r="A1894" i="23"/>
  <c r="A5053" i="23"/>
  <c r="A4891" i="23"/>
  <c r="A4756" i="23"/>
  <c r="A4864" i="23"/>
  <c r="A895" i="23"/>
  <c r="A922" i="23"/>
  <c r="A2650" i="23"/>
  <c r="A3190" i="23"/>
  <c r="A3460" i="23"/>
  <c r="A1516" i="23"/>
  <c r="A2029" i="23"/>
  <c r="A4540" i="23"/>
  <c r="A4513" i="23"/>
  <c r="A2731" i="23"/>
  <c r="A1084" i="23"/>
  <c r="A2785" i="23"/>
  <c r="A4216" i="23"/>
  <c r="A1840" i="23"/>
  <c r="A841" i="23"/>
  <c r="A58" i="23"/>
  <c r="A2083" i="23"/>
  <c r="A3541" i="23"/>
  <c r="A4054" i="23"/>
  <c r="A1975" i="23"/>
  <c r="A1678" i="23"/>
  <c r="A4837" i="23"/>
  <c r="A4108" i="23"/>
  <c r="A814" i="23"/>
  <c r="A3622" i="23"/>
  <c r="A4135" i="23"/>
  <c r="A4000" i="23"/>
  <c r="A2812" i="23"/>
  <c r="A4189" i="23"/>
  <c r="A787" i="23"/>
  <c r="A760" i="23"/>
  <c r="A2623" i="23"/>
  <c r="A3892" i="23"/>
  <c r="A3784" i="23"/>
  <c r="A1111" i="23"/>
  <c r="A1705" i="23"/>
  <c r="A4648" i="23"/>
  <c r="A4621" i="23"/>
  <c r="A3595" i="23"/>
  <c r="A2056" i="23"/>
  <c r="A4486" i="23"/>
  <c r="A625" i="23"/>
  <c r="A3649" i="23"/>
  <c r="A4783" i="23"/>
  <c r="A463" i="23"/>
  <c r="A976" i="23"/>
  <c r="A3001" i="23"/>
  <c r="A2704" i="23"/>
  <c r="A3811" i="23"/>
  <c r="A3082" i="23"/>
  <c r="A1921" i="23"/>
  <c r="A1948" i="23"/>
  <c r="A4702" i="23"/>
  <c r="A2137" i="23"/>
  <c r="A1867" i="23"/>
  <c r="A652" i="23"/>
  <c r="A1624" i="23"/>
  <c r="A1732" i="23"/>
  <c r="A706" i="23"/>
  <c r="A949" i="23"/>
  <c r="A868" i="23"/>
  <c r="A490" i="23"/>
  <c r="A1003" i="23"/>
  <c r="A2488" i="23"/>
  <c r="A2461" i="23"/>
  <c r="A3703" i="23"/>
  <c r="A3946" i="23"/>
  <c r="A1813" i="23"/>
  <c r="A1786" i="23"/>
  <c r="A4675" i="23"/>
  <c r="A3973" i="23"/>
  <c r="A2839" i="23"/>
  <c r="A29" i="2"/>
  <c r="A3240" i="23"/>
  <c r="A216" i="23"/>
  <c r="A1269" i="23"/>
  <c r="A2349" i="23"/>
  <c r="A3402" i="23"/>
  <c r="A189" i="23"/>
  <c r="A1242" i="23"/>
  <c r="A2322" i="23"/>
  <c r="A4401" i="23"/>
  <c r="A351" i="23"/>
  <c r="A162" i="23"/>
  <c r="A1215" i="23"/>
  <c r="A2295" i="23"/>
  <c r="A4374" i="23"/>
  <c r="A324" i="23"/>
  <c r="A1377" i="23"/>
  <c r="A2430" i="23"/>
  <c r="A1188" i="23"/>
  <c r="A2268" i="23"/>
  <c r="A4347" i="23"/>
  <c r="A3375" i="23"/>
  <c r="A1350" i="23"/>
  <c r="A2241" i="23"/>
  <c r="A4320" i="23"/>
  <c r="A3348" i="23"/>
  <c r="A2403" i="23"/>
  <c r="A2214" i="23"/>
  <c r="A4293" i="23"/>
  <c r="A3321" i="23"/>
  <c r="A297" i="23"/>
  <c r="A2376" i="23"/>
  <c r="A4455" i="23"/>
  <c r="A3456" i="23"/>
  <c r="A1323" i="23"/>
  <c r="A243" i="23"/>
  <c r="A270" i="23"/>
  <c r="A1404" i="23"/>
  <c r="A3267" i="23"/>
  <c r="A3429" i="23"/>
  <c r="A3294" i="23"/>
  <c r="A4482" i="23"/>
  <c r="A4266" i="23"/>
  <c r="A4428" i="23"/>
  <c r="A378" i="23"/>
  <c r="A4806" i="23"/>
  <c r="A4725" i="23"/>
  <c r="A4212" i="23"/>
  <c r="A1971" i="23"/>
  <c r="A1755" i="23"/>
  <c r="A1944" i="23"/>
  <c r="A1863" i="23"/>
  <c r="A3105" i="23"/>
  <c r="A3672" i="23"/>
  <c r="A3834" i="23"/>
  <c r="A2835" i="23"/>
  <c r="A2727" i="23"/>
  <c r="A2862" i="23"/>
  <c r="A3024" i="23"/>
  <c r="A891" i="23"/>
  <c r="A999" i="23"/>
  <c r="A648" i="23"/>
  <c r="A486" i="23"/>
  <c r="A4779" i="23"/>
  <c r="A4914" i="23"/>
  <c r="A5076" i="23"/>
  <c r="A1917" i="23"/>
  <c r="A2025" i="23"/>
  <c r="A1674" i="23"/>
  <c r="A1512" i="23"/>
  <c r="A3510" i="23"/>
  <c r="A3132" i="23"/>
  <c r="A3537" i="23"/>
  <c r="A2133" i="23"/>
  <c r="A3078" i="23"/>
  <c r="A2916" i="23"/>
  <c r="A2565" i="23"/>
  <c r="A540" i="23"/>
  <c r="A405" i="23"/>
  <c r="A567" i="23"/>
  <c r="A135" i="23"/>
  <c r="A1296" i="23"/>
  <c r="A4185" i="23"/>
  <c r="A5130" i="23"/>
  <c r="A4968" i="23"/>
  <c r="A4617" i="23"/>
  <c r="A1566" i="23"/>
  <c r="A1431" i="23"/>
  <c r="A1593" i="23"/>
  <c r="A1161" i="23"/>
  <c r="A3780" i="23"/>
  <c r="A3699" i="23"/>
  <c r="A3186" i="23"/>
  <c r="A2997" i="23"/>
  <c r="A2781" i="23"/>
  <c r="A2970" i="23"/>
  <c r="A2889" i="23"/>
  <c r="A27" i="23"/>
  <c r="A594" i="23"/>
  <c r="A756" i="23"/>
  <c r="A4887" i="23"/>
  <c r="A4995" i="23"/>
  <c r="A5103" i="23"/>
  <c r="A4752" i="23"/>
  <c r="A4590" i="23"/>
  <c r="A1458" i="23"/>
  <c r="A1080" i="23"/>
  <c r="A1485" i="23"/>
  <c r="A3159" i="23"/>
  <c r="A4104" i="23"/>
  <c r="A3942" i="23"/>
  <c r="A3591" i="23"/>
  <c r="A2592" i="23"/>
  <c r="A2457" i="23"/>
  <c r="A2619" i="23"/>
  <c r="A2187" i="23"/>
  <c r="A702" i="23"/>
  <c r="A621" i="23"/>
  <c r="A108" i="23"/>
  <c r="A4644" i="23"/>
  <c r="A4509" i="23"/>
  <c r="A4671" i="23"/>
  <c r="A4239" i="23"/>
  <c r="A1728" i="23"/>
  <c r="A1647" i="23"/>
  <c r="A1134" i="23"/>
  <c r="A4023" i="23"/>
  <c r="A3807" i="23"/>
  <c r="A3996" i="23"/>
  <c r="A3915" i="23"/>
  <c r="A2079" i="23"/>
  <c r="A2646" i="23"/>
  <c r="A2808" i="23"/>
  <c r="A783" i="23"/>
  <c r="A675" i="23"/>
  <c r="A810" i="23"/>
  <c r="A972" i="23"/>
  <c r="A4860" i="23"/>
  <c r="A1620" i="23"/>
  <c r="A3618" i="23"/>
  <c r="A3564" i="23"/>
  <c r="A2700" i="23"/>
  <c r="A729" i="23"/>
  <c r="A5049" i="23"/>
  <c r="A4563" i="23"/>
  <c r="A1836" i="23"/>
  <c r="A3753" i="23"/>
  <c r="A3213" i="23"/>
  <c r="A2511" i="23"/>
  <c r="A54" i="23"/>
  <c r="A4131" i="23"/>
  <c r="A4941" i="23"/>
  <c r="A1890" i="23"/>
  <c r="A4077" i="23"/>
  <c r="A2943" i="23"/>
  <c r="A2160" i="23"/>
  <c r="A864" i="23"/>
  <c r="A4833" i="23"/>
  <c r="A1107" i="23"/>
  <c r="A1998" i="23"/>
  <c r="A3888" i="23"/>
  <c r="A2754" i="23"/>
  <c r="A81" i="23"/>
  <c r="A459" i="23"/>
  <c r="A4698" i="23"/>
  <c r="A1053" i="23"/>
  <c r="A1539" i="23"/>
  <c r="A3726" i="23"/>
  <c r="A3051" i="23"/>
  <c r="A945" i="23"/>
  <c r="A513" i="23"/>
  <c r="A1701" i="23"/>
  <c r="A2484" i="23"/>
  <c r="A2052" i="23"/>
  <c r="A2106" i="23"/>
  <c r="A1782" i="23"/>
  <c r="A2673" i="23"/>
  <c r="A3861" i="23"/>
  <c r="A2538" i="23"/>
  <c r="A4536" i="23"/>
  <c r="A3969" i="23"/>
  <c r="A432" i="23"/>
  <c r="A5022" i="23"/>
  <c r="A3645" i="23"/>
  <c r="A918" i="23"/>
  <c r="A4158" i="23"/>
  <c r="A1809" i="23"/>
  <c r="A3483" i="23"/>
  <c r="A1026" i="23"/>
  <c r="A4050" i="23"/>
  <c r="A837" i="23"/>
  <c r="A13" i="2"/>
  <c r="A3224" i="23"/>
  <c r="A200" i="23"/>
  <c r="A1253" i="23"/>
  <c r="A2333" i="23"/>
  <c r="A3386" i="23"/>
  <c r="A173" i="23"/>
  <c r="A1226" i="23"/>
  <c r="A2306" i="23"/>
  <c r="A4385" i="23"/>
  <c r="A335" i="23"/>
  <c r="A146" i="23"/>
  <c r="A1199" i="23"/>
  <c r="A2279" i="23"/>
  <c r="A4358" i="23"/>
  <c r="A308" i="23"/>
  <c r="A1361" i="23"/>
  <c r="A2414" i="23"/>
  <c r="A1172" i="23"/>
  <c r="A2252" i="23"/>
  <c r="A4331" i="23"/>
  <c r="A3359" i="23"/>
  <c r="A1334" i="23"/>
  <c r="A2225" i="23"/>
  <c r="A4304" i="23"/>
  <c r="A3332" i="23"/>
  <c r="A2387" i="23"/>
  <c r="A2198" i="23"/>
  <c r="A4277" i="23"/>
  <c r="A3305" i="23"/>
  <c r="A281" i="23"/>
  <c r="A2360" i="23"/>
  <c r="A4439" i="23"/>
  <c r="A3278" i="23"/>
  <c r="A4250" i="23"/>
  <c r="A4412" i="23"/>
  <c r="A362" i="23"/>
  <c r="A1388" i="23"/>
  <c r="A1280" i="23"/>
  <c r="A227" i="23"/>
  <c r="A4466" i="23"/>
  <c r="A254" i="23"/>
  <c r="A3413" i="23"/>
  <c r="A3440" i="23"/>
  <c r="A3251" i="23"/>
  <c r="A470" i="23"/>
  <c r="A632" i="23"/>
  <c r="A983" i="23"/>
  <c r="A875" i="23"/>
  <c r="A3008" i="23"/>
  <c r="A2846" i="23"/>
  <c r="A2711" i="23"/>
  <c r="A2819" i="23"/>
  <c r="A3818" i="23"/>
  <c r="A3656" i="23"/>
  <c r="A3089" i="23"/>
  <c r="A1847" i="23"/>
  <c r="A1928" i="23"/>
  <c r="A1739" i="23"/>
  <c r="A1955" i="23"/>
  <c r="A4196" i="23"/>
  <c r="A4709" i="23"/>
  <c r="A4790" i="23"/>
  <c r="A821" i="23"/>
  <c r="A902" i="23"/>
  <c r="A713" i="23"/>
  <c r="A929" i="23"/>
  <c r="A2144" i="23"/>
  <c r="A2657" i="23"/>
  <c r="A2738" i="23"/>
  <c r="A3197" i="23"/>
  <c r="A3629" i="23"/>
  <c r="A3467" i="23"/>
  <c r="A3602" i="23"/>
  <c r="A1523" i="23"/>
  <c r="A1874" i="23"/>
  <c r="A2036" i="23"/>
  <c r="A1091" i="23"/>
  <c r="A4547" i="23"/>
  <c r="A4142" i="23"/>
  <c r="A4520" i="23"/>
  <c r="A497" i="23"/>
  <c r="A848" i="23"/>
  <c r="A1010" i="23"/>
  <c r="A65" i="23"/>
  <c r="A2495" i="23"/>
  <c r="A2090" i="23"/>
  <c r="A2468" i="23"/>
  <c r="A3548" i="23"/>
  <c r="A3710" i="23"/>
  <c r="A4061" i="23"/>
  <c r="A3953" i="23"/>
  <c r="A1982" i="23"/>
  <c r="A1820" i="23"/>
  <c r="A1685" i="23"/>
  <c r="A1793" i="23"/>
  <c r="A4844" i="23"/>
  <c r="A4682" i="23"/>
  <c r="A4115" i="23"/>
  <c r="A956" i="23"/>
  <c r="A794" i="23"/>
  <c r="A659" i="23"/>
  <c r="A767" i="23"/>
  <c r="A2792" i="23"/>
  <c r="A2630" i="23"/>
  <c r="A2063" i="23"/>
  <c r="A3899" i="23"/>
  <c r="A3980" i="23"/>
  <c r="A3791" i="23"/>
  <c r="A4007" i="23"/>
  <c r="A1118" i="23"/>
  <c r="A1631" i="23"/>
  <c r="A1712" i="23"/>
  <c r="A4223" i="23"/>
  <c r="A4655" i="23"/>
  <c r="A4493" i="23"/>
  <c r="A4628" i="23"/>
  <c r="A92" i="23"/>
  <c r="A605" i="23"/>
  <c r="A686" i="23"/>
  <c r="A2171" i="23"/>
  <c r="A2603" i="23"/>
  <c r="A2441" i="23"/>
  <c r="A2576" i="23"/>
  <c r="A3575" i="23"/>
  <c r="A3926" i="23"/>
  <c r="A4088" i="23"/>
  <c r="A3143" i="23"/>
  <c r="A1469" i="23"/>
  <c r="A1064" i="23"/>
  <c r="A1442" i="23"/>
  <c r="A4574" i="23"/>
  <c r="A4736" i="23"/>
  <c r="A5087" i="23"/>
  <c r="A4979" i="23"/>
  <c r="A740" i="23"/>
  <c r="A578" i="23"/>
  <c r="A11" i="23"/>
  <c r="A2873" i="23"/>
  <c r="A2954" i="23"/>
  <c r="A2765" i="23"/>
  <c r="A2981" i="23"/>
  <c r="A3170" i="23"/>
  <c r="A3683" i="23"/>
  <c r="A3764" i="23"/>
  <c r="A1145" i="23"/>
  <c r="A1577" i="23"/>
  <c r="A1415" i="23"/>
  <c r="A1550" i="23"/>
  <c r="A4601" i="23"/>
  <c r="A4952" i="23"/>
  <c r="A5114" i="23"/>
  <c r="A4169" i="23"/>
  <c r="A524" i="23"/>
  <c r="A2117" i="23"/>
  <c r="A1496" i="23"/>
  <c r="A5060" i="23"/>
  <c r="A2522" i="23"/>
  <c r="A4034" i="23"/>
  <c r="A1766" i="23"/>
  <c r="A5006" i="23"/>
  <c r="A119" i="23"/>
  <c r="A2549" i="23"/>
  <c r="A3521" i="23"/>
  <c r="A1658" i="23"/>
  <c r="A4898" i="23"/>
  <c r="A1307" i="23"/>
  <c r="A443" i="23"/>
  <c r="A2684" i="23"/>
  <c r="A3872" i="23"/>
  <c r="A1604" i="23"/>
  <c r="A4817" i="23"/>
  <c r="A551" i="23"/>
  <c r="A2900" i="23"/>
  <c r="A3116" i="23"/>
  <c r="A2009" i="23"/>
  <c r="A4763" i="23"/>
  <c r="A389" i="23"/>
  <c r="A3062" i="23"/>
  <c r="A3494" i="23"/>
  <c r="A1901" i="23"/>
  <c r="A4871" i="23"/>
  <c r="A1037" i="23"/>
  <c r="A4925" i="23"/>
  <c r="A38" i="23"/>
  <c r="A5033" i="23"/>
  <c r="A3845" i="23"/>
  <c r="A416" i="23"/>
  <c r="A3035" i="23"/>
  <c r="A2927" i="23"/>
  <c r="A3737" i="23"/>
  <c r="A28" i="2"/>
  <c r="A3266" i="23"/>
  <c r="A242" i="23"/>
  <c r="A1295" i="23"/>
  <c r="A3428" i="23"/>
  <c r="A377" i="23"/>
  <c r="A3239" i="23"/>
  <c r="A215" i="23"/>
  <c r="A1268" i="23"/>
  <c r="A2348" i="23"/>
  <c r="A3401" i="23"/>
  <c r="A188" i="23"/>
  <c r="A1241" i="23"/>
  <c r="A2321" i="23"/>
  <c r="A4400" i="23"/>
  <c r="A350" i="23"/>
  <c r="A161" i="23"/>
  <c r="A1214" i="23"/>
  <c r="A2294" i="23"/>
  <c r="A4373" i="23"/>
  <c r="A323" i="23"/>
  <c r="A1376" i="23"/>
  <c r="A2429" i="23"/>
  <c r="A1187" i="23"/>
  <c r="A2267" i="23"/>
  <c r="A4346" i="23"/>
  <c r="A3374" i="23"/>
  <c r="A1349" i="23"/>
  <c r="A2240" i="23"/>
  <c r="A4319" i="23"/>
  <c r="A3347" i="23"/>
  <c r="A2402" i="23"/>
  <c r="A4292" i="23"/>
  <c r="A4454" i="23"/>
  <c r="A1322" i="23"/>
  <c r="A2213" i="23"/>
  <c r="A2375" i="23"/>
  <c r="A269" i="23"/>
  <c r="A1403" i="23"/>
  <c r="A3293" i="23"/>
  <c r="A3320" i="23"/>
  <c r="A4481" i="23"/>
  <c r="A4535" i="23"/>
  <c r="A4157" i="23"/>
  <c r="A4562" i="23"/>
  <c r="A1106" i="23"/>
  <c r="A2051" i="23"/>
  <c r="A1889" i="23"/>
  <c r="A1538" i="23"/>
  <c r="A3617" i="23"/>
  <c r="A3482" i="23"/>
  <c r="A3644" i="23"/>
  <c r="A3212" i="23"/>
  <c r="A2753" i="23"/>
  <c r="A2672" i="23"/>
  <c r="A2159" i="23"/>
  <c r="A944" i="23"/>
  <c r="A728" i="23"/>
  <c r="A917" i="23"/>
  <c r="A836" i="23"/>
  <c r="A4805" i="23"/>
  <c r="A4724" i="23"/>
  <c r="A4211" i="23"/>
  <c r="A1970" i="23"/>
  <c r="A1754" i="23"/>
  <c r="A1943" i="23"/>
  <c r="A1862" i="23"/>
  <c r="A3104" i="23"/>
  <c r="A3671" i="23"/>
  <c r="A3833" i="23"/>
  <c r="A2834" i="23"/>
  <c r="A2726" i="23"/>
  <c r="A2861" i="23"/>
  <c r="A3023" i="23"/>
  <c r="A890" i="23"/>
  <c r="A998" i="23"/>
  <c r="A647" i="23"/>
  <c r="A485" i="23"/>
  <c r="A4778" i="23"/>
  <c r="A4913" i="23"/>
  <c r="A5075" i="23"/>
  <c r="A1916" i="23"/>
  <c r="A2024" i="23"/>
  <c r="A1673" i="23"/>
  <c r="A1511" i="23"/>
  <c r="A3509" i="23"/>
  <c r="A3131" i="23"/>
  <c r="A3536" i="23"/>
  <c r="A2132" i="23"/>
  <c r="A3077" i="23"/>
  <c r="A2915" i="23"/>
  <c r="A2564" i="23"/>
  <c r="A539" i="23"/>
  <c r="A404" i="23"/>
  <c r="A566" i="23"/>
  <c r="A134" i="23"/>
  <c r="A5048" i="23"/>
  <c r="A4832" i="23"/>
  <c r="A5021" i="23"/>
  <c r="A4940" i="23"/>
  <c r="A1052" i="23"/>
  <c r="A1619" i="23"/>
  <c r="A1781" i="23"/>
  <c r="A3860" i="23"/>
  <c r="A3752" i="23"/>
  <c r="A3887" i="23"/>
  <c r="A4049" i="23"/>
  <c r="A2942" i="23"/>
  <c r="A3050" i="23"/>
  <c r="A2699" i="23"/>
  <c r="A2537" i="23"/>
  <c r="A431" i="23"/>
  <c r="A53" i="23"/>
  <c r="A458" i="23"/>
  <c r="A296" i="23"/>
  <c r="A4994" i="23"/>
  <c r="A5102" i="23"/>
  <c r="A4751" i="23"/>
  <c r="A4589" i="23"/>
  <c r="A1457" i="23"/>
  <c r="A1079" i="23"/>
  <c r="A1484" i="23"/>
  <c r="A3158" i="23"/>
  <c r="A4103" i="23"/>
  <c r="A3941" i="23"/>
  <c r="A3590" i="23"/>
  <c r="A2591" i="23"/>
  <c r="A2456" i="23"/>
  <c r="A2618" i="23"/>
  <c r="A2186" i="23"/>
  <c r="A701" i="23"/>
  <c r="A620" i="23"/>
  <c r="A107" i="23"/>
  <c r="A4427" i="23"/>
  <c r="A4643" i="23"/>
  <c r="A4616" i="23"/>
  <c r="A1835" i="23"/>
  <c r="A3806" i="23"/>
  <c r="A2996" i="23"/>
  <c r="A2510" i="23"/>
  <c r="A809" i="23"/>
  <c r="A4130" i="23"/>
  <c r="A4238" i="23"/>
  <c r="A1592" i="23"/>
  <c r="A4076" i="23"/>
  <c r="A2078" i="23"/>
  <c r="A2888" i="23"/>
  <c r="A863" i="23"/>
  <c r="A5129" i="23"/>
  <c r="A1808" i="23"/>
  <c r="A1133" i="23"/>
  <c r="A3698" i="23"/>
  <c r="A2483" i="23"/>
  <c r="A782" i="23"/>
  <c r="A755" i="23"/>
  <c r="A3455" i="23"/>
  <c r="A4697" i="23"/>
  <c r="A1727" i="23"/>
  <c r="A1160" i="23"/>
  <c r="A3725" i="23"/>
  <c r="A2645" i="23"/>
  <c r="A26" i="23"/>
  <c r="A512" i="23"/>
  <c r="A4967" i="23"/>
  <c r="A1700" i="23"/>
  <c r="A4022" i="23"/>
  <c r="A3185" i="23"/>
  <c r="A2105" i="23"/>
  <c r="A674" i="23"/>
  <c r="A4886" i="23"/>
  <c r="A4184" i="23"/>
  <c r="A3968" i="23"/>
  <c r="A80" i="23"/>
  <c r="A4508" i="23"/>
  <c r="A3779" i="23"/>
  <c r="A1025" i="23"/>
  <c r="A4265" i="23"/>
  <c r="A4670" i="23"/>
  <c r="A3995" i="23"/>
  <c r="A593" i="23"/>
  <c r="A4859" i="23"/>
  <c r="A3914" i="23"/>
  <c r="A971" i="23"/>
  <c r="A1565" i="23"/>
  <c r="A3563" i="23"/>
  <c r="A1646" i="23"/>
  <c r="A2969" i="23"/>
  <c r="A1430" i="23"/>
  <c r="A1997" i="23"/>
  <c r="A2780" i="23"/>
  <c r="A2807" i="23"/>
  <c r="A20" i="2"/>
  <c r="A3258" i="23"/>
  <c r="A234" i="23"/>
  <c r="A1287" i="23"/>
  <c r="A3420" i="23"/>
  <c r="A369" i="23"/>
  <c r="A3231" i="23"/>
  <c r="A207" i="23"/>
  <c r="A1260" i="23"/>
  <c r="A2340" i="23"/>
  <c r="A3393" i="23"/>
  <c r="A180" i="23"/>
  <c r="A1233" i="23"/>
  <c r="A2313" i="23"/>
  <c r="A4392" i="23"/>
  <c r="A342" i="23"/>
  <c r="A153" i="23"/>
  <c r="A1206" i="23"/>
  <c r="A2286" i="23"/>
  <c r="A4365" i="23"/>
  <c r="A315" i="23"/>
  <c r="A1368" i="23"/>
  <c r="A2421" i="23"/>
  <c r="A1179" i="23"/>
  <c r="A2259" i="23"/>
  <c r="A4338" i="23"/>
  <c r="A3366" i="23"/>
  <c r="A1341" i="23"/>
  <c r="A2232" i="23"/>
  <c r="A4311" i="23"/>
  <c r="A3339" i="23"/>
  <c r="A2394" i="23"/>
  <c r="A3312" i="23"/>
  <c r="A3447" i="23"/>
  <c r="A4257" i="23"/>
  <c r="A4419" i="23"/>
  <c r="A4284" i="23"/>
  <c r="A4446" i="23"/>
  <c r="A1314" i="23"/>
  <c r="A1395" i="23"/>
  <c r="A2205" i="23"/>
  <c r="A261" i="23"/>
  <c r="A288" i="23"/>
  <c r="A4473" i="23"/>
  <c r="A3285" i="23"/>
  <c r="A4176" i="23"/>
  <c r="A5121" i="23"/>
  <c r="A4959" i="23"/>
  <c r="A4608" i="23"/>
  <c r="A1557" i="23"/>
  <c r="A1422" i="23"/>
  <c r="A1584" i="23"/>
  <c r="A1152" i="23"/>
  <c r="A3771" i="23"/>
  <c r="A3690" i="23"/>
  <c r="A3177" i="23"/>
  <c r="A2988" i="23"/>
  <c r="A2772" i="23"/>
  <c r="A2961" i="23"/>
  <c r="A2880" i="23"/>
  <c r="A18" i="23"/>
  <c r="A585" i="23"/>
  <c r="A747" i="23"/>
  <c r="A4878" i="23"/>
  <c r="A5040" i="23"/>
  <c r="A4824" i="23"/>
  <c r="A5013" i="23"/>
  <c r="A4932" i="23"/>
  <c r="A1044" i="23"/>
  <c r="A1611" i="23"/>
  <c r="A1773" i="23"/>
  <c r="A3852" i="23"/>
  <c r="A3744" i="23"/>
  <c r="A3879" i="23"/>
  <c r="A4041" i="23"/>
  <c r="A2934" i="23"/>
  <c r="A3042" i="23"/>
  <c r="A2691" i="23"/>
  <c r="A2529" i="23"/>
  <c r="A423" i="23"/>
  <c r="A45" i="23"/>
  <c r="A450" i="23"/>
  <c r="A4986" i="23"/>
  <c r="A5094" i="23"/>
  <c r="A4743" i="23"/>
  <c r="A4581" i="23"/>
  <c r="A1449" i="23"/>
  <c r="A1071" i="23"/>
  <c r="A1476" i="23"/>
  <c r="A3150" i="23"/>
  <c r="A4095" i="23"/>
  <c r="A3933" i="23"/>
  <c r="A3582" i="23"/>
  <c r="A2583" i="23"/>
  <c r="A2448" i="23"/>
  <c r="A2610" i="23"/>
  <c r="A2178" i="23"/>
  <c r="A693" i="23"/>
  <c r="A612" i="23"/>
  <c r="A99" i="23"/>
  <c r="A4122" i="23"/>
  <c r="A4689" i="23"/>
  <c r="A4851" i="23"/>
  <c r="A1800" i="23"/>
  <c r="A1692" i="23"/>
  <c r="A1827" i="23"/>
  <c r="A1989" i="23"/>
  <c r="A3960" i="23"/>
  <c r="A4068" i="23"/>
  <c r="A3717" i="23"/>
  <c r="A3555" i="23"/>
  <c r="A2475" i="23"/>
  <c r="A2097" i="23"/>
  <c r="A2502" i="23"/>
  <c r="A72" i="23"/>
  <c r="A1017" i="23"/>
  <c r="A855" i="23"/>
  <c r="A504" i="23"/>
  <c r="A4500" i="23"/>
  <c r="A4230" i="23"/>
  <c r="A1638" i="23"/>
  <c r="A4014" i="23"/>
  <c r="A3987" i="23"/>
  <c r="A2070" i="23"/>
  <c r="A2799" i="23"/>
  <c r="A666" i="23"/>
  <c r="A963" i="23"/>
  <c r="A4149" i="23"/>
  <c r="A1098" i="23"/>
  <c r="A1881" i="23"/>
  <c r="A3609" i="23"/>
  <c r="A3636" i="23"/>
  <c r="A2745" i="23"/>
  <c r="A2151" i="23"/>
  <c r="A720" i="23"/>
  <c r="A828" i="23"/>
  <c r="A4716" i="23"/>
  <c r="A1962" i="23"/>
  <c r="A1935" i="23"/>
  <c r="A3096" i="23"/>
  <c r="A3825" i="23"/>
  <c r="A2718" i="23"/>
  <c r="A3015" i="23"/>
  <c r="A990" i="23"/>
  <c r="A477" i="23"/>
  <c r="A4905" i="23"/>
  <c r="A1908" i="23"/>
  <c r="A1665" i="23"/>
  <c r="A3501" i="23"/>
  <c r="A3528" i="23"/>
  <c r="A3069" i="23"/>
  <c r="A2556" i="23"/>
  <c r="A396" i="23"/>
  <c r="A126" i="23"/>
  <c r="A4635" i="23"/>
  <c r="A4662" i="23"/>
  <c r="A1719" i="23"/>
  <c r="A1125" i="23"/>
  <c r="A3798" i="23"/>
  <c r="A3906" i="23"/>
  <c r="A2637" i="23"/>
  <c r="A774" i="23"/>
  <c r="A801" i="23"/>
  <c r="A2367" i="23"/>
  <c r="A4797" i="23"/>
  <c r="A4203" i="23"/>
  <c r="A1746" i="23"/>
  <c r="A1854" i="23"/>
  <c r="A3663" i="23"/>
  <c r="A2826" i="23"/>
  <c r="A2853" i="23"/>
  <c r="A882" i="23"/>
  <c r="A639" i="23"/>
  <c r="A4554" i="23"/>
  <c r="A3204" i="23"/>
  <c r="A5067" i="23"/>
  <c r="A2124" i="23"/>
  <c r="A2043" i="23"/>
  <c r="A2664" i="23"/>
  <c r="A2016" i="23"/>
  <c r="A2907" i="23"/>
  <c r="A1530" i="23"/>
  <c r="A936" i="23"/>
  <c r="A4527" i="23"/>
  <c r="A3474" i="23"/>
  <c r="A909" i="23"/>
  <c r="A531" i="23"/>
  <c r="A558" i="23"/>
  <c r="A4770" i="23"/>
  <c r="A1503" i="23"/>
  <c r="A3123" i="23"/>
  <c r="A12" i="2"/>
  <c r="A3250" i="23"/>
  <c r="A226" i="23"/>
  <c r="A1279" i="23"/>
  <c r="A3412" i="23"/>
  <c r="A361" i="23"/>
  <c r="A3223" i="23"/>
  <c r="A199" i="23"/>
  <c r="A1252" i="23"/>
  <c r="A2332" i="23"/>
  <c r="A3385" i="23"/>
  <c r="A172" i="23"/>
  <c r="A1225" i="23"/>
  <c r="A2305" i="23"/>
  <c r="A4384" i="23"/>
  <c r="A334" i="23"/>
  <c r="A145" i="23"/>
  <c r="A1198" i="23"/>
  <c r="A2278" i="23"/>
  <c r="A4357" i="23"/>
  <c r="A307" i="23"/>
  <c r="A1360" i="23"/>
  <c r="A2413" i="23"/>
  <c r="A1171" i="23"/>
  <c r="A2251" i="23"/>
  <c r="A4330" i="23"/>
  <c r="A3358" i="23"/>
  <c r="A1333" i="23"/>
  <c r="A2224" i="23"/>
  <c r="A4303" i="23"/>
  <c r="A3331" i="23"/>
  <c r="A2386" i="23"/>
  <c r="A280" i="23"/>
  <c r="A3439" i="23"/>
  <c r="A3277" i="23"/>
  <c r="A3304" i="23"/>
  <c r="A4249" i="23"/>
  <c r="A4411" i="23"/>
  <c r="A1387" i="23"/>
  <c r="A4276" i="23"/>
  <c r="A1306" i="23"/>
  <c r="A2197" i="23"/>
  <c r="A2359" i="23"/>
  <c r="A4465" i="23"/>
  <c r="A4438" i="23"/>
  <c r="A253" i="23"/>
  <c r="A118" i="23"/>
  <c r="A550" i="23"/>
  <c r="A388" i="23"/>
  <c r="A523" i="23"/>
  <c r="A2548" i="23"/>
  <c r="A2899" i="23"/>
  <c r="A3061" i="23"/>
  <c r="A2116" i="23"/>
  <c r="A3520" i="23"/>
  <c r="A3115" i="23"/>
  <c r="A3493" i="23"/>
  <c r="A1495" i="23"/>
  <c r="A1657" i="23"/>
  <c r="A2008" i="23"/>
  <c r="A1900" i="23"/>
  <c r="A5059" i="23"/>
  <c r="A4897" i="23"/>
  <c r="A4762" i="23"/>
  <c r="A469" i="23"/>
  <c r="A631" i="23"/>
  <c r="A982" i="23"/>
  <c r="A874" i="23"/>
  <c r="A3007" i="23"/>
  <c r="A2845" i="23"/>
  <c r="A2710" i="23"/>
  <c r="A2818" i="23"/>
  <c r="A3817" i="23"/>
  <c r="A3655" i="23"/>
  <c r="A3088" i="23"/>
  <c r="A1846" i="23"/>
  <c r="A1927" i="23"/>
  <c r="A1738" i="23"/>
  <c r="A1954" i="23"/>
  <c r="A4195" i="23"/>
  <c r="A4708" i="23"/>
  <c r="A4789" i="23"/>
  <c r="A820" i="23"/>
  <c r="A901" i="23"/>
  <c r="A712" i="23"/>
  <c r="A928" i="23"/>
  <c r="A2143" i="23"/>
  <c r="A2656" i="23"/>
  <c r="A2737" i="23"/>
  <c r="A3196" i="23"/>
  <c r="A3628" i="23"/>
  <c r="A3466" i="23"/>
  <c r="A3601" i="23"/>
  <c r="A1522" i="23"/>
  <c r="A1873" i="23"/>
  <c r="A2035" i="23"/>
  <c r="A1090" i="23"/>
  <c r="A4546" i="23"/>
  <c r="A4141" i="23"/>
  <c r="A4519" i="23"/>
  <c r="A496" i="23"/>
  <c r="A847" i="23"/>
  <c r="A1009" i="23"/>
  <c r="A64" i="23"/>
  <c r="A2494" i="23"/>
  <c r="A2089" i="23"/>
  <c r="A2467" i="23"/>
  <c r="A3547" i="23"/>
  <c r="A3709" i="23"/>
  <c r="A4060" i="23"/>
  <c r="A3952" i="23"/>
  <c r="A1981" i="23"/>
  <c r="A1819" i="23"/>
  <c r="A1684" i="23"/>
  <c r="A1792" i="23"/>
  <c r="A4843" i="23"/>
  <c r="A4681" i="23"/>
  <c r="A4114" i="23"/>
  <c r="A955" i="23"/>
  <c r="A793" i="23"/>
  <c r="A658" i="23"/>
  <c r="A766" i="23"/>
  <c r="A2791" i="23"/>
  <c r="A2629" i="23"/>
  <c r="A2062" i="23"/>
  <c r="A3898" i="23"/>
  <c r="A3979" i="23"/>
  <c r="A3790" i="23"/>
  <c r="A4006" i="23"/>
  <c r="A1117" i="23"/>
  <c r="A1630" i="23"/>
  <c r="A1711" i="23"/>
  <c r="A4222" i="23"/>
  <c r="A4654" i="23"/>
  <c r="A4492" i="23"/>
  <c r="A4627" i="23"/>
  <c r="A442" i="23"/>
  <c r="A37" i="23"/>
  <c r="A415" i="23"/>
  <c r="A2521" i="23"/>
  <c r="A2683" i="23"/>
  <c r="A3034" i="23"/>
  <c r="A2926" i="23"/>
  <c r="A4033" i="23"/>
  <c r="A3871" i="23"/>
  <c r="A3736" i="23"/>
  <c r="A3844" i="23"/>
  <c r="A1765" i="23"/>
  <c r="A1603" i="23"/>
  <c r="A1036" i="23"/>
  <c r="A4924" i="23"/>
  <c r="A5005" i="23"/>
  <c r="A4816" i="23"/>
  <c r="A739" i="23"/>
  <c r="A2953" i="23"/>
  <c r="A3682" i="23"/>
  <c r="A1414" i="23"/>
  <c r="A5113" i="23"/>
  <c r="A604" i="23"/>
  <c r="A2440" i="23"/>
  <c r="A4087" i="23"/>
  <c r="A1441" i="23"/>
  <c r="A4978" i="23"/>
  <c r="A577" i="23"/>
  <c r="A2764" i="23"/>
  <c r="A3763" i="23"/>
  <c r="A1549" i="23"/>
  <c r="A5032" i="23"/>
  <c r="A685" i="23"/>
  <c r="A2575" i="23"/>
  <c r="A3142" i="23"/>
  <c r="A4573" i="23"/>
  <c r="A4168" i="23"/>
  <c r="A10" i="23"/>
  <c r="A2980" i="23"/>
  <c r="A1144" i="23"/>
  <c r="A4600" i="23"/>
  <c r="A4870" i="23"/>
  <c r="A2872" i="23"/>
  <c r="A3169" i="23"/>
  <c r="A1576" i="23"/>
  <c r="A4951" i="23"/>
  <c r="A1468" i="23"/>
  <c r="A1063" i="23"/>
  <c r="A3925" i="23"/>
  <c r="A4735" i="23"/>
  <c r="A91" i="23"/>
  <c r="A5086" i="23"/>
  <c r="A2170" i="23"/>
  <c r="A2602" i="23"/>
  <c r="A3574" i="23"/>
  <c r="A31" i="2"/>
  <c r="A137" i="23"/>
  <c r="A164" i="23"/>
  <c r="A1217" i="23"/>
  <c r="A2297" i="23"/>
  <c r="A4376" i="23"/>
  <c r="A326" i="23"/>
  <c r="A1379" i="23"/>
  <c r="A2432" i="23"/>
  <c r="A1190" i="23"/>
  <c r="A2270" i="23"/>
  <c r="A4349" i="23"/>
  <c r="A3377" i="23"/>
  <c r="A1352" i="23"/>
  <c r="A2243" i="23"/>
  <c r="A4322" i="23"/>
  <c r="A3350" i="23"/>
  <c r="A2405" i="23"/>
  <c r="A2216" i="23"/>
  <c r="A4295" i="23"/>
  <c r="A3323" i="23"/>
  <c r="A299" i="23"/>
  <c r="A2378" i="23"/>
  <c r="A4457" i="23"/>
  <c r="A4268" i="23"/>
  <c r="A3296" i="23"/>
  <c r="A272" i="23"/>
  <c r="A1325" i="23"/>
  <c r="A4430" i="23"/>
  <c r="A3269" i="23"/>
  <c r="A245" i="23"/>
  <c r="A1298" i="23"/>
  <c r="A3431" i="23"/>
  <c r="A380" i="23"/>
  <c r="A3242" i="23"/>
  <c r="A3404" i="23"/>
  <c r="A1406" i="23"/>
  <c r="A4187" i="23"/>
  <c r="A5132" i="23"/>
  <c r="A4970" i="23"/>
  <c r="A4619" i="23"/>
  <c r="A1568" i="23"/>
  <c r="A1433" i="23"/>
  <c r="A1595" i="23"/>
  <c r="A1163" i="23"/>
  <c r="A3782" i="23"/>
  <c r="A3701" i="23"/>
  <c r="A3188" i="23"/>
  <c r="A2999" i="23"/>
  <c r="A2783" i="23"/>
  <c r="A2972" i="23"/>
  <c r="A2891" i="23"/>
  <c r="A29" i="23"/>
  <c r="A596" i="23"/>
  <c r="A758" i="23"/>
  <c r="A2324" i="23"/>
  <c r="A5051" i="23"/>
  <c r="A4835" i="23"/>
  <c r="A5024" i="23"/>
  <c r="A4943" i="23"/>
  <c r="A1055" i="23"/>
  <c r="A1622" i="23"/>
  <c r="A1784" i="23"/>
  <c r="A3863" i="23"/>
  <c r="A3755" i="23"/>
  <c r="A3890" i="23"/>
  <c r="A4052" i="23"/>
  <c r="A2945" i="23"/>
  <c r="A3053" i="23"/>
  <c r="A2702" i="23"/>
  <c r="A2540" i="23"/>
  <c r="A434" i="23"/>
  <c r="A56" i="23"/>
  <c r="A461" i="23"/>
  <c r="A2351" i="23"/>
  <c r="A1244" i="23"/>
  <c r="A3458" i="23"/>
  <c r="A4484" i="23"/>
  <c r="A191" i="23"/>
  <c r="A353" i="23"/>
  <c r="A4538" i="23"/>
  <c r="A4160" i="23"/>
  <c r="A4565" i="23"/>
  <c r="A1109" i="23"/>
  <c r="A2054" i="23"/>
  <c r="A1892" i="23"/>
  <c r="A1541" i="23"/>
  <c r="A3620" i="23"/>
  <c r="A3485" i="23"/>
  <c r="A3647" i="23"/>
  <c r="A3215" i="23"/>
  <c r="A2756" i="23"/>
  <c r="A2675" i="23"/>
  <c r="A2162" i="23"/>
  <c r="A947" i="23"/>
  <c r="A731" i="23"/>
  <c r="A920" i="23"/>
  <c r="A839" i="23"/>
  <c r="A218" i="23"/>
  <c r="A4808" i="23"/>
  <c r="A4727" i="23"/>
  <c r="A4214" i="23"/>
  <c r="A1973" i="23"/>
  <c r="A1757" i="23"/>
  <c r="A1946" i="23"/>
  <c r="A1865" i="23"/>
  <c r="A3107" i="23"/>
  <c r="A3674" i="23"/>
  <c r="A3836" i="23"/>
  <c r="A2837" i="23"/>
  <c r="A2729" i="23"/>
  <c r="A2864" i="23"/>
  <c r="A5105" i="23"/>
  <c r="A4592" i="23"/>
  <c r="A1082" i="23"/>
  <c r="A3161" i="23"/>
  <c r="A3944" i="23"/>
  <c r="A2594" i="23"/>
  <c r="A2621" i="23"/>
  <c r="A893" i="23"/>
  <c r="A812" i="23"/>
  <c r="A4889" i="23"/>
  <c r="A1271" i="23"/>
  <c r="A4511" i="23"/>
  <c r="A4241" i="23"/>
  <c r="A1649" i="23"/>
  <c r="A4025" i="23"/>
  <c r="A3998" i="23"/>
  <c r="A2081" i="23"/>
  <c r="A2810" i="23"/>
  <c r="A542" i="23"/>
  <c r="A866" i="23"/>
  <c r="A4700" i="23"/>
  <c r="A1811" i="23"/>
  <c r="A1838" i="23"/>
  <c r="A3971" i="23"/>
  <c r="A3728" i="23"/>
  <c r="A2486" i="23"/>
  <c r="A2513" i="23"/>
  <c r="A704" i="23"/>
  <c r="A650" i="23"/>
  <c r="A4403" i="23"/>
  <c r="A4997" i="23"/>
  <c r="A4754" i="23"/>
  <c r="A1460" i="23"/>
  <c r="A1487" i="23"/>
  <c r="A4106" i="23"/>
  <c r="A3593" i="23"/>
  <c r="A2459" i="23"/>
  <c r="A2567" i="23"/>
  <c r="A1028" i="23"/>
  <c r="A110" i="23"/>
  <c r="A4646" i="23"/>
  <c r="A4673" i="23"/>
  <c r="A1730" i="23"/>
  <c r="A1136" i="23"/>
  <c r="A3809" i="23"/>
  <c r="A3917" i="23"/>
  <c r="A2648" i="23"/>
  <c r="A2189" i="23"/>
  <c r="A1001" i="23"/>
  <c r="A974" i="23"/>
  <c r="A1703" i="23"/>
  <c r="A3539" i="23"/>
  <c r="A83" i="23"/>
  <c r="A2027" i="23"/>
  <c r="A3566" i="23"/>
  <c r="A677" i="23"/>
  <c r="A4133" i="23"/>
  <c r="A1676" i="23"/>
  <c r="A2135" i="23"/>
  <c r="A407" i="23"/>
  <c r="A4916" i="23"/>
  <c r="A1514" i="23"/>
  <c r="A2108" i="23"/>
  <c r="A569" i="23"/>
  <c r="A4862" i="23"/>
  <c r="A3512" i="23"/>
  <c r="A2918" i="23"/>
  <c r="A515" i="23"/>
  <c r="A3026" i="23"/>
  <c r="A4781" i="23"/>
  <c r="A785" i="23"/>
  <c r="A5078" i="23"/>
  <c r="A623" i="23"/>
  <c r="A1919" i="23"/>
  <c r="A488" i="23"/>
  <c r="A2000" i="23"/>
  <c r="A3134" i="23"/>
  <c r="A4079" i="23"/>
  <c r="A3080" i="23"/>
  <c r="A15" i="2"/>
  <c r="A148" i="23"/>
  <c r="A1201" i="23"/>
  <c r="A2281" i="23"/>
  <c r="A4360" i="23"/>
  <c r="A310" i="23"/>
  <c r="A1363" i="23"/>
  <c r="A2416" i="23"/>
  <c r="A1174" i="23"/>
  <c r="A2254" i="23"/>
  <c r="A4333" i="23"/>
  <c r="A3361" i="23"/>
  <c r="A1336" i="23"/>
  <c r="A2227" i="23"/>
  <c r="A4306" i="23"/>
  <c r="A3334" i="23"/>
  <c r="A2389" i="23"/>
  <c r="A2200" i="23"/>
  <c r="A4279" i="23"/>
  <c r="A3307" i="23"/>
  <c r="A283" i="23"/>
  <c r="A2362" i="23"/>
  <c r="A4441" i="23"/>
  <c r="A4252" i="23"/>
  <c r="A3280" i="23"/>
  <c r="A256" i="23"/>
  <c r="A1309" i="23"/>
  <c r="A4414" i="23"/>
  <c r="A3253" i="23"/>
  <c r="A229" i="23"/>
  <c r="A1282" i="23"/>
  <c r="A3415" i="23"/>
  <c r="A364" i="23"/>
  <c r="A1255" i="23"/>
  <c r="A1390" i="23"/>
  <c r="A175" i="23"/>
  <c r="A337" i="23"/>
  <c r="A202" i="23"/>
  <c r="A4387" i="23"/>
  <c r="A4468" i="23"/>
  <c r="A3226" i="23"/>
  <c r="A2308" i="23"/>
  <c r="A3442" i="23"/>
  <c r="A2335" i="23"/>
  <c r="A3388" i="23"/>
  <c r="A499" i="23"/>
  <c r="A850" i="23"/>
  <c r="A1012" i="23"/>
  <c r="A67" i="23"/>
  <c r="A2497" i="23"/>
  <c r="A2092" i="23"/>
  <c r="A2470" i="23"/>
  <c r="A3550" i="23"/>
  <c r="A3712" i="23"/>
  <c r="A4063" i="23"/>
  <c r="A3955" i="23"/>
  <c r="A1984" i="23"/>
  <c r="A1822" i="23"/>
  <c r="A1687" i="23"/>
  <c r="A1795" i="23"/>
  <c r="A4846" i="23"/>
  <c r="A4684" i="23"/>
  <c r="A4117" i="23"/>
  <c r="A958" i="23"/>
  <c r="A796" i="23"/>
  <c r="A661" i="23"/>
  <c r="A769" i="23"/>
  <c r="A2794" i="23"/>
  <c r="A2632" i="23"/>
  <c r="A2065" i="23"/>
  <c r="A3901" i="23"/>
  <c r="A3982" i="23"/>
  <c r="A3793" i="23"/>
  <c r="A4009" i="23"/>
  <c r="A1120" i="23"/>
  <c r="A1633" i="23"/>
  <c r="A1714" i="23"/>
  <c r="A4225" i="23"/>
  <c r="A4657" i="23"/>
  <c r="A4495" i="23"/>
  <c r="A4630" i="23"/>
  <c r="A94" i="23"/>
  <c r="A607" i="23"/>
  <c r="A688" i="23"/>
  <c r="A2173" i="23"/>
  <c r="A2605" i="23"/>
  <c r="A2443" i="23"/>
  <c r="A2578" i="23"/>
  <c r="A3577" i="23"/>
  <c r="A3928" i="23"/>
  <c r="A4090" i="23"/>
  <c r="A3145" i="23"/>
  <c r="A1471" i="23"/>
  <c r="A1066" i="23"/>
  <c r="A1444" i="23"/>
  <c r="A4576" i="23"/>
  <c r="A4738" i="23"/>
  <c r="A5089" i="23"/>
  <c r="A4981" i="23"/>
  <c r="A1228" i="23"/>
  <c r="A445" i="23"/>
  <c r="A40" i="23"/>
  <c r="A418" i="23"/>
  <c r="A2524" i="23"/>
  <c r="A2686" i="23"/>
  <c r="A3037" i="23"/>
  <c r="A2929" i="23"/>
  <c r="A4036" i="23"/>
  <c r="A3874" i="23"/>
  <c r="A3739" i="23"/>
  <c r="A3847" i="23"/>
  <c r="A1768" i="23"/>
  <c r="A1606" i="23"/>
  <c r="A1039" i="23"/>
  <c r="A4927" i="23"/>
  <c r="A5008" i="23"/>
  <c r="A4819" i="23"/>
  <c r="A5035" i="23"/>
  <c r="A742" i="23"/>
  <c r="A580" i="23"/>
  <c r="A13" i="23"/>
  <c r="A2875" i="23"/>
  <c r="A2956" i="23"/>
  <c r="A2767" i="23"/>
  <c r="A2983" i="23"/>
  <c r="A3172" i="23"/>
  <c r="A3685" i="23"/>
  <c r="A3766" i="23"/>
  <c r="A1147" i="23"/>
  <c r="A1579" i="23"/>
  <c r="A1417" i="23"/>
  <c r="A1552" i="23"/>
  <c r="A4603" i="23"/>
  <c r="A4954" i="23"/>
  <c r="A5116" i="23"/>
  <c r="A4171" i="23"/>
  <c r="A472" i="23"/>
  <c r="A634" i="23"/>
  <c r="A985" i="23"/>
  <c r="A877" i="23"/>
  <c r="A3010" i="23"/>
  <c r="A2848" i="23"/>
  <c r="A2713" i="23"/>
  <c r="A2821" i="23"/>
  <c r="A3820" i="23"/>
  <c r="A3658" i="23"/>
  <c r="A3091" i="23"/>
  <c r="A1849" i="23"/>
  <c r="A1930" i="23"/>
  <c r="A1741" i="23"/>
  <c r="A1957" i="23"/>
  <c r="A4198" i="23"/>
  <c r="A4711" i="23"/>
  <c r="A4792" i="23"/>
  <c r="A931" i="23"/>
  <c r="A3199" i="23"/>
  <c r="A1525" i="23"/>
  <c r="A4549" i="23"/>
  <c r="A121" i="23"/>
  <c r="A2551" i="23"/>
  <c r="A3523" i="23"/>
  <c r="A1660" i="23"/>
  <c r="A4900" i="23"/>
  <c r="A823" i="23"/>
  <c r="A2146" i="23"/>
  <c r="A3631" i="23"/>
  <c r="A1876" i="23"/>
  <c r="A4144" i="23"/>
  <c r="A553" i="23"/>
  <c r="A2902" i="23"/>
  <c r="A3118" i="23"/>
  <c r="A2011" i="23"/>
  <c r="A4765" i="23"/>
  <c r="A904" i="23"/>
  <c r="A2659" i="23"/>
  <c r="A3469" i="23"/>
  <c r="A2038" i="23"/>
  <c r="A4522" i="23"/>
  <c r="A715" i="23"/>
  <c r="A2740" i="23"/>
  <c r="A3604" i="23"/>
  <c r="A1093" i="23"/>
  <c r="A391" i="23"/>
  <c r="A4873" i="23"/>
  <c r="A526" i="23"/>
  <c r="A3064" i="23"/>
  <c r="A2119" i="23"/>
  <c r="A3496" i="23"/>
  <c r="A5062" i="23"/>
  <c r="A1498" i="23"/>
  <c r="A1903" i="23"/>
  <c r="A7" i="2"/>
  <c r="A140" i="23"/>
  <c r="A1193" i="23"/>
  <c r="A2273" i="23"/>
  <c r="A4352" i="23"/>
  <c r="A302" i="23"/>
  <c r="A1355" i="23"/>
  <c r="A2408" i="23"/>
  <c r="A1166" i="23"/>
  <c r="A2246" i="23"/>
  <c r="A4325" i="23"/>
  <c r="A3353" i="23"/>
  <c r="A1328" i="23"/>
  <c r="A2219" i="23"/>
  <c r="A4298" i="23"/>
  <c r="A3326" i="23"/>
  <c r="A2381" i="23"/>
  <c r="A2192" i="23"/>
  <c r="A4271" i="23"/>
  <c r="A3299" i="23"/>
  <c r="A275" i="23"/>
  <c r="A2354" i="23"/>
  <c r="A4433" i="23"/>
  <c r="A4244" i="23"/>
  <c r="A3272" i="23"/>
  <c r="A248" i="23"/>
  <c r="A1301" i="23"/>
  <c r="A4406" i="23"/>
  <c r="A3245" i="23"/>
  <c r="A221" i="23"/>
  <c r="A1274" i="23"/>
  <c r="A3407" i="23"/>
  <c r="A356" i="23"/>
  <c r="A2327" i="23"/>
  <c r="A1382" i="23"/>
  <c r="A1220" i="23"/>
  <c r="A1247" i="23"/>
  <c r="A167" i="23"/>
  <c r="A329" i="23"/>
  <c r="A4460" i="23"/>
  <c r="A194" i="23"/>
  <c r="A4379" i="23"/>
  <c r="A3434" i="23"/>
  <c r="A3218" i="23"/>
  <c r="A3380" i="23"/>
  <c r="A2300" i="23"/>
  <c r="A734" i="23"/>
  <c r="A572" i="23"/>
  <c r="A5" i="23"/>
  <c r="A2867" i="23"/>
  <c r="A2948" i="23"/>
  <c r="A2759" i="23"/>
  <c r="A2975" i="23"/>
  <c r="A3164" i="23"/>
  <c r="A3677" i="23"/>
  <c r="A3758" i="23"/>
  <c r="A1139" i="23"/>
  <c r="A1571" i="23"/>
  <c r="A1409" i="23"/>
  <c r="A1544" i="23"/>
  <c r="A4595" i="23"/>
  <c r="A4946" i="23"/>
  <c r="A5108" i="23"/>
  <c r="A4163" i="23"/>
  <c r="A113" i="23"/>
  <c r="A545" i="23"/>
  <c r="A383" i="23"/>
  <c r="A518" i="23"/>
  <c r="A2543" i="23"/>
  <c r="A2894" i="23"/>
  <c r="A3056" i="23"/>
  <c r="A2111" i="23"/>
  <c r="A3515" i="23"/>
  <c r="A3110" i="23"/>
  <c r="A3488" i="23"/>
  <c r="A1490" i="23"/>
  <c r="A1652" i="23"/>
  <c r="A2003" i="23"/>
  <c r="A1895" i="23"/>
  <c r="A5054" i="23"/>
  <c r="A4892" i="23"/>
  <c r="A4757" i="23"/>
  <c r="A4865" i="23"/>
  <c r="A464" i="23"/>
  <c r="A626" i="23"/>
  <c r="A977" i="23"/>
  <c r="A869" i="23"/>
  <c r="A3002" i="23"/>
  <c r="A2840" i="23"/>
  <c r="A2705" i="23"/>
  <c r="A2813" i="23"/>
  <c r="A3812" i="23"/>
  <c r="A3650" i="23"/>
  <c r="A3083" i="23"/>
  <c r="A1841" i="23"/>
  <c r="A1922" i="23"/>
  <c r="A1733" i="23"/>
  <c r="A1949" i="23"/>
  <c r="A4190" i="23"/>
  <c r="A4703" i="23"/>
  <c r="A4784" i="23"/>
  <c r="A815" i="23"/>
  <c r="A896" i="23"/>
  <c r="A707" i="23"/>
  <c r="A923" i="23"/>
  <c r="A2138" i="23"/>
  <c r="A2651" i="23"/>
  <c r="A2732" i="23"/>
  <c r="A3191" i="23"/>
  <c r="A3623" i="23"/>
  <c r="A3461" i="23"/>
  <c r="A3596" i="23"/>
  <c r="A1517" i="23"/>
  <c r="A1868" i="23"/>
  <c r="A2030" i="23"/>
  <c r="A1085" i="23"/>
  <c r="A4541" i="23"/>
  <c r="A4136" i="23"/>
  <c r="A4514" i="23"/>
  <c r="A491" i="23"/>
  <c r="A842" i="23"/>
  <c r="A1004" i="23"/>
  <c r="A59" i="23"/>
  <c r="A2489" i="23"/>
  <c r="A2084" i="23"/>
  <c r="A2462" i="23"/>
  <c r="A3542" i="23"/>
  <c r="A3704" i="23"/>
  <c r="A4055" i="23"/>
  <c r="A3947" i="23"/>
  <c r="A1976" i="23"/>
  <c r="A1814" i="23"/>
  <c r="A1679" i="23"/>
  <c r="A1787" i="23"/>
  <c r="A4838" i="23"/>
  <c r="A4676" i="23"/>
  <c r="A4109" i="23"/>
  <c r="A86" i="23"/>
  <c r="A599" i="23"/>
  <c r="A680" i="23"/>
  <c r="A2165" i="23"/>
  <c r="A2597" i="23"/>
  <c r="A2435" i="23"/>
  <c r="A2570" i="23"/>
  <c r="A3569" i="23"/>
  <c r="A3920" i="23"/>
  <c r="A4082" i="23"/>
  <c r="A3137" i="23"/>
  <c r="A1463" i="23"/>
  <c r="A1058" i="23"/>
  <c r="A1436" i="23"/>
  <c r="A4568" i="23"/>
  <c r="A4730" i="23"/>
  <c r="A5081" i="23"/>
  <c r="A4973" i="23"/>
  <c r="A32" i="23"/>
  <c r="A3029" i="23"/>
  <c r="A3731" i="23"/>
  <c r="A1031" i="23"/>
  <c r="A5027" i="23"/>
  <c r="A5000" i="23"/>
  <c r="A3866" i="23"/>
  <c r="A788" i="23"/>
  <c r="A4622" i="23"/>
  <c r="A653" i="23"/>
  <c r="A2057" i="23"/>
  <c r="A4001" i="23"/>
  <c r="A4217" i="23"/>
  <c r="A2678" i="23"/>
  <c r="A1706" i="23"/>
  <c r="A410" i="23"/>
  <c r="A2921" i="23"/>
  <c r="A3839" i="23"/>
  <c r="A4919" i="23"/>
  <c r="A1598" i="23"/>
  <c r="A2624" i="23"/>
  <c r="A761" i="23"/>
  <c r="A3893" i="23"/>
  <c r="A1112" i="23"/>
  <c r="A4649" i="23"/>
  <c r="A4028" i="23"/>
  <c r="A437" i="23"/>
  <c r="A4811" i="23"/>
  <c r="A3785" i="23"/>
  <c r="A2516" i="23"/>
  <c r="A1760" i="23"/>
  <c r="A950" i="23"/>
  <c r="A2786" i="23"/>
  <c r="A3974" i="23"/>
  <c r="A1625" i="23"/>
  <c r="A4487" i="23"/>
  <c r="A22" i="2"/>
  <c r="A182" i="23"/>
  <c r="A1235" i="23"/>
  <c r="A2315" i="23"/>
  <c r="A4394" i="23"/>
  <c r="A344" i="23"/>
  <c r="A155" i="23"/>
  <c r="A1208" i="23"/>
  <c r="A2288" i="23"/>
  <c r="A4367" i="23"/>
  <c r="A317" i="23"/>
  <c r="A1370" i="23"/>
  <c r="A2423" i="23"/>
  <c r="A1181" i="23"/>
  <c r="A2261" i="23"/>
  <c r="A4340" i="23"/>
  <c r="A3368" i="23"/>
  <c r="A1343" i="23"/>
  <c r="A2234" i="23"/>
  <c r="A4313" i="23"/>
  <c r="A3341" i="23"/>
  <c r="A2396" i="23"/>
  <c r="A2207" i="23"/>
  <c r="A4286" i="23"/>
  <c r="A3314" i="23"/>
  <c r="A290" i="23"/>
  <c r="A2369" i="23"/>
  <c r="A4448" i="23"/>
  <c r="A3449" i="23"/>
  <c r="A4259" i="23"/>
  <c r="A3287" i="23"/>
  <c r="A263" i="23"/>
  <c r="A1316" i="23"/>
  <c r="A4421" i="23"/>
  <c r="A1289" i="23"/>
  <c r="A209" i="23"/>
  <c r="A1397" i="23"/>
  <c r="A236" i="23"/>
  <c r="A3233" i="23"/>
  <c r="A3395" i="23"/>
  <c r="A3260" i="23"/>
  <c r="A2342" i="23"/>
  <c r="A3422" i="23"/>
  <c r="A4772" i="23"/>
  <c r="A4178" i="23"/>
  <c r="A5123" i="23"/>
  <c r="A1262" i="23"/>
  <c r="A5042" i="23"/>
  <c r="A4826" i="23"/>
  <c r="A371" i="23"/>
  <c r="A4637" i="23"/>
  <c r="A4475" i="23"/>
  <c r="A4124" i="23"/>
  <c r="A4691" i="23"/>
  <c r="A4799" i="23"/>
  <c r="A4745" i="23"/>
  <c r="A4583" i="23"/>
  <c r="A1451" i="23"/>
  <c r="A1073" i="23"/>
  <c r="A1478" i="23"/>
  <c r="A3152" i="23"/>
  <c r="A4097" i="23"/>
  <c r="A3935" i="23"/>
  <c r="A3584" i="23"/>
  <c r="A2585" i="23"/>
  <c r="A2450" i="23"/>
  <c r="A2612" i="23"/>
  <c r="A2180" i="23"/>
  <c r="A695" i="23"/>
  <c r="A614" i="23"/>
  <c r="A101" i="23"/>
  <c r="A5096" i="23"/>
  <c r="A4664" i="23"/>
  <c r="A4232" i="23"/>
  <c r="A1721" i="23"/>
  <c r="A1640" i="23"/>
  <c r="A1127" i="23"/>
  <c r="A4016" i="23"/>
  <c r="A3800" i="23"/>
  <c r="A3989" i="23"/>
  <c r="A3908" i="23"/>
  <c r="A2072" i="23"/>
  <c r="A2639" i="23"/>
  <c r="A2801" i="23"/>
  <c r="A776" i="23"/>
  <c r="A668" i="23"/>
  <c r="A803" i="23"/>
  <c r="A965" i="23"/>
  <c r="A4502" i="23"/>
  <c r="A4853" i="23"/>
  <c r="A1802" i="23"/>
  <c r="A1694" i="23"/>
  <c r="A1829" i="23"/>
  <c r="A1991" i="23"/>
  <c r="A3962" i="23"/>
  <c r="A4070" i="23"/>
  <c r="A3719" i="23"/>
  <c r="A3557" i="23"/>
  <c r="A2477" i="23"/>
  <c r="A2099" i="23"/>
  <c r="A2504" i="23"/>
  <c r="A74" i="23"/>
  <c r="A1019" i="23"/>
  <c r="A857" i="23"/>
  <c r="A506" i="23"/>
  <c r="A4718" i="23"/>
  <c r="A4205" i="23"/>
  <c r="A1964" i="23"/>
  <c r="A1748" i="23"/>
  <c r="A1937" i="23"/>
  <c r="A1856" i="23"/>
  <c r="A3098" i="23"/>
  <c r="A3665" i="23"/>
  <c r="A3827" i="23"/>
  <c r="A2828" i="23"/>
  <c r="A2720" i="23"/>
  <c r="A2855" i="23"/>
  <c r="A3017" i="23"/>
  <c r="A884" i="23"/>
  <c r="A992" i="23"/>
  <c r="A641" i="23"/>
  <c r="A479" i="23"/>
  <c r="A4151" i="23"/>
  <c r="A1100" i="23"/>
  <c r="A1883" i="23"/>
  <c r="A3611" i="23"/>
  <c r="A3638" i="23"/>
  <c r="A2747" i="23"/>
  <c r="A2153" i="23"/>
  <c r="A722" i="23"/>
  <c r="A830" i="23"/>
  <c r="A4907" i="23"/>
  <c r="A1910" i="23"/>
  <c r="A1667" i="23"/>
  <c r="A3503" i="23"/>
  <c r="A3530" i="23"/>
  <c r="A3071" i="23"/>
  <c r="A2558" i="23"/>
  <c r="A398" i="23"/>
  <c r="A128" i="23"/>
  <c r="A4961" i="23"/>
  <c r="A1559" i="23"/>
  <c r="A1586" i="23"/>
  <c r="A3773" i="23"/>
  <c r="A3179" i="23"/>
  <c r="A2774" i="23"/>
  <c r="A2882" i="23"/>
  <c r="A587" i="23"/>
  <c r="A4880" i="23"/>
  <c r="A5015" i="23"/>
  <c r="A1046" i="23"/>
  <c r="A1775" i="23"/>
  <c r="A3746" i="23"/>
  <c r="A4043" i="23"/>
  <c r="A3044" i="23"/>
  <c r="A2531" i="23"/>
  <c r="A47" i="23"/>
  <c r="A4556" i="23"/>
  <c r="A2045" i="23"/>
  <c r="A1532" i="23"/>
  <c r="A3476" i="23"/>
  <c r="A3206" i="23"/>
  <c r="A2666" i="23"/>
  <c r="A938" i="23"/>
  <c r="A911" i="23"/>
  <c r="A4988" i="23"/>
  <c r="A4610" i="23"/>
  <c r="A1424" i="23"/>
  <c r="A1154" i="23"/>
  <c r="A3692" i="23"/>
  <c r="A2990" i="23"/>
  <c r="A2963" i="23"/>
  <c r="A20" i="23"/>
  <c r="A749" i="23"/>
  <c r="A1505" i="23"/>
  <c r="A533" i="23"/>
  <c r="A3854" i="23"/>
  <c r="A425" i="23"/>
  <c r="A3125" i="23"/>
  <c r="A560" i="23"/>
  <c r="A4529" i="23"/>
  <c r="A3881" i="23"/>
  <c r="A452" i="23"/>
  <c r="A5069" i="23"/>
  <c r="A2126" i="23"/>
  <c r="A2018" i="23"/>
  <c r="A2909" i="23"/>
  <c r="A4934" i="23"/>
  <c r="A1613" i="23"/>
  <c r="A2936" i="23"/>
  <c r="A2693" i="23"/>
  <c r="A21" i="2"/>
  <c r="A3232" i="23"/>
  <c r="A208" i="23"/>
  <c r="A1261" i="23"/>
  <c r="A2341" i="23"/>
  <c r="A3394" i="23"/>
  <c r="A181" i="23"/>
  <c r="A1234" i="23"/>
  <c r="A2314" i="23"/>
  <c r="A4393" i="23"/>
  <c r="A343" i="23"/>
  <c r="A154" i="23"/>
  <c r="A1207" i="23"/>
  <c r="A2287" i="23"/>
  <c r="A4366" i="23"/>
  <c r="A316" i="23"/>
  <c r="A1369" i="23"/>
  <c r="A2422" i="23"/>
  <c r="A1180" i="23"/>
  <c r="A2260" i="23"/>
  <c r="A4339" i="23"/>
  <c r="A3367" i="23"/>
  <c r="A1342" i="23"/>
  <c r="A2233" i="23"/>
  <c r="A4312" i="23"/>
  <c r="A3340" i="23"/>
  <c r="A2395" i="23"/>
  <c r="A2206" i="23"/>
  <c r="A4285" i="23"/>
  <c r="A3313" i="23"/>
  <c r="A289" i="23"/>
  <c r="A2368" i="23"/>
  <c r="A4447" i="23"/>
  <c r="A3448" i="23"/>
  <c r="A4258" i="23"/>
  <c r="A4420" i="23"/>
  <c r="A370" i="23"/>
  <c r="A1288" i="23"/>
  <c r="A1315" i="23"/>
  <c r="A1396" i="23"/>
  <c r="A235" i="23"/>
  <c r="A3259" i="23"/>
  <c r="A3421" i="23"/>
  <c r="A4474" i="23"/>
  <c r="A3286" i="23"/>
  <c r="A262" i="23"/>
  <c r="A5041" i="23"/>
  <c r="A4825" i="23"/>
  <c r="A5014" i="23"/>
  <c r="A4933" i="23"/>
  <c r="A1045" i="23"/>
  <c r="A1612" i="23"/>
  <c r="A1774" i="23"/>
  <c r="A3853" i="23"/>
  <c r="A3745" i="23"/>
  <c r="A3880" i="23"/>
  <c r="A4042" i="23"/>
  <c r="A2935" i="23"/>
  <c r="A3043" i="23"/>
  <c r="A2692" i="23"/>
  <c r="A2530" i="23"/>
  <c r="A424" i="23"/>
  <c r="A46" i="23"/>
  <c r="A451" i="23"/>
  <c r="A4987" i="23"/>
  <c r="A5095" i="23"/>
  <c r="A4744" i="23"/>
  <c r="A4582" i="23"/>
  <c r="A1450" i="23"/>
  <c r="A1072" i="23"/>
  <c r="A1477" i="23"/>
  <c r="A3151" i="23"/>
  <c r="A4096" i="23"/>
  <c r="A3934" i="23"/>
  <c r="A3583" i="23"/>
  <c r="A2584" i="23"/>
  <c r="A2449" i="23"/>
  <c r="A2611" i="23"/>
  <c r="A2179" i="23"/>
  <c r="A694" i="23"/>
  <c r="A613" i="23"/>
  <c r="A100" i="23"/>
  <c r="A4636" i="23"/>
  <c r="A4501" i="23"/>
  <c r="A4663" i="23"/>
  <c r="A4231" i="23"/>
  <c r="A1720" i="23"/>
  <c r="A1639" i="23"/>
  <c r="A1126" i="23"/>
  <c r="A4015" i="23"/>
  <c r="A3799" i="23"/>
  <c r="A3988" i="23"/>
  <c r="A3907" i="23"/>
  <c r="A2071" i="23"/>
  <c r="A2638" i="23"/>
  <c r="A2800" i="23"/>
  <c r="A775" i="23"/>
  <c r="A667" i="23"/>
  <c r="A802" i="23"/>
  <c r="A964" i="23"/>
  <c r="A4528" i="23"/>
  <c r="A4150" i="23"/>
  <c r="A4555" i="23"/>
  <c r="A1099" i="23"/>
  <c r="A2044" i="23"/>
  <c r="A1882" i="23"/>
  <c r="A1531" i="23"/>
  <c r="A3610" i="23"/>
  <c r="A3475" i="23"/>
  <c r="A3637" i="23"/>
  <c r="A3205" i="23"/>
  <c r="A2746" i="23"/>
  <c r="A2665" i="23"/>
  <c r="A2152" i="23"/>
  <c r="A937" i="23"/>
  <c r="A721" i="23"/>
  <c r="A910" i="23"/>
  <c r="A829" i="23"/>
  <c r="A4690" i="23"/>
  <c r="A1801" i="23"/>
  <c r="A1828" i="23"/>
  <c r="A3961" i="23"/>
  <c r="A3718" i="23"/>
  <c r="A2476" i="23"/>
  <c r="A2503" i="23"/>
  <c r="A1018" i="23"/>
  <c r="A505" i="23"/>
  <c r="A4717" i="23"/>
  <c r="A1963" i="23"/>
  <c r="A1936" i="23"/>
  <c r="A3097" i="23"/>
  <c r="A3826" i="23"/>
  <c r="A2719" i="23"/>
  <c r="A3016" i="23"/>
  <c r="A991" i="23"/>
  <c r="A478" i="23"/>
  <c r="A4906" i="23"/>
  <c r="A1909" i="23"/>
  <c r="A1666" i="23"/>
  <c r="A3502" i="23"/>
  <c r="A3529" i="23"/>
  <c r="A3070" i="23"/>
  <c r="A2557" i="23"/>
  <c r="A397" i="23"/>
  <c r="A127" i="23"/>
  <c r="A4177" i="23"/>
  <c r="A4960" i="23"/>
  <c r="A1558" i="23"/>
  <c r="A1585" i="23"/>
  <c r="A3772" i="23"/>
  <c r="A3178" i="23"/>
  <c r="A2773" i="23"/>
  <c r="A2881" i="23"/>
  <c r="A586" i="23"/>
  <c r="A4879" i="23"/>
  <c r="A4123" i="23"/>
  <c r="A4852" i="23"/>
  <c r="A1693" i="23"/>
  <c r="A1990" i="23"/>
  <c r="A4069" i="23"/>
  <c r="A3556" i="23"/>
  <c r="A2098" i="23"/>
  <c r="A73" i="23"/>
  <c r="A856" i="23"/>
  <c r="A4771" i="23"/>
  <c r="A5068" i="23"/>
  <c r="A2017" i="23"/>
  <c r="A1504" i="23"/>
  <c r="A3124" i="23"/>
  <c r="A2125" i="23"/>
  <c r="A2908" i="23"/>
  <c r="A532" i="23"/>
  <c r="A559" i="23"/>
  <c r="A1747" i="23"/>
  <c r="A2854" i="23"/>
  <c r="A1423" i="23"/>
  <c r="A2962" i="23"/>
  <c r="A1855" i="23"/>
  <c r="A883" i="23"/>
  <c r="A1153" i="23"/>
  <c r="A19" i="23"/>
  <c r="A4798" i="23"/>
  <c r="A3664" i="23"/>
  <c r="A640" i="23"/>
  <c r="A4204" i="23"/>
  <c r="A2827" i="23"/>
  <c r="A5122" i="23"/>
  <c r="A4609" i="23"/>
  <c r="A3691" i="23"/>
  <c r="A2989" i="23"/>
  <c r="A748" i="23"/>
  <c r="A27" i="2"/>
  <c r="A4264" i="23"/>
  <c r="A3292" i="23"/>
  <c r="A268" i="23"/>
  <c r="A1321" i="23"/>
  <c r="A4426" i="23"/>
  <c r="A3265" i="23"/>
  <c r="A241" i="23"/>
  <c r="A1294" i="23"/>
  <c r="A3427" i="23"/>
  <c r="A376" i="23"/>
  <c r="A3238" i="23"/>
  <c r="A214" i="23"/>
  <c r="A1267" i="23"/>
  <c r="A2347" i="23"/>
  <c r="A3400" i="23"/>
  <c r="A187" i="23"/>
  <c r="A1240" i="23"/>
  <c r="A2320" i="23"/>
  <c r="A4399" i="23"/>
  <c r="A349" i="23"/>
  <c r="A160" i="23"/>
  <c r="A1213" i="23"/>
  <c r="A2293" i="23"/>
  <c r="A4372" i="23"/>
  <c r="A322" i="23"/>
  <c r="A1375" i="23"/>
  <c r="A2428" i="23"/>
  <c r="A1186" i="23"/>
  <c r="A2266" i="23"/>
  <c r="A4345" i="23"/>
  <c r="A3373" i="23"/>
  <c r="A1348" i="23"/>
  <c r="A3346" i="23"/>
  <c r="A4291" i="23"/>
  <c r="A4453" i="23"/>
  <c r="A4318" i="23"/>
  <c r="A2212" i="23"/>
  <c r="A2374" i="23"/>
  <c r="A2239" i="23"/>
  <c r="A295" i="23"/>
  <c r="A3454" i="23"/>
  <c r="A3319" i="23"/>
  <c r="A4129" i="23"/>
  <c r="A4696" i="23"/>
  <c r="A4858" i="23"/>
  <c r="A1807" i="23"/>
  <c r="A1699" i="23"/>
  <c r="A1834" i="23"/>
  <c r="A1996" i="23"/>
  <c r="A3967" i="23"/>
  <c r="A4075" i="23"/>
  <c r="A3724" i="23"/>
  <c r="A3562" i="23"/>
  <c r="A2482" i="23"/>
  <c r="A2104" i="23"/>
  <c r="A2509" i="23"/>
  <c r="A79" i="23"/>
  <c r="A1024" i="23"/>
  <c r="A862" i="23"/>
  <c r="A511" i="23"/>
  <c r="A4534" i="23"/>
  <c r="A4156" i="23"/>
  <c r="A4561" i="23"/>
  <c r="A1105" i="23"/>
  <c r="A2050" i="23"/>
  <c r="A1888" i="23"/>
  <c r="A1537" i="23"/>
  <c r="A3616" i="23"/>
  <c r="A3481" i="23"/>
  <c r="A3643" i="23"/>
  <c r="A3211" i="23"/>
  <c r="A2752" i="23"/>
  <c r="A2671" i="23"/>
  <c r="A2158" i="23"/>
  <c r="A943" i="23"/>
  <c r="A727" i="23"/>
  <c r="A916" i="23"/>
  <c r="A835" i="23"/>
  <c r="A4804" i="23"/>
  <c r="A4723" i="23"/>
  <c r="A4210" i="23"/>
  <c r="A1969" i="23"/>
  <c r="A1753" i="23"/>
  <c r="A1942" i="23"/>
  <c r="A1861" i="23"/>
  <c r="A3103" i="23"/>
  <c r="A3670" i="23"/>
  <c r="A3832" i="23"/>
  <c r="A2833" i="23"/>
  <c r="A2725" i="23"/>
  <c r="A2860" i="23"/>
  <c r="A3022" i="23"/>
  <c r="A889" i="23"/>
  <c r="A997" i="23"/>
  <c r="A646" i="23"/>
  <c r="A484" i="23"/>
  <c r="A4480" i="23"/>
  <c r="A4183" i="23"/>
  <c r="A5128" i="23"/>
  <c r="A4966" i="23"/>
  <c r="A4615" i="23"/>
  <c r="A1564" i="23"/>
  <c r="A1429" i="23"/>
  <c r="A1591" i="23"/>
  <c r="A1159" i="23"/>
  <c r="A3778" i="23"/>
  <c r="A3697" i="23"/>
  <c r="A3184" i="23"/>
  <c r="A2995" i="23"/>
  <c r="A2779" i="23"/>
  <c r="A2968" i="23"/>
  <c r="A2887" i="23"/>
  <c r="A25" i="23"/>
  <c r="A592" i="23"/>
  <c r="A754" i="23"/>
  <c r="A4885" i="23"/>
  <c r="A1402" i="23"/>
  <c r="A5047" i="23"/>
  <c r="A4831" i="23"/>
  <c r="A5020" i="23"/>
  <c r="A4939" i="23"/>
  <c r="A1051" i="23"/>
  <c r="A1618" i="23"/>
  <c r="A1780" i="23"/>
  <c r="A3859" i="23"/>
  <c r="A3751" i="23"/>
  <c r="A3886" i="23"/>
  <c r="A4048" i="23"/>
  <c r="A2941" i="23"/>
  <c r="A3049" i="23"/>
  <c r="A2698" i="23"/>
  <c r="A2536" i="23"/>
  <c r="A430" i="23"/>
  <c r="A52" i="23"/>
  <c r="A457" i="23"/>
  <c r="A4777" i="23"/>
  <c r="A4237" i="23"/>
  <c r="A1483" i="23"/>
  <c r="A3130" i="23"/>
  <c r="A2077" i="23"/>
  <c r="A2185" i="23"/>
  <c r="A565" i="23"/>
  <c r="A2401" i="23"/>
  <c r="A5101" i="23"/>
  <c r="A1915" i="23"/>
  <c r="A1132" i="23"/>
  <c r="A3940" i="23"/>
  <c r="A3076" i="23"/>
  <c r="A781" i="23"/>
  <c r="A106" i="23"/>
  <c r="A4507" i="23"/>
  <c r="A1456" i="23"/>
  <c r="A1510" i="23"/>
  <c r="A3994" i="23"/>
  <c r="A2455" i="23"/>
  <c r="A538" i="23"/>
  <c r="A970" i="23"/>
  <c r="A4750" i="23"/>
  <c r="A2023" i="23"/>
  <c r="A4021" i="23"/>
  <c r="A3589" i="23"/>
  <c r="A2914" i="23"/>
  <c r="A673" i="23"/>
  <c r="A4669" i="23"/>
  <c r="A1078" i="23"/>
  <c r="A3508" i="23"/>
  <c r="A3913" i="23"/>
  <c r="A2617" i="23"/>
  <c r="A403" i="23"/>
  <c r="A4588" i="23"/>
  <c r="A2131" i="23"/>
  <c r="A133" i="23"/>
  <c r="A1726" i="23"/>
  <c r="A2590" i="23"/>
  <c r="A1645" i="23"/>
  <c r="A2644" i="23"/>
  <c r="A1672" i="23"/>
  <c r="A2806" i="23"/>
  <c r="A4993" i="23"/>
  <c r="A3157" i="23"/>
  <c r="A2563" i="23"/>
  <c r="A4912" i="23"/>
  <c r="A3805" i="23"/>
  <c r="A619" i="23"/>
  <c r="A700" i="23"/>
  <c r="A808" i="23"/>
  <c r="A4642" i="23"/>
  <c r="A4102" i="23"/>
  <c r="A5074" i="23"/>
  <c r="A3535" i="23"/>
  <c r="A19" i="2"/>
  <c r="A4256" i="23"/>
  <c r="A3284" i="23"/>
  <c r="A260" i="23"/>
  <c r="A1313" i="23"/>
  <c r="A4418" i="23"/>
  <c r="A3257" i="23"/>
  <c r="A233" i="23"/>
  <c r="A1286" i="23"/>
  <c r="A3419" i="23"/>
  <c r="A368" i="23"/>
  <c r="A3230" i="23"/>
  <c r="A206" i="23"/>
  <c r="A1259" i="23"/>
  <c r="A2339" i="23"/>
  <c r="A3392" i="23"/>
  <c r="A179" i="23"/>
  <c r="A1232" i="23"/>
  <c r="A2312" i="23"/>
  <c r="A4391" i="23"/>
  <c r="A341" i="23"/>
  <c r="A152" i="23"/>
  <c r="A1205" i="23"/>
  <c r="A2285" i="23"/>
  <c r="A4364" i="23"/>
  <c r="A314" i="23"/>
  <c r="A1367" i="23"/>
  <c r="A2420" i="23"/>
  <c r="A1178" i="23"/>
  <c r="A2258" i="23"/>
  <c r="A4337" i="23"/>
  <c r="A3365" i="23"/>
  <c r="A1340" i="23"/>
  <c r="A3311" i="23"/>
  <c r="A3446" i="23"/>
  <c r="A3338" i="23"/>
  <c r="A4283" i="23"/>
  <c r="A4445" i="23"/>
  <c r="A4310" i="23"/>
  <c r="A2204" i="23"/>
  <c r="A2366" i="23"/>
  <c r="A2231" i="23"/>
  <c r="A2393" i="23"/>
  <c r="A4958" i="23"/>
  <c r="A4607" i="23"/>
  <c r="A1556" i="23"/>
  <c r="A1421" i="23"/>
  <c r="A1583" i="23"/>
  <c r="A1151" i="23"/>
  <c r="A3770" i="23"/>
  <c r="A3689" i="23"/>
  <c r="A3176" i="23"/>
  <c r="A2987" i="23"/>
  <c r="A2771" i="23"/>
  <c r="A2960" i="23"/>
  <c r="A2879" i="23"/>
  <c r="A17" i="23"/>
  <c r="A584" i="23"/>
  <c r="A746" i="23"/>
  <c r="A4175" i="23"/>
  <c r="A5120" i="23"/>
  <c r="A4472" i="23"/>
  <c r="A4823" i="23"/>
  <c r="A5012" i="23"/>
  <c r="A4931" i="23"/>
  <c r="A1043" i="23"/>
  <c r="A1610" i="23"/>
  <c r="A1772" i="23"/>
  <c r="A3851" i="23"/>
  <c r="A3743" i="23"/>
  <c r="A3878" i="23"/>
  <c r="A4040" i="23"/>
  <c r="A2933" i="23"/>
  <c r="A3041" i="23"/>
  <c r="A2690" i="23"/>
  <c r="A2528" i="23"/>
  <c r="A422" i="23"/>
  <c r="A44" i="23"/>
  <c r="A449" i="23"/>
  <c r="A5039" i="23"/>
  <c r="A4877" i="23"/>
  <c r="A5093" i="23"/>
  <c r="A4742" i="23"/>
  <c r="A4580" i="23"/>
  <c r="A1448" i="23"/>
  <c r="A1070" i="23"/>
  <c r="A1475" i="23"/>
  <c r="A3149" i="23"/>
  <c r="A4094" i="23"/>
  <c r="A3932" i="23"/>
  <c r="A3581" i="23"/>
  <c r="A2582" i="23"/>
  <c r="A2447" i="23"/>
  <c r="A2609" i="23"/>
  <c r="A2177" i="23"/>
  <c r="A692" i="23"/>
  <c r="A611" i="23"/>
  <c r="A98" i="23"/>
  <c r="A4985" i="23"/>
  <c r="A4688" i="23"/>
  <c r="A4850" i="23"/>
  <c r="A1799" i="23"/>
  <c r="A1691" i="23"/>
  <c r="A1826" i="23"/>
  <c r="A1988" i="23"/>
  <c r="A3959" i="23"/>
  <c r="A4067" i="23"/>
  <c r="A3716" i="23"/>
  <c r="A3554" i="23"/>
  <c r="A2474" i="23"/>
  <c r="A2096" i="23"/>
  <c r="A2501" i="23"/>
  <c r="A71" i="23"/>
  <c r="A1016" i="23"/>
  <c r="A854" i="23"/>
  <c r="A503" i="23"/>
  <c r="A4121" i="23"/>
  <c r="A287" i="23"/>
  <c r="A4661" i="23"/>
  <c r="A1718" i="23"/>
  <c r="A1124" i="23"/>
  <c r="A3797" i="23"/>
  <c r="A3905" i="23"/>
  <c r="A2636" i="23"/>
  <c r="A773" i="23"/>
  <c r="A800" i="23"/>
  <c r="A4634" i="23"/>
  <c r="A4553" i="23"/>
  <c r="A2042" i="23"/>
  <c r="A1529" i="23"/>
  <c r="A3473" i="23"/>
  <c r="A3203" i="23"/>
  <c r="A2663" i="23"/>
  <c r="A935" i="23"/>
  <c r="A908" i="23"/>
  <c r="A4526" i="23"/>
  <c r="A1394" i="23"/>
  <c r="A4202" i="23"/>
  <c r="A1745" i="23"/>
  <c r="A1853" i="23"/>
  <c r="A3662" i="23"/>
  <c r="A2825" i="23"/>
  <c r="A2852" i="23"/>
  <c r="A881" i="23"/>
  <c r="A638" i="23"/>
  <c r="A4796" i="23"/>
  <c r="A5066" i="23"/>
  <c r="A2015" i="23"/>
  <c r="A1502" i="23"/>
  <c r="A3122" i="23"/>
  <c r="A2123" i="23"/>
  <c r="A2906" i="23"/>
  <c r="A530" i="23"/>
  <c r="A557" i="23"/>
  <c r="A4769" i="23"/>
  <c r="A4499" i="23"/>
  <c r="A4229" i="23"/>
  <c r="A1637" i="23"/>
  <c r="A4013" i="23"/>
  <c r="A3986" i="23"/>
  <c r="A2069" i="23"/>
  <c r="A2798" i="23"/>
  <c r="A665" i="23"/>
  <c r="A962" i="23"/>
  <c r="A4715" i="23"/>
  <c r="A1961" i="23"/>
  <c r="A1934" i="23"/>
  <c r="A3095" i="23"/>
  <c r="A3824" i="23"/>
  <c r="A2717" i="23"/>
  <c r="A3014" i="23"/>
  <c r="A989" i="23"/>
  <c r="A476" i="23"/>
  <c r="A4148" i="23"/>
  <c r="A3635" i="23"/>
  <c r="A827" i="23"/>
  <c r="A4904" i="23"/>
  <c r="A3527" i="23"/>
  <c r="A125" i="23"/>
  <c r="A1097" i="23"/>
  <c r="A2744" i="23"/>
  <c r="A1907" i="23"/>
  <c r="A3068" i="23"/>
  <c r="A1880" i="23"/>
  <c r="A2150" i="23"/>
  <c r="A3608" i="23"/>
  <c r="A719" i="23"/>
  <c r="A1664" i="23"/>
  <c r="A3500" i="23"/>
  <c r="A2555" i="23"/>
  <c r="A395" i="23"/>
  <c r="A11" i="2"/>
  <c r="A4248" i="23"/>
  <c r="A3276" i="23"/>
  <c r="A252" i="23"/>
  <c r="A1305" i="23"/>
  <c r="A4410" i="23"/>
  <c r="A3249" i="23"/>
  <c r="A225" i="23"/>
  <c r="A1278" i="23"/>
  <c r="A3411" i="23"/>
  <c r="A360" i="23"/>
  <c r="A3222" i="23"/>
  <c r="A198" i="23"/>
  <c r="A1251" i="23"/>
  <c r="A2331" i="23"/>
  <c r="A3384" i="23"/>
  <c r="A171" i="23"/>
  <c r="A1224" i="23"/>
  <c r="A2304" i="23"/>
  <c r="A4383" i="23"/>
  <c r="A333" i="23"/>
  <c r="A144" i="23"/>
  <c r="A1197" i="23"/>
  <c r="A2277" i="23"/>
  <c r="A4356" i="23"/>
  <c r="A306" i="23"/>
  <c r="A1359" i="23"/>
  <c r="A2412" i="23"/>
  <c r="A1170" i="23"/>
  <c r="A2250" i="23"/>
  <c r="A4329" i="23"/>
  <c r="A3357" i="23"/>
  <c r="A1332" i="23"/>
  <c r="A2223" i="23"/>
  <c r="A2385" i="23"/>
  <c r="A279" i="23"/>
  <c r="A3438" i="23"/>
  <c r="A3303" i="23"/>
  <c r="A4275" i="23"/>
  <c r="A4437" i="23"/>
  <c r="A4302" i="23"/>
  <c r="A4464" i="23"/>
  <c r="A2196" i="23"/>
  <c r="A3330" i="23"/>
  <c r="A1386" i="23"/>
  <c r="A495" i="23"/>
  <c r="A846" i="23"/>
  <c r="A1008" i="23"/>
  <c r="A63" i="23"/>
  <c r="A2493" i="23"/>
  <c r="A2088" i="23"/>
  <c r="A2466" i="23"/>
  <c r="A3546" i="23"/>
  <c r="A3708" i="23"/>
  <c r="A4059" i="23"/>
  <c r="A3951" i="23"/>
  <c r="A1980" i="23"/>
  <c r="A1818" i="23"/>
  <c r="A1683" i="23"/>
  <c r="A1791" i="23"/>
  <c r="A4842" i="23"/>
  <c r="A4680" i="23"/>
  <c r="A4113" i="23"/>
  <c r="A954" i="23"/>
  <c r="A792" i="23"/>
  <c r="A657" i="23"/>
  <c r="A765" i="23"/>
  <c r="A2790" i="23"/>
  <c r="A2628" i="23"/>
  <c r="A2061" i="23"/>
  <c r="A3897" i="23"/>
  <c r="A3978" i="23"/>
  <c r="A3789" i="23"/>
  <c r="A4005" i="23"/>
  <c r="A1116" i="23"/>
  <c r="A1629" i="23"/>
  <c r="A1710" i="23"/>
  <c r="A4221" i="23"/>
  <c r="A4653" i="23"/>
  <c r="A4491" i="23"/>
  <c r="A4626" i="23"/>
  <c r="A2358" i="23"/>
  <c r="A90" i="23"/>
  <c r="A603" i="23"/>
  <c r="A684" i="23"/>
  <c r="A2169" i="23"/>
  <c r="A2601" i="23"/>
  <c r="A2439" i="23"/>
  <c r="A2574" i="23"/>
  <c r="A3573" i="23"/>
  <c r="A3924" i="23"/>
  <c r="A4086" i="23"/>
  <c r="A3141" i="23"/>
  <c r="A1467" i="23"/>
  <c r="A1062" i="23"/>
  <c r="A1440" i="23"/>
  <c r="A4572" i="23"/>
  <c r="A4734" i="23"/>
  <c r="A5085" i="23"/>
  <c r="A4977" i="23"/>
  <c r="A441" i="23"/>
  <c r="A36" i="23"/>
  <c r="A414" i="23"/>
  <c r="A2520" i="23"/>
  <c r="A2682" i="23"/>
  <c r="A3033" i="23"/>
  <c r="A2925" i="23"/>
  <c r="A4032" i="23"/>
  <c r="A3870" i="23"/>
  <c r="A3735" i="23"/>
  <c r="A3843" i="23"/>
  <c r="A1764" i="23"/>
  <c r="A1602" i="23"/>
  <c r="A1035" i="23"/>
  <c r="A4923" i="23"/>
  <c r="A5004" i="23"/>
  <c r="A4815" i="23"/>
  <c r="A5031" i="23"/>
  <c r="A738" i="23"/>
  <c r="A576" i="23"/>
  <c r="A9" i="23"/>
  <c r="A2871" i="23"/>
  <c r="A2952" i="23"/>
  <c r="A2763" i="23"/>
  <c r="A2979" i="23"/>
  <c r="A3168" i="23"/>
  <c r="A3681" i="23"/>
  <c r="A3762" i="23"/>
  <c r="A1143" i="23"/>
  <c r="A1575" i="23"/>
  <c r="A1413" i="23"/>
  <c r="A1548" i="23"/>
  <c r="A4599" i="23"/>
  <c r="A4950" i="23"/>
  <c r="A5112" i="23"/>
  <c r="A4167" i="23"/>
  <c r="A468" i="23"/>
  <c r="A630" i="23"/>
  <c r="A981" i="23"/>
  <c r="A873" i="23"/>
  <c r="A3006" i="23"/>
  <c r="A2844" i="23"/>
  <c r="A2709" i="23"/>
  <c r="A2817" i="23"/>
  <c r="A3816" i="23"/>
  <c r="A3654" i="23"/>
  <c r="A3087" i="23"/>
  <c r="A1845" i="23"/>
  <c r="A1926" i="23"/>
  <c r="A1737" i="23"/>
  <c r="A1953" i="23"/>
  <c r="A4194" i="23"/>
  <c r="A4707" i="23"/>
  <c r="A4788" i="23"/>
  <c r="A387" i="23"/>
  <c r="A3060" i="23"/>
  <c r="A3492" i="23"/>
  <c r="A1899" i="23"/>
  <c r="A4869" i="23"/>
  <c r="A711" i="23"/>
  <c r="A2736" i="23"/>
  <c r="A3600" i="23"/>
  <c r="A1089" i="23"/>
  <c r="A2034" i="23"/>
  <c r="A522" i="23"/>
  <c r="A2115" i="23"/>
  <c r="A1494" i="23"/>
  <c r="A5058" i="23"/>
  <c r="A4518" i="23"/>
  <c r="A927" i="23"/>
  <c r="A3195" i="23"/>
  <c r="A1521" i="23"/>
  <c r="A4545" i="23"/>
  <c r="A2655" i="23"/>
  <c r="A117" i="23"/>
  <c r="A2547" i="23"/>
  <c r="A3519" i="23"/>
  <c r="A1656" i="23"/>
  <c r="A4896" i="23"/>
  <c r="A900" i="23"/>
  <c r="A819" i="23"/>
  <c r="A2142" i="23"/>
  <c r="A3627" i="23"/>
  <c r="A1872" i="23"/>
  <c r="A4140" i="23"/>
  <c r="A549" i="23"/>
  <c r="A2898" i="23"/>
  <c r="A3114" i="23"/>
  <c r="A2007" i="23"/>
  <c r="A4761" i="23"/>
  <c r="A3465" i="23"/>
  <c r="A24" i="2"/>
  <c r="A1183" i="23"/>
  <c r="A2263" i="23"/>
  <c r="A4342" i="23"/>
  <c r="A3370" i="23"/>
  <c r="A1345" i="23"/>
  <c r="A2236" i="23"/>
  <c r="A4315" i="23"/>
  <c r="A3343" i="23"/>
  <c r="A2398" i="23"/>
  <c r="A2209" i="23"/>
  <c r="A4288" i="23"/>
  <c r="A3316" i="23"/>
  <c r="A292" i="23"/>
  <c r="A2371" i="23"/>
  <c r="A4450" i="23"/>
  <c r="A4261" i="23"/>
  <c r="A3289" i="23"/>
  <c r="A265" i="23"/>
  <c r="A1318" i="23"/>
  <c r="A4423" i="23"/>
  <c r="A3262" i="23"/>
  <c r="A238" i="23"/>
  <c r="A1291" i="23"/>
  <c r="A3424" i="23"/>
  <c r="A373" i="23"/>
  <c r="A3235" i="23"/>
  <c r="A211" i="23"/>
  <c r="A1264" i="23"/>
  <c r="A2344" i="23"/>
  <c r="A3397" i="23"/>
  <c r="A4396" i="23"/>
  <c r="A2290" i="23"/>
  <c r="A2317" i="23"/>
  <c r="A4477" i="23"/>
  <c r="A1210" i="23"/>
  <c r="A1372" i="23"/>
  <c r="A1237" i="23"/>
  <c r="A157" i="23"/>
  <c r="A319" i="23"/>
  <c r="A184" i="23"/>
  <c r="A346" i="23"/>
  <c r="A2425" i="23"/>
  <c r="A3451" i="23"/>
  <c r="A5044" i="23"/>
  <c r="A4828" i="23"/>
  <c r="A5017" i="23"/>
  <c r="A4936" i="23"/>
  <c r="A1048" i="23"/>
  <c r="A1615" i="23"/>
  <c r="A1777" i="23"/>
  <c r="A3856" i="23"/>
  <c r="A3748" i="23"/>
  <c r="A3883" i="23"/>
  <c r="A4045" i="23"/>
  <c r="A2938" i="23"/>
  <c r="A3046" i="23"/>
  <c r="A2695" i="23"/>
  <c r="A2533" i="23"/>
  <c r="A427" i="23"/>
  <c r="A49" i="23"/>
  <c r="A454" i="23"/>
  <c r="A4990" i="23"/>
  <c r="A5098" i="23"/>
  <c r="A4747" i="23"/>
  <c r="A4585" i="23"/>
  <c r="A1453" i="23"/>
  <c r="A1075" i="23"/>
  <c r="A1480" i="23"/>
  <c r="A3154" i="23"/>
  <c r="A4099" i="23"/>
  <c r="A3937" i="23"/>
  <c r="A3586" i="23"/>
  <c r="A2587" i="23"/>
  <c r="A2452" i="23"/>
  <c r="A2614" i="23"/>
  <c r="A2182" i="23"/>
  <c r="A697" i="23"/>
  <c r="A616" i="23"/>
  <c r="A103" i="23"/>
  <c r="A4639" i="23"/>
  <c r="A4504" i="23"/>
  <c r="A4666" i="23"/>
  <c r="A4234" i="23"/>
  <c r="A1723" i="23"/>
  <c r="A1642" i="23"/>
  <c r="A1129" i="23"/>
  <c r="A4018" i="23"/>
  <c r="A3802" i="23"/>
  <c r="A3991" i="23"/>
  <c r="A3910" i="23"/>
  <c r="A2074" i="23"/>
  <c r="A2641" i="23"/>
  <c r="A2803" i="23"/>
  <c r="A778" i="23"/>
  <c r="A670" i="23"/>
  <c r="A805" i="23"/>
  <c r="A967" i="23"/>
  <c r="A4369" i="23"/>
  <c r="A4531" i="23"/>
  <c r="A4153" i="23"/>
  <c r="A4558" i="23"/>
  <c r="A1102" i="23"/>
  <c r="A2047" i="23"/>
  <c r="A1885" i="23"/>
  <c r="A1534" i="23"/>
  <c r="A3613" i="23"/>
  <c r="A3478" i="23"/>
  <c r="A3640" i="23"/>
  <c r="A3208" i="23"/>
  <c r="A2749" i="23"/>
  <c r="A2668" i="23"/>
  <c r="A2155" i="23"/>
  <c r="A940" i="23"/>
  <c r="A724" i="23"/>
  <c r="A913" i="23"/>
  <c r="A832" i="23"/>
  <c r="A4801" i="23"/>
  <c r="A4720" i="23"/>
  <c r="A4207" i="23"/>
  <c r="A1966" i="23"/>
  <c r="A1750" i="23"/>
  <c r="A1939" i="23"/>
  <c r="A1858" i="23"/>
  <c r="A3100" i="23"/>
  <c r="A3667" i="23"/>
  <c r="A3829" i="23"/>
  <c r="A2830" i="23"/>
  <c r="A2722" i="23"/>
  <c r="A2857" i="23"/>
  <c r="A3019" i="23"/>
  <c r="A886" i="23"/>
  <c r="A994" i="23"/>
  <c r="A643" i="23"/>
  <c r="A481" i="23"/>
  <c r="A4855" i="23"/>
  <c r="A1426" i="23"/>
  <c r="A3505" i="23"/>
  <c r="A3559" i="23"/>
  <c r="A2965" i="23"/>
  <c r="A400" i="23"/>
  <c r="A4180" i="23"/>
  <c r="A5071" i="23"/>
  <c r="A1831" i="23"/>
  <c r="A3775" i="23"/>
  <c r="A2128" i="23"/>
  <c r="A2506" i="23"/>
  <c r="A589" i="23"/>
  <c r="A4126" i="23"/>
  <c r="A4612" i="23"/>
  <c r="A1669" i="23"/>
  <c r="A4072" i="23"/>
  <c r="A2992" i="23"/>
  <c r="A2560" i="23"/>
  <c r="A859" i="23"/>
  <c r="A5125" i="23"/>
  <c r="A1912" i="23"/>
  <c r="A1993" i="23"/>
  <c r="A3694" i="23"/>
  <c r="A3073" i="23"/>
  <c r="A76" i="23"/>
  <c r="A751" i="23"/>
  <c r="A4774" i="23"/>
  <c r="A1588" i="23"/>
  <c r="A2479" i="23"/>
  <c r="A562" i="23"/>
  <c r="A1399" i="23"/>
  <c r="A4693" i="23"/>
  <c r="A1507" i="23"/>
  <c r="A2776" i="23"/>
  <c r="A508" i="23"/>
  <c r="A4909" i="23"/>
  <c r="A1156" i="23"/>
  <c r="A2101" i="23"/>
  <c r="A130" i="23"/>
  <c r="A4963" i="23"/>
  <c r="A3964" i="23"/>
  <c r="A2911" i="23"/>
  <c r="A4882" i="23"/>
  <c r="A1804" i="23"/>
  <c r="A3127" i="23"/>
  <c r="A2884" i="23"/>
  <c r="A1696" i="23"/>
  <c r="A3532" i="23"/>
  <c r="A22" i="23"/>
  <c r="A3721" i="23"/>
  <c r="A3181" i="23"/>
  <c r="A535" i="23"/>
  <c r="A1021" i="23"/>
  <c r="A1561" i="23"/>
  <c r="A2020" i="23"/>
  <c r="A26" i="2"/>
  <c r="A2211" i="23"/>
  <c r="A4290" i="23"/>
  <c r="A3318" i="23"/>
  <c r="A294" i="23"/>
  <c r="A2373" i="23"/>
  <c r="A4452" i="23"/>
  <c r="A3453" i="23"/>
  <c r="A4263" i="23"/>
  <c r="A3291" i="23"/>
  <c r="A267" i="23"/>
  <c r="A1320" i="23"/>
  <c r="A4425" i="23"/>
  <c r="A3264" i="23"/>
  <c r="A240" i="23"/>
  <c r="A1293" i="23"/>
  <c r="A3426" i="23"/>
  <c r="A375" i="23"/>
  <c r="A3237" i="23"/>
  <c r="A213" i="23"/>
  <c r="A1266" i="23"/>
  <c r="A2346" i="23"/>
  <c r="A3399" i="23"/>
  <c r="A186" i="23"/>
  <c r="A1239" i="23"/>
  <c r="A2319" i="23"/>
  <c r="A4398" i="23"/>
  <c r="A348" i="23"/>
  <c r="A159" i="23"/>
  <c r="A1212" i="23"/>
  <c r="A2292" i="23"/>
  <c r="A4371" i="23"/>
  <c r="A321" i="23"/>
  <c r="A1374" i="23"/>
  <c r="A2427" i="23"/>
  <c r="A1185" i="23"/>
  <c r="A1347" i="23"/>
  <c r="A4479" i="23"/>
  <c r="A3345" i="23"/>
  <c r="A3372" i="23"/>
  <c r="A4317" i="23"/>
  <c r="A2238" i="23"/>
  <c r="A2400" i="23"/>
  <c r="A1401" i="23"/>
  <c r="A2265" i="23"/>
  <c r="A4641" i="23"/>
  <c r="A4506" i="23"/>
  <c r="A4668" i="23"/>
  <c r="A4236" i="23"/>
  <c r="A1725" i="23"/>
  <c r="A1644" i="23"/>
  <c r="A1131" i="23"/>
  <c r="A4020" i="23"/>
  <c r="A3804" i="23"/>
  <c r="A3993" i="23"/>
  <c r="A3912" i="23"/>
  <c r="A2076" i="23"/>
  <c r="A2643" i="23"/>
  <c r="A2805" i="23"/>
  <c r="A780" i="23"/>
  <c r="A672" i="23"/>
  <c r="A807" i="23"/>
  <c r="A969" i="23"/>
  <c r="A4128" i="23"/>
  <c r="A4695" i="23"/>
  <c r="A4857" i="23"/>
  <c r="A1806" i="23"/>
  <c r="A1698" i="23"/>
  <c r="A1833" i="23"/>
  <c r="A1995" i="23"/>
  <c r="A3966" i="23"/>
  <c r="A4074" i="23"/>
  <c r="A3723" i="23"/>
  <c r="A3561" i="23"/>
  <c r="A2481" i="23"/>
  <c r="A2103" i="23"/>
  <c r="A2508" i="23"/>
  <c r="A78" i="23"/>
  <c r="A1023" i="23"/>
  <c r="A861" i="23"/>
  <c r="A510" i="23"/>
  <c r="A4533" i="23"/>
  <c r="A4155" i="23"/>
  <c r="A4560" i="23"/>
  <c r="A1104" i="23"/>
  <c r="A2049" i="23"/>
  <c r="A1887" i="23"/>
  <c r="A1536" i="23"/>
  <c r="A3615" i="23"/>
  <c r="A3480" i="23"/>
  <c r="A3642" i="23"/>
  <c r="A3210" i="23"/>
  <c r="A2751" i="23"/>
  <c r="A2670" i="23"/>
  <c r="A2157" i="23"/>
  <c r="A942" i="23"/>
  <c r="A726" i="23"/>
  <c r="A915" i="23"/>
  <c r="A834" i="23"/>
  <c r="A4776" i="23"/>
  <c r="A4911" i="23"/>
  <c r="A5073" i="23"/>
  <c r="A1914" i="23"/>
  <c r="A2022" i="23"/>
  <c r="A1671" i="23"/>
  <c r="A1509" i="23"/>
  <c r="A3507" i="23"/>
  <c r="A3129" i="23"/>
  <c r="A3534" i="23"/>
  <c r="A2130" i="23"/>
  <c r="A3075" i="23"/>
  <c r="A2913" i="23"/>
  <c r="A2562" i="23"/>
  <c r="A537" i="23"/>
  <c r="A402" i="23"/>
  <c r="A564" i="23"/>
  <c r="A132" i="23"/>
  <c r="A4182" i="23"/>
  <c r="A5127" i="23"/>
  <c r="A4965" i="23"/>
  <c r="A4614" i="23"/>
  <c r="A1563" i="23"/>
  <c r="A1428" i="23"/>
  <c r="A1590" i="23"/>
  <c r="A1158" i="23"/>
  <c r="A3777" i="23"/>
  <c r="A3696" i="23"/>
  <c r="A3183" i="23"/>
  <c r="A2994" i="23"/>
  <c r="A2778" i="23"/>
  <c r="A2967" i="23"/>
  <c r="A2886" i="23"/>
  <c r="A24" i="23"/>
  <c r="A591" i="23"/>
  <c r="A753" i="23"/>
  <c r="A4884" i="23"/>
  <c r="A5100" i="23"/>
  <c r="A1050" i="23"/>
  <c r="A1860" i="23"/>
  <c r="A3939" i="23"/>
  <c r="A3048" i="23"/>
  <c r="A888" i="23"/>
  <c r="A105" i="23"/>
  <c r="A4344" i="23"/>
  <c r="A4722" i="23"/>
  <c r="A1455" i="23"/>
  <c r="A3858" i="23"/>
  <c r="A3831" i="23"/>
  <c r="A2454" i="23"/>
  <c r="A429" i="23"/>
  <c r="A483" i="23"/>
  <c r="A5019" i="23"/>
  <c r="A1752" i="23"/>
  <c r="A3156" i="23"/>
  <c r="A4047" i="23"/>
  <c r="A2859" i="23"/>
  <c r="A699" i="23"/>
  <c r="A5046" i="23"/>
  <c r="A4209" i="23"/>
  <c r="A1077" i="23"/>
  <c r="A3750" i="23"/>
  <c r="A2832" i="23"/>
  <c r="A2616" i="23"/>
  <c r="A51" i="23"/>
  <c r="A4992" i="23"/>
  <c r="A4938" i="23"/>
  <c r="A1941" i="23"/>
  <c r="A4101" i="23"/>
  <c r="A2940" i="23"/>
  <c r="A3021" i="23"/>
  <c r="A618" i="23"/>
  <c r="A1482" i="23"/>
  <c r="A2535" i="23"/>
  <c r="A4803" i="23"/>
  <c r="A3102" i="23"/>
  <c r="A2184" i="23"/>
  <c r="A4830" i="23"/>
  <c r="A3669" i="23"/>
  <c r="A996" i="23"/>
  <c r="A4749" i="23"/>
  <c r="A3885" i="23"/>
  <c r="A645" i="23"/>
  <c r="A4587" i="23"/>
  <c r="A3588" i="23"/>
  <c r="A456" i="23"/>
  <c r="A1617" i="23"/>
  <c r="A2724" i="23"/>
  <c r="A1968" i="23"/>
  <c r="A1779" i="23"/>
  <c r="A2589" i="23"/>
  <c r="A2697" i="23"/>
  <c r="A18" i="2"/>
  <c r="A2203" i="23"/>
  <c r="A4282" i="23"/>
  <c r="A3310" i="23"/>
  <c r="A286" i="23"/>
  <c r="A2365" i="23"/>
  <c r="A4444" i="23"/>
  <c r="A4255" i="23"/>
  <c r="A3283" i="23"/>
  <c r="A259" i="23"/>
  <c r="A1312" i="23"/>
  <c r="A4417" i="23"/>
  <c r="A3256" i="23"/>
  <c r="A232" i="23"/>
  <c r="A1285" i="23"/>
  <c r="A3418" i="23"/>
  <c r="A367" i="23"/>
  <c r="A3229" i="23"/>
  <c r="A205" i="23"/>
  <c r="A1258" i="23"/>
  <c r="A2338" i="23"/>
  <c r="A3391" i="23"/>
  <c r="A178" i="23"/>
  <c r="A1231" i="23"/>
  <c r="A2311" i="23"/>
  <c r="A4390" i="23"/>
  <c r="A340" i="23"/>
  <c r="A151" i="23"/>
  <c r="A1204" i="23"/>
  <c r="A2284" i="23"/>
  <c r="A4363" i="23"/>
  <c r="A313" i="23"/>
  <c r="A1366" i="23"/>
  <c r="A2419" i="23"/>
  <c r="A2257" i="23"/>
  <c r="A4471" i="23"/>
  <c r="A1177" i="23"/>
  <c r="A1339" i="23"/>
  <c r="A3445" i="23"/>
  <c r="A3337" i="23"/>
  <c r="A4309" i="23"/>
  <c r="A1393" i="23"/>
  <c r="A4336" i="23"/>
  <c r="A3364" i="23"/>
  <c r="A2230" i="23"/>
  <c r="A448" i="23"/>
  <c r="A43" i="23"/>
  <c r="A421" i="23"/>
  <c r="A2527" i="23"/>
  <c r="A2689" i="23"/>
  <c r="A3040" i="23"/>
  <c r="A2932" i="23"/>
  <c r="A4039" i="23"/>
  <c r="A3877" i="23"/>
  <c r="A3742" i="23"/>
  <c r="A3850" i="23"/>
  <c r="A1771" i="23"/>
  <c r="A1609" i="23"/>
  <c r="A1042" i="23"/>
  <c r="A4930" i="23"/>
  <c r="A5011" i="23"/>
  <c r="A4822" i="23"/>
  <c r="A5038" i="23"/>
  <c r="A745" i="23"/>
  <c r="A583" i="23"/>
  <c r="A16" i="23"/>
  <c r="A2878" i="23"/>
  <c r="A2959" i="23"/>
  <c r="A2770" i="23"/>
  <c r="A2986" i="23"/>
  <c r="A3175" i="23"/>
  <c r="A3688" i="23"/>
  <c r="A3769" i="23"/>
  <c r="A1150" i="23"/>
  <c r="A1582" i="23"/>
  <c r="A1420" i="23"/>
  <c r="A1555" i="23"/>
  <c r="A4606" i="23"/>
  <c r="A4957" i="23"/>
  <c r="A5119" i="23"/>
  <c r="A4174" i="23"/>
  <c r="A2392" i="23"/>
  <c r="A124" i="23"/>
  <c r="A556" i="23"/>
  <c r="A394" i="23"/>
  <c r="A529" i="23"/>
  <c r="A2554" i="23"/>
  <c r="A2905" i="23"/>
  <c r="A3067" i="23"/>
  <c r="A2122" i="23"/>
  <c r="A3526" i="23"/>
  <c r="A3121" i="23"/>
  <c r="A3499" i="23"/>
  <c r="A1501" i="23"/>
  <c r="A1663" i="23"/>
  <c r="A2014" i="23"/>
  <c r="A1906" i="23"/>
  <c r="A5065" i="23"/>
  <c r="A4903" i="23"/>
  <c r="A4768" i="23"/>
  <c r="A4876" i="23"/>
  <c r="A826" i="23"/>
  <c r="A907" i="23"/>
  <c r="A718" i="23"/>
  <c r="A934" i="23"/>
  <c r="A2149" i="23"/>
  <c r="A2662" i="23"/>
  <c r="A2743" i="23"/>
  <c r="A3202" i="23"/>
  <c r="A3634" i="23"/>
  <c r="A3472" i="23"/>
  <c r="A3607" i="23"/>
  <c r="A1528" i="23"/>
  <c r="A1879" i="23"/>
  <c r="A2041" i="23"/>
  <c r="A1096" i="23"/>
  <c r="A4552" i="23"/>
  <c r="A4147" i="23"/>
  <c r="A4525" i="23"/>
  <c r="A637" i="23"/>
  <c r="A880" i="23"/>
  <c r="A2851" i="23"/>
  <c r="A2824" i="23"/>
  <c r="A3661" i="23"/>
  <c r="A1852" i="23"/>
  <c r="A1744" i="23"/>
  <c r="A4201" i="23"/>
  <c r="A4795" i="23"/>
  <c r="A853" i="23"/>
  <c r="A70" i="23"/>
  <c r="A2095" i="23"/>
  <c r="A3553" i="23"/>
  <c r="A4066" i="23"/>
  <c r="A1987" i="23"/>
  <c r="A1690" i="23"/>
  <c r="A4849" i="23"/>
  <c r="A4120" i="23"/>
  <c r="A799" i="23"/>
  <c r="A772" i="23"/>
  <c r="A2635" i="23"/>
  <c r="A3904" i="23"/>
  <c r="A3796" i="23"/>
  <c r="A1123" i="23"/>
  <c r="A1717" i="23"/>
  <c r="A4660" i="23"/>
  <c r="A4633" i="23"/>
  <c r="A610" i="23"/>
  <c r="A2176" i="23"/>
  <c r="A2446" i="23"/>
  <c r="A3580" i="23"/>
  <c r="A4093" i="23"/>
  <c r="A1474" i="23"/>
  <c r="A1447" i="23"/>
  <c r="A4741" i="23"/>
  <c r="A4984" i="23"/>
  <c r="A475" i="23"/>
  <c r="A988" i="23"/>
  <c r="A3013" i="23"/>
  <c r="A2716" i="23"/>
  <c r="A3823" i="23"/>
  <c r="A3094" i="23"/>
  <c r="A1933" i="23"/>
  <c r="A1960" i="23"/>
  <c r="A4714" i="23"/>
  <c r="A961" i="23"/>
  <c r="A664" i="23"/>
  <c r="A2797" i="23"/>
  <c r="A2068" i="23"/>
  <c r="A3985" i="23"/>
  <c r="A4012" i="23"/>
  <c r="A1636" i="23"/>
  <c r="A4228" i="23"/>
  <c r="A4498" i="23"/>
  <c r="A2473" i="23"/>
  <c r="A1798" i="23"/>
  <c r="A2581" i="23"/>
  <c r="A4579" i="23"/>
  <c r="A502" i="23"/>
  <c r="A3715" i="23"/>
  <c r="A4687" i="23"/>
  <c r="A97" i="23"/>
  <c r="A3931" i="23"/>
  <c r="A5092" i="23"/>
  <c r="A1015" i="23"/>
  <c r="A3958" i="23"/>
  <c r="A2500" i="23"/>
  <c r="A1825" i="23"/>
  <c r="A3148" i="23"/>
  <c r="A1069" i="23"/>
  <c r="A691" i="23"/>
  <c r="A2608" i="23"/>
  <c r="A10" i="2"/>
  <c r="A2195" i="23"/>
  <c r="A4274" i="23"/>
  <c r="A3302" i="23"/>
  <c r="A278" i="23"/>
  <c r="A2357" i="23"/>
  <c r="A4436" i="23"/>
  <c r="A4247" i="23"/>
  <c r="A3275" i="23"/>
  <c r="A251" i="23"/>
  <c r="A1304" i="23"/>
  <c r="A4409" i="23"/>
  <c r="A3248" i="23"/>
  <c r="A224" i="23"/>
  <c r="A1277" i="23"/>
  <c r="A3410" i="23"/>
  <c r="A359" i="23"/>
  <c r="A3221" i="23"/>
  <c r="A197" i="23"/>
  <c r="A1250" i="23"/>
  <c r="A2330" i="23"/>
  <c r="A3383" i="23"/>
  <c r="A170" i="23"/>
  <c r="A1223" i="23"/>
  <c r="A2303" i="23"/>
  <c r="A4382" i="23"/>
  <c r="A332" i="23"/>
  <c r="A143" i="23"/>
  <c r="A1196" i="23"/>
  <c r="A2276" i="23"/>
  <c r="A4355" i="23"/>
  <c r="A305" i="23"/>
  <c r="A1358" i="23"/>
  <c r="A2411" i="23"/>
  <c r="A4328" i="23"/>
  <c r="A4463" i="23"/>
  <c r="A2222" i="23"/>
  <c r="A2384" i="23"/>
  <c r="A2249" i="23"/>
  <c r="A3437" i="23"/>
  <c r="A1169" i="23"/>
  <c r="A3329" i="23"/>
  <c r="A1385" i="23"/>
  <c r="A3356" i="23"/>
  <c r="A1331" i="23"/>
  <c r="A4301" i="23"/>
  <c r="A818" i="23"/>
  <c r="A899" i="23"/>
  <c r="A710" i="23"/>
  <c r="A926" i="23"/>
  <c r="A2141" i="23"/>
  <c r="A2654" i="23"/>
  <c r="A2735" i="23"/>
  <c r="A3194" i="23"/>
  <c r="A3626" i="23"/>
  <c r="A3464" i="23"/>
  <c r="A3599" i="23"/>
  <c r="A1520" i="23"/>
  <c r="A1871" i="23"/>
  <c r="A2033" i="23"/>
  <c r="A1088" i="23"/>
  <c r="A4544" i="23"/>
  <c r="A4139" i="23"/>
  <c r="A4517" i="23"/>
  <c r="A494" i="23"/>
  <c r="A845" i="23"/>
  <c r="A1007" i="23"/>
  <c r="A62" i="23"/>
  <c r="A2492" i="23"/>
  <c r="A2087" i="23"/>
  <c r="A2465" i="23"/>
  <c r="A3545" i="23"/>
  <c r="A3707" i="23"/>
  <c r="A4058" i="23"/>
  <c r="A3950" i="23"/>
  <c r="A1979" i="23"/>
  <c r="A1817" i="23"/>
  <c r="A1682" i="23"/>
  <c r="A1790" i="23"/>
  <c r="A4841" i="23"/>
  <c r="A4679" i="23"/>
  <c r="A4112" i="23"/>
  <c r="A953" i="23"/>
  <c r="A791" i="23"/>
  <c r="A656" i="23"/>
  <c r="A764" i="23"/>
  <c r="A2789" i="23"/>
  <c r="A2627" i="23"/>
  <c r="A2060" i="23"/>
  <c r="A3896" i="23"/>
  <c r="A3977" i="23"/>
  <c r="A3788" i="23"/>
  <c r="A4004" i="23"/>
  <c r="A1115" i="23"/>
  <c r="A1628" i="23"/>
  <c r="A1709" i="23"/>
  <c r="A4220" i="23"/>
  <c r="A4652" i="23"/>
  <c r="A4490" i="23"/>
  <c r="A4625" i="23"/>
  <c r="A89" i="23"/>
  <c r="A602" i="23"/>
  <c r="A683" i="23"/>
  <c r="A2168" i="23"/>
  <c r="A2600" i="23"/>
  <c r="A2438" i="23"/>
  <c r="A2573" i="23"/>
  <c r="A3572" i="23"/>
  <c r="A3923" i="23"/>
  <c r="A4085" i="23"/>
  <c r="A3140" i="23"/>
  <c r="A1466" i="23"/>
  <c r="A1061" i="23"/>
  <c r="A1439" i="23"/>
  <c r="A4571" i="23"/>
  <c r="A4733" i="23"/>
  <c r="A5084" i="23"/>
  <c r="A4976" i="23"/>
  <c r="A440" i="23"/>
  <c r="A35" i="23"/>
  <c r="A413" i="23"/>
  <c r="A2519" i="23"/>
  <c r="A2681" i="23"/>
  <c r="A3032" i="23"/>
  <c r="A2924" i="23"/>
  <c r="A4031" i="23"/>
  <c r="A3869" i="23"/>
  <c r="A3734" i="23"/>
  <c r="A3842" i="23"/>
  <c r="A1763" i="23"/>
  <c r="A1601" i="23"/>
  <c r="A1034" i="23"/>
  <c r="A4922" i="23"/>
  <c r="A5003" i="23"/>
  <c r="A4814" i="23"/>
  <c r="A5030" i="23"/>
  <c r="A116" i="23"/>
  <c r="A548" i="23"/>
  <c r="A386" i="23"/>
  <c r="A521" i="23"/>
  <c r="A2546" i="23"/>
  <c r="A2897" i="23"/>
  <c r="A3059" i="23"/>
  <c r="A2114" i="23"/>
  <c r="A3518" i="23"/>
  <c r="A3113" i="23"/>
  <c r="A3491" i="23"/>
  <c r="A1493" i="23"/>
  <c r="A1655" i="23"/>
  <c r="A2006" i="23"/>
  <c r="A1898" i="23"/>
  <c r="A5057" i="23"/>
  <c r="A4895" i="23"/>
  <c r="A4760" i="23"/>
  <c r="A4868" i="23"/>
  <c r="A2870" i="23"/>
  <c r="A3167" i="23"/>
  <c r="A1574" i="23"/>
  <c r="A4949" i="23"/>
  <c r="A467" i="23"/>
  <c r="A3005" i="23"/>
  <c r="A3815" i="23"/>
  <c r="A1925" i="23"/>
  <c r="A4706" i="23"/>
  <c r="A1844" i="23"/>
  <c r="A737" i="23"/>
  <c r="A2951" i="23"/>
  <c r="A3680" i="23"/>
  <c r="A1412" i="23"/>
  <c r="A5111" i="23"/>
  <c r="A629" i="23"/>
  <c r="A2843" i="23"/>
  <c r="A3653" i="23"/>
  <c r="A1736" i="23"/>
  <c r="A4787" i="23"/>
  <c r="A2816" i="23"/>
  <c r="A575" i="23"/>
  <c r="A2762" i="23"/>
  <c r="A3761" i="23"/>
  <c r="A1547" i="23"/>
  <c r="A4166" i="23"/>
  <c r="A872" i="23"/>
  <c r="A980" i="23"/>
  <c r="A2708" i="23"/>
  <c r="A3086" i="23"/>
  <c r="A1952" i="23"/>
  <c r="A8" i="23"/>
  <c r="A2978" i="23"/>
  <c r="A1142" i="23"/>
  <c r="A4598" i="23"/>
  <c r="A4193" i="23"/>
  <c r="A8" i="2"/>
  <c r="A1167" i="23"/>
  <c r="A2247" i="23"/>
  <c r="A4326" i="23"/>
  <c r="A3354" i="23"/>
  <c r="A1329" i="23"/>
  <c r="A2220" i="23"/>
  <c r="A4299" i="23"/>
  <c r="A3327" i="23"/>
  <c r="A2382" i="23"/>
  <c r="A2193" i="23"/>
  <c r="A4272" i="23"/>
  <c r="A3300" i="23"/>
  <c r="A276" i="23"/>
  <c r="A2355" i="23"/>
  <c r="A4434" i="23"/>
  <c r="A4245" i="23"/>
  <c r="A3273" i="23"/>
  <c r="A249" i="23"/>
  <c r="A1302" i="23"/>
  <c r="A4407" i="23"/>
  <c r="A3246" i="23"/>
  <c r="A222" i="23"/>
  <c r="A1275" i="23"/>
  <c r="A3408" i="23"/>
  <c r="A357" i="23"/>
  <c r="A3219" i="23"/>
  <c r="A195" i="23"/>
  <c r="A1248" i="23"/>
  <c r="A2328" i="23"/>
  <c r="A3381" i="23"/>
  <c r="A1221" i="23"/>
  <c r="A141" i="23"/>
  <c r="A303" i="23"/>
  <c r="A168" i="23"/>
  <c r="A330" i="23"/>
  <c r="A2409" i="23"/>
  <c r="A4461" i="23"/>
  <c r="A4353" i="23"/>
  <c r="A2274" i="23"/>
  <c r="A2301" i="23"/>
  <c r="A1383" i="23"/>
  <c r="A4380" i="23"/>
  <c r="A1194" i="23"/>
  <c r="A3435" i="23"/>
  <c r="A1356" i="23"/>
  <c r="A114" i="23"/>
  <c r="A546" i="23"/>
  <c r="A384" i="23"/>
  <c r="A519" i="23"/>
  <c r="A2544" i="23"/>
  <c r="A2895" i="23"/>
  <c r="A3057" i="23"/>
  <c r="A2112" i="23"/>
  <c r="A3516" i="23"/>
  <c r="A3111" i="23"/>
  <c r="A3489" i="23"/>
  <c r="A1491" i="23"/>
  <c r="A1653" i="23"/>
  <c r="A2004" i="23"/>
  <c r="A1896" i="23"/>
  <c r="A5055" i="23"/>
  <c r="A4893" i="23"/>
  <c r="A4758" i="23"/>
  <c r="A4866" i="23"/>
  <c r="A465" i="23"/>
  <c r="A627" i="23"/>
  <c r="A978" i="23"/>
  <c r="A870" i="23"/>
  <c r="A3003" i="23"/>
  <c r="A2841" i="23"/>
  <c r="A2706" i="23"/>
  <c r="A2814" i="23"/>
  <c r="A3813" i="23"/>
  <c r="A3651" i="23"/>
  <c r="A3084" i="23"/>
  <c r="A1842" i="23"/>
  <c r="A1923" i="23"/>
  <c r="A1734" i="23"/>
  <c r="A1950" i="23"/>
  <c r="A4191" i="23"/>
  <c r="A4704" i="23"/>
  <c r="A4785" i="23"/>
  <c r="A816" i="23"/>
  <c r="A897" i="23"/>
  <c r="A708" i="23"/>
  <c r="A924" i="23"/>
  <c r="A2139" i="23"/>
  <c r="A2652" i="23"/>
  <c r="A2733" i="23"/>
  <c r="A3192" i="23"/>
  <c r="A3624" i="23"/>
  <c r="A3462" i="23"/>
  <c r="A3597" i="23"/>
  <c r="A1518" i="23"/>
  <c r="A1869" i="23"/>
  <c r="A2031" i="23"/>
  <c r="A1086" i="23"/>
  <c r="A4542" i="23"/>
  <c r="A4137" i="23"/>
  <c r="A4515" i="23"/>
  <c r="A492" i="23"/>
  <c r="A843" i="23"/>
  <c r="A1005" i="23"/>
  <c r="A60" i="23"/>
  <c r="A2490" i="23"/>
  <c r="A2085" i="23"/>
  <c r="A2463" i="23"/>
  <c r="A3543" i="23"/>
  <c r="A3705" i="23"/>
  <c r="A4056" i="23"/>
  <c r="A3948" i="23"/>
  <c r="A1977" i="23"/>
  <c r="A1815" i="23"/>
  <c r="A1680" i="23"/>
  <c r="A1788" i="23"/>
  <c r="A4839" i="23"/>
  <c r="A4677" i="23"/>
  <c r="A4110" i="23"/>
  <c r="A951" i="23"/>
  <c r="A789" i="23"/>
  <c r="A654" i="23"/>
  <c r="A762" i="23"/>
  <c r="A2787" i="23"/>
  <c r="A2625" i="23"/>
  <c r="A2058" i="23"/>
  <c r="A3894" i="23"/>
  <c r="A3975" i="23"/>
  <c r="A3786" i="23"/>
  <c r="A4002" i="23"/>
  <c r="A1113" i="23"/>
  <c r="A1626" i="23"/>
  <c r="A1707" i="23"/>
  <c r="A4218" i="23"/>
  <c r="A4650" i="23"/>
  <c r="A4488" i="23"/>
  <c r="A4623" i="23"/>
  <c r="A438" i="23"/>
  <c r="A33" i="23"/>
  <c r="A411" i="23"/>
  <c r="A2517" i="23"/>
  <c r="A2679" i="23"/>
  <c r="A3030" i="23"/>
  <c r="A2922" i="23"/>
  <c r="A4029" i="23"/>
  <c r="A3867" i="23"/>
  <c r="A3732" i="23"/>
  <c r="A3840" i="23"/>
  <c r="A1761" i="23"/>
  <c r="A1599" i="23"/>
  <c r="A1032" i="23"/>
  <c r="A4920" i="23"/>
  <c r="A5001" i="23"/>
  <c r="A4812" i="23"/>
  <c r="A5028" i="23"/>
  <c r="A2868" i="23"/>
  <c r="A3165" i="23"/>
  <c r="A1572" i="23"/>
  <c r="A4947" i="23"/>
  <c r="A2976" i="23"/>
  <c r="A87" i="23"/>
  <c r="A2598" i="23"/>
  <c r="A3921" i="23"/>
  <c r="A1059" i="23"/>
  <c r="A5082" i="23"/>
  <c r="A6" i="23"/>
  <c r="A2166" i="23"/>
  <c r="A735" i="23"/>
  <c r="A2949" i="23"/>
  <c r="A3678" i="23"/>
  <c r="A1410" i="23"/>
  <c r="A5109" i="23"/>
  <c r="A4596" i="23"/>
  <c r="A600" i="23"/>
  <c r="A2436" i="23"/>
  <c r="A4083" i="23"/>
  <c r="A1437" i="23"/>
  <c r="A4974" i="23"/>
  <c r="A4731" i="23"/>
  <c r="A573" i="23"/>
  <c r="A2760" i="23"/>
  <c r="A3759" i="23"/>
  <c r="A1545" i="23"/>
  <c r="A4164" i="23"/>
  <c r="A1464" i="23"/>
  <c r="A681" i="23"/>
  <c r="A2571" i="23"/>
  <c r="A3138" i="23"/>
  <c r="A4569" i="23"/>
  <c r="A1140" i="23"/>
  <c r="A3570" i="23"/>
  <c r="A23" i="2"/>
  <c r="A156" i="23"/>
  <c r="A1209" i="23"/>
  <c r="A2289" i="23"/>
  <c r="A4368" i="23"/>
  <c r="A318" i="23"/>
  <c r="A1371" i="23"/>
  <c r="A2424" i="23"/>
  <c r="A1182" i="23"/>
  <c r="A2262" i="23"/>
  <c r="A4341" i="23"/>
  <c r="A3369" i="23"/>
  <c r="A1344" i="23"/>
  <c r="A2235" i="23"/>
  <c r="A4314" i="23"/>
  <c r="A3342" i="23"/>
  <c r="A2397" i="23"/>
  <c r="A2208" i="23"/>
  <c r="A4287" i="23"/>
  <c r="A3315" i="23"/>
  <c r="A291" i="23"/>
  <c r="A2370" i="23"/>
  <c r="A4449" i="23"/>
  <c r="A4260" i="23"/>
  <c r="A3288" i="23"/>
  <c r="A264" i="23"/>
  <c r="A1317" i="23"/>
  <c r="A4422" i="23"/>
  <c r="A3261" i="23"/>
  <c r="A237" i="23"/>
  <c r="A1290" i="23"/>
  <c r="A3423" i="23"/>
  <c r="A372" i="23"/>
  <c r="A210" i="23"/>
  <c r="A1398" i="23"/>
  <c r="A4395" i="23"/>
  <c r="A3234" i="23"/>
  <c r="A3396" i="23"/>
  <c r="A2316" i="23"/>
  <c r="A4476" i="23"/>
  <c r="A1236" i="23"/>
  <c r="A1263" i="23"/>
  <c r="A3450" i="23"/>
  <c r="A4179" i="23"/>
  <c r="A5124" i="23"/>
  <c r="A4962" i="23"/>
  <c r="A4611" i="23"/>
  <c r="A1560" i="23"/>
  <c r="A1425" i="23"/>
  <c r="A1587" i="23"/>
  <c r="A1155" i="23"/>
  <c r="A3774" i="23"/>
  <c r="A3693" i="23"/>
  <c r="A3180" i="23"/>
  <c r="A2991" i="23"/>
  <c r="A2775" i="23"/>
  <c r="A2964" i="23"/>
  <c r="A2883" i="23"/>
  <c r="A21" i="23"/>
  <c r="A588" i="23"/>
  <c r="A750" i="23"/>
  <c r="A4881" i="23"/>
  <c r="A5043" i="23"/>
  <c r="A4827" i="23"/>
  <c r="A5016" i="23"/>
  <c r="A4935" i="23"/>
  <c r="A1047" i="23"/>
  <c r="A1614" i="23"/>
  <c r="A1776" i="23"/>
  <c r="A3855" i="23"/>
  <c r="A3747" i="23"/>
  <c r="A3882" i="23"/>
  <c r="A4044" i="23"/>
  <c r="A2937" i="23"/>
  <c r="A3045" i="23"/>
  <c r="A2694" i="23"/>
  <c r="A2532" i="23"/>
  <c r="A426" i="23"/>
  <c r="A48" i="23"/>
  <c r="A453" i="23"/>
  <c r="A4989" i="23"/>
  <c r="A5097" i="23"/>
  <c r="A4746" i="23"/>
  <c r="A4584" i="23"/>
  <c r="A1452" i="23"/>
  <c r="A1074" i="23"/>
  <c r="A1479" i="23"/>
  <c r="A3153" i="23"/>
  <c r="A4098" i="23"/>
  <c r="A3936" i="23"/>
  <c r="A3585" i="23"/>
  <c r="A2586" i="23"/>
  <c r="A2451" i="23"/>
  <c r="A2613" i="23"/>
  <c r="A2181" i="23"/>
  <c r="A696" i="23"/>
  <c r="A615" i="23"/>
  <c r="A102" i="23"/>
  <c r="A183" i="23"/>
  <c r="A4125" i="23"/>
  <c r="A4692" i="23"/>
  <c r="A4854" i="23"/>
  <c r="A1803" i="23"/>
  <c r="A1695" i="23"/>
  <c r="A1830" i="23"/>
  <c r="A1992" i="23"/>
  <c r="A3963" i="23"/>
  <c r="A4071" i="23"/>
  <c r="A3720" i="23"/>
  <c r="A3558" i="23"/>
  <c r="A2478" i="23"/>
  <c r="A2100" i="23"/>
  <c r="A2505" i="23"/>
  <c r="A75" i="23"/>
  <c r="A1020" i="23"/>
  <c r="A858" i="23"/>
  <c r="A507" i="23"/>
  <c r="A345" i="23"/>
  <c r="A4530" i="23"/>
  <c r="A4152" i="23"/>
  <c r="A4557" i="23"/>
  <c r="A1101" i="23"/>
  <c r="A2046" i="23"/>
  <c r="A1884" i="23"/>
  <c r="A1533" i="23"/>
  <c r="A3612" i="23"/>
  <c r="A3477" i="23"/>
  <c r="A3639" i="23"/>
  <c r="A3207" i="23"/>
  <c r="A2748" i="23"/>
  <c r="A2667" i="23"/>
  <c r="A2154" i="23"/>
  <c r="A939" i="23"/>
  <c r="A723" i="23"/>
  <c r="A912" i="23"/>
  <c r="A831" i="23"/>
  <c r="A4638" i="23"/>
  <c r="A5070" i="23"/>
  <c r="A1938" i="23"/>
  <c r="A3801" i="23"/>
  <c r="A2127" i="23"/>
  <c r="A3018" i="23"/>
  <c r="A804" i="23"/>
  <c r="A4800" i="23"/>
  <c r="A4233" i="23"/>
  <c r="A1668" i="23"/>
  <c r="A3666" i="23"/>
  <c r="A2073" i="23"/>
  <c r="A2559" i="23"/>
  <c r="A642" i="23"/>
  <c r="A4773" i="23"/>
  <c r="A1965" i="23"/>
  <c r="A1128" i="23"/>
  <c r="A3126" i="23"/>
  <c r="A2721" i="23"/>
  <c r="A777" i="23"/>
  <c r="A561" i="23"/>
  <c r="A4719" i="23"/>
  <c r="A1722" i="23"/>
  <c r="A1506" i="23"/>
  <c r="A3828" i="23"/>
  <c r="A2640" i="23"/>
  <c r="A534" i="23"/>
  <c r="A480" i="23"/>
  <c r="A1911" i="23"/>
  <c r="A3990" i="23"/>
  <c r="A885" i="23"/>
  <c r="A1749" i="23"/>
  <c r="A3531" i="23"/>
  <c r="A669" i="23"/>
  <c r="A2019" i="23"/>
  <c r="A3909" i="23"/>
  <c r="A993" i="23"/>
  <c r="A1641" i="23"/>
  <c r="A2829" i="23"/>
  <c r="A399" i="23"/>
  <c r="A4503" i="23"/>
  <c r="A1857" i="23"/>
  <c r="A3072" i="23"/>
  <c r="A966" i="23"/>
  <c r="A2343" i="23"/>
  <c r="A4665" i="23"/>
  <c r="A3099" i="23"/>
  <c r="A2910" i="23"/>
  <c r="A2856" i="23"/>
  <c r="A2802" i="23"/>
  <c r="A129" i="23"/>
  <c r="A4908" i="23"/>
  <c r="A4017" i="23"/>
  <c r="A4206" i="23"/>
  <c r="A3504" i="23"/>
  <c r="A14" i="2"/>
  <c r="A174" i="23"/>
  <c r="A1227" i="23"/>
  <c r="A2307" i="23"/>
  <c r="A4386" i="23"/>
  <c r="A336" i="23"/>
  <c r="A147" i="23"/>
  <c r="A1200" i="23"/>
  <c r="A2280" i="23"/>
  <c r="A4359" i="23"/>
  <c r="A309" i="23"/>
  <c r="A1362" i="23"/>
  <c r="A2415" i="23"/>
  <c r="A1173" i="23"/>
  <c r="A2253" i="23"/>
  <c r="A4332" i="23"/>
  <c r="A3360" i="23"/>
  <c r="A1335" i="23"/>
  <c r="A2226" i="23"/>
  <c r="A4305" i="23"/>
  <c r="A3333" i="23"/>
  <c r="A2388" i="23"/>
  <c r="A2199" i="23"/>
  <c r="A4278" i="23"/>
  <c r="A3306" i="23"/>
  <c r="A282" i="23"/>
  <c r="A2361" i="23"/>
  <c r="A4440" i="23"/>
  <c r="A4251" i="23"/>
  <c r="A3279" i="23"/>
  <c r="A255" i="23"/>
  <c r="A1308" i="23"/>
  <c r="A4413" i="23"/>
  <c r="A1254" i="23"/>
  <c r="A363" i="23"/>
  <c r="A1389" i="23"/>
  <c r="A1281" i="23"/>
  <c r="A201" i="23"/>
  <c r="A3225" i="23"/>
  <c r="A3387" i="23"/>
  <c r="A3252" i="23"/>
  <c r="A3414" i="23"/>
  <c r="A3441" i="23"/>
  <c r="A2334" i="23"/>
  <c r="A228" i="23"/>
  <c r="A4467" i="23"/>
  <c r="A822" i="23"/>
  <c r="A903" i="23"/>
  <c r="A714" i="23"/>
  <c r="A930" i="23"/>
  <c r="A2145" i="23"/>
  <c r="A2658" i="23"/>
  <c r="A2739" i="23"/>
  <c r="A3198" i="23"/>
  <c r="A3630" i="23"/>
  <c r="A3468" i="23"/>
  <c r="A3603" i="23"/>
  <c r="A1524" i="23"/>
  <c r="A1875" i="23"/>
  <c r="A2037" i="23"/>
  <c r="A1092" i="23"/>
  <c r="A4548" i="23"/>
  <c r="A4143" i="23"/>
  <c r="A4521" i="23"/>
  <c r="A498" i="23"/>
  <c r="A849" i="23"/>
  <c r="A1011" i="23"/>
  <c r="A66" i="23"/>
  <c r="A2496" i="23"/>
  <c r="A2091" i="23"/>
  <c r="A2469" i="23"/>
  <c r="A3549" i="23"/>
  <c r="A3711" i="23"/>
  <c r="A4062" i="23"/>
  <c r="A3954" i="23"/>
  <c r="A1983" i="23"/>
  <c r="A1821" i="23"/>
  <c r="A1686" i="23"/>
  <c r="A1794" i="23"/>
  <c r="A4845" i="23"/>
  <c r="A4683" i="23"/>
  <c r="A4116" i="23"/>
  <c r="A957" i="23"/>
  <c r="A795" i="23"/>
  <c r="A660" i="23"/>
  <c r="A768" i="23"/>
  <c r="A2793" i="23"/>
  <c r="A2631" i="23"/>
  <c r="A2064" i="23"/>
  <c r="A3900" i="23"/>
  <c r="A3981" i="23"/>
  <c r="A3792" i="23"/>
  <c r="A4008" i="23"/>
  <c r="A1119" i="23"/>
  <c r="A1632" i="23"/>
  <c r="A1713" i="23"/>
  <c r="A4224" i="23"/>
  <c r="A4656" i="23"/>
  <c r="A4494" i="23"/>
  <c r="A4629" i="23"/>
  <c r="A93" i="23"/>
  <c r="A606" i="23"/>
  <c r="A687" i="23"/>
  <c r="A2172" i="23"/>
  <c r="A2604" i="23"/>
  <c r="A2442" i="23"/>
  <c r="A2577" i="23"/>
  <c r="A3576" i="23"/>
  <c r="A3927" i="23"/>
  <c r="A4089" i="23"/>
  <c r="A3144" i="23"/>
  <c r="A1470" i="23"/>
  <c r="A1065" i="23"/>
  <c r="A1443" i="23"/>
  <c r="A4575" i="23"/>
  <c r="A4737" i="23"/>
  <c r="A5088" i="23"/>
  <c r="A4980" i="23"/>
  <c r="A444" i="23"/>
  <c r="A39" i="23"/>
  <c r="A417" i="23"/>
  <c r="A2523" i="23"/>
  <c r="A2685" i="23"/>
  <c r="A3036" i="23"/>
  <c r="A2928" i="23"/>
  <c r="A4035" i="23"/>
  <c r="A3873" i="23"/>
  <c r="A3738" i="23"/>
  <c r="A3846" i="23"/>
  <c r="A1767" i="23"/>
  <c r="A1605" i="23"/>
  <c r="A1038" i="23"/>
  <c r="A4926" i="23"/>
  <c r="A5007" i="23"/>
  <c r="A4818" i="23"/>
  <c r="A5034" i="23"/>
  <c r="A120" i="23"/>
  <c r="A552" i="23"/>
  <c r="A390" i="23"/>
  <c r="A525" i="23"/>
  <c r="A2550" i="23"/>
  <c r="A2901" i="23"/>
  <c r="A3063" i="23"/>
  <c r="A2118" i="23"/>
  <c r="A3522" i="23"/>
  <c r="A3117" i="23"/>
  <c r="A3495" i="23"/>
  <c r="A1497" i="23"/>
  <c r="A1659" i="23"/>
  <c r="A2010" i="23"/>
  <c r="A1902" i="23"/>
  <c r="A5061" i="23"/>
  <c r="A4899" i="23"/>
  <c r="A4764" i="23"/>
  <c r="A4872" i="23"/>
  <c r="A633" i="23"/>
  <c r="A2847" i="23"/>
  <c r="A3657" i="23"/>
  <c r="A1740" i="23"/>
  <c r="A4791" i="23"/>
  <c r="A579" i="23"/>
  <c r="A2766" i="23"/>
  <c r="A3765" i="23"/>
  <c r="A1551" i="23"/>
  <c r="A4170" i="23"/>
  <c r="A984" i="23"/>
  <c r="A2712" i="23"/>
  <c r="A3090" i="23"/>
  <c r="A1956" i="23"/>
  <c r="A12" i="23"/>
  <c r="A2982" i="23"/>
  <c r="A1146" i="23"/>
  <c r="A4602" i="23"/>
  <c r="A876" i="23"/>
  <c r="A2820" i="23"/>
  <c r="A1848" i="23"/>
  <c r="A4197" i="23"/>
  <c r="A471" i="23"/>
  <c r="A3009" i="23"/>
  <c r="A3819" i="23"/>
  <c r="A1929" i="23"/>
  <c r="A4710" i="23"/>
  <c r="A4953" i="23"/>
  <c r="A741" i="23"/>
  <c r="A5115" i="23"/>
  <c r="A2874" i="23"/>
  <c r="A2955" i="23"/>
  <c r="A3171" i="23"/>
  <c r="A3684" i="23"/>
  <c r="A1578" i="23"/>
  <c r="A1416" i="23"/>
  <c r="A25" i="2"/>
  <c r="A2237" i="23"/>
  <c r="A4316" i="23"/>
  <c r="A3344" i="23"/>
  <c r="A2399" i="23"/>
  <c r="A2210" i="23"/>
  <c r="A4289" i="23"/>
  <c r="A3317" i="23"/>
  <c r="A293" i="23"/>
  <c r="A2372" i="23"/>
  <c r="A4451" i="23"/>
  <c r="A3452" i="23"/>
  <c r="A4262" i="23"/>
  <c r="A3290" i="23"/>
  <c r="A266" i="23"/>
  <c r="A1319" i="23"/>
  <c r="A4424" i="23"/>
  <c r="A3263" i="23"/>
  <c r="A239" i="23"/>
  <c r="A1292" i="23"/>
  <c r="A3425" i="23"/>
  <c r="A374" i="23"/>
  <c r="A3236" i="23"/>
  <c r="A212" i="23"/>
  <c r="A1265" i="23"/>
  <c r="A2345" i="23"/>
  <c r="A3398" i="23"/>
  <c r="A185" i="23"/>
  <c r="A1238" i="23"/>
  <c r="A2318" i="23"/>
  <c r="A4397" i="23"/>
  <c r="A347" i="23"/>
  <c r="A2291" i="23"/>
  <c r="A1184" i="23"/>
  <c r="A1346" i="23"/>
  <c r="A4478" i="23"/>
  <c r="A1211" i="23"/>
  <c r="A1373" i="23"/>
  <c r="A3371" i="23"/>
  <c r="A158" i="23"/>
  <c r="A4343" i="23"/>
  <c r="A2426" i="23"/>
  <c r="A4370" i="23"/>
  <c r="A1400" i="23"/>
  <c r="A4991" i="23"/>
  <c r="A5099" i="23"/>
  <c r="A4748" i="23"/>
  <c r="A4586" i="23"/>
  <c r="A1454" i="23"/>
  <c r="A1076" i="23"/>
  <c r="A1481" i="23"/>
  <c r="A3155" i="23"/>
  <c r="A4100" i="23"/>
  <c r="A3938" i="23"/>
  <c r="A3587" i="23"/>
  <c r="A2588" i="23"/>
  <c r="A2453" i="23"/>
  <c r="A2615" i="23"/>
  <c r="A2183" i="23"/>
  <c r="A698" i="23"/>
  <c r="A617" i="23"/>
  <c r="A104" i="23"/>
  <c r="A2264" i="23"/>
  <c r="A4640" i="23"/>
  <c r="A4505" i="23"/>
  <c r="A4667" i="23"/>
  <c r="A4235" i="23"/>
  <c r="A1724" i="23"/>
  <c r="A1643" i="23"/>
  <c r="A1130" i="23"/>
  <c r="A4019" i="23"/>
  <c r="A3803" i="23"/>
  <c r="A3992" i="23"/>
  <c r="A3911" i="23"/>
  <c r="A2075" i="23"/>
  <c r="A2642" i="23"/>
  <c r="A2804" i="23"/>
  <c r="A779" i="23"/>
  <c r="A671" i="23"/>
  <c r="A806" i="23"/>
  <c r="A968" i="23"/>
  <c r="A4127" i="23"/>
  <c r="A4694" i="23"/>
  <c r="A4856" i="23"/>
  <c r="A1805" i="23"/>
  <c r="A1697" i="23"/>
  <c r="A1832" i="23"/>
  <c r="A1994" i="23"/>
  <c r="A3965" i="23"/>
  <c r="A4073" i="23"/>
  <c r="A3722" i="23"/>
  <c r="A3560" i="23"/>
  <c r="A2480" i="23"/>
  <c r="A2102" i="23"/>
  <c r="A2507" i="23"/>
  <c r="A77" i="23"/>
  <c r="A1022" i="23"/>
  <c r="A860" i="23"/>
  <c r="A509" i="23"/>
  <c r="A320" i="23"/>
  <c r="A4802" i="23"/>
  <c r="A4721" i="23"/>
  <c r="A4208" i="23"/>
  <c r="A1967" i="23"/>
  <c r="A1751" i="23"/>
  <c r="A1940" i="23"/>
  <c r="A1859" i="23"/>
  <c r="A3101" i="23"/>
  <c r="A3668" i="23"/>
  <c r="A3830" i="23"/>
  <c r="A2831" i="23"/>
  <c r="A2723" i="23"/>
  <c r="A2858" i="23"/>
  <c r="A3020" i="23"/>
  <c r="A887" i="23"/>
  <c r="A995" i="23"/>
  <c r="A644" i="23"/>
  <c r="A482" i="23"/>
  <c r="A4775" i="23"/>
  <c r="A4910" i="23"/>
  <c r="A5072" i="23"/>
  <c r="A1913" i="23"/>
  <c r="A2021" i="23"/>
  <c r="A1670" i="23"/>
  <c r="A1508" i="23"/>
  <c r="A3506" i="23"/>
  <c r="A3128" i="23"/>
  <c r="A3533" i="23"/>
  <c r="A2129" i="23"/>
  <c r="A3074" i="23"/>
  <c r="A2912" i="23"/>
  <c r="A2561" i="23"/>
  <c r="A536" i="23"/>
  <c r="A401" i="23"/>
  <c r="A563" i="23"/>
  <c r="A131" i="23"/>
  <c r="A4964" i="23"/>
  <c r="A2048" i="23"/>
  <c r="A3857" i="23"/>
  <c r="A3182" i="23"/>
  <c r="A2669" i="23"/>
  <c r="A428" i="23"/>
  <c r="A4883" i="23"/>
  <c r="A5018" i="23"/>
  <c r="A1427" i="23"/>
  <c r="A3614" i="23"/>
  <c r="A4046" i="23"/>
  <c r="A2966" i="23"/>
  <c r="A725" i="23"/>
  <c r="A4181" i="23"/>
  <c r="A4559" i="23"/>
  <c r="A1616" i="23"/>
  <c r="A3776" i="23"/>
  <c r="A3209" i="23"/>
  <c r="A2696" i="23"/>
  <c r="A590" i="23"/>
  <c r="A4532" i="23"/>
  <c r="A4937" i="23"/>
  <c r="A1589" i="23"/>
  <c r="A3479" i="23"/>
  <c r="A2939" i="23"/>
  <c r="A2885" i="23"/>
  <c r="A914" i="23"/>
  <c r="A5126" i="23"/>
  <c r="A4613" i="23"/>
  <c r="A3749" i="23"/>
  <c r="A2156" i="23"/>
  <c r="A1103" i="23"/>
  <c r="A3695" i="23"/>
  <c r="A2534" i="23"/>
  <c r="A1562" i="23"/>
  <c r="A3884" i="23"/>
  <c r="A941" i="23"/>
  <c r="A1049" i="23"/>
  <c r="A3641" i="23"/>
  <c r="A23" i="23"/>
  <c r="A1886" i="23"/>
  <c r="A2993" i="23"/>
  <c r="A50" i="23"/>
  <c r="A4829" i="23"/>
  <c r="A1535" i="23"/>
  <c r="A2777" i="23"/>
  <c r="A455" i="23"/>
  <c r="A1778" i="23"/>
  <c r="A1157" i="23"/>
  <c r="A2750" i="23"/>
  <c r="A3047" i="23"/>
  <c r="A752" i="23"/>
  <c r="A5045" i="23"/>
  <c r="A833" i="23"/>
  <c r="A4154" i="23"/>
  <c r="A17" i="2"/>
  <c r="A2229" i="23"/>
  <c r="A4308" i="23"/>
  <c r="A3336" i="23"/>
  <c r="A2391" i="23"/>
  <c r="A2202" i="23"/>
  <c r="A4281" i="23"/>
  <c r="A3309" i="23"/>
  <c r="A285" i="23"/>
  <c r="A2364" i="23"/>
  <c r="A4443" i="23"/>
  <c r="A4254" i="23"/>
  <c r="A3282" i="23"/>
  <c r="A258" i="23"/>
  <c r="A1311" i="23"/>
  <c r="A4416" i="23"/>
  <c r="A3255" i="23"/>
  <c r="A231" i="23"/>
  <c r="A1284" i="23"/>
  <c r="A3417" i="23"/>
  <c r="A366" i="23"/>
  <c r="A3228" i="23"/>
  <c r="A204" i="23"/>
  <c r="A1257" i="23"/>
  <c r="A2337" i="23"/>
  <c r="A3390" i="23"/>
  <c r="A177" i="23"/>
  <c r="A1230" i="23"/>
  <c r="A2310" i="23"/>
  <c r="A4389" i="23"/>
  <c r="A339" i="23"/>
  <c r="A4362" i="23"/>
  <c r="A2256" i="23"/>
  <c r="A4470" i="23"/>
  <c r="A2283" i="23"/>
  <c r="A1176" i="23"/>
  <c r="A1338" i="23"/>
  <c r="A3444" i="23"/>
  <c r="A1203" i="23"/>
  <c r="A3363" i="23"/>
  <c r="A150" i="23"/>
  <c r="A312" i="23"/>
  <c r="A1392" i="23"/>
  <c r="A1365" i="23"/>
  <c r="A4335" i="23"/>
  <c r="A96" i="23"/>
  <c r="A609" i="23"/>
  <c r="A690" i="23"/>
  <c r="A2175" i="23"/>
  <c r="A2607" i="23"/>
  <c r="A2445" i="23"/>
  <c r="A2580" i="23"/>
  <c r="A3579" i="23"/>
  <c r="A3930" i="23"/>
  <c r="A4092" i="23"/>
  <c r="A3147" i="23"/>
  <c r="A1473" i="23"/>
  <c r="A1068" i="23"/>
  <c r="A1446" i="23"/>
  <c r="A4578" i="23"/>
  <c r="A4740" i="23"/>
  <c r="A5091" i="23"/>
  <c r="A4983" i="23"/>
  <c r="A447" i="23"/>
  <c r="A42" i="23"/>
  <c r="A420" i="23"/>
  <c r="A2526" i="23"/>
  <c r="A2688" i="23"/>
  <c r="A3039" i="23"/>
  <c r="A2931" i="23"/>
  <c r="A4038" i="23"/>
  <c r="A3876" i="23"/>
  <c r="A3741" i="23"/>
  <c r="A3849" i="23"/>
  <c r="A1770" i="23"/>
  <c r="A1608" i="23"/>
  <c r="A1041" i="23"/>
  <c r="A4929" i="23"/>
  <c r="A5010" i="23"/>
  <c r="A4821" i="23"/>
  <c r="A5037" i="23"/>
  <c r="A744" i="23"/>
  <c r="A582" i="23"/>
  <c r="A15" i="23"/>
  <c r="A2877" i="23"/>
  <c r="A2958" i="23"/>
  <c r="A2769" i="23"/>
  <c r="A2985" i="23"/>
  <c r="A3174" i="23"/>
  <c r="A3687" i="23"/>
  <c r="A3768" i="23"/>
  <c r="A1149" i="23"/>
  <c r="A1581" i="23"/>
  <c r="A1419" i="23"/>
  <c r="A1554" i="23"/>
  <c r="A4605" i="23"/>
  <c r="A4956" i="23"/>
  <c r="A5118" i="23"/>
  <c r="A4173" i="23"/>
  <c r="A474" i="23"/>
  <c r="A636" i="23"/>
  <c r="A987" i="23"/>
  <c r="A879" i="23"/>
  <c r="A3012" i="23"/>
  <c r="A2850" i="23"/>
  <c r="A2715" i="23"/>
  <c r="A2823" i="23"/>
  <c r="A3822" i="23"/>
  <c r="A3660" i="23"/>
  <c r="A3093" i="23"/>
  <c r="A1851" i="23"/>
  <c r="A1932" i="23"/>
  <c r="A1743" i="23"/>
  <c r="A1959" i="23"/>
  <c r="A4200" i="23"/>
  <c r="A4713" i="23"/>
  <c r="A4794" i="23"/>
  <c r="A2418" i="23"/>
  <c r="A555" i="23"/>
  <c r="A528" i="23"/>
  <c r="A2904" i="23"/>
  <c r="A2121" i="23"/>
  <c r="A3120" i="23"/>
  <c r="A1500" i="23"/>
  <c r="A2013" i="23"/>
  <c r="A5064" i="23"/>
  <c r="A4767" i="23"/>
  <c r="A906" i="23"/>
  <c r="A933" i="23"/>
  <c r="A2661" i="23"/>
  <c r="A3201" i="23"/>
  <c r="A3471" i="23"/>
  <c r="A1527" i="23"/>
  <c r="A2040" i="23"/>
  <c r="A4551" i="23"/>
  <c r="A4524" i="23"/>
  <c r="A852" i="23"/>
  <c r="A69" i="23"/>
  <c r="A2094" i="23"/>
  <c r="A3552" i="23"/>
  <c r="A4065" i="23"/>
  <c r="A1986" i="23"/>
  <c r="A1689" i="23"/>
  <c r="A4848" i="23"/>
  <c r="A4119" i="23"/>
  <c r="A798" i="23"/>
  <c r="A771" i="23"/>
  <c r="A2634" i="23"/>
  <c r="A3903" i="23"/>
  <c r="A3795" i="23"/>
  <c r="A1122" i="23"/>
  <c r="A1716" i="23"/>
  <c r="A4659" i="23"/>
  <c r="A4632" i="23"/>
  <c r="A123" i="23"/>
  <c r="A393" i="23"/>
  <c r="A2553" i="23"/>
  <c r="A3066" i="23"/>
  <c r="A3525" i="23"/>
  <c r="A3498" i="23"/>
  <c r="A1662" i="23"/>
  <c r="A1905" i="23"/>
  <c r="A4902" i="23"/>
  <c r="A4875" i="23"/>
  <c r="A501" i="23"/>
  <c r="A1014" i="23"/>
  <c r="A2499" i="23"/>
  <c r="A2472" i="23"/>
  <c r="A3714" i="23"/>
  <c r="A3957" i="23"/>
  <c r="A1824" i="23"/>
  <c r="A1797" i="23"/>
  <c r="A4686" i="23"/>
  <c r="A2148" i="23"/>
  <c r="A1878" i="23"/>
  <c r="A2796" i="23"/>
  <c r="A1635" i="23"/>
  <c r="A2742" i="23"/>
  <c r="A1095" i="23"/>
  <c r="A2067" i="23"/>
  <c r="A4227" i="23"/>
  <c r="A825" i="23"/>
  <c r="A3633" i="23"/>
  <c r="A4146" i="23"/>
  <c r="A717" i="23"/>
  <c r="A3606" i="23"/>
  <c r="A960" i="23"/>
  <c r="A663" i="23"/>
  <c r="A3984" i="23"/>
  <c r="A4011" i="23"/>
  <c r="A4497" i="23"/>
  <c r="A9" i="2"/>
  <c r="A2221" i="23"/>
  <c r="A4300" i="23"/>
  <c r="A3328" i="23"/>
  <c r="A2383" i="23"/>
  <c r="A2194" i="23"/>
  <c r="A4273" i="23"/>
  <c r="A3301" i="23"/>
  <c r="A277" i="23"/>
  <c r="A2356" i="23"/>
  <c r="A4435" i="23"/>
  <c r="A4246" i="23"/>
  <c r="A3274" i="23"/>
  <c r="A250" i="23"/>
  <c r="A1303" i="23"/>
  <c r="A4408" i="23"/>
  <c r="A3247" i="23"/>
  <c r="A223" i="23"/>
  <c r="A1276" i="23"/>
  <c r="A3409" i="23"/>
  <c r="A358" i="23"/>
  <c r="A3220" i="23"/>
  <c r="A196" i="23"/>
  <c r="A1249" i="23"/>
  <c r="A2329" i="23"/>
  <c r="A3382" i="23"/>
  <c r="A169" i="23"/>
  <c r="A1222" i="23"/>
  <c r="A2302" i="23"/>
  <c r="A4381" i="23"/>
  <c r="A331" i="23"/>
  <c r="A142" i="23"/>
  <c r="A304" i="23"/>
  <c r="A4327" i="23"/>
  <c r="A2410" i="23"/>
  <c r="A4462" i="23"/>
  <c r="A4354" i="23"/>
  <c r="A2248" i="23"/>
  <c r="A3436" i="23"/>
  <c r="A1168" i="23"/>
  <c r="A1330" i="23"/>
  <c r="A1195" i="23"/>
  <c r="A1357" i="23"/>
  <c r="A1384" i="23"/>
  <c r="A3355" i="23"/>
  <c r="A2275" i="23"/>
  <c r="A466" i="23"/>
  <c r="A628" i="23"/>
  <c r="A979" i="23"/>
  <c r="A871" i="23"/>
  <c r="A3004" i="23"/>
  <c r="A2842" i="23"/>
  <c r="A2707" i="23"/>
  <c r="A2815" i="23"/>
  <c r="A3814" i="23"/>
  <c r="A3652" i="23"/>
  <c r="A3085" i="23"/>
  <c r="A1843" i="23"/>
  <c r="A1924" i="23"/>
  <c r="A1735" i="23"/>
  <c r="A1951" i="23"/>
  <c r="A4192" i="23"/>
  <c r="A4705" i="23"/>
  <c r="A4786" i="23"/>
  <c r="A817" i="23"/>
  <c r="A898" i="23"/>
  <c r="A709" i="23"/>
  <c r="A925" i="23"/>
  <c r="A2140" i="23"/>
  <c r="A2653" i="23"/>
  <c r="A2734" i="23"/>
  <c r="A3193" i="23"/>
  <c r="A3625" i="23"/>
  <c r="A3463" i="23"/>
  <c r="A3598" i="23"/>
  <c r="A1519" i="23"/>
  <c r="A1870" i="23"/>
  <c r="A2032" i="23"/>
  <c r="A1087" i="23"/>
  <c r="A4543" i="23"/>
  <c r="A4138" i="23"/>
  <c r="A4516" i="23"/>
  <c r="A493" i="23"/>
  <c r="A844" i="23"/>
  <c r="A1006" i="23"/>
  <c r="A61" i="23"/>
  <c r="A2491" i="23"/>
  <c r="A2086" i="23"/>
  <c r="A2464" i="23"/>
  <c r="A3544" i="23"/>
  <c r="A3706" i="23"/>
  <c r="A4057" i="23"/>
  <c r="A3949" i="23"/>
  <c r="A1978" i="23"/>
  <c r="A1816" i="23"/>
  <c r="A1681" i="23"/>
  <c r="A1789" i="23"/>
  <c r="A4840" i="23"/>
  <c r="A4678" i="23"/>
  <c r="A4111" i="23"/>
  <c r="A952" i="23"/>
  <c r="A790" i="23"/>
  <c r="A655" i="23"/>
  <c r="A763" i="23"/>
  <c r="A2788" i="23"/>
  <c r="A2626" i="23"/>
  <c r="A2059" i="23"/>
  <c r="A3895" i="23"/>
  <c r="A3976" i="23"/>
  <c r="A3787" i="23"/>
  <c r="A4003" i="23"/>
  <c r="A1114" i="23"/>
  <c r="A1627" i="23"/>
  <c r="A1708" i="23"/>
  <c r="A4219" i="23"/>
  <c r="A4651" i="23"/>
  <c r="A4489" i="23"/>
  <c r="A4624" i="23"/>
  <c r="A88" i="23"/>
  <c r="A601" i="23"/>
  <c r="A682" i="23"/>
  <c r="A2167" i="23"/>
  <c r="A2599" i="23"/>
  <c r="A2437" i="23"/>
  <c r="A2572" i="23"/>
  <c r="A3571" i="23"/>
  <c r="A3922" i="23"/>
  <c r="A4084" i="23"/>
  <c r="A3139" i="23"/>
  <c r="A1465" i="23"/>
  <c r="A1060" i="23"/>
  <c r="A1438" i="23"/>
  <c r="A4570" i="23"/>
  <c r="A4732" i="23"/>
  <c r="A5083" i="23"/>
  <c r="A4975" i="23"/>
  <c r="A736" i="23"/>
  <c r="A574" i="23"/>
  <c r="A7" i="23"/>
  <c r="A2869" i="23"/>
  <c r="A2950" i="23"/>
  <c r="A2761" i="23"/>
  <c r="A2977" i="23"/>
  <c r="A3166" i="23"/>
  <c r="A3679" i="23"/>
  <c r="A3760" i="23"/>
  <c r="A1141" i="23"/>
  <c r="A1573" i="23"/>
  <c r="A1411" i="23"/>
  <c r="A1546" i="23"/>
  <c r="A4597" i="23"/>
  <c r="A4948" i="23"/>
  <c r="A5110" i="23"/>
  <c r="A4165" i="23"/>
  <c r="A34" i="23"/>
  <c r="A3031" i="23"/>
  <c r="A385" i="23"/>
  <c r="A3058" i="23"/>
  <c r="A3490" i="23"/>
  <c r="A1897" i="23"/>
  <c r="A4867" i="23"/>
  <c r="A3112" i="23"/>
  <c r="A1033" i="23"/>
  <c r="A412" i="23"/>
  <c r="A2923" i="23"/>
  <c r="A3841" i="23"/>
  <c r="A4921" i="23"/>
  <c r="A547" i="23"/>
  <c r="A520" i="23"/>
  <c r="A2113" i="23"/>
  <c r="A1492" i="23"/>
  <c r="A5056" i="23"/>
  <c r="A2005" i="23"/>
  <c r="A5029" i="23"/>
  <c r="A2518" i="23"/>
  <c r="A4030" i="23"/>
  <c r="A1762" i="23"/>
  <c r="A5002" i="23"/>
  <c r="A2896" i="23"/>
  <c r="A4759" i="23"/>
  <c r="A3733" i="23"/>
  <c r="A115" i="23"/>
  <c r="A2545" i="23"/>
  <c r="A3517" i="23"/>
  <c r="A1654" i="23"/>
  <c r="A4894" i="23"/>
  <c r="A439" i="23"/>
  <c r="A2680" i="23"/>
  <c r="A3868" i="23"/>
  <c r="A1600" i="23"/>
  <c r="A4813" i="23"/>
  <c r="M101" i="5"/>
  <c r="O38" i="12"/>
  <c r="O39" i="12"/>
  <c r="O22" i="12"/>
  <c r="G18" i="8"/>
  <c r="O23" i="12"/>
  <c r="O6" i="12"/>
  <c r="G10" i="8"/>
  <c r="O7" i="12"/>
  <c r="O21" i="12"/>
  <c r="N8" i="4"/>
  <c r="O20" i="12"/>
  <c r="G17" i="8"/>
  <c r="G8" i="8"/>
  <c r="N4" i="4"/>
  <c r="L19" i="6"/>
  <c r="O33" i="12"/>
  <c r="N14" i="4"/>
  <c r="O32" i="12"/>
  <c r="G23" i="8"/>
  <c r="M57" i="5"/>
  <c r="G15" i="8"/>
  <c r="O17" i="12"/>
  <c r="O16" i="12"/>
  <c r="N7" i="4"/>
  <c r="O35" i="12"/>
  <c r="O34" i="12"/>
  <c r="N15" i="4"/>
  <c r="O30" i="12"/>
  <c r="N13" i="4"/>
  <c r="O31" i="12"/>
  <c r="G22" i="8"/>
  <c r="O15" i="12"/>
  <c r="G14" i="8"/>
  <c r="O14" i="12"/>
  <c r="O37" i="12"/>
  <c r="O36" i="12"/>
  <c r="M82" i="5"/>
  <c r="O29" i="12"/>
  <c r="O28" i="12"/>
  <c r="N12" i="4"/>
  <c r="G21" i="8"/>
  <c r="O13" i="12"/>
  <c r="G13" i="8"/>
  <c r="O12" i="12"/>
  <c r="N6" i="4"/>
  <c r="O5" i="12"/>
  <c r="O4" i="12"/>
  <c r="G9" i="8"/>
  <c r="G16" i="8"/>
  <c r="O19" i="12"/>
  <c r="O18" i="12"/>
  <c r="M37" i="5"/>
  <c r="N11" i="4"/>
  <c r="O27" i="12"/>
  <c r="O26" i="12"/>
  <c r="G20" i="8"/>
  <c r="O11" i="12"/>
  <c r="O10" i="12"/>
  <c r="G12" i="8"/>
  <c r="M38" i="5"/>
  <c r="N10" i="4"/>
  <c r="G19" i="8"/>
  <c r="O25" i="12"/>
  <c r="O24" i="12"/>
  <c r="G11" i="8"/>
  <c r="O9" i="12"/>
  <c r="N5" i="4"/>
  <c r="O8" i="12"/>
  <c r="M68" i="5"/>
  <c r="N9" i="4"/>
  <c r="M85" i="5"/>
  <c r="M90" i="5"/>
  <c r="M36" i="5"/>
  <c r="L12" i="6"/>
  <c r="M39" i="5"/>
  <c r="M40" i="5"/>
  <c r="M33" i="5"/>
  <c r="M41" i="5"/>
  <c r="M35" i="5"/>
  <c r="L21" i="6"/>
  <c r="J11" i="15"/>
  <c r="M95" i="5"/>
  <c r="M71" i="5"/>
  <c r="M89" i="5"/>
  <c r="P43" i="13"/>
  <c r="S93" i="9"/>
  <c r="M87" i="5"/>
  <c r="M91" i="5"/>
  <c r="AS6" i="9"/>
  <c r="M93" i="5"/>
  <c r="AS10" i="9"/>
  <c r="M92" i="5"/>
  <c r="L20" i="6"/>
  <c r="J10" i="15"/>
  <c r="M88" i="5"/>
  <c r="L11" i="6"/>
  <c r="M86" i="5"/>
  <c r="M81" i="5"/>
  <c r="M6" i="5"/>
  <c r="M5" i="5"/>
  <c r="P8" i="13"/>
  <c r="P9" i="13" s="1"/>
  <c r="L22" i="6"/>
  <c r="M96" i="5"/>
  <c r="M100" i="5"/>
  <c r="AS7" i="9"/>
  <c r="M14" i="5"/>
  <c r="S103" i="9"/>
  <c r="L3" i="6"/>
  <c r="M16" i="5"/>
  <c r="M8" i="5"/>
  <c r="M17" i="5"/>
  <c r="L4" i="6"/>
  <c r="M7" i="5"/>
  <c r="M9" i="5"/>
  <c r="M18" i="5"/>
  <c r="L15" i="6"/>
  <c r="M10" i="5"/>
  <c r="M19" i="5"/>
  <c r="M3" i="5"/>
  <c r="M11" i="5"/>
  <c r="M20" i="5"/>
  <c r="M4" i="5"/>
  <c r="M13" i="5"/>
  <c r="M21" i="5"/>
  <c r="S13" i="9"/>
  <c r="P4" i="13"/>
  <c r="J5" i="15"/>
  <c r="L5" i="6"/>
  <c r="J3" i="15"/>
  <c r="N16" i="4"/>
  <c r="L6" i="6"/>
  <c r="L7" i="6"/>
  <c r="P18" i="13"/>
  <c r="L2" i="6"/>
  <c r="S23" i="9"/>
  <c r="M67" i="5"/>
  <c r="M50" i="5"/>
  <c r="M80" i="5"/>
  <c r="M79" i="5"/>
  <c r="L8" i="6"/>
  <c r="S83" i="9"/>
  <c r="P28" i="13"/>
  <c r="M55" i="5"/>
  <c r="J9" i="15"/>
  <c r="J7" i="15"/>
  <c r="M51" i="5"/>
  <c r="S53" i="9"/>
  <c r="J6" i="15"/>
  <c r="M49" i="5"/>
  <c r="M78" i="5"/>
  <c r="AS12" i="9"/>
  <c r="P23" i="13"/>
  <c r="J12" i="15"/>
  <c r="J4" i="15"/>
  <c r="M48" i="5"/>
  <c r="M77" i="5"/>
  <c r="AS4" i="9"/>
  <c r="AS13" i="9"/>
  <c r="M29" i="5"/>
  <c r="M47" i="5"/>
  <c r="M75" i="5"/>
  <c r="M76" i="5"/>
  <c r="L17" i="6"/>
  <c r="AS5" i="9"/>
  <c r="P33" i="13"/>
  <c r="M25" i="5"/>
  <c r="M46" i="5"/>
  <c r="M83" i="5"/>
  <c r="L16" i="6"/>
  <c r="P38" i="13"/>
  <c r="M45" i="5"/>
  <c r="AS8" i="9"/>
  <c r="S33" i="9"/>
  <c r="J8" i="15"/>
  <c r="M43" i="5"/>
  <c r="M44" i="5"/>
  <c r="M31" i="5"/>
  <c r="M56" i="5"/>
  <c r="M69" i="5"/>
  <c r="M102" i="5"/>
  <c r="M53" i="5"/>
  <c r="M54" i="5"/>
  <c r="L10" i="6"/>
  <c r="M28" i="5"/>
  <c r="M61" i="5"/>
  <c r="M65" i="5"/>
  <c r="M66" i="5"/>
  <c r="M99" i="5"/>
  <c r="L18" i="6"/>
  <c r="L9" i="6"/>
  <c r="M27" i="5"/>
  <c r="M60" i="5"/>
  <c r="M73" i="5"/>
  <c r="M98" i="5"/>
  <c r="AS11" i="9"/>
  <c r="S63" i="9"/>
  <c r="M26" i="5"/>
  <c r="M59" i="5"/>
  <c r="M72" i="5"/>
  <c r="M97" i="5"/>
  <c r="S73" i="9"/>
  <c r="P48" i="13"/>
  <c r="M58" i="5"/>
  <c r="M23" i="5"/>
  <c r="M24" i="5"/>
  <c r="M70" i="5"/>
  <c r="M103" i="5"/>
  <c r="L14" i="6"/>
  <c r="AB2" i="6"/>
  <c r="AA2" i="6"/>
  <c r="AB2" i="5"/>
  <c r="AB21" i="1" l="1"/>
  <c r="Y8" i="1"/>
  <c r="AB9" i="1"/>
  <c r="AB29" i="1"/>
  <c r="AB18" i="1"/>
  <c r="AQ22" i="1"/>
  <c r="Y26" i="1"/>
  <c r="AB27" i="1"/>
  <c r="AK20" i="1"/>
  <c r="AB12" i="1"/>
  <c r="AN23" i="1"/>
  <c r="AE4" i="1"/>
  <c r="AK7" i="1"/>
  <c r="AQ30" i="1"/>
  <c r="Y18" i="1"/>
  <c r="AN12" i="1"/>
  <c r="AQ11" i="1"/>
  <c r="Y19" i="1"/>
  <c r="AK6" i="1"/>
  <c r="AQ6" i="1"/>
  <c r="AE11" i="1"/>
  <c r="AK14" i="1"/>
  <c r="AB4" i="1"/>
  <c r="AK5" i="1"/>
  <c r="AB6" i="1"/>
  <c r="AE30" i="1"/>
  <c r="AB14" i="1"/>
  <c r="AE8" i="1"/>
  <c r="AE7" i="1"/>
  <c r="AK25" i="1"/>
  <c r="AH11" i="1"/>
  <c r="AH18" i="1"/>
  <c r="AB5" i="1"/>
  <c r="AQ21" i="1"/>
  <c r="AH19" i="1"/>
  <c r="AE5" i="1"/>
  <c r="AN27" i="1"/>
  <c r="AK29" i="1"/>
  <c r="AB7" i="1"/>
  <c r="AE21" i="1"/>
  <c r="AE16" i="1"/>
  <c r="AQ24" i="1"/>
  <c r="AE27" i="1"/>
  <c r="AK17" i="1"/>
  <c r="AH29" i="1"/>
  <c r="AN18" i="1"/>
  <c r="AE20" i="1"/>
  <c r="AK23" i="1"/>
  <c r="Y24" i="1"/>
  <c r="Y27" i="1"/>
  <c r="AE26" i="1"/>
  <c r="AK9" i="1"/>
  <c r="AK30" i="1"/>
  <c r="Y15" i="1"/>
  <c r="AQ17" i="1"/>
  <c r="AE10" i="1"/>
  <c r="AB23" i="1"/>
  <c r="Y28" i="1"/>
  <c r="AE22" i="1"/>
  <c r="AK21" i="1"/>
  <c r="AH5" i="1"/>
  <c r="AN5" i="1"/>
  <c r="AH12" i="1"/>
  <c r="AK10" i="1"/>
  <c r="AN25" i="1"/>
  <c r="AE29" i="1"/>
  <c r="AN10" i="1"/>
  <c r="AH9" i="1"/>
  <c r="AN29" i="1"/>
  <c r="AE23" i="1"/>
  <c r="AK19" i="1"/>
  <c r="AN22" i="1"/>
  <c r="AB26" i="1"/>
  <c r="AK13" i="1"/>
  <c r="AE13" i="1"/>
  <c r="AK24" i="1"/>
  <c r="AN20" i="1"/>
  <c r="AE19" i="1"/>
  <c r="Y23" i="1"/>
  <c r="AN7" i="1"/>
  <c r="AN30" i="1"/>
  <c r="AB17" i="1"/>
  <c r="AB16" i="1"/>
  <c r="AH27" i="1"/>
  <c r="AH4" i="1"/>
  <c r="AQ27" i="1"/>
  <c r="AQ26" i="1"/>
  <c r="AH7" i="1"/>
  <c r="AQ12" i="1"/>
  <c r="Y14" i="1"/>
  <c r="AH13" i="1"/>
  <c r="AN13" i="1"/>
  <c r="AH21" i="1"/>
  <c r="AN21" i="1"/>
  <c r="AK28" i="1"/>
  <c r="AH24" i="1"/>
  <c r="AQ18" i="1"/>
  <c r="AE12" i="1"/>
  <c r="AH20" i="1"/>
  <c r="AN16" i="1"/>
  <c r="AE6" i="1"/>
  <c r="AE28" i="1"/>
  <c r="AH10" i="1"/>
  <c r="AH30" i="1"/>
  <c r="AQ7" i="1"/>
  <c r="Y12" i="1"/>
  <c r="AQ15" i="1"/>
  <c r="AQ14" i="1"/>
  <c r="AH15" i="1"/>
  <c r="AN6" i="1"/>
  <c r="Y4" i="1"/>
  <c r="AH23" i="1"/>
  <c r="AQ10" i="1"/>
  <c r="AB28" i="1"/>
  <c r="AB20" i="1"/>
  <c r="AQ5" i="1"/>
  <c r="AN26" i="1"/>
  <c r="AH14" i="1"/>
  <c r="AN11" i="1"/>
  <c r="AB10" i="1"/>
  <c r="AB11" i="1"/>
  <c r="AE9" i="1"/>
  <c r="AB19" i="1"/>
  <c r="AH16" i="1"/>
  <c r="Y22" i="1"/>
  <c r="AH26" i="1"/>
  <c r="AB30" i="1"/>
  <c r="AQ20" i="1"/>
  <c r="AE17" i="1"/>
  <c r="AQ28" i="1"/>
  <c r="AQ9" i="1"/>
  <c r="AB22" i="1"/>
  <c r="Y17" i="1"/>
  <c r="AK18" i="1"/>
  <c r="AH25" i="1"/>
  <c r="AK4" i="1"/>
  <c r="AH28" i="1"/>
  <c r="P29" i="13"/>
  <c r="P7" i="13"/>
  <c r="P5" i="13"/>
  <c r="P45" i="13"/>
  <c r="P31" i="13"/>
  <c r="P10" i="13"/>
  <c r="P6" i="13"/>
  <c r="P11" i="13"/>
  <c r="P12" i="13"/>
  <c r="P24" i="13"/>
  <c r="P17" i="13"/>
  <c r="P15" i="13"/>
  <c r="P21" i="13"/>
  <c r="P16" i="13"/>
  <c r="P14" i="13"/>
  <c r="P26" i="13"/>
  <c r="P27" i="13"/>
  <c r="P25" i="13"/>
  <c r="P37" i="13"/>
  <c r="P41" i="13"/>
  <c r="P36" i="13"/>
  <c r="P39" i="13"/>
  <c r="P35" i="13"/>
  <c r="P40" i="13"/>
  <c r="P34" i="13"/>
  <c r="P42" i="13"/>
  <c r="P20" i="13"/>
  <c r="P19" i="13"/>
  <c r="P22" i="13"/>
  <c r="P30" i="13"/>
  <c r="P32" i="13"/>
  <c r="P44" i="13"/>
  <c r="P47" i="13"/>
  <c r="P46" i="13"/>
  <c r="E4" i="19" l="1"/>
  <c r="F5" i="19" l="1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5" i="2"/>
  <c r="E6" i="2"/>
  <c r="E7" i="2"/>
  <c r="E8" i="2"/>
  <c r="E9" i="2"/>
  <c r="E10" i="2"/>
  <c r="F10" i="2" s="1"/>
  <c r="E11" i="2"/>
  <c r="E12" i="2"/>
  <c r="E13" i="2"/>
  <c r="E14" i="2"/>
  <c r="E15" i="2"/>
  <c r="E16" i="2"/>
  <c r="E17" i="2"/>
  <c r="C17" i="2" s="1"/>
  <c r="E18" i="2"/>
  <c r="F18" i="2" s="1"/>
  <c r="E19" i="2"/>
  <c r="E20" i="2"/>
  <c r="E21" i="2"/>
  <c r="E22" i="2"/>
  <c r="E23" i="2"/>
  <c r="E24" i="2"/>
  <c r="E25" i="2"/>
  <c r="E26" i="2"/>
  <c r="D26" i="2" s="1"/>
  <c r="E27" i="2"/>
  <c r="E28" i="2"/>
  <c r="E29" i="2"/>
  <c r="E30" i="2"/>
  <c r="E31" i="2"/>
  <c r="R42" i="21" s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4" i="1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24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96" i="18"/>
  <c r="F118" i="18"/>
  <c r="F100" i="18" s="1"/>
  <c r="F121" i="18"/>
  <c r="F103" i="18" s="1"/>
  <c r="F41" i="18" s="1"/>
  <c r="F124" i="18"/>
  <c r="F113" i="18" s="1"/>
  <c r="F36" i="18" s="1"/>
  <c r="F80" i="18" s="1"/>
  <c r="F127" i="18"/>
  <c r="F129" i="18"/>
  <c r="F130" i="18"/>
  <c r="F92" i="18" s="1"/>
  <c r="F131" i="18"/>
  <c r="F132" i="18"/>
  <c r="F94" i="18" s="1"/>
  <c r="F133" i="18"/>
  <c r="F134" i="18"/>
  <c r="F135" i="18"/>
  <c r="F136" i="18"/>
  <c r="F137" i="18"/>
  <c r="F138" i="18"/>
  <c r="F139" i="18"/>
  <c r="F140" i="18"/>
  <c r="F141" i="18"/>
  <c r="F142" i="18"/>
  <c r="F97" i="18" s="1"/>
  <c r="F143" i="18"/>
  <c r="F98" i="18" s="1"/>
  <c r="F48" i="18" s="1"/>
  <c r="F87" i="18" s="1"/>
  <c r="F117" i="18"/>
  <c r="F91" i="18"/>
  <c r="F93" i="18"/>
  <c r="F95" i="18"/>
  <c r="F96" i="18"/>
  <c r="F46" i="18" s="1"/>
  <c r="F85" i="18" s="1"/>
  <c r="F99" i="18"/>
  <c r="F102" i="18"/>
  <c r="F104" i="18"/>
  <c r="F54" i="18" s="1"/>
  <c r="F105" i="18"/>
  <c r="F106" i="18"/>
  <c r="F56" i="18" s="1"/>
  <c r="F107" i="18"/>
  <c r="F108" i="18"/>
  <c r="F109" i="18"/>
  <c r="F59" i="18" s="1"/>
  <c r="F76" i="18" s="1"/>
  <c r="F110" i="18"/>
  <c r="F111" i="18"/>
  <c r="F112" i="18"/>
  <c r="F35" i="18" s="1"/>
  <c r="F79" i="18" s="1"/>
  <c r="F89" i="18"/>
  <c r="F39" i="18" s="1"/>
  <c r="F62" i="18"/>
  <c r="F70" i="18"/>
  <c r="F73" i="18"/>
  <c r="F81" i="18"/>
  <c r="F34" i="18"/>
  <c r="F78" i="18" s="1"/>
  <c r="F40" i="18"/>
  <c r="F42" i="18"/>
  <c r="F43" i="18"/>
  <c r="F44" i="18"/>
  <c r="F83" i="18" s="1"/>
  <c r="F45" i="18"/>
  <c r="F84" i="18" s="1"/>
  <c r="F47" i="18"/>
  <c r="F86" i="18" s="1"/>
  <c r="F49" i="18"/>
  <c r="F61" i="18" s="1"/>
  <c r="F50" i="18"/>
  <c r="F52" i="18"/>
  <c r="F69" i="18" s="1"/>
  <c r="F120" i="18" s="1"/>
  <c r="F57" i="18"/>
  <c r="F74" i="18" s="1"/>
  <c r="F58" i="18"/>
  <c r="F75" i="18" s="1"/>
  <c r="F33" i="18"/>
  <c r="F77" i="18" s="1"/>
  <c r="B119" i="18"/>
  <c r="B120" i="18"/>
  <c r="B121" i="18"/>
  <c r="B122" i="18"/>
  <c r="B123" i="18"/>
  <c r="B118" i="18"/>
  <c r="B91" i="18"/>
  <c r="B92" i="18"/>
  <c r="B93" i="18"/>
  <c r="B94" i="18"/>
  <c r="B95" i="18"/>
  <c r="B90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68" i="18"/>
  <c r="B63" i="18"/>
  <c r="B64" i="18"/>
  <c r="B65" i="18"/>
  <c r="B66" i="18"/>
  <c r="B67" i="18"/>
  <c r="B62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40" i="18"/>
  <c r="B35" i="18"/>
  <c r="B36" i="18"/>
  <c r="B37" i="18"/>
  <c r="B38" i="18"/>
  <c r="B39" i="18"/>
  <c r="B34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12" i="18"/>
  <c r="B6" i="18"/>
  <c r="B7" i="18"/>
  <c r="B8" i="18"/>
  <c r="B9" i="18"/>
  <c r="B10" i="18"/>
  <c r="B11" i="18"/>
  <c r="B5" i="18"/>
  <c r="CP29" i="1"/>
  <c r="CO23" i="1"/>
  <c r="CN25" i="1"/>
  <c r="CM27" i="1"/>
  <c r="CL29" i="1"/>
  <c r="CK23" i="1"/>
  <c r="CJ25" i="1"/>
  <c r="CI27" i="1"/>
  <c r="CH29" i="1"/>
  <c r="CG23" i="1"/>
  <c r="CF25" i="1"/>
  <c r="CE27" i="1"/>
  <c r="CA27" i="1"/>
  <c r="CD29" i="1"/>
  <c r="CC23" i="1"/>
  <c r="CB25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X29" i="1"/>
  <c r="K30" i="18" s="1"/>
  <c r="BV15" i="1"/>
  <c r="BW23" i="1"/>
  <c r="BU16" i="1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CZ23" i="7"/>
  <c r="CZ22" i="7"/>
  <c r="CY23" i="7"/>
  <c r="CY22" i="7"/>
  <c r="CX23" i="7"/>
  <c r="CX22" i="7"/>
  <c r="CW23" i="7"/>
  <c r="CW22" i="7"/>
  <c r="CV23" i="7"/>
  <c r="CV22" i="7"/>
  <c r="CU23" i="7"/>
  <c r="CU22" i="7"/>
  <c r="CT23" i="7"/>
  <c r="CT22" i="7"/>
  <c r="CS23" i="7"/>
  <c r="CS22" i="7"/>
  <c r="CR23" i="7"/>
  <c r="CR22" i="7"/>
  <c r="CQ23" i="7"/>
  <c r="CQ22" i="7"/>
  <c r="CP23" i="7"/>
  <c r="CP22" i="7"/>
  <c r="CO23" i="7"/>
  <c r="CO22" i="7"/>
  <c r="CN23" i="7"/>
  <c r="CN22" i="7"/>
  <c r="CM23" i="7"/>
  <c r="CM22" i="7"/>
  <c r="CL23" i="7"/>
  <c r="CL22" i="7"/>
  <c r="CK23" i="7"/>
  <c r="CK22" i="7"/>
  <c r="CJ23" i="7"/>
  <c r="CJ22" i="7"/>
  <c r="CI23" i="7"/>
  <c r="CI22" i="7"/>
  <c r="CH23" i="7"/>
  <c r="CH22" i="7"/>
  <c r="CG23" i="7"/>
  <c r="CG22" i="7"/>
  <c r="CF23" i="7"/>
  <c r="CF22" i="7"/>
  <c r="CE23" i="7"/>
  <c r="CE22" i="7"/>
  <c r="CD23" i="7"/>
  <c r="CD22" i="7"/>
  <c r="CC23" i="7"/>
  <c r="CC22" i="7"/>
  <c r="CB23" i="7"/>
  <c r="CB22" i="7"/>
  <c r="CA23" i="7"/>
  <c r="CA22" i="7"/>
  <c r="BZ23" i="7"/>
  <c r="BZ22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I3" i="7"/>
  <c r="BI4" i="7"/>
  <c r="BI5" i="7"/>
  <c r="BI6" i="7"/>
  <c r="BI7" i="7"/>
  <c r="BI8" i="7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G3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O3" i="7"/>
  <c r="BO4" i="7"/>
  <c r="BO5" i="7"/>
  <c r="BO6" i="7"/>
  <c r="BO7" i="7"/>
  <c r="BO8" i="7"/>
  <c r="BO9" i="7"/>
  <c r="BO10" i="7"/>
  <c r="BO11" i="7"/>
  <c r="BO12" i="7"/>
  <c r="BO13" i="7"/>
  <c r="BO14" i="7"/>
  <c r="BO15" i="7"/>
  <c r="BO16" i="7"/>
  <c r="BO17" i="7"/>
  <c r="BO18" i="7"/>
  <c r="BO19" i="7"/>
  <c r="BO20" i="7"/>
  <c r="BO21" i="7"/>
  <c r="BO22" i="7"/>
  <c r="BO23" i="7"/>
  <c r="BO24" i="7"/>
  <c r="BO25" i="7"/>
  <c r="BO26" i="7"/>
  <c r="BO27" i="7"/>
  <c r="BO28" i="7"/>
  <c r="BO29" i="7"/>
  <c r="BQ3" i="7"/>
  <c r="BQ4" i="7"/>
  <c r="BQ5" i="7"/>
  <c r="BQ6" i="7"/>
  <c r="BQ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K3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M3" i="7"/>
  <c r="BM4" i="7"/>
  <c r="BM5" i="7"/>
  <c r="BM6" i="7"/>
  <c r="BM7" i="7"/>
  <c r="BM8" i="7"/>
  <c r="BM9" i="7"/>
  <c r="BM10" i="7"/>
  <c r="BM11" i="7"/>
  <c r="BM12" i="7"/>
  <c r="BM13" i="7"/>
  <c r="BM14" i="7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S3" i="7"/>
  <c r="BS4" i="7"/>
  <c r="BS5" i="7"/>
  <c r="BS6" i="7"/>
  <c r="BS7" i="7"/>
  <c r="BS8" i="7"/>
  <c r="BS9" i="7"/>
  <c r="BS10" i="7"/>
  <c r="BS11" i="7"/>
  <c r="BS12" i="7"/>
  <c r="BS13" i="7"/>
  <c r="BS14" i="7"/>
  <c r="BS15" i="7"/>
  <c r="BS16" i="7"/>
  <c r="BS17" i="7"/>
  <c r="BS18" i="7"/>
  <c r="BS19" i="7"/>
  <c r="BS20" i="7"/>
  <c r="BS21" i="7"/>
  <c r="BS22" i="7"/>
  <c r="BS23" i="7"/>
  <c r="BS24" i="7"/>
  <c r="BS25" i="7"/>
  <c r="BS26" i="7"/>
  <c r="BS27" i="7"/>
  <c r="BS28" i="7"/>
  <c r="BS29" i="7"/>
  <c r="BU3" i="7"/>
  <c r="BU4" i="7"/>
  <c r="BU5" i="7"/>
  <c r="BU6" i="7"/>
  <c r="BU7" i="7"/>
  <c r="BU8" i="7"/>
  <c r="BU9" i="7"/>
  <c r="BU10" i="7"/>
  <c r="BU11" i="7"/>
  <c r="BU12" i="7"/>
  <c r="BU13" i="7"/>
  <c r="BU14" i="7"/>
  <c r="BU15" i="7"/>
  <c r="BU16" i="7"/>
  <c r="BU17" i="7"/>
  <c r="BU18" i="7"/>
  <c r="BU19" i="7"/>
  <c r="BU20" i="7"/>
  <c r="BU21" i="7"/>
  <c r="BU22" i="7"/>
  <c r="BU23" i="7"/>
  <c r="BU24" i="7"/>
  <c r="BU25" i="7"/>
  <c r="BU26" i="7"/>
  <c r="BU27" i="7"/>
  <c r="BU28" i="7"/>
  <c r="BU29" i="7"/>
  <c r="BW3" i="7"/>
  <c r="BW4" i="7"/>
  <c r="BW5" i="7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26" i="2"/>
  <c r="G22" i="1"/>
  <c r="G23" i="1"/>
  <c r="G24" i="1"/>
  <c r="G25" i="1"/>
  <c r="G26" i="1"/>
  <c r="G27" i="1"/>
  <c r="G28" i="1"/>
  <c r="G29" i="1"/>
  <c r="G30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21" i="1"/>
  <c r="E21" i="1"/>
  <c r="G21" i="1"/>
  <c r="C16" i="2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4" i="1"/>
  <c r="D10" i="2" l="1"/>
  <c r="D18" i="2"/>
  <c r="C10" i="2"/>
  <c r="C18" i="2"/>
  <c r="C26" i="2"/>
  <c r="O15" i="2"/>
  <c r="M15" i="2"/>
  <c r="X15" i="2"/>
  <c r="X30" i="2"/>
  <c r="O30" i="2"/>
  <c r="O22" i="2"/>
  <c r="X22" i="2"/>
  <c r="M22" i="2"/>
  <c r="C14" i="2"/>
  <c r="O14" i="2"/>
  <c r="M14" i="2"/>
  <c r="X14" i="2"/>
  <c r="O6" i="2"/>
  <c r="M6" i="2"/>
  <c r="X6" i="2"/>
  <c r="F29" i="2"/>
  <c r="X29" i="2"/>
  <c r="O29" i="2"/>
  <c r="M29" i="2"/>
  <c r="C21" i="2"/>
  <c r="O21" i="2"/>
  <c r="Q21" i="2"/>
  <c r="M21" i="2"/>
  <c r="U21" i="2"/>
  <c r="X21" i="2"/>
  <c r="O13" i="2"/>
  <c r="M13" i="2"/>
  <c r="X13" i="2"/>
  <c r="O5" i="2"/>
  <c r="M5" i="2"/>
  <c r="X5" i="2"/>
  <c r="D28" i="2"/>
  <c r="O28" i="2"/>
  <c r="M28" i="2"/>
  <c r="X28" i="2"/>
  <c r="F20" i="2"/>
  <c r="O20" i="2"/>
  <c r="M20" i="2"/>
  <c r="X20" i="2"/>
  <c r="O12" i="2"/>
  <c r="M12" i="2"/>
  <c r="U12" i="2"/>
  <c r="Q12" i="2"/>
  <c r="X12" i="2"/>
  <c r="F27" i="2"/>
  <c r="X27" i="2"/>
  <c r="O27" i="2"/>
  <c r="M27" i="2"/>
  <c r="O19" i="2"/>
  <c r="M19" i="2"/>
  <c r="X19" i="2"/>
  <c r="O11" i="2"/>
  <c r="M11" i="2"/>
  <c r="X11" i="2"/>
  <c r="X26" i="2"/>
  <c r="Q26" i="2"/>
  <c r="U26" i="2"/>
  <c r="M26" i="2"/>
  <c r="O26" i="2"/>
  <c r="X18" i="2"/>
  <c r="O18" i="2"/>
  <c r="M18" i="2"/>
  <c r="M10" i="2"/>
  <c r="O10" i="2"/>
  <c r="X10" i="2"/>
  <c r="X25" i="2"/>
  <c r="O25" i="2"/>
  <c r="M25" i="2"/>
  <c r="O17" i="2"/>
  <c r="M17" i="2"/>
  <c r="X17" i="2"/>
  <c r="O9" i="2"/>
  <c r="M9" i="2"/>
  <c r="X9" i="2"/>
  <c r="D23" i="2"/>
  <c r="X23" i="2"/>
  <c r="O23" i="2"/>
  <c r="M23" i="2"/>
  <c r="D7" i="2"/>
  <c r="O7" i="2"/>
  <c r="M7" i="2"/>
  <c r="X7" i="2"/>
  <c r="X24" i="2"/>
  <c r="M24" i="2"/>
  <c r="O24" i="2"/>
  <c r="M16" i="2"/>
  <c r="O16" i="2"/>
  <c r="X16" i="2"/>
  <c r="M8" i="2"/>
  <c r="O8" i="2"/>
  <c r="X8" i="2"/>
  <c r="K142" i="18"/>
  <c r="K282" i="18" s="1"/>
  <c r="K170" i="18"/>
  <c r="K310" i="18" s="1"/>
  <c r="D25" i="2"/>
  <c r="F5" i="2"/>
  <c r="F21" i="2"/>
  <c r="F13" i="2"/>
  <c r="C5" i="2"/>
  <c r="D5" i="2"/>
  <c r="D4883" i="23"/>
  <c r="D4863" i="23"/>
  <c r="D4882" i="23"/>
  <c r="D4874" i="23"/>
  <c r="D4866" i="23"/>
  <c r="D4889" i="23"/>
  <c r="D4881" i="23"/>
  <c r="D4873" i="23"/>
  <c r="D4865" i="23"/>
  <c r="D4888" i="23"/>
  <c r="D4880" i="23"/>
  <c r="D4872" i="23"/>
  <c r="D4864" i="23"/>
  <c r="D4871" i="23"/>
  <c r="D4886" i="23"/>
  <c r="D4878" i="23"/>
  <c r="D4870" i="23"/>
  <c r="D4867" i="23"/>
  <c r="D4887" i="23"/>
  <c r="D4879" i="23"/>
  <c r="D4885" i="23"/>
  <c r="D4877" i="23"/>
  <c r="D4869" i="23"/>
  <c r="D4875" i="23"/>
  <c r="D4884" i="23"/>
  <c r="D4876" i="23"/>
  <c r="D4868" i="23"/>
  <c r="V103" i="9"/>
  <c r="V15" i="9" s="1"/>
  <c r="F7" i="2"/>
  <c r="C8" i="2"/>
  <c r="D8" i="2"/>
  <c r="C23" i="2"/>
  <c r="D16" i="2"/>
  <c r="F16" i="2"/>
  <c r="F8" i="2"/>
  <c r="C24" i="2"/>
  <c r="F24" i="2"/>
  <c r="K13" i="10"/>
  <c r="D24" i="2"/>
  <c r="D15" i="2"/>
  <c r="F23" i="2"/>
  <c r="F28" i="2"/>
  <c r="L12" i="14"/>
  <c r="F13" i="11"/>
  <c r="M13" i="17"/>
  <c r="C31" i="2"/>
  <c r="N42" i="21" s="1"/>
  <c r="P39" i="12"/>
  <c r="T39" i="12" s="1"/>
  <c r="F15" i="2"/>
  <c r="D31" i="2"/>
  <c r="R48" i="13"/>
  <c r="C15" i="2"/>
  <c r="D30" i="2"/>
  <c r="K12" i="15"/>
  <c r="C7" i="2"/>
  <c r="F31" i="2"/>
  <c r="T42" i="21" s="1"/>
  <c r="I53" i="8"/>
  <c r="W53" i="8" s="1"/>
  <c r="D155" i="8" s="1"/>
  <c r="F12" i="2"/>
  <c r="F22" i="2"/>
  <c r="D13" i="2"/>
  <c r="D21" i="2"/>
  <c r="D22" i="2"/>
  <c r="C30" i="2"/>
  <c r="C6" i="2"/>
  <c r="D6" i="2"/>
  <c r="D14" i="2"/>
  <c r="F6" i="2"/>
  <c r="F14" i="2"/>
  <c r="C29" i="2"/>
  <c r="D29" i="2"/>
  <c r="F30" i="2"/>
  <c r="C13" i="2"/>
  <c r="C22" i="2"/>
  <c r="B31" i="19"/>
  <c r="C9" i="2"/>
  <c r="D9" i="2"/>
  <c r="F9" i="2"/>
  <c r="C25" i="2"/>
  <c r="D17" i="2"/>
  <c r="F25" i="2"/>
  <c r="F17" i="2"/>
  <c r="D19" i="2"/>
  <c r="D11" i="2"/>
  <c r="C20" i="2"/>
  <c r="D20" i="2"/>
  <c r="C12" i="2"/>
  <c r="C28" i="2"/>
  <c r="D12" i="2"/>
  <c r="C11" i="2"/>
  <c r="C19" i="2"/>
  <c r="F11" i="2"/>
  <c r="F19" i="2"/>
  <c r="C27" i="2"/>
  <c r="D27" i="2"/>
  <c r="F71" i="18"/>
  <c r="F122" i="18" s="1"/>
  <c r="F66" i="18"/>
  <c r="F64" i="18"/>
  <c r="F125" i="18" s="1"/>
  <c r="F114" i="18" s="1"/>
  <c r="F37" i="18" s="1"/>
  <c r="F53" i="18"/>
  <c r="F65" i="18" s="1"/>
  <c r="F126" i="18" s="1"/>
  <c r="F115" i="18" s="1"/>
  <c r="F38" i="18" s="1"/>
  <c r="F82" i="18" s="1"/>
  <c r="K171" i="18"/>
  <c r="K311" i="18" s="1"/>
  <c r="CH23" i="1"/>
  <c r="CB27" i="1"/>
  <c r="BX15" i="1"/>
  <c r="K16" i="18" s="1"/>
  <c r="BS30" i="1"/>
  <c r="CC9" i="1"/>
  <c r="CE13" i="1"/>
  <c r="BR30" i="1"/>
  <c r="CI5" i="1"/>
  <c r="CK9" i="1"/>
  <c r="CK17" i="1"/>
  <c r="BX23" i="1"/>
  <c r="K24" i="18" s="1"/>
  <c r="CE21" i="1"/>
  <c r="CM29" i="1"/>
  <c r="CM21" i="1"/>
  <c r="CA5" i="1"/>
  <c r="CC17" i="1"/>
  <c r="CE29" i="1"/>
  <c r="CI13" i="1"/>
  <c r="CK25" i="1"/>
  <c r="BS25" i="1" s="1"/>
  <c r="CO9" i="1"/>
  <c r="CA13" i="1"/>
  <c r="CC25" i="1"/>
  <c r="CG9" i="1"/>
  <c r="CI21" i="1"/>
  <c r="CL7" i="1"/>
  <c r="CO17" i="1"/>
  <c r="BW9" i="1"/>
  <c r="CA21" i="1"/>
  <c r="CD7" i="1"/>
  <c r="CG17" i="1"/>
  <c r="CI29" i="1"/>
  <c r="CL15" i="1"/>
  <c r="CO25" i="1"/>
  <c r="BW17" i="1"/>
  <c r="CA29" i="1"/>
  <c r="CD15" i="1"/>
  <c r="CG25" i="1"/>
  <c r="CJ11" i="1"/>
  <c r="CL23" i="1"/>
  <c r="CP7" i="1"/>
  <c r="BW25" i="1"/>
  <c r="CB11" i="1"/>
  <c r="CD23" i="1"/>
  <c r="CH7" i="1"/>
  <c r="CJ19" i="1"/>
  <c r="CM5" i="1"/>
  <c r="CP15" i="1"/>
  <c r="BX7" i="1"/>
  <c r="K8" i="18" s="1"/>
  <c r="CB19" i="1"/>
  <c r="CE5" i="1"/>
  <c r="CH15" i="1"/>
  <c r="CJ27" i="1"/>
  <c r="CM13" i="1"/>
  <c r="CP23" i="1"/>
  <c r="CF11" i="1"/>
  <c r="CN11" i="1"/>
  <c r="CN27" i="1"/>
  <c r="BW8" i="1"/>
  <c r="BW16" i="1"/>
  <c r="BW24" i="1"/>
  <c r="BX6" i="1"/>
  <c r="K7" i="18" s="1"/>
  <c r="BX14" i="1"/>
  <c r="K15" i="18" s="1"/>
  <c r="BX22" i="1"/>
  <c r="K23" i="18" s="1"/>
  <c r="CA4" i="1"/>
  <c r="CA12" i="1"/>
  <c r="CA20" i="1"/>
  <c r="CA28" i="1"/>
  <c r="CB10" i="1"/>
  <c r="CB18" i="1"/>
  <c r="CB26" i="1"/>
  <c r="CC8" i="1"/>
  <c r="CC16" i="1"/>
  <c r="CC24" i="1"/>
  <c r="CD6" i="1"/>
  <c r="CD14" i="1"/>
  <c r="CD22" i="1"/>
  <c r="CE4" i="1"/>
  <c r="CE12" i="1"/>
  <c r="CE20" i="1"/>
  <c r="CE28" i="1"/>
  <c r="CF10" i="1"/>
  <c r="CF18" i="1"/>
  <c r="CF26" i="1"/>
  <c r="CG8" i="1"/>
  <c r="CG16" i="1"/>
  <c r="CG24" i="1"/>
  <c r="CH6" i="1"/>
  <c r="CH14" i="1"/>
  <c r="CH22" i="1"/>
  <c r="CI4" i="1"/>
  <c r="CI12" i="1"/>
  <c r="CI20" i="1"/>
  <c r="CI28" i="1"/>
  <c r="CJ10" i="1"/>
  <c r="CJ18" i="1"/>
  <c r="CJ26" i="1"/>
  <c r="CK8" i="1"/>
  <c r="CK16" i="1"/>
  <c r="CK24" i="1"/>
  <c r="CL6" i="1"/>
  <c r="CL14" i="1"/>
  <c r="CL22" i="1"/>
  <c r="CM4" i="1"/>
  <c r="CM12" i="1"/>
  <c r="CM20" i="1"/>
  <c r="CM28" i="1"/>
  <c r="CN10" i="1"/>
  <c r="CN18" i="1"/>
  <c r="CN26" i="1"/>
  <c r="CO8" i="1"/>
  <c r="CO16" i="1"/>
  <c r="CO24" i="1"/>
  <c r="CP6" i="1"/>
  <c r="CP14" i="1"/>
  <c r="CP22" i="1"/>
  <c r="BW10" i="1"/>
  <c r="BW18" i="1"/>
  <c r="BW26" i="1"/>
  <c r="BX8" i="1"/>
  <c r="K9" i="18" s="1"/>
  <c r="BX16" i="1"/>
  <c r="K17" i="18" s="1"/>
  <c r="BX24" i="1"/>
  <c r="K25" i="18" s="1"/>
  <c r="CA6" i="1"/>
  <c r="CA14" i="1"/>
  <c r="CA22" i="1"/>
  <c r="CB4" i="1"/>
  <c r="CB12" i="1"/>
  <c r="CB20" i="1"/>
  <c r="CB28" i="1"/>
  <c r="CC10" i="1"/>
  <c r="CC18" i="1"/>
  <c r="CC26" i="1"/>
  <c r="CD8" i="1"/>
  <c r="CD16" i="1"/>
  <c r="CD24" i="1"/>
  <c r="CE6" i="1"/>
  <c r="CE14" i="1"/>
  <c r="CE22" i="1"/>
  <c r="CF4" i="1"/>
  <c r="CF12" i="1"/>
  <c r="CF20" i="1"/>
  <c r="CF28" i="1"/>
  <c r="CG10" i="1"/>
  <c r="CG18" i="1"/>
  <c r="CG26" i="1"/>
  <c r="CH8" i="1"/>
  <c r="CH16" i="1"/>
  <c r="CH24" i="1"/>
  <c r="CI6" i="1"/>
  <c r="CI14" i="1"/>
  <c r="CI22" i="1"/>
  <c r="CJ4" i="1"/>
  <c r="CJ12" i="1"/>
  <c r="CJ20" i="1"/>
  <c r="CJ28" i="1"/>
  <c r="CK10" i="1"/>
  <c r="CK18" i="1"/>
  <c r="CK26" i="1"/>
  <c r="CL8" i="1"/>
  <c r="CL16" i="1"/>
  <c r="CL24" i="1"/>
  <c r="CM6" i="1"/>
  <c r="CM14" i="1"/>
  <c r="CM22" i="1"/>
  <c r="CN4" i="1"/>
  <c r="CN12" i="1"/>
  <c r="CN20" i="1"/>
  <c r="CN28" i="1"/>
  <c r="CO10" i="1"/>
  <c r="CO18" i="1"/>
  <c r="CO26" i="1"/>
  <c r="CP8" i="1"/>
  <c r="CP16" i="1"/>
  <c r="CP24" i="1"/>
  <c r="BW11" i="1"/>
  <c r="BW19" i="1"/>
  <c r="BW27" i="1"/>
  <c r="BX9" i="1"/>
  <c r="K10" i="18" s="1"/>
  <c r="BX17" i="1"/>
  <c r="K18" i="18" s="1"/>
  <c r="BX25" i="1"/>
  <c r="K26" i="18" s="1"/>
  <c r="CA7" i="1"/>
  <c r="CA15" i="1"/>
  <c r="CA23" i="1"/>
  <c r="CB5" i="1"/>
  <c r="CB13" i="1"/>
  <c r="CB21" i="1"/>
  <c r="CB29" i="1"/>
  <c r="CC11" i="1"/>
  <c r="CC19" i="1"/>
  <c r="CC27" i="1"/>
  <c r="CD9" i="1"/>
  <c r="CD17" i="1"/>
  <c r="CD25" i="1"/>
  <c r="CE7" i="1"/>
  <c r="CE15" i="1"/>
  <c r="CE23" i="1"/>
  <c r="CF5" i="1"/>
  <c r="CF13" i="1"/>
  <c r="CF21" i="1"/>
  <c r="CF29" i="1"/>
  <c r="CG11" i="1"/>
  <c r="CG19" i="1"/>
  <c r="CG27" i="1"/>
  <c r="CH9" i="1"/>
  <c r="CH17" i="1"/>
  <c r="CH25" i="1"/>
  <c r="CI7" i="1"/>
  <c r="CI15" i="1"/>
  <c r="CI23" i="1"/>
  <c r="CJ5" i="1"/>
  <c r="CJ13" i="1"/>
  <c r="CJ21" i="1"/>
  <c r="CJ29" i="1"/>
  <c r="CK11" i="1"/>
  <c r="CK19" i="1"/>
  <c r="CK27" i="1"/>
  <c r="CL9" i="1"/>
  <c r="CL17" i="1"/>
  <c r="CL25" i="1"/>
  <c r="CM7" i="1"/>
  <c r="CM15" i="1"/>
  <c r="CM23" i="1"/>
  <c r="CN5" i="1"/>
  <c r="CN13" i="1"/>
  <c r="CN21" i="1"/>
  <c r="CN29" i="1"/>
  <c r="CO11" i="1"/>
  <c r="CO19" i="1"/>
  <c r="CO27" i="1"/>
  <c r="CP9" i="1"/>
  <c r="CP17" i="1"/>
  <c r="CP25" i="1"/>
  <c r="BW4" i="1"/>
  <c r="BW12" i="1"/>
  <c r="BW20" i="1"/>
  <c r="BW28" i="1"/>
  <c r="BX10" i="1"/>
  <c r="K11" i="18" s="1"/>
  <c r="BX18" i="1"/>
  <c r="K19" i="18" s="1"/>
  <c r="BX26" i="1"/>
  <c r="K27" i="18" s="1"/>
  <c r="CA8" i="1"/>
  <c r="CA16" i="1"/>
  <c r="CA24" i="1"/>
  <c r="CB6" i="1"/>
  <c r="CB14" i="1"/>
  <c r="CB22" i="1"/>
  <c r="CC4" i="1"/>
  <c r="CC12" i="1"/>
  <c r="CC20" i="1"/>
  <c r="CC28" i="1"/>
  <c r="CD10" i="1"/>
  <c r="CD18" i="1"/>
  <c r="CD26" i="1"/>
  <c r="CE8" i="1"/>
  <c r="CE16" i="1"/>
  <c r="CE24" i="1"/>
  <c r="CF6" i="1"/>
  <c r="CF14" i="1"/>
  <c r="CF22" i="1"/>
  <c r="CG4" i="1"/>
  <c r="CG12" i="1"/>
  <c r="CG20" i="1"/>
  <c r="CG28" i="1"/>
  <c r="CH10" i="1"/>
  <c r="CH18" i="1"/>
  <c r="CH26" i="1"/>
  <c r="CI8" i="1"/>
  <c r="CI16" i="1"/>
  <c r="CI24" i="1"/>
  <c r="CJ6" i="1"/>
  <c r="CJ14" i="1"/>
  <c r="CJ22" i="1"/>
  <c r="CK4" i="1"/>
  <c r="CK12" i="1"/>
  <c r="CK20" i="1"/>
  <c r="CK28" i="1"/>
  <c r="CL10" i="1"/>
  <c r="CL18" i="1"/>
  <c r="CL26" i="1"/>
  <c r="CM8" i="1"/>
  <c r="CM16" i="1"/>
  <c r="CM24" i="1"/>
  <c r="CN6" i="1"/>
  <c r="CN14" i="1"/>
  <c r="CN22" i="1"/>
  <c r="CO4" i="1"/>
  <c r="CO12" i="1"/>
  <c r="CO20" i="1"/>
  <c r="CO28" i="1"/>
  <c r="CP10" i="1"/>
  <c r="CP18" i="1"/>
  <c r="CP26" i="1"/>
  <c r="CF27" i="1"/>
  <c r="BW5" i="1"/>
  <c r="BW13" i="1"/>
  <c r="BW21" i="1"/>
  <c r="BW29" i="1"/>
  <c r="BX11" i="1"/>
  <c r="K12" i="18" s="1"/>
  <c r="BX19" i="1"/>
  <c r="K20" i="18" s="1"/>
  <c r="BX27" i="1"/>
  <c r="K28" i="18" s="1"/>
  <c r="CA9" i="1"/>
  <c r="CA17" i="1"/>
  <c r="CA25" i="1"/>
  <c r="CB7" i="1"/>
  <c r="CB15" i="1"/>
  <c r="CB23" i="1"/>
  <c r="CC5" i="1"/>
  <c r="CC13" i="1"/>
  <c r="CC21" i="1"/>
  <c r="CC29" i="1"/>
  <c r="CD11" i="1"/>
  <c r="CD19" i="1"/>
  <c r="CD27" i="1"/>
  <c r="CE9" i="1"/>
  <c r="CE17" i="1"/>
  <c r="CE25" i="1"/>
  <c r="CF7" i="1"/>
  <c r="CF15" i="1"/>
  <c r="CF23" i="1"/>
  <c r="CG5" i="1"/>
  <c r="CG13" i="1"/>
  <c r="CG21" i="1"/>
  <c r="CG29" i="1"/>
  <c r="CH11" i="1"/>
  <c r="CH19" i="1"/>
  <c r="CH27" i="1"/>
  <c r="CI9" i="1"/>
  <c r="CI17" i="1"/>
  <c r="CI25" i="1"/>
  <c r="CJ7" i="1"/>
  <c r="CJ15" i="1"/>
  <c r="CJ23" i="1"/>
  <c r="CK5" i="1"/>
  <c r="CK13" i="1"/>
  <c r="CK21" i="1"/>
  <c r="CK29" i="1"/>
  <c r="CL11" i="1"/>
  <c r="CL19" i="1"/>
  <c r="CL27" i="1"/>
  <c r="CM9" i="1"/>
  <c r="CM17" i="1"/>
  <c r="CM25" i="1"/>
  <c r="CN7" i="1"/>
  <c r="CN15" i="1"/>
  <c r="CN23" i="1"/>
  <c r="CO5" i="1"/>
  <c r="CO13" i="1"/>
  <c r="CO21" i="1"/>
  <c r="CO29" i="1"/>
  <c r="CP11" i="1"/>
  <c r="CP19" i="1"/>
  <c r="CP27" i="1"/>
  <c r="BW6" i="1"/>
  <c r="BW14" i="1"/>
  <c r="BW22" i="1"/>
  <c r="BX4" i="1"/>
  <c r="K5" i="18" s="1"/>
  <c r="BX12" i="1"/>
  <c r="K13" i="18" s="1"/>
  <c r="BX20" i="1"/>
  <c r="K21" i="18" s="1"/>
  <c r="BX28" i="1"/>
  <c r="K29" i="18" s="1"/>
  <c r="CA10" i="1"/>
  <c r="CA18" i="1"/>
  <c r="CA26" i="1"/>
  <c r="CB8" i="1"/>
  <c r="CB16" i="1"/>
  <c r="CB24" i="1"/>
  <c r="CC6" i="1"/>
  <c r="CC14" i="1"/>
  <c r="CC22" i="1"/>
  <c r="CD4" i="1"/>
  <c r="CD12" i="1"/>
  <c r="CD20" i="1"/>
  <c r="CD28" i="1"/>
  <c r="CE10" i="1"/>
  <c r="CE18" i="1"/>
  <c r="CE26" i="1"/>
  <c r="CF8" i="1"/>
  <c r="CF16" i="1"/>
  <c r="CF24" i="1"/>
  <c r="CG6" i="1"/>
  <c r="CG14" i="1"/>
  <c r="CG22" i="1"/>
  <c r="CH4" i="1"/>
  <c r="CH12" i="1"/>
  <c r="CH20" i="1"/>
  <c r="CH28" i="1"/>
  <c r="CI10" i="1"/>
  <c r="CI18" i="1"/>
  <c r="CI26" i="1"/>
  <c r="CJ8" i="1"/>
  <c r="CJ16" i="1"/>
  <c r="CJ24" i="1"/>
  <c r="CK6" i="1"/>
  <c r="CK14" i="1"/>
  <c r="CK22" i="1"/>
  <c r="CL4" i="1"/>
  <c r="CL12" i="1"/>
  <c r="CL20" i="1"/>
  <c r="CL28" i="1"/>
  <c r="CM10" i="1"/>
  <c r="CM18" i="1"/>
  <c r="CM26" i="1"/>
  <c r="CN8" i="1"/>
  <c r="CN16" i="1"/>
  <c r="CN24" i="1"/>
  <c r="CO6" i="1"/>
  <c r="CO14" i="1"/>
  <c r="CO22" i="1"/>
  <c r="CP4" i="1"/>
  <c r="CP12" i="1"/>
  <c r="CP20" i="1"/>
  <c r="CP28" i="1"/>
  <c r="CF19" i="1"/>
  <c r="CN19" i="1"/>
  <c r="BW7" i="1"/>
  <c r="BW15" i="1"/>
  <c r="BX5" i="1"/>
  <c r="K6" i="18" s="1"/>
  <c r="BX13" i="1"/>
  <c r="K14" i="18" s="1"/>
  <c r="BX21" i="1"/>
  <c r="K22" i="18" s="1"/>
  <c r="CA11" i="1"/>
  <c r="CA19" i="1"/>
  <c r="CB9" i="1"/>
  <c r="CB17" i="1"/>
  <c r="CC7" i="1"/>
  <c r="CC15" i="1"/>
  <c r="CD5" i="1"/>
  <c r="CD13" i="1"/>
  <c r="CD21" i="1"/>
  <c r="CE11" i="1"/>
  <c r="CE19" i="1"/>
  <c r="CF9" i="1"/>
  <c r="CF17" i="1"/>
  <c r="CG7" i="1"/>
  <c r="CG15" i="1"/>
  <c r="CH5" i="1"/>
  <c r="CH13" i="1"/>
  <c r="CH21" i="1"/>
  <c r="CI11" i="1"/>
  <c r="CI19" i="1"/>
  <c r="CJ9" i="1"/>
  <c r="CJ17" i="1"/>
  <c r="CK7" i="1"/>
  <c r="CK15" i="1"/>
  <c r="CL5" i="1"/>
  <c r="CL13" i="1"/>
  <c r="CL21" i="1"/>
  <c r="CM11" i="1"/>
  <c r="CM19" i="1"/>
  <c r="CN9" i="1"/>
  <c r="CN17" i="1"/>
  <c r="CO7" i="1"/>
  <c r="CO15" i="1"/>
  <c r="CP5" i="1"/>
  <c r="CP13" i="1"/>
  <c r="CP21" i="1"/>
  <c r="BU23" i="1"/>
  <c r="BV7" i="1"/>
  <c r="BV5" i="1"/>
  <c r="BU26" i="1"/>
  <c r="BU19" i="1"/>
  <c r="BV6" i="1"/>
  <c r="BU25" i="1"/>
  <c r="BV9" i="1"/>
  <c r="BU7" i="1"/>
  <c r="BU29" i="1"/>
  <c r="BV21" i="1"/>
  <c r="BU9" i="1"/>
  <c r="BV29" i="1"/>
  <c r="BV23" i="1"/>
  <c r="BU11" i="1"/>
  <c r="BV28" i="1"/>
  <c r="BU15" i="1"/>
  <c r="BV26" i="1"/>
  <c r="BU27" i="1"/>
  <c r="BU17" i="1"/>
  <c r="BU24" i="1"/>
  <c r="BU10" i="1"/>
  <c r="BU18" i="1"/>
  <c r="BU4" i="1"/>
  <c r="BU12" i="1"/>
  <c r="BU20" i="1"/>
  <c r="BU5" i="1"/>
  <c r="BU13" i="1"/>
  <c r="BU21" i="1"/>
  <c r="BU28" i="1"/>
  <c r="BU6" i="1"/>
  <c r="BU14" i="1"/>
  <c r="BU22" i="1"/>
  <c r="BU8" i="1"/>
  <c r="BV27" i="1"/>
  <c r="BV8" i="1"/>
  <c r="BV25" i="1"/>
  <c r="BV10" i="1"/>
  <c r="BV11" i="1"/>
  <c r="BV4" i="1"/>
  <c r="BV13" i="1"/>
  <c r="BV20" i="1"/>
  <c r="BV14" i="1"/>
  <c r="BV22" i="1"/>
  <c r="BV16" i="1"/>
  <c r="BV24" i="1"/>
  <c r="BV17" i="1"/>
  <c r="BV18" i="1"/>
  <c r="BV19" i="1"/>
  <c r="BV12" i="1"/>
  <c r="L10" i="2" l="1"/>
  <c r="P42" i="21"/>
  <c r="K146" i="18"/>
  <c r="K286" i="18" s="1"/>
  <c r="K167" i="18"/>
  <c r="K307" i="18" s="1"/>
  <c r="K147" i="18"/>
  <c r="K287" i="18" s="1"/>
  <c r="K161" i="18"/>
  <c r="K301" i="18" s="1"/>
  <c r="K151" i="18"/>
  <c r="K291" i="18" s="1"/>
  <c r="K166" i="18"/>
  <c r="K306" i="18" s="1"/>
  <c r="K164" i="18"/>
  <c r="K304" i="18" s="1"/>
  <c r="K145" i="18"/>
  <c r="K285" i="18" s="1"/>
  <c r="K168" i="18"/>
  <c r="K308" i="18" s="1"/>
  <c r="K158" i="18"/>
  <c r="K298" i="18" s="1"/>
  <c r="K160" i="18"/>
  <c r="K300" i="18" s="1"/>
  <c r="K150" i="18"/>
  <c r="K290" i="18" s="1"/>
  <c r="K165" i="18"/>
  <c r="K305" i="18" s="1"/>
  <c r="K159" i="18"/>
  <c r="K299" i="18" s="1"/>
  <c r="K162" i="18"/>
  <c r="K302" i="18" s="1"/>
  <c r="K157" i="18"/>
  <c r="K297" i="18" s="1"/>
  <c r="K148" i="18"/>
  <c r="K288" i="18" s="1"/>
  <c r="K169" i="18"/>
  <c r="K309" i="18" s="1"/>
  <c r="K149" i="18"/>
  <c r="K289" i="18" s="1"/>
  <c r="K163" i="18"/>
  <c r="K303" i="18" s="1"/>
  <c r="V26" i="2"/>
  <c r="L18" i="2"/>
  <c r="V17" i="2"/>
  <c r="V10" i="2"/>
  <c r="W26" i="2"/>
  <c r="K26" i="2"/>
  <c r="K17" i="2"/>
  <c r="P26" i="2"/>
  <c r="D12050" i="23"/>
  <c r="I318" i="18" s="1"/>
  <c r="D7946" i="23"/>
  <c r="I206" i="18" s="1"/>
  <c r="D8972" i="23"/>
  <c r="I234" i="18" s="1"/>
  <c r="I10" i="18"/>
  <c r="D9998" i="23"/>
  <c r="I262" i="18" s="1"/>
  <c r="D11024" i="23"/>
  <c r="I290" i="18" s="1"/>
  <c r="D6920" i="23"/>
  <c r="I178" i="18" s="1"/>
  <c r="D5894" i="23"/>
  <c r="I150" i="18" s="1"/>
  <c r="D1790" i="23"/>
  <c r="I38" i="18" s="1"/>
  <c r="D3842" i="23"/>
  <c r="I66" i="18" s="1"/>
  <c r="D764" i="23"/>
  <c r="I122" i="18" s="1"/>
  <c r="D2816" i="23"/>
  <c r="I94" i="18" s="1"/>
  <c r="P21" i="2"/>
  <c r="K21" i="2"/>
  <c r="V21" i="2"/>
  <c r="S21" i="2"/>
  <c r="Y11" i="2"/>
  <c r="N11" i="2"/>
  <c r="Y16" i="2"/>
  <c r="N16" i="2"/>
  <c r="D12058" i="23"/>
  <c r="I326" i="18" s="1"/>
  <c r="D7954" i="23"/>
  <c r="I214" i="18" s="1"/>
  <c r="D8980" i="23"/>
  <c r="I242" i="18" s="1"/>
  <c r="D10006" i="23"/>
  <c r="I270" i="18" s="1"/>
  <c r="D11032" i="23"/>
  <c r="I298" i="18" s="1"/>
  <c r="I18" i="18"/>
  <c r="D6928" i="23"/>
  <c r="I186" i="18" s="1"/>
  <c r="D1798" i="23"/>
  <c r="I46" i="18" s="1"/>
  <c r="D3850" i="23"/>
  <c r="I74" i="18" s="1"/>
  <c r="D772" i="23"/>
  <c r="I130" i="18" s="1"/>
  <c r="D2824" i="23"/>
  <c r="I102" i="18" s="1"/>
  <c r="D5902" i="23"/>
  <c r="I158" i="18" s="1"/>
  <c r="D12049" i="23"/>
  <c r="I317" i="18" s="1"/>
  <c r="D7945" i="23"/>
  <c r="I205" i="18" s="1"/>
  <c r="D8971" i="23"/>
  <c r="I233" i="18" s="1"/>
  <c r="I9" i="18"/>
  <c r="D9997" i="23"/>
  <c r="I261" i="18" s="1"/>
  <c r="D11023" i="23"/>
  <c r="I289" i="18" s="1"/>
  <c r="D6919" i="23"/>
  <c r="I177" i="18" s="1"/>
  <c r="D763" i="23"/>
  <c r="I121" i="18" s="1"/>
  <c r="D5893" i="23"/>
  <c r="I149" i="18" s="1"/>
  <c r="D1789" i="23"/>
  <c r="I37" i="18" s="1"/>
  <c r="D2815" i="23"/>
  <c r="I93" i="18" s="1"/>
  <c r="D3841" i="23"/>
  <c r="I65" i="18" s="1"/>
  <c r="I30" i="18"/>
  <c r="D12070" i="23"/>
  <c r="I338" i="18" s="1"/>
  <c r="D11044" i="23"/>
  <c r="I310" i="18" s="1"/>
  <c r="D10018" i="23"/>
  <c r="I282" i="18" s="1"/>
  <c r="D6940" i="23"/>
  <c r="I198" i="18" s="1"/>
  <c r="D7966" i="23"/>
  <c r="I226" i="18" s="1"/>
  <c r="D1810" i="23"/>
  <c r="I58" i="18" s="1"/>
  <c r="D2836" i="23"/>
  <c r="I114" i="18" s="1"/>
  <c r="D3862" i="23"/>
  <c r="I86" i="18" s="1"/>
  <c r="D5914" i="23"/>
  <c r="I170" i="18" s="1"/>
  <c r="D8992" i="23"/>
  <c r="I254" i="18" s="1"/>
  <c r="D784" i="23"/>
  <c r="I142" i="18" s="1"/>
  <c r="V19" i="2"/>
  <c r="K19" i="2"/>
  <c r="W19" i="2"/>
  <c r="L19" i="2"/>
  <c r="W14" i="2"/>
  <c r="L14" i="2"/>
  <c r="R12" i="2"/>
  <c r="Y12" i="2"/>
  <c r="N12" i="2"/>
  <c r="U103" i="9"/>
  <c r="U19" i="9" s="1"/>
  <c r="Y23" i="2"/>
  <c r="N23" i="2"/>
  <c r="L16" i="2"/>
  <c r="W16" i="2"/>
  <c r="D12066" i="23"/>
  <c r="I334" i="18" s="1"/>
  <c r="D7962" i="23"/>
  <c r="I222" i="18" s="1"/>
  <c r="D8988" i="23"/>
  <c r="I250" i="18" s="1"/>
  <c r="D10014" i="23"/>
  <c r="I278" i="18" s="1"/>
  <c r="D11040" i="23"/>
  <c r="I306" i="18" s="1"/>
  <c r="I26" i="18"/>
  <c r="D1806" i="23"/>
  <c r="I54" i="18" s="1"/>
  <c r="D3858" i="23"/>
  <c r="I82" i="18" s="1"/>
  <c r="D5910" i="23"/>
  <c r="I166" i="18" s="1"/>
  <c r="D6936" i="23"/>
  <c r="I194" i="18" s="1"/>
  <c r="D2832" i="23"/>
  <c r="I110" i="18" s="1"/>
  <c r="D780" i="23"/>
  <c r="I138" i="18" s="1"/>
  <c r="I12" i="18"/>
  <c r="D7948" i="23"/>
  <c r="I208" i="18" s="1"/>
  <c r="D12052" i="23"/>
  <c r="I320" i="18" s="1"/>
  <c r="D8974" i="23"/>
  <c r="I236" i="18" s="1"/>
  <c r="D5896" i="23"/>
  <c r="I152" i="18" s="1"/>
  <c r="D6922" i="23"/>
  <c r="I180" i="18" s="1"/>
  <c r="D11026" i="23"/>
  <c r="I292" i="18" s="1"/>
  <c r="D10000" i="23"/>
  <c r="I264" i="18" s="1"/>
  <c r="D3844" i="23"/>
  <c r="I68" i="18" s="1"/>
  <c r="D1792" i="23"/>
  <c r="I40" i="18" s="1"/>
  <c r="D766" i="23"/>
  <c r="I124" i="18" s="1"/>
  <c r="D2818" i="23"/>
  <c r="I96" i="18" s="1"/>
  <c r="D12047" i="23"/>
  <c r="I315" i="18" s="1"/>
  <c r="I7" i="18"/>
  <c r="D9995" i="23"/>
  <c r="I259" i="18" s="1"/>
  <c r="D11021" i="23"/>
  <c r="I287" i="18" s="1"/>
  <c r="D8969" i="23"/>
  <c r="I231" i="18" s="1"/>
  <c r="D5891" i="23"/>
  <c r="I147" i="18" s="1"/>
  <c r="D6917" i="23"/>
  <c r="I175" i="18" s="1"/>
  <c r="D761" i="23"/>
  <c r="I119" i="18" s="1"/>
  <c r="D7943" i="23"/>
  <c r="I203" i="18" s="1"/>
  <c r="D1787" i="23"/>
  <c r="I35" i="18" s="1"/>
  <c r="D2813" i="23"/>
  <c r="I91" i="18" s="1"/>
  <c r="D3839" i="23"/>
  <c r="I63" i="18" s="1"/>
  <c r="D12065" i="23"/>
  <c r="I333" i="18" s="1"/>
  <c r="D7961" i="23"/>
  <c r="I221" i="18" s="1"/>
  <c r="D8987" i="23"/>
  <c r="I249" i="18" s="1"/>
  <c r="D10013" i="23"/>
  <c r="I277" i="18" s="1"/>
  <c r="D11039" i="23"/>
  <c r="I305" i="18" s="1"/>
  <c r="I25" i="18"/>
  <c r="D779" i="23"/>
  <c r="I137" i="18" s="1"/>
  <c r="D1805" i="23"/>
  <c r="I53" i="18" s="1"/>
  <c r="D6935" i="23"/>
  <c r="I193" i="18" s="1"/>
  <c r="D2831" i="23"/>
  <c r="I109" i="18" s="1"/>
  <c r="D5909" i="23"/>
  <c r="I165" i="18" s="1"/>
  <c r="D3857" i="23"/>
  <c r="I81" i="18" s="1"/>
  <c r="Y27" i="2"/>
  <c r="N27" i="2"/>
  <c r="Y20" i="2"/>
  <c r="N20" i="2"/>
  <c r="W11" i="2"/>
  <c r="L11" i="2"/>
  <c r="V9" i="2"/>
  <c r="K9" i="2"/>
  <c r="N6" i="2"/>
  <c r="Y6" i="2"/>
  <c r="N22" i="2"/>
  <c r="Y22" i="2"/>
  <c r="N28" i="2"/>
  <c r="Y28" i="2"/>
  <c r="I5" i="18"/>
  <c r="D12045" i="23"/>
  <c r="I313" i="18" s="1"/>
  <c r="D7941" i="23"/>
  <c r="I201" i="18" s="1"/>
  <c r="D11019" i="23"/>
  <c r="I285" i="18" s="1"/>
  <c r="D8967" i="23"/>
  <c r="I229" i="18" s="1"/>
  <c r="D5889" i="23"/>
  <c r="I145" i="18" s="1"/>
  <c r="D6915" i="23"/>
  <c r="I173" i="18" s="1"/>
  <c r="D9993" i="23"/>
  <c r="I257" i="18" s="1"/>
  <c r="D2811" i="23"/>
  <c r="I89" i="18" s="1"/>
  <c r="D3837" i="23"/>
  <c r="I61" i="18" s="1"/>
  <c r="D759" i="23"/>
  <c r="I117" i="18" s="1"/>
  <c r="D1785" i="23"/>
  <c r="I33" i="18" s="1"/>
  <c r="L7" i="2"/>
  <c r="W7" i="2"/>
  <c r="K11" i="2"/>
  <c r="V11" i="2"/>
  <c r="Y17" i="2"/>
  <c r="N17" i="2"/>
  <c r="K22" i="2"/>
  <c r="V22" i="2"/>
  <c r="W6" i="2"/>
  <c r="L6" i="2"/>
  <c r="Y15" i="2"/>
  <c r="N15" i="2"/>
  <c r="W15" i="2"/>
  <c r="L15" i="2"/>
  <c r="K23" i="2"/>
  <c r="V23" i="2"/>
  <c r="D12057" i="23"/>
  <c r="I325" i="18" s="1"/>
  <c r="D7953" i="23"/>
  <c r="I213" i="18" s="1"/>
  <c r="D8979" i="23"/>
  <c r="I241" i="18" s="1"/>
  <c r="D10005" i="23"/>
  <c r="I269" i="18" s="1"/>
  <c r="D11031" i="23"/>
  <c r="I297" i="18" s="1"/>
  <c r="I17" i="18"/>
  <c r="D6927" i="23"/>
  <c r="I185" i="18" s="1"/>
  <c r="D771" i="23"/>
  <c r="I129" i="18" s="1"/>
  <c r="D1797" i="23"/>
  <c r="I45" i="18" s="1"/>
  <c r="D2823" i="23"/>
  <c r="I101" i="18" s="1"/>
  <c r="D5901" i="23"/>
  <c r="I157" i="18" s="1"/>
  <c r="D3849" i="23"/>
  <c r="I73" i="18" s="1"/>
  <c r="I20" i="18"/>
  <c r="D7956" i="23"/>
  <c r="I216" i="18" s="1"/>
  <c r="D8982" i="23"/>
  <c r="I244" i="18" s="1"/>
  <c r="D6930" i="23"/>
  <c r="I188" i="18" s="1"/>
  <c r="D12060" i="23"/>
  <c r="I328" i="18" s="1"/>
  <c r="D11034" i="23"/>
  <c r="I300" i="18" s="1"/>
  <c r="D3852" i="23"/>
  <c r="I76" i="18" s="1"/>
  <c r="D5904" i="23"/>
  <c r="I160" i="18" s="1"/>
  <c r="D1800" i="23"/>
  <c r="I48" i="18" s="1"/>
  <c r="D10008" i="23"/>
  <c r="I272" i="18" s="1"/>
  <c r="D774" i="23"/>
  <c r="I132" i="18" s="1"/>
  <c r="D2826" i="23"/>
  <c r="I104" i="18" s="1"/>
  <c r="D12055" i="23"/>
  <c r="I323" i="18" s="1"/>
  <c r="I15" i="18"/>
  <c r="D10003" i="23"/>
  <c r="I267" i="18" s="1"/>
  <c r="D11029" i="23"/>
  <c r="I295" i="18" s="1"/>
  <c r="D8977" i="23"/>
  <c r="I239" i="18" s="1"/>
  <c r="D7951" i="23"/>
  <c r="I211" i="18" s="1"/>
  <c r="D5899" i="23"/>
  <c r="I155" i="18" s="1"/>
  <c r="D6925" i="23"/>
  <c r="I183" i="18" s="1"/>
  <c r="D769" i="23"/>
  <c r="I127" i="18" s="1"/>
  <c r="D1795" i="23"/>
  <c r="I43" i="18" s="1"/>
  <c r="D2821" i="23"/>
  <c r="I99" i="18" s="1"/>
  <c r="D3847" i="23"/>
  <c r="I71" i="18" s="1"/>
  <c r="L5" i="2"/>
  <c r="W5" i="2"/>
  <c r="T26" i="2"/>
  <c r="W18" i="2"/>
  <c r="D12064" i="23"/>
  <c r="I332" i="18" s="1"/>
  <c r="I24" i="18"/>
  <c r="D8986" i="23"/>
  <c r="I248" i="18" s="1"/>
  <c r="D10012" i="23"/>
  <c r="I276" i="18" s="1"/>
  <c r="D11038" i="23"/>
  <c r="I304" i="18" s="1"/>
  <c r="D7960" i="23"/>
  <c r="I220" i="18" s="1"/>
  <c r="D6934" i="23"/>
  <c r="I192" i="18" s="1"/>
  <c r="D778" i="23"/>
  <c r="I136" i="18" s="1"/>
  <c r="D1804" i="23"/>
  <c r="I52" i="18" s="1"/>
  <c r="D2830" i="23"/>
  <c r="I108" i="18" s="1"/>
  <c r="D3856" i="23"/>
  <c r="I80" i="18" s="1"/>
  <c r="D5908" i="23"/>
  <c r="I164" i="18" s="1"/>
  <c r="D12063" i="23"/>
  <c r="I331" i="18" s="1"/>
  <c r="I23" i="18"/>
  <c r="D10011" i="23"/>
  <c r="I275" i="18" s="1"/>
  <c r="D11037" i="23"/>
  <c r="I303" i="18" s="1"/>
  <c r="D8985" i="23"/>
  <c r="I247" i="18" s="1"/>
  <c r="D7959" i="23"/>
  <c r="I219" i="18" s="1"/>
  <c r="D6933" i="23"/>
  <c r="I191" i="18" s="1"/>
  <c r="D777" i="23"/>
  <c r="I135" i="18" s="1"/>
  <c r="D1803" i="23"/>
  <c r="I51" i="18" s="1"/>
  <c r="D2829" i="23"/>
  <c r="I107" i="18" s="1"/>
  <c r="D3855" i="23"/>
  <c r="I79" i="18" s="1"/>
  <c r="D5907" i="23"/>
  <c r="I163" i="18" s="1"/>
  <c r="I29" i="18"/>
  <c r="D12069" i="23"/>
  <c r="I337" i="18" s="1"/>
  <c r="D7965" i="23"/>
  <c r="I225" i="18" s="1"/>
  <c r="D11043" i="23"/>
  <c r="I309" i="18" s="1"/>
  <c r="D10017" i="23"/>
  <c r="I281" i="18" s="1"/>
  <c r="D6939" i="23"/>
  <c r="I197" i="18" s="1"/>
  <c r="D2835" i="23"/>
  <c r="I113" i="18" s="1"/>
  <c r="D3861" i="23"/>
  <c r="I85" i="18" s="1"/>
  <c r="D5913" i="23"/>
  <c r="I169" i="18" s="1"/>
  <c r="D783" i="23"/>
  <c r="I141" i="18" s="1"/>
  <c r="D1809" i="23"/>
  <c r="I57" i="18" s="1"/>
  <c r="D8991" i="23"/>
  <c r="I253" i="18" s="1"/>
  <c r="I11" i="18"/>
  <c r="D7947" i="23"/>
  <c r="I207" i="18" s="1"/>
  <c r="D12051" i="23"/>
  <c r="I319" i="18" s="1"/>
  <c r="D8973" i="23"/>
  <c r="I235" i="18" s="1"/>
  <c r="D9999" i="23"/>
  <c r="I263" i="18" s="1"/>
  <c r="D6921" i="23"/>
  <c r="I179" i="18" s="1"/>
  <c r="D11025" i="23"/>
  <c r="I291" i="18" s="1"/>
  <c r="D765" i="23"/>
  <c r="I123" i="18" s="1"/>
  <c r="D2817" i="23"/>
  <c r="I95" i="18" s="1"/>
  <c r="D3843" i="23"/>
  <c r="I67" i="18" s="1"/>
  <c r="D1791" i="23"/>
  <c r="I39" i="18" s="1"/>
  <c r="D5895" i="23"/>
  <c r="I151" i="18" s="1"/>
  <c r="Y26" i="2"/>
  <c r="V28" i="2"/>
  <c r="K28" i="2"/>
  <c r="L17" i="2"/>
  <c r="W17" i="2"/>
  <c r="Y30" i="2"/>
  <c r="N30" i="2"/>
  <c r="K30" i="2"/>
  <c r="V30" i="2"/>
  <c r="K7" i="2"/>
  <c r="V7" i="2"/>
  <c r="L29" i="7"/>
  <c r="L28" i="7" s="1"/>
  <c r="V8" i="2"/>
  <c r="K8" i="2"/>
  <c r="I19" i="18"/>
  <c r="D7955" i="23"/>
  <c r="I215" i="18" s="1"/>
  <c r="D8981" i="23"/>
  <c r="I243" i="18" s="1"/>
  <c r="D10007" i="23"/>
  <c r="I271" i="18" s="1"/>
  <c r="D6929" i="23"/>
  <c r="I187" i="18" s="1"/>
  <c r="D12059" i="23"/>
  <c r="I327" i="18" s="1"/>
  <c r="D11033" i="23"/>
  <c r="I299" i="18" s="1"/>
  <c r="D5903" i="23"/>
  <c r="I159" i="18" s="1"/>
  <c r="D773" i="23"/>
  <c r="I131" i="18" s="1"/>
  <c r="D2825" i="23"/>
  <c r="I103" i="18" s="1"/>
  <c r="D1799" i="23"/>
  <c r="I47" i="18" s="1"/>
  <c r="D3851" i="23"/>
  <c r="I75" i="18" s="1"/>
  <c r="I13" i="18"/>
  <c r="D12053" i="23"/>
  <c r="I321" i="18" s="1"/>
  <c r="D7949" i="23"/>
  <c r="I209" i="18" s="1"/>
  <c r="D11027" i="23"/>
  <c r="I293" i="18" s="1"/>
  <c r="D5897" i="23"/>
  <c r="I153" i="18" s="1"/>
  <c r="D8975" i="23"/>
  <c r="I237" i="18" s="1"/>
  <c r="D6923" i="23"/>
  <c r="I181" i="18" s="1"/>
  <c r="D2819" i="23"/>
  <c r="I97" i="18" s="1"/>
  <c r="D3845" i="23"/>
  <c r="I69" i="18" s="1"/>
  <c r="D10001" i="23"/>
  <c r="I265" i="18" s="1"/>
  <c r="D767" i="23"/>
  <c r="I125" i="18" s="1"/>
  <c r="D1793" i="23"/>
  <c r="I41" i="18" s="1"/>
  <c r="D12071" i="23"/>
  <c r="I339" i="18" s="1"/>
  <c r="I31" i="18"/>
  <c r="D10019" i="23"/>
  <c r="I283" i="18" s="1"/>
  <c r="D11045" i="23"/>
  <c r="I311" i="18" s="1"/>
  <c r="D8993" i="23"/>
  <c r="I255" i="18" s="1"/>
  <c r="D6941" i="23"/>
  <c r="I199" i="18" s="1"/>
  <c r="D7967" i="23"/>
  <c r="I227" i="18" s="1"/>
  <c r="D785" i="23"/>
  <c r="I143" i="18" s="1"/>
  <c r="D1811" i="23"/>
  <c r="I59" i="18" s="1"/>
  <c r="D2837" i="23"/>
  <c r="I115" i="18" s="1"/>
  <c r="D3863" i="23"/>
  <c r="I87" i="18" s="1"/>
  <c r="D5915" i="23"/>
  <c r="I171" i="18" s="1"/>
  <c r="N13" i="2"/>
  <c r="Y13" i="2"/>
  <c r="Y10" i="2"/>
  <c r="W23" i="2"/>
  <c r="L23" i="2"/>
  <c r="N26" i="2"/>
  <c r="L26" i="2"/>
  <c r="K18" i="2"/>
  <c r="V14" i="2"/>
  <c r="K14" i="2"/>
  <c r="Y19" i="2"/>
  <c r="N19" i="2"/>
  <c r="V20" i="2"/>
  <c r="K20" i="2"/>
  <c r="L9" i="2"/>
  <c r="W9" i="2"/>
  <c r="Y14" i="2"/>
  <c r="N14" i="2"/>
  <c r="W13" i="2"/>
  <c r="L13" i="2"/>
  <c r="K15" i="2"/>
  <c r="V15" i="2"/>
  <c r="Y8" i="2"/>
  <c r="N8" i="2"/>
  <c r="T12" i="2"/>
  <c r="W12" i="2"/>
  <c r="L12" i="2"/>
  <c r="W24" i="2"/>
  <c r="L24" i="2"/>
  <c r="W8" i="2"/>
  <c r="L8" i="2"/>
  <c r="V5" i="2"/>
  <c r="K5" i="2"/>
  <c r="W27" i="2"/>
  <c r="L27" i="2"/>
  <c r="P12" i="2"/>
  <c r="V12" i="2"/>
  <c r="K12" i="2"/>
  <c r="S12" i="2"/>
  <c r="K25" i="2"/>
  <c r="V25" i="2"/>
  <c r="W29" i="2"/>
  <c r="L29" i="2"/>
  <c r="W22" i="2"/>
  <c r="L22" i="2"/>
  <c r="N24" i="2"/>
  <c r="Y24" i="2"/>
  <c r="N7" i="2"/>
  <c r="Y7" i="2"/>
  <c r="I27" i="18"/>
  <c r="D7963" i="23"/>
  <c r="I223" i="18" s="1"/>
  <c r="D8989" i="23"/>
  <c r="I251" i="18" s="1"/>
  <c r="D10015" i="23"/>
  <c r="I279" i="18" s="1"/>
  <c r="D12067" i="23"/>
  <c r="I335" i="18" s="1"/>
  <c r="D6937" i="23"/>
  <c r="I195" i="18" s="1"/>
  <c r="D11041" i="23"/>
  <c r="I307" i="18" s="1"/>
  <c r="D5911" i="23"/>
  <c r="I167" i="18" s="1"/>
  <c r="D781" i="23"/>
  <c r="I139" i="18" s="1"/>
  <c r="D2833" i="23"/>
  <c r="I111" i="18" s="1"/>
  <c r="D1807" i="23"/>
  <c r="I55" i="18" s="1"/>
  <c r="D3859" i="23"/>
  <c r="I83" i="18" s="1"/>
  <c r="I6" i="18"/>
  <c r="D12046" i="23"/>
  <c r="I314" i="18" s="1"/>
  <c r="D11020" i="23"/>
  <c r="I286" i="18" s="1"/>
  <c r="D9994" i="23"/>
  <c r="I258" i="18" s="1"/>
  <c r="D8968" i="23"/>
  <c r="I230" i="18" s="1"/>
  <c r="D5890" i="23"/>
  <c r="I146" i="18" s="1"/>
  <c r="D6916" i="23"/>
  <c r="I174" i="18" s="1"/>
  <c r="D7942" i="23"/>
  <c r="I202" i="18" s="1"/>
  <c r="D1786" i="23"/>
  <c r="I34" i="18" s="1"/>
  <c r="D2812" i="23"/>
  <c r="I90" i="18" s="1"/>
  <c r="D3838" i="23"/>
  <c r="I62" i="18" s="1"/>
  <c r="D760" i="23"/>
  <c r="I118" i="18" s="1"/>
  <c r="D12048" i="23"/>
  <c r="I316" i="18" s="1"/>
  <c r="I8" i="18"/>
  <c r="D8970" i="23"/>
  <c r="I232" i="18" s="1"/>
  <c r="D9996" i="23"/>
  <c r="I260" i="18" s="1"/>
  <c r="D11022" i="23"/>
  <c r="I288" i="18" s="1"/>
  <c r="D7944" i="23"/>
  <c r="I204" i="18" s="1"/>
  <c r="D5892" i="23"/>
  <c r="I148" i="18" s="1"/>
  <c r="D6918" i="23"/>
  <c r="I176" i="18" s="1"/>
  <c r="D762" i="23"/>
  <c r="I120" i="18" s="1"/>
  <c r="D1788" i="23"/>
  <c r="I36" i="18" s="1"/>
  <c r="D2814" i="23"/>
  <c r="I92" i="18" s="1"/>
  <c r="D3840" i="23"/>
  <c r="I64" i="18" s="1"/>
  <c r="Y21" i="2"/>
  <c r="N21" i="2"/>
  <c r="R21" i="2"/>
  <c r="R26" i="2"/>
  <c r="Y18" i="2"/>
  <c r="W28" i="2"/>
  <c r="L28" i="2"/>
  <c r="V18" i="2"/>
  <c r="K16" i="2"/>
  <c r="I22" i="18"/>
  <c r="D12062" i="23"/>
  <c r="I330" i="18" s="1"/>
  <c r="D11036" i="23"/>
  <c r="I302" i="18" s="1"/>
  <c r="D10010" i="23"/>
  <c r="I274" i="18" s="1"/>
  <c r="D7958" i="23"/>
  <c r="I218" i="18" s="1"/>
  <c r="D6932" i="23"/>
  <c r="I190" i="18" s="1"/>
  <c r="D8984" i="23"/>
  <c r="I246" i="18" s="1"/>
  <c r="D1802" i="23"/>
  <c r="I50" i="18" s="1"/>
  <c r="D2828" i="23"/>
  <c r="I106" i="18" s="1"/>
  <c r="D3854" i="23"/>
  <c r="I78" i="18" s="1"/>
  <c r="D5906" i="23"/>
  <c r="I162" i="18" s="1"/>
  <c r="D776" i="23"/>
  <c r="I134" i="18" s="1"/>
  <c r="L25" i="2"/>
  <c r="W25" i="2"/>
  <c r="Y25" i="2"/>
  <c r="N25" i="2"/>
  <c r="V13" i="2"/>
  <c r="K13" i="2"/>
  <c r="K6" i="2"/>
  <c r="V6" i="2"/>
  <c r="I28" i="18"/>
  <c r="D12068" i="23"/>
  <c r="I336" i="18" s="1"/>
  <c r="D7964" i="23"/>
  <c r="I224" i="18" s="1"/>
  <c r="D8990" i="23"/>
  <c r="I252" i="18" s="1"/>
  <c r="D10016" i="23"/>
  <c r="I280" i="18" s="1"/>
  <c r="D6938" i="23"/>
  <c r="I196" i="18" s="1"/>
  <c r="D3860" i="23"/>
  <c r="I84" i="18" s="1"/>
  <c r="D5912" i="23"/>
  <c r="I168" i="18" s="1"/>
  <c r="D11042" i="23"/>
  <c r="I308" i="18" s="1"/>
  <c r="D1808" i="23"/>
  <c r="I56" i="18" s="1"/>
  <c r="D782" i="23"/>
  <c r="I140" i="18" s="1"/>
  <c r="D2834" i="23"/>
  <c r="I112" i="18" s="1"/>
  <c r="N10" i="2"/>
  <c r="Y29" i="2"/>
  <c r="N29" i="2"/>
  <c r="V27" i="2"/>
  <c r="K27" i="2"/>
  <c r="W20" i="2"/>
  <c r="L20" i="2"/>
  <c r="Y9" i="2"/>
  <c r="N9" i="2"/>
  <c r="V29" i="2"/>
  <c r="K29" i="2"/>
  <c r="W21" i="2"/>
  <c r="T21" i="2"/>
  <c r="L21" i="2"/>
  <c r="W30" i="2"/>
  <c r="L30" i="2"/>
  <c r="V24" i="2"/>
  <c r="K24" i="2"/>
  <c r="I21" i="18"/>
  <c r="D12061" i="23"/>
  <c r="I329" i="18" s="1"/>
  <c r="D7957" i="23"/>
  <c r="I217" i="18" s="1"/>
  <c r="D11035" i="23"/>
  <c r="I301" i="18" s="1"/>
  <c r="D10009" i="23"/>
  <c r="I273" i="18" s="1"/>
  <c r="D6931" i="23"/>
  <c r="I189" i="18" s="1"/>
  <c r="D8983" i="23"/>
  <c r="I245" i="18" s="1"/>
  <c r="D2827" i="23"/>
  <c r="I105" i="18" s="1"/>
  <c r="D3853" i="23"/>
  <c r="I77" i="18" s="1"/>
  <c r="D5905" i="23"/>
  <c r="I161" i="18" s="1"/>
  <c r="D775" i="23"/>
  <c r="I133" i="18" s="1"/>
  <c r="D1801" i="23"/>
  <c r="I49" i="18" s="1"/>
  <c r="I14" i="18"/>
  <c r="D12054" i="23"/>
  <c r="I322" i="18" s="1"/>
  <c r="D11028" i="23"/>
  <c r="I294" i="18" s="1"/>
  <c r="D10002" i="23"/>
  <c r="I266" i="18" s="1"/>
  <c r="D7950" i="23"/>
  <c r="I210" i="18" s="1"/>
  <c r="D5898" i="23"/>
  <c r="I154" i="18" s="1"/>
  <c r="D8976" i="23"/>
  <c r="I238" i="18" s="1"/>
  <c r="D6924" i="23"/>
  <c r="I182" i="18" s="1"/>
  <c r="D1794" i="23"/>
  <c r="I42" i="18" s="1"/>
  <c r="D2820" i="23"/>
  <c r="I98" i="18" s="1"/>
  <c r="D3846" i="23"/>
  <c r="I70" i="18" s="1"/>
  <c r="D768" i="23"/>
  <c r="I126" i="18" s="1"/>
  <c r="D12056" i="23"/>
  <c r="I324" i="18" s="1"/>
  <c r="I16" i="18"/>
  <c r="D8978" i="23"/>
  <c r="I240" i="18" s="1"/>
  <c r="D10004" i="23"/>
  <c r="I268" i="18" s="1"/>
  <c r="D11030" i="23"/>
  <c r="I296" i="18" s="1"/>
  <c r="D7952" i="23"/>
  <c r="I212" i="18" s="1"/>
  <c r="D5900" i="23"/>
  <c r="I156" i="18" s="1"/>
  <c r="D6926" i="23"/>
  <c r="I184" i="18" s="1"/>
  <c r="D770" i="23"/>
  <c r="I128" i="18" s="1"/>
  <c r="D1796" i="23"/>
  <c r="I44" i="18" s="1"/>
  <c r="D2822" i="23"/>
  <c r="I100" i="18" s="1"/>
  <c r="D3848" i="23"/>
  <c r="I72" i="18" s="1"/>
  <c r="Y5" i="2"/>
  <c r="N5" i="2"/>
  <c r="W10" i="2"/>
  <c r="K10" i="2"/>
  <c r="N18" i="2"/>
  <c r="S26" i="2"/>
  <c r="V16" i="2"/>
  <c r="K97" i="18"/>
  <c r="K237" i="18" s="1"/>
  <c r="K153" i="18"/>
  <c r="K293" i="18" s="1"/>
  <c r="K99" i="18"/>
  <c r="K239" i="18" s="1"/>
  <c r="K155" i="18"/>
  <c r="K295" i="18" s="1"/>
  <c r="K100" i="18"/>
  <c r="K240" i="18" s="1"/>
  <c r="K156" i="18"/>
  <c r="K296" i="18" s="1"/>
  <c r="K96" i="18"/>
  <c r="K236" i="18" s="1"/>
  <c r="K152" i="18"/>
  <c r="K292" i="18" s="1"/>
  <c r="K98" i="18"/>
  <c r="K238" i="18" s="1"/>
  <c r="K154" i="18"/>
  <c r="K294" i="18" s="1"/>
  <c r="BG30" i="1"/>
  <c r="BN30" i="1"/>
  <c r="BO30" i="1"/>
  <c r="BK30" i="1"/>
  <c r="BP30" i="1"/>
  <c r="BM30" i="1"/>
  <c r="BJ30" i="1"/>
  <c r="BL30" i="1"/>
  <c r="V39" i="12"/>
  <c r="W39" i="12"/>
  <c r="L30" i="1"/>
  <c r="X30" i="1"/>
  <c r="AD30" i="1"/>
  <c r="AA30" i="1"/>
  <c r="AM30" i="1"/>
  <c r="AG30" i="1"/>
  <c r="AP30" i="1"/>
  <c r="AJ30" i="1"/>
  <c r="O25" i="1"/>
  <c r="AD25" i="1"/>
  <c r="AP25" i="1"/>
  <c r="X25" i="1"/>
  <c r="AA25" i="1"/>
  <c r="AM25" i="1"/>
  <c r="AJ25" i="1"/>
  <c r="AG25" i="1"/>
  <c r="H4" i="19"/>
  <c r="CB11" i="19"/>
  <c r="DX4" i="19"/>
  <c r="BI9" i="19"/>
  <c r="BQ8" i="19"/>
  <c r="BK5" i="19"/>
  <c r="BT11" i="19"/>
  <c r="D4303" i="23" s="1"/>
  <c r="BQ4" i="19"/>
  <c r="BM10" i="19"/>
  <c r="BH6" i="19"/>
  <c r="D4460" i="23" s="1"/>
  <c r="BV8" i="19"/>
  <c r="D4273" i="23" s="1"/>
  <c r="BU6" i="19"/>
  <c r="BS10" i="19"/>
  <c r="BO11" i="19"/>
  <c r="BR6" i="19"/>
  <c r="D4325" i="23" s="1"/>
  <c r="BM6" i="19"/>
  <c r="BK9" i="19"/>
  <c r="BU9" i="19"/>
  <c r="HN6" i="19"/>
  <c r="HK6" i="19"/>
  <c r="HG6" i="19"/>
  <c r="GQ6" i="19"/>
  <c r="FY6" i="19"/>
  <c r="FS6" i="19"/>
  <c r="GB6" i="19"/>
  <c r="FL6" i="19"/>
  <c r="ES6" i="19"/>
  <c r="EJ6" i="19"/>
  <c r="FK6" i="19"/>
  <c r="FF6" i="19"/>
  <c r="EA6" i="19"/>
  <c r="DE6" i="19"/>
  <c r="CV6" i="19"/>
  <c r="DL6" i="19"/>
  <c r="DC6" i="19"/>
  <c r="CJ6" i="19"/>
  <c r="CC6" i="19"/>
  <c r="BI8" i="19"/>
  <c r="BP9" i="19"/>
  <c r="D4355" i="23" s="1"/>
  <c r="CV4" i="19"/>
  <c r="BO4" i="19"/>
  <c r="CJ10" i="19"/>
  <c r="HK7" i="19"/>
  <c r="HG7" i="19"/>
  <c r="GQ7" i="19"/>
  <c r="GU7" i="19"/>
  <c r="HB7" i="19"/>
  <c r="GB7" i="19"/>
  <c r="FT7" i="19"/>
  <c r="FF7" i="19"/>
  <c r="EF7" i="19"/>
  <c r="DZ7" i="19"/>
  <c r="ES7" i="19"/>
  <c r="FA7" i="19"/>
  <c r="CQ7" i="19"/>
  <c r="CP7" i="19"/>
  <c r="CR7" i="19"/>
  <c r="DH7" i="19"/>
  <c r="CG7" i="19"/>
  <c r="DN7" i="19"/>
  <c r="DG7" i="19"/>
  <c r="HM4" i="19"/>
  <c r="HA4" i="19"/>
  <c r="HF4" i="19"/>
  <c r="GT4" i="19"/>
  <c r="FW4" i="19"/>
  <c r="GL4" i="19"/>
  <c r="FP4" i="19"/>
  <c r="EO4" i="19"/>
  <c r="EV4" i="19"/>
  <c r="ER4" i="19"/>
  <c r="EM4" i="19"/>
  <c r="EJ4" i="19"/>
  <c r="EF4" i="19"/>
  <c r="DN4" i="19"/>
  <c r="CZ4" i="19"/>
  <c r="CM4" i="19"/>
  <c r="CQ4" i="19"/>
  <c r="CH4" i="19"/>
  <c r="CD4" i="19"/>
  <c r="BP6" i="19"/>
  <c r="D4352" i="23" s="1"/>
  <c r="BO7" i="19"/>
  <c r="HR11" i="19"/>
  <c r="GV11" i="19"/>
  <c r="HA11" i="19"/>
  <c r="GM11" i="19"/>
  <c r="GC11" i="19"/>
  <c r="FX11" i="19"/>
  <c r="EQ11" i="19"/>
  <c r="FC11" i="19"/>
  <c r="EN11" i="19"/>
  <c r="FI11" i="19"/>
  <c r="FA11" i="19"/>
  <c r="EC11" i="19"/>
  <c r="DF11" i="19"/>
  <c r="CP11" i="19"/>
  <c r="CZ11" i="19"/>
  <c r="CO11" i="19"/>
  <c r="DC11" i="19"/>
  <c r="BZ11" i="19"/>
  <c r="BK7" i="19"/>
  <c r="BS8" i="19"/>
  <c r="CX9" i="19"/>
  <c r="HH10" i="19"/>
  <c r="HJ10" i="19"/>
  <c r="GY10" i="19"/>
  <c r="HT10" i="19"/>
  <c r="FS10" i="19"/>
  <c r="FM10" i="19"/>
  <c r="EV10" i="19"/>
  <c r="ES10" i="19"/>
  <c r="FU10" i="19"/>
  <c r="DG10" i="19"/>
  <c r="EL10" i="19"/>
  <c r="DP10" i="19"/>
  <c r="FF10" i="19"/>
  <c r="DH10" i="19"/>
  <c r="CI10" i="19"/>
  <c r="DQ10" i="19"/>
  <c r="CR10" i="19"/>
  <c r="CL10" i="19"/>
  <c r="BZ10" i="19"/>
  <c r="BN10" i="19"/>
  <c r="D4383" i="23" s="1"/>
  <c r="BX8" i="19"/>
  <c r="D4246" i="23" s="1"/>
  <c r="HG9" i="19"/>
  <c r="HC9" i="19"/>
  <c r="HD9" i="19"/>
  <c r="GQ9" i="19"/>
  <c r="FY9" i="19"/>
  <c r="EZ9" i="19"/>
  <c r="FJ9" i="19"/>
  <c r="EI9" i="19"/>
  <c r="EC9" i="19"/>
  <c r="DT9" i="19"/>
  <c r="DW9" i="19"/>
  <c r="ED9" i="19"/>
  <c r="EH9" i="19"/>
  <c r="DP9" i="19"/>
  <c r="CL9" i="19"/>
  <c r="CG9" i="19"/>
  <c r="CN9" i="19"/>
  <c r="CB9" i="19"/>
  <c r="DZ9" i="19"/>
  <c r="BM9" i="19"/>
  <c r="BT10" i="19"/>
  <c r="D4302" i="23" s="1"/>
  <c r="HO5" i="19"/>
  <c r="HK5" i="19"/>
  <c r="GT5" i="19"/>
  <c r="GY5" i="19"/>
  <c r="GL5" i="19"/>
  <c r="EZ5" i="19"/>
  <c r="FB5" i="19"/>
  <c r="EY5" i="19"/>
  <c r="EV5" i="19"/>
  <c r="EL5" i="19"/>
  <c r="EG5" i="19"/>
  <c r="FV5" i="19"/>
  <c r="GX5" i="19"/>
  <c r="CM5" i="19"/>
  <c r="ES5" i="19"/>
  <c r="CV5" i="19"/>
  <c r="GI5" i="19"/>
  <c r="CK5" i="19"/>
  <c r="CB5" i="19"/>
  <c r="HM8" i="19"/>
  <c r="HA8" i="19"/>
  <c r="GU8" i="19"/>
  <c r="GN8" i="19"/>
  <c r="GE8" i="19"/>
  <c r="FT8" i="19"/>
  <c r="FI8" i="19"/>
  <c r="FM8" i="19"/>
  <c r="FD8" i="19"/>
  <c r="FB8" i="19"/>
  <c r="ET8" i="19"/>
  <c r="EN8" i="19"/>
  <c r="EL8" i="19"/>
  <c r="DA8" i="19"/>
  <c r="DX8" i="19"/>
  <c r="DB8" i="19"/>
  <c r="BU8" i="19"/>
  <c r="CB8" i="19"/>
  <c r="DF8" i="19"/>
  <c r="BJ9" i="19"/>
  <c r="D4436" i="23" s="1"/>
  <c r="BR10" i="19"/>
  <c r="D4329" i="23" s="1"/>
  <c r="CH8" i="19"/>
  <c r="HF6" i="19"/>
  <c r="HC6" i="19"/>
  <c r="GW6" i="19"/>
  <c r="GX6" i="19"/>
  <c r="GU6" i="19"/>
  <c r="GJ6" i="19"/>
  <c r="FM6" i="19"/>
  <c r="FD6" i="19"/>
  <c r="EK6" i="19"/>
  <c r="EI6" i="19"/>
  <c r="FG6" i="19"/>
  <c r="FC6" i="19"/>
  <c r="DS6" i="19"/>
  <c r="CW6" i="19"/>
  <c r="CN6" i="19"/>
  <c r="CX6" i="19"/>
  <c r="CU6" i="19"/>
  <c r="DA6" i="19"/>
  <c r="EP6" i="19"/>
  <c r="BJ6" i="19"/>
  <c r="D4433" i="23" s="1"/>
  <c r="BS6" i="19"/>
  <c r="DC7" i="19"/>
  <c r="BO8" i="19"/>
  <c r="CQ9" i="19"/>
  <c r="HC7" i="19"/>
  <c r="HN7" i="19"/>
  <c r="GX7" i="19"/>
  <c r="GM7" i="19"/>
  <c r="GO7" i="19"/>
  <c r="GF7" i="19"/>
  <c r="FO7" i="19"/>
  <c r="EX7" i="19"/>
  <c r="DY7" i="19"/>
  <c r="DR7" i="19"/>
  <c r="EC7" i="19"/>
  <c r="ER7" i="19"/>
  <c r="CI7" i="19"/>
  <c r="EJ7" i="19"/>
  <c r="CJ7" i="19"/>
  <c r="CL7" i="19"/>
  <c r="CE7" i="19"/>
  <c r="CN7" i="19"/>
  <c r="CT7" i="19"/>
  <c r="HE4" i="19"/>
  <c r="GX4" i="19"/>
  <c r="HC4" i="19"/>
  <c r="GW4" i="19"/>
  <c r="GD4" i="19"/>
  <c r="GG4" i="19"/>
  <c r="FH4" i="19"/>
  <c r="EG4" i="19"/>
  <c r="GV4" i="19"/>
  <c r="EQ4" i="19"/>
  <c r="EC4" i="19"/>
  <c r="EI4" i="19"/>
  <c r="EE4" i="19"/>
  <c r="DA4" i="19"/>
  <c r="CR4" i="19"/>
  <c r="CE4" i="19"/>
  <c r="CB4" i="19"/>
  <c r="DE4" i="19"/>
  <c r="BH11" i="19"/>
  <c r="D4465" i="23" s="1"/>
  <c r="BP10" i="19"/>
  <c r="D4356" i="23" s="1"/>
  <c r="HQ11" i="19"/>
  <c r="HJ11" i="19"/>
  <c r="GN11" i="19"/>
  <c r="GS11" i="19"/>
  <c r="GI11" i="19"/>
  <c r="FU11" i="19"/>
  <c r="FL11" i="19"/>
  <c r="EI11" i="19"/>
  <c r="EU11" i="19"/>
  <c r="EL11" i="19"/>
  <c r="EJ11" i="19"/>
  <c r="EF11" i="19"/>
  <c r="DU11" i="19"/>
  <c r="CY11" i="19"/>
  <c r="FR11" i="19"/>
  <c r="CR11" i="19"/>
  <c r="CV11" i="19"/>
  <c r="DB11" i="19"/>
  <c r="BY11" i="19"/>
  <c r="BK11" i="19"/>
  <c r="BT4" i="19"/>
  <c r="D4296" i="23" s="1"/>
  <c r="HO10" i="19"/>
  <c r="HS10" i="19"/>
  <c r="HD10" i="19"/>
  <c r="GQ10" i="19"/>
  <c r="HG10" i="19"/>
  <c r="GH10" i="19"/>
  <c r="FE10" i="19"/>
  <c r="GC10" i="19"/>
  <c r="EK10" i="19"/>
  <c r="EX10" i="19"/>
  <c r="FW10" i="19"/>
  <c r="EJ10" i="19"/>
  <c r="GR10" i="19"/>
  <c r="DJ10" i="19"/>
  <c r="DF10" i="19"/>
  <c r="CA10" i="19"/>
  <c r="DM10" i="19"/>
  <c r="EY10" i="19"/>
  <c r="CF10" i="19"/>
  <c r="BV10" i="19"/>
  <c r="D4275" i="23" s="1"/>
  <c r="BP7" i="19"/>
  <c r="D4353" i="23" s="1"/>
  <c r="CD11" i="19"/>
  <c r="HN9" i="19"/>
  <c r="GR9" i="19"/>
  <c r="GW9" i="19"/>
  <c r="GZ9" i="19"/>
  <c r="GF9" i="19"/>
  <c r="GI9" i="19"/>
  <c r="FB9" i="19"/>
  <c r="FV9" i="19"/>
  <c r="DU9" i="19"/>
  <c r="DL9" i="19"/>
  <c r="FZ9" i="19"/>
  <c r="DV9" i="19"/>
  <c r="EG9" i="19"/>
  <c r="DC9" i="19"/>
  <c r="DS9" i="19"/>
  <c r="BY9" i="19"/>
  <c r="DA9" i="19"/>
  <c r="BZ9" i="19"/>
  <c r="CJ9" i="19"/>
  <c r="BO6" i="19"/>
  <c r="BV7" i="19"/>
  <c r="D4272" i="23" s="1"/>
  <c r="HG5" i="19"/>
  <c r="HC5" i="19"/>
  <c r="HP5" i="19"/>
  <c r="GQ5" i="19"/>
  <c r="GF5" i="19"/>
  <c r="FK5" i="19"/>
  <c r="GK5" i="19"/>
  <c r="EQ5" i="19"/>
  <c r="ER5" i="19"/>
  <c r="EK5" i="19"/>
  <c r="EE5" i="19"/>
  <c r="DY5" i="19"/>
  <c r="FA5" i="19"/>
  <c r="CE5" i="19"/>
  <c r="DE5" i="19"/>
  <c r="CN5" i="19"/>
  <c r="EA5" i="19"/>
  <c r="CJ5" i="19"/>
  <c r="BZ5" i="19"/>
  <c r="HE8" i="19"/>
  <c r="HH8" i="19"/>
  <c r="GM8" i="19"/>
  <c r="GC8" i="19"/>
  <c r="FW8" i="19"/>
  <c r="FS8" i="19"/>
  <c r="FA8" i="19"/>
  <c r="FE8" i="19"/>
  <c r="EV8" i="19"/>
  <c r="EY8" i="19"/>
  <c r="ER8" i="19"/>
  <c r="EM8" i="19"/>
  <c r="EJ8" i="19"/>
  <c r="CS8" i="19"/>
  <c r="DC8" i="19"/>
  <c r="CT8" i="19"/>
  <c r="EF8" i="19"/>
  <c r="CA8" i="19"/>
  <c r="CX8" i="19"/>
  <c r="BL6" i="19"/>
  <c r="D4406" i="23" s="1"/>
  <c r="BT6" i="19"/>
  <c r="D4298" i="23" s="1"/>
  <c r="BQ10" i="19"/>
  <c r="HQ6" i="19"/>
  <c r="HU6" i="19"/>
  <c r="GO6" i="19"/>
  <c r="GP6" i="19"/>
  <c r="GM6" i="19"/>
  <c r="GH6" i="19"/>
  <c r="FE6" i="19"/>
  <c r="EV6" i="19"/>
  <c r="GR6" i="19"/>
  <c r="EE6" i="19"/>
  <c r="EH6" i="19"/>
  <c r="EY6" i="19"/>
  <c r="DK6" i="19"/>
  <c r="CO6" i="19"/>
  <c r="DM6" i="19"/>
  <c r="CP6" i="19"/>
  <c r="CM6" i="19"/>
  <c r="EC6" i="19"/>
  <c r="BX6" i="19"/>
  <c r="D4244" i="23" s="1"/>
  <c r="BJ10" i="19"/>
  <c r="D4437" i="23" s="1"/>
  <c r="BR11" i="19"/>
  <c r="D4330" i="23" s="1"/>
  <c r="BI4" i="19"/>
  <c r="BQ5" i="19"/>
  <c r="EE11" i="19"/>
  <c r="HR7" i="19"/>
  <c r="HF7" i="19"/>
  <c r="GP7" i="19"/>
  <c r="GT7" i="19"/>
  <c r="GH7" i="19"/>
  <c r="GG7" i="19"/>
  <c r="FG7" i="19"/>
  <c r="FK7" i="19"/>
  <c r="DQ7" i="19"/>
  <c r="GE7" i="19"/>
  <c r="DU7" i="19"/>
  <c r="EP7" i="19"/>
  <c r="CA7" i="19"/>
  <c r="ED7" i="19"/>
  <c r="EG7" i="19"/>
  <c r="BS7" i="19"/>
  <c r="DO7" i="19"/>
  <c r="BZ7" i="19"/>
  <c r="CM7" i="19"/>
  <c r="HT4" i="19"/>
  <c r="GP4" i="19"/>
  <c r="GR4" i="19"/>
  <c r="GO4" i="19"/>
  <c r="GY4" i="19"/>
  <c r="FQ4" i="19"/>
  <c r="EZ4" i="19"/>
  <c r="GI4" i="19"/>
  <c r="EU4" i="19"/>
  <c r="DZ4" i="19"/>
  <c r="DU4" i="19"/>
  <c r="EB4" i="19"/>
  <c r="DW4" i="19"/>
  <c r="CS4" i="19"/>
  <c r="CJ4" i="19"/>
  <c r="DY4" i="19"/>
  <c r="CA4" i="19"/>
  <c r="DM4" i="19"/>
  <c r="BI6" i="19"/>
  <c r="BR8" i="19"/>
  <c r="D4327" i="23" s="1"/>
  <c r="HI11" i="19"/>
  <c r="HU11" i="19"/>
  <c r="GY11" i="19"/>
  <c r="GK11" i="19"/>
  <c r="GA11" i="19"/>
  <c r="GL11" i="19"/>
  <c r="FD11" i="19"/>
  <c r="FW11" i="19"/>
  <c r="EM11" i="19"/>
  <c r="EK11" i="19"/>
  <c r="EH11" i="19"/>
  <c r="EA11" i="19"/>
  <c r="DM11" i="19"/>
  <c r="CQ11" i="19"/>
  <c r="EP11" i="19"/>
  <c r="CJ11" i="19"/>
  <c r="BS11" i="19"/>
  <c r="CU11" i="19"/>
  <c r="GJ11" i="19"/>
  <c r="BM4" i="19"/>
  <c r="BT9" i="19"/>
  <c r="D4301" i="23" s="1"/>
  <c r="HN10" i="19"/>
  <c r="HK10" i="19"/>
  <c r="GW10" i="19"/>
  <c r="HL10" i="19"/>
  <c r="GG10" i="19"/>
  <c r="FZ10" i="19"/>
  <c r="EW10" i="19"/>
  <c r="FV10" i="19"/>
  <c r="GM10" i="19"/>
  <c r="EU10" i="19"/>
  <c r="EP10" i="19"/>
  <c r="EI10" i="19"/>
  <c r="EA10" i="19"/>
  <c r="DI10" i="19"/>
  <c r="DD10" i="19"/>
  <c r="FN10" i="19"/>
  <c r="DC10" i="19"/>
  <c r="EC10" i="19"/>
  <c r="CE10" i="19"/>
  <c r="BH9" i="19"/>
  <c r="D4463" i="23" s="1"/>
  <c r="BP11" i="19"/>
  <c r="D4357" i="23" s="1"/>
  <c r="CL11" i="19"/>
  <c r="HF9" i="19"/>
  <c r="HP9" i="19"/>
  <c r="GO9" i="19"/>
  <c r="GJ9" i="19"/>
  <c r="FX9" i="19"/>
  <c r="FK9" i="19"/>
  <c r="GX9" i="19"/>
  <c r="FU9" i="19"/>
  <c r="DM9" i="19"/>
  <c r="FQ9" i="19"/>
  <c r="FL9" i="19"/>
  <c r="DN9" i="19"/>
  <c r="DY9" i="19"/>
  <c r="CU9" i="19"/>
  <c r="DJ9" i="19"/>
  <c r="EA9" i="19"/>
  <c r="CS9" i="19"/>
  <c r="CR9" i="19"/>
  <c r="CF9" i="19"/>
  <c r="BO10" i="19"/>
  <c r="BX9" i="19"/>
  <c r="D4247" i="23" s="1"/>
  <c r="HN5" i="19"/>
  <c r="HD5" i="19"/>
  <c r="GZ5" i="19"/>
  <c r="GE5" i="19"/>
  <c r="FX5" i="19"/>
  <c r="FC5" i="19"/>
  <c r="GH5" i="19"/>
  <c r="EI5" i="19"/>
  <c r="EP5" i="19"/>
  <c r="EB5" i="19"/>
  <c r="DW5" i="19"/>
  <c r="DQ5" i="19"/>
  <c r="ET5" i="19"/>
  <c r="FL5" i="19"/>
  <c r="CW5" i="19"/>
  <c r="FD5" i="19"/>
  <c r="CX5" i="19"/>
  <c r="CZ5" i="19"/>
  <c r="BX5" i="19"/>
  <c r="D4243" i="23" s="1"/>
  <c r="HT8" i="19"/>
  <c r="GX8" i="19"/>
  <c r="HD8" i="19"/>
  <c r="FU8" i="19"/>
  <c r="HN8" i="19"/>
  <c r="FN8" i="19"/>
  <c r="ES8" i="19"/>
  <c r="EW8" i="19"/>
  <c r="FJ8" i="19"/>
  <c r="DZ8" i="19"/>
  <c r="EQ8" i="19"/>
  <c r="EE8" i="19"/>
  <c r="EI8" i="19"/>
  <c r="CK8" i="19"/>
  <c r="CU8" i="19"/>
  <c r="CL8" i="19"/>
  <c r="DD8" i="19"/>
  <c r="BY8" i="19"/>
  <c r="DH8" i="19"/>
  <c r="BL10" i="19"/>
  <c r="D4410" i="23" s="1"/>
  <c r="BU10" i="19"/>
  <c r="BU7" i="19"/>
  <c r="HI6" i="19"/>
  <c r="HM6" i="19"/>
  <c r="GZ6" i="19"/>
  <c r="HR6" i="19"/>
  <c r="GF6" i="19"/>
  <c r="FZ6" i="19"/>
  <c r="EW6" i="19"/>
  <c r="HL6" i="19"/>
  <c r="FP6" i="19"/>
  <c r="DW6" i="19"/>
  <c r="EF6" i="19"/>
  <c r="DY6" i="19"/>
  <c r="EU6" i="19"/>
  <c r="CG6" i="19"/>
  <c r="CY6" i="19"/>
  <c r="CH6" i="19"/>
  <c r="DF6" i="19"/>
  <c r="CZ6" i="19"/>
  <c r="ET6" i="19"/>
  <c r="BL7" i="19"/>
  <c r="D4407" i="23" s="1"/>
  <c r="BT7" i="19"/>
  <c r="D4299" i="23" s="1"/>
  <c r="BI7" i="19"/>
  <c r="BQ9" i="19"/>
  <c r="HQ7" i="19"/>
  <c r="HJ7" i="19"/>
  <c r="HA7" i="19"/>
  <c r="GS7" i="19"/>
  <c r="GL7" i="19"/>
  <c r="FZ7" i="19"/>
  <c r="FW7" i="19"/>
  <c r="EY7" i="19"/>
  <c r="FC7" i="19"/>
  <c r="DI7" i="19"/>
  <c r="FY7" i="19"/>
  <c r="DM7" i="19"/>
  <c r="EO7" i="19"/>
  <c r="EW7" i="19"/>
  <c r="DA7" i="19"/>
  <c r="DF7" i="19"/>
  <c r="EZ7" i="19"/>
  <c r="CV7" i="19"/>
  <c r="BY7" i="19"/>
  <c r="HS4" i="19"/>
  <c r="HL4" i="19"/>
  <c r="HN4" i="19"/>
  <c r="HB4" i="19"/>
  <c r="GC4" i="19"/>
  <c r="GH4" i="19"/>
  <c r="FI4" i="19"/>
  <c r="FY4" i="19"/>
  <c r="FX4" i="19"/>
  <c r="EA4" i="19"/>
  <c r="DR4" i="19"/>
  <c r="FR4" i="19"/>
  <c r="DT4" i="19"/>
  <c r="DO4" i="19"/>
  <c r="CK4" i="19"/>
  <c r="DQ4" i="19"/>
  <c r="DP4" i="19"/>
  <c r="BY4" i="19"/>
  <c r="DD4" i="19"/>
  <c r="BJ7" i="19"/>
  <c r="D4434" i="23" s="1"/>
  <c r="BT8" i="19"/>
  <c r="D4300" i="23" s="1"/>
  <c r="HP11" i="19"/>
  <c r="HM11" i="19"/>
  <c r="GQ11" i="19"/>
  <c r="GZ11" i="19"/>
  <c r="FS11" i="19"/>
  <c r="GB11" i="19"/>
  <c r="EV11" i="19"/>
  <c r="FN11" i="19"/>
  <c r="FJ11" i="19"/>
  <c r="DY11" i="19"/>
  <c r="EG11" i="19"/>
  <c r="FY11" i="19"/>
  <c r="EB11" i="19"/>
  <c r="CI11" i="19"/>
  <c r="DN11" i="19"/>
  <c r="FT11" i="19"/>
  <c r="EO11" i="19"/>
  <c r="CT11" i="19"/>
  <c r="DJ11" i="19"/>
  <c r="BM8" i="19"/>
  <c r="BV5" i="19"/>
  <c r="D4270" i="23" s="1"/>
  <c r="HF10" i="19"/>
  <c r="HC10" i="19"/>
  <c r="GO10" i="19"/>
  <c r="GX10" i="19"/>
  <c r="FY10" i="19"/>
  <c r="GU10" i="19"/>
  <c r="EO10" i="19"/>
  <c r="FT10" i="19"/>
  <c r="GB10" i="19"/>
  <c r="ER10" i="19"/>
  <c r="EN10" i="19"/>
  <c r="DY10" i="19"/>
  <c r="DS10" i="19"/>
  <c r="DE10" i="19"/>
  <c r="CV10" i="19"/>
  <c r="DU10" i="19"/>
  <c r="CU10" i="19"/>
  <c r="FG10" i="19"/>
  <c r="CC10" i="19"/>
  <c r="BJ4" i="19"/>
  <c r="D4431" i="23" s="1"/>
  <c r="BS4" i="19"/>
  <c r="HU9" i="19"/>
  <c r="HQ9" i="19"/>
  <c r="GU9" i="19"/>
  <c r="HR9" i="19"/>
  <c r="GE9" i="19"/>
  <c r="GK9" i="19"/>
  <c r="FC9" i="19"/>
  <c r="GS9" i="19"/>
  <c r="FS9" i="19"/>
  <c r="HH9" i="19"/>
  <c r="FM9" i="19"/>
  <c r="FI9" i="19"/>
  <c r="GC9" i="19"/>
  <c r="DQ9" i="19"/>
  <c r="CM9" i="19"/>
  <c r="DH9" i="19"/>
  <c r="DR9" i="19"/>
  <c r="CD9" i="19"/>
  <c r="CI9" i="19"/>
  <c r="BH8" i="19"/>
  <c r="D4462" i="23" s="1"/>
  <c r="BQ7" i="19"/>
  <c r="DG11" i="19"/>
  <c r="HF5" i="19"/>
  <c r="GR5" i="19"/>
  <c r="GW5" i="19"/>
  <c r="FW5" i="19"/>
  <c r="GS5" i="19"/>
  <c r="EU5" i="19"/>
  <c r="GA5" i="19"/>
  <c r="GJ5" i="19"/>
  <c r="EO5" i="19"/>
  <c r="DT5" i="19"/>
  <c r="FU5" i="19"/>
  <c r="DI5" i="19"/>
  <c r="DJ5" i="19"/>
  <c r="DF5" i="19"/>
  <c r="CO5" i="19"/>
  <c r="DZ5" i="19"/>
  <c r="CQ5" i="19"/>
  <c r="CD5" i="19"/>
  <c r="HS8" i="19"/>
  <c r="HL8" i="19"/>
  <c r="GP8" i="19"/>
  <c r="GT8" i="19"/>
  <c r="HF8" i="19"/>
  <c r="GQ8" i="19"/>
  <c r="FF8" i="19"/>
  <c r="EK8" i="19"/>
  <c r="EO8" i="19"/>
  <c r="FG8" i="19"/>
  <c r="DR8" i="19"/>
  <c r="EB8" i="19"/>
  <c r="DW8" i="19"/>
  <c r="ED8" i="19"/>
  <c r="CC8" i="19"/>
  <c r="CM8" i="19"/>
  <c r="FK8" i="19"/>
  <c r="CW8" i="19"/>
  <c r="FO8" i="19"/>
  <c r="CP8" i="19"/>
  <c r="BN7" i="19"/>
  <c r="D4380" i="23" s="1"/>
  <c r="BW7" i="19"/>
  <c r="DS5" i="19"/>
  <c r="HA6" i="19"/>
  <c r="HE6" i="19"/>
  <c r="GV6" i="19"/>
  <c r="GS6" i="19"/>
  <c r="FX6" i="19"/>
  <c r="GD6" i="19"/>
  <c r="EO6" i="19"/>
  <c r="GE6" i="19"/>
  <c r="FH6" i="19"/>
  <c r="DO6" i="19"/>
  <c r="ED6" i="19"/>
  <c r="FV6" i="19"/>
  <c r="DZ6" i="19"/>
  <c r="BY6" i="19"/>
  <c r="CQ6" i="19"/>
  <c r="EN6" i="19"/>
  <c r="CT6" i="19"/>
  <c r="CS6" i="19"/>
  <c r="DU6" i="19"/>
  <c r="BL11" i="19"/>
  <c r="D4411" i="23" s="1"/>
  <c r="BU11" i="19"/>
  <c r="BK6" i="19"/>
  <c r="BR7" i="19"/>
  <c r="D4326" i="23" s="1"/>
  <c r="HI7" i="19"/>
  <c r="HU7" i="19"/>
  <c r="GV7" i="19"/>
  <c r="GK7" i="19"/>
  <c r="GI7" i="19"/>
  <c r="GJ7" i="19"/>
  <c r="FL7" i="19"/>
  <c r="EQ7" i="19"/>
  <c r="EU7" i="19"/>
  <c r="DX7" i="19"/>
  <c r="FP7" i="19"/>
  <c r="GD7" i="19"/>
  <c r="EB7" i="19"/>
  <c r="EK7" i="19"/>
  <c r="CS7" i="19"/>
  <c r="DE7" i="19"/>
  <c r="DJ7" i="19"/>
  <c r="CF7" i="19"/>
  <c r="EL7" i="19"/>
  <c r="HK4" i="19"/>
  <c r="HO4" i="19"/>
  <c r="HD4" i="19"/>
  <c r="GU4" i="19"/>
  <c r="FU4" i="19"/>
  <c r="FZ4" i="19"/>
  <c r="FA4" i="19"/>
  <c r="FV4" i="19"/>
  <c r="FT4" i="19"/>
  <c r="DS4" i="19"/>
  <c r="FO4" i="19"/>
  <c r="FJ4" i="19"/>
  <c r="DL4" i="19"/>
  <c r="DG4" i="19"/>
  <c r="CC4" i="19"/>
  <c r="DH4" i="19"/>
  <c r="DB4" i="19"/>
  <c r="BU4" i="19"/>
  <c r="CW4" i="19"/>
  <c r="BL4" i="19"/>
  <c r="D4404" i="23" s="1"/>
  <c r="BW4" i="19"/>
  <c r="HH11" i="19"/>
  <c r="HE11" i="19"/>
  <c r="HB11" i="19"/>
  <c r="GR11" i="19"/>
  <c r="GW11" i="19"/>
  <c r="GO11" i="19"/>
  <c r="GD11" i="19"/>
  <c r="FF11" i="19"/>
  <c r="FB11" i="19"/>
  <c r="DQ11" i="19"/>
  <c r="DX11" i="19"/>
  <c r="EZ11" i="19"/>
  <c r="DT11" i="19"/>
  <c r="CA11" i="19"/>
  <c r="DA11" i="19"/>
  <c r="DV11" i="19"/>
  <c r="DW11" i="19"/>
  <c r="CM11" i="19"/>
  <c r="DD11" i="19"/>
  <c r="BO5" i="19"/>
  <c r="BV11" i="19"/>
  <c r="D4276" i="23" s="1"/>
  <c r="HQ10" i="19"/>
  <c r="HU10" i="19"/>
  <c r="GV10" i="19"/>
  <c r="GP10" i="19"/>
  <c r="GF10" i="19"/>
  <c r="GD10" i="19"/>
  <c r="EG10" i="19"/>
  <c r="FR10" i="19"/>
  <c r="FP10" i="19"/>
  <c r="EQ10" i="19"/>
  <c r="EM10" i="19"/>
  <c r="GL10" i="19"/>
  <c r="DK10" i="19"/>
  <c r="CW10" i="19"/>
  <c r="CN10" i="19"/>
  <c r="CX10" i="19"/>
  <c r="CM10" i="19"/>
  <c r="DL10" i="19"/>
  <c r="FK10" i="19"/>
  <c r="BJ8" i="19"/>
  <c r="D4435" i="23" s="1"/>
  <c r="BR9" i="19"/>
  <c r="D4328" i="23" s="1"/>
  <c r="HM9" i="19"/>
  <c r="HI9" i="19"/>
  <c r="GM9" i="19"/>
  <c r="HB9" i="19"/>
  <c r="FW9" i="19"/>
  <c r="GB9" i="19"/>
  <c r="EU9" i="19"/>
  <c r="FO9" i="19"/>
  <c r="FN9" i="19"/>
  <c r="FT9" i="19"/>
  <c r="ER9" i="19"/>
  <c r="FE9" i="19"/>
  <c r="FD9" i="19"/>
  <c r="DI9" i="19"/>
  <c r="CE9" i="19"/>
  <c r="DG9" i="19"/>
  <c r="DO9" i="19"/>
  <c r="CC9" i="19"/>
  <c r="CH9" i="19"/>
  <c r="BI11" i="19"/>
  <c r="BQ11" i="19"/>
  <c r="HU5" i="19"/>
  <c r="HQ5" i="19"/>
  <c r="HH5" i="19"/>
  <c r="GO5" i="19"/>
  <c r="HE5" i="19"/>
  <c r="GB5" i="19"/>
  <c r="EM5" i="19"/>
  <c r="FT5" i="19"/>
  <c r="FZ5" i="19"/>
  <c r="EC5" i="19"/>
  <c r="DL5" i="19"/>
  <c r="EF5" i="19"/>
  <c r="FQ5" i="19"/>
  <c r="DH5" i="19"/>
  <c r="DB5" i="19"/>
  <c r="CG5" i="19"/>
  <c r="DR5" i="19"/>
  <c r="CH5" i="19"/>
  <c r="CC5" i="19"/>
  <c r="HK8" i="19"/>
  <c r="HO8" i="19"/>
  <c r="GS8" i="19"/>
  <c r="HC8" i="19"/>
  <c r="GZ8" i="19"/>
  <c r="GD8" i="19"/>
  <c r="EX8" i="19"/>
  <c r="FX8" i="19"/>
  <c r="EG8" i="19"/>
  <c r="FC8" i="19"/>
  <c r="FV8" i="19"/>
  <c r="DT8" i="19"/>
  <c r="DO8" i="19"/>
  <c r="DV8" i="19"/>
  <c r="DY8" i="19"/>
  <c r="CE8" i="19"/>
  <c r="CY8" i="19"/>
  <c r="CF8" i="19"/>
  <c r="CN8" i="19"/>
  <c r="BH4" i="19"/>
  <c r="D4458" i="23" s="1"/>
  <c r="BN11" i="19"/>
  <c r="D4384" i="23" s="1"/>
  <c r="CB6" i="19"/>
  <c r="BV4" i="19"/>
  <c r="D4269" i="23" s="1"/>
  <c r="HP6" i="19"/>
  <c r="HT6" i="19"/>
  <c r="GN6" i="19"/>
  <c r="GK6" i="19"/>
  <c r="GL6" i="19"/>
  <c r="GC6" i="19"/>
  <c r="EG6" i="19"/>
  <c r="FQ6" i="19"/>
  <c r="EZ6" i="19"/>
  <c r="DG6" i="19"/>
  <c r="DV6" i="19"/>
  <c r="EX6" i="19"/>
  <c r="DR6" i="19"/>
  <c r="ER6" i="19"/>
  <c r="CI6" i="19"/>
  <c r="DT6" i="19"/>
  <c r="CK6" i="19"/>
  <c r="CR6" i="19"/>
  <c r="DB6" i="19"/>
  <c r="BN4" i="19"/>
  <c r="D4377" i="23" s="1"/>
  <c r="BW8" i="19"/>
  <c r="BK10" i="19"/>
  <c r="BV9" i="19"/>
  <c r="D4274" i="23" s="1"/>
  <c r="HP7" i="19"/>
  <c r="HM7" i="19"/>
  <c r="GN7" i="19"/>
  <c r="GR7" i="19"/>
  <c r="GA7" i="19"/>
  <c r="GC7" i="19"/>
  <c r="FD7" i="19"/>
  <c r="EI7" i="19"/>
  <c r="EM7" i="19"/>
  <c r="DP7" i="19"/>
  <c r="FM7" i="19"/>
  <c r="FX7" i="19"/>
  <c r="DT7" i="19"/>
  <c r="EE7" i="19"/>
  <c r="CK7" i="19"/>
  <c r="CW7" i="19"/>
  <c r="EN7" i="19"/>
  <c r="CD7" i="19"/>
  <c r="DB7" i="19"/>
  <c r="HR4" i="19"/>
  <c r="HG4" i="19"/>
  <c r="GS4" i="19"/>
  <c r="GM4" i="19"/>
  <c r="GB4" i="19"/>
  <c r="FN4" i="19"/>
  <c r="ES4" i="19"/>
  <c r="FM4" i="19"/>
  <c r="FS4" i="19"/>
  <c r="DK4" i="19"/>
  <c r="FK4" i="19"/>
  <c r="FG4" i="19"/>
  <c r="FB4" i="19"/>
  <c r="GA4" i="19"/>
  <c r="GQ4" i="19"/>
  <c r="DF4" i="19"/>
  <c r="CT4" i="19"/>
  <c r="CX4" i="19"/>
  <c r="CN4" i="19"/>
  <c r="BL8" i="19"/>
  <c r="D4408" i="23" s="1"/>
  <c r="BW10" i="19"/>
  <c r="HS11" i="19"/>
  <c r="HO11" i="19"/>
  <c r="GX11" i="19"/>
  <c r="HT11" i="19"/>
  <c r="GH11" i="19"/>
  <c r="GF11" i="19"/>
  <c r="FO11" i="19"/>
  <c r="EX11" i="19"/>
  <c r="ET11" i="19"/>
  <c r="DI11" i="19"/>
  <c r="DP11" i="19"/>
  <c r="EW11" i="19"/>
  <c r="DL11" i="19"/>
  <c r="DS11" i="19"/>
  <c r="CS11" i="19"/>
  <c r="DK11" i="19"/>
  <c r="CN11" i="19"/>
  <c r="CG11" i="19"/>
  <c r="BX11" i="19"/>
  <c r="D4249" i="23" s="1"/>
  <c r="BO9" i="19"/>
  <c r="BX7" i="19"/>
  <c r="D4245" i="23" s="1"/>
  <c r="HI10" i="19"/>
  <c r="HM10" i="19"/>
  <c r="GN10" i="19"/>
  <c r="GZ10" i="19"/>
  <c r="FX10" i="19"/>
  <c r="FJ10" i="19"/>
  <c r="GE10" i="19"/>
  <c r="FQ10" i="19"/>
  <c r="FH10" i="19"/>
  <c r="EE10" i="19"/>
  <c r="ED10" i="19"/>
  <c r="EH10" i="19"/>
  <c r="FO10" i="19"/>
  <c r="CO10" i="19"/>
  <c r="FC10" i="19"/>
  <c r="CP10" i="19"/>
  <c r="CZ10" i="19"/>
  <c r="DB10" i="19"/>
  <c r="DA10" i="19"/>
  <c r="BL5" i="19"/>
  <c r="D4405" i="23" s="1"/>
  <c r="BT5" i="19"/>
  <c r="D4297" i="23" s="1"/>
  <c r="HT9" i="19"/>
  <c r="HA9" i="19"/>
  <c r="HJ9" i="19"/>
  <c r="GV9" i="19"/>
  <c r="GD9" i="19"/>
  <c r="GL9" i="19"/>
  <c r="EM9" i="19"/>
  <c r="FG9" i="19"/>
  <c r="FF9" i="19"/>
  <c r="ET9" i="19"/>
  <c r="EP9" i="19"/>
  <c r="EN9" i="19"/>
  <c r="FA9" i="19"/>
  <c r="EV9" i="19"/>
  <c r="DK9" i="19"/>
  <c r="DE9" i="19"/>
  <c r="DF9" i="19"/>
  <c r="CA9" i="19"/>
  <c r="CY9" i="19"/>
  <c r="BK4" i="19"/>
  <c r="BR5" i="19"/>
  <c r="D4324" i="23" s="1"/>
  <c r="HM5" i="19"/>
  <c r="HI5" i="19"/>
  <c r="HB5" i="19"/>
  <c r="HJ5" i="19"/>
  <c r="GD5" i="19"/>
  <c r="HR5" i="19"/>
  <c r="GP5" i="19"/>
  <c r="FR5" i="19"/>
  <c r="FN5" i="19"/>
  <c r="DU5" i="19"/>
  <c r="FS5" i="19"/>
  <c r="ED5" i="19"/>
  <c r="FM5" i="19"/>
  <c r="DG5" i="19"/>
  <c r="CT5" i="19"/>
  <c r="BY5" i="19"/>
  <c r="DO5" i="19"/>
  <c r="BW5" i="19"/>
  <c r="CA5" i="19"/>
  <c r="HR8" i="19"/>
  <c r="HG8" i="19"/>
  <c r="GK8" i="19"/>
  <c r="GW8" i="19"/>
  <c r="GJ8" i="19"/>
  <c r="GL8" i="19"/>
  <c r="FY8" i="19"/>
  <c r="FP8" i="19"/>
  <c r="GY8" i="19"/>
  <c r="EA8" i="19"/>
  <c r="EU8" i="19"/>
  <c r="DL8" i="19"/>
  <c r="DG8" i="19"/>
  <c r="DN8" i="19"/>
  <c r="CZ8" i="19"/>
  <c r="EH8" i="19"/>
  <c r="CQ8" i="19"/>
  <c r="CD8" i="19"/>
  <c r="BZ8" i="19"/>
  <c r="BH7" i="19"/>
  <c r="D4461" i="23" s="1"/>
  <c r="BP4" i="19"/>
  <c r="D4350" i="23" s="1"/>
  <c r="CO4" i="19"/>
  <c r="BJ11" i="19"/>
  <c r="D4438" i="23" s="1"/>
  <c r="HH6" i="19"/>
  <c r="HB6" i="19"/>
  <c r="HJ6" i="19"/>
  <c r="HD6" i="19"/>
  <c r="GI6" i="19"/>
  <c r="FJ6" i="19"/>
  <c r="FW6" i="19"/>
  <c r="FI6" i="19"/>
  <c r="FO6" i="19"/>
  <c r="FR6" i="19"/>
  <c r="DN6" i="19"/>
  <c r="DX6" i="19"/>
  <c r="EM6" i="19"/>
  <c r="DQ6" i="19"/>
  <c r="CA6" i="19"/>
  <c r="DJ6" i="19"/>
  <c r="DH6" i="19"/>
  <c r="CF6" i="19"/>
  <c r="BV6" i="19"/>
  <c r="D4271" i="23" s="1"/>
  <c r="BN8" i="19"/>
  <c r="D4381" i="23" s="1"/>
  <c r="BZ4" i="19"/>
  <c r="BM7" i="19"/>
  <c r="BZ6" i="19"/>
  <c r="HH7" i="19"/>
  <c r="HE7" i="19"/>
  <c r="GZ7" i="19"/>
  <c r="HL7" i="19"/>
  <c r="FS7" i="19"/>
  <c r="FU7" i="19"/>
  <c r="EV7" i="19"/>
  <c r="FR7" i="19"/>
  <c r="FJ7" i="19"/>
  <c r="EA7" i="19"/>
  <c r="FI7" i="19"/>
  <c r="FH7" i="19"/>
  <c r="DV7" i="19"/>
  <c r="DL7" i="19"/>
  <c r="CC7" i="19"/>
  <c r="CO7" i="19"/>
  <c r="DW7" i="19"/>
  <c r="CB7" i="19"/>
  <c r="CU7" i="19"/>
  <c r="HJ4" i="19"/>
  <c r="HQ4" i="19"/>
  <c r="GK4" i="19"/>
  <c r="HP4" i="19"/>
  <c r="GN4" i="19"/>
  <c r="FF4" i="19"/>
  <c r="EK4" i="19"/>
  <c r="FE4" i="19"/>
  <c r="FL4" i="19"/>
  <c r="GJ4" i="19"/>
  <c r="EP4" i="19"/>
  <c r="FC4" i="19"/>
  <c r="EY4" i="19"/>
  <c r="ED4" i="19"/>
  <c r="DJ4" i="19"/>
  <c r="DC4" i="19"/>
  <c r="CL4" i="19"/>
  <c r="CI4" i="19"/>
  <c r="CG4" i="19"/>
  <c r="BN5" i="19"/>
  <c r="D4378" i="23" s="1"/>
  <c r="BX4" i="19"/>
  <c r="D4242" i="23" s="1"/>
  <c r="HK11" i="19"/>
  <c r="HG11" i="19"/>
  <c r="GP11" i="19"/>
  <c r="HF11" i="19"/>
  <c r="FZ11" i="19"/>
  <c r="GT11" i="19"/>
  <c r="FG11" i="19"/>
  <c r="GG11" i="19"/>
  <c r="FV11" i="19"/>
  <c r="FP11" i="19"/>
  <c r="FH11" i="19"/>
  <c r="DZ11" i="19"/>
  <c r="ER11" i="19"/>
  <c r="DO11" i="19"/>
  <c r="CK11" i="19"/>
  <c r="DE11" i="19"/>
  <c r="CH11" i="19"/>
  <c r="CE11" i="19"/>
  <c r="BH10" i="19"/>
  <c r="D4464" i="23" s="1"/>
  <c r="BQ6" i="19"/>
  <c r="CD6" i="19"/>
  <c r="HA10" i="19"/>
  <c r="HE10" i="19"/>
  <c r="HR10" i="19"/>
  <c r="GS10" i="19"/>
  <c r="GI10" i="19"/>
  <c r="FB10" i="19"/>
  <c r="FL10" i="19"/>
  <c r="FI10" i="19"/>
  <c r="EZ10" i="19"/>
  <c r="DW10" i="19"/>
  <c r="DV10" i="19"/>
  <c r="EF10" i="19"/>
  <c r="DZ10" i="19"/>
  <c r="CG10" i="19"/>
  <c r="CY10" i="19"/>
  <c r="CH10" i="19"/>
  <c r="CS10" i="19"/>
  <c r="CK10" i="19"/>
  <c r="CD10" i="19"/>
  <c r="BL9" i="19"/>
  <c r="D4409" i="23" s="1"/>
  <c r="BW6" i="19"/>
  <c r="HL9" i="19"/>
  <c r="HS9" i="19"/>
  <c r="HE9" i="19"/>
  <c r="GN9" i="19"/>
  <c r="GP9" i="19"/>
  <c r="FP9" i="19"/>
  <c r="GH9" i="19"/>
  <c r="EY9" i="19"/>
  <c r="EX9" i="19"/>
  <c r="ES9" i="19"/>
  <c r="EO9" i="19"/>
  <c r="EL9" i="19"/>
  <c r="EW9" i="19"/>
  <c r="EF9" i="19"/>
  <c r="DB9" i="19"/>
  <c r="CW9" i="19"/>
  <c r="DD9" i="19"/>
  <c r="BW9" i="19"/>
  <c r="CP9" i="19"/>
  <c r="BK8" i="19"/>
  <c r="BS9" i="19"/>
  <c r="HT5" i="19"/>
  <c r="HA5" i="19"/>
  <c r="GU5" i="19"/>
  <c r="GV5" i="19"/>
  <c r="GG5" i="19"/>
  <c r="FP5" i="19"/>
  <c r="GC5" i="19"/>
  <c r="FO5" i="19"/>
  <c r="FF5" i="19"/>
  <c r="DM5" i="19"/>
  <c r="EJ5" i="19"/>
  <c r="DV5" i="19"/>
  <c r="DX5" i="19"/>
  <c r="DC5" i="19"/>
  <c r="CL5" i="19"/>
  <c r="FI5" i="19"/>
  <c r="DA5" i="19"/>
  <c r="CP5" i="19"/>
  <c r="CY5" i="19"/>
  <c r="HJ8" i="19"/>
  <c r="HQ8" i="19"/>
  <c r="HP8" i="19"/>
  <c r="GO8" i="19"/>
  <c r="GB8" i="19"/>
  <c r="GH8" i="19"/>
  <c r="FR8" i="19"/>
  <c r="FH8" i="19"/>
  <c r="GG8" i="19"/>
  <c r="DS8" i="19"/>
  <c r="EC8" i="19"/>
  <c r="GA8" i="19"/>
  <c r="GI8" i="19"/>
  <c r="DP8" i="19"/>
  <c r="CR8" i="19"/>
  <c r="DJ8" i="19"/>
  <c r="DE8" i="19"/>
  <c r="CV8" i="19"/>
  <c r="DQ8" i="19"/>
  <c r="BI10" i="19"/>
  <c r="BP8" i="19"/>
  <c r="D4354" i="23" s="1"/>
  <c r="CT10" i="19"/>
  <c r="HO6" i="19"/>
  <c r="FA6" i="19"/>
  <c r="DI6" i="19"/>
  <c r="HS7" i="19"/>
  <c r="FB7" i="19"/>
  <c r="DD7" i="19"/>
  <c r="EX4" i="19"/>
  <c r="DV4" i="19"/>
  <c r="HC11" i="19"/>
  <c r="FQ11" i="19"/>
  <c r="ES11" i="19"/>
  <c r="GK10" i="19"/>
  <c r="DX10" i="19"/>
  <c r="BN6" i="19"/>
  <c r="D4379" i="23" s="1"/>
  <c r="GA9" i="19"/>
  <c r="CT9" i="19"/>
  <c r="HS5" i="19"/>
  <c r="EN5" i="19"/>
  <c r="DK5" i="19"/>
  <c r="FQ8" i="19"/>
  <c r="CJ8" i="19"/>
  <c r="DK7" i="19"/>
  <c r="DN10" i="19"/>
  <c r="DX9" i="19"/>
  <c r="CS5" i="19"/>
  <c r="HS6" i="19"/>
  <c r="EL6" i="19"/>
  <c r="CL6" i="19"/>
  <c r="HO7" i="19"/>
  <c r="FQ7" i="19"/>
  <c r="DS7" i="19"/>
  <c r="GF4" i="19"/>
  <c r="DI4" i="19"/>
  <c r="HD11" i="19"/>
  <c r="FM11" i="19"/>
  <c r="DH11" i="19"/>
  <c r="GA10" i="19"/>
  <c r="DR10" i="19"/>
  <c r="BW11" i="19"/>
  <c r="EQ9" i="19"/>
  <c r="CO9" i="19"/>
  <c r="GM5" i="19"/>
  <c r="EH5" i="19"/>
  <c r="CI5" i="19"/>
  <c r="EZ8" i="19"/>
  <c r="DI8" i="19"/>
  <c r="GE4" i="19"/>
  <c r="GT6" i="19"/>
  <c r="FN6" i="19"/>
  <c r="CE6" i="19"/>
  <c r="GY7" i="19"/>
  <c r="ET7" i="19"/>
  <c r="CH7" i="19"/>
  <c r="EW4" i="19"/>
  <c r="CU4" i="19"/>
  <c r="HL11" i="19"/>
  <c r="FE11" i="19"/>
  <c r="BI5" i="19"/>
  <c r="ET10" i="19"/>
  <c r="BY10" i="19"/>
  <c r="HO9" i="19"/>
  <c r="FR9" i="19"/>
  <c r="CV9" i="19"/>
  <c r="GN5" i="19"/>
  <c r="DN5" i="19"/>
  <c r="HU8" i="19"/>
  <c r="FL8" i="19"/>
  <c r="CG8" i="19"/>
  <c r="EH4" i="19"/>
  <c r="EH7" i="19"/>
  <c r="FK11" i="19"/>
  <c r="CW11" i="19"/>
  <c r="HB10" i="19"/>
  <c r="FH9" i="19"/>
  <c r="HL5" i="19"/>
  <c r="FE5" i="19"/>
  <c r="GY6" i="19"/>
  <c r="FT6" i="19"/>
  <c r="BH5" i="19"/>
  <c r="D4459" i="23" s="1"/>
  <c r="HD7" i="19"/>
  <c r="FE7" i="19"/>
  <c r="HU4" i="19"/>
  <c r="FD4" i="19"/>
  <c r="CY4" i="19"/>
  <c r="GU11" i="19"/>
  <c r="DR11" i="19"/>
  <c r="BR4" i="19"/>
  <c r="D4323" i="23" s="1"/>
  <c r="FD10" i="19"/>
  <c r="CQ10" i="19"/>
  <c r="HK9" i="19"/>
  <c r="EB9" i="19"/>
  <c r="CZ9" i="19"/>
  <c r="FY5" i="19"/>
  <c r="DP5" i="19"/>
  <c r="HI8" i="19"/>
  <c r="DK8" i="19"/>
  <c r="CO8" i="19"/>
  <c r="FN7" i="19"/>
  <c r="FZ8" i="19"/>
  <c r="GG6" i="19"/>
  <c r="DP6" i="19"/>
  <c r="BP5" i="19"/>
  <c r="D4351" i="23" s="1"/>
  <c r="HT7" i="19"/>
  <c r="CY7" i="19"/>
  <c r="HI4" i="19"/>
  <c r="ET4" i="19"/>
  <c r="CP4" i="19"/>
  <c r="HN11" i="19"/>
  <c r="ED11" i="19"/>
  <c r="CR5" i="19"/>
  <c r="FA10" i="19"/>
  <c r="EB10" i="19"/>
  <c r="GT9" i="19"/>
  <c r="EE9" i="19"/>
  <c r="CK9" i="19"/>
  <c r="FH5" i="19"/>
  <c r="CU5" i="19"/>
  <c r="GR8" i="19"/>
  <c r="DU8" i="19"/>
  <c r="CI8" i="19"/>
  <c r="CF11" i="19"/>
  <c r="DM8" i="19"/>
  <c r="GA6" i="19"/>
  <c r="EB6" i="19"/>
  <c r="CF5" i="19"/>
  <c r="GW7" i="19"/>
  <c r="CX7" i="19"/>
  <c r="HH4" i="19"/>
  <c r="EN4" i="19"/>
  <c r="CF4" i="19"/>
  <c r="GE11" i="19"/>
  <c r="CX11" i="19"/>
  <c r="HP10" i="19"/>
  <c r="GJ10" i="19"/>
  <c r="BX10" i="19"/>
  <c r="D4248" i="23" s="1"/>
  <c r="GY9" i="19"/>
  <c r="EK9" i="19"/>
  <c r="BM5" i="19"/>
  <c r="FJ5" i="19"/>
  <c r="EW5" i="19"/>
  <c r="HB8" i="19"/>
  <c r="EP8" i="19"/>
  <c r="BJ5" i="19"/>
  <c r="D4432" i="23" s="1"/>
  <c r="EQ6" i="19"/>
  <c r="FB6" i="19"/>
  <c r="DD6" i="19"/>
  <c r="BM11" i="19"/>
  <c r="FV7" i="19"/>
  <c r="CZ7" i="19"/>
  <c r="GZ4" i="19"/>
  <c r="EL4" i="19"/>
  <c r="BN9" i="19"/>
  <c r="D4382" i="23" s="1"/>
  <c r="EY11" i="19"/>
  <c r="CC11" i="19"/>
  <c r="GT10" i="19"/>
  <c r="DO10" i="19"/>
  <c r="DT10" i="19"/>
  <c r="GG9" i="19"/>
  <c r="EJ9" i="19"/>
  <c r="BU5" i="19"/>
  <c r="FG5" i="19"/>
  <c r="DD5" i="19"/>
  <c r="GV8" i="19"/>
  <c r="GF8" i="19"/>
  <c r="BS5" i="19"/>
  <c r="FU6" i="19"/>
  <c r="CB10" i="19"/>
  <c r="EX5" i="19"/>
  <c r="HP26" i="19"/>
  <c r="GT26" i="19"/>
  <c r="GN26" i="19"/>
  <c r="GS26" i="19"/>
  <c r="GJ26" i="19"/>
  <c r="FJ26" i="19"/>
  <c r="EW26" i="19"/>
  <c r="FT26" i="19"/>
  <c r="FH26" i="19"/>
  <c r="FO26" i="19"/>
  <c r="FG26" i="19"/>
  <c r="EH26" i="19"/>
  <c r="EA26" i="19"/>
  <c r="CG26" i="19"/>
  <c r="DQ26" i="19"/>
  <c r="DL26" i="19"/>
  <c r="DB26" i="19"/>
  <c r="CZ26" i="19"/>
  <c r="BZ26" i="19"/>
  <c r="CK26" i="19"/>
  <c r="BK26" i="19"/>
  <c r="HI18" i="19"/>
  <c r="HM18" i="19"/>
  <c r="GV18" i="19"/>
  <c r="GP18" i="19"/>
  <c r="FX18" i="19"/>
  <c r="GB18" i="19"/>
  <c r="FR18" i="19"/>
  <c r="FD18" i="19"/>
  <c r="FP18" i="19"/>
  <c r="DO18" i="19"/>
  <c r="DN18" i="19"/>
  <c r="EQ18" i="19"/>
  <c r="DR18" i="19"/>
  <c r="CG18" i="19"/>
  <c r="EF18" i="19"/>
  <c r="CX18" i="19"/>
  <c r="DI18" i="19"/>
  <c r="CE18" i="19"/>
  <c r="BX18" i="19"/>
  <c r="D4256" i="23" s="1"/>
  <c r="BS18" i="19"/>
  <c r="CJ18" i="19"/>
  <c r="HG25" i="19"/>
  <c r="HC25" i="19"/>
  <c r="GZ25" i="19"/>
  <c r="GY25" i="19"/>
  <c r="FY25" i="19"/>
  <c r="FH25" i="19"/>
  <c r="GX25" i="19"/>
  <c r="EQ25" i="19"/>
  <c r="EX25" i="19"/>
  <c r="DE25" i="19"/>
  <c r="EO25" i="19"/>
  <c r="EH25" i="19"/>
  <c r="DX25" i="19"/>
  <c r="BW25" i="19"/>
  <c r="DK25" i="19"/>
  <c r="EA25" i="19"/>
  <c r="DA25" i="19"/>
  <c r="CX25" i="19"/>
  <c r="FM25" i="19"/>
  <c r="BM25" i="19"/>
  <c r="BI25" i="19"/>
  <c r="HL17" i="19"/>
  <c r="HS17" i="19"/>
  <c r="GM17" i="19"/>
  <c r="GN17" i="19"/>
  <c r="FW17" i="19"/>
  <c r="GB17" i="19"/>
  <c r="FK17" i="19"/>
  <c r="FB17" i="19"/>
  <c r="FN17" i="19"/>
  <c r="DM17" i="19"/>
  <c r="DW17" i="19"/>
  <c r="DY17" i="19"/>
  <c r="DP17" i="19"/>
  <c r="DB17" i="19"/>
  <c r="BY17" i="19"/>
  <c r="DH17" i="19"/>
  <c r="ER17" i="19"/>
  <c r="EW17" i="19"/>
  <c r="CK17" i="19"/>
  <c r="EP17" i="19"/>
  <c r="BN17" i="19"/>
  <c r="D4390" i="23" s="1"/>
  <c r="HM24" i="19"/>
  <c r="HI24" i="19"/>
  <c r="HP24" i="19"/>
  <c r="HF24" i="19"/>
  <c r="GV24" i="19"/>
  <c r="FT24" i="19"/>
  <c r="FA24" i="19"/>
  <c r="GJ24" i="19"/>
  <c r="EV24" i="19"/>
  <c r="HO26" i="19"/>
  <c r="HH26" i="19"/>
  <c r="GL26" i="19"/>
  <c r="HR26" i="19"/>
  <c r="GK26" i="19"/>
  <c r="GA26" i="19"/>
  <c r="FB26" i="19"/>
  <c r="EO26" i="19"/>
  <c r="FR26" i="19"/>
  <c r="EZ26" i="19"/>
  <c r="EP26" i="19"/>
  <c r="EL26" i="19"/>
  <c r="EF26" i="19"/>
  <c r="DS26" i="19"/>
  <c r="BY26" i="19"/>
  <c r="DM26" i="19"/>
  <c r="CX26" i="19"/>
  <c r="CF26" i="19"/>
  <c r="CS26" i="19"/>
  <c r="BV26" i="19"/>
  <c r="D4291" i="23" s="1"/>
  <c r="BS26" i="19"/>
  <c r="FU26" i="19"/>
  <c r="HA18" i="19"/>
  <c r="HE18" i="19"/>
  <c r="GN18" i="19"/>
  <c r="HJ18" i="19"/>
  <c r="GA18" i="19"/>
  <c r="FW18" i="19"/>
  <c r="FM18" i="19"/>
  <c r="EV18" i="19"/>
  <c r="FH18" i="19"/>
  <c r="DG18" i="19"/>
  <c r="GE18" i="19"/>
  <c r="EA18" i="19"/>
  <c r="EH18" i="19"/>
  <c r="BY18" i="19"/>
  <c r="EB18" i="19"/>
  <c r="CP18" i="19"/>
  <c r="DF18" i="19"/>
  <c r="CC18" i="19"/>
  <c r="DB18" i="19"/>
  <c r="BO18" i="19"/>
  <c r="BP18" i="19"/>
  <c r="D4364" i="23" s="1"/>
  <c r="HN25" i="19"/>
  <c r="HD25" i="19"/>
  <c r="GT25" i="19"/>
  <c r="GQ25" i="19"/>
  <c r="HH25" i="19"/>
  <c r="EZ25" i="19"/>
  <c r="GS25" i="19"/>
  <c r="EI25" i="19"/>
  <c r="FT25" i="19"/>
  <c r="EV25" i="19"/>
  <c r="DW25" i="19"/>
  <c r="EG25" i="19"/>
  <c r="DP25" i="19"/>
  <c r="DS25" i="19"/>
  <c r="DH25" i="19"/>
  <c r="DJ25" i="19"/>
  <c r="CS25" i="19"/>
  <c r="CQ25" i="19"/>
  <c r="DZ25" i="19"/>
  <c r="BL25" i="19"/>
  <c r="D4425" i="23" s="1"/>
  <c r="BU25" i="19"/>
  <c r="HO17" i="19"/>
  <c r="HK17" i="19"/>
  <c r="HB17" i="19"/>
  <c r="HP17" i="19"/>
  <c r="GS17" i="19"/>
  <c r="GK17" i="19"/>
  <c r="FC17" i="19"/>
  <c r="ET17" i="19"/>
  <c r="FF17" i="19"/>
  <c r="GL17" i="19"/>
  <c r="FR17" i="19"/>
  <c r="DQ17" i="19"/>
  <c r="EV17" i="19"/>
  <c r="CT17" i="19"/>
  <c r="FD17" i="19"/>
  <c r="DG17" i="19"/>
  <c r="DO17" i="19"/>
  <c r="EL17" i="19"/>
  <c r="CX17" i="19"/>
  <c r="BL17" i="19"/>
  <c r="D4417" i="23" s="1"/>
  <c r="BK17" i="19"/>
  <c r="HE24" i="19"/>
  <c r="HA24" i="19"/>
  <c r="HB24" i="19"/>
  <c r="GW24" i="19"/>
  <c r="GE24" i="19"/>
  <c r="FS24" i="19"/>
  <c r="ES24" i="19"/>
  <c r="FM24" i="19"/>
  <c r="GF24" i="19"/>
  <c r="DU24" i="19"/>
  <c r="FJ24" i="19"/>
  <c r="DG24" i="19"/>
  <c r="DV24" i="19"/>
  <c r="CZ24" i="19"/>
  <c r="CE24" i="19"/>
  <c r="CY24" i="19"/>
  <c r="CB24" i="19"/>
  <c r="DE24" i="19"/>
  <c r="CN24" i="19"/>
  <c r="BK24" i="19"/>
  <c r="BL24" i="19"/>
  <c r="D4424" i="23" s="1"/>
  <c r="HU16" i="19"/>
  <c r="HI16" i="19"/>
  <c r="GR16" i="19"/>
  <c r="GZ16" i="19"/>
  <c r="GB16" i="19"/>
  <c r="FN16" i="19"/>
  <c r="ES16" i="19"/>
  <c r="GN16" i="19"/>
  <c r="FL16" i="19"/>
  <c r="DK16" i="19"/>
  <c r="GL16" i="19"/>
  <c r="FB16" i="19"/>
  <c r="EE16" i="19"/>
  <c r="DN16" i="19"/>
  <c r="DQ16" i="19"/>
  <c r="CM16" i="19"/>
  <c r="CQ16" i="19"/>
  <c r="DD16" i="19"/>
  <c r="CA16" i="19"/>
  <c r="BH16" i="19"/>
  <c r="D4470" i="23" s="1"/>
  <c r="BS16" i="19"/>
  <c r="HC27" i="19"/>
  <c r="HG27" i="19"/>
  <c r="GP27" i="19"/>
  <c r="GM27" i="19"/>
  <c r="GC27" i="19"/>
  <c r="GL27" i="19"/>
  <c r="EQ27" i="19"/>
  <c r="GD27" i="19"/>
  <c r="FB27" i="19"/>
  <c r="EJ27" i="19"/>
  <c r="DS27" i="19"/>
  <c r="FQ27" i="19"/>
  <c r="DK27" i="19"/>
  <c r="ES27" i="19"/>
  <c r="CC27" i="19"/>
  <c r="DV27" i="19"/>
  <c r="CL27" i="19"/>
  <c r="CG27" i="19"/>
  <c r="CF27" i="19"/>
  <c r="BR27" i="19"/>
  <c r="D4346" i="23" s="1"/>
  <c r="BM27" i="19"/>
  <c r="HS23" i="19"/>
  <c r="HT23" i="19"/>
  <c r="GQ23" i="19"/>
  <c r="GR23" i="19"/>
  <c r="FS23" i="19"/>
  <c r="FX23" i="19"/>
  <c r="FT23" i="19"/>
  <c r="FN23" i="19"/>
  <c r="EE23" i="19"/>
  <c r="FI23" i="19"/>
  <c r="FE23" i="19"/>
  <c r="DZ23" i="19"/>
  <c r="EP23" i="19"/>
  <c r="CY23" i="19"/>
  <c r="CH23" i="19"/>
  <c r="CJ23" i="19"/>
  <c r="DK23" i="19"/>
  <c r="CM23" i="19"/>
  <c r="DG23" i="19"/>
  <c r="BH23" i="19"/>
  <c r="D4477" i="23" s="1"/>
  <c r="BK23" i="19"/>
  <c r="HP15" i="19"/>
  <c r="HM15" i="19"/>
  <c r="GY15" i="19"/>
  <c r="GK15" i="19"/>
  <c r="FS15" i="19"/>
  <c r="GF15" i="19"/>
  <c r="EQ15" i="19"/>
  <c r="FV15" i="19"/>
  <c r="GD15" i="19"/>
  <c r="DY15" i="19"/>
  <c r="DP15" i="19"/>
  <c r="EH15" i="19"/>
  <c r="FQ15" i="19"/>
  <c r="CA15" i="19"/>
  <c r="FH15" i="19"/>
  <c r="CR15" i="19"/>
  <c r="DV15" i="19"/>
  <c r="CM15" i="19"/>
  <c r="CG15" i="19"/>
  <c r="BH15" i="19"/>
  <c r="D4469" i="23" s="1"/>
  <c r="HG26" i="19"/>
  <c r="HS26" i="19"/>
  <c r="HT26" i="19"/>
  <c r="GY26" i="19"/>
  <c r="GG26" i="19"/>
  <c r="FS26" i="19"/>
  <c r="ET26" i="19"/>
  <c r="EG26" i="19"/>
  <c r="FI26" i="19"/>
  <c r="FW26" i="19"/>
  <c r="EN26" i="19"/>
  <c r="EJ26" i="19"/>
  <c r="EE26" i="19"/>
  <c r="DK26" i="19"/>
  <c r="DJ26" i="19"/>
  <c r="DD26" i="19"/>
  <c r="CP26" i="19"/>
  <c r="BX26" i="19"/>
  <c r="D4264" i="23" s="1"/>
  <c r="CJ26" i="19"/>
  <c r="BL26" i="19"/>
  <c r="D4426" i="23" s="1"/>
  <c r="BQ26" i="19"/>
  <c r="BJ26" i="19"/>
  <c r="D4453" i="23" s="1"/>
  <c r="HP18" i="19"/>
  <c r="HL18" i="19"/>
  <c r="HT18" i="19"/>
  <c r="GS18" i="19"/>
  <c r="FS18" i="19"/>
  <c r="FU18" i="19"/>
  <c r="FE18" i="19"/>
  <c r="GH18" i="19"/>
  <c r="EZ18" i="19"/>
  <c r="GC18" i="19"/>
  <c r="EX18" i="19"/>
  <c r="DS18" i="19"/>
  <c r="DT18" i="19"/>
  <c r="EC18" i="19"/>
  <c r="CY18" i="19"/>
  <c r="CH18" i="19"/>
  <c r="DA18" i="19"/>
  <c r="CR18" i="19"/>
  <c r="CT18" i="19"/>
  <c r="BU18" i="19"/>
  <c r="BK18" i="19"/>
  <c r="HF25" i="19"/>
  <c r="HB25" i="19"/>
  <c r="GL25" i="19"/>
  <c r="GI25" i="19"/>
  <c r="HE25" i="19"/>
  <c r="GH25" i="19"/>
  <c r="FJ25" i="19"/>
  <c r="GA25" i="19"/>
  <c r="FD25" i="19"/>
  <c r="ES25" i="19"/>
  <c r="EN25" i="19"/>
  <c r="DY25" i="19"/>
  <c r="FR25" i="19"/>
  <c r="DB25" i="19"/>
  <c r="DG25" i="19"/>
  <c r="DF25" i="19"/>
  <c r="CK25" i="19"/>
  <c r="CH25" i="19"/>
  <c r="CR25" i="19"/>
  <c r="BH25" i="19"/>
  <c r="D4479" i="23" s="1"/>
  <c r="BR25" i="19"/>
  <c r="D4344" i="23" s="1"/>
  <c r="HG17" i="19"/>
  <c r="HC17" i="19"/>
  <c r="GT17" i="19"/>
  <c r="GY17" i="19"/>
  <c r="GD17" i="19"/>
  <c r="FP17" i="19"/>
  <c r="EU17" i="19"/>
  <c r="FZ17" i="19"/>
  <c r="EX17" i="19"/>
  <c r="GA17" i="19"/>
  <c r="ED17" i="19"/>
  <c r="DI17" i="19"/>
  <c r="DZ17" i="19"/>
  <c r="CL17" i="19"/>
  <c r="DD17" i="19"/>
  <c r="DA17" i="19"/>
  <c r="CH17" i="19"/>
  <c r="CR17" i="19"/>
  <c r="CQ17" i="19"/>
  <c r="BH17" i="19"/>
  <c r="D4471" i="23" s="1"/>
  <c r="BX17" i="19"/>
  <c r="D4255" i="23" s="1"/>
  <c r="HT24" i="19"/>
  <c r="HH24" i="19"/>
  <c r="GR24" i="19"/>
  <c r="GO24" i="19"/>
  <c r="FW24" i="19"/>
  <c r="FN24" i="19"/>
  <c r="EK24" i="19"/>
  <c r="FE24" i="19"/>
  <c r="EA24" i="19"/>
  <c r="FO24" i="19"/>
  <c r="FG24" i="19"/>
  <c r="GY24" i="19"/>
  <c r="DN24" i="19"/>
  <c r="CR24" i="19"/>
  <c r="ET24" i="19"/>
  <c r="CQ24" i="19"/>
  <c r="CA24" i="19"/>
  <c r="DM24" i="19"/>
  <c r="DF24" i="19"/>
  <c r="BH24" i="19"/>
  <c r="D4478" i="23" s="1"/>
  <c r="BO24" i="19"/>
  <c r="HM16" i="19"/>
  <c r="HA16" i="19"/>
  <c r="HN16" i="19"/>
  <c r="GW16" i="19"/>
  <c r="GE16" i="19"/>
  <c r="FF16" i="19"/>
  <c r="EK16" i="19"/>
  <c r="FR16" i="19"/>
  <c r="FD16" i="19"/>
  <c r="FO16" i="19"/>
  <c r="FJ16" i="19"/>
  <c r="EY16" i="19"/>
  <c r="DW16" i="19"/>
  <c r="EQ16" i="19"/>
  <c r="CZ16" i="19"/>
  <c r="CE16" i="19"/>
  <c r="CX16" i="19"/>
  <c r="CW16" i="19"/>
  <c r="BY16" i="19"/>
  <c r="BW16" i="19"/>
  <c r="BO16" i="19"/>
  <c r="HR27" i="19"/>
  <c r="GZ27" i="19"/>
  <c r="HL27" i="19"/>
  <c r="HN27" i="19"/>
  <c r="FU27" i="19"/>
  <c r="FL27" i="19"/>
  <c r="EI27" i="19"/>
  <c r="FP27" i="19"/>
  <c r="ET27" i="19"/>
  <c r="EH27" i="19"/>
  <c r="DZ27" i="19"/>
  <c r="FM27" i="19"/>
  <c r="DF27" i="19"/>
  <c r="CX27" i="19"/>
  <c r="FT27" i="19"/>
  <c r="DN27" i="19"/>
  <c r="EP27" i="19"/>
  <c r="BZ27" i="19"/>
  <c r="BX27" i="19"/>
  <c r="D4265" i="23" s="1"/>
  <c r="BP27" i="19"/>
  <c r="D4373" i="23" s="1"/>
  <c r="DH27" i="19"/>
  <c r="HK23" i="19"/>
  <c r="HO23" i="19"/>
  <c r="GI23" i="19"/>
  <c r="HL23" i="19"/>
  <c r="GO23" i="19"/>
  <c r="HF23" i="19"/>
  <c r="FO23" i="19"/>
  <c r="FF23" i="19"/>
  <c r="GJ23" i="19"/>
  <c r="EF23" i="19"/>
  <c r="FA23" i="19"/>
  <c r="DR23" i="19"/>
  <c r="EO23" i="19"/>
  <c r="CQ23" i="19"/>
  <c r="DA23" i="19"/>
  <c r="EH23" i="19"/>
  <c r="CN23" i="19"/>
  <c r="CG23" i="19"/>
  <c r="DD23" i="19"/>
  <c r="BU23" i="19"/>
  <c r="BJ23" i="19"/>
  <c r="D4450" i="23" s="1"/>
  <c r="HH15" i="19"/>
  <c r="HE15" i="19"/>
  <c r="GQ15" i="19"/>
  <c r="HN26" i="19"/>
  <c r="HK26" i="19"/>
  <c r="HJ26" i="19"/>
  <c r="GQ26" i="19"/>
  <c r="FY26" i="19"/>
  <c r="HB26" i="19"/>
  <c r="GR26" i="19"/>
  <c r="GB26" i="19"/>
  <c r="FA26" i="19"/>
  <c r="ER26" i="19"/>
  <c r="EM26" i="19"/>
  <c r="EI26" i="19"/>
  <c r="DX26" i="19"/>
  <c r="DZ26" i="19"/>
  <c r="DH26" i="19"/>
  <c r="CY26" i="19"/>
  <c r="CH26" i="19"/>
  <c r="BW26" i="19"/>
  <c r="CE26" i="19"/>
  <c r="BI26" i="19"/>
  <c r="BH26" i="19"/>
  <c r="D4480" i="23" s="1"/>
  <c r="HO18" i="19"/>
  <c r="HH18" i="19"/>
  <c r="GT18" i="19"/>
  <c r="GZ18" i="19"/>
  <c r="GK18" i="19"/>
  <c r="HR18" i="19"/>
  <c r="FJ18" i="19"/>
  <c r="EW18" i="19"/>
  <c r="FQ18" i="19"/>
  <c r="FN18" i="19"/>
  <c r="FF18" i="19"/>
  <c r="EU18" i="19"/>
  <c r="DK18" i="19"/>
  <c r="DQ18" i="19"/>
  <c r="DL18" i="19"/>
  <c r="CQ18" i="19"/>
  <c r="DC18" i="19"/>
  <c r="DJ18" i="19"/>
  <c r="CD18" i="19"/>
  <c r="BV18" i="19"/>
  <c r="D4283" i="23" s="1"/>
  <c r="BR18" i="19"/>
  <c r="D4337" i="23" s="1"/>
  <c r="BM18" i="19"/>
  <c r="HU25" i="19"/>
  <c r="HQ25" i="19"/>
  <c r="GR25" i="19"/>
  <c r="GW25" i="19"/>
  <c r="GE25" i="19"/>
  <c r="GK25" i="19"/>
  <c r="FK25" i="19"/>
  <c r="FB25" i="19"/>
  <c r="FV25" i="19"/>
  <c r="FA25" i="19"/>
  <c r="EB25" i="19"/>
  <c r="EL25" i="19"/>
  <c r="DQ25" i="19"/>
  <c r="FI25" i="19"/>
  <c r="CT25" i="19"/>
  <c r="CW25" i="19"/>
  <c r="DD25" i="19"/>
  <c r="CY25" i="19"/>
  <c r="CB25" i="19"/>
  <c r="DO25" i="19"/>
  <c r="BO25" i="19"/>
  <c r="BP25" i="19"/>
  <c r="D4371" i="23" s="1"/>
  <c r="HN17" i="19"/>
  <c r="HR17" i="19"/>
  <c r="HH17" i="19"/>
  <c r="GQ17" i="19"/>
  <c r="GG17" i="19"/>
  <c r="FH17" i="19"/>
  <c r="EM17" i="19"/>
  <c r="FO17" i="19"/>
  <c r="EJ17" i="19"/>
  <c r="EF17" i="19"/>
  <c r="DV17" i="19"/>
  <c r="FL17" i="19"/>
  <c r="DC17" i="19"/>
  <c r="EN17" i="19"/>
  <c r="CV17" i="19"/>
  <c r="CS17" i="19"/>
  <c r="DS17" i="19"/>
  <c r="CD17" i="19"/>
  <c r="CJ17" i="19"/>
  <c r="BZ17" i="19"/>
  <c r="BT17" i="19"/>
  <c r="D4309" i="23" s="1"/>
  <c r="HS24" i="19"/>
  <c r="HL24" i="19"/>
  <c r="GX24" i="19"/>
  <c r="GZ24" i="19"/>
  <c r="GN24" i="19"/>
  <c r="GQ24" i="19"/>
  <c r="FF24" i="19"/>
  <c r="GI24" i="19"/>
  <c r="EW24" i="19"/>
  <c r="DS24" i="19"/>
  <c r="FK24" i="19"/>
  <c r="FC24" i="19"/>
  <c r="FB24" i="19"/>
  <c r="HF26" i="19"/>
  <c r="HC26" i="19"/>
  <c r="GZ26" i="19"/>
  <c r="GI26" i="19"/>
  <c r="FQ26" i="19"/>
  <c r="FZ26" i="19"/>
  <c r="GM26" i="19"/>
  <c r="FL26" i="19"/>
  <c r="ES26" i="19"/>
  <c r="EQ26" i="19"/>
  <c r="DV26" i="19"/>
  <c r="DY26" i="19"/>
  <c r="DP26" i="19"/>
  <c r="DR26" i="19"/>
  <c r="DF26" i="19"/>
  <c r="CQ26" i="19"/>
  <c r="EB26" i="19"/>
  <c r="CT26" i="19"/>
  <c r="CC26" i="19"/>
  <c r="CR26" i="19"/>
  <c r="BU26" i="19"/>
  <c r="HG18" i="19"/>
  <c r="HS18" i="19"/>
  <c r="GL18" i="19"/>
  <c r="GY18" i="19"/>
  <c r="GR18" i="19"/>
  <c r="GU18" i="19"/>
  <c r="FB18" i="19"/>
  <c r="EO18" i="19"/>
  <c r="FI18" i="19"/>
  <c r="FK18" i="19"/>
  <c r="FC18" i="19"/>
  <c r="DY18" i="19"/>
  <c r="EP18" i="19"/>
  <c r="DM18" i="19"/>
  <c r="DD18" i="19"/>
  <c r="CI18" i="19"/>
  <c r="CU18" i="19"/>
  <c r="DH18" i="19"/>
  <c r="CB18" i="19"/>
  <c r="DU18" i="19"/>
  <c r="BN18" i="19"/>
  <c r="D4391" i="23" s="1"/>
  <c r="BJ18" i="19"/>
  <c r="D4445" i="23" s="1"/>
  <c r="HM25" i="19"/>
  <c r="HI25" i="19"/>
  <c r="HP25" i="19"/>
  <c r="GO25" i="19"/>
  <c r="FW25" i="19"/>
  <c r="GF25" i="19"/>
  <c r="FC25" i="19"/>
  <c r="ET25" i="19"/>
  <c r="FU25" i="19"/>
  <c r="EW25" i="19"/>
  <c r="DT25" i="19"/>
  <c r="EK25" i="19"/>
  <c r="DI25" i="19"/>
  <c r="DC25" i="19"/>
  <c r="CL25" i="19"/>
  <c r="CO25" i="19"/>
  <c r="CV25" i="19"/>
  <c r="CI25" i="19"/>
  <c r="BZ25" i="19"/>
  <c r="CJ25" i="19"/>
  <c r="BT25" i="19"/>
  <c r="D4317" i="23" s="1"/>
  <c r="CZ25" i="19"/>
  <c r="HF17" i="19"/>
  <c r="HE17" i="19"/>
  <c r="GW17" i="19"/>
  <c r="GI17" i="19"/>
  <c r="FY17" i="19"/>
  <c r="EZ17" i="19"/>
  <c r="FV17" i="19"/>
  <c r="FG17" i="19"/>
  <c r="EH17" i="19"/>
  <c r="EB17" i="19"/>
  <c r="DN17" i="19"/>
  <c r="FI17" i="19"/>
  <c r="CU17" i="19"/>
  <c r="DE17" i="19"/>
  <c r="CN17" i="19"/>
  <c r="FA17" i="19"/>
  <c r="DF17" i="19"/>
  <c r="CC17" i="19"/>
  <c r="BJ17" i="19"/>
  <c r="D4444" i="23" s="1"/>
  <c r="BS17" i="19"/>
  <c r="BQ17" i="19"/>
  <c r="HK24" i="19"/>
  <c r="HD24" i="19"/>
  <c r="GP24" i="19"/>
  <c r="GU24" i="19"/>
  <c r="GC24" i="19"/>
  <c r="GD24" i="19"/>
  <c r="EX24" i="19"/>
  <c r="GG24" i="19"/>
  <c r="EO24" i="19"/>
  <c r="DK24" i="19"/>
  <c r="ER24" i="19"/>
  <c r="EP24" i="19"/>
  <c r="EY24" i="19"/>
  <c r="CS24" i="19"/>
  <c r="ED24" i="19"/>
  <c r="DI24" i="19"/>
  <c r="CG24" i="19"/>
  <c r="FY24" i="19"/>
  <c r="CV24" i="19"/>
  <c r="BR24" i="19"/>
  <c r="D4343" i="23" s="1"/>
  <c r="DD24" i="19"/>
  <c r="BI24" i="19"/>
  <c r="HT16" i="19"/>
  <c r="GP16" i="19"/>
  <c r="GU16" i="19"/>
  <c r="GI16" i="19"/>
  <c r="GD16" i="19"/>
  <c r="GF16" i="19"/>
  <c r="GV16" i="19"/>
  <c r="FE16" i="19"/>
  <c r="EP16" i="19"/>
  <c r="EL16" i="19"/>
  <c r="FC16" i="19"/>
  <c r="EB16" i="19"/>
  <c r="DG16" i="19"/>
  <c r="DF16" i="19"/>
  <c r="CJ16" i="19"/>
  <c r="CT16" i="19"/>
  <c r="CP16" i="19"/>
  <c r="DJ16" i="19"/>
  <c r="BX16" i="19"/>
  <c r="D4254" i="23" s="1"/>
  <c r="BV16" i="19"/>
  <c r="D4281" i="23" s="1"/>
  <c r="BR16" i="19"/>
  <c r="D4335" i="23" s="1"/>
  <c r="HI27" i="19"/>
  <c r="HU27" i="19"/>
  <c r="GN27" i="19"/>
  <c r="GK27" i="19"/>
  <c r="FS27" i="19"/>
  <c r="GH27" i="19"/>
  <c r="EV27" i="19"/>
  <c r="FW27" i="19"/>
  <c r="FC27" i="19"/>
  <c r="EL27" i="19"/>
  <c r="DX27" i="19"/>
  <c r="DJ27" i="19"/>
  <c r="EB27" i="19"/>
  <c r="CY27" i="19"/>
  <c r="CH27" i="19"/>
  <c r="CZ27" i="19"/>
  <c r="CO27" i="19"/>
  <c r="CV27" i="19"/>
  <c r="BW27" i="19"/>
  <c r="BN27" i="19"/>
  <c r="D4400" i="23" s="1"/>
  <c r="BT27" i="19"/>
  <c r="D4319" i="23" s="1"/>
  <c r="BL27" i="19"/>
  <c r="D4427" i="23" s="1"/>
  <c r="HR23" i="19"/>
  <c r="HN23" i="19"/>
  <c r="GP23" i="19"/>
  <c r="GU23" i="19"/>
  <c r="GC23" i="19"/>
  <c r="FW23" i="19"/>
  <c r="EY23" i="19"/>
  <c r="FY23" i="19"/>
  <c r="FB23" i="19"/>
  <c r="DY23" i="19"/>
  <c r="DP23" i="19"/>
  <c r="ES23" i="19"/>
  <c r="DT23" i="19"/>
  <c r="CA23" i="19"/>
  <c r="CK23" i="19"/>
  <c r="DE23" i="19"/>
  <c r="DC23" i="19"/>
  <c r="CB23" i="19"/>
  <c r="EJ23" i="19"/>
  <c r="BQ23" i="19"/>
  <c r="BI23" i="19"/>
  <c r="HK15" i="19"/>
  <c r="HO15" i="19"/>
  <c r="HF15" i="19"/>
  <c r="HB15" i="19"/>
  <c r="GC15" i="19"/>
  <c r="EV15" i="19"/>
  <c r="FN15" i="19"/>
  <c r="FC15" i="19"/>
  <c r="FB15" i="19"/>
  <c r="FY15" i="19"/>
  <c r="EL15" i="19"/>
  <c r="DR15" i="19"/>
  <c r="DL15" i="19"/>
  <c r="DJ15" i="19"/>
  <c r="CS15" i="19"/>
  <c r="ED15" i="19"/>
  <c r="BZ15" i="19"/>
  <c r="FE15" i="19"/>
  <c r="CF15" i="19"/>
  <c r="BU15" i="19"/>
  <c r="HQ26" i="19"/>
  <c r="HU26" i="19"/>
  <c r="GW26" i="19"/>
  <c r="HL26" i="19"/>
  <c r="GF26" i="19"/>
  <c r="GU26" i="19"/>
  <c r="GC26" i="19"/>
  <c r="FD26" i="19"/>
  <c r="EK26" i="19"/>
  <c r="DW26" i="19"/>
  <c r="DN26" i="19"/>
  <c r="FF26" i="19"/>
  <c r="EX26" i="19"/>
  <c r="DI26" i="19"/>
  <c r="DE26" i="19"/>
  <c r="CI26" i="19"/>
  <c r="DC26" i="19"/>
  <c r="CL26" i="19"/>
  <c r="EC26" i="19"/>
  <c r="BO26" i="19"/>
  <c r="BR26" i="19"/>
  <c r="D4345" i="23" s="1"/>
  <c r="HN18" i="19"/>
  <c r="HK18" i="19"/>
  <c r="HB18" i="19"/>
  <c r="GQ18" i="19"/>
  <c r="GG18" i="19"/>
  <c r="GM18" i="19"/>
  <c r="ET18" i="19"/>
  <c r="EG18" i="19"/>
  <c r="FA18" i="19"/>
  <c r="FG18" i="19"/>
  <c r="EY18" i="19"/>
  <c r="DX18" i="19"/>
  <c r="EN18" i="19"/>
  <c r="DE18" i="19"/>
  <c r="CV18" i="19"/>
  <c r="CA18" i="19"/>
  <c r="CM18" i="19"/>
  <c r="CZ18" i="19"/>
  <c r="BZ18" i="19"/>
  <c r="BW18" i="19"/>
  <c r="BT18" i="19"/>
  <c r="D4310" i="23" s="1"/>
  <c r="HT25" i="19"/>
  <c r="HA25" i="19"/>
  <c r="GU25" i="19"/>
  <c r="HR25" i="19"/>
  <c r="GD25" i="19"/>
  <c r="FX25" i="19"/>
  <c r="EU25" i="19"/>
  <c r="FO25" i="19"/>
  <c r="FS25" i="19"/>
  <c r="EC25" i="19"/>
  <c r="DL25" i="19"/>
  <c r="DV25" i="19"/>
  <c r="GJ25" i="19"/>
  <c r="CU25" i="19"/>
  <c r="GC25" i="19"/>
  <c r="CG25" i="19"/>
  <c r="CN25" i="19"/>
  <c r="CD25" i="19"/>
  <c r="FZ25" i="19"/>
  <c r="BX25" i="19"/>
  <c r="D4263" i="23" s="1"/>
  <c r="BN25" i="19"/>
  <c r="D4398" i="23" s="1"/>
  <c r="HU17" i="19"/>
  <c r="HQ17" i="19"/>
  <c r="GR17" i="19"/>
  <c r="GO17" i="19"/>
  <c r="HJ17" i="19"/>
  <c r="GF17" i="19"/>
  <c r="GP17" i="19"/>
  <c r="FU17" i="19"/>
  <c r="EY17" i="19"/>
  <c r="EG17" i="19"/>
  <c r="DT17" i="19"/>
  <c r="FT17" i="19"/>
  <c r="FE17" i="19"/>
  <c r="CM17" i="19"/>
  <c r="CW17" i="19"/>
  <c r="EK17" i="19"/>
  <c r="CP17" i="19"/>
  <c r="DK17" i="19"/>
  <c r="CA17" i="19"/>
  <c r="BI17" i="19"/>
  <c r="BO17" i="19"/>
  <c r="CB17" i="19"/>
  <c r="HR24" i="19"/>
  <c r="HO24" i="19"/>
  <c r="HC24" i="19"/>
  <c r="GM24" i="19"/>
  <c r="FU24" i="19"/>
  <c r="GH24" i="19"/>
  <c r="FR24" i="19"/>
  <c r="FP24" i="19"/>
  <c r="EG24" i="19"/>
  <c r="FV24" i="19"/>
  <c r="EQ24" i="19"/>
  <c r="EN24" i="19"/>
  <c r="EU24" i="19"/>
  <c r="CK24" i="19"/>
  <c r="DX24" i="19"/>
  <c r="DB24" i="19"/>
  <c r="CD24" i="19"/>
  <c r="EH24" i="19"/>
  <c r="CO24" i="19"/>
  <c r="BP24" i="19"/>
  <c r="D4370" i="23" s="1"/>
  <c r="BV24" i="19"/>
  <c r="D4289" i="23" s="1"/>
  <c r="HS16" i="19"/>
  <c r="HL16" i="19"/>
  <c r="HF16" i="19"/>
  <c r="GM16" i="19"/>
  <c r="GC16" i="19"/>
  <c r="GQ16" i="19"/>
  <c r="FY16" i="19"/>
  <c r="FX16" i="19"/>
  <c r="EW16" i="19"/>
  <c r="EN16" i="19"/>
  <c r="EJ16" i="19"/>
  <c r="EH16" i="19"/>
  <c r="DT16" i="19"/>
  <c r="FV16" i="19"/>
  <c r="DA16" i="19"/>
  <c r="DP16" i="19"/>
  <c r="CL16" i="19"/>
  <c r="DE16" i="19"/>
  <c r="CV16" i="19"/>
  <c r="BP16" i="19"/>
  <c r="D4362" i="23" s="1"/>
  <c r="BM16" i="19"/>
  <c r="BN16" i="19"/>
  <c r="D4389" i="23" s="1"/>
  <c r="HP27" i="19"/>
  <c r="HM27" i="19"/>
  <c r="GY27" i="19"/>
  <c r="HF27" i="19"/>
  <c r="GW27" i="19"/>
  <c r="GB27" i="19"/>
  <c r="GG27" i="19"/>
  <c r="FN27" i="19"/>
  <c r="EU27" i="19"/>
  <c r="EK27" i="19"/>
  <c r="DP27" i="19"/>
  <c r="EC27" i="19"/>
  <c r="DT27" i="19"/>
  <c r="CQ27" i="19"/>
  <c r="ER27" i="19"/>
  <c r="CR27" i="19"/>
  <c r="FH27" i="19"/>
  <c r="CE27" i="19"/>
  <c r="FR27" i="19"/>
  <c r="BQ27" i="19"/>
  <c r="BK27" i="19"/>
  <c r="HQ23" i="19"/>
  <c r="HJ23" i="19"/>
  <c r="GV23" i="19"/>
  <c r="HB23" i="19"/>
  <c r="GM23" i="19"/>
  <c r="FU23" i="19"/>
  <c r="FL23" i="19"/>
  <c r="EQ23" i="19"/>
  <c r="FK23" i="19"/>
  <c r="ET23" i="19"/>
  <c r="DQ23" i="19"/>
  <c r="EZ23" i="19"/>
  <c r="EC23" i="19"/>
  <c r="DL23" i="19"/>
  <c r="EL23" i="19"/>
  <c r="CC23" i="19"/>
  <c r="CW23" i="19"/>
  <c r="DB23" i="19"/>
  <c r="CL23" i="19"/>
  <c r="DW23" i="19"/>
  <c r="BX23" i="19"/>
  <c r="D4261" i="23" s="1"/>
  <c r="BL23" i="19"/>
  <c r="D4423" i="23" s="1"/>
  <c r="HI26" i="19"/>
  <c r="HM26" i="19"/>
  <c r="GO26" i="19"/>
  <c r="GX26" i="19"/>
  <c r="FX26" i="19"/>
  <c r="GD26" i="19"/>
  <c r="FM26" i="19"/>
  <c r="EV26" i="19"/>
  <c r="GE26" i="19"/>
  <c r="DO26" i="19"/>
  <c r="FN26" i="19"/>
  <c r="FC26" i="19"/>
  <c r="EU26" i="19"/>
  <c r="CW26" i="19"/>
  <c r="CV26" i="19"/>
  <c r="CA26" i="19"/>
  <c r="CU26" i="19"/>
  <c r="DT26" i="19"/>
  <c r="CD26" i="19"/>
  <c r="BM26" i="19"/>
  <c r="BP26" i="19"/>
  <c r="D4372" i="23" s="1"/>
  <c r="HF18" i="19"/>
  <c r="HC18" i="19"/>
  <c r="GW18" i="19"/>
  <c r="GI18" i="19"/>
  <c r="FY18" i="19"/>
  <c r="FZ18" i="19"/>
  <c r="FV18" i="19"/>
  <c r="HD18" i="19"/>
  <c r="ES18" i="19"/>
  <c r="EE18" i="19"/>
  <c r="ED18" i="19"/>
  <c r="DP18" i="19"/>
  <c r="EM18" i="19"/>
  <c r="CW18" i="19"/>
  <c r="CN18" i="19"/>
  <c r="GJ18" i="19"/>
  <c r="EJ18" i="19"/>
  <c r="CS18" i="19"/>
  <c r="EI18" i="19"/>
  <c r="BL18" i="19"/>
  <c r="D4418" i="23" s="1"/>
  <c r="BQ18" i="19"/>
  <c r="HL25" i="19"/>
  <c r="HS25" i="19"/>
  <c r="GM25" i="19"/>
  <c r="GV25" i="19"/>
  <c r="GP25" i="19"/>
  <c r="GB25" i="19"/>
  <c r="EM25" i="19"/>
  <c r="FG25" i="19"/>
  <c r="FN25" i="19"/>
  <c r="DU25" i="19"/>
  <c r="ER25" i="19"/>
  <c r="DN25" i="19"/>
  <c r="EF25" i="19"/>
  <c r="CM25" i="19"/>
  <c r="FE25" i="19"/>
  <c r="BY25" i="19"/>
  <c r="CF25" i="19"/>
  <c r="CC25" i="19"/>
  <c r="CP25" i="19"/>
  <c r="BJ25" i="19"/>
  <c r="D4452" i="23" s="1"/>
  <c r="BS25" i="19"/>
  <c r="HM17" i="19"/>
  <c r="HI17" i="19"/>
  <c r="HD17" i="19"/>
  <c r="GZ17" i="19"/>
  <c r="GX17" i="19"/>
  <c r="FX17" i="19"/>
  <c r="GJ17" i="19"/>
  <c r="FS17" i="19"/>
  <c r="EQ17" i="19"/>
  <c r="EC17" i="19"/>
  <c r="DL17" i="19"/>
  <c r="FQ17" i="19"/>
  <c r="ES17" i="19"/>
  <c r="CE17" i="19"/>
  <c r="CO17" i="19"/>
  <c r="DR17" i="19"/>
  <c r="CI17" i="19"/>
  <c r="CZ17" i="19"/>
  <c r="EA17" i="19"/>
  <c r="BV17" i="19"/>
  <c r="D4282" i="23" s="1"/>
  <c r="BU17" i="19"/>
  <c r="BP17" i="19"/>
  <c r="D4363" i="23" s="1"/>
  <c r="HJ24" i="19"/>
  <c r="HG24" i="19"/>
  <c r="GS24" i="19"/>
  <c r="GT24" i="19"/>
  <c r="HN24" i="19"/>
  <c r="FZ24" i="19"/>
  <c r="FQ24" i="19"/>
  <c r="FH24" i="19"/>
  <c r="FL24" i="19"/>
  <c r="DZ24" i="19"/>
  <c r="EB24" i="19"/>
  <c r="EM24" i="19"/>
  <c r="EL24" i="19"/>
  <c r="CC24" i="19"/>
  <c r="DC24" i="19"/>
  <c r="CT24" i="19"/>
  <c r="CX24" i="19"/>
  <c r="CP24" i="19"/>
  <c r="EF24" i="19"/>
  <c r="BS24" i="19"/>
  <c r="HA26" i="19"/>
  <c r="HE26" i="19"/>
  <c r="GV26" i="19"/>
  <c r="GP26" i="19"/>
  <c r="HD26" i="19"/>
  <c r="GH26" i="19"/>
  <c r="FE26" i="19"/>
  <c r="FV26" i="19"/>
  <c r="FP26" i="19"/>
  <c r="DG26" i="19"/>
  <c r="FK26" i="19"/>
  <c r="EY26" i="19"/>
  <c r="ED26" i="19"/>
  <c r="CO26" i="19"/>
  <c r="CN26" i="19"/>
  <c r="DU26" i="19"/>
  <c r="CM26" i="19"/>
  <c r="DA26" i="19"/>
  <c r="CB26" i="19"/>
  <c r="BN26" i="19"/>
  <c r="D4399" i="23" s="1"/>
  <c r="BT26" i="19"/>
  <c r="D4318" i="23" s="1"/>
  <c r="HQ18" i="19"/>
  <c r="HU18" i="19"/>
  <c r="GO18" i="19"/>
  <c r="GX18" i="19"/>
  <c r="GF18" i="19"/>
  <c r="GD18" i="19"/>
  <c r="FT18" i="19"/>
  <c r="FL18" i="19"/>
  <c r="EK18" i="19"/>
  <c r="DW18" i="19"/>
  <c r="DV18" i="19"/>
  <c r="ER18" i="19"/>
  <c r="DZ18" i="19"/>
  <c r="CO18" i="19"/>
  <c r="FO18" i="19"/>
  <c r="EL18" i="19"/>
  <c r="CL18" i="19"/>
  <c r="CF18" i="19"/>
  <c r="CK18" i="19"/>
  <c r="BI18" i="19"/>
  <c r="BH18" i="19"/>
  <c r="D4472" i="23" s="1"/>
  <c r="HO25" i="19"/>
  <c r="HK25" i="19"/>
  <c r="HJ25" i="19"/>
  <c r="GN25" i="19"/>
  <c r="GG25" i="19"/>
  <c r="FP25" i="19"/>
  <c r="EE25" i="19"/>
  <c r="EY25" i="19"/>
  <c r="FF25" i="19"/>
  <c r="DM25" i="19"/>
  <c r="EP25" i="19"/>
  <c r="EJ25" i="19"/>
  <c r="ED25" i="19"/>
  <c r="CE25" i="19"/>
  <c r="DR25" i="19"/>
  <c r="FQ25" i="19"/>
  <c r="FL25" i="19"/>
  <c r="CA25" i="19"/>
  <c r="BV25" i="19"/>
  <c r="D4290" i="23" s="1"/>
  <c r="BK25" i="19"/>
  <c r="BQ25" i="19"/>
  <c r="HT17" i="19"/>
  <c r="HA17" i="19"/>
  <c r="GU17" i="19"/>
  <c r="GV17" i="19"/>
  <c r="GE17" i="19"/>
  <c r="GH17" i="19"/>
  <c r="GC17" i="19"/>
  <c r="FJ17" i="19"/>
  <c r="EI17" i="19"/>
  <c r="DU17" i="19"/>
  <c r="EE17" i="19"/>
  <c r="FM17" i="19"/>
  <c r="DX17" i="19"/>
  <c r="EO17" i="19"/>
  <c r="CG17" i="19"/>
  <c r="DJ17" i="19"/>
  <c r="BW17" i="19"/>
  <c r="CF17" i="19"/>
  <c r="CY17" i="19"/>
  <c r="BM17" i="19"/>
  <c r="BR17" i="19"/>
  <c r="D4336" i="23" s="1"/>
  <c r="HU24" i="19"/>
  <c r="HQ24" i="19"/>
  <c r="GK24" i="19"/>
  <c r="GL24" i="19"/>
  <c r="GB24" i="19"/>
  <c r="GA24" i="19"/>
  <c r="FI24" i="19"/>
  <c r="EZ24" i="19"/>
  <c r="FD24" i="19"/>
  <c r="DR24" i="19"/>
  <c r="DT24" i="19"/>
  <c r="DW24" i="19"/>
  <c r="EJ24" i="19"/>
  <c r="EE24" i="19"/>
  <c r="CU24" i="19"/>
  <c r="CL24" i="19"/>
  <c r="CI24" i="19"/>
  <c r="CH24" i="19"/>
  <c r="DP24" i="19"/>
  <c r="BX24" i="19"/>
  <c r="D4262" i="23" s="1"/>
  <c r="BM24" i="19"/>
  <c r="HR16" i="19"/>
  <c r="HG16" i="19"/>
  <c r="GK16" i="19"/>
  <c r="HB16" i="19"/>
  <c r="GY16" i="19"/>
  <c r="FZ16" i="19"/>
  <c r="FI16" i="19"/>
  <c r="FH16" i="19"/>
  <c r="EG16" i="19"/>
  <c r="EA16" i="19"/>
  <c r="DZ16" i="19"/>
  <c r="EC16" i="19"/>
  <c r="FS16" i="19"/>
  <c r="ED16" i="19"/>
  <c r="CK16" i="19"/>
  <c r="DC16" i="19"/>
  <c r="DX16" i="19"/>
  <c r="DY16" i="19"/>
  <c r="CG16" i="19"/>
  <c r="CD16" i="19"/>
  <c r="CF16" i="19"/>
  <c r="HS27" i="19"/>
  <c r="HT27" i="19"/>
  <c r="GI27" i="19"/>
  <c r="HD27" i="19"/>
  <c r="FZ27" i="19"/>
  <c r="GF27" i="19"/>
  <c r="FG27" i="19"/>
  <c r="EX27" i="19"/>
  <c r="EE27" i="19"/>
  <c r="DQ27" i="19"/>
  <c r="ED27" i="19"/>
  <c r="DM27" i="19"/>
  <c r="GE27" i="19"/>
  <c r="CA27" i="19"/>
  <c r="CS27" i="19"/>
  <c r="EW27" i="19"/>
  <c r="CM27" i="19"/>
  <c r="DO27" i="19"/>
  <c r="DB27" i="19"/>
  <c r="BO27" i="19"/>
  <c r="BJ27" i="19"/>
  <c r="D4454" i="23" s="1"/>
  <c r="HP23" i="19"/>
  <c r="HM23" i="19"/>
  <c r="HD23" i="19"/>
  <c r="GK23" i="19"/>
  <c r="GH23" i="19"/>
  <c r="GB23" i="19"/>
  <c r="EV23" i="19"/>
  <c r="GL23" i="19"/>
  <c r="EU23" i="19"/>
  <c r="FP23" i="19"/>
  <c r="GG23" i="19"/>
  <c r="EA23" i="19"/>
  <c r="DM23" i="19"/>
  <c r="DV23" i="19"/>
  <c r="CX23" i="19"/>
  <c r="CZ23" i="19"/>
  <c r="FQ23" i="19"/>
  <c r="CE23" i="19"/>
  <c r="BZ23" i="19"/>
  <c r="CV23" i="19"/>
  <c r="BP23" i="19"/>
  <c r="D4369" i="23" s="1"/>
  <c r="HQ15" i="19"/>
  <c r="HJ15" i="19"/>
  <c r="DY24" i="19"/>
  <c r="BZ24" i="19"/>
  <c r="BN24" i="19"/>
  <c r="D4397" i="23" s="1"/>
  <c r="HD16" i="19"/>
  <c r="GJ16" i="19"/>
  <c r="FM16" i="19"/>
  <c r="DR16" i="19"/>
  <c r="FT16" i="19"/>
  <c r="DB16" i="19"/>
  <c r="CB16" i="19"/>
  <c r="BI16" i="19"/>
  <c r="HJ27" i="19"/>
  <c r="GU27" i="19"/>
  <c r="FO27" i="19"/>
  <c r="EN27" i="19"/>
  <c r="DE27" i="19"/>
  <c r="DA27" i="19"/>
  <c r="DG27" i="19"/>
  <c r="BU27" i="19"/>
  <c r="HU23" i="19"/>
  <c r="GZ23" i="19"/>
  <c r="FV23" i="19"/>
  <c r="GE23" i="19"/>
  <c r="DJ23" i="19"/>
  <c r="CP23" i="19"/>
  <c r="CU23" i="19"/>
  <c r="BR23" i="19"/>
  <c r="D4342" i="23" s="1"/>
  <c r="HR15" i="19"/>
  <c r="GX15" i="19"/>
  <c r="GJ15" i="19"/>
  <c r="FL15" i="19"/>
  <c r="FF15" i="19"/>
  <c r="GT15" i="19"/>
  <c r="DQ15" i="19"/>
  <c r="EK15" i="19"/>
  <c r="DU15" i="19"/>
  <c r="FW15" i="19"/>
  <c r="CK15" i="19"/>
  <c r="CW15" i="19"/>
  <c r="DN15" i="19"/>
  <c r="CD15" i="19"/>
  <c r="FM15" i="19"/>
  <c r="BX15" i="19"/>
  <c r="D4253" i="23" s="1"/>
  <c r="HI30" i="19"/>
  <c r="HM30" i="19"/>
  <c r="HL30" i="19"/>
  <c r="GP30" i="19"/>
  <c r="FX30" i="19"/>
  <c r="GH30" i="19"/>
  <c r="FE30" i="19"/>
  <c r="FI30" i="19"/>
  <c r="FF30" i="19"/>
  <c r="EU30" i="19"/>
  <c r="EM30" i="19"/>
  <c r="DS30" i="19"/>
  <c r="FN30" i="19"/>
  <c r="CV30" i="19"/>
  <c r="CA30" i="19"/>
  <c r="DC30" i="19"/>
  <c r="FG30" i="19"/>
  <c r="ED30" i="19"/>
  <c r="EB30" i="19"/>
  <c r="BN30" i="19"/>
  <c r="D4403" i="23" s="1"/>
  <c r="BR30" i="19"/>
  <c r="D4349" i="23" s="1"/>
  <c r="HF22" i="19"/>
  <c r="HC22" i="19"/>
  <c r="HT22" i="19"/>
  <c r="HB22" i="19"/>
  <c r="GU22" i="19"/>
  <c r="GJ22" i="19"/>
  <c r="EW22" i="19"/>
  <c r="GB22" i="19"/>
  <c r="EZ22" i="19"/>
  <c r="DG22" i="19"/>
  <c r="ED22" i="19"/>
  <c r="DS22" i="19"/>
  <c r="EB22" i="19"/>
  <c r="CV22" i="19"/>
  <c r="ER22" i="19"/>
  <c r="DJ22" i="19"/>
  <c r="CR22" i="19"/>
  <c r="CT22" i="19"/>
  <c r="CZ22" i="19"/>
  <c r="BO22" i="19"/>
  <c r="BT22" i="19"/>
  <c r="D4314" i="23" s="1"/>
  <c r="HN14" i="19"/>
  <c r="HK14" i="19"/>
  <c r="GW14" i="19"/>
  <c r="GI14" i="19"/>
  <c r="GG14" i="19"/>
  <c r="FS14" i="19"/>
  <c r="FM14" i="19"/>
  <c r="EV14" i="19"/>
  <c r="FU14" i="19"/>
  <c r="ED14" i="19"/>
  <c r="DY14" i="19"/>
  <c r="DX14" i="19"/>
  <c r="EA14" i="19"/>
  <c r="DZ14" i="19"/>
  <c r="DD14" i="19"/>
  <c r="CQ14" i="19"/>
  <c r="CX14" i="19"/>
  <c r="CE14" i="19"/>
  <c r="BZ14" i="19"/>
  <c r="CZ14" i="19"/>
  <c r="BN14" i="19"/>
  <c r="D4387" i="23" s="1"/>
  <c r="BJ14" i="19"/>
  <c r="D4441" i="23" s="1"/>
  <c r="HH19" i="19"/>
  <c r="HE19" i="19"/>
  <c r="HA19" i="19"/>
  <c r="GS19" i="19"/>
  <c r="GT19" i="19"/>
  <c r="FX19" i="19"/>
  <c r="FO19" i="19"/>
  <c r="EX19" i="19"/>
  <c r="ET19" i="19"/>
  <c r="GG19" i="19"/>
  <c r="FM19" i="19"/>
  <c r="FH19" i="19"/>
  <c r="DM19" i="19"/>
  <c r="DL19" i="19"/>
  <c r="CP19" i="19"/>
  <c r="EE19" i="19"/>
  <c r="DE19" i="19"/>
  <c r="DD19" i="19"/>
  <c r="CN19" i="19"/>
  <c r="CU19" i="19"/>
  <c r="BJ19" i="19"/>
  <c r="D4446" i="23" s="1"/>
  <c r="HM29" i="19"/>
  <c r="HF29" i="19"/>
  <c r="GR29" i="19"/>
  <c r="GO29" i="19"/>
  <c r="GP29" i="19"/>
  <c r="GX29" i="19"/>
  <c r="FS29" i="19"/>
  <c r="FK29" i="19"/>
  <c r="FO29" i="19"/>
  <c r="EC29" i="19"/>
  <c r="FM29" i="19"/>
  <c r="ER29" i="19"/>
  <c r="FA29" i="19"/>
  <c r="DR29" i="19"/>
  <c r="DB29" i="19"/>
  <c r="FZ29" i="19"/>
  <c r="CS29" i="19"/>
  <c r="CA29" i="19"/>
  <c r="CJ29" i="19"/>
  <c r="BU29" i="19"/>
  <c r="BO29" i="19"/>
  <c r="BH29" i="19"/>
  <c r="D4483" i="23" s="1"/>
  <c r="HF21" i="19"/>
  <c r="HH21" i="19"/>
  <c r="HJ21" i="19"/>
  <c r="GL21" i="19"/>
  <c r="GG21" i="19"/>
  <c r="FH21" i="19"/>
  <c r="FZ21" i="19"/>
  <c r="EY21" i="19"/>
  <c r="EP21" i="19"/>
  <c r="EN21" i="19"/>
  <c r="FI21" i="19"/>
  <c r="FA21" i="19"/>
  <c r="DQ21" i="19"/>
  <c r="DC21" i="19"/>
  <c r="CL21" i="19"/>
  <c r="DD21" i="19"/>
  <c r="CZ21" i="19"/>
  <c r="CQ21" i="19"/>
  <c r="BX21" i="19"/>
  <c r="D4259" i="23" s="1"/>
  <c r="BV21" i="19"/>
  <c r="D4286" i="23" s="1"/>
  <c r="BT21" i="19"/>
  <c r="D4313" i="23" s="1"/>
  <c r="HG13" i="19"/>
  <c r="HC13" i="19"/>
  <c r="GW13" i="19"/>
  <c r="GP13" i="19"/>
  <c r="FY13" i="19"/>
  <c r="FZ13" i="19"/>
  <c r="FR13" i="19"/>
  <c r="FO13" i="19"/>
  <c r="EX13" i="19"/>
  <c r="FA13" i="19"/>
  <c r="EE13" i="19"/>
  <c r="ER13" i="19"/>
  <c r="EK13" i="19"/>
  <c r="CM13" i="19"/>
  <c r="DE13" i="19"/>
  <c r="CV13" i="19"/>
  <c r="CY13" i="19"/>
  <c r="DS13" i="19"/>
  <c r="CZ13" i="19"/>
  <c r="BL13" i="19"/>
  <c r="D4413" i="23" s="1"/>
  <c r="DJ13" i="19"/>
  <c r="HT28" i="19"/>
  <c r="HA28" i="19"/>
  <c r="GU28" i="19"/>
  <c r="GO28" i="19"/>
  <c r="HH28" i="19"/>
  <c r="GF28" i="19"/>
  <c r="ES28" i="19"/>
  <c r="FM28" i="19"/>
  <c r="FO28" i="19"/>
  <c r="FJ28" i="19"/>
  <c r="EY28" i="19"/>
  <c r="FP28" i="19"/>
  <c r="DN28" i="19"/>
  <c r="DP28" i="19"/>
  <c r="CU28" i="19"/>
  <c r="GG28" i="19"/>
  <c r="DY28" i="19"/>
  <c r="DI28" i="19"/>
  <c r="CX28" i="19"/>
  <c r="BV28" i="19"/>
  <c r="D4293" i="23" s="1"/>
  <c r="BH28" i="19"/>
  <c r="D4482" i="23" s="1"/>
  <c r="HM20" i="19"/>
  <c r="HA20" i="19"/>
  <c r="GR20" i="19"/>
  <c r="GC20" i="19"/>
  <c r="GI20" i="19"/>
  <c r="FF20" i="19"/>
  <c r="FH20" i="19"/>
  <c r="EO20" i="19"/>
  <c r="EV20" i="19"/>
  <c r="DK20" i="19"/>
  <c r="EP20" i="19"/>
  <c r="EI20" i="19"/>
  <c r="DO20" i="19"/>
  <c r="CK20" i="19"/>
  <c r="DH20" i="19"/>
  <c r="DB20" i="19"/>
  <c r="DD20" i="19"/>
  <c r="CO20" i="19"/>
  <c r="CG20" i="19"/>
  <c r="CX20" i="19"/>
  <c r="BH20" i="19"/>
  <c r="D4474" i="23" s="1"/>
  <c r="HJ12" i="19"/>
  <c r="HQ12" i="19"/>
  <c r="GS12" i="19"/>
  <c r="HN12" i="19"/>
  <c r="GL12" i="19"/>
  <c r="GI12" i="19"/>
  <c r="FA12" i="19"/>
  <c r="EZ12" i="19"/>
  <c r="FX12" i="19"/>
  <c r="DS12" i="19"/>
  <c r="DT12" i="19"/>
  <c r="DG12" i="19"/>
  <c r="DN12" i="19"/>
  <c r="FB12" i="19"/>
  <c r="CM12" i="19"/>
  <c r="EL12" i="19"/>
  <c r="DQ12" i="19"/>
  <c r="CP12" i="19"/>
  <c r="CV12" i="19"/>
  <c r="BJ12" i="19"/>
  <c r="D4439" i="23" s="1"/>
  <c r="DI12" i="19"/>
  <c r="CJ24" i="19"/>
  <c r="DH24" i="19"/>
  <c r="HK16" i="19"/>
  <c r="HC16" i="19"/>
  <c r="GG16" i="19"/>
  <c r="EO16" i="19"/>
  <c r="FG16" i="19"/>
  <c r="DV16" i="19"/>
  <c r="ER16" i="19"/>
  <c r="BZ16" i="19"/>
  <c r="HE27" i="19"/>
  <c r="GA27" i="19"/>
  <c r="EY27" i="19"/>
  <c r="DY27" i="19"/>
  <c r="FI27" i="19"/>
  <c r="CK27" i="19"/>
  <c r="DW27" i="19"/>
  <c r="CD27" i="19"/>
  <c r="HE23" i="19"/>
  <c r="GT23" i="19"/>
  <c r="FG23" i="19"/>
  <c r="FM23" i="19"/>
  <c r="DU23" i="19"/>
  <c r="CS23" i="19"/>
  <c r="CT23" i="19"/>
  <c r="BT23" i="19"/>
  <c r="D4315" i="23" s="1"/>
  <c r="HU15" i="19"/>
  <c r="GP15" i="19"/>
  <c r="GA15" i="19"/>
  <c r="FD15" i="19"/>
  <c r="EX15" i="19"/>
  <c r="GO15" i="19"/>
  <c r="DI15" i="19"/>
  <c r="EA15" i="19"/>
  <c r="DM15" i="19"/>
  <c r="FI15" i="19"/>
  <c r="CC15" i="19"/>
  <c r="CO15" i="19"/>
  <c r="CL15" i="19"/>
  <c r="CB15" i="19"/>
  <c r="BR15" i="19"/>
  <c r="D4334" i="23" s="1"/>
  <c r="BL15" i="19"/>
  <c r="D4415" i="23" s="1"/>
  <c r="HA30" i="19"/>
  <c r="HE30" i="19"/>
  <c r="HB30" i="19"/>
  <c r="GY30" i="19"/>
  <c r="GX30" i="19"/>
  <c r="GD30" i="19"/>
  <c r="EW30" i="19"/>
  <c r="FA30" i="19"/>
  <c r="FC30" i="19"/>
  <c r="DV30" i="19"/>
  <c r="DX30" i="19"/>
  <c r="DK30" i="19"/>
  <c r="DL30" i="19"/>
  <c r="CN30" i="19"/>
  <c r="EC30" i="19"/>
  <c r="CU30" i="19"/>
  <c r="DD30" i="19"/>
  <c r="CR30" i="19"/>
  <c r="DQ30" i="19"/>
  <c r="DM30" i="19"/>
  <c r="BK30" i="19"/>
  <c r="HQ22" i="19"/>
  <c r="HU22" i="19"/>
  <c r="HD22" i="19"/>
  <c r="GX22" i="19"/>
  <c r="GH22" i="19"/>
  <c r="GD22" i="19"/>
  <c r="EO22" i="19"/>
  <c r="FQ22" i="19"/>
  <c r="GC22" i="19"/>
  <c r="FT22" i="19"/>
  <c r="DY22" i="19"/>
  <c r="DK22" i="19"/>
  <c r="DE22" i="19"/>
  <c r="CN22" i="19"/>
  <c r="CX22" i="19"/>
  <c r="DI22" i="19"/>
  <c r="CK22" i="19"/>
  <c r="CE22" i="19"/>
  <c r="CS22" i="19"/>
  <c r="BZ22" i="19"/>
  <c r="BP22" i="19"/>
  <c r="D4368" i="23" s="1"/>
  <c r="HF14" i="19"/>
  <c r="HC14" i="19"/>
  <c r="GO14" i="19"/>
  <c r="HT14" i="19"/>
  <c r="FY14" i="19"/>
  <c r="GH14" i="19"/>
  <c r="FE14" i="19"/>
  <c r="FQ14" i="19"/>
  <c r="FP14" i="19"/>
  <c r="DV14" i="19"/>
  <c r="GE14" i="19"/>
  <c r="DP14" i="19"/>
  <c r="DS14" i="19"/>
  <c r="DR14" i="19"/>
  <c r="CV14" i="19"/>
  <c r="CI14" i="19"/>
  <c r="CP14" i="19"/>
  <c r="CC14" i="19"/>
  <c r="CT14" i="19"/>
  <c r="BS14" i="19"/>
  <c r="BQ14" i="19"/>
  <c r="HS19" i="19"/>
  <c r="HT19" i="19"/>
  <c r="GY19" i="19"/>
  <c r="GK19" i="19"/>
  <c r="GL19" i="19"/>
  <c r="FY19" i="19"/>
  <c r="FG19" i="19"/>
  <c r="FK19" i="19"/>
  <c r="HL19" i="19"/>
  <c r="FQ19" i="19"/>
  <c r="FI19" i="19"/>
  <c r="FE19" i="19"/>
  <c r="EZ19" i="19"/>
  <c r="CY19" i="19"/>
  <c r="CH19" i="19"/>
  <c r="DO19" i="19"/>
  <c r="CW19" i="19"/>
  <c r="CF19" i="19"/>
  <c r="DC19" i="19"/>
  <c r="BT19" i="19"/>
  <c r="D4311" i="23" s="1"/>
  <c r="BH19" i="19"/>
  <c r="D4473" i="23" s="1"/>
  <c r="HT29" i="19"/>
  <c r="HQ29" i="19"/>
  <c r="GU29" i="19"/>
  <c r="HE29" i="19"/>
  <c r="GH29" i="19"/>
  <c r="GS29" i="19"/>
  <c r="FH29" i="19"/>
  <c r="FC29" i="19"/>
  <c r="FG29" i="19"/>
  <c r="DU29" i="19"/>
  <c r="ES29" i="19"/>
  <c r="EP29" i="19"/>
  <c r="EW29" i="19"/>
  <c r="DC29" i="19"/>
  <c r="CT29" i="19"/>
  <c r="EH29" i="19"/>
  <c r="CK29" i="19"/>
  <c r="EV29" i="19"/>
  <c r="CI29" i="19"/>
  <c r="BJ29" i="19"/>
  <c r="D4456" i="23" s="1"/>
  <c r="BI29" i="19"/>
  <c r="HU21" i="19"/>
  <c r="HQ21" i="19"/>
  <c r="GU21" i="19"/>
  <c r="HD21" i="19"/>
  <c r="GK21" i="19"/>
  <c r="FY21" i="19"/>
  <c r="EZ21" i="19"/>
  <c r="FJ21" i="19"/>
  <c r="EQ21" i="19"/>
  <c r="EO21" i="19"/>
  <c r="EL21" i="19"/>
  <c r="FE21" i="19"/>
  <c r="EW21" i="19"/>
  <c r="DI21" i="19"/>
  <c r="CU21" i="19"/>
  <c r="DO21" i="19"/>
  <c r="CV21" i="19"/>
  <c r="DR21" i="19"/>
  <c r="CI21" i="19"/>
  <c r="BJ21" i="19"/>
  <c r="D4448" i="23" s="1"/>
  <c r="BS21" i="19"/>
  <c r="BP21" i="19"/>
  <c r="D4367" i="23" s="1"/>
  <c r="HN13" i="19"/>
  <c r="HJ13" i="19"/>
  <c r="GO13" i="19"/>
  <c r="GE13" i="19"/>
  <c r="GS13" i="19"/>
  <c r="FV13" i="19"/>
  <c r="FK13" i="19"/>
  <c r="FG13" i="19"/>
  <c r="FL13" i="19"/>
  <c r="EW13" i="19"/>
  <c r="DW13" i="19"/>
  <c r="EP13" i="19"/>
  <c r="DX13" i="19"/>
  <c r="CE13" i="19"/>
  <c r="CW13" i="19"/>
  <c r="CN13" i="19"/>
  <c r="CF13" i="19"/>
  <c r="DG13" i="19"/>
  <c r="CH13" i="19"/>
  <c r="BU13" i="19"/>
  <c r="BQ13" i="19"/>
  <c r="HS28" i="19"/>
  <c r="HL28" i="19"/>
  <c r="HP28" i="19"/>
  <c r="GM28" i="19"/>
  <c r="GV28" i="19"/>
  <c r="GZ28" i="19"/>
  <c r="FY28" i="19"/>
  <c r="EK28" i="19"/>
  <c r="FE28" i="19"/>
  <c r="FK28" i="19"/>
  <c r="FG28" i="19"/>
  <c r="EU28" i="19"/>
  <c r="DW28" i="19"/>
  <c r="EL28" i="19"/>
  <c r="DM28" i="19"/>
  <c r="CM28" i="19"/>
  <c r="DH28" i="19"/>
  <c r="EI28" i="19"/>
  <c r="CN28" i="19"/>
  <c r="CH28" i="19"/>
  <c r="CF28" i="19"/>
  <c r="BQ28" i="19"/>
  <c r="HE20" i="19"/>
  <c r="GZ20" i="19"/>
  <c r="GU20" i="19"/>
  <c r="FU20" i="19"/>
  <c r="GD20" i="19"/>
  <c r="EX20" i="19"/>
  <c r="EZ20" i="19"/>
  <c r="EG20" i="19"/>
  <c r="GA20" i="19"/>
  <c r="ET20" i="19"/>
  <c r="EN20" i="19"/>
  <c r="EB20" i="19"/>
  <c r="DG20" i="19"/>
  <c r="CC20" i="19"/>
  <c r="DF20" i="19"/>
  <c r="CT20" i="19"/>
  <c r="CW20" i="19"/>
  <c r="BZ20" i="19"/>
  <c r="DE20" i="19"/>
  <c r="BJ20" i="19"/>
  <c r="D4447" i="23" s="1"/>
  <c r="BS20" i="19"/>
  <c r="HU12" i="19"/>
  <c r="HI12" i="19"/>
  <c r="GK12" i="19"/>
  <c r="GW12" i="19"/>
  <c r="GE12" i="19"/>
  <c r="FN12" i="19"/>
  <c r="ES12" i="19"/>
  <c r="FY12" i="19"/>
  <c r="FL12" i="19"/>
  <c r="DK12" i="19"/>
  <c r="DL12" i="19"/>
  <c r="FJ12" i="19"/>
  <c r="EJ12" i="19"/>
  <c r="EP12" i="19"/>
  <c r="CE12" i="19"/>
  <c r="DH12" i="19"/>
  <c r="DM12" i="19"/>
  <c r="CB12" i="19"/>
  <c r="CO12" i="19"/>
  <c r="BI12" i="19"/>
  <c r="BQ12" i="19"/>
  <c r="CM24" i="19"/>
  <c r="DJ24" i="19"/>
  <c r="HJ16" i="19"/>
  <c r="HH16" i="19"/>
  <c r="EX16" i="19"/>
  <c r="GA16" i="19"/>
  <c r="EF16" i="19"/>
  <c r="DH16" i="19"/>
  <c r="CY16" i="19"/>
  <c r="CN16" i="19"/>
  <c r="HO27" i="19"/>
  <c r="GJ27" i="19"/>
  <c r="FY27" i="19"/>
  <c r="DI27" i="19"/>
  <c r="DL27" i="19"/>
  <c r="FA27" i="19"/>
  <c r="DC27" i="19"/>
  <c r="CB27" i="19"/>
  <c r="HG23" i="19"/>
  <c r="GA23" i="19"/>
  <c r="EI23" i="19"/>
  <c r="ED23" i="19"/>
  <c r="ER23" i="19"/>
  <c r="EK23" i="19"/>
  <c r="CD23" i="19"/>
  <c r="BW23" i="19"/>
  <c r="HT15" i="19"/>
  <c r="HD15" i="19"/>
  <c r="FZ15" i="19"/>
  <c r="HA15" i="19"/>
  <c r="GL15" i="19"/>
  <c r="FR15" i="19"/>
  <c r="ER15" i="19"/>
  <c r="DS15" i="19"/>
  <c r="EB15" i="19"/>
  <c r="DH15" i="19"/>
  <c r="DW15" i="19"/>
  <c r="DB15" i="19"/>
  <c r="EE15" i="19"/>
  <c r="BT15" i="19"/>
  <c r="D4307" i="23" s="1"/>
  <c r="BW15" i="19"/>
  <c r="HP30" i="19"/>
  <c r="HT30" i="19"/>
  <c r="GV30" i="19"/>
  <c r="GS30" i="19"/>
  <c r="GR30" i="19"/>
  <c r="FV30" i="19"/>
  <c r="EO30" i="19"/>
  <c r="ES30" i="19"/>
  <c r="EY30" i="19"/>
  <c r="DN30" i="19"/>
  <c r="DP30" i="19"/>
  <c r="FT30" i="19"/>
  <c r="CW30" i="19"/>
  <c r="FK30" i="19"/>
  <c r="DH30" i="19"/>
  <c r="CM30" i="19"/>
  <c r="CZ30" i="19"/>
  <c r="CK30" i="19"/>
  <c r="CT30" i="19"/>
  <c r="DJ30" i="19"/>
  <c r="BU30" i="19"/>
  <c r="HI22" i="19"/>
  <c r="HM22" i="19"/>
  <c r="GV22" i="19"/>
  <c r="GP22" i="19"/>
  <c r="GF22" i="19"/>
  <c r="FJ22" i="19"/>
  <c r="EG22" i="19"/>
  <c r="FI22" i="19"/>
  <c r="FR22" i="19"/>
  <c r="EH22" i="19"/>
  <c r="GR22" i="19"/>
  <c r="FN22" i="19"/>
  <c r="CW22" i="19"/>
  <c r="EX22" i="19"/>
  <c r="CP22" i="19"/>
  <c r="DC22" i="19"/>
  <c r="BV22" i="19"/>
  <c r="D4287" i="23" s="1"/>
  <c r="CC22" i="19"/>
  <c r="BW22" i="19"/>
  <c r="BS22" i="19"/>
  <c r="BI22" i="19"/>
  <c r="HQ14" i="19"/>
  <c r="HU14" i="19"/>
  <c r="HL14" i="19"/>
  <c r="HD14" i="19"/>
  <c r="HJ14" i="19"/>
  <c r="FZ14" i="19"/>
  <c r="EW14" i="19"/>
  <c r="FI14" i="19"/>
  <c r="FH14" i="19"/>
  <c r="DN14" i="19"/>
  <c r="FN14" i="19"/>
  <c r="FF14" i="19"/>
  <c r="DK14" i="19"/>
  <c r="DE14" i="19"/>
  <c r="CN14" i="19"/>
  <c r="CA14" i="19"/>
  <c r="CH14" i="19"/>
  <c r="EB14" i="19"/>
  <c r="BX14" i="19"/>
  <c r="D4252" i="23" s="1"/>
  <c r="BL14" i="19"/>
  <c r="D4414" i="23" s="1"/>
  <c r="BP14" i="19"/>
  <c r="D4360" i="23" s="1"/>
  <c r="HK19" i="19"/>
  <c r="HO19" i="19"/>
  <c r="GQ19" i="19"/>
  <c r="GR19" i="19"/>
  <c r="GC19" i="19"/>
  <c r="FR19" i="19"/>
  <c r="EY19" i="19"/>
  <c r="FC19" i="19"/>
  <c r="DY19" i="19"/>
  <c r="ES19" i="19"/>
  <c r="ER19" i="19"/>
  <c r="FA19" i="19"/>
  <c r="EW19" i="19"/>
  <c r="CQ19" i="19"/>
  <c r="DV19" i="19"/>
  <c r="DJ19" i="19"/>
  <c r="CO19" i="19"/>
  <c r="CD19" i="19"/>
  <c r="CT19" i="19"/>
  <c r="BQ19" i="19"/>
  <c r="DB19" i="19"/>
  <c r="HL29" i="19"/>
  <c r="HI29" i="19"/>
  <c r="GM29" i="19"/>
  <c r="GV29" i="19"/>
  <c r="GE29" i="19"/>
  <c r="GF29" i="19"/>
  <c r="EZ29" i="19"/>
  <c r="EU29" i="19"/>
  <c r="EY29" i="19"/>
  <c r="DM29" i="19"/>
  <c r="DV29" i="19"/>
  <c r="EO29" i="19"/>
  <c r="EN29" i="19"/>
  <c r="CU29" i="19"/>
  <c r="CL29" i="19"/>
  <c r="CV29" i="19"/>
  <c r="DS29" i="19"/>
  <c r="DH29" i="19"/>
  <c r="EG29" i="19"/>
  <c r="CY29" i="19"/>
  <c r="BN29" i="19"/>
  <c r="D4402" i="23" s="1"/>
  <c r="HM21" i="19"/>
  <c r="HI21" i="19"/>
  <c r="GM21" i="19"/>
  <c r="GV21" i="19"/>
  <c r="GE21" i="19"/>
  <c r="GF21" i="19"/>
  <c r="GA21" i="19"/>
  <c r="FB21" i="19"/>
  <c r="EI21" i="19"/>
  <c r="EC21" i="19"/>
  <c r="EK21" i="19"/>
  <c r="EJ21" i="19"/>
  <c r="EF21" i="19"/>
  <c r="GP21" i="19"/>
  <c r="CM21" i="19"/>
  <c r="DE21" i="19"/>
  <c r="CN21" i="19"/>
  <c r="DK21" i="19"/>
  <c r="GX21" i="19"/>
  <c r="CH21" i="19"/>
  <c r="BN21" i="19"/>
  <c r="D4394" i="23" s="1"/>
  <c r="BH21" i="19"/>
  <c r="D4475" i="23" s="1"/>
  <c r="HF13" i="19"/>
  <c r="GR13" i="19"/>
  <c r="GV13" i="19"/>
  <c r="FW13" i="19"/>
  <c r="GJ13" i="19"/>
  <c r="FU13" i="19"/>
  <c r="FC13" i="19"/>
  <c r="EY13" i="19"/>
  <c r="FI13" i="19"/>
  <c r="EB13" i="19"/>
  <c r="GC13" i="19"/>
  <c r="EO13" i="19"/>
  <c r="DP13" i="19"/>
  <c r="EH13" i="19"/>
  <c r="CO13" i="19"/>
  <c r="FQ13" i="19"/>
  <c r="CX13" i="19"/>
  <c r="CP13" i="19"/>
  <c r="CR13" i="19"/>
  <c r="BR13" i="19"/>
  <c r="D4332" i="23" s="1"/>
  <c r="BV13" i="19"/>
  <c r="D4278" i="23" s="1"/>
  <c r="HK28" i="19"/>
  <c r="HD28" i="19"/>
  <c r="GX28" i="19"/>
  <c r="HC28" i="19"/>
  <c r="GJ28" i="19"/>
  <c r="GH28" i="19"/>
  <c r="FN28" i="19"/>
  <c r="FT28" i="19"/>
  <c r="EW28" i="19"/>
  <c r="EH28" i="19"/>
  <c r="FC28" i="19"/>
  <c r="EC28" i="19"/>
  <c r="DO28" i="19"/>
  <c r="DX28" i="19"/>
  <c r="CZ28" i="19"/>
  <c r="CE28" i="19"/>
  <c r="DF28" i="19"/>
  <c r="CW28" i="19"/>
  <c r="CG28" i="19"/>
  <c r="BS28" i="19"/>
  <c r="BJ28" i="19"/>
  <c r="D4455" i="23" s="1"/>
  <c r="BN28" i="19"/>
  <c r="D4401" i="23" s="1"/>
  <c r="HT20" i="19"/>
  <c r="GX20" i="19"/>
  <c r="GM20" i="19"/>
  <c r="GL20" i="19"/>
  <c r="HF20" i="19"/>
  <c r="FQ20" i="19"/>
  <c r="HB20" i="19"/>
  <c r="GF20" i="19"/>
  <c r="FX20" i="19"/>
  <c r="ER20" i="19"/>
  <c r="EM20" i="19"/>
  <c r="DT20" i="19"/>
  <c r="ED20" i="19"/>
  <c r="FO20" i="19"/>
  <c r="DC20" i="19"/>
  <c r="CL20" i="19"/>
  <c r="CB20" i="19"/>
  <c r="DX20" i="19"/>
  <c r="CH20" i="19"/>
  <c r="BI20" i="19"/>
  <c r="BN20" i="19"/>
  <c r="D4393" i="23" s="1"/>
  <c r="HM12" i="19"/>
  <c r="HA12" i="19"/>
  <c r="GZ12" i="19"/>
  <c r="GO12" i="19"/>
  <c r="FW12" i="19"/>
  <c r="FF12" i="19"/>
  <c r="EK12" i="19"/>
  <c r="FM12" i="19"/>
  <c r="FD12" i="19"/>
  <c r="DZ12" i="19"/>
  <c r="GF12" i="19"/>
  <c r="FG12" i="19"/>
  <c r="DX12" i="19"/>
  <c r="CZ12" i="19"/>
  <c r="EY12" i="19"/>
  <c r="DF12" i="19"/>
  <c r="CG12" i="19"/>
  <c r="CA12" i="19"/>
  <c r="CI12" i="19"/>
  <c r="EM12" i="19"/>
  <c r="BT12" i="19"/>
  <c r="D4304" i="23" s="1"/>
  <c r="EC24" i="19"/>
  <c r="DQ24" i="19"/>
  <c r="BT24" i="19"/>
  <c r="D4316" i="23" s="1"/>
  <c r="HE16" i="19"/>
  <c r="GT16" i="19"/>
  <c r="FQ16" i="19"/>
  <c r="EV16" i="19"/>
  <c r="DU16" i="19"/>
  <c r="CS16" i="19"/>
  <c r="BU16" i="19"/>
  <c r="BK16" i="19"/>
  <c r="GV27" i="19"/>
  <c r="HB27" i="19"/>
  <c r="FF27" i="19"/>
  <c r="EG27" i="19"/>
  <c r="FV27" i="19"/>
  <c r="CJ27" i="19"/>
  <c r="BY27" i="19"/>
  <c r="BH27" i="19"/>
  <c r="D4481" i="23" s="1"/>
  <c r="GN23" i="19"/>
  <c r="FZ23" i="19"/>
  <c r="FR23" i="19"/>
  <c r="DI23" i="19"/>
  <c r="EB23" i="19"/>
  <c r="CR23" i="19"/>
  <c r="CF23" i="19"/>
  <c r="BM23" i="19"/>
  <c r="HG15" i="19"/>
  <c r="GS15" i="19"/>
  <c r="GH15" i="19"/>
  <c r="FO15" i="19"/>
  <c r="GE15" i="19"/>
  <c r="FJ15" i="19"/>
  <c r="EP15" i="19"/>
  <c r="EJ15" i="19"/>
  <c r="DT15" i="19"/>
  <c r="DG15" i="19"/>
  <c r="CZ15" i="19"/>
  <c r="CU15" i="19"/>
  <c r="DD15" i="19"/>
  <c r="BN15" i="19"/>
  <c r="D4388" i="23" s="1"/>
  <c r="BJ15" i="19"/>
  <c r="D4442" i="23" s="1"/>
  <c r="HO30" i="19"/>
  <c r="HH30" i="19"/>
  <c r="GT30" i="19"/>
  <c r="GN30" i="19"/>
  <c r="GK30" i="19"/>
  <c r="GA30" i="19"/>
  <c r="FP30" i="19"/>
  <c r="EG30" i="19"/>
  <c r="EK30" i="19"/>
  <c r="DW30" i="19"/>
  <c r="ER30" i="19"/>
  <c r="FR30" i="19"/>
  <c r="EH30" i="19"/>
  <c r="CO30" i="19"/>
  <c r="DT30" i="19"/>
  <c r="DF30" i="19"/>
  <c r="DA30" i="19"/>
  <c r="CS30" i="19"/>
  <c r="BX30" i="19"/>
  <c r="D4268" i="23" s="1"/>
  <c r="CL30" i="19"/>
  <c r="DB30" i="19"/>
  <c r="BJ30" i="19"/>
  <c r="D4457" i="23" s="1"/>
  <c r="HA22" i="19"/>
  <c r="HE22" i="19"/>
  <c r="GN22" i="19"/>
  <c r="HR22" i="19"/>
  <c r="FX22" i="19"/>
  <c r="FB22" i="19"/>
  <c r="FW22" i="19"/>
  <c r="FA22" i="19"/>
  <c r="EL22" i="19"/>
  <c r="EF22" i="19"/>
  <c r="DX22" i="19"/>
  <c r="FK22" i="19"/>
  <c r="CO22" i="19"/>
  <c r="EM22" i="19"/>
  <c r="CH22" i="19"/>
  <c r="CU22" i="19"/>
  <c r="CJ22" i="19"/>
  <c r="FC22" i="19"/>
  <c r="CD22" i="19"/>
  <c r="BN22" i="19"/>
  <c r="D4395" i="23" s="1"/>
  <c r="CB22" i="19"/>
  <c r="HI14" i="19"/>
  <c r="HM14" i="19"/>
  <c r="GV14" i="19"/>
  <c r="GX14" i="19"/>
  <c r="GJ14" i="19"/>
  <c r="GM14" i="19"/>
  <c r="EO14" i="19"/>
  <c r="FA14" i="19"/>
  <c r="EZ14" i="19"/>
  <c r="GU14" i="19"/>
  <c r="FK14" i="19"/>
  <c r="FC14" i="19"/>
  <c r="FR14" i="19"/>
  <c r="CW14" i="19"/>
  <c r="FV14" i="19"/>
  <c r="EC14" i="19"/>
  <c r="DC14" i="19"/>
  <c r="DL14" i="19"/>
  <c r="CL14" i="19"/>
  <c r="BU14" i="19"/>
  <c r="BI14" i="19"/>
  <c r="HC19" i="19"/>
  <c r="HG19" i="19"/>
  <c r="GI19" i="19"/>
  <c r="GU19" i="19"/>
  <c r="FU19" i="19"/>
  <c r="FL19" i="19"/>
  <c r="EQ19" i="19"/>
  <c r="EU19" i="19"/>
  <c r="DQ19" i="19"/>
  <c r="EA19" i="19"/>
  <c r="EP19" i="19"/>
  <c r="EN19" i="19"/>
  <c r="EJ19" i="19"/>
  <c r="CI19" i="19"/>
  <c r="DK19" i="19"/>
  <c r="DH19" i="19"/>
  <c r="DN19" i="19"/>
  <c r="CB19" i="19"/>
  <c r="CM19" i="19"/>
  <c r="BI19" i="19"/>
  <c r="BM19" i="19"/>
  <c r="HD29" i="19"/>
  <c r="HA29" i="19"/>
  <c r="HR29" i="19"/>
  <c r="GN29" i="19"/>
  <c r="FW29" i="19"/>
  <c r="FX29" i="19"/>
  <c r="HP29" i="19"/>
  <c r="EM29" i="19"/>
  <c r="EQ29" i="19"/>
  <c r="DE29" i="19"/>
  <c r="DN29" i="19"/>
  <c r="DY29" i="19"/>
  <c r="EL29" i="19"/>
  <c r="CM29" i="19"/>
  <c r="DZ29" i="19"/>
  <c r="CN29" i="19"/>
  <c r="DG29" i="19"/>
  <c r="DF29" i="19"/>
  <c r="DJ29" i="19"/>
  <c r="BM29" i="19"/>
  <c r="BQ29" i="19"/>
  <c r="HT21" i="19"/>
  <c r="HA21" i="19"/>
  <c r="GT21" i="19"/>
  <c r="GN21" i="19"/>
  <c r="FW21" i="19"/>
  <c r="FX21" i="19"/>
  <c r="FK21" i="19"/>
  <c r="ET21" i="19"/>
  <c r="GC21" i="19"/>
  <c r="DU21" i="19"/>
  <c r="EB21" i="19"/>
  <c r="EH21" i="19"/>
  <c r="ED21" i="19"/>
  <c r="DX21" i="19"/>
  <c r="CE21" i="19"/>
  <c r="CW21" i="19"/>
  <c r="CF21" i="19"/>
  <c r="CR21" i="19"/>
  <c r="CD21" i="19"/>
  <c r="BM21" i="19"/>
  <c r="BU21" i="19"/>
  <c r="HU13" i="19"/>
  <c r="HQ13" i="19"/>
  <c r="GZ13" i="19"/>
  <c r="GN13" i="19"/>
  <c r="GL13" i="19"/>
  <c r="GF13" i="19"/>
  <c r="FS13" i="19"/>
  <c r="EU13" i="19"/>
  <c r="EQ13" i="19"/>
  <c r="FE13" i="19"/>
  <c r="DT13" i="19"/>
  <c r="ES13" i="19"/>
  <c r="DY13" i="19"/>
  <c r="FM13" i="19"/>
  <c r="EA13" i="19"/>
  <c r="CG13" i="19"/>
  <c r="DA13" i="19"/>
  <c r="CQ13" i="19"/>
  <c r="CJ13" i="19"/>
  <c r="CI13" i="19"/>
  <c r="BO13" i="19"/>
  <c r="BP13" i="19"/>
  <c r="D4359" i="23" s="1"/>
  <c r="HR28" i="19"/>
  <c r="HO28" i="19"/>
  <c r="GP28" i="19"/>
  <c r="GT28" i="19"/>
  <c r="GC28" i="19"/>
  <c r="GE28" i="19"/>
  <c r="FF28" i="19"/>
  <c r="FS28" i="19"/>
  <c r="EO28" i="19"/>
  <c r="EF28" i="19"/>
  <c r="ED28" i="19"/>
  <c r="DU28" i="19"/>
  <c r="DG28" i="19"/>
  <c r="DQ28" i="19"/>
  <c r="CR28" i="19"/>
  <c r="BW28" i="19"/>
  <c r="DE28" i="19"/>
  <c r="EM28" i="19"/>
  <c r="CB28" i="19"/>
  <c r="BP28" i="19"/>
  <c r="D4374" i="23" s="1"/>
  <c r="BI28" i="19"/>
  <c r="HS20" i="19"/>
  <c r="HL20" i="19"/>
  <c r="GP20" i="19"/>
  <c r="HP20" i="19"/>
  <c r="GB20" i="19"/>
  <c r="GY20" i="19"/>
  <c r="FI20" i="19"/>
  <c r="GG20" i="19"/>
  <c r="FY20" i="19"/>
  <c r="FB20" i="19"/>
  <c r="EQ20" i="19"/>
  <c r="EC20" i="19"/>
  <c r="DL20" i="19"/>
  <c r="DV20" i="19"/>
  <c r="DJ20" i="19"/>
  <c r="CU20" i="19"/>
  <c r="FG20" i="19"/>
  <c r="CA20" i="19"/>
  <c r="CN20" i="19"/>
  <c r="CF20" i="19"/>
  <c r="BX20" i="19"/>
  <c r="D4258" i="23" s="1"/>
  <c r="BT20" i="19"/>
  <c r="D4312" i="23" s="1"/>
  <c r="HE12" i="19"/>
  <c r="HP12" i="19"/>
  <c r="GR12" i="19"/>
  <c r="GV12" i="19"/>
  <c r="GY12" i="19"/>
  <c r="EX12" i="19"/>
  <c r="GJ12" i="19"/>
  <c r="FE12" i="19"/>
  <c r="EV12" i="19"/>
  <c r="DR12" i="19"/>
  <c r="FO12" i="19"/>
  <c r="FC12" i="19"/>
  <c r="DA12" i="19"/>
  <c r="CR12" i="19"/>
  <c r="EN12" i="19"/>
  <c r="CY12" i="19"/>
  <c r="DP12" i="19"/>
  <c r="BY12" i="19"/>
  <c r="BX12" i="19"/>
  <c r="D4250" i="23" s="1"/>
  <c r="DE12" i="19"/>
  <c r="BR12" i="19"/>
  <c r="D4331" i="23" s="1"/>
  <c r="DL24" i="19"/>
  <c r="FX24" i="19"/>
  <c r="BW24" i="19"/>
  <c r="HO16" i="19"/>
  <c r="GO16" i="19"/>
  <c r="FA16" i="19"/>
  <c r="EM16" i="19"/>
  <c r="EU16" i="19"/>
  <c r="CC16" i="19"/>
  <c r="CI16" i="19"/>
  <c r="BJ16" i="19"/>
  <c r="D4443" i="23" s="1"/>
  <c r="GQ27" i="19"/>
  <c r="HA27" i="19"/>
  <c r="GT27" i="19"/>
  <c r="EF27" i="19"/>
  <c r="DD27" i="19"/>
  <c r="EO27" i="19"/>
  <c r="EZ27" i="19"/>
  <c r="CN27" i="19"/>
  <c r="GY23" i="19"/>
  <c r="GW23" i="19"/>
  <c r="EX23" i="19"/>
  <c r="FH23" i="19"/>
  <c r="EG23" i="19"/>
  <c r="DF23" i="19"/>
  <c r="BY23" i="19"/>
  <c r="BO23" i="19"/>
  <c r="GV15" i="19"/>
  <c r="HN15" i="19"/>
  <c r="FU15" i="19"/>
  <c r="FG15" i="19"/>
  <c r="FT15" i="19"/>
  <c r="ET15" i="19"/>
  <c r="EO15" i="19"/>
  <c r="EG15" i="19"/>
  <c r="DK15" i="19"/>
  <c r="CX15" i="19"/>
  <c r="CJ15" i="19"/>
  <c r="BY15" i="19"/>
  <c r="CH15" i="19"/>
  <c r="BO15" i="19"/>
  <c r="CV15" i="19"/>
  <c r="HG30" i="19"/>
  <c r="HS30" i="19"/>
  <c r="GL30" i="19"/>
  <c r="HD30" i="19"/>
  <c r="GG30" i="19"/>
  <c r="FS30" i="19"/>
  <c r="FJ30" i="19"/>
  <c r="GJ30" i="19"/>
  <c r="GC30" i="19"/>
  <c r="DO30" i="19"/>
  <c r="EQ30" i="19"/>
  <c r="EL30" i="19"/>
  <c r="EF30" i="19"/>
  <c r="CG30" i="19"/>
  <c r="DI30" i="19"/>
  <c r="DE30" i="19"/>
  <c r="CE30" i="19"/>
  <c r="CD30" i="19"/>
  <c r="BW30" i="19"/>
  <c r="BL30" i="19"/>
  <c r="D4430" i="23" s="1"/>
  <c r="BS30" i="19"/>
  <c r="BM30" i="19"/>
  <c r="HP22" i="19"/>
  <c r="GT22" i="19"/>
  <c r="HJ22" i="19"/>
  <c r="GS22" i="19"/>
  <c r="GA22" i="19"/>
  <c r="ET22" i="19"/>
  <c r="FU22" i="19"/>
  <c r="ES22" i="19"/>
  <c r="EJ22" i="19"/>
  <c r="EE22" i="19"/>
  <c r="DP22" i="19"/>
  <c r="FG22" i="19"/>
  <c r="CG22" i="19"/>
  <c r="CY22" i="19"/>
  <c r="HL22" i="19"/>
  <c r="CM22" i="19"/>
  <c r="FF22" i="19"/>
  <c r="DA22" i="19"/>
  <c r="BL22" i="19"/>
  <c r="D4422" i="23" s="1"/>
  <c r="CF22" i="19"/>
  <c r="BK22" i="19"/>
  <c r="HA14" i="19"/>
  <c r="HE14" i="19"/>
  <c r="GN14" i="19"/>
  <c r="GP14" i="19"/>
  <c r="GF14" i="19"/>
  <c r="GD14" i="19"/>
  <c r="EG14" i="19"/>
  <c r="ES14" i="19"/>
  <c r="EE14" i="19"/>
  <c r="GB14" i="19"/>
  <c r="FG14" i="19"/>
  <c r="EY14" i="19"/>
  <c r="EX14" i="19"/>
  <c r="CO14" i="19"/>
  <c r="DT14" i="19"/>
  <c r="DQ14" i="19"/>
  <c r="CU14" i="19"/>
  <c r="DB14" i="19"/>
  <c r="DA14" i="19"/>
  <c r="BR14" i="19"/>
  <c r="D4333" i="23" s="1"/>
  <c r="BM14" i="19"/>
  <c r="HR19" i="19"/>
  <c r="HF19" i="19"/>
  <c r="HN19" i="19"/>
  <c r="GM19" i="19"/>
  <c r="GO19" i="19"/>
  <c r="FD19" i="19"/>
  <c r="EI19" i="19"/>
  <c r="EM19" i="19"/>
  <c r="DI19" i="19"/>
  <c r="DS19" i="19"/>
  <c r="EO19" i="19"/>
  <c r="EL19" i="19"/>
  <c r="EH19" i="19"/>
  <c r="CA19" i="19"/>
  <c r="DA19" i="19"/>
  <c r="DG19" i="19"/>
  <c r="DF19" i="19"/>
  <c r="CV19" i="19"/>
  <c r="CL19" i="19"/>
  <c r="BP19" i="19"/>
  <c r="D4365" i="23" s="1"/>
  <c r="BO19" i="19"/>
  <c r="HO29" i="19"/>
  <c r="HS29" i="19"/>
  <c r="GT29" i="19"/>
  <c r="HH29" i="19"/>
  <c r="GD29" i="19"/>
  <c r="GJ29" i="19"/>
  <c r="FV29" i="19"/>
  <c r="EE29" i="19"/>
  <c r="EI29" i="19"/>
  <c r="EB29" i="19"/>
  <c r="GK29" i="19"/>
  <c r="DQ29" i="19"/>
  <c r="EK29" i="19"/>
  <c r="CE29" i="19"/>
  <c r="CW29" i="19"/>
  <c r="CF29" i="19"/>
  <c r="DD29" i="19"/>
  <c r="CR29" i="19"/>
  <c r="CX29" i="19"/>
  <c r="BR29" i="19"/>
  <c r="D4348" i="23" s="1"/>
  <c r="CH29" i="19"/>
  <c r="HL21" i="19"/>
  <c r="HS21" i="19"/>
  <c r="HP21" i="19"/>
  <c r="HB21" i="19"/>
  <c r="GJ21" i="19"/>
  <c r="GS21" i="19"/>
  <c r="FC21" i="19"/>
  <c r="FT21" i="19"/>
  <c r="FN21" i="19"/>
  <c r="DM21" i="19"/>
  <c r="DT21" i="19"/>
  <c r="EG21" i="19"/>
  <c r="DV21" i="19"/>
  <c r="DP21" i="19"/>
  <c r="BW21" i="19"/>
  <c r="CO21" i="19"/>
  <c r="DZ21" i="19"/>
  <c r="CK21" i="19"/>
  <c r="CC21" i="19"/>
  <c r="BL21" i="19"/>
  <c r="D4421" i="23" s="1"/>
  <c r="BR21" i="19"/>
  <c r="D4340" i="23" s="1"/>
  <c r="HM13" i="19"/>
  <c r="HI13" i="19"/>
  <c r="GU13" i="19"/>
  <c r="HH13" i="19"/>
  <c r="GD13" i="19"/>
  <c r="FX13" i="19"/>
  <c r="FP13" i="19"/>
  <c r="EM13" i="19"/>
  <c r="EI13" i="19"/>
  <c r="EC13" i="19"/>
  <c r="DL13" i="19"/>
  <c r="ED13" i="19"/>
  <c r="DQ13" i="19"/>
  <c r="DR13" i="19"/>
  <c r="DB13" i="19"/>
  <c r="BY13" i="19"/>
  <c r="CS13" i="19"/>
  <c r="CK13" i="19"/>
  <c r="CB13" i="19"/>
  <c r="BJ13" i="19"/>
  <c r="D4440" i="23" s="1"/>
  <c r="BI13" i="19"/>
  <c r="BH13" i="19"/>
  <c r="D4467" i="23" s="1"/>
  <c r="HJ28" i="19"/>
  <c r="HG28" i="19"/>
  <c r="GS28" i="19"/>
  <c r="GL28" i="19"/>
  <c r="FU28" i="19"/>
  <c r="FW28" i="19"/>
  <c r="EX28" i="19"/>
  <c r="FQ28" i="19"/>
  <c r="EG28" i="19"/>
  <c r="EE28" i="19"/>
  <c r="DZ28" i="19"/>
  <c r="ET28" i="19"/>
  <c r="FR28" i="19"/>
  <c r="DA28" i="19"/>
  <c r="CJ28" i="19"/>
  <c r="EP28" i="19"/>
  <c r="CY28" i="19"/>
  <c r="DD28" i="19"/>
  <c r="CA28" i="19"/>
  <c r="BZ28" i="19"/>
  <c r="BM28" i="19"/>
  <c r="HK20" i="19"/>
  <c r="HO20" i="19"/>
  <c r="HN20" i="19"/>
  <c r="GT20" i="19"/>
  <c r="GN20" i="19"/>
  <c r="FZ20" i="19"/>
  <c r="FA20" i="19"/>
  <c r="FV20" i="19"/>
  <c r="FT20" i="19"/>
  <c r="EY20" i="19"/>
  <c r="DZ20" i="19"/>
  <c r="DU20" i="19"/>
  <c r="EH20" i="19"/>
  <c r="DN20" i="19"/>
  <c r="DI20" i="19"/>
  <c r="CM20" i="19"/>
  <c r="DQ20" i="19"/>
  <c r="BY20" i="19"/>
  <c r="BW20" i="19"/>
  <c r="CD20" i="19"/>
  <c r="BM20" i="19"/>
  <c r="BR20" i="19"/>
  <c r="D4339" i="23" s="1"/>
  <c r="HT12" i="19"/>
  <c r="HC12" i="19"/>
  <c r="GU12" i="19"/>
  <c r="GC12" i="19"/>
  <c r="GD12" i="19"/>
  <c r="GA12" i="19"/>
  <c r="FT12" i="19"/>
  <c r="EW12" i="19"/>
  <c r="GN12" i="19"/>
  <c r="EC12" i="19"/>
  <c r="FK12" i="19"/>
  <c r="ER12" i="19"/>
  <c r="CS12" i="19"/>
  <c r="CJ12" i="19"/>
  <c r="DB12" i="19"/>
  <c r="CQ12" i="19"/>
  <c r="CX12" i="19"/>
  <c r="EU12" i="19"/>
  <c r="BW12" i="19"/>
  <c r="BM12" i="19"/>
  <c r="BO12" i="19"/>
  <c r="DO24" i="19"/>
  <c r="BU24" i="19"/>
  <c r="BQ24" i="19"/>
  <c r="HQ16" i="19"/>
  <c r="FU16" i="19"/>
  <c r="HP16" i="19"/>
  <c r="DS16" i="19"/>
  <c r="DL16" i="19"/>
  <c r="CR16" i="19"/>
  <c r="DI16" i="19"/>
  <c r="BQ16" i="19"/>
  <c r="HQ27" i="19"/>
  <c r="GX27" i="19"/>
  <c r="GO27" i="19"/>
  <c r="FK27" i="19"/>
  <c r="EA27" i="19"/>
  <c r="CI27" i="19"/>
  <c r="CW27" i="19"/>
  <c r="CU27" i="19"/>
  <c r="HI23" i="19"/>
  <c r="GX23" i="19"/>
  <c r="GF23" i="19"/>
  <c r="FC23" i="19"/>
  <c r="DX23" i="19"/>
  <c r="DO23" i="19"/>
  <c r="CO23" i="19"/>
  <c r="BV23" i="19"/>
  <c r="D4288" i="23" s="1"/>
  <c r="HI15" i="19"/>
  <c r="GN15" i="19"/>
  <c r="GR15" i="19"/>
  <c r="GB15" i="19"/>
  <c r="EY15" i="19"/>
  <c r="FK15" i="19"/>
  <c r="EZ15" i="19"/>
  <c r="DX15" i="19"/>
  <c r="DZ15" i="19"/>
  <c r="CY15" i="19"/>
  <c r="CP15" i="19"/>
  <c r="FA15" i="19"/>
  <c r="BS15" i="19"/>
  <c r="CN15" i="19"/>
  <c r="BQ15" i="19"/>
  <c r="BV15" i="19"/>
  <c r="D4280" i="23" s="1"/>
  <c r="HN30" i="19"/>
  <c r="HK30" i="19"/>
  <c r="HR30" i="19"/>
  <c r="GQ30" i="19"/>
  <c r="FY30" i="19"/>
  <c r="GM30" i="19"/>
  <c r="FB30" i="19"/>
  <c r="FL30" i="19"/>
  <c r="FU30" i="19"/>
  <c r="DG30" i="19"/>
  <c r="DY30" i="19"/>
  <c r="EJ30" i="19"/>
  <c r="EE30" i="19"/>
  <c r="BY30" i="19"/>
  <c r="CY30" i="19"/>
  <c r="CX30" i="19"/>
  <c r="CC30" i="19"/>
  <c r="CB30" i="19"/>
  <c r="CJ30" i="19"/>
  <c r="BT30" i="19"/>
  <c r="D4322" i="23" s="1"/>
  <c r="BP30" i="19"/>
  <c r="D4376" i="23" s="1"/>
  <c r="HO22" i="19"/>
  <c r="HH22" i="19"/>
  <c r="GL22" i="19"/>
  <c r="GY22" i="19"/>
  <c r="GK22" i="19"/>
  <c r="FS22" i="19"/>
  <c r="GE22" i="19"/>
  <c r="FL22" i="19"/>
  <c r="EK22" i="19"/>
  <c r="EI22" i="19"/>
  <c r="DV22" i="19"/>
  <c r="GZ22" i="19"/>
  <c r="DZ22" i="19"/>
  <c r="BY22" i="19"/>
  <c r="CQ22" i="19"/>
  <c r="EP22" i="19"/>
  <c r="EC22" i="19"/>
  <c r="DB22" i="19"/>
  <c r="BX22" i="19"/>
  <c r="D4260" i="23" s="1"/>
  <c r="BM22" i="19"/>
  <c r="BU22" i="19"/>
  <c r="BJ22" i="19"/>
  <c r="D4449" i="23" s="1"/>
  <c r="HP14" i="19"/>
  <c r="GZ14" i="19"/>
  <c r="HG14" i="19"/>
  <c r="GS14" i="19"/>
  <c r="FX14" i="19"/>
  <c r="FJ14" i="19"/>
  <c r="GC14" i="19"/>
  <c r="EK14" i="19"/>
  <c r="DW14" i="19"/>
  <c r="FO14" i="19"/>
  <c r="EP14" i="19"/>
  <c r="EL14" i="19"/>
  <c r="EU14" i="19"/>
  <c r="CG14" i="19"/>
  <c r="DJ14" i="19"/>
  <c r="DM14" i="19"/>
  <c r="CM14" i="19"/>
  <c r="CJ14" i="19"/>
  <c r="FT14" i="19"/>
  <c r="BO14" i="19"/>
  <c r="BH14" i="19"/>
  <c r="D4468" i="23" s="1"/>
  <c r="HQ19" i="19"/>
  <c r="HJ19" i="19"/>
  <c r="HB19" i="19"/>
  <c r="GZ19" i="19"/>
  <c r="GA19" i="19"/>
  <c r="GJ19" i="19"/>
  <c r="EV19" i="19"/>
  <c r="GE19" i="19"/>
  <c r="FW19" i="19"/>
  <c r="GD19" i="19"/>
  <c r="GH19" i="19"/>
  <c r="DZ19" i="19"/>
  <c r="EK19" i="19"/>
  <c r="EG19" i="19"/>
  <c r="EF19" i="19"/>
  <c r="CS19" i="19"/>
  <c r="CZ19" i="19"/>
  <c r="CG19" i="19"/>
  <c r="BZ19" i="19"/>
  <c r="BU19" i="19"/>
  <c r="BK19" i="19"/>
  <c r="BW19" i="19"/>
  <c r="HG29" i="19"/>
  <c r="HK29" i="19"/>
  <c r="GL29" i="19"/>
  <c r="GZ29" i="19"/>
  <c r="GG29" i="19"/>
  <c r="GB29" i="19"/>
  <c r="FT29" i="19"/>
  <c r="FJ29" i="19"/>
  <c r="FN29" i="19"/>
  <c r="DT29" i="19"/>
  <c r="FL29" i="19"/>
  <c r="DI29" i="19"/>
  <c r="DX29" i="19"/>
  <c r="BW29" i="19"/>
  <c r="CO29" i="19"/>
  <c r="EF29" i="19"/>
  <c r="CZ29" i="19"/>
  <c r="CB29" i="19"/>
  <c r="CQ29" i="19"/>
  <c r="BK29" i="19"/>
  <c r="BV29" i="19"/>
  <c r="D4294" i="23" s="1"/>
  <c r="HO21" i="19"/>
  <c r="HK21" i="19"/>
  <c r="HE21" i="19"/>
  <c r="GY21" i="19"/>
  <c r="GD21" i="19"/>
  <c r="GB21" i="19"/>
  <c r="EU21" i="19"/>
  <c r="FR21" i="19"/>
  <c r="FF21" i="19"/>
  <c r="FS21" i="19"/>
  <c r="DL21" i="19"/>
  <c r="DW21" i="19"/>
  <c r="DN21" i="19"/>
  <c r="DJ21" i="19"/>
  <c r="DF21" i="19"/>
  <c r="CG21" i="19"/>
  <c r="DA21" i="19"/>
  <c r="CY21" i="19"/>
  <c r="CA21" i="19"/>
  <c r="BO21" i="19"/>
  <c r="BQ21" i="19"/>
  <c r="HT13" i="19"/>
  <c r="HA13" i="19"/>
  <c r="GM13" i="19"/>
  <c r="HE13" i="19"/>
  <c r="GX13" i="19"/>
  <c r="HP13" i="19"/>
  <c r="FH13" i="19"/>
  <c r="FJ13" i="19"/>
  <c r="GI13" i="19"/>
  <c r="DU13" i="19"/>
  <c r="HD13" i="19"/>
  <c r="DV13" i="19"/>
  <c r="DI13" i="19"/>
  <c r="DO13" i="19"/>
  <c r="CT13" i="19"/>
  <c r="EG13" i="19"/>
  <c r="EF13" i="19"/>
  <c r="CD13" i="19"/>
  <c r="BZ13" i="19"/>
  <c r="BX13" i="19"/>
  <c r="D4251" i="23" s="1"/>
  <c r="BK13" i="19"/>
  <c r="HU28" i="19"/>
  <c r="GY28" i="19"/>
  <c r="GK28" i="19"/>
  <c r="HN28" i="19"/>
  <c r="GQ28" i="19"/>
  <c r="GD28" i="19"/>
  <c r="FX28" i="19"/>
  <c r="FH28" i="19"/>
  <c r="FL28" i="19"/>
  <c r="EA28" i="19"/>
  <c r="DR28" i="19"/>
  <c r="EB28" i="19"/>
  <c r="ER28" i="19"/>
  <c r="CS28" i="19"/>
  <c r="GN28" i="19"/>
  <c r="DB28" i="19"/>
  <c r="CQ28" i="19"/>
  <c r="CV28" i="19"/>
  <c r="BY28" i="19"/>
  <c r="BT28" i="19"/>
  <c r="D4320" i="23" s="1"/>
  <c r="BX28" i="19"/>
  <c r="D4266" i="23" s="1"/>
  <c r="HR20" i="19"/>
  <c r="HG20" i="19"/>
  <c r="GS20" i="19"/>
  <c r="HD20" i="19"/>
  <c r="GJ20" i="19"/>
  <c r="GV20" i="19"/>
  <c r="ES20" i="19"/>
  <c r="FM20" i="19"/>
  <c r="FS20" i="19"/>
  <c r="EU20" i="19"/>
  <c r="DR20" i="19"/>
  <c r="HC20" i="19"/>
  <c r="EF20" i="19"/>
  <c r="FC20" i="19"/>
  <c r="CZ20" i="19"/>
  <c r="CE20" i="19"/>
  <c r="CY20" i="19"/>
  <c r="BU20" i="19"/>
  <c r="FJ20" i="19"/>
  <c r="BP20" i="19"/>
  <c r="D4366" i="23" s="1"/>
  <c r="BL20" i="19"/>
  <c r="D4420" i="23" s="1"/>
  <c r="HS12" i="19"/>
  <c r="HL12" i="19"/>
  <c r="GX12" i="19"/>
  <c r="GM12" i="19"/>
  <c r="FU12" i="19"/>
  <c r="HD12" i="19"/>
  <c r="FV12" i="19"/>
  <c r="FS12" i="19"/>
  <c r="EO12" i="19"/>
  <c r="EH12" i="19"/>
  <c r="DU12" i="19"/>
  <c r="EE12" i="19"/>
  <c r="EQ12" i="19"/>
  <c r="CK12" i="19"/>
  <c r="EI12" i="19"/>
  <c r="CT12" i="19"/>
  <c r="CN12" i="19"/>
  <c r="CF12" i="19"/>
  <c r="DJ12" i="19"/>
  <c r="BP12" i="19"/>
  <c r="D4358" i="23" s="1"/>
  <c r="BZ12" i="19"/>
  <c r="BH12" i="19"/>
  <c r="D4466" i="23" s="1"/>
  <c r="EI24" i="19"/>
  <c r="CF24" i="19"/>
  <c r="BJ24" i="19"/>
  <c r="D4451" i="23" s="1"/>
  <c r="GX16" i="19"/>
  <c r="GH16" i="19"/>
  <c r="FP16" i="19"/>
  <c r="FK16" i="19"/>
  <c r="ET16" i="19"/>
  <c r="DM16" i="19"/>
  <c r="CH16" i="19"/>
  <c r="BL16" i="19"/>
  <c r="D4416" i="23" s="1"/>
  <c r="HH27" i="19"/>
  <c r="GS27" i="19"/>
  <c r="FX27" i="19"/>
  <c r="EM27" i="19"/>
  <c r="DR27" i="19"/>
  <c r="FE27" i="19"/>
  <c r="CT27" i="19"/>
  <c r="BV27" i="19"/>
  <c r="D4292" i="23" s="1"/>
  <c r="HH23" i="19"/>
  <c r="GS23" i="19"/>
  <c r="GD23" i="19"/>
  <c r="EM23" i="19"/>
  <c r="EW23" i="19"/>
  <c r="CI23" i="19"/>
  <c r="EN23" i="19"/>
  <c r="DH23" i="19"/>
  <c r="HS15" i="19"/>
  <c r="HL15" i="19"/>
  <c r="GU15" i="19"/>
  <c r="GZ15" i="19"/>
  <c r="EI15" i="19"/>
  <c r="EU15" i="19"/>
  <c r="EW15" i="19"/>
  <c r="FX15" i="19"/>
  <c r="EF15" i="19"/>
  <c r="CQ15" i="19"/>
  <c r="DF15" i="19"/>
  <c r="DO15" i="19"/>
  <c r="FP15" i="19"/>
  <c r="CE15" i="19"/>
  <c r="BP15" i="19"/>
  <c r="D4361" i="23" s="1"/>
  <c r="BM15" i="19"/>
  <c r="HF30" i="19"/>
  <c r="HC30" i="19"/>
  <c r="GW30" i="19"/>
  <c r="GI30" i="19"/>
  <c r="FQ30" i="19"/>
  <c r="FZ30" i="19"/>
  <c r="ET30" i="19"/>
  <c r="FD30" i="19"/>
  <c r="FH30" i="19"/>
  <c r="GU30" i="19"/>
  <c r="EP30" i="19"/>
  <c r="EI30" i="19"/>
  <c r="DZ30" i="19"/>
  <c r="GB30" i="19"/>
  <c r="CQ30" i="19"/>
  <c r="CP30" i="19"/>
  <c r="BQ30" i="19"/>
  <c r="BZ30" i="19"/>
  <c r="CF30" i="19"/>
  <c r="BH30" i="19"/>
  <c r="D4484" i="23" s="1"/>
  <c r="BI30" i="19"/>
  <c r="HG22" i="19"/>
  <c r="HS22" i="19"/>
  <c r="GW22" i="19"/>
  <c r="GQ22" i="19"/>
  <c r="GG22" i="19"/>
  <c r="FZ22" i="19"/>
  <c r="FM22" i="19"/>
  <c r="FD22" i="19"/>
  <c r="FP22" i="19"/>
  <c r="DW22" i="19"/>
  <c r="DN22" i="19"/>
  <c r="FO22" i="19"/>
  <c r="DR22" i="19"/>
  <c r="EY22" i="19"/>
  <c r="CI22" i="19"/>
  <c r="DT22" i="19"/>
  <c r="DQ22" i="19"/>
  <c r="EQ22" i="19"/>
  <c r="DM22" i="19"/>
  <c r="EU22" i="19"/>
  <c r="BR22" i="19"/>
  <c r="D4341" i="23" s="1"/>
  <c r="BH22" i="19"/>
  <c r="D4476" i="23" s="1"/>
  <c r="HH14" i="19"/>
  <c r="GT14" i="19"/>
  <c r="GY14" i="19"/>
  <c r="GK14" i="19"/>
  <c r="GR14" i="19"/>
  <c r="FB14" i="19"/>
  <c r="FL14" i="19"/>
  <c r="HB14" i="19"/>
  <c r="DO14" i="19"/>
  <c r="ER14" i="19"/>
  <c r="EN14" i="19"/>
  <c r="EJ14" i="19"/>
  <c r="EH14" i="19"/>
  <c r="BY14" i="19"/>
  <c r="DI14" i="19"/>
  <c r="DH14" i="19"/>
  <c r="CK14" i="19"/>
  <c r="CD14" i="19"/>
  <c r="CR14" i="19"/>
  <c r="CS14" i="19"/>
  <c r="BK14" i="19"/>
  <c r="HI19" i="19"/>
  <c r="HU19" i="19"/>
  <c r="GV19" i="19"/>
  <c r="GX19" i="19"/>
  <c r="FS19" i="19"/>
  <c r="GB19" i="19"/>
  <c r="HD19" i="19"/>
  <c r="FN19" i="19"/>
  <c r="FJ19" i="19"/>
  <c r="DX19" i="19"/>
  <c r="FT19" i="19"/>
  <c r="DR19" i="19"/>
  <c r="EC19" i="19"/>
  <c r="EB19" i="19"/>
  <c r="DW19" i="19"/>
  <c r="CK19" i="19"/>
  <c r="CR19" i="19"/>
  <c r="CE19" i="19"/>
  <c r="BY19" i="19"/>
  <c r="BR19" i="19"/>
  <c r="D4338" i="23" s="1"/>
  <c r="BV19" i="19"/>
  <c r="D4284" i="23" s="1"/>
  <c r="BL19" i="19"/>
  <c r="D4419" i="23" s="1"/>
  <c r="GY29" i="19"/>
  <c r="HC29" i="19"/>
  <c r="HB29" i="19"/>
  <c r="GQ29" i="19"/>
  <c r="FY29" i="19"/>
  <c r="GC29" i="19"/>
  <c r="FR29" i="19"/>
  <c r="FB29" i="19"/>
  <c r="FF29" i="19"/>
  <c r="DL29" i="19"/>
  <c r="FI29" i="19"/>
  <c r="GA29" i="19"/>
  <c r="DP29" i="19"/>
  <c r="EJ29" i="19"/>
  <c r="CG29" i="19"/>
  <c r="DK29" i="19"/>
  <c r="CD29" i="19"/>
  <c r="BZ29" i="19"/>
  <c r="CP29" i="19"/>
  <c r="DO29" i="19"/>
  <c r="BS29" i="19"/>
  <c r="HG21" i="19"/>
  <c r="HC21" i="19"/>
  <c r="GW21" i="19"/>
  <c r="GQ21" i="19"/>
  <c r="HR21" i="19"/>
  <c r="GZ21" i="19"/>
  <c r="EM21" i="19"/>
  <c r="FO21" i="19"/>
  <c r="EX21" i="19"/>
  <c r="FQ21" i="19"/>
  <c r="FU21" i="19"/>
  <c r="FV21" i="19"/>
  <c r="EV21" i="19"/>
  <c r="DH21" i="19"/>
  <c r="DB21" i="19"/>
  <c r="BY21" i="19"/>
  <c r="CS21" i="19"/>
  <c r="CJ21" i="19"/>
  <c r="CB21" i="19"/>
  <c r="BI21" i="19"/>
  <c r="BK21" i="19"/>
  <c r="HL13" i="19"/>
  <c r="HS13" i="19"/>
  <c r="HR13" i="19"/>
  <c r="GY13" i="19"/>
  <c r="GK13" i="19"/>
  <c r="HB13" i="19"/>
  <c r="EZ13" i="19"/>
  <c r="FB13" i="19"/>
  <c r="FN13" i="19"/>
  <c r="DM13" i="19"/>
  <c r="GA13" i="19"/>
  <c r="DN13" i="19"/>
  <c r="EN13" i="19"/>
  <c r="DC13" i="19"/>
  <c r="CL13" i="19"/>
  <c r="DK13" i="19"/>
  <c r="BW13" i="19"/>
  <c r="CC13" i="19"/>
  <c r="DH13" i="19"/>
  <c r="BM13" i="19"/>
  <c r="BT13" i="19"/>
  <c r="D4305" i="23" s="1"/>
  <c r="HM28" i="19"/>
  <c r="HQ28" i="19"/>
  <c r="GR28" i="19"/>
  <c r="HB28" i="19"/>
  <c r="GI28" i="19"/>
  <c r="FV28" i="19"/>
  <c r="FI28" i="19"/>
  <c r="EZ28" i="19"/>
  <c r="FD28" i="19"/>
  <c r="DS28" i="19"/>
  <c r="DJ28" i="19"/>
  <c r="DT28" i="19"/>
  <c r="EQ28" i="19"/>
  <c r="CK28" i="19"/>
  <c r="EJ28" i="19"/>
  <c r="CT28" i="19"/>
  <c r="CP28" i="19"/>
  <c r="CO28" i="19"/>
  <c r="CI28" i="19"/>
  <c r="BR28" i="19"/>
  <c r="D4347" i="23" s="1"/>
  <c r="BL28" i="19"/>
  <c r="D4428" i="23" s="1"/>
  <c r="HJ20" i="19"/>
  <c r="HQ20" i="19"/>
  <c r="GK20" i="19"/>
  <c r="GW20" i="19"/>
  <c r="GE20" i="19"/>
  <c r="GQ20" i="19"/>
  <c r="EK20" i="19"/>
  <c r="FE20" i="19"/>
  <c r="FL20" i="19"/>
  <c r="EA20" i="19"/>
  <c r="GH20" i="19"/>
  <c r="EL20" i="19"/>
  <c r="EE20" i="19"/>
  <c r="DA20" i="19"/>
  <c r="CR20" i="19"/>
  <c r="FK20" i="19"/>
  <c r="CQ20" i="19"/>
  <c r="DP20" i="19"/>
  <c r="CP20" i="19"/>
  <c r="BQ20" i="19"/>
  <c r="BV20" i="19"/>
  <c r="D4285" i="23" s="1"/>
  <c r="HK12" i="19"/>
  <c r="HO12" i="19"/>
  <c r="GP12" i="19"/>
  <c r="HF12" i="19"/>
  <c r="GQ12" i="19"/>
  <c r="GH12" i="19"/>
  <c r="FQ12" i="19"/>
  <c r="FP12" i="19"/>
  <c r="EG12" i="19"/>
  <c r="EF12" i="19"/>
  <c r="GG12" i="19"/>
  <c r="DW12" i="19"/>
  <c r="ED12" i="19"/>
  <c r="CC12" i="19"/>
  <c r="DC12" i="19"/>
  <c r="CL12" i="19"/>
  <c r="CH12" i="19"/>
  <c r="CD12" i="19"/>
  <c r="DD12" i="19"/>
  <c r="BV12" i="19"/>
  <c r="D4277" i="23" s="1"/>
  <c r="BS12" i="19"/>
  <c r="BN12" i="19"/>
  <c r="D4385" i="23" s="1"/>
  <c r="DA24" i="19"/>
  <c r="BY24" i="19"/>
  <c r="CW24" i="19"/>
  <c r="GS16" i="19"/>
  <c r="FW16" i="19"/>
  <c r="EZ16" i="19"/>
  <c r="EI16" i="19"/>
  <c r="DO16" i="19"/>
  <c r="CU16" i="19"/>
  <c r="CO16" i="19"/>
  <c r="BT16" i="19"/>
  <c r="D4308" i="23" s="1"/>
  <c r="HK27" i="19"/>
  <c r="GR27" i="19"/>
  <c r="FD27" i="19"/>
  <c r="FJ27" i="19"/>
  <c r="DU27" i="19"/>
  <c r="CP27" i="19"/>
  <c r="BS27" i="19"/>
  <c r="BI27" i="19"/>
  <c r="HC23" i="19"/>
  <c r="HA23" i="19"/>
  <c r="FD23" i="19"/>
  <c r="FJ23" i="19"/>
  <c r="DS23" i="19"/>
  <c r="DN23" i="19"/>
  <c r="BS23" i="19"/>
  <c r="BN23" i="19"/>
  <c r="D4396" i="23" s="1"/>
  <c r="HC15" i="19"/>
  <c r="GI15" i="19"/>
  <c r="GM15" i="19"/>
  <c r="GW15" i="19"/>
  <c r="GG15" i="19"/>
  <c r="EM15" i="19"/>
  <c r="ES15" i="19"/>
  <c r="EN15" i="19"/>
  <c r="EC15" i="19"/>
  <c r="CI15" i="19"/>
  <c r="DA15" i="19"/>
  <c r="DE15" i="19"/>
  <c r="CT15" i="19"/>
  <c r="DC15" i="19"/>
  <c r="BK15" i="19"/>
  <c r="BI15" i="19"/>
  <c r="HQ30" i="19"/>
  <c r="HU30" i="19"/>
  <c r="GO30" i="19"/>
  <c r="GZ30" i="19"/>
  <c r="GF30" i="19"/>
  <c r="HJ30" i="19"/>
  <c r="FM30" i="19"/>
  <c r="EV30" i="19"/>
  <c r="EZ30" i="19"/>
  <c r="EX30" i="19"/>
  <c r="EN30" i="19"/>
  <c r="EA30" i="19"/>
  <c r="DR30" i="19"/>
  <c r="DU30" i="19"/>
  <c r="CI30" i="19"/>
  <c r="CH30" i="19"/>
  <c r="GE30" i="19"/>
  <c r="FO30" i="19"/>
  <c r="FW30" i="19"/>
  <c r="BO30" i="19"/>
  <c r="BV30" i="19"/>
  <c r="D4295" i="23" s="1"/>
  <c r="HN22" i="19"/>
  <c r="HK22" i="19"/>
  <c r="GO22" i="19"/>
  <c r="GI22" i="19"/>
  <c r="FY22" i="19"/>
  <c r="GM22" i="19"/>
  <c r="FE22" i="19"/>
  <c r="EV22" i="19"/>
  <c r="FH22" i="19"/>
  <c r="DO22" i="19"/>
  <c r="FV22" i="19"/>
  <c r="EA22" i="19"/>
  <c r="EN22" i="19"/>
  <c r="DD22" i="19"/>
  <c r="CA22" i="19"/>
  <c r="DL22" i="19"/>
  <c r="DH22" i="19"/>
  <c r="DU22" i="19"/>
  <c r="DF22" i="19"/>
  <c r="CL22" i="19"/>
  <c r="BQ22" i="19"/>
  <c r="HO14" i="19"/>
  <c r="HS14" i="19"/>
  <c r="HR14" i="19"/>
  <c r="GQ14" i="19"/>
  <c r="GL14" i="19"/>
  <c r="GA14" i="19"/>
  <c r="ET14" i="19"/>
  <c r="FD14" i="19"/>
  <c r="FW14" i="19"/>
  <c r="DG14" i="19"/>
  <c r="EQ14" i="19"/>
  <c r="EM14" i="19"/>
  <c r="EI14" i="19"/>
  <c r="EF14" i="19"/>
  <c r="DU14" i="19"/>
  <c r="CY14" i="19"/>
  <c r="DF14" i="19"/>
  <c r="CF14" i="19"/>
  <c r="CB14" i="19"/>
  <c r="BV14" i="19"/>
  <c r="D4279" i="23" s="1"/>
  <c r="BT14" i="19"/>
  <c r="D4306" i="23" s="1"/>
  <c r="BW14" i="19"/>
  <c r="HP19" i="19"/>
  <c r="HM19" i="19"/>
  <c r="GN19" i="19"/>
  <c r="GP19" i="19"/>
  <c r="FZ19" i="19"/>
  <c r="GF19" i="19"/>
  <c r="GW19" i="19"/>
  <c r="FF19" i="19"/>
  <c r="FB19" i="19"/>
  <c r="DP19" i="19"/>
  <c r="FP19" i="19"/>
  <c r="FV19" i="19"/>
  <c r="DU19" i="19"/>
  <c r="DT19" i="19"/>
  <c r="CX19" i="19"/>
  <c r="CC19" i="19"/>
  <c r="CJ19" i="19"/>
  <c r="BS19" i="19"/>
  <c r="ED19" i="19"/>
  <c r="BN19" i="19"/>
  <c r="D4392" i="23" s="1"/>
  <c r="BX19" i="19"/>
  <c r="D4257" i="23" s="1"/>
  <c r="HU29" i="19"/>
  <c r="HN29" i="19"/>
  <c r="HJ29" i="19"/>
  <c r="GW29" i="19"/>
  <c r="GI29" i="19"/>
  <c r="FQ29" i="19"/>
  <c r="FU29" i="19"/>
  <c r="FP29" i="19"/>
  <c r="ET29" i="19"/>
  <c r="EX29" i="19"/>
  <c r="DW29" i="19"/>
  <c r="FE29" i="19"/>
  <c r="FD29" i="19"/>
  <c r="ED29" i="19"/>
  <c r="EA29" i="19"/>
  <c r="BY29" i="19"/>
  <c r="DA29" i="19"/>
  <c r="CC29" i="19"/>
  <c r="BX29" i="19"/>
  <c r="D4267" i="23" s="1"/>
  <c r="BT29" i="19"/>
  <c r="D4321" i="23" s="1"/>
  <c r="BL29" i="19"/>
  <c r="D4429" i="23" s="1"/>
  <c r="BP29" i="19"/>
  <c r="D4375" i="23" s="1"/>
  <c r="HN21" i="19"/>
  <c r="GR21" i="19"/>
  <c r="GO21" i="19"/>
  <c r="GI21" i="19"/>
  <c r="GH21" i="19"/>
  <c r="FP21" i="19"/>
  <c r="EE21" i="19"/>
  <c r="FG21" i="19"/>
  <c r="ER21" i="19"/>
  <c r="FM21" i="19"/>
  <c r="FL21" i="19"/>
  <c r="FD21" i="19"/>
  <c r="DY21" i="19"/>
  <c r="DG21" i="19"/>
  <c r="CT21" i="19"/>
  <c r="DS21" i="19"/>
  <c r="ES21" i="19"/>
  <c r="CX21" i="19"/>
  <c r="BZ21" i="19"/>
  <c r="CP21" i="19"/>
  <c r="EA21" i="19"/>
  <c r="HO13" i="19"/>
  <c r="HK13" i="19"/>
  <c r="GT13" i="19"/>
  <c r="GQ13" i="19"/>
  <c r="GG13" i="19"/>
  <c r="GB13" i="19"/>
  <c r="FT13" i="19"/>
  <c r="ET13" i="19"/>
  <c r="FF13" i="19"/>
  <c r="FD13" i="19"/>
  <c r="EV13" i="19"/>
  <c r="GH13" i="19"/>
  <c r="EL13" i="19"/>
  <c r="CU13" i="19"/>
  <c r="DZ13" i="19"/>
  <c r="DD13" i="19"/>
  <c r="EJ13" i="19"/>
  <c r="CA13" i="19"/>
  <c r="DF13" i="19"/>
  <c r="BS13" i="19"/>
  <c r="BN13" i="19"/>
  <c r="D4386" i="23" s="1"/>
  <c r="HE28" i="19"/>
  <c r="HI28" i="19"/>
  <c r="HF28" i="19"/>
  <c r="GW28" i="19"/>
  <c r="GB28" i="19"/>
  <c r="FZ28" i="19"/>
  <c r="FA28" i="19"/>
  <c r="GA28" i="19"/>
  <c r="EV28" i="19"/>
  <c r="DK28" i="19"/>
  <c r="FB28" i="19"/>
  <c r="DL28" i="19"/>
  <c r="DV28" i="19"/>
  <c r="CC28" i="19"/>
  <c r="DC28" i="19"/>
  <c r="CL28" i="19"/>
  <c r="BU28" i="19"/>
  <c r="CD28" i="19"/>
  <c r="EN28" i="19"/>
  <c r="BK28" i="19"/>
  <c r="BO28" i="19"/>
  <c r="HU20" i="19"/>
  <c r="HI20" i="19"/>
  <c r="HH20" i="19"/>
  <c r="GO20" i="19"/>
  <c r="FW20" i="19"/>
  <c r="FN20" i="19"/>
  <c r="FP20" i="19"/>
  <c r="EW20" i="19"/>
  <c r="FD20" i="19"/>
  <c r="DS20" i="19"/>
  <c r="FR20" i="19"/>
  <c r="EJ20" i="19"/>
  <c r="DW20" i="19"/>
  <c r="CS20" i="19"/>
  <c r="CJ20" i="19"/>
  <c r="DY20" i="19"/>
  <c r="DM20" i="19"/>
  <c r="CV20" i="19"/>
  <c r="CI20" i="19"/>
  <c r="BK20" i="19"/>
  <c r="BO20" i="19"/>
  <c r="HR12" i="19"/>
  <c r="HG12" i="19"/>
  <c r="HB12" i="19"/>
  <c r="GT12" i="19"/>
  <c r="GB12" i="19"/>
  <c r="FZ12" i="19"/>
  <c r="FI12" i="19"/>
  <c r="FH12" i="19"/>
  <c r="HH12" i="19"/>
  <c r="EA12" i="19"/>
  <c r="EB12" i="19"/>
  <c r="DO12" i="19"/>
  <c r="DV12" i="19"/>
  <c r="FR12" i="19"/>
  <c r="CU12" i="19"/>
  <c r="ET12" i="19"/>
  <c r="BU12" i="19"/>
  <c r="DY12" i="19"/>
  <c r="CW12" i="19"/>
  <c r="BK12" i="19"/>
  <c r="BL12" i="19"/>
  <c r="D4412" i="23" s="1"/>
  <c r="V95" i="9"/>
  <c r="AD95" i="9" s="1"/>
  <c r="V63" i="9"/>
  <c r="AD63" i="9" s="1"/>
  <c r="V79" i="9"/>
  <c r="AD79" i="9" s="1"/>
  <c r="V78" i="9"/>
  <c r="AD78" i="9" s="1"/>
  <c r="Y105" i="5"/>
  <c r="V74" i="9"/>
  <c r="AD74" i="9" s="1"/>
  <c r="V62" i="9"/>
  <c r="AD62" i="9" s="1"/>
  <c r="V58" i="9"/>
  <c r="AD58" i="9" s="1"/>
  <c r="V45" i="9"/>
  <c r="AD45" i="9" s="1"/>
  <c r="V46" i="9"/>
  <c r="AD46" i="9" s="1"/>
  <c r="V19" i="9"/>
  <c r="AD19" i="9" s="1"/>
  <c r="V42" i="9"/>
  <c r="AD42" i="9" s="1"/>
  <c r="V94" i="9"/>
  <c r="AF94" i="9" s="1"/>
  <c r="V26" i="9"/>
  <c r="AD26" i="9" s="1"/>
  <c r="V90" i="9"/>
  <c r="AF90" i="9" s="1"/>
  <c r="V10" i="9"/>
  <c r="AD10" i="9" s="1"/>
  <c r="V99" i="9"/>
  <c r="AD99" i="9" s="1"/>
  <c r="V67" i="9"/>
  <c r="AD67" i="9" s="1"/>
  <c r="V27" i="9"/>
  <c r="AD27" i="9" s="1"/>
  <c r="V30" i="9"/>
  <c r="AD30" i="9" s="1"/>
  <c r="V14" i="9"/>
  <c r="AF14" i="9" s="1"/>
  <c r="V83" i="9"/>
  <c r="AD83" i="9" s="1"/>
  <c r="V51" i="9"/>
  <c r="AF51" i="9" s="1"/>
  <c r="V92" i="9"/>
  <c r="AD92" i="9" s="1"/>
  <c r="V76" i="9"/>
  <c r="AD76" i="9" s="1"/>
  <c r="V60" i="9"/>
  <c r="AD60" i="9" s="1"/>
  <c r="V44" i="9"/>
  <c r="AD44" i="9" s="1"/>
  <c r="V28" i="9"/>
  <c r="AF28" i="9" s="1"/>
  <c r="V12" i="9"/>
  <c r="AD12" i="9" s="1"/>
  <c r="V97" i="9"/>
  <c r="AF97" i="9" s="1"/>
  <c r="V81" i="9"/>
  <c r="AF81" i="9" s="1"/>
  <c r="V65" i="9"/>
  <c r="AF65" i="9" s="1"/>
  <c r="V49" i="9"/>
  <c r="AD49" i="9" s="1"/>
  <c r="V25" i="9"/>
  <c r="AF25" i="9" s="1"/>
  <c r="AD103" i="9"/>
  <c r="V86" i="9"/>
  <c r="AD86" i="9" s="1"/>
  <c r="V70" i="9"/>
  <c r="AF70" i="9" s="1"/>
  <c r="V54" i="9"/>
  <c r="AF54" i="9" s="1"/>
  <c r="V38" i="9"/>
  <c r="AF38" i="9" s="1"/>
  <c r="V22" i="9"/>
  <c r="AD22" i="9" s="1"/>
  <c r="V6" i="9"/>
  <c r="AF6" i="9" s="1"/>
  <c r="V91" i="9"/>
  <c r="AF91" i="9" s="1"/>
  <c r="V75" i="9"/>
  <c r="AD75" i="9" s="1"/>
  <c r="V59" i="9"/>
  <c r="AF59" i="9" s="1"/>
  <c r="V41" i="9"/>
  <c r="AF41" i="9" s="1"/>
  <c r="V11" i="9"/>
  <c r="AD11" i="9" s="1"/>
  <c r="AF103" i="9"/>
  <c r="V72" i="9"/>
  <c r="AD72" i="9" s="1"/>
  <c r="V40" i="9"/>
  <c r="AF40" i="9" s="1"/>
  <c r="V8" i="9"/>
  <c r="AD8" i="9" s="1"/>
  <c r="V93" i="9"/>
  <c r="AF93" i="9" s="1"/>
  <c r="V77" i="9"/>
  <c r="AF77" i="9" s="1"/>
  <c r="V43" i="9"/>
  <c r="AF43" i="9" s="1"/>
  <c r="V13" i="9"/>
  <c r="AD13" i="9" s="1"/>
  <c r="V100" i="9"/>
  <c r="AD100" i="9" s="1"/>
  <c r="V84" i="9"/>
  <c r="AD84" i="9" s="1"/>
  <c r="V68" i="9"/>
  <c r="AF68" i="9" s="1"/>
  <c r="V52" i="9"/>
  <c r="AD52" i="9" s="1"/>
  <c r="V36" i="9"/>
  <c r="AD36" i="9" s="1"/>
  <c r="V20" i="9"/>
  <c r="AD20" i="9" s="1"/>
  <c r="V4" i="9"/>
  <c r="AD4" i="9" s="1"/>
  <c r="V89" i="9"/>
  <c r="AF89" i="9" s="1"/>
  <c r="V73" i="9"/>
  <c r="AF73" i="9" s="1"/>
  <c r="V57" i="9"/>
  <c r="AF57" i="9" s="1"/>
  <c r="V35" i="9"/>
  <c r="AD35" i="9" s="1"/>
  <c r="V9" i="9"/>
  <c r="AD9" i="9" s="1"/>
  <c r="V98" i="9"/>
  <c r="AD98" i="9" s="1"/>
  <c r="V82" i="9"/>
  <c r="AF82" i="9" s="1"/>
  <c r="V66" i="9"/>
  <c r="AD66" i="9" s="1"/>
  <c r="V50" i="9"/>
  <c r="AD50" i="9" s="1"/>
  <c r="V34" i="9"/>
  <c r="AF34" i="9" s="1"/>
  <c r="V18" i="9"/>
  <c r="AD18" i="9" s="1"/>
  <c r="V102" i="9"/>
  <c r="AF102" i="9" s="1"/>
  <c r="V87" i="9"/>
  <c r="AD87" i="9" s="1"/>
  <c r="V71" i="9"/>
  <c r="AD71" i="9" s="1"/>
  <c r="V55" i="9"/>
  <c r="AF55" i="9" s="1"/>
  <c r="V33" i="9"/>
  <c r="AD33" i="9" s="1"/>
  <c r="V88" i="9"/>
  <c r="AD88" i="9" s="1"/>
  <c r="V56" i="9"/>
  <c r="AD56" i="9" s="1"/>
  <c r="V24" i="9"/>
  <c r="AF24" i="9" s="1"/>
  <c r="V61" i="9"/>
  <c r="AF61" i="9" s="1"/>
  <c r="V96" i="9"/>
  <c r="AD96" i="9" s="1"/>
  <c r="V80" i="9"/>
  <c r="AD80" i="9" s="1"/>
  <c r="V64" i="9"/>
  <c r="AF64" i="9" s="1"/>
  <c r="V48" i="9"/>
  <c r="AF48" i="9" s="1"/>
  <c r="V32" i="9"/>
  <c r="AD32" i="9" s="1"/>
  <c r="V16" i="9"/>
  <c r="AD16" i="9" s="1"/>
  <c r="V101" i="9"/>
  <c r="AD101" i="9" s="1"/>
  <c r="V85" i="9"/>
  <c r="AF85" i="9" s="1"/>
  <c r="V69" i="9"/>
  <c r="AF69" i="9" s="1"/>
  <c r="V53" i="9"/>
  <c r="AF53" i="9" s="1"/>
  <c r="V29" i="9"/>
  <c r="AD29" i="9" s="1"/>
  <c r="V39" i="9"/>
  <c r="AD39" i="9" s="1"/>
  <c r="V23" i="9"/>
  <c r="AD23" i="9" s="1"/>
  <c r="V7" i="9"/>
  <c r="AD7" i="9" s="1"/>
  <c r="V37" i="9"/>
  <c r="AD37" i="9" s="1"/>
  <c r="V21" i="9"/>
  <c r="AD21" i="9" s="1"/>
  <c r="V5" i="9"/>
  <c r="AD5" i="9" s="1"/>
  <c r="M23" i="6"/>
  <c r="M3" i="6" s="1"/>
  <c r="V17" i="9"/>
  <c r="AD17" i="9" s="1"/>
  <c r="T103" i="9"/>
  <c r="T14" i="9" s="1"/>
  <c r="V47" i="9"/>
  <c r="AD47" i="9" s="1"/>
  <c r="V31" i="9"/>
  <c r="AD31" i="9" s="1"/>
  <c r="N23" i="6"/>
  <c r="N8" i="6" s="1"/>
  <c r="U29" i="7"/>
  <c r="L13" i="10"/>
  <c r="L5" i="10" s="1"/>
  <c r="M12" i="14"/>
  <c r="V102" i="14" s="1"/>
  <c r="K12" i="14"/>
  <c r="K8" i="14" s="1"/>
  <c r="W103" i="9"/>
  <c r="W15" i="9" s="1"/>
  <c r="M29" i="7"/>
  <c r="M7" i="7" s="1"/>
  <c r="L251" i="3"/>
  <c r="L275" i="3" s="1"/>
  <c r="Q48" i="13"/>
  <c r="U48" i="13" s="1"/>
  <c r="G13" i="11"/>
  <c r="G7" i="11" s="1"/>
  <c r="S48" i="13"/>
  <c r="AC48" i="13" s="1"/>
  <c r="J53" i="8"/>
  <c r="N13" i="17"/>
  <c r="N7" i="17" s="1"/>
  <c r="C7" i="17" s="1"/>
  <c r="L12" i="15"/>
  <c r="T12" i="15" s="1"/>
  <c r="K10" i="15"/>
  <c r="K3" i="15"/>
  <c r="K11" i="15"/>
  <c r="K4" i="15"/>
  <c r="K5" i="15"/>
  <c r="K6" i="15"/>
  <c r="K7" i="15"/>
  <c r="K8" i="15"/>
  <c r="N12" i="15"/>
  <c r="P12" i="15" s="1"/>
  <c r="R12" i="15" s="1"/>
  <c r="K9" i="15"/>
  <c r="N9" i="15" s="1"/>
  <c r="P9" i="15" s="1"/>
  <c r="R9" i="15" s="1"/>
  <c r="M11" i="17"/>
  <c r="M6" i="17"/>
  <c r="M10" i="17"/>
  <c r="M5" i="17"/>
  <c r="B13" i="17"/>
  <c r="M12" i="17"/>
  <c r="M9" i="17"/>
  <c r="M4" i="17"/>
  <c r="M7" i="17"/>
  <c r="M8" i="17"/>
  <c r="W48" i="13"/>
  <c r="AB48" i="13"/>
  <c r="L24" i="14"/>
  <c r="L6" i="14"/>
  <c r="L7" i="14"/>
  <c r="L8" i="14"/>
  <c r="U102" i="14"/>
  <c r="L9" i="14"/>
  <c r="L10" i="14"/>
  <c r="L3" i="14"/>
  <c r="L11" i="14"/>
  <c r="L4" i="14"/>
  <c r="L5" i="14"/>
  <c r="P6" i="12"/>
  <c r="P14" i="12"/>
  <c r="P22" i="12"/>
  <c r="P30" i="12"/>
  <c r="P7" i="12"/>
  <c r="P15" i="12"/>
  <c r="P23" i="12"/>
  <c r="P31" i="12"/>
  <c r="P38" i="12"/>
  <c r="P8" i="12"/>
  <c r="P16" i="12"/>
  <c r="P24" i="12"/>
  <c r="P32" i="12"/>
  <c r="P9" i="12"/>
  <c r="P17" i="12"/>
  <c r="P25" i="12"/>
  <c r="P33" i="12"/>
  <c r="P10" i="12"/>
  <c r="P18" i="12"/>
  <c r="P26" i="12"/>
  <c r="P34" i="12"/>
  <c r="P11" i="12"/>
  <c r="P19" i="12"/>
  <c r="P27" i="12"/>
  <c r="P35" i="12"/>
  <c r="P20" i="12"/>
  <c r="P21" i="12"/>
  <c r="P28" i="12"/>
  <c r="P29" i="12"/>
  <c r="P4" i="12"/>
  <c r="P36" i="12"/>
  <c r="P5" i="12"/>
  <c r="P37" i="12"/>
  <c r="P12" i="12"/>
  <c r="P13" i="12"/>
  <c r="Q39" i="12"/>
  <c r="S39" i="12" s="1"/>
  <c r="L3" i="7"/>
  <c r="L4" i="7"/>
  <c r="L6" i="7"/>
  <c r="L8" i="7"/>
  <c r="L10" i="7"/>
  <c r="L12" i="7"/>
  <c r="L14" i="7"/>
  <c r="L16" i="7"/>
  <c r="L18" i="7"/>
  <c r="L20" i="7"/>
  <c r="L22" i="7"/>
  <c r="L24" i="7"/>
  <c r="L26" i="7"/>
  <c r="L5" i="7"/>
  <c r="L7" i="7"/>
  <c r="L9" i="7"/>
  <c r="L11" i="7"/>
  <c r="L13" i="7"/>
  <c r="L15" i="7"/>
  <c r="L17" i="7"/>
  <c r="L19" i="7"/>
  <c r="L21" i="7"/>
  <c r="L23" i="7"/>
  <c r="L25" i="7"/>
  <c r="L27" i="7"/>
  <c r="AX29" i="7"/>
  <c r="AL29" i="7"/>
  <c r="AS29" i="7"/>
  <c r="I6" i="8"/>
  <c r="W6" i="8" s="1"/>
  <c r="D108" i="8" s="1"/>
  <c r="I10" i="8"/>
  <c r="W10" i="8" s="1"/>
  <c r="D112" i="8" s="1"/>
  <c r="I14" i="8"/>
  <c r="W14" i="8" s="1"/>
  <c r="D116" i="8" s="1"/>
  <c r="I18" i="8"/>
  <c r="W18" i="8" s="1"/>
  <c r="D120" i="8" s="1"/>
  <c r="I22" i="8"/>
  <c r="W22" i="8" s="1"/>
  <c r="D124" i="8" s="1"/>
  <c r="I26" i="8"/>
  <c r="W26" i="8" s="1"/>
  <c r="D128" i="8" s="1"/>
  <c r="I30" i="8"/>
  <c r="W30" i="8" s="1"/>
  <c r="D132" i="8" s="1"/>
  <c r="I34" i="8"/>
  <c r="W34" i="8" s="1"/>
  <c r="D136" i="8" s="1"/>
  <c r="I38" i="8"/>
  <c r="W38" i="8" s="1"/>
  <c r="D140" i="8" s="1"/>
  <c r="I42" i="8"/>
  <c r="W42" i="8" s="1"/>
  <c r="D144" i="8" s="1"/>
  <c r="I46" i="8"/>
  <c r="W46" i="8" s="1"/>
  <c r="D148" i="8" s="1"/>
  <c r="I50" i="8"/>
  <c r="W50" i="8" s="1"/>
  <c r="D152" i="8" s="1"/>
  <c r="I7" i="8"/>
  <c r="I11" i="8"/>
  <c r="I15" i="8"/>
  <c r="I19" i="8"/>
  <c r="I23" i="8"/>
  <c r="I27" i="8"/>
  <c r="W27" i="8" s="1"/>
  <c r="D129" i="8" s="1"/>
  <c r="I31" i="8"/>
  <c r="W31" i="8" s="1"/>
  <c r="D133" i="8" s="1"/>
  <c r="I35" i="8"/>
  <c r="W35" i="8" s="1"/>
  <c r="D137" i="8" s="1"/>
  <c r="I39" i="8"/>
  <c r="W39" i="8" s="1"/>
  <c r="D141" i="8" s="1"/>
  <c r="I43" i="8"/>
  <c r="W43" i="8" s="1"/>
  <c r="D145" i="8" s="1"/>
  <c r="I47" i="8"/>
  <c r="W47" i="8" s="1"/>
  <c r="D149" i="8" s="1"/>
  <c r="I51" i="8"/>
  <c r="W51" i="8" s="1"/>
  <c r="D153" i="8" s="1"/>
  <c r="I4" i="8"/>
  <c r="W4" i="8" s="1"/>
  <c r="D106" i="8" s="1"/>
  <c r="I8" i="8"/>
  <c r="W8" i="8" s="1"/>
  <c r="D110" i="8" s="1"/>
  <c r="I12" i="8"/>
  <c r="W12" i="8" s="1"/>
  <c r="D114" i="8" s="1"/>
  <c r="I16" i="8"/>
  <c r="W16" i="8" s="1"/>
  <c r="D118" i="8" s="1"/>
  <c r="I20" i="8"/>
  <c r="W20" i="8" s="1"/>
  <c r="D122" i="8" s="1"/>
  <c r="I24" i="8"/>
  <c r="W24" i="8" s="1"/>
  <c r="D126" i="8" s="1"/>
  <c r="I28" i="8"/>
  <c r="W28" i="8" s="1"/>
  <c r="D130" i="8" s="1"/>
  <c r="I32" i="8"/>
  <c r="W32" i="8" s="1"/>
  <c r="D134" i="8" s="1"/>
  <c r="I36" i="8"/>
  <c r="W36" i="8" s="1"/>
  <c r="D138" i="8" s="1"/>
  <c r="I40" i="8"/>
  <c r="W40" i="8" s="1"/>
  <c r="D142" i="8" s="1"/>
  <c r="I44" i="8"/>
  <c r="W44" i="8" s="1"/>
  <c r="D146" i="8" s="1"/>
  <c r="I48" i="8"/>
  <c r="W48" i="8" s="1"/>
  <c r="D150" i="8" s="1"/>
  <c r="I52" i="8"/>
  <c r="W52" i="8" s="1"/>
  <c r="D154" i="8" s="1"/>
  <c r="I13" i="8"/>
  <c r="W13" i="8" s="1"/>
  <c r="D115" i="8" s="1"/>
  <c r="I29" i="8"/>
  <c r="W29" i="8" s="1"/>
  <c r="D131" i="8" s="1"/>
  <c r="I45" i="8"/>
  <c r="W45" i="8" s="1"/>
  <c r="D147" i="8" s="1"/>
  <c r="I17" i="8"/>
  <c r="W17" i="8" s="1"/>
  <c r="D119" i="8" s="1"/>
  <c r="I33" i="8"/>
  <c r="W33" i="8" s="1"/>
  <c r="D135" i="8" s="1"/>
  <c r="I49" i="8"/>
  <c r="W49" i="8" s="1"/>
  <c r="D151" i="8" s="1"/>
  <c r="I5" i="8"/>
  <c r="W5" i="8" s="1"/>
  <c r="D107" i="8" s="1"/>
  <c r="I21" i="8"/>
  <c r="W21" i="8" s="1"/>
  <c r="D123" i="8" s="1"/>
  <c r="I37" i="8"/>
  <c r="W37" i="8" s="1"/>
  <c r="D139" i="8" s="1"/>
  <c r="I9" i="8"/>
  <c r="W9" i="8" s="1"/>
  <c r="D111" i="8" s="1"/>
  <c r="I25" i="8"/>
  <c r="W25" i="8" s="1"/>
  <c r="D127" i="8" s="1"/>
  <c r="I41" i="8"/>
  <c r="W41" i="8" s="1"/>
  <c r="D143" i="8" s="1"/>
  <c r="AD15" i="9"/>
  <c r="AF15" i="9"/>
  <c r="U15" i="9"/>
  <c r="AM15" i="9" s="1"/>
  <c r="E319" i="9" s="1"/>
  <c r="K4" i="10"/>
  <c r="K12" i="10"/>
  <c r="K5" i="10"/>
  <c r="K6" i="10"/>
  <c r="K7" i="10"/>
  <c r="K8" i="10"/>
  <c r="K9" i="10"/>
  <c r="K10" i="10"/>
  <c r="K11" i="10"/>
  <c r="H12" i="10"/>
  <c r="T23" i="6"/>
  <c r="R23" i="6"/>
  <c r="P23" i="6"/>
  <c r="F7" i="11"/>
  <c r="F11" i="11"/>
  <c r="F4" i="11"/>
  <c r="F8" i="11"/>
  <c r="F12" i="11"/>
  <c r="F5" i="11"/>
  <c r="F9" i="11"/>
  <c r="F10" i="11"/>
  <c r="F6" i="11"/>
  <c r="D242" i="11"/>
  <c r="D202" i="11"/>
  <c r="D162" i="11"/>
  <c r="D232" i="11"/>
  <c r="D192" i="11"/>
  <c r="D152" i="11"/>
  <c r="D212" i="11"/>
  <c r="D172" i="11"/>
  <c r="D222" i="11"/>
  <c r="D182" i="11"/>
  <c r="D142" i="11"/>
  <c r="D132" i="11"/>
  <c r="Q29" i="7"/>
  <c r="O29" i="7"/>
  <c r="S29" i="7"/>
  <c r="H53" i="8"/>
  <c r="Q53" i="8" s="1"/>
  <c r="N105" i="5"/>
  <c r="N16" i="5" s="1"/>
  <c r="J12" i="14"/>
  <c r="V251" i="3"/>
  <c r="T251" i="3"/>
  <c r="S105" i="5"/>
  <c r="Q105" i="5"/>
  <c r="U105" i="5"/>
  <c r="I5" i="19"/>
  <c r="I13" i="19"/>
  <c r="I21" i="19"/>
  <c r="I29" i="19"/>
  <c r="I14" i="19"/>
  <c r="I7" i="19"/>
  <c r="I15" i="19"/>
  <c r="I23" i="19"/>
  <c r="I6" i="19"/>
  <c r="I8" i="19"/>
  <c r="I16" i="19"/>
  <c r="I24" i="19"/>
  <c r="I9" i="19"/>
  <c r="I17" i="19"/>
  <c r="I25" i="19"/>
  <c r="I30" i="19"/>
  <c r="I10" i="19"/>
  <c r="I18" i="19"/>
  <c r="I26" i="19"/>
  <c r="I11" i="19"/>
  <c r="I19" i="19"/>
  <c r="I27" i="19"/>
  <c r="I22" i="19"/>
  <c r="I4" i="19"/>
  <c r="I12" i="19"/>
  <c r="I20" i="19"/>
  <c r="I28" i="19"/>
  <c r="H6" i="19"/>
  <c r="H14" i="19"/>
  <c r="H24" i="19"/>
  <c r="H29" i="19"/>
  <c r="H18" i="19"/>
  <c r="H7" i="19"/>
  <c r="H15" i="19"/>
  <c r="H25" i="19"/>
  <c r="H10" i="19"/>
  <c r="H8" i="19"/>
  <c r="H16" i="19"/>
  <c r="H26" i="19"/>
  <c r="H28" i="19"/>
  <c r="H20" i="19"/>
  <c r="H9" i="19"/>
  <c r="H17" i="19"/>
  <c r="H27" i="19"/>
  <c r="H21" i="19"/>
  <c r="H11" i="19"/>
  <c r="H19" i="19"/>
  <c r="H30" i="19"/>
  <c r="H5" i="19"/>
  <c r="H12" i="19"/>
  <c r="H22" i="19"/>
  <c r="H13" i="19"/>
  <c r="H23" i="19"/>
  <c r="K105" i="18"/>
  <c r="K245" i="18" s="1"/>
  <c r="K133" i="18"/>
  <c r="K273" i="18" s="1"/>
  <c r="K95" i="18"/>
  <c r="K235" i="18" s="1"/>
  <c r="K117" i="18"/>
  <c r="K257" i="18" s="1"/>
  <c r="K112" i="18"/>
  <c r="K252" i="18" s="1"/>
  <c r="K140" i="18"/>
  <c r="K280" i="18" s="1"/>
  <c r="K102" i="18"/>
  <c r="K242" i="18" s="1"/>
  <c r="K130" i="18"/>
  <c r="K270" i="18" s="1"/>
  <c r="K104" i="18"/>
  <c r="K244" i="18" s="1"/>
  <c r="K132" i="18"/>
  <c r="K122" i="18"/>
  <c r="K262" i="18" s="1"/>
  <c r="K109" i="18"/>
  <c r="K249" i="18" s="1"/>
  <c r="K137" i="18"/>
  <c r="K277" i="18" s="1"/>
  <c r="K106" i="18"/>
  <c r="K246" i="18" s="1"/>
  <c r="K134" i="18"/>
  <c r="K274" i="18" s="1"/>
  <c r="K101" i="18"/>
  <c r="K241" i="18" s="1"/>
  <c r="K129" i="18"/>
  <c r="K92" i="18"/>
  <c r="K232" i="18" s="1"/>
  <c r="K110" i="18"/>
  <c r="K250" i="18" s="1"/>
  <c r="K138" i="18"/>
  <c r="K278" i="18" s="1"/>
  <c r="K107" i="18"/>
  <c r="K247" i="18" s="1"/>
  <c r="K135" i="18"/>
  <c r="K275" i="18" s="1"/>
  <c r="K143" i="18"/>
  <c r="K283" i="18" s="1"/>
  <c r="K118" i="18"/>
  <c r="K258" i="18" s="1"/>
  <c r="K111" i="18"/>
  <c r="K251" i="18" s="1"/>
  <c r="K139" i="18"/>
  <c r="K279" i="18" s="1"/>
  <c r="K108" i="18"/>
  <c r="K248" i="18" s="1"/>
  <c r="K136" i="18"/>
  <c r="K276" i="18" s="1"/>
  <c r="K141" i="18"/>
  <c r="K281" i="18" s="1"/>
  <c r="K103" i="18"/>
  <c r="K243" i="18" s="1"/>
  <c r="K131" i="18"/>
  <c r="K57" i="18"/>
  <c r="K85" i="18"/>
  <c r="K225" i="18" s="1"/>
  <c r="K47" i="18"/>
  <c r="K75" i="18"/>
  <c r="K215" i="18" s="1"/>
  <c r="K35" i="18"/>
  <c r="K175" i="18" s="1"/>
  <c r="K315" i="18" s="1"/>
  <c r="K41" i="18"/>
  <c r="K181" i="18" s="1"/>
  <c r="K321" i="18" s="1"/>
  <c r="K54" i="18"/>
  <c r="K52" i="18"/>
  <c r="K44" i="18"/>
  <c r="K49" i="18"/>
  <c r="K189" i="18" s="1"/>
  <c r="K329" i="18" s="1"/>
  <c r="K33" i="18"/>
  <c r="K61" i="18"/>
  <c r="K201" i="18" s="1"/>
  <c r="K56" i="18"/>
  <c r="K46" i="18"/>
  <c r="K186" i="18" s="1"/>
  <c r="K326" i="18" s="1"/>
  <c r="K48" i="18"/>
  <c r="K188" i="18" s="1"/>
  <c r="K328" i="18" s="1"/>
  <c r="K66" i="18"/>
  <c r="K53" i="18"/>
  <c r="K50" i="18"/>
  <c r="K190" i="18" s="1"/>
  <c r="K330" i="18" s="1"/>
  <c r="K78" i="18"/>
  <c r="K218" i="18" s="1"/>
  <c r="K40" i="18"/>
  <c r="K180" i="18" s="1"/>
  <c r="K320" i="18" s="1"/>
  <c r="K45" i="18"/>
  <c r="K42" i="18"/>
  <c r="K182" i="18" s="1"/>
  <c r="K322" i="18" s="1"/>
  <c r="K51" i="18"/>
  <c r="K79" i="18"/>
  <c r="K219" i="18" s="1"/>
  <c r="K59" i="18"/>
  <c r="K87" i="18"/>
  <c r="K227" i="18" s="1"/>
  <c r="K34" i="18"/>
  <c r="K174" i="18" s="1"/>
  <c r="K314" i="18" s="1"/>
  <c r="K62" i="18"/>
  <c r="K202" i="18" s="1"/>
  <c r="K55" i="18"/>
  <c r="K43" i="18"/>
  <c r="K183" i="18" s="1"/>
  <c r="K323" i="18" s="1"/>
  <c r="U30" i="1"/>
  <c r="R25" i="1"/>
  <c r="I25" i="1"/>
  <c r="L25" i="1"/>
  <c r="R30" i="1"/>
  <c r="I30" i="1"/>
  <c r="U25" i="1"/>
  <c r="O30" i="1"/>
  <c r="BS7" i="1"/>
  <c r="BS12" i="1"/>
  <c r="BS26" i="1"/>
  <c r="BS24" i="1"/>
  <c r="BS27" i="1"/>
  <c r="BR15" i="1"/>
  <c r="BR16" i="1"/>
  <c r="BH30" i="1"/>
  <c r="BE30" i="1"/>
  <c r="BR8" i="1"/>
  <c r="BS4" i="1"/>
  <c r="BS18" i="1"/>
  <c r="BR20" i="1"/>
  <c r="BR29" i="1"/>
  <c r="BR6" i="1"/>
  <c r="BR18" i="1"/>
  <c r="BR25" i="1"/>
  <c r="BS9" i="1"/>
  <c r="BS14" i="1"/>
  <c r="BR12" i="1"/>
  <c r="BR7" i="1"/>
  <c r="BR23" i="1"/>
  <c r="BR14" i="1"/>
  <c r="BR4" i="1"/>
  <c r="BS17" i="1"/>
  <c r="BS22" i="1"/>
  <c r="BS10" i="1"/>
  <c r="BI30" i="1"/>
  <c r="BF30" i="1"/>
  <c r="BR11" i="1"/>
  <c r="BR28" i="1"/>
  <c r="BR10" i="1"/>
  <c r="BS16" i="1"/>
  <c r="BS6" i="1"/>
  <c r="BS29" i="1"/>
  <c r="BS11" i="1"/>
  <c r="BS8" i="1"/>
  <c r="BS21" i="1"/>
  <c r="BS19" i="1"/>
  <c r="BR21" i="1"/>
  <c r="BR13" i="1"/>
  <c r="BR17" i="1"/>
  <c r="BR9" i="1"/>
  <c r="BR26" i="1"/>
  <c r="BS23" i="1"/>
  <c r="BS13" i="1"/>
  <c r="BS28" i="1"/>
  <c r="BR22" i="1"/>
  <c r="BR24" i="1"/>
  <c r="BR19" i="1"/>
  <c r="BR5" i="1"/>
  <c r="BR27" i="1"/>
  <c r="BS15" i="1"/>
  <c r="BS5" i="1"/>
  <c r="BS20" i="1"/>
  <c r="J59" i="18" l="1"/>
  <c r="J18" i="8"/>
  <c r="T18" i="8" s="1"/>
  <c r="D69" i="8" s="1"/>
  <c r="T53" i="8"/>
  <c r="U44" i="9"/>
  <c r="AM44" i="9" s="1"/>
  <c r="E348" i="9" s="1"/>
  <c r="U79" i="9"/>
  <c r="AM79" i="9" s="1"/>
  <c r="E383" i="9" s="1"/>
  <c r="F171" i="9"/>
  <c r="G171" i="9"/>
  <c r="I171" i="9"/>
  <c r="J171" i="9"/>
  <c r="K171" i="9"/>
  <c r="H171" i="9"/>
  <c r="K9" i="9"/>
  <c r="F9" i="9"/>
  <c r="H9" i="9"/>
  <c r="J9" i="9"/>
  <c r="G9" i="9"/>
  <c r="I9" i="9"/>
  <c r="F61" i="9"/>
  <c r="G61" i="9"/>
  <c r="H61" i="9"/>
  <c r="I61" i="9"/>
  <c r="K61" i="9"/>
  <c r="J61" i="9"/>
  <c r="F64" i="9"/>
  <c r="G64" i="9"/>
  <c r="H64" i="9"/>
  <c r="I64" i="9"/>
  <c r="J64" i="9"/>
  <c r="K64" i="9"/>
  <c r="U94" i="9"/>
  <c r="AM94" i="9" s="1"/>
  <c r="E398" i="9" s="1"/>
  <c r="U30" i="9"/>
  <c r="AM30" i="9" s="1"/>
  <c r="E334" i="9" s="1"/>
  <c r="U65" i="9"/>
  <c r="AM65" i="9" s="1"/>
  <c r="E369" i="9" s="1"/>
  <c r="I117" i="9"/>
  <c r="J117" i="9"/>
  <c r="F117" i="9"/>
  <c r="G117" i="9"/>
  <c r="H117" i="9"/>
  <c r="K117" i="9"/>
  <c r="H22" i="9"/>
  <c r="I22" i="9"/>
  <c r="J22" i="9"/>
  <c r="K22" i="9"/>
  <c r="F22" i="9"/>
  <c r="G22" i="9"/>
  <c r="K187" i="9"/>
  <c r="H187" i="9"/>
  <c r="I187" i="9"/>
  <c r="J187" i="9"/>
  <c r="F187" i="9"/>
  <c r="G187" i="9"/>
  <c r="F163" i="9"/>
  <c r="G163" i="9"/>
  <c r="I163" i="9"/>
  <c r="J163" i="9"/>
  <c r="K163" i="9"/>
  <c r="H163" i="9"/>
  <c r="I204" i="9"/>
  <c r="J204" i="9"/>
  <c r="H204" i="9"/>
  <c r="K204" i="9"/>
  <c r="G204" i="9"/>
  <c r="F204" i="9"/>
  <c r="F36" i="9"/>
  <c r="G36" i="9"/>
  <c r="H36" i="9"/>
  <c r="I36" i="9"/>
  <c r="J36" i="9"/>
  <c r="K36" i="9"/>
  <c r="F170" i="9"/>
  <c r="G170" i="9"/>
  <c r="H170" i="9"/>
  <c r="I170" i="9"/>
  <c r="J170" i="9"/>
  <c r="K170" i="9"/>
  <c r="F142" i="9"/>
  <c r="G142" i="9"/>
  <c r="H142" i="9"/>
  <c r="I142" i="9"/>
  <c r="K142" i="9"/>
  <c r="J142" i="9"/>
  <c r="K108" i="9"/>
  <c r="J108" i="9"/>
  <c r="G108" i="9"/>
  <c r="H108" i="9"/>
  <c r="I108" i="9"/>
  <c r="F108" i="9"/>
  <c r="H50" i="9"/>
  <c r="I50" i="9"/>
  <c r="J50" i="9"/>
  <c r="K50" i="9"/>
  <c r="G50" i="9"/>
  <c r="F50" i="9"/>
  <c r="G77" i="9"/>
  <c r="H77" i="9"/>
  <c r="I77" i="9"/>
  <c r="J77" i="9"/>
  <c r="F77" i="9"/>
  <c r="K77" i="9"/>
  <c r="F100" i="9"/>
  <c r="G100" i="9"/>
  <c r="H100" i="9"/>
  <c r="I100" i="9"/>
  <c r="J100" i="9"/>
  <c r="K100" i="9"/>
  <c r="H46" i="9"/>
  <c r="I46" i="9"/>
  <c r="J46" i="9"/>
  <c r="K46" i="9"/>
  <c r="F46" i="9"/>
  <c r="G46" i="9"/>
  <c r="F96" i="9"/>
  <c r="G96" i="9"/>
  <c r="H96" i="9"/>
  <c r="J96" i="9"/>
  <c r="I96" i="9"/>
  <c r="K96" i="9"/>
  <c r="F88" i="9"/>
  <c r="G88" i="9"/>
  <c r="H88" i="9"/>
  <c r="J88" i="9"/>
  <c r="I88" i="9"/>
  <c r="K88" i="9"/>
  <c r="G193" i="9"/>
  <c r="H193" i="9"/>
  <c r="F193" i="9"/>
  <c r="J193" i="9"/>
  <c r="K193" i="9"/>
  <c r="I193" i="9"/>
  <c r="U28" i="9"/>
  <c r="AM28" i="9" s="1"/>
  <c r="E332" i="9" s="1"/>
  <c r="H38" i="9"/>
  <c r="I38" i="9"/>
  <c r="J38" i="9"/>
  <c r="K38" i="9"/>
  <c r="F38" i="9"/>
  <c r="G38" i="9"/>
  <c r="F159" i="9"/>
  <c r="G159" i="9"/>
  <c r="H159" i="9"/>
  <c r="I159" i="9"/>
  <c r="J159" i="9"/>
  <c r="K159" i="9"/>
  <c r="G11" i="9"/>
  <c r="H11" i="9"/>
  <c r="I11" i="9"/>
  <c r="J11" i="9"/>
  <c r="F11" i="9"/>
  <c r="K11" i="9"/>
  <c r="U78" i="9"/>
  <c r="AM78" i="9" s="1"/>
  <c r="E382" i="9" s="1"/>
  <c r="U14" i="9"/>
  <c r="AM14" i="9" s="1"/>
  <c r="E318" i="9" s="1"/>
  <c r="U49" i="9"/>
  <c r="AM49" i="9" s="1"/>
  <c r="E353" i="9" s="1"/>
  <c r="F32" i="9"/>
  <c r="G32" i="9"/>
  <c r="I32" i="9"/>
  <c r="J32" i="9"/>
  <c r="K32" i="9"/>
  <c r="H32" i="9"/>
  <c r="I8" i="9"/>
  <c r="J8" i="9"/>
  <c r="K8" i="9"/>
  <c r="H8" i="9"/>
  <c r="F8" i="9"/>
  <c r="G8" i="9"/>
  <c r="F17" i="9"/>
  <c r="G17" i="9"/>
  <c r="H17" i="9"/>
  <c r="I17" i="9"/>
  <c r="J17" i="9"/>
  <c r="K17" i="9"/>
  <c r="F57" i="9"/>
  <c r="G57" i="9"/>
  <c r="H57" i="9"/>
  <c r="I57" i="9"/>
  <c r="J57" i="9"/>
  <c r="K57" i="9"/>
  <c r="J136" i="9"/>
  <c r="K136" i="9"/>
  <c r="G136" i="9"/>
  <c r="H136" i="9"/>
  <c r="I136" i="9"/>
  <c r="F136" i="9"/>
  <c r="F175" i="9"/>
  <c r="G175" i="9"/>
  <c r="H175" i="9"/>
  <c r="J175" i="9"/>
  <c r="I175" i="9"/>
  <c r="K175" i="9"/>
  <c r="G101" i="9"/>
  <c r="H101" i="9"/>
  <c r="I101" i="9"/>
  <c r="J101" i="9"/>
  <c r="F101" i="9"/>
  <c r="K101" i="9"/>
  <c r="G205" i="9"/>
  <c r="H205" i="9"/>
  <c r="J205" i="9"/>
  <c r="K205" i="9"/>
  <c r="F205" i="9"/>
  <c r="I205" i="9"/>
  <c r="J140" i="9"/>
  <c r="K140" i="9"/>
  <c r="F140" i="9"/>
  <c r="G140" i="9"/>
  <c r="H140" i="9"/>
  <c r="I140" i="9"/>
  <c r="K183" i="9"/>
  <c r="G183" i="9"/>
  <c r="F183" i="9"/>
  <c r="H183" i="9"/>
  <c r="I183" i="9"/>
  <c r="J183" i="9"/>
  <c r="H153" i="9"/>
  <c r="I153" i="9"/>
  <c r="J153" i="9"/>
  <c r="K153" i="9"/>
  <c r="F153" i="9"/>
  <c r="G153" i="9"/>
  <c r="I192" i="9"/>
  <c r="J192" i="9"/>
  <c r="F192" i="9"/>
  <c r="G192" i="9"/>
  <c r="H192" i="9"/>
  <c r="K192" i="9"/>
  <c r="K63" i="9"/>
  <c r="F63" i="9"/>
  <c r="G63" i="9"/>
  <c r="H63" i="9"/>
  <c r="J63" i="9"/>
  <c r="I63" i="9"/>
  <c r="K6" i="9"/>
  <c r="F6" i="9"/>
  <c r="H6" i="9"/>
  <c r="J6" i="9"/>
  <c r="G6" i="9"/>
  <c r="I6" i="9"/>
  <c r="F10" i="9"/>
  <c r="G10" i="9"/>
  <c r="H10" i="9"/>
  <c r="I10" i="9"/>
  <c r="J10" i="9"/>
  <c r="K10" i="9"/>
  <c r="F68" i="9"/>
  <c r="G68" i="9"/>
  <c r="H68" i="9"/>
  <c r="I68" i="9"/>
  <c r="J68" i="9"/>
  <c r="K68" i="9"/>
  <c r="U92" i="9"/>
  <c r="AM92" i="9" s="1"/>
  <c r="E396" i="9" s="1"/>
  <c r="J19" i="9"/>
  <c r="K19" i="9"/>
  <c r="G19" i="9"/>
  <c r="H19" i="9"/>
  <c r="I19" i="9"/>
  <c r="F19" i="9"/>
  <c r="J23" i="9"/>
  <c r="K23" i="9"/>
  <c r="F23" i="9"/>
  <c r="G23" i="9"/>
  <c r="H23" i="9"/>
  <c r="I23" i="9"/>
  <c r="F167" i="9"/>
  <c r="G167" i="9"/>
  <c r="H167" i="9"/>
  <c r="I167" i="9"/>
  <c r="K167" i="9"/>
  <c r="J167" i="9"/>
  <c r="U76" i="9"/>
  <c r="AM76" i="9" s="1"/>
  <c r="E380" i="9" s="1"/>
  <c r="U12" i="9"/>
  <c r="AM12" i="9" s="1"/>
  <c r="E316" i="9" s="1"/>
  <c r="U47" i="9"/>
  <c r="F48" i="9"/>
  <c r="G48" i="9"/>
  <c r="I48" i="9"/>
  <c r="J48" i="9"/>
  <c r="K48" i="9"/>
  <c r="H48" i="9"/>
  <c r="F24" i="9"/>
  <c r="G24" i="9"/>
  <c r="I24" i="9"/>
  <c r="J24" i="9"/>
  <c r="K24" i="9"/>
  <c r="H24" i="9"/>
  <c r="F33" i="9"/>
  <c r="G33" i="9"/>
  <c r="H33" i="9"/>
  <c r="I33" i="9"/>
  <c r="J33" i="9"/>
  <c r="K33" i="9"/>
  <c r="G89" i="9"/>
  <c r="H89" i="9"/>
  <c r="I89" i="9"/>
  <c r="J89" i="9"/>
  <c r="F89" i="9"/>
  <c r="K89" i="9"/>
  <c r="J51" i="9"/>
  <c r="K51" i="9"/>
  <c r="G51" i="9"/>
  <c r="H51" i="9"/>
  <c r="I51" i="9"/>
  <c r="F51" i="9"/>
  <c r="K191" i="9"/>
  <c r="J191" i="9"/>
  <c r="F191" i="9"/>
  <c r="G191" i="9"/>
  <c r="H191" i="9"/>
  <c r="I191" i="9"/>
  <c r="F14" i="9"/>
  <c r="G14" i="9"/>
  <c r="H14" i="9"/>
  <c r="J14" i="9"/>
  <c r="I14" i="9"/>
  <c r="K14" i="9"/>
  <c r="I12" i="9"/>
  <c r="J12" i="9"/>
  <c r="K12" i="9"/>
  <c r="F12" i="9"/>
  <c r="H12" i="9"/>
  <c r="G12" i="9"/>
  <c r="J156" i="9"/>
  <c r="K156" i="9"/>
  <c r="F156" i="9"/>
  <c r="G156" i="9"/>
  <c r="I156" i="9"/>
  <c r="H156" i="9"/>
  <c r="K199" i="9"/>
  <c r="F199" i="9"/>
  <c r="G199" i="9"/>
  <c r="H199" i="9"/>
  <c r="I199" i="9"/>
  <c r="J199" i="9"/>
  <c r="F84" i="9"/>
  <c r="G84" i="9"/>
  <c r="H84" i="9"/>
  <c r="I84" i="9"/>
  <c r="J84" i="9"/>
  <c r="K84" i="9"/>
  <c r="J27" i="9"/>
  <c r="K27" i="9"/>
  <c r="G27" i="9"/>
  <c r="H27" i="9"/>
  <c r="I27" i="9"/>
  <c r="F27" i="9"/>
  <c r="K75" i="9"/>
  <c r="F75" i="9"/>
  <c r="H75" i="9"/>
  <c r="J75" i="9"/>
  <c r="G75" i="9"/>
  <c r="I75" i="9"/>
  <c r="F53" i="9"/>
  <c r="G53" i="9"/>
  <c r="H53" i="9"/>
  <c r="I53" i="9"/>
  <c r="K53" i="9"/>
  <c r="J53" i="9"/>
  <c r="J47" i="9"/>
  <c r="K47" i="9"/>
  <c r="F47" i="9"/>
  <c r="G47" i="9"/>
  <c r="H47" i="9"/>
  <c r="I47" i="9"/>
  <c r="U63" i="9"/>
  <c r="AM63" i="9" s="1"/>
  <c r="E367" i="9" s="1"/>
  <c r="F126" i="9"/>
  <c r="G126" i="9"/>
  <c r="H126" i="9"/>
  <c r="I126" i="9"/>
  <c r="K126" i="9"/>
  <c r="J126" i="9"/>
  <c r="G73" i="9"/>
  <c r="H73" i="9"/>
  <c r="I73" i="9"/>
  <c r="J73" i="9"/>
  <c r="F73" i="9"/>
  <c r="K73" i="9"/>
  <c r="J59" i="9"/>
  <c r="K59" i="9"/>
  <c r="G59" i="9"/>
  <c r="H59" i="9"/>
  <c r="I59" i="9"/>
  <c r="F59" i="9"/>
  <c r="U62" i="9"/>
  <c r="AM62" i="9" s="1"/>
  <c r="E366" i="9" s="1"/>
  <c r="U97" i="9"/>
  <c r="AM97" i="9" s="1"/>
  <c r="E401" i="9" s="1"/>
  <c r="U33" i="9"/>
  <c r="AM33" i="9" s="1"/>
  <c r="E337" i="9" s="1"/>
  <c r="F40" i="9"/>
  <c r="G40" i="9"/>
  <c r="I40" i="9"/>
  <c r="J40" i="9"/>
  <c r="K40" i="9"/>
  <c r="H40" i="9"/>
  <c r="F150" i="9"/>
  <c r="G150" i="9"/>
  <c r="H150" i="9"/>
  <c r="I150" i="9"/>
  <c r="K150" i="9"/>
  <c r="J150" i="9"/>
  <c r="H34" i="9"/>
  <c r="I34" i="9"/>
  <c r="J34" i="9"/>
  <c r="K34" i="9"/>
  <c r="G34" i="9"/>
  <c r="F34" i="9"/>
  <c r="K67" i="9"/>
  <c r="F67" i="9"/>
  <c r="G67" i="9"/>
  <c r="I67" i="9"/>
  <c r="J67" i="9"/>
  <c r="H67" i="9"/>
  <c r="K5" i="9"/>
  <c r="I5" i="9"/>
  <c r="J5" i="9"/>
  <c r="H5" i="9"/>
  <c r="G5" i="9"/>
  <c r="F5" i="9"/>
  <c r="H145" i="9"/>
  <c r="I145" i="9"/>
  <c r="J145" i="9"/>
  <c r="K145" i="9"/>
  <c r="G145" i="9"/>
  <c r="F145" i="9"/>
  <c r="F143" i="9"/>
  <c r="G143" i="9"/>
  <c r="H143" i="9"/>
  <c r="I143" i="9"/>
  <c r="J143" i="9"/>
  <c r="K143" i="9"/>
  <c r="J172" i="9"/>
  <c r="K172" i="9"/>
  <c r="F172" i="9"/>
  <c r="G172" i="9"/>
  <c r="H172" i="9"/>
  <c r="I172" i="9"/>
  <c r="K13" i="9"/>
  <c r="F13" i="9"/>
  <c r="G13" i="9"/>
  <c r="J13" i="9"/>
  <c r="H13" i="9"/>
  <c r="I13" i="9"/>
  <c r="K116" i="9"/>
  <c r="F116" i="9"/>
  <c r="G116" i="9"/>
  <c r="H116" i="9"/>
  <c r="I116" i="9"/>
  <c r="J116" i="9"/>
  <c r="I196" i="9"/>
  <c r="J196" i="9"/>
  <c r="F196" i="9"/>
  <c r="G196" i="9"/>
  <c r="H196" i="9"/>
  <c r="K196" i="9"/>
  <c r="U60" i="9"/>
  <c r="AM60" i="9" s="1"/>
  <c r="E364" i="9" s="1"/>
  <c r="U95" i="9"/>
  <c r="AM95" i="9" s="1"/>
  <c r="E399" i="9" s="1"/>
  <c r="U31" i="9"/>
  <c r="AM31" i="9" s="1"/>
  <c r="E335" i="9" s="1"/>
  <c r="H18" i="9"/>
  <c r="I18" i="9"/>
  <c r="J18" i="9"/>
  <c r="K18" i="9"/>
  <c r="G18" i="9"/>
  <c r="F18" i="9"/>
  <c r="H30" i="9"/>
  <c r="I30" i="9"/>
  <c r="J30" i="9"/>
  <c r="K30" i="9"/>
  <c r="F30" i="9"/>
  <c r="G30" i="9"/>
  <c r="F166" i="9"/>
  <c r="G166" i="9"/>
  <c r="H166" i="9"/>
  <c r="I166" i="9"/>
  <c r="K166" i="9"/>
  <c r="J166" i="9"/>
  <c r="H157" i="9"/>
  <c r="I157" i="9"/>
  <c r="J157" i="9"/>
  <c r="K157" i="9"/>
  <c r="F157" i="9"/>
  <c r="G157" i="9"/>
  <c r="I184" i="9"/>
  <c r="J184" i="9"/>
  <c r="F184" i="9"/>
  <c r="G184" i="9"/>
  <c r="H184" i="9"/>
  <c r="K184" i="9"/>
  <c r="F21" i="9"/>
  <c r="G21" i="9"/>
  <c r="H21" i="9"/>
  <c r="I21" i="9"/>
  <c r="K21" i="9"/>
  <c r="J21" i="9"/>
  <c r="F179" i="9"/>
  <c r="G179" i="9"/>
  <c r="H179" i="9"/>
  <c r="K179" i="9"/>
  <c r="I179" i="9"/>
  <c r="J179" i="9"/>
  <c r="H161" i="9"/>
  <c r="I161" i="9"/>
  <c r="J161" i="9"/>
  <c r="K161" i="9"/>
  <c r="G161" i="9"/>
  <c r="F161" i="9"/>
  <c r="K87" i="9"/>
  <c r="F87" i="9"/>
  <c r="G87" i="9"/>
  <c r="J87" i="9"/>
  <c r="I87" i="9"/>
  <c r="H87" i="9"/>
  <c r="F130" i="9"/>
  <c r="G130" i="9"/>
  <c r="H130" i="9"/>
  <c r="I130" i="9"/>
  <c r="J130" i="9"/>
  <c r="K130" i="9"/>
  <c r="J31" i="9"/>
  <c r="K31" i="9"/>
  <c r="F31" i="9"/>
  <c r="G31" i="9"/>
  <c r="H31" i="9"/>
  <c r="I31" i="9"/>
  <c r="J43" i="9"/>
  <c r="K43" i="9"/>
  <c r="G43" i="9"/>
  <c r="H43" i="9"/>
  <c r="I43" i="9"/>
  <c r="F43" i="9"/>
  <c r="K79" i="9"/>
  <c r="F79" i="9"/>
  <c r="G79" i="9"/>
  <c r="J79" i="9"/>
  <c r="H79" i="9"/>
  <c r="I79" i="9"/>
  <c r="G97" i="9"/>
  <c r="H97" i="9"/>
  <c r="I97" i="9"/>
  <c r="J97" i="9"/>
  <c r="F97" i="9"/>
  <c r="K97" i="9"/>
  <c r="F127" i="9"/>
  <c r="G127" i="9"/>
  <c r="H127" i="9"/>
  <c r="I127" i="9"/>
  <c r="J127" i="9"/>
  <c r="K127" i="9"/>
  <c r="I16" i="9"/>
  <c r="J16" i="9"/>
  <c r="K16" i="9"/>
  <c r="H16" i="9"/>
  <c r="G16" i="9"/>
  <c r="F16" i="9"/>
  <c r="I102" i="9"/>
  <c r="J102" i="9"/>
  <c r="K102" i="9"/>
  <c r="F102" i="9"/>
  <c r="H102" i="9"/>
  <c r="G102" i="9"/>
  <c r="G85" i="9"/>
  <c r="H85" i="9"/>
  <c r="I85" i="9"/>
  <c r="J85" i="9"/>
  <c r="F85" i="9"/>
  <c r="K85" i="9"/>
  <c r="G93" i="9"/>
  <c r="H93" i="9"/>
  <c r="I93" i="9"/>
  <c r="J93" i="9"/>
  <c r="F93" i="9"/>
  <c r="K93" i="9"/>
  <c r="U46" i="9"/>
  <c r="AM46" i="9" s="1"/>
  <c r="E350" i="9" s="1"/>
  <c r="U81" i="9"/>
  <c r="AM81" i="9" s="1"/>
  <c r="E385" i="9" s="1"/>
  <c r="U17" i="9"/>
  <c r="AM17" i="9" s="1"/>
  <c r="E321" i="9" s="1"/>
  <c r="F155" i="9"/>
  <c r="G155" i="9"/>
  <c r="I155" i="9"/>
  <c r="J155" i="9"/>
  <c r="K155" i="9"/>
  <c r="H155" i="9"/>
  <c r="G81" i="9"/>
  <c r="H81" i="9"/>
  <c r="I81" i="9"/>
  <c r="J81" i="9"/>
  <c r="F81" i="9"/>
  <c r="K81" i="9"/>
  <c r="F72" i="9"/>
  <c r="G72" i="9"/>
  <c r="H72" i="9"/>
  <c r="J72" i="9"/>
  <c r="I72" i="9"/>
  <c r="K72" i="9"/>
  <c r="K99" i="9"/>
  <c r="F99" i="9"/>
  <c r="H99" i="9"/>
  <c r="J99" i="9"/>
  <c r="G99" i="9"/>
  <c r="I99" i="9"/>
  <c r="F37" i="9"/>
  <c r="G37" i="9"/>
  <c r="H37" i="9"/>
  <c r="I37" i="9"/>
  <c r="K37" i="9"/>
  <c r="J37" i="9"/>
  <c r="K195" i="9"/>
  <c r="F195" i="9"/>
  <c r="G195" i="9"/>
  <c r="H195" i="9"/>
  <c r="I195" i="9"/>
  <c r="J195" i="9"/>
  <c r="F76" i="9"/>
  <c r="G76" i="9"/>
  <c r="H76" i="9"/>
  <c r="I76" i="9"/>
  <c r="J76" i="9"/>
  <c r="K76" i="9"/>
  <c r="F104" i="9"/>
  <c r="G104" i="9"/>
  <c r="H104" i="9"/>
  <c r="J104" i="9"/>
  <c r="I104" i="9"/>
  <c r="K104" i="9"/>
  <c r="F45" i="9"/>
  <c r="G45" i="9"/>
  <c r="H45" i="9"/>
  <c r="I45" i="9"/>
  <c r="K45" i="9"/>
  <c r="J45" i="9"/>
  <c r="F28" i="9"/>
  <c r="G28" i="9"/>
  <c r="H28" i="9"/>
  <c r="I28" i="9"/>
  <c r="K28" i="9"/>
  <c r="J28" i="9"/>
  <c r="F20" i="9"/>
  <c r="G20" i="9"/>
  <c r="H20" i="9"/>
  <c r="I20" i="9"/>
  <c r="J20" i="9"/>
  <c r="K20" i="9"/>
  <c r="F80" i="9"/>
  <c r="G80" i="9"/>
  <c r="H80" i="9"/>
  <c r="J80" i="9"/>
  <c r="I80" i="9"/>
  <c r="K80" i="9"/>
  <c r="J255" i="18"/>
  <c r="U90" i="9"/>
  <c r="AM90" i="9" s="1"/>
  <c r="E394" i="9" s="1"/>
  <c r="U74" i="9"/>
  <c r="AM74" i="9" s="1"/>
  <c r="E378" i="9" s="1"/>
  <c r="U58" i="9"/>
  <c r="AM58" i="9" s="1"/>
  <c r="E362" i="9" s="1"/>
  <c r="U42" i="9"/>
  <c r="AM42" i="9" s="1"/>
  <c r="E346" i="9" s="1"/>
  <c r="U26" i="9"/>
  <c r="AM26" i="9" s="1"/>
  <c r="E330" i="9" s="1"/>
  <c r="U10" i="9"/>
  <c r="AM10" i="9" s="1"/>
  <c r="E314" i="9" s="1"/>
  <c r="U93" i="9"/>
  <c r="AM93" i="9" s="1"/>
  <c r="E397" i="9" s="1"/>
  <c r="U77" i="9"/>
  <c r="AM77" i="9" s="1"/>
  <c r="E381" i="9" s="1"/>
  <c r="U61" i="9"/>
  <c r="AM61" i="9" s="1"/>
  <c r="E365" i="9" s="1"/>
  <c r="U45" i="9"/>
  <c r="AM45" i="9" s="1"/>
  <c r="E349" i="9" s="1"/>
  <c r="U29" i="9"/>
  <c r="AM29" i="9" s="1"/>
  <c r="E333" i="9" s="1"/>
  <c r="U13" i="9"/>
  <c r="AM13" i="9" s="1"/>
  <c r="E317" i="9" s="1"/>
  <c r="AM103" i="9"/>
  <c r="E407" i="9" s="1"/>
  <c r="U88" i="9"/>
  <c r="AM88" i="9" s="1"/>
  <c r="E392" i="9" s="1"/>
  <c r="U72" i="9"/>
  <c r="AM72" i="9" s="1"/>
  <c r="E376" i="9" s="1"/>
  <c r="U56" i="9"/>
  <c r="AM56" i="9" s="1"/>
  <c r="E360" i="9" s="1"/>
  <c r="U40" i="9"/>
  <c r="AM40" i="9" s="1"/>
  <c r="E344" i="9" s="1"/>
  <c r="U24" i="9"/>
  <c r="AM24" i="9" s="1"/>
  <c r="E328" i="9" s="1"/>
  <c r="U8" i="9"/>
  <c r="AM8" i="9" s="1"/>
  <c r="E312" i="9" s="1"/>
  <c r="U91" i="9"/>
  <c r="AM91" i="9" s="1"/>
  <c r="E395" i="9" s="1"/>
  <c r="U75" i="9"/>
  <c r="AM75" i="9" s="1"/>
  <c r="E379" i="9" s="1"/>
  <c r="U59" i="9"/>
  <c r="AM59" i="9" s="1"/>
  <c r="E363" i="9" s="1"/>
  <c r="U43" i="9"/>
  <c r="AM43" i="9" s="1"/>
  <c r="E347" i="9" s="1"/>
  <c r="U27" i="9"/>
  <c r="AM27" i="9" s="1"/>
  <c r="E331" i="9" s="1"/>
  <c r="U11" i="9"/>
  <c r="AM11" i="9" s="1"/>
  <c r="E315" i="9" s="1"/>
  <c r="U102" i="9"/>
  <c r="AM102" i="9" s="1"/>
  <c r="E406" i="9" s="1"/>
  <c r="U86" i="9"/>
  <c r="AM86" i="9" s="1"/>
  <c r="E390" i="9" s="1"/>
  <c r="U70" i="9"/>
  <c r="AM70" i="9" s="1"/>
  <c r="E374" i="9" s="1"/>
  <c r="U54" i="9"/>
  <c r="AM54" i="9" s="1"/>
  <c r="E358" i="9" s="1"/>
  <c r="U38" i="9"/>
  <c r="AM38" i="9" s="1"/>
  <c r="E342" i="9" s="1"/>
  <c r="U22" i="9"/>
  <c r="AM22" i="9" s="1"/>
  <c r="E326" i="9" s="1"/>
  <c r="U6" i="9"/>
  <c r="AM6" i="9" s="1"/>
  <c r="E310" i="9" s="1"/>
  <c r="U89" i="9"/>
  <c r="AM89" i="9" s="1"/>
  <c r="E393" i="9" s="1"/>
  <c r="U73" i="9"/>
  <c r="AM73" i="9" s="1"/>
  <c r="E377" i="9" s="1"/>
  <c r="U57" i="9"/>
  <c r="AM57" i="9" s="1"/>
  <c r="E361" i="9" s="1"/>
  <c r="U41" i="9"/>
  <c r="AM41" i="9" s="1"/>
  <c r="E345" i="9" s="1"/>
  <c r="U25" i="9"/>
  <c r="AM25" i="9" s="1"/>
  <c r="E329" i="9" s="1"/>
  <c r="U9" i="9"/>
  <c r="AM9" i="9" s="1"/>
  <c r="E313" i="9" s="1"/>
  <c r="J87" i="18"/>
  <c r="U100" i="9"/>
  <c r="AM100" i="9" s="1"/>
  <c r="E404" i="9" s="1"/>
  <c r="U84" i="9"/>
  <c r="AM84" i="9" s="1"/>
  <c r="E388" i="9" s="1"/>
  <c r="U68" i="9"/>
  <c r="AM68" i="9" s="1"/>
  <c r="E372" i="9" s="1"/>
  <c r="U52" i="9"/>
  <c r="AM52" i="9" s="1"/>
  <c r="E356" i="9" s="1"/>
  <c r="U36" i="9"/>
  <c r="AM36" i="9" s="1"/>
  <c r="E340" i="9" s="1"/>
  <c r="U20" i="9"/>
  <c r="AM20" i="9" s="1"/>
  <c r="E324" i="9" s="1"/>
  <c r="U4" i="9"/>
  <c r="AM4" i="9" s="1"/>
  <c r="E308" i="9" s="1"/>
  <c r="U87" i="9"/>
  <c r="AM87" i="9" s="1"/>
  <c r="E391" i="9" s="1"/>
  <c r="U71" i="9"/>
  <c r="AM71" i="9" s="1"/>
  <c r="E375" i="9" s="1"/>
  <c r="U55" i="9"/>
  <c r="AM55" i="9" s="1"/>
  <c r="E359" i="9" s="1"/>
  <c r="U39" i="9"/>
  <c r="AM39" i="9" s="1"/>
  <c r="E343" i="9" s="1"/>
  <c r="U23" i="9"/>
  <c r="AM23" i="9" s="1"/>
  <c r="E327" i="9" s="1"/>
  <c r="U7" i="9"/>
  <c r="AM7" i="9" s="1"/>
  <c r="E311" i="9" s="1"/>
  <c r="J339" i="18"/>
  <c r="U98" i="9"/>
  <c r="AM98" i="9" s="1"/>
  <c r="E402" i="9" s="1"/>
  <c r="U82" i="9"/>
  <c r="AM82" i="9" s="1"/>
  <c r="E386" i="9" s="1"/>
  <c r="U66" i="9"/>
  <c r="AM66" i="9" s="1"/>
  <c r="E370" i="9" s="1"/>
  <c r="U50" i="9"/>
  <c r="AM50" i="9" s="1"/>
  <c r="E354" i="9" s="1"/>
  <c r="U34" i="9"/>
  <c r="AM34" i="9" s="1"/>
  <c r="E338" i="9" s="1"/>
  <c r="U18" i="9"/>
  <c r="AM18" i="9" s="1"/>
  <c r="E322" i="9" s="1"/>
  <c r="U101" i="9"/>
  <c r="AM101" i="9" s="1"/>
  <c r="E405" i="9" s="1"/>
  <c r="U85" i="9"/>
  <c r="AM85" i="9" s="1"/>
  <c r="E389" i="9" s="1"/>
  <c r="U69" i="9"/>
  <c r="AM69" i="9" s="1"/>
  <c r="E373" i="9" s="1"/>
  <c r="U53" i="9"/>
  <c r="AM53" i="9" s="1"/>
  <c r="E357" i="9" s="1"/>
  <c r="U37" i="9"/>
  <c r="AM37" i="9" s="1"/>
  <c r="E341" i="9" s="1"/>
  <c r="U21" i="9"/>
  <c r="AM21" i="9" s="1"/>
  <c r="E325" i="9" s="1"/>
  <c r="U5" i="9"/>
  <c r="AM5" i="9" s="1"/>
  <c r="E309" i="9" s="1"/>
  <c r="U96" i="9"/>
  <c r="AM96" i="9" s="1"/>
  <c r="E400" i="9" s="1"/>
  <c r="U80" i="9"/>
  <c r="AM80" i="9" s="1"/>
  <c r="E384" i="9" s="1"/>
  <c r="U64" i="9"/>
  <c r="AM64" i="9" s="1"/>
  <c r="E368" i="9" s="1"/>
  <c r="U48" i="9"/>
  <c r="AM48" i="9" s="1"/>
  <c r="E352" i="9" s="1"/>
  <c r="U32" i="9"/>
  <c r="AM32" i="9" s="1"/>
  <c r="E336" i="9" s="1"/>
  <c r="U16" i="9"/>
  <c r="AM16" i="9" s="1"/>
  <c r="E320" i="9" s="1"/>
  <c r="U99" i="9"/>
  <c r="AM99" i="9" s="1"/>
  <c r="E403" i="9" s="1"/>
  <c r="U83" i="9"/>
  <c r="AM83" i="9" s="1"/>
  <c r="E387" i="9" s="1"/>
  <c r="U67" i="9"/>
  <c r="AM67" i="9" s="1"/>
  <c r="E371" i="9" s="1"/>
  <c r="U51" i="9"/>
  <c r="AM51" i="9" s="1"/>
  <c r="E355" i="9" s="1"/>
  <c r="U35" i="9"/>
  <c r="AM35" i="9" s="1"/>
  <c r="E339" i="9" s="1"/>
  <c r="D11542" i="23"/>
  <c r="D6412" i="23"/>
  <c r="D7438" i="23"/>
  <c r="D10516" i="23"/>
  <c r="D5386" i="23"/>
  <c r="D9490" i="23"/>
  <c r="D8464" i="23"/>
  <c r="D2308" i="23"/>
  <c r="D3334" i="23"/>
  <c r="D256" i="23"/>
  <c r="D1282" i="23"/>
  <c r="D11446" i="23"/>
  <c r="D6316" i="23"/>
  <c r="D10420" i="23"/>
  <c r="D7342" i="23"/>
  <c r="D5290" i="23"/>
  <c r="D9394" i="23"/>
  <c r="D8368" i="23"/>
  <c r="D2212" i="23"/>
  <c r="D3238" i="23"/>
  <c r="D160" i="23"/>
  <c r="D1186" i="23"/>
  <c r="D6426" i="23"/>
  <c r="D7452" i="23"/>
  <c r="D8478" i="23"/>
  <c r="D11556" i="23"/>
  <c r="D9504" i="23"/>
  <c r="D10530" i="23"/>
  <c r="D270" i="23"/>
  <c r="D2322" i="23"/>
  <c r="D3348" i="23"/>
  <c r="D5400" i="23"/>
  <c r="D1296" i="23"/>
  <c r="D11663" i="23"/>
  <c r="D10637" i="23"/>
  <c r="D9611" i="23"/>
  <c r="D7559" i="23"/>
  <c r="D5507" i="23"/>
  <c r="D6533" i="23"/>
  <c r="D8585" i="23"/>
  <c r="D1403" i="23"/>
  <c r="D2429" i="23"/>
  <c r="D3455" i="23"/>
  <c r="D377" i="23"/>
  <c r="D10477" i="23"/>
  <c r="D11503" i="23"/>
  <c r="D6373" i="23"/>
  <c r="D9451" i="23"/>
  <c r="D7399" i="23"/>
  <c r="D5347" i="23"/>
  <c r="D8425" i="23"/>
  <c r="D1243" i="23"/>
  <c r="D2269" i="23"/>
  <c r="D3295" i="23"/>
  <c r="D217" i="23"/>
  <c r="D11625" i="23"/>
  <c r="D8547" i="23"/>
  <c r="D9573" i="23"/>
  <c r="D10599" i="23"/>
  <c r="D7521" i="23"/>
  <c r="D5469" i="23"/>
  <c r="D6495" i="23"/>
  <c r="D339" i="23"/>
  <c r="D1365" i="23"/>
  <c r="D2391" i="23"/>
  <c r="D3417" i="23"/>
  <c r="D11624" i="23"/>
  <c r="D9572" i="23"/>
  <c r="D10598" i="23"/>
  <c r="D8546" i="23"/>
  <c r="D7520" i="23"/>
  <c r="D5468" i="23"/>
  <c r="D6494" i="23"/>
  <c r="D338" i="23"/>
  <c r="D1364" i="23"/>
  <c r="D2390" i="23"/>
  <c r="D3416" i="23"/>
  <c r="D10443" i="23"/>
  <c r="D6339" i="23"/>
  <c r="D7365" i="23"/>
  <c r="D8391" i="23"/>
  <c r="D11469" i="23"/>
  <c r="D5313" i="23"/>
  <c r="D3261" i="23"/>
  <c r="D9417" i="23"/>
  <c r="D1209" i="23"/>
  <c r="D183" i="23"/>
  <c r="D2235" i="23"/>
  <c r="D10449" i="23"/>
  <c r="D11475" i="23"/>
  <c r="D6345" i="23"/>
  <c r="D7371" i="23"/>
  <c r="D8397" i="23"/>
  <c r="D9423" i="23"/>
  <c r="D5319" i="23"/>
  <c r="D1215" i="23"/>
  <c r="D3267" i="23"/>
  <c r="D189" i="23"/>
  <c r="D2241" i="23"/>
  <c r="D10466" i="23"/>
  <c r="D6362" i="23"/>
  <c r="D7388" i="23"/>
  <c r="D8414" i="23"/>
  <c r="D11492" i="23"/>
  <c r="D9440" i="23"/>
  <c r="D206" i="23"/>
  <c r="D2258" i="23"/>
  <c r="D3284" i="23"/>
  <c r="D5336" i="23"/>
  <c r="D1232" i="23"/>
  <c r="D11573" i="23"/>
  <c r="D6443" i="23"/>
  <c r="D7469" i="23"/>
  <c r="D8495" i="23"/>
  <c r="D5417" i="23"/>
  <c r="D9521" i="23"/>
  <c r="D3365" i="23"/>
  <c r="D10547" i="23"/>
  <c r="D1313" i="23"/>
  <c r="D2339" i="23"/>
  <c r="D287" i="23"/>
  <c r="D7548" i="23"/>
  <c r="D8574" i="23"/>
  <c r="D11652" i="23"/>
  <c r="D9600" i="23"/>
  <c r="D6522" i="23"/>
  <c r="D10626" i="23"/>
  <c r="D366" i="23"/>
  <c r="D2418" i="23"/>
  <c r="D5496" i="23"/>
  <c r="D3444" i="23"/>
  <c r="D1392" i="23"/>
  <c r="D10423" i="23"/>
  <c r="D11449" i="23"/>
  <c r="D8371" i="23"/>
  <c r="D9397" i="23"/>
  <c r="D7345" i="23"/>
  <c r="D6319" i="23"/>
  <c r="D5293" i="23"/>
  <c r="D163" i="23"/>
  <c r="D1189" i="23"/>
  <c r="D2215" i="23"/>
  <c r="D3241" i="23"/>
  <c r="D11578" i="23"/>
  <c r="D7474" i="23"/>
  <c r="D8500" i="23"/>
  <c r="D9526" i="23"/>
  <c r="D10552" i="23"/>
  <c r="D6448" i="23"/>
  <c r="D5422" i="23"/>
  <c r="D292" i="23"/>
  <c r="D1318" i="23"/>
  <c r="D2344" i="23"/>
  <c r="D3370" i="23"/>
  <c r="D10464" i="23"/>
  <c r="D11490" i="23"/>
  <c r="D7386" i="23"/>
  <c r="D8412" i="23"/>
  <c r="D9438" i="23"/>
  <c r="D6360" i="23"/>
  <c r="D5334" i="23"/>
  <c r="D204" i="23"/>
  <c r="D1230" i="23"/>
  <c r="D2256" i="23"/>
  <c r="D3282" i="23"/>
  <c r="D10448" i="23"/>
  <c r="D11474" i="23"/>
  <c r="D7370" i="23"/>
  <c r="D8396" i="23"/>
  <c r="D9422" i="23"/>
  <c r="D6344" i="23"/>
  <c r="D5318" i="23"/>
  <c r="D188" i="23"/>
  <c r="D1214" i="23"/>
  <c r="D2240" i="23"/>
  <c r="D3266" i="23"/>
  <c r="D11598" i="23"/>
  <c r="D7494" i="23"/>
  <c r="D10572" i="23"/>
  <c r="D9546" i="23"/>
  <c r="D5442" i="23"/>
  <c r="D6468" i="23"/>
  <c r="D8520" i="23"/>
  <c r="D2364" i="23"/>
  <c r="D3390" i="23"/>
  <c r="D312" i="23"/>
  <c r="D1338" i="23"/>
  <c r="D11633" i="23"/>
  <c r="D8555" i="23"/>
  <c r="D9581" i="23"/>
  <c r="D10607" i="23"/>
  <c r="D7529" i="23"/>
  <c r="D5477" i="23"/>
  <c r="D6503" i="23"/>
  <c r="D347" i="23"/>
  <c r="D1373" i="23"/>
  <c r="D2399" i="23"/>
  <c r="D3425" i="23"/>
  <c r="D11650" i="23"/>
  <c r="D7546" i="23"/>
  <c r="D8572" i="23"/>
  <c r="D9598" i="23"/>
  <c r="D10624" i="23"/>
  <c r="D5494" i="23"/>
  <c r="D6520" i="23"/>
  <c r="D364" i="23"/>
  <c r="D1390" i="23"/>
  <c r="D2416" i="23"/>
  <c r="D3442" i="23"/>
  <c r="D10416" i="23"/>
  <c r="D11442" i="23"/>
  <c r="D7338" i="23"/>
  <c r="D8364" i="23"/>
  <c r="D9390" i="23"/>
  <c r="D6312" i="23"/>
  <c r="D5286" i="23"/>
  <c r="D156" i="23"/>
  <c r="D1182" i="23"/>
  <c r="D2208" i="23"/>
  <c r="D3234" i="23"/>
  <c r="D11462" i="23"/>
  <c r="D10436" i="23"/>
  <c r="D6332" i="23"/>
  <c r="D7358" i="23"/>
  <c r="D8384" i="23"/>
  <c r="D5306" i="23"/>
  <c r="D2228" i="23"/>
  <c r="D3254" i="23"/>
  <c r="D9410" i="23"/>
  <c r="D176" i="23"/>
  <c r="D1202" i="23"/>
  <c r="D11470" i="23"/>
  <c r="D10444" i="23"/>
  <c r="D6340" i="23"/>
  <c r="D7366" i="23"/>
  <c r="D9418" i="23"/>
  <c r="D5314" i="23"/>
  <c r="D8392" i="23"/>
  <c r="D2236" i="23"/>
  <c r="D3262" i="23"/>
  <c r="D184" i="23"/>
  <c r="D1210" i="23"/>
  <c r="D11521" i="23"/>
  <c r="D8443" i="23"/>
  <c r="D9469" i="23"/>
  <c r="D10495" i="23"/>
  <c r="D7417" i="23"/>
  <c r="D5365" i="23"/>
  <c r="D6391" i="23"/>
  <c r="D235" i="23"/>
  <c r="D1261" i="23"/>
  <c r="D2287" i="23"/>
  <c r="D3313" i="23"/>
  <c r="D11440" i="23"/>
  <c r="D10414" i="23"/>
  <c r="D9388" i="23"/>
  <c r="D8362" i="23"/>
  <c r="D6310" i="23"/>
  <c r="D7336" i="23"/>
  <c r="D5284" i="23"/>
  <c r="D154" i="23"/>
  <c r="D1180" i="23"/>
  <c r="D2206" i="23"/>
  <c r="D3232" i="23"/>
  <c r="D11570" i="23"/>
  <c r="D7466" i="23"/>
  <c r="D8492" i="23"/>
  <c r="D9518" i="23"/>
  <c r="D10544" i="23"/>
  <c r="D6440" i="23"/>
  <c r="D5414" i="23"/>
  <c r="D284" i="23"/>
  <c r="D1310" i="23"/>
  <c r="D2336" i="23"/>
  <c r="D3362" i="23"/>
  <c r="D10408" i="23"/>
  <c r="D11434" i="23"/>
  <c r="D7330" i="23"/>
  <c r="D8356" i="23"/>
  <c r="D9382" i="23"/>
  <c r="D6304" i="23"/>
  <c r="D5278" i="23"/>
  <c r="D148" i="23"/>
  <c r="D1174" i="23"/>
  <c r="D2200" i="23"/>
  <c r="D3226" i="23"/>
  <c r="D11550" i="23"/>
  <c r="D6420" i="23"/>
  <c r="D7446" i="23"/>
  <c r="D10524" i="23"/>
  <c r="D5394" i="23"/>
  <c r="D9498" i="23"/>
  <c r="D2316" i="23"/>
  <c r="D3342" i="23"/>
  <c r="D8472" i="23"/>
  <c r="D264" i="23"/>
  <c r="D1290" i="23"/>
  <c r="D10469" i="23"/>
  <c r="D11495" i="23"/>
  <c r="D6365" i="23"/>
  <c r="D9443" i="23"/>
  <c r="D8417" i="23"/>
  <c r="D5339" i="23"/>
  <c r="D1235" i="23"/>
  <c r="D2261" i="23"/>
  <c r="D7391" i="23"/>
  <c r="D3287" i="23"/>
  <c r="D209" i="23"/>
  <c r="D11623" i="23"/>
  <c r="D10597" i="23"/>
  <c r="D9571" i="23"/>
  <c r="D8545" i="23"/>
  <c r="D5467" i="23"/>
  <c r="D6493" i="23"/>
  <c r="D1363" i="23"/>
  <c r="D2389" i="23"/>
  <c r="D7519" i="23"/>
  <c r="D3415" i="23"/>
  <c r="D337" i="23"/>
  <c r="D10409" i="23"/>
  <c r="D11435" i="23"/>
  <c r="D6305" i="23"/>
  <c r="D7331" i="23"/>
  <c r="D8357" i="23"/>
  <c r="D9383" i="23"/>
  <c r="D1175" i="23"/>
  <c r="D5279" i="23"/>
  <c r="D3227" i="23"/>
  <c r="D2201" i="23"/>
  <c r="D149" i="23"/>
  <c r="D6394" i="23"/>
  <c r="D7420" i="23"/>
  <c r="D8446" i="23"/>
  <c r="D11524" i="23"/>
  <c r="D9472" i="23"/>
  <c r="D10498" i="23"/>
  <c r="D238" i="23"/>
  <c r="D2290" i="23"/>
  <c r="D5368" i="23"/>
  <c r="D3316" i="23"/>
  <c r="D1264" i="23"/>
  <c r="D11579" i="23"/>
  <c r="D6449" i="23"/>
  <c r="D7475" i="23"/>
  <c r="D8501" i="23"/>
  <c r="D9527" i="23"/>
  <c r="D10553" i="23"/>
  <c r="D5423" i="23"/>
  <c r="D1319" i="23"/>
  <c r="D3371" i="23"/>
  <c r="D2345" i="23"/>
  <c r="D293" i="23"/>
  <c r="D11472" i="23"/>
  <c r="D10446" i="23"/>
  <c r="D9420" i="23"/>
  <c r="D8394" i="23"/>
  <c r="D6342" i="23"/>
  <c r="D7368" i="23"/>
  <c r="D5316" i="23"/>
  <c r="D186" i="23"/>
  <c r="D1212" i="23"/>
  <c r="D2238" i="23"/>
  <c r="D3264" i="23"/>
  <c r="D10474" i="23"/>
  <c r="D6370" i="23"/>
  <c r="D7396" i="23"/>
  <c r="D8422" i="23"/>
  <c r="D9448" i="23"/>
  <c r="D11500" i="23"/>
  <c r="D214" i="23"/>
  <c r="D2266" i="23"/>
  <c r="D1240" i="23"/>
  <c r="D3292" i="23"/>
  <c r="D5344" i="23"/>
  <c r="D11634" i="23"/>
  <c r="D7530" i="23"/>
  <c r="D8556" i="23"/>
  <c r="D9582" i="23"/>
  <c r="D10608" i="23"/>
  <c r="D5478" i="23"/>
  <c r="D348" i="23"/>
  <c r="D1374" i="23"/>
  <c r="D6504" i="23"/>
  <c r="D2400" i="23"/>
  <c r="D3426" i="23"/>
  <c r="D11552" i="23"/>
  <c r="D9500" i="23"/>
  <c r="D10526" i="23"/>
  <c r="D8474" i="23"/>
  <c r="D5396" i="23"/>
  <c r="D6422" i="23"/>
  <c r="D266" i="23"/>
  <c r="D1292" i="23"/>
  <c r="D2318" i="23"/>
  <c r="D3344" i="23"/>
  <c r="D7448" i="23"/>
  <c r="D6387" i="23"/>
  <c r="D11517" i="23"/>
  <c r="D7413" i="23"/>
  <c r="D8439" i="23"/>
  <c r="D5361" i="23"/>
  <c r="D10491" i="23"/>
  <c r="D9465" i="23"/>
  <c r="D3309" i="23"/>
  <c r="D1257" i="23"/>
  <c r="D2283" i="23"/>
  <c r="D231" i="23"/>
  <c r="D11526" i="23"/>
  <c r="D6396" i="23"/>
  <c r="D7422" i="23"/>
  <c r="D10500" i="23"/>
  <c r="D8448" i="23"/>
  <c r="D5370" i="23"/>
  <c r="D2292" i="23"/>
  <c r="D3318" i="23"/>
  <c r="D240" i="23"/>
  <c r="D9474" i="23"/>
  <c r="D1266" i="23"/>
  <c r="D11651" i="23"/>
  <c r="D7547" i="23"/>
  <c r="D8573" i="23"/>
  <c r="D9599" i="23"/>
  <c r="D10625" i="23"/>
  <c r="D6521" i="23"/>
  <c r="D5495" i="23"/>
  <c r="D1391" i="23"/>
  <c r="D3443" i="23"/>
  <c r="D2417" i="23"/>
  <c r="D365" i="23"/>
  <c r="D10453" i="23"/>
  <c r="D11479" i="23"/>
  <c r="D6349" i="23"/>
  <c r="D9427" i="23"/>
  <c r="D5323" i="23"/>
  <c r="D7375" i="23"/>
  <c r="D1219" i="23"/>
  <c r="D2245" i="23"/>
  <c r="D3271" i="23"/>
  <c r="D8401" i="23"/>
  <c r="D193" i="23"/>
  <c r="D11510" i="23"/>
  <c r="D6380" i="23"/>
  <c r="D7406" i="23"/>
  <c r="D10484" i="23"/>
  <c r="D5354" i="23"/>
  <c r="D9458" i="23"/>
  <c r="D8432" i="23"/>
  <c r="D2276" i="23"/>
  <c r="D3302" i="23"/>
  <c r="D224" i="23"/>
  <c r="D1250" i="23"/>
  <c r="D11539" i="23"/>
  <c r="D6409" i="23"/>
  <c r="D7435" i="23"/>
  <c r="D8461" i="23"/>
  <c r="D9487" i="23"/>
  <c r="D10513" i="23"/>
  <c r="D5383" i="23"/>
  <c r="D1279" i="23"/>
  <c r="D3331" i="23"/>
  <c r="D253" i="23"/>
  <c r="D2305" i="23"/>
  <c r="D11535" i="23"/>
  <c r="D10509" i="23"/>
  <c r="D6405" i="23"/>
  <c r="D9483" i="23"/>
  <c r="D7431" i="23"/>
  <c r="D5379" i="23"/>
  <c r="D8457" i="23"/>
  <c r="D1275" i="23"/>
  <c r="D2301" i="23"/>
  <c r="D3327" i="23"/>
  <c r="D249" i="23"/>
  <c r="D6435" i="23"/>
  <c r="D7461" i="23"/>
  <c r="D8487" i="23"/>
  <c r="D11565" i="23"/>
  <c r="D5409" i="23"/>
  <c r="D10539" i="23"/>
  <c r="D3357" i="23"/>
  <c r="D9513" i="23"/>
  <c r="D1305" i="23"/>
  <c r="D2331" i="23"/>
  <c r="D279" i="23"/>
  <c r="D10429" i="23"/>
  <c r="D11455" i="23"/>
  <c r="D6325" i="23"/>
  <c r="D9403" i="23"/>
  <c r="D8377" i="23"/>
  <c r="D5299" i="23"/>
  <c r="D7351" i="23"/>
  <c r="D1195" i="23"/>
  <c r="D2221" i="23"/>
  <c r="D3247" i="23"/>
  <c r="D169" i="23"/>
  <c r="D11529" i="23"/>
  <c r="D8451" i="23"/>
  <c r="D9477" i="23"/>
  <c r="D10503" i="23"/>
  <c r="D7425" i="23"/>
  <c r="D5373" i="23"/>
  <c r="D243" i="23"/>
  <c r="D1269" i="23"/>
  <c r="D2295" i="23"/>
  <c r="D3321" i="23"/>
  <c r="D6399" i="23"/>
  <c r="D11530" i="23"/>
  <c r="D7426" i="23"/>
  <c r="D8452" i="23"/>
  <c r="D9478" i="23"/>
  <c r="D10504" i="23"/>
  <c r="D6400" i="23"/>
  <c r="D5374" i="23"/>
  <c r="D244" i="23"/>
  <c r="D1270" i="23"/>
  <c r="D2296" i="23"/>
  <c r="D3322" i="23"/>
  <c r="D11576" i="23"/>
  <c r="D9524" i="23"/>
  <c r="D10550" i="23"/>
  <c r="D8498" i="23"/>
  <c r="D6446" i="23"/>
  <c r="D5420" i="23"/>
  <c r="D7472" i="23"/>
  <c r="D290" i="23"/>
  <c r="D1316" i="23"/>
  <c r="D2342" i="23"/>
  <c r="D3368" i="23"/>
  <c r="D10445" i="23"/>
  <c r="D11471" i="23"/>
  <c r="D6341" i="23"/>
  <c r="D9419" i="23"/>
  <c r="D7367" i="23"/>
  <c r="D5315" i="23"/>
  <c r="D8393" i="23"/>
  <c r="D1211" i="23"/>
  <c r="D2237" i="23"/>
  <c r="D3263" i="23"/>
  <c r="D185" i="23"/>
  <c r="D11662" i="23"/>
  <c r="D7558" i="23"/>
  <c r="D10636" i="23"/>
  <c r="D9610" i="23"/>
  <c r="D5506" i="23"/>
  <c r="D6532" i="23"/>
  <c r="D8584" i="23"/>
  <c r="D2428" i="23"/>
  <c r="D3454" i="23"/>
  <c r="D376" i="23"/>
  <c r="D1402" i="23"/>
  <c r="D11488" i="23"/>
  <c r="D10462" i="23"/>
  <c r="D9436" i="23"/>
  <c r="D8410" i="23"/>
  <c r="D5332" i="23"/>
  <c r="D6358" i="23"/>
  <c r="D202" i="23"/>
  <c r="D7384" i="23"/>
  <c r="D1228" i="23"/>
  <c r="D2254" i="23"/>
  <c r="D3280" i="23"/>
  <c r="D10441" i="23"/>
  <c r="D11467" i="23"/>
  <c r="D6337" i="23"/>
  <c r="D7363" i="23"/>
  <c r="D8389" i="23"/>
  <c r="D9415" i="23"/>
  <c r="D1207" i="23"/>
  <c r="D5311" i="23"/>
  <c r="D3259" i="23"/>
  <c r="D181" i="23"/>
  <c r="D2233" i="23"/>
  <c r="D11543" i="23"/>
  <c r="D10517" i="23"/>
  <c r="D6413" i="23"/>
  <c r="D9491" i="23"/>
  <c r="D5387" i="23"/>
  <c r="D7439" i="23"/>
  <c r="D1283" i="23"/>
  <c r="D2309" i="23"/>
  <c r="D8465" i="23"/>
  <c r="D3335" i="23"/>
  <c r="D257" i="23"/>
  <c r="D11602" i="23"/>
  <c r="D7498" i="23"/>
  <c r="D8524" i="23"/>
  <c r="D9550" i="23"/>
  <c r="D10576" i="23"/>
  <c r="D5446" i="23"/>
  <c r="D316" i="23"/>
  <c r="D1342" i="23"/>
  <c r="D6472" i="23"/>
  <c r="D2368" i="23"/>
  <c r="D3394" i="23"/>
  <c r="D11522" i="23"/>
  <c r="D7418" i="23"/>
  <c r="D8444" i="23"/>
  <c r="D9470" i="23"/>
  <c r="D10496" i="23"/>
  <c r="D6392" i="23"/>
  <c r="D5366" i="23"/>
  <c r="D236" i="23"/>
  <c r="D1262" i="23"/>
  <c r="D2288" i="23"/>
  <c r="D3314" i="23"/>
  <c r="D11515" i="23"/>
  <c r="D6385" i="23"/>
  <c r="D7411" i="23"/>
  <c r="D8437" i="23"/>
  <c r="D9463" i="23"/>
  <c r="D10489" i="23"/>
  <c r="D5359" i="23"/>
  <c r="D1255" i="23"/>
  <c r="D3307" i="23"/>
  <c r="D2281" i="23"/>
  <c r="D229" i="23"/>
  <c r="D11639" i="23"/>
  <c r="D10613" i="23"/>
  <c r="D9587" i="23"/>
  <c r="D5483" i="23"/>
  <c r="D7535" i="23"/>
  <c r="D6509" i="23"/>
  <c r="D8561" i="23"/>
  <c r="D1379" i="23"/>
  <c r="D2405" i="23"/>
  <c r="D3431" i="23"/>
  <c r="D353" i="23"/>
  <c r="D11486" i="23"/>
  <c r="D6356" i="23"/>
  <c r="D7382" i="23"/>
  <c r="D5330" i="23"/>
  <c r="D9434" i="23"/>
  <c r="D10460" i="23"/>
  <c r="D2252" i="23"/>
  <c r="D3278" i="23"/>
  <c r="D200" i="23"/>
  <c r="D8408" i="23"/>
  <c r="D1226" i="23"/>
  <c r="D10434" i="23"/>
  <c r="D6330" i="23"/>
  <c r="D7356" i="23"/>
  <c r="D8382" i="23"/>
  <c r="D11460" i="23"/>
  <c r="D9408" i="23"/>
  <c r="D174" i="23"/>
  <c r="D2226" i="23"/>
  <c r="D3252" i="23"/>
  <c r="D5304" i="23"/>
  <c r="D1200" i="23"/>
  <c r="D11656" i="23"/>
  <c r="D9604" i="23"/>
  <c r="D10630" i="23"/>
  <c r="D8578" i="23"/>
  <c r="D7552" i="23"/>
  <c r="D5500" i="23"/>
  <c r="D6526" i="23"/>
  <c r="D370" i="23"/>
  <c r="D1396" i="23"/>
  <c r="D2422" i="23"/>
  <c r="D3448" i="23"/>
  <c r="D10442" i="23"/>
  <c r="D6338" i="23"/>
  <c r="D7364" i="23"/>
  <c r="D8390" i="23"/>
  <c r="D9416" i="23"/>
  <c r="D11468" i="23"/>
  <c r="D182" i="23"/>
  <c r="D2234" i="23"/>
  <c r="D1208" i="23"/>
  <c r="D3260" i="23"/>
  <c r="D5312" i="23"/>
  <c r="D11569" i="23"/>
  <c r="D8491" i="23"/>
  <c r="D9517" i="23"/>
  <c r="D10543" i="23"/>
  <c r="D7465" i="23"/>
  <c r="D6439" i="23"/>
  <c r="D5413" i="23"/>
  <c r="D283" i="23"/>
  <c r="D1309" i="23"/>
  <c r="D2335" i="23"/>
  <c r="D3361" i="23"/>
  <c r="D11518" i="23"/>
  <c r="D6388" i="23"/>
  <c r="D7414" i="23"/>
  <c r="D10492" i="23"/>
  <c r="D5362" i="23"/>
  <c r="D9466" i="23"/>
  <c r="D2284" i="23"/>
  <c r="D8440" i="23"/>
  <c r="D3310" i="23"/>
  <c r="D232" i="23"/>
  <c r="D1258" i="23"/>
  <c r="D6451" i="23"/>
  <c r="D11581" i="23"/>
  <c r="D7477" i="23"/>
  <c r="D8503" i="23"/>
  <c r="D5425" i="23"/>
  <c r="D10555" i="23"/>
  <c r="D9529" i="23"/>
  <c r="D3373" i="23"/>
  <c r="D1321" i="23"/>
  <c r="D2347" i="23"/>
  <c r="D295" i="23"/>
  <c r="D11545" i="23"/>
  <c r="D8467" i="23"/>
  <c r="D9493" i="23"/>
  <c r="D10519" i="23"/>
  <c r="D7441" i="23"/>
  <c r="D6415" i="23"/>
  <c r="D5389" i="23"/>
  <c r="D259" i="23"/>
  <c r="D1285" i="23"/>
  <c r="D2311" i="23"/>
  <c r="D3337" i="23"/>
  <c r="D11554" i="23"/>
  <c r="D7450" i="23"/>
  <c r="D8476" i="23"/>
  <c r="D9502" i="23"/>
  <c r="D10528" i="23"/>
  <c r="D6424" i="23"/>
  <c r="D5398" i="23"/>
  <c r="D268" i="23"/>
  <c r="D1294" i="23"/>
  <c r="D2320" i="23"/>
  <c r="D3346" i="23"/>
  <c r="D11571" i="23"/>
  <c r="D6441" i="23"/>
  <c r="D7467" i="23"/>
  <c r="D8493" i="23"/>
  <c r="D9519" i="23"/>
  <c r="D10545" i="23"/>
  <c r="D5415" i="23"/>
  <c r="D1311" i="23"/>
  <c r="D3363" i="23"/>
  <c r="D285" i="23"/>
  <c r="D2337" i="23"/>
  <c r="D10437" i="23"/>
  <c r="D11463" i="23"/>
  <c r="D6333" i="23"/>
  <c r="D9411" i="23"/>
  <c r="D8385" i="23"/>
  <c r="D5307" i="23"/>
  <c r="D7359" i="23"/>
  <c r="D1203" i="23"/>
  <c r="D2229" i="23"/>
  <c r="D3255" i="23"/>
  <c r="D177" i="23"/>
  <c r="D10473" i="23"/>
  <c r="D11499" i="23"/>
  <c r="D6369" i="23"/>
  <c r="D7395" i="23"/>
  <c r="D8421" i="23"/>
  <c r="D9447" i="23"/>
  <c r="D1239" i="23"/>
  <c r="D5343" i="23"/>
  <c r="D3291" i="23"/>
  <c r="D213" i="23"/>
  <c r="D2265" i="23"/>
  <c r="D7557" i="23"/>
  <c r="D8583" i="23"/>
  <c r="D11661" i="23"/>
  <c r="D5505" i="23"/>
  <c r="D6531" i="23"/>
  <c r="D10635" i="23"/>
  <c r="D9609" i="23"/>
  <c r="D3453" i="23"/>
  <c r="D1401" i="23"/>
  <c r="D375" i="23"/>
  <c r="D2427" i="23"/>
  <c r="D11599" i="23"/>
  <c r="D10573" i="23"/>
  <c r="D9547" i="23"/>
  <c r="D7495" i="23"/>
  <c r="D5443" i="23"/>
  <c r="D6469" i="23"/>
  <c r="D8521" i="23"/>
  <c r="D1339" i="23"/>
  <c r="D2365" i="23"/>
  <c r="D3391" i="23"/>
  <c r="D313" i="23"/>
  <c r="D10447" i="23"/>
  <c r="D11473" i="23"/>
  <c r="D8395" i="23"/>
  <c r="D9421" i="23"/>
  <c r="D7369" i="23"/>
  <c r="D6343" i="23"/>
  <c r="D5317" i="23"/>
  <c r="D187" i="23"/>
  <c r="D1213" i="23"/>
  <c r="D2239" i="23"/>
  <c r="D3265" i="23"/>
  <c r="D11591" i="23"/>
  <c r="D10565" i="23"/>
  <c r="D6461" i="23"/>
  <c r="D9539" i="23"/>
  <c r="D8513" i="23"/>
  <c r="D5435" i="23"/>
  <c r="D7487" i="23"/>
  <c r="D1331" i="23"/>
  <c r="D2357" i="23"/>
  <c r="D3383" i="23"/>
  <c r="D305" i="23"/>
  <c r="D7516" i="23"/>
  <c r="D8542" i="23"/>
  <c r="D11620" i="23"/>
  <c r="D9568" i="23"/>
  <c r="D6490" i="23"/>
  <c r="D10594" i="23"/>
  <c r="D334" i="23"/>
  <c r="D2386" i="23"/>
  <c r="D3412" i="23"/>
  <c r="D5464" i="23"/>
  <c r="D1360" i="23"/>
  <c r="D11587" i="23"/>
  <c r="D6457" i="23"/>
  <c r="D7483" i="23"/>
  <c r="D8509" i="23"/>
  <c r="D9535" i="23"/>
  <c r="D10561" i="23"/>
  <c r="D5431" i="23"/>
  <c r="D1327" i="23"/>
  <c r="D3379" i="23"/>
  <c r="D2353" i="23"/>
  <c r="D301" i="23"/>
  <c r="D10425" i="23"/>
  <c r="D11451" i="23"/>
  <c r="D6321" i="23"/>
  <c r="D7347" i="23"/>
  <c r="D8373" i="23"/>
  <c r="D9399" i="23"/>
  <c r="D5295" i="23"/>
  <c r="D1191" i="23"/>
  <c r="D3243" i="23"/>
  <c r="D2217" i="23"/>
  <c r="D165" i="23"/>
  <c r="D11617" i="23"/>
  <c r="D8539" i="23"/>
  <c r="D9565" i="23"/>
  <c r="D10591" i="23"/>
  <c r="D7513" i="23"/>
  <c r="D5461" i="23"/>
  <c r="D6487" i="23"/>
  <c r="D331" i="23"/>
  <c r="D1357" i="23"/>
  <c r="D2383" i="23"/>
  <c r="D3409" i="23"/>
  <c r="D11613" i="23"/>
  <c r="D7509" i="23"/>
  <c r="D8535" i="23"/>
  <c r="D5457" i="23"/>
  <c r="D10587" i="23"/>
  <c r="D6483" i="23"/>
  <c r="D9561" i="23"/>
  <c r="D3405" i="23"/>
  <c r="D1353" i="23"/>
  <c r="D327" i="23"/>
  <c r="D2379" i="23"/>
  <c r="D11645" i="23"/>
  <c r="D7541" i="23"/>
  <c r="D8567" i="23"/>
  <c r="D5489" i="23"/>
  <c r="D10619" i="23"/>
  <c r="D6515" i="23"/>
  <c r="D9593" i="23"/>
  <c r="D3437" i="23"/>
  <c r="D1385" i="23"/>
  <c r="D2411" i="23"/>
  <c r="D359" i="23"/>
  <c r="D10431" i="23"/>
  <c r="D11457" i="23"/>
  <c r="D8379" i="23"/>
  <c r="D9405" i="23"/>
  <c r="D7353" i="23"/>
  <c r="D5301" i="23"/>
  <c r="D6327" i="23"/>
  <c r="D171" i="23"/>
  <c r="D1197" i="23"/>
  <c r="D2223" i="23"/>
  <c r="D3249" i="23"/>
  <c r="D11642" i="23"/>
  <c r="D7538" i="23"/>
  <c r="D8564" i="23"/>
  <c r="D9590" i="23"/>
  <c r="D10616" i="23"/>
  <c r="D5486" i="23"/>
  <c r="D356" i="23"/>
  <c r="D1382" i="23"/>
  <c r="D2408" i="23"/>
  <c r="D6512" i="23"/>
  <c r="D3434" i="23"/>
  <c r="D11610" i="23"/>
  <c r="D7506" i="23"/>
  <c r="D8532" i="23"/>
  <c r="D9558" i="23"/>
  <c r="D10584" i="23"/>
  <c r="D5454" i="23"/>
  <c r="D324" i="23"/>
  <c r="D1350" i="23"/>
  <c r="D2376" i="23"/>
  <c r="D6480" i="23"/>
  <c r="D3402" i="23"/>
  <c r="D11523" i="23"/>
  <c r="D6393" i="23"/>
  <c r="D7419" i="23"/>
  <c r="D8445" i="23"/>
  <c r="D9471" i="23"/>
  <c r="D10497" i="23"/>
  <c r="D5367" i="23"/>
  <c r="D1263" i="23"/>
  <c r="D3315" i="23"/>
  <c r="D2289" i="23"/>
  <c r="D237" i="23"/>
  <c r="D10463" i="23"/>
  <c r="D11489" i="23"/>
  <c r="D8411" i="23"/>
  <c r="D9437" i="23"/>
  <c r="D7385" i="23"/>
  <c r="D5333" i="23"/>
  <c r="D6359" i="23"/>
  <c r="D203" i="23"/>
  <c r="D1229" i="23"/>
  <c r="D2255" i="23"/>
  <c r="D3281" i="23"/>
  <c r="D11655" i="23"/>
  <c r="D10629" i="23"/>
  <c r="D9603" i="23"/>
  <c r="D8577" i="23"/>
  <c r="D5499" i="23"/>
  <c r="D6525" i="23"/>
  <c r="D1395" i="23"/>
  <c r="D2421" i="23"/>
  <c r="D3447" i="23"/>
  <c r="D7551" i="23"/>
  <c r="D369" i="23"/>
  <c r="D10465" i="23"/>
  <c r="D11491" i="23"/>
  <c r="D6361" i="23"/>
  <c r="D7387" i="23"/>
  <c r="D8413" i="23"/>
  <c r="D9439" i="23"/>
  <c r="D5335" i="23"/>
  <c r="D1231" i="23"/>
  <c r="D3283" i="23"/>
  <c r="D205" i="23"/>
  <c r="D2257" i="23"/>
  <c r="D10421" i="23"/>
  <c r="D11447" i="23"/>
  <c r="D6317" i="23"/>
  <c r="D9395" i="23"/>
  <c r="D5291" i="23"/>
  <c r="D7343" i="23"/>
  <c r="D1187" i="23"/>
  <c r="D2213" i="23"/>
  <c r="D3239" i="23"/>
  <c r="D8369" i="23"/>
  <c r="D161" i="23"/>
  <c r="D11572" i="23"/>
  <c r="D6442" i="23"/>
  <c r="D7468" i="23"/>
  <c r="D8494" i="23"/>
  <c r="D9520" i="23"/>
  <c r="D10546" i="23"/>
  <c r="D5416" i="23"/>
  <c r="D286" i="23"/>
  <c r="D2338" i="23"/>
  <c r="D1312" i="23"/>
  <c r="D3364" i="23"/>
  <c r="D6323" i="23"/>
  <c r="D11453" i="23"/>
  <c r="D7349" i="23"/>
  <c r="D8375" i="23"/>
  <c r="D5297" i="23"/>
  <c r="D10427" i="23"/>
  <c r="D9401" i="23"/>
  <c r="D3245" i="23"/>
  <c r="D1193" i="23"/>
  <c r="D2219" i="23"/>
  <c r="D167" i="23"/>
  <c r="D11646" i="23"/>
  <c r="D7542" i="23"/>
  <c r="D10620" i="23"/>
  <c r="D5490" i="23"/>
  <c r="D6516" i="23"/>
  <c r="D9594" i="23"/>
  <c r="D2412" i="23"/>
  <c r="D8568" i="23"/>
  <c r="D3438" i="23"/>
  <c r="D360" i="23"/>
  <c r="D1386" i="23"/>
  <c r="D6331" i="23"/>
  <c r="D7357" i="23"/>
  <c r="D8383" i="23"/>
  <c r="D10435" i="23"/>
  <c r="D5305" i="23"/>
  <c r="D11461" i="23"/>
  <c r="D9409" i="23"/>
  <c r="D3253" i="23"/>
  <c r="D1201" i="23"/>
  <c r="D2227" i="23"/>
  <c r="D175" i="23"/>
  <c r="D11601" i="23"/>
  <c r="D8523" i="23"/>
  <c r="D9549" i="23"/>
  <c r="D10575" i="23"/>
  <c r="D7497" i="23"/>
  <c r="D5445" i="23"/>
  <c r="D6471" i="23"/>
  <c r="D315" i="23"/>
  <c r="D1341" i="23"/>
  <c r="D2367" i="23"/>
  <c r="D3393" i="23"/>
  <c r="D6418" i="23"/>
  <c r="D11548" i="23"/>
  <c r="D7444" i="23"/>
  <c r="D8470" i="23"/>
  <c r="D9496" i="23"/>
  <c r="D10522" i="23"/>
  <c r="D5392" i="23"/>
  <c r="D262" i="23"/>
  <c r="D2314" i="23"/>
  <c r="D1288" i="23"/>
  <c r="D3340" i="23"/>
  <c r="D11603" i="23"/>
  <c r="D7499" i="23"/>
  <c r="D8525" i="23"/>
  <c r="D9551" i="23"/>
  <c r="D10577" i="23"/>
  <c r="D5447" i="23"/>
  <c r="D1343" i="23"/>
  <c r="D3395" i="23"/>
  <c r="D6473" i="23"/>
  <c r="D317" i="23"/>
  <c r="D2369" i="23"/>
  <c r="D11513" i="23"/>
  <c r="D8435" i="23"/>
  <c r="D9461" i="23"/>
  <c r="D10487" i="23"/>
  <c r="D7409" i="23"/>
  <c r="D6383" i="23"/>
  <c r="D5357" i="23"/>
  <c r="D227" i="23"/>
  <c r="D1253" i="23"/>
  <c r="D2279" i="23"/>
  <c r="D3305" i="23"/>
  <c r="D11541" i="23"/>
  <c r="D6411" i="23"/>
  <c r="D7437" i="23"/>
  <c r="D8463" i="23"/>
  <c r="D5385" i="23"/>
  <c r="D9489" i="23"/>
  <c r="D10515" i="23"/>
  <c r="D3333" i="23"/>
  <c r="D1281" i="23"/>
  <c r="D2307" i="23"/>
  <c r="D255" i="23"/>
  <c r="D11514" i="23"/>
  <c r="D7410" i="23"/>
  <c r="D8436" i="23"/>
  <c r="D9462" i="23"/>
  <c r="D10488" i="23"/>
  <c r="D6384" i="23"/>
  <c r="D5358" i="23"/>
  <c r="D228" i="23"/>
  <c r="D1254" i="23"/>
  <c r="D2280" i="23"/>
  <c r="D3306" i="23"/>
  <c r="D11638" i="23"/>
  <c r="D7534" i="23"/>
  <c r="D10612" i="23"/>
  <c r="D5482" i="23"/>
  <c r="D9586" i="23"/>
  <c r="D6508" i="23"/>
  <c r="D8560" i="23"/>
  <c r="D2404" i="23"/>
  <c r="D3430" i="23"/>
  <c r="D352" i="23"/>
  <c r="D1378" i="23"/>
  <c r="D7493" i="23"/>
  <c r="D8519" i="23"/>
  <c r="D11597" i="23"/>
  <c r="D5441" i="23"/>
  <c r="D6467" i="23"/>
  <c r="D10571" i="23"/>
  <c r="D3389" i="23"/>
  <c r="D9545" i="23"/>
  <c r="D1337" i="23"/>
  <c r="D311" i="23"/>
  <c r="D2363" i="23"/>
  <c r="D10471" i="23"/>
  <c r="D11497" i="23"/>
  <c r="D8419" i="23"/>
  <c r="D9445" i="23"/>
  <c r="D7393" i="23"/>
  <c r="D5341" i="23"/>
  <c r="D211" i="23"/>
  <c r="D1237" i="23"/>
  <c r="D2263" i="23"/>
  <c r="D3289" i="23"/>
  <c r="D6367" i="23"/>
  <c r="D10415" i="23"/>
  <c r="D11441" i="23"/>
  <c r="D8363" i="23"/>
  <c r="D9389" i="23"/>
  <c r="D7337" i="23"/>
  <c r="D6311" i="23"/>
  <c r="D5285" i="23"/>
  <c r="D155" i="23"/>
  <c r="D1181" i="23"/>
  <c r="D2207" i="23"/>
  <c r="D3233" i="23"/>
  <c r="D11636" i="23"/>
  <c r="D7532" i="23"/>
  <c r="D8558" i="23"/>
  <c r="D9584" i="23"/>
  <c r="D6506" i="23"/>
  <c r="D5480" i="23"/>
  <c r="D350" i="23"/>
  <c r="D2402" i="23"/>
  <c r="D1376" i="23"/>
  <c r="D3428" i="23"/>
  <c r="D10610" i="23"/>
  <c r="D6450" i="23"/>
  <c r="D11580" i="23"/>
  <c r="D7476" i="23"/>
  <c r="D8502" i="23"/>
  <c r="D9528" i="23"/>
  <c r="D10554" i="23"/>
  <c r="D5424" i="23"/>
  <c r="D294" i="23"/>
  <c r="D2346" i="23"/>
  <c r="D1320" i="23"/>
  <c r="D3372" i="23"/>
  <c r="D11609" i="23"/>
  <c r="D8531" i="23"/>
  <c r="D9557" i="23"/>
  <c r="D10583" i="23"/>
  <c r="D7505" i="23"/>
  <c r="D5453" i="23"/>
  <c r="D6479" i="23"/>
  <c r="D323" i="23"/>
  <c r="D1349" i="23"/>
  <c r="D2375" i="23"/>
  <c r="D3401" i="23"/>
  <c r="D10410" i="23"/>
  <c r="D6306" i="23"/>
  <c r="D7332" i="23"/>
  <c r="D8358" i="23"/>
  <c r="D9384" i="23"/>
  <c r="D11436" i="23"/>
  <c r="D150" i="23"/>
  <c r="D2202" i="23"/>
  <c r="D1176" i="23"/>
  <c r="D3228" i="23"/>
  <c r="D5280" i="23"/>
  <c r="D11519" i="23"/>
  <c r="D10493" i="23"/>
  <c r="D6389" i="23"/>
  <c r="D9467" i="23"/>
  <c r="D8441" i="23"/>
  <c r="D5363" i="23"/>
  <c r="D7415" i="23"/>
  <c r="D1259" i="23"/>
  <c r="D2285" i="23"/>
  <c r="D3311" i="23"/>
  <c r="D233" i="23"/>
  <c r="D11635" i="23"/>
  <c r="D7531" i="23"/>
  <c r="D8557" i="23"/>
  <c r="D9583" i="23"/>
  <c r="D10609" i="23"/>
  <c r="D5479" i="23"/>
  <c r="D1375" i="23"/>
  <c r="D3427" i="23"/>
  <c r="D349" i="23"/>
  <c r="D6505" i="23"/>
  <c r="D2401" i="23"/>
  <c r="D11528" i="23"/>
  <c r="D9476" i="23"/>
  <c r="D10502" i="23"/>
  <c r="D8450" i="23"/>
  <c r="D7424" i="23"/>
  <c r="D5372" i="23"/>
  <c r="D242" i="23"/>
  <c r="D1268" i="23"/>
  <c r="D2294" i="23"/>
  <c r="D3320" i="23"/>
  <c r="D6398" i="23"/>
  <c r="D11546" i="23"/>
  <c r="D7442" i="23"/>
  <c r="D8468" i="23"/>
  <c r="D9494" i="23"/>
  <c r="D10520" i="23"/>
  <c r="D6416" i="23"/>
  <c r="D5390" i="23"/>
  <c r="D260" i="23"/>
  <c r="D1286" i="23"/>
  <c r="D2312" i="23"/>
  <c r="D3338" i="23"/>
  <c r="D11438" i="23"/>
  <c r="D10412" i="23"/>
  <c r="D6308" i="23"/>
  <c r="D7334" i="23"/>
  <c r="D9386" i="23"/>
  <c r="D5282" i="23"/>
  <c r="D8360" i="23"/>
  <c r="D2204" i="23"/>
  <c r="D3230" i="23"/>
  <c r="D152" i="23"/>
  <c r="D1178" i="23"/>
  <c r="D6434" i="23"/>
  <c r="D7460" i="23"/>
  <c r="D8486" i="23"/>
  <c r="D9512" i="23"/>
  <c r="D11564" i="23"/>
  <c r="D10538" i="23"/>
  <c r="D278" i="23"/>
  <c r="D2330" i="23"/>
  <c r="D1304" i="23"/>
  <c r="D3356" i="23"/>
  <c r="D5408" i="23"/>
  <c r="D11424" i="23"/>
  <c r="D10398" i="23"/>
  <c r="D9372" i="23"/>
  <c r="D8346" i="23"/>
  <c r="D5268" i="23"/>
  <c r="D6294" i="23"/>
  <c r="D138" i="23"/>
  <c r="D1164" i="23"/>
  <c r="D2190" i="23"/>
  <c r="D3216" i="23"/>
  <c r="D7320" i="23"/>
  <c r="D11456" i="23"/>
  <c r="D10430" i="23"/>
  <c r="D9404" i="23"/>
  <c r="D8378" i="23"/>
  <c r="D5300" i="23"/>
  <c r="D6326" i="23"/>
  <c r="D170" i="23"/>
  <c r="D1196" i="23"/>
  <c r="D2222" i="23"/>
  <c r="D3248" i="23"/>
  <c r="D7352" i="23"/>
  <c r="D11508" i="23"/>
  <c r="D6378" i="23"/>
  <c r="D7404" i="23"/>
  <c r="D8430" i="23"/>
  <c r="D9456" i="23"/>
  <c r="D5352" i="23"/>
  <c r="D222" i="23"/>
  <c r="D2274" i="23"/>
  <c r="D1248" i="23"/>
  <c r="D3300" i="23"/>
  <c r="D10482" i="23"/>
  <c r="D10456" i="23"/>
  <c r="D11482" i="23"/>
  <c r="D7378" i="23"/>
  <c r="D8404" i="23"/>
  <c r="D9430" i="23"/>
  <c r="D6352" i="23"/>
  <c r="D5326" i="23"/>
  <c r="D196" i="23"/>
  <c r="D1222" i="23"/>
  <c r="D2248" i="23"/>
  <c r="D3274" i="23"/>
  <c r="D6299" i="23"/>
  <c r="D7325" i="23"/>
  <c r="D8351" i="23"/>
  <c r="D10403" i="23"/>
  <c r="D5273" i="23"/>
  <c r="D9377" i="23"/>
  <c r="D11429" i="23"/>
  <c r="D3221" i="23"/>
  <c r="D1169" i="23"/>
  <c r="D143" i="23"/>
  <c r="D2195" i="23"/>
  <c r="D11509" i="23"/>
  <c r="D6379" i="23"/>
  <c r="D7405" i="23"/>
  <c r="D8431" i="23"/>
  <c r="D5353" i="23"/>
  <c r="D9457" i="23"/>
  <c r="D3301" i="23"/>
  <c r="D10483" i="23"/>
  <c r="D1249" i="23"/>
  <c r="D2275" i="23"/>
  <c r="D223" i="23"/>
  <c r="D11480" i="23"/>
  <c r="D10454" i="23"/>
  <c r="D9428" i="23"/>
  <c r="D8402" i="23"/>
  <c r="D6350" i="23"/>
  <c r="D5324" i="23"/>
  <c r="D7376" i="23"/>
  <c r="D194" i="23"/>
  <c r="D1220" i="23"/>
  <c r="D2246" i="23"/>
  <c r="D3272" i="23"/>
  <c r="D11454" i="23"/>
  <c r="D6324" i="23"/>
  <c r="D7350" i="23"/>
  <c r="D5298" i="23"/>
  <c r="D10428" i="23"/>
  <c r="D9402" i="23"/>
  <c r="D2220" i="23"/>
  <c r="D3246" i="23"/>
  <c r="D168" i="23"/>
  <c r="D8376" i="23"/>
  <c r="D1194" i="23"/>
  <c r="D11538" i="23"/>
  <c r="D7434" i="23"/>
  <c r="D8460" i="23"/>
  <c r="D9486" i="23"/>
  <c r="D10512" i="23"/>
  <c r="D6408" i="23"/>
  <c r="D5382" i="23"/>
  <c r="D252" i="23"/>
  <c r="D1278" i="23"/>
  <c r="D2304" i="23"/>
  <c r="D3330" i="23"/>
  <c r="D11511" i="23"/>
  <c r="D10485" i="23"/>
  <c r="D6381" i="23"/>
  <c r="D9459" i="23"/>
  <c r="D5355" i="23"/>
  <c r="D7407" i="23"/>
  <c r="D8433" i="23"/>
  <c r="D1251" i="23"/>
  <c r="D2277" i="23"/>
  <c r="D3303" i="23"/>
  <c r="D225" i="23"/>
  <c r="D10458" i="23"/>
  <c r="D6354" i="23"/>
  <c r="D11484" i="23"/>
  <c r="D7380" i="23"/>
  <c r="D8406" i="23"/>
  <c r="D9432" i="23"/>
  <c r="D5328" i="23"/>
  <c r="D198" i="23"/>
  <c r="D2250" i="23"/>
  <c r="D1224" i="23"/>
  <c r="D3276" i="23"/>
  <c r="D11534" i="23"/>
  <c r="D6404" i="23"/>
  <c r="D7430" i="23"/>
  <c r="D10508" i="23"/>
  <c r="D9482" i="23"/>
  <c r="D5378" i="23"/>
  <c r="D8456" i="23"/>
  <c r="D2300" i="23"/>
  <c r="D3326" i="23"/>
  <c r="D248" i="23"/>
  <c r="D1274" i="23"/>
  <c r="D10472" i="23"/>
  <c r="D11498" i="23"/>
  <c r="D7394" i="23"/>
  <c r="D8420" i="23"/>
  <c r="D9446" i="23"/>
  <c r="D6368" i="23"/>
  <c r="D5342" i="23"/>
  <c r="D212" i="23"/>
  <c r="D1238" i="23"/>
  <c r="D2264" i="23"/>
  <c r="D3290" i="23"/>
  <c r="D11664" i="23"/>
  <c r="D9612" i="23"/>
  <c r="D10638" i="23"/>
  <c r="D8586" i="23"/>
  <c r="D7560" i="23"/>
  <c r="D5508" i="23"/>
  <c r="D6534" i="23"/>
  <c r="D378" i="23"/>
  <c r="D1404" i="23"/>
  <c r="D2430" i="23"/>
  <c r="D3456" i="23"/>
  <c r="D11605" i="23"/>
  <c r="D7501" i="23"/>
  <c r="D8527" i="23"/>
  <c r="D5449" i="23"/>
  <c r="D9553" i="23"/>
  <c r="D6475" i="23"/>
  <c r="D3397" i="23"/>
  <c r="D10579" i="23"/>
  <c r="D1345" i="23"/>
  <c r="D2371" i="23"/>
  <c r="D319" i="23"/>
  <c r="D11607" i="23"/>
  <c r="D10581" i="23"/>
  <c r="D9555" i="23"/>
  <c r="D5451" i="23"/>
  <c r="D7503" i="23"/>
  <c r="D6477" i="23"/>
  <c r="D1347" i="23"/>
  <c r="D2373" i="23"/>
  <c r="D3399" i="23"/>
  <c r="D8529" i="23"/>
  <c r="D321" i="23"/>
  <c r="D11604" i="23"/>
  <c r="D7500" i="23"/>
  <c r="D8526" i="23"/>
  <c r="D9552" i="23"/>
  <c r="D6474" i="23"/>
  <c r="D5448" i="23"/>
  <c r="D10578" i="23"/>
  <c r="D318" i="23"/>
  <c r="D2370" i="23"/>
  <c r="D1344" i="23"/>
  <c r="D3396" i="23"/>
  <c r="D6363" i="23"/>
  <c r="D7389" i="23"/>
  <c r="D8415" i="23"/>
  <c r="D10467" i="23"/>
  <c r="D5337" i="23"/>
  <c r="D11493" i="23"/>
  <c r="D9441" i="23"/>
  <c r="D3285" i="23"/>
  <c r="D1233" i="23"/>
  <c r="D207" i="23"/>
  <c r="D2259" i="23"/>
  <c r="D10417" i="23"/>
  <c r="D11443" i="23"/>
  <c r="D6313" i="23"/>
  <c r="D7339" i="23"/>
  <c r="D8365" i="23"/>
  <c r="D9391" i="23"/>
  <c r="D5287" i="23"/>
  <c r="D1183" i="23"/>
  <c r="D3235" i="23"/>
  <c r="D157" i="23"/>
  <c r="D2209" i="23"/>
  <c r="D11632" i="23"/>
  <c r="D9580" i="23"/>
  <c r="D10606" i="23"/>
  <c r="D8554" i="23"/>
  <c r="D7528" i="23"/>
  <c r="D5476" i="23"/>
  <c r="D6502" i="23"/>
  <c r="D346" i="23"/>
  <c r="D1372" i="23"/>
  <c r="D2398" i="23"/>
  <c r="D3424" i="23"/>
  <c r="D10399" i="23"/>
  <c r="D11425" i="23"/>
  <c r="D8347" i="23"/>
  <c r="D9373" i="23"/>
  <c r="D7321" i="23"/>
  <c r="D5269" i="23"/>
  <c r="D6295" i="23"/>
  <c r="D139" i="23"/>
  <c r="D1165" i="23"/>
  <c r="D2191" i="23"/>
  <c r="D3217" i="23"/>
  <c r="D11568" i="23"/>
  <c r="D9516" i="23"/>
  <c r="D10542" i="23"/>
  <c r="D8490" i="23"/>
  <c r="D6438" i="23"/>
  <c r="D7464" i="23"/>
  <c r="D5412" i="23"/>
  <c r="D282" i="23"/>
  <c r="D1308" i="23"/>
  <c r="D2334" i="23"/>
  <c r="D3360" i="23"/>
  <c r="D10413" i="23"/>
  <c r="D11439" i="23"/>
  <c r="D6309" i="23"/>
  <c r="D9387" i="23"/>
  <c r="D7335" i="23"/>
  <c r="D5283" i="23"/>
  <c r="D8361" i="23"/>
  <c r="D1179" i="23"/>
  <c r="D2205" i="23"/>
  <c r="D3231" i="23"/>
  <c r="D153" i="23"/>
  <c r="D11477" i="23"/>
  <c r="D6347" i="23"/>
  <c r="D10451" i="23"/>
  <c r="D7373" i="23"/>
  <c r="D8399" i="23"/>
  <c r="D5321" i="23"/>
  <c r="D9425" i="23"/>
  <c r="D3269" i="23"/>
  <c r="D1217" i="23"/>
  <c r="D2243" i="23"/>
  <c r="D191" i="23"/>
  <c r="D11567" i="23"/>
  <c r="D10541" i="23"/>
  <c r="D6437" i="23"/>
  <c r="D9515" i="23"/>
  <c r="D7463" i="23"/>
  <c r="D5411" i="23"/>
  <c r="D8489" i="23"/>
  <c r="D1307" i="23"/>
  <c r="D2333" i="23"/>
  <c r="D3359" i="23"/>
  <c r="D281" i="23"/>
  <c r="D10461" i="23"/>
  <c r="D11487" i="23"/>
  <c r="D6357" i="23"/>
  <c r="D9435" i="23"/>
  <c r="D8409" i="23"/>
  <c r="D5331" i="23"/>
  <c r="D7383" i="23"/>
  <c r="D1227" i="23"/>
  <c r="D2253" i="23"/>
  <c r="D3279" i="23"/>
  <c r="D201" i="23"/>
  <c r="D10440" i="23"/>
  <c r="D11466" i="23"/>
  <c r="D7362" i="23"/>
  <c r="D8388" i="23"/>
  <c r="D9414" i="23"/>
  <c r="D6336" i="23"/>
  <c r="D5310" i="23"/>
  <c r="D180" i="23"/>
  <c r="D1206" i="23"/>
  <c r="D2232" i="23"/>
  <c r="D3258" i="23"/>
  <c r="D11648" i="23"/>
  <c r="D9596" i="23"/>
  <c r="D10622" i="23"/>
  <c r="D8570" i="23"/>
  <c r="D5492" i="23"/>
  <c r="D6518" i="23"/>
  <c r="D362" i="23"/>
  <c r="D1388" i="23"/>
  <c r="D2414" i="23"/>
  <c r="D7544" i="23"/>
  <c r="D3440" i="23"/>
  <c r="D11558" i="23"/>
  <c r="D6428" i="23"/>
  <c r="D7454" i="23"/>
  <c r="D10532" i="23"/>
  <c r="D8480" i="23"/>
  <c r="D5402" i="23"/>
  <c r="D2324" i="23"/>
  <c r="D9506" i="23"/>
  <c r="D3350" i="23"/>
  <c r="D272" i="23"/>
  <c r="D1298" i="23"/>
  <c r="D11649" i="23"/>
  <c r="D8571" i="23"/>
  <c r="D9597" i="23"/>
  <c r="D10623" i="23"/>
  <c r="D7545" i="23"/>
  <c r="D5493" i="23"/>
  <c r="D6519" i="23"/>
  <c r="D363" i="23"/>
  <c r="D1389" i="23"/>
  <c r="D2415" i="23"/>
  <c r="D3441" i="23"/>
  <c r="D11583" i="23"/>
  <c r="D10557" i="23"/>
  <c r="D6453" i="23"/>
  <c r="D9531" i="23"/>
  <c r="D8505" i="23"/>
  <c r="D5427" i="23"/>
  <c r="D7479" i="23"/>
  <c r="D1323" i="23"/>
  <c r="D2349" i="23"/>
  <c r="D3375" i="23"/>
  <c r="D297" i="23"/>
  <c r="D6419" i="23"/>
  <c r="D11549" i="23"/>
  <c r="D7445" i="23"/>
  <c r="D8471" i="23"/>
  <c r="D5393" i="23"/>
  <c r="D10523" i="23"/>
  <c r="D9497" i="23"/>
  <c r="D3341" i="23"/>
  <c r="D1289" i="23"/>
  <c r="D263" i="23"/>
  <c r="D2315" i="23"/>
  <c r="D6386" i="23"/>
  <c r="D11516" i="23"/>
  <c r="D7412" i="23"/>
  <c r="D8438" i="23"/>
  <c r="D9464" i="23"/>
  <c r="D10490" i="23"/>
  <c r="D5360" i="23"/>
  <c r="D230" i="23"/>
  <c r="D2282" i="23"/>
  <c r="D1256" i="23"/>
  <c r="D3308" i="23"/>
  <c r="D7524" i="23"/>
  <c r="D8550" i="23"/>
  <c r="D9576" i="23"/>
  <c r="D6498" i="23"/>
  <c r="D11628" i="23"/>
  <c r="D10602" i="23"/>
  <c r="D342" i="23"/>
  <c r="D2394" i="23"/>
  <c r="D1368" i="23"/>
  <c r="D3420" i="23"/>
  <c r="D5472" i="23"/>
  <c r="D11531" i="23"/>
  <c r="D6401" i="23"/>
  <c r="D7427" i="23"/>
  <c r="D8453" i="23"/>
  <c r="D9479" i="23"/>
  <c r="D10505" i="23"/>
  <c r="D1271" i="23"/>
  <c r="D5375" i="23"/>
  <c r="D3323" i="23"/>
  <c r="D245" i="23"/>
  <c r="D2297" i="23"/>
  <c r="D11654" i="23"/>
  <c r="D7550" i="23"/>
  <c r="D10628" i="23"/>
  <c r="D8576" i="23"/>
  <c r="D5498" i="23"/>
  <c r="D6524" i="23"/>
  <c r="D2420" i="23"/>
  <c r="D3446" i="23"/>
  <c r="D368" i="23"/>
  <c r="D9602" i="23"/>
  <c r="D1394" i="23"/>
  <c r="D11464" i="23"/>
  <c r="D10438" i="23"/>
  <c r="D9412" i="23"/>
  <c r="D8386" i="23"/>
  <c r="D7360" i="23"/>
  <c r="D5308" i="23"/>
  <c r="D178" i="23"/>
  <c r="D1204" i="23"/>
  <c r="D6334" i="23"/>
  <c r="D2230" i="23"/>
  <c r="D3256" i="23"/>
  <c r="D11544" i="23"/>
  <c r="D9492" i="23"/>
  <c r="D10518" i="23"/>
  <c r="D8466" i="23"/>
  <c r="D6414" i="23"/>
  <c r="D5388" i="23"/>
  <c r="D7440" i="23"/>
  <c r="D258" i="23"/>
  <c r="D1284" i="23"/>
  <c r="D2310" i="23"/>
  <c r="D3336" i="23"/>
  <c r="D11445" i="23"/>
  <c r="D6315" i="23"/>
  <c r="D10419" i="23"/>
  <c r="D7341" i="23"/>
  <c r="D8367" i="23"/>
  <c r="D5289" i="23"/>
  <c r="D9393" i="23"/>
  <c r="D3237" i="23"/>
  <c r="D1185" i="23"/>
  <c r="D2211" i="23"/>
  <c r="D159" i="23"/>
  <c r="D10475" i="23"/>
  <c r="D6371" i="23"/>
  <c r="D7397" i="23"/>
  <c r="D8423" i="23"/>
  <c r="D11501" i="23"/>
  <c r="D5345" i="23"/>
  <c r="D3293" i="23"/>
  <c r="D9449" i="23"/>
  <c r="D1241" i="23"/>
  <c r="D2267" i="23"/>
  <c r="D215" i="23"/>
  <c r="D11553" i="23"/>
  <c r="D8475" i="23"/>
  <c r="D9501" i="23"/>
  <c r="D10527" i="23"/>
  <c r="D7449" i="23"/>
  <c r="D5397" i="23"/>
  <c r="D6423" i="23"/>
  <c r="D267" i="23"/>
  <c r="D1293" i="23"/>
  <c r="D2319" i="23"/>
  <c r="D3345" i="23"/>
  <c r="D10439" i="23"/>
  <c r="D11465" i="23"/>
  <c r="D8387" i="23"/>
  <c r="D9413" i="23"/>
  <c r="D7361" i="23"/>
  <c r="D5309" i="23"/>
  <c r="D179" i="23"/>
  <c r="D1205" i="23"/>
  <c r="D6335" i="23"/>
  <c r="D2231" i="23"/>
  <c r="D3257" i="23"/>
  <c r="D10411" i="23"/>
  <c r="D6307" i="23"/>
  <c r="D7333" i="23"/>
  <c r="D8359" i="23"/>
  <c r="D11437" i="23"/>
  <c r="D5281" i="23"/>
  <c r="D3229" i="23"/>
  <c r="D9385" i="23"/>
  <c r="D1177" i="23"/>
  <c r="D2203" i="23"/>
  <c r="D151" i="23"/>
  <c r="D11606" i="23"/>
  <c r="D7502" i="23"/>
  <c r="D10580" i="23"/>
  <c r="D5450" i="23"/>
  <c r="D9554" i="23"/>
  <c r="D6476" i="23"/>
  <c r="D8528" i="23"/>
  <c r="D2372" i="23"/>
  <c r="D3398" i="23"/>
  <c r="D320" i="23"/>
  <c r="D1346" i="23"/>
  <c r="D11614" i="23"/>
  <c r="D7510" i="23"/>
  <c r="D10588" i="23"/>
  <c r="D5458" i="23"/>
  <c r="D6484" i="23"/>
  <c r="D9562" i="23"/>
  <c r="D2380" i="23"/>
  <c r="D3406" i="23"/>
  <c r="D328" i="23"/>
  <c r="D8536" i="23"/>
  <c r="D1354" i="23"/>
  <c r="D11430" i="23"/>
  <c r="D10404" i="23"/>
  <c r="D6300" i="23"/>
  <c r="D7326" i="23"/>
  <c r="D8352" i="23"/>
  <c r="D5274" i="23"/>
  <c r="D2196" i="23"/>
  <c r="D9378" i="23"/>
  <c r="D3222" i="23"/>
  <c r="D144" i="23"/>
  <c r="D1170" i="23"/>
  <c r="D10479" i="23"/>
  <c r="D11505" i="23"/>
  <c r="D8427" i="23"/>
  <c r="D9453" i="23"/>
  <c r="D7401" i="23"/>
  <c r="D6375" i="23"/>
  <c r="D5349" i="23"/>
  <c r="D219" i="23"/>
  <c r="D1245" i="23"/>
  <c r="D2271" i="23"/>
  <c r="D3297" i="23"/>
  <c r="D11641" i="23"/>
  <c r="D8563" i="23"/>
  <c r="D9589" i="23"/>
  <c r="D10615" i="23"/>
  <c r="D7537" i="23"/>
  <c r="D5485" i="23"/>
  <c r="D6511" i="23"/>
  <c r="D355" i="23"/>
  <c r="D1381" i="23"/>
  <c r="D2407" i="23"/>
  <c r="D3433" i="23"/>
  <c r="D11536" i="23"/>
  <c r="D9484" i="23"/>
  <c r="D10510" i="23"/>
  <c r="D8458" i="23"/>
  <c r="D6406" i="23"/>
  <c r="D7432" i="23"/>
  <c r="D5380" i="23"/>
  <c r="D250" i="23"/>
  <c r="D1276" i="23"/>
  <c r="D2302" i="23"/>
  <c r="D3328" i="23"/>
  <c r="D11560" i="23"/>
  <c r="D9508" i="23"/>
  <c r="D10534" i="23"/>
  <c r="D8482" i="23"/>
  <c r="D7456" i="23"/>
  <c r="D5404" i="23"/>
  <c r="D6430" i="23"/>
  <c r="D274" i="23"/>
  <c r="D1300" i="23"/>
  <c r="D2326" i="23"/>
  <c r="D3352" i="23"/>
  <c r="D6402" i="23"/>
  <c r="D7428" i="23"/>
  <c r="D8454" i="23"/>
  <c r="D9480" i="23"/>
  <c r="D10506" i="23"/>
  <c r="D11532" i="23"/>
  <c r="D246" i="23"/>
  <c r="D2298" i="23"/>
  <c r="D1272" i="23"/>
  <c r="D5376" i="23"/>
  <c r="D3324" i="23"/>
  <c r="D11506" i="23"/>
  <c r="D7402" i="23"/>
  <c r="D8428" i="23"/>
  <c r="D9454" i="23"/>
  <c r="D10480" i="23"/>
  <c r="D6376" i="23"/>
  <c r="D5350" i="23"/>
  <c r="D220" i="23"/>
  <c r="D1246" i="23"/>
  <c r="D2272" i="23"/>
  <c r="D3298" i="23"/>
  <c r="D11590" i="23"/>
  <c r="D6460" i="23"/>
  <c r="D7486" i="23"/>
  <c r="D10564" i="23"/>
  <c r="D8512" i="23"/>
  <c r="D5434" i="23"/>
  <c r="D2356" i="23"/>
  <c r="D3382" i="23"/>
  <c r="D9538" i="23"/>
  <c r="D304" i="23"/>
  <c r="D1330" i="23"/>
  <c r="D11566" i="23"/>
  <c r="D6436" i="23"/>
  <c r="D7462" i="23"/>
  <c r="D10540" i="23"/>
  <c r="D9514" i="23"/>
  <c r="D5410" i="23"/>
  <c r="D8488" i="23"/>
  <c r="D2332" i="23"/>
  <c r="D3358" i="23"/>
  <c r="D280" i="23"/>
  <c r="D1306" i="23"/>
  <c r="D11586" i="23"/>
  <c r="D7482" i="23"/>
  <c r="D8508" i="23"/>
  <c r="D9534" i="23"/>
  <c r="D10560" i="23"/>
  <c r="D6456" i="23"/>
  <c r="D5430" i="23"/>
  <c r="D300" i="23"/>
  <c r="D1326" i="23"/>
  <c r="D2352" i="23"/>
  <c r="D3378" i="23"/>
  <c r="D11562" i="23"/>
  <c r="D7458" i="23"/>
  <c r="D8484" i="23"/>
  <c r="D9510" i="23"/>
  <c r="D10536" i="23"/>
  <c r="D6432" i="23"/>
  <c r="D5406" i="23"/>
  <c r="D276" i="23"/>
  <c r="D1302" i="23"/>
  <c r="D2328" i="23"/>
  <c r="D3354" i="23"/>
  <c r="D11616" i="23"/>
  <c r="D9564" i="23"/>
  <c r="D10590" i="23"/>
  <c r="D8538" i="23"/>
  <c r="D5460" i="23"/>
  <c r="D6486" i="23"/>
  <c r="D330" i="23"/>
  <c r="D7512" i="23"/>
  <c r="D1356" i="23"/>
  <c r="D2382" i="23"/>
  <c r="D3408" i="23"/>
  <c r="D11592" i="23"/>
  <c r="D9540" i="23"/>
  <c r="D10566" i="23"/>
  <c r="D8514" i="23"/>
  <c r="D7488" i="23"/>
  <c r="D5436" i="23"/>
  <c r="D306" i="23"/>
  <c r="D1332" i="23"/>
  <c r="D6462" i="23"/>
  <c r="D2358" i="23"/>
  <c r="D3384" i="23"/>
  <c r="D6458" i="23"/>
  <c r="D7484" i="23"/>
  <c r="D8510" i="23"/>
  <c r="D11588" i="23"/>
  <c r="D9536" i="23"/>
  <c r="D10562" i="23"/>
  <c r="D302" i="23"/>
  <c r="D2354" i="23"/>
  <c r="D3380" i="23"/>
  <c r="D5432" i="23"/>
  <c r="D1328" i="23"/>
  <c r="D11647" i="23"/>
  <c r="D10621" i="23"/>
  <c r="D9595" i="23"/>
  <c r="D8569" i="23"/>
  <c r="D5491" i="23"/>
  <c r="D6517" i="23"/>
  <c r="D7543" i="23"/>
  <c r="D1387" i="23"/>
  <c r="D2413" i="23"/>
  <c r="D3439" i="23"/>
  <c r="D361" i="23"/>
  <c r="D11618" i="23"/>
  <c r="D7514" i="23"/>
  <c r="D8540" i="23"/>
  <c r="D9566" i="23"/>
  <c r="D10592" i="23"/>
  <c r="D5462" i="23"/>
  <c r="D6488" i="23"/>
  <c r="D332" i="23"/>
  <c r="D1358" i="23"/>
  <c r="D2384" i="23"/>
  <c r="D3410" i="23"/>
  <c r="D11657" i="23"/>
  <c r="D8579" i="23"/>
  <c r="D9605" i="23"/>
  <c r="D10631" i="23"/>
  <c r="D7553" i="23"/>
  <c r="D5501" i="23"/>
  <c r="D6527" i="23"/>
  <c r="D371" i="23"/>
  <c r="D1397" i="23"/>
  <c r="D2423" i="23"/>
  <c r="D3449" i="23"/>
  <c r="D11496" i="23"/>
  <c r="D10470" i="23"/>
  <c r="D9444" i="23"/>
  <c r="D8418" i="23"/>
  <c r="D7392" i="23"/>
  <c r="D5340" i="23"/>
  <c r="D210" i="23"/>
  <c r="D1236" i="23"/>
  <c r="D2262" i="23"/>
  <c r="D3288" i="23"/>
  <c r="D6366" i="23"/>
  <c r="D11627" i="23"/>
  <c r="D7523" i="23"/>
  <c r="D8549" i="23"/>
  <c r="D9575" i="23"/>
  <c r="D10601" i="23"/>
  <c r="D6497" i="23"/>
  <c r="D1367" i="23"/>
  <c r="D5471" i="23"/>
  <c r="D3419" i="23"/>
  <c r="D341" i="23"/>
  <c r="D2393" i="23"/>
  <c r="D6466" i="23"/>
  <c r="D7492" i="23"/>
  <c r="D8518" i="23"/>
  <c r="D9544" i="23"/>
  <c r="D11596" i="23"/>
  <c r="D10570" i="23"/>
  <c r="D310" i="23"/>
  <c r="D2362" i="23"/>
  <c r="D1336" i="23"/>
  <c r="D3388" i="23"/>
  <c r="D5440" i="23"/>
  <c r="D7556" i="23"/>
  <c r="D8582" i="23"/>
  <c r="D9608" i="23"/>
  <c r="D6530" i="23"/>
  <c r="D10634" i="23"/>
  <c r="D11660" i="23"/>
  <c r="D374" i="23"/>
  <c r="D2426" i="23"/>
  <c r="D1400" i="23"/>
  <c r="D5504" i="23"/>
  <c r="D3452" i="23"/>
  <c r="D10405" i="23"/>
  <c r="D11431" i="23"/>
  <c r="D6301" i="23"/>
  <c r="D9379" i="23"/>
  <c r="D8353" i="23"/>
  <c r="D5275" i="23"/>
  <c r="D1171" i="23"/>
  <c r="D2197" i="23"/>
  <c r="D3223" i="23"/>
  <c r="D7327" i="23"/>
  <c r="D145" i="23"/>
  <c r="D11594" i="23"/>
  <c r="D7490" i="23"/>
  <c r="D8516" i="23"/>
  <c r="D9542" i="23"/>
  <c r="D10568" i="23"/>
  <c r="D6464" i="23"/>
  <c r="D5438" i="23"/>
  <c r="D308" i="23"/>
  <c r="D1334" i="23"/>
  <c r="D2360" i="23"/>
  <c r="D3386" i="23"/>
  <c r="D11574" i="23"/>
  <c r="D6444" i="23"/>
  <c r="D7470" i="23"/>
  <c r="D10548" i="23"/>
  <c r="D5418" i="23"/>
  <c r="D9522" i="23"/>
  <c r="D8496" i="23"/>
  <c r="D2340" i="23"/>
  <c r="D3366" i="23"/>
  <c r="D288" i="23"/>
  <c r="D1314" i="23"/>
  <c r="D11520" i="23"/>
  <c r="D9468" i="23"/>
  <c r="D10494" i="23"/>
  <c r="D8442" i="23"/>
  <c r="D5364" i="23"/>
  <c r="D6390" i="23"/>
  <c r="D234" i="23"/>
  <c r="D1260" i="23"/>
  <c r="D2286" i="23"/>
  <c r="D7416" i="23"/>
  <c r="D3312" i="23"/>
  <c r="D11666" i="23"/>
  <c r="D7562" i="23"/>
  <c r="D8588" i="23"/>
  <c r="D9614" i="23"/>
  <c r="D10640" i="23"/>
  <c r="D5510" i="23"/>
  <c r="D380" i="23"/>
  <c r="D1406" i="23"/>
  <c r="D6536" i="23"/>
  <c r="D2432" i="23"/>
  <c r="D3458" i="23"/>
  <c r="D10407" i="23"/>
  <c r="D11433" i="23"/>
  <c r="D8355" i="23"/>
  <c r="D9381" i="23"/>
  <c r="D7329" i="23"/>
  <c r="D5277" i="23"/>
  <c r="D6303" i="23"/>
  <c r="D147" i="23"/>
  <c r="D1173" i="23"/>
  <c r="D2199" i="23"/>
  <c r="D3225" i="23"/>
  <c r="D11504" i="23"/>
  <c r="D10478" i="23"/>
  <c r="D9452" i="23"/>
  <c r="D8426" i="23"/>
  <c r="D6374" i="23"/>
  <c r="D7400" i="23"/>
  <c r="D5348" i="23"/>
  <c r="D218" i="23"/>
  <c r="D1244" i="23"/>
  <c r="D2270" i="23"/>
  <c r="D3296" i="23"/>
  <c r="D11547" i="23"/>
  <c r="D6417" i="23"/>
  <c r="D7443" i="23"/>
  <c r="D8469" i="23"/>
  <c r="D9495" i="23"/>
  <c r="D10521" i="23"/>
  <c r="D5391" i="23"/>
  <c r="D1287" i="23"/>
  <c r="D3339" i="23"/>
  <c r="D2313" i="23"/>
  <c r="D261" i="23"/>
  <c r="D11612" i="23"/>
  <c r="D7508" i="23"/>
  <c r="D8534" i="23"/>
  <c r="D9560" i="23"/>
  <c r="D10586" i="23"/>
  <c r="D6482" i="23"/>
  <c r="D5456" i="23"/>
  <c r="D326" i="23"/>
  <c r="D2378" i="23"/>
  <c r="D1352" i="23"/>
  <c r="D3404" i="23"/>
  <c r="D11432" i="23"/>
  <c r="D10406" i="23"/>
  <c r="D9380" i="23"/>
  <c r="D8354" i="23"/>
  <c r="D7328" i="23"/>
  <c r="D5276" i="23"/>
  <c r="D6302" i="23"/>
  <c r="D146" i="23"/>
  <c r="D1172" i="23"/>
  <c r="D2198" i="23"/>
  <c r="D3224" i="23"/>
  <c r="D10424" i="23"/>
  <c r="D11450" i="23"/>
  <c r="D7346" i="23"/>
  <c r="D8372" i="23"/>
  <c r="D9398" i="23"/>
  <c r="D6320" i="23"/>
  <c r="D5294" i="23"/>
  <c r="D164" i="23"/>
  <c r="D1190" i="23"/>
  <c r="D2216" i="23"/>
  <c r="D3242" i="23"/>
  <c r="D11637" i="23"/>
  <c r="D7533" i="23"/>
  <c r="D8559" i="23"/>
  <c r="D5481" i="23"/>
  <c r="D9585" i="23"/>
  <c r="D6507" i="23"/>
  <c r="D3429" i="23"/>
  <c r="D10611" i="23"/>
  <c r="D1377" i="23"/>
  <c r="D2403" i="23"/>
  <c r="D351" i="23"/>
  <c r="D11584" i="23"/>
  <c r="D9532" i="23"/>
  <c r="D10558" i="23"/>
  <c r="D8506" i="23"/>
  <c r="D5428" i="23"/>
  <c r="D6454" i="23"/>
  <c r="D298" i="23"/>
  <c r="D1324" i="23"/>
  <c r="D2350" i="23"/>
  <c r="D3376" i="23"/>
  <c r="D7480" i="23"/>
  <c r="D7525" i="23"/>
  <c r="D8551" i="23"/>
  <c r="D11629" i="23"/>
  <c r="D5473" i="23"/>
  <c r="D6499" i="23"/>
  <c r="D10603" i="23"/>
  <c r="D3421" i="23"/>
  <c r="D9577" i="23"/>
  <c r="D1369" i="23"/>
  <c r="D2395" i="23"/>
  <c r="D343" i="23"/>
  <c r="D11595" i="23"/>
  <c r="D6465" i="23"/>
  <c r="D7491" i="23"/>
  <c r="D8517" i="23"/>
  <c r="D9543" i="23"/>
  <c r="D10569" i="23"/>
  <c r="D1335" i="23"/>
  <c r="D5439" i="23"/>
  <c r="D3387" i="23"/>
  <c r="D309" i="23"/>
  <c r="D2361" i="23"/>
  <c r="D11585" i="23"/>
  <c r="D8507" i="23"/>
  <c r="D9533" i="23"/>
  <c r="D10559" i="23"/>
  <c r="D7481" i="23"/>
  <c r="D5429" i="23"/>
  <c r="D6455" i="23"/>
  <c r="D299" i="23"/>
  <c r="D1325" i="23"/>
  <c r="D2351" i="23"/>
  <c r="D3377" i="23"/>
  <c r="D11527" i="23"/>
  <c r="D10501" i="23"/>
  <c r="D6397" i="23"/>
  <c r="D9475" i="23"/>
  <c r="D8449" i="23"/>
  <c r="D5371" i="23"/>
  <c r="D1267" i="23"/>
  <c r="D2293" i="23"/>
  <c r="D3319" i="23"/>
  <c r="D7423" i="23"/>
  <c r="D241" i="23"/>
  <c r="D11582" i="23"/>
  <c r="D6452" i="23"/>
  <c r="D7478" i="23"/>
  <c r="D10556" i="23"/>
  <c r="D5426" i="23"/>
  <c r="D9530" i="23"/>
  <c r="D2348" i="23"/>
  <c r="D3374" i="23"/>
  <c r="D296" i="23"/>
  <c r="D8504" i="23"/>
  <c r="D1322" i="23"/>
  <c r="D7549" i="23"/>
  <c r="D8575" i="23"/>
  <c r="D5497" i="23"/>
  <c r="D6523" i="23"/>
  <c r="D10627" i="23"/>
  <c r="D11653" i="23"/>
  <c r="D9601" i="23"/>
  <c r="D3445" i="23"/>
  <c r="D1393" i="23"/>
  <c r="D2419" i="23"/>
  <c r="D367" i="23"/>
  <c r="D11608" i="23"/>
  <c r="D9556" i="23"/>
  <c r="D10582" i="23"/>
  <c r="D8530" i="23"/>
  <c r="D5452" i="23"/>
  <c r="D7504" i="23"/>
  <c r="D6478" i="23"/>
  <c r="D322" i="23"/>
  <c r="D1348" i="23"/>
  <c r="D2374" i="23"/>
  <c r="D3400" i="23"/>
  <c r="D6403" i="23"/>
  <c r="D7429" i="23"/>
  <c r="D8455" i="23"/>
  <c r="D11533" i="23"/>
  <c r="D5377" i="23"/>
  <c r="D10507" i="23"/>
  <c r="D9481" i="23"/>
  <c r="D3325" i="23"/>
  <c r="D1273" i="23"/>
  <c r="D247" i="23"/>
  <c r="D2299" i="23"/>
  <c r="D11561" i="23"/>
  <c r="D8483" i="23"/>
  <c r="D9509" i="23"/>
  <c r="D10535" i="23"/>
  <c r="D7457" i="23"/>
  <c r="D5405" i="23"/>
  <c r="D6431" i="23"/>
  <c r="D275" i="23"/>
  <c r="D1301" i="23"/>
  <c r="D2327" i="23"/>
  <c r="D3353" i="23"/>
  <c r="D11643" i="23"/>
  <c r="D7539" i="23"/>
  <c r="D8565" i="23"/>
  <c r="D9591" i="23"/>
  <c r="D10617" i="23"/>
  <c r="D5487" i="23"/>
  <c r="D1383" i="23"/>
  <c r="D3435" i="23"/>
  <c r="D2409" i="23"/>
  <c r="D357" i="23"/>
  <c r="D6513" i="23"/>
  <c r="D11640" i="23"/>
  <c r="D9588" i="23"/>
  <c r="D10614" i="23"/>
  <c r="D8562" i="23"/>
  <c r="D5484" i="23"/>
  <c r="D7536" i="23"/>
  <c r="D6510" i="23"/>
  <c r="D354" i="23"/>
  <c r="D1380" i="23"/>
  <c r="D2406" i="23"/>
  <c r="D3432" i="23"/>
  <c r="D11644" i="23"/>
  <c r="D7540" i="23"/>
  <c r="D8566" i="23"/>
  <c r="D9592" i="23"/>
  <c r="D10618" i="23"/>
  <c r="D6514" i="23"/>
  <c r="D5488" i="23"/>
  <c r="D358" i="23"/>
  <c r="D2410" i="23"/>
  <c r="D1384" i="23"/>
  <c r="D3436" i="23"/>
  <c r="D10455" i="23"/>
  <c r="D11481" i="23"/>
  <c r="D8403" i="23"/>
  <c r="D9429" i="23"/>
  <c r="D7377" i="23"/>
  <c r="D6351" i="23"/>
  <c r="D5325" i="23"/>
  <c r="D195" i="23"/>
  <c r="D1221" i="23"/>
  <c r="D2247" i="23"/>
  <c r="D3273" i="23"/>
  <c r="D11512" i="23"/>
  <c r="D9460" i="23"/>
  <c r="D10486" i="23"/>
  <c r="D8434" i="23"/>
  <c r="D6382" i="23"/>
  <c r="D5356" i="23"/>
  <c r="D7408" i="23"/>
  <c r="D226" i="23"/>
  <c r="D1252" i="23"/>
  <c r="D2278" i="23"/>
  <c r="D3304" i="23"/>
  <c r="D11537" i="23"/>
  <c r="D8459" i="23"/>
  <c r="D9485" i="23"/>
  <c r="D10511" i="23"/>
  <c r="D7433" i="23"/>
  <c r="D6407" i="23"/>
  <c r="D5381" i="23"/>
  <c r="D251" i="23"/>
  <c r="D1277" i="23"/>
  <c r="D2303" i="23"/>
  <c r="D3329" i="23"/>
  <c r="D11507" i="23"/>
  <c r="D6377" i="23"/>
  <c r="D7403" i="23"/>
  <c r="D8429" i="23"/>
  <c r="D9455" i="23"/>
  <c r="D10481" i="23"/>
  <c r="D5351" i="23"/>
  <c r="D1247" i="23"/>
  <c r="D3299" i="23"/>
  <c r="D221" i="23"/>
  <c r="D2273" i="23"/>
  <c r="D6355" i="23"/>
  <c r="D11485" i="23"/>
  <c r="D7381" i="23"/>
  <c r="D8407" i="23"/>
  <c r="D5329" i="23"/>
  <c r="D9433" i="23"/>
  <c r="D10459" i="23"/>
  <c r="D3277" i="23"/>
  <c r="D1225" i="23"/>
  <c r="D199" i="23"/>
  <c r="D2251" i="23"/>
  <c r="D11611" i="23"/>
  <c r="D7507" i="23"/>
  <c r="D8533" i="23"/>
  <c r="D9559" i="23"/>
  <c r="D10585" i="23"/>
  <c r="D5455" i="23"/>
  <c r="D1351" i="23"/>
  <c r="D3403" i="23"/>
  <c r="D2377" i="23"/>
  <c r="D6481" i="23"/>
  <c r="D325" i="23"/>
  <c r="D11448" i="23"/>
  <c r="D10422" i="23"/>
  <c r="D9396" i="23"/>
  <c r="D8370" i="23"/>
  <c r="D6318" i="23"/>
  <c r="D5292" i="23"/>
  <c r="D7344" i="23"/>
  <c r="D162" i="23"/>
  <c r="D1188" i="23"/>
  <c r="D2214" i="23"/>
  <c r="D3240" i="23"/>
  <c r="D11575" i="23"/>
  <c r="D10549" i="23"/>
  <c r="D6445" i="23"/>
  <c r="D9523" i="23"/>
  <c r="D5419" i="23"/>
  <c r="D7471" i="23"/>
  <c r="D1315" i="23"/>
  <c r="D2341" i="23"/>
  <c r="D3367" i="23"/>
  <c r="D8497" i="23"/>
  <c r="D289" i="23"/>
  <c r="D10400" i="23"/>
  <c r="D11426" i="23"/>
  <c r="D7322" i="23"/>
  <c r="D8348" i="23"/>
  <c r="D9374" i="23"/>
  <c r="D6296" i="23"/>
  <c r="D5270" i="23"/>
  <c r="D140" i="23"/>
  <c r="D1166" i="23"/>
  <c r="D2192" i="23"/>
  <c r="D3218" i="23"/>
  <c r="D11502" i="23"/>
  <c r="D10476" i="23"/>
  <c r="D6372" i="23"/>
  <c r="D7398" i="23"/>
  <c r="D9450" i="23"/>
  <c r="D5346" i="23"/>
  <c r="D8424" i="23"/>
  <c r="D2268" i="23"/>
  <c r="D3294" i="23"/>
  <c r="D216" i="23"/>
  <c r="D1242" i="23"/>
  <c r="D11494" i="23"/>
  <c r="D10468" i="23"/>
  <c r="D6364" i="23"/>
  <c r="D7390" i="23"/>
  <c r="D8416" i="23"/>
  <c r="D5338" i="23"/>
  <c r="D2260" i="23"/>
  <c r="D3286" i="23"/>
  <c r="D208" i="23"/>
  <c r="D9442" i="23"/>
  <c r="D1234" i="23"/>
  <c r="D6395" i="23"/>
  <c r="D7421" i="23"/>
  <c r="D8447" i="23"/>
  <c r="D5369" i="23"/>
  <c r="D10499" i="23"/>
  <c r="D11525" i="23"/>
  <c r="D9473" i="23"/>
  <c r="D3317" i="23"/>
  <c r="D1265" i="23"/>
  <c r="D2291" i="23"/>
  <c r="D239" i="23"/>
  <c r="D10402" i="23"/>
  <c r="D6298" i="23"/>
  <c r="D7324" i="23"/>
  <c r="D8350" i="23"/>
  <c r="D11428" i="23"/>
  <c r="D9376" i="23"/>
  <c r="D142" i="23"/>
  <c r="D2194" i="23"/>
  <c r="D3220" i="23"/>
  <c r="D5272" i="23"/>
  <c r="D1168" i="23"/>
  <c r="D6427" i="23"/>
  <c r="D7453" i="23"/>
  <c r="D8479" i="23"/>
  <c r="D5401" i="23"/>
  <c r="D10531" i="23"/>
  <c r="D9505" i="23"/>
  <c r="D3349" i="23"/>
  <c r="D11557" i="23"/>
  <c r="D1297" i="23"/>
  <c r="D271" i="23"/>
  <c r="D2323" i="23"/>
  <c r="D10433" i="23"/>
  <c r="D11459" i="23"/>
  <c r="D6329" i="23"/>
  <c r="D7355" i="23"/>
  <c r="D8381" i="23"/>
  <c r="D9407" i="23"/>
  <c r="D5303" i="23"/>
  <c r="D1199" i="23"/>
  <c r="D3251" i="23"/>
  <c r="D2225" i="23"/>
  <c r="D173" i="23"/>
  <c r="D11658" i="23"/>
  <c r="D7554" i="23"/>
  <c r="D8580" i="23"/>
  <c r="D9606" i="23"/>
  <c r="D10632" i="23"/>
  <c r="D5502" i="23"/>
  <c r="D6528" i="23"/>
  <c r="D372" i="23"/>
  <c r="D1398" i="23"/>
  <c r="D2424" i="23"/>
  <c r="D3450" i="23"/>
  <c r="D11540" i="23"/>
  <c r="D6410" i="23"/>
  <c r="D7436" i="23"/>
  <c r="D8462" i="23"/>
  <c r="D9488" i="23"/>
  <c r="D5384" i="23"/>
  <c r="D254" i="23"/>
  <c r="D2306" i="23"/>
  <c r="D1280" i="23"/>
  <c r="D3332" i="23"/>
  <c r="D10514" i="23"/>
  <c r="D10450" i="23"/>
  <c r="D11476" i="23"/>
  <c r="D6346" i="23"/>
  <c r="D7372" i="23"/>
  <c r="D8398" i="23"/>
  <c r="D9424" i="23"/>
  <c r="D5320" i="23"/>
  <c r="D190" i="23"/>
  <c r="D2242" i="23"/>
  <c r="D1216" i="23"/>
  <c r="D3268" i="23"/>
  <c r="D11631" i="23"/>
  <c r="D10605" i="23"/>
  <c r="D9579" i="23"/>
  <c r="D7527" i="23"/>
  <c r="D5475" i="23"/>
  <c r="D6501" i="23"/>
  <c r="D8553" i="23"/>
  <c r="D1371" i="23"/>
  <c r="D2397" i="23"/>
  <c r="D3423" i="23"/>
  <c r="D345" i="23"/>
  <c r="D11622" i="23"/>
  <c r="D7518" i="23"/>
  <c r="D10596" i="23"/>
  <c r="D8544" i="23"/>
  <c r="D5466" i="23"/>
  <c r="D6492" i="23"/>
  <c r="D2388" i="23"/>
  <c r="D3414" i="23"/>
  <c r="D336" i="23"/>
  <c r="D9570" i="23"/>
  <c r="D1362" i="23"/>
  <c r="D11577" i="23"/>
  <c r="D8499" i="23"/>
  <c r="D9525" i="23"/>
  <c r="D10551" i="23"/>
  <c r="D7473" i="23"/>
  <c r="D6447" i="23"/>
  <c r="D5421" i="23"/>
  <c r="D291" i="23"/>
  <c r="D1317" i="23"/>
  <c r="D2343" i="23"/>
  <c r="D3369" i="23"/>
  <c r="D11630" i="23"/>
  <c r="D7526" i="23"/>
  <c r="D10604" i="23"/>
  <c r="D9578" i="23"/>
  <c r="D5474" i="23"/>
  <c r="D6500" i="23"/>
  <c r="D8552" i="23"/>
  <c r="D2396" i="23"/>
  <c r="D3422" i="23"/>
  <c r="D344" i="23"/>
  <c r="D1370" i="23"/>
  <c r="D7517" i="23"/>
  <c r="D8543" i="23"/>
  <c r="D5465" i="23"/>
  <c r="D6491" i="23"/>
  <c r="D11621" i="23"/>
  <c r="D10595" i="23"/>
  <c r="D9569" i="23"/>
  <c r="D3413" i="23"/>
  <c r="D1361" i="23"/>
  <c r="D335" i="23"/>
  <c r="D2387" i="23"/>
  <c r="D11665" i="23"/>
  <c r="D8587" i="23"/>
  <c r="D9613" i="23"/>
  <c r="D10639" i="23"/>
  <c r="D7561" i="23"/>
  <c r="D5509" i="23"/>
  <c r="D6535" i="23"/>
  <c r="D379" i="23"/>
  <c r="D1405" i="23"/>
  <c r="D2431" i="23"/>
  <c r="D3457" i="23"/>
  <c r="D11551" i="23"/>
  <c r="D10525" i="23"/>
  <c r="D6421" i="23"/>
  <c r="D9499" i="23"/>
  <c r="D8473" i="23"/>
  <c r="D5395" i="23"/>
  <c r="D7447" i="23"/>
  <c r="D1291" i="23"/>
  <c r="D2317" i="23"/>
  <c r="D3343" i="23"/>
  <c r="D265" i="23"/>
  <c r="D10418" i="23"/>
  <c r="D11444" i="23"/>
  <c r="D6314" i="23"/>
  <c r="D7340" i="23"/>
  <c r="D8366" i="23"/>
  <c r="D9392" i="23"/>
  <c r="D5288" i="23"/>
  <c r="D158" i="23"/>
  <c r="D2210" i="23"/>
  <c r="D1184" i="23"/>
  <c r="D3236" i="23"/>
  <c r="D11600" i="23"/>
  <c r="D9548" i="23"/>
  <c r="D10574" i="23"/>
  <c r="D8522" i="23"/>
  <c r="D7496" i="23"/>
  <c r="D5444" i="23"/>
  <c r="D6470" i="23"/>
  <c r="D314" i="23"/>
  <c r="D1340" i="23"/>
  <c r="D2366" i="23"/>
  <c r="D3392" i="23"/>
  <c r="D11626" i="23"/>
  <c r="D7522" i="23"/>
  <c r="D8548" i="23"/>
  <c r="D9574" i="23"/>
  <c r="D10600" i="23"/>
  <c r="D5470" i="23"/>
  <c r="D6496" i="23"/>
  <c r="D340" i="23"/>
  <c r="D1366" i="23"/>
  <c r="D2392" i="23"/>
  <c r="D3418" i="23"/>
  <c r="D11555" i="23"/>
  <c r="D6425" i="23"/>
  <c r="D7451" i="23"/>
  <c r="D8477" i="23"/>
  <c r="D9503" i="23"/>
  <c r="D10529" i="23"/>
  <c r="D5399" i="23"/>
  <c r="D1295" i="23"/>
  <c r="D3347" i="23"/>
  <c r="D269" i="23"/>
  <c r="D2321" i="23"/>
  <c r="D11659" i="23"/>
  <c r="D7555" i="23"/>
  <c r="D8581" i="23"/>
  <c r="D9607" i="23"/>
  <c r="D10633" i="23"/>
  <c r="D6529" i="23"/>
  <c r="D1399" i="23"/>
  <c r="D5503" i="23"/>
  <c r="D3451" i="23"/>
  <c r="D373" i="23"/>
  <c r="D2425" i="23"/>
  <c r="D11563" i="23"/>
  <c r="D6433" i="23"/>
  <c r="D7459" i="23"/>
  <c r="D8485" i="23"/>
  <c r="D9511" i="23"/>
  <c r="D10537" i="23"/>
  <c r="D1303" i="23"/>
  <c r="D5407" i="23"/>
  <c r="D3355" i="23"/>
  <c r="D2329" i="23"/>
  <c r="D277" i="23"/>
  <c r="D10401" i="23"/>
  <c r="D11427" i="23"/>
  <c r="D6297" i="23"/>
  <c r="D7323" i="23"/>
  <c r="D8349" i="23"/>
  <c r="D9375" i="23"/>
  <c r="D5271" i="23"/>
  <c r="D1167" i="23"/>
  <c r="D3219" i="23"/>
  <c r="D141" i="23"/>
  <c r="D2193" i="23"/>
  <c r="D11559" i="23"/>
  <c r="D10533" i="23"/>
  <c r="D6429" i="23"/>
  <c r="D9507" i="23"/>
  <c r="D8481" i="23"/>
  <c r="D5403" i="23"/>
  <c r="D1299" i="23"/>
  <c r="D2325" i="23"/>
  <c r="D3351" i="23"/>
  <c r="D7455" i="23"/>
  <c r="D273" i="23"/>
  <c r="D10432" i="23"/>
  <c r="D11458" i="23"/>
  <c r="D7354" i="23"/>
  <c r="D8380" i="23"/>
  <c r="D9406" i="23"/>
  <c r="D6328" i="23"/>
  <c r="D5302" i="23"/>
  <c r="D172" i="23"/>
  <c r="D1198" i="23"/>
  <c r="D2224" i="23"/>
  <c r="D3250" i="23"/>
  <c r="D11593" i="23"/>
  <c r="D8515" i="23"/>
  <c r="D9541" i="23"/>
  <c r="D10567" i="23"/>
  <c r="D7489" i="23"/>
  <c r="D5437" i="23"/>
  <c r="D307" i="23"/>
  <c r="D1333" i="23"/>
  <c r="D6463" i="23"/>
  <c r="D2359" i="23"/>
  <c r="D3385" i="23"/>
  <c r="D10426" i="23"/>
  <c r="D6322" i="23"/>
  <c r="D11452" i="23"/>
  <c r="D7348" i="23"/>
  <c r="D8374" i="23"/>
  <c r="D9400" i="23"/>
  <c r="D5296" i="23"/>
  <c r="D166" i="23"/>
  <c r="D2218" i="23"/>
  <c r="D1192" i="23"/>
  <c r="D3244" i="23"/>
  <c r="D6459" i="23"/>
  <c r="D7485" i="23"/>
  <c r="D8511" i="23"/>
  <c r="D5433" i="23"/>
  <c r="D11589" i="23"/>
  <c r="D10563" i="23"/>
  <c r="D9537" i="23"/>
  <c r="D3381" i="23"/>
  <c r="D1329" i="23"/>
  <c r="D2355" i="23"/>
  <c r="D303" i="23"/>
  <c r="D10457" i="23"/>
  <c r="D11483" i="23"/>
  <c r="D6353" i="23"/>
  <c r="D7379" i="23"/>
  <c r="D8405" i="23"/>
  <c r="D9431" i="23"/>
  <c r="D5327" i="23"/>
  <c r="D1223" i="23"/>
  <c r="D3275" i="23"/>
  <c r="D2249" i="23"/>
  <c r="D197" i="23"/>
  <c r="D11619" i="23"/>
  <c r="D7515" i="23"/>
  <c r="D8541" i="23"/>
  <c r="D9567" i="23"/>
  <c r="D10593" i="23"/>
  <c r="D6489" i="23"/>
  <c r="D5463" i="23"/>
  <c r="D1359" i="23"/>
  <c r="D3411" i="23"/>
  <c r="D333" i="23"/>
  <c r="D2385" i="23"/>
  <c r="D11478" i="23"/>
  <c r="D6348" i="23"/>
  <c r="D10452" i="23"/>
  <c r="D7374" i="23"/>
  <c r="D5322" i="23"/>
  <c r="D9426" i="23"/>
  <c r="D8400" i="23"/>
  <c r="D2244" i="23"/>
  <c r="D3270" i="23"/>
  <c r="D192" i="23"/>
  <c r="D1218" i="23"/>
  <c r="D11615" i="23"/>
  <c r="D10589" i="23"/>
  <c r="D9563" i="23"/>
  <c r="D8537" i="23"/>
  <c r="D5459" i="23"/>
  <c r="D6485" i="23"/>
  <c r="D7511" i="23"/>
  <c r="D1355" i="23"/>
  <c r="D2381" i="23"/>
  <c r="D3407" i="23"/>
  <c r="D329" i="23"/>
  <c r="J199" i="18"/>
  <c r="J311" i="18"/>
  <c r="J283" i="18"/>
  <c r="J227" i="18"/>
  <c r="J171" i="18"/>
  <c r="K72" i="18"/>
  <c r="K195" i="18"/>
  <c r="K335" i="18" s="1"/>
  <c r="K84" i="18"/>
  <c r="K224" i="18" s="1"/>
  <c r="K185" i="18"/>
  <c r="K325" i="18" s="1"/>
  <c r="K73" i="18"/>
  <c r="K213" i="18" s="1"/>
  <c r="K196" i="18"/>
  <c r="K336" i="18" s="1"/>
  <c r="K77" i="18"/>
  <c r="K217" i="18" s="1"/>
  <c r="K173" i="18"/>
  <c r="K313" i="18" s="1"/>
  <c r="K86" i="18"/>
  <c r="K226" i="18" s="1"/>
  <c r="K187" i="18"/>
  <c r="K327" i="18" s="1"/>
  <c r="K94" i="18"/>
  <c r="K234" i="18" s="1"/>
  <c r="K272" i="18"/>
  <c r="K91" i="18"/>
  <c r="K231" i="18" s="1"/>
  <c r="K269" i="18"/>
  <c r="K76" i="18"/>
  <c r="K216" i="18" s="1"/>
  <c r="K199" i="18"/>
  <c r="K339" i="18" s="1"/>
  <c r="K70" i="18"/>
  <c r="K193" i="18"/>
  <c r="K333" i="18" s="1"/>
  <c r="K83" i="18"/>
  <c r="K223" i="18" s="1"/>
  <c r="K184" i="18"/>
  <c r="K324" i="18" s="1"/>
  <c r="K74" i="18"/>
  <c r="K214" i="18" s="1"/>
  <c r="K197" i="18"/>
  <c r="K337" i="18" s="1"/>
  <c r="K127" i="18"/>
  <c r="K206" i="18"/>
  <c r="K69" i="18"/>
  <c r="K192" i="18"/>
  <c r="K332" i="18" s="1"/>
  <c r="K93" i="18"/>
  <c r="K271" i="18"/>
  <c r="K68" i="18"/>
  <c r="K191" i="18"/>
  <c r="K331" i="18" s="1"/>
  <c r="K71" i="18"/>
  <c r="K211" i="18" s="1"/>
  <c r="K194" i="18"/>
  <c r="K334" i="18" s="1"/>
  <c r="BM19" i="1"/>
  <c r="BN19" i="1"/>
  <c r="BJ19" i="1"/>
  <c r="BO19" i="1"/>
  <c r="BP19" i="1"/>
  <c r="BL19" i="1"/>
  <c r="BK19" i="1"/>
  <c r="BO17" i="1"/>
  <c r="BP17" i="1"/>
  <c r="BN17" i="1"/>
  <c r="BK17" i="1"/>
  <c r="BJ17" i="1"/>
  <c r="BL17" i="1"/>
  <c r="BM17" i="1"/>
  <c r="BK21" i="1"/>
  <c r="BL21" i="1"/>
  <c r="BM21" i="1"/>
  <c r="BN21" i="1"/>
  <c r="BJ21" i="1"/>
  <c r="BO21" i="1"/>
  <c r="BP21" i="1"/>
  <c r="BG18" i="1"/>
  <c r="BJ18" i="1"/>
  <c r="BL18" i="1"/>
  <c r="BM18" i="1"/>
  <c r="BN18" i="1"/>
  <c r="BO18" i="1"/>
  <c r="BK18" i="1"/>
  <c r="BP18" i="1"/>
  <c r="BP28" i="1"/>
  <c r="BK28" i="1"/>
  <c r="BJ28" i="1"/>
  <c r="BO28" i="1"/>
  <c r="BL28" i="1"/>
  <c r="BM28" i="1"/>
  <c r="BN28" i="1"/>
  <c r="BN14" i="1"/>
  <c r="BM14" i="1"/>
  <c r="BO14" i="1"/>
  <c r="BK14" i="1"/>
  <c r="BP14" i="1"/>
  <c r="BJ14" i="1"/>
  <c r="BL14" i="1"/>
  <c r="BF6" i="1"/>
  <c r="BN6" i="1"/>
  <c r="BO6" i="1"/>
  <c r="BK6" i="1"/>
  <c r="BM6" i="1"/>
  <c r="BP6" i="1"/>
  <c r="BJ6" i="1"/>
  <c r="BL6" i="1"/>
  <c r="BH16" i="1"/>
  <c r="BL16" i="1"/>
  <c r="BM16" i="1"/>
  <c r="BN16" i="1"/>
  <c r="BO16" i="1"/>
  <c r="BK16" i="1"/>
  <c r="BP16" i="1"/>
  <c r="BJ16" i="1"/>
  <c r="BH8" i="1"/>
  <c r="BL8" i="1"/>
  <c r="BM8" i="1"/>
  <c r="BN8" i="1"/>
  <c r="BO8" i="1"/>
  <c r="BK8" i="1"/>
  <c r="BP8" i="1"/>
  <c r="BJ8" i="1"/>
  <c r="BK13" i="1"/>
  <c r="BL13" i="1"/>
  <c r="BM13" i="1"/>
  <c r="BN13" i="1"/>
  <c r="BJ13" i="1"/>
  <c r="BO13" i="1"/>
  <c r="BP13" i="1"/>
  <c r="BI25" i="1"/>
  <c r="J138" i="18" s="1"/>
  <c r="BO25" i="1"/>
  <c r="J306" i="18" s="1"/>
  <c r="BP25" i="1"/>
  <c r="J334" i="18" s="1"/>
  <c r="BJ25" i="1"/>
  <c r="J166" i="18" s="1"/>
  <c r="BK25" i="1"/>
  <c r="J194" i="18" s="1"/>
  <c r="BN25" i="1"/>
  <c r="J278" i="18" s="1"/>
  <c r="BL25" i="1"/>
  <c r="J222" i="18" s="1"/>
  <c r="BM25" i="1"/>
  <c r="J250" i="18" s="1"/>
  <c r="BN22" i="1"/>
  <c r="BO22" i="1"/>
  <c r="BK22" i="1"/>
  <c r="BP22" i="1"/>
  <c r="BJ22" i="1"/>
  <c r="BM22" i="1"/>
  <c r="BL22" i="1"/>
  <c r="BM11" i="1"/>
  <c r="BN11" i="1"/>
  <c r="BJ11" i="1"/>
  <c r="BO11" i="1"/>
  <c r="BP11" i="1"/>
  <c r="BL11" i="1"/>
  <c r="BK11" i="1"/>
  <c r="BP23" i="1"/>
  <c r="BK23" i="1"/>
  <c r="BL23" i="1"/>
  <c r="BM23" i="1"/>
  <c r="BN23" i="1"/>
  <c r="BJ23" i="1"/>
  <c r="BO23" i="1"/>
  <c r="BG29" i="1"/>
  <c r="BK29" i="1"/>
  <c r="BL29" i="1"/>
  <c r="BM29" i="1"/>
  <c r="BN29" i="1"/>
  <c r="BJ29" i="1"/>
  <c r="BO29" i="1"/>
  <c r="BP29" i="1"/>
  <c r="BG15" i="1"/>
  <c r="BK15" i="1"/>
  <c r="BL15" i="1"/>
  <c r="BM15" i="1"/>
  <c r="BN15" i="1"/>
  <c r="BJ15" i="1"/>
  <c r="BP15" i="1"/>
  <c r="BO15" i="1"/>
  <c r="BP7" i="1"/>
  <c r="BK7" i="1"/>
  <c r="BL7" i="1"/>
  <c r="BM7" i="1"/>
  <c r="BN7" i="1"/>
  <c r="BJ7" i="1"/>
  <c r="BO7" i="1"/>
  <c r="BF20" i="1"/>
  <c r="BP20" i="1"/>
  <c r="BK20" i="1"/>
  <c r="BJ20" i="1"/>
  <c r="BO20" i="1"/>
  <c r="BL20" i="1"/>
  <c r="BM20" i="1"/>
  <c r="BN20" i="1"/>
  <c r="BL24" i="1"/>
  <c r="BM24" i="1"/>
  <c r="BN24" i="1"/>
  <c r="BO24" i="1"/>
  <c r="BK24" i="1"/>
  <c r="BP24" i="1"/>
  <c r="BJ24" i="1"/>
  <c r="BJ10" i="1"/>
  <c r="BL10" i="1"/>
  <c r="BM10" i="1"/>
  <c r="BN10" i="1"/>
  <c r="BO10" i="1"/>
  <c r="BK10" i="1"/>
  <c r="BP10" i="1"/>
  <c r="BM27" i="1"/>
  <c r="BN27" i="1"/>
  <c r="BJ27" i="1"/>
  <c r="BL27" i="1"/>
  <c r="BO27" i="1"/>
  <c r="BP27" i="1"/>
  <c r="BK27" i="1"/>
  <c r="BP12" i="1"/>
  <c r="BJ12" i="1"/>
  <c r="BO12" i="1"/>
  <c r="BL12" i="1"/>
  <c r="BM12" i="1"/>
  <c r="BK12" i="1"/>
  <c r="BN12" i="1"/>
  <c r="BI4" i="1"/>
  <c r="BK4" i="1"/>
  <c r="BP4" i="1"/>
  <c r="BO4" i="1"/>
  <c r="BL4" i="1"/>
  <c r="BN4" i="1"/>
  <c r="BJ4" i="1"/>
  <c r="BM4" i="1"/>
  <c r="BJ26" i="1"/>
  <c r="BL26" i="1"/>
  <c r="BM26" i="1"/>
  <c r="BN26" i="1"/>
  <c r="BO26" i="1"/>
  <c r="BK26" i="1"/>
  <c r="BP26" i="1"/>
  <c r="BK5" i="1"/>
  <c r="BL5" i="1"/>
  <c r="BM5" i="1"/>
  <c r="BN5" i="1"/>
  <c r="BJ5" i="1"/>
  <c r="BO5" i="1"/>
  <c r="BP5" i="1"/>
  <c r="BO9" i="1"/>
  <c r="BP9" i="1"/>
  <c r="BJ9" i="1"/>
  <c r="BK9" i="1"/>
  <c r="BL9" i="1"/>
  <c r="BN9" i="1"/>
  <c r="BM9" i="1"/>
  <c r="AF42" i="9"/>
  <c r="N12" i="14"/>
  <c r="Q12" i="14" s="1"/>
  <c r="AF95" i="9"/>
  <c r="AF79" i="9"/>
  <c r="L35" i="3"/>
  <c r="AF88" i="9"/>
  <c r="AJ16" i="1"/>
  <c r="AP16" i="1"/>
  <c r="X16" i="1"/>
  <c r="AD16" i="1"/>
  <c r="AA16" i="1"/>
  <c r="AG16" i="1"/>
  <c r="AM16" i="1"/>
  <c r="X7" i="1"/>
  <c r="AJ7" i="1"/>
  <c r="AD7" i="1"/>
  <c r="AP7" i="1"/>
  <c r="AA7" i="1"/>
  <c r="AM7" i="1"/>
  <c r="AG7" i="1"/>
  <c r="X20" i="1"/>
  <c r="AJ20" i="1"/>
  <c r="AM20" i="1"/>
  <c r="AD20" i="1"/>
  <c r="AG20" i="1"/>
  <c r="AA20" i="1"/>
  <c r="AP20" i="1"/>
  <c r="AP19" i="1"/>
  <c r="AM19" i="1"/>
  <c r="AG19" i="1"/>
  <c r="AJ19" i="1"/>
  <c r="X19" i="1"/>
  <c r="AD19" i="1"/>
  <c r="AA19" i="1"/>
  <c r="AM28" i="1"/>
  <c r="AP28" i="1"/>
  <c r="AJ28" i="1"/>
  <c r="AD28" i="1"/>
  <c r="X28" i="1"/>
  <c r="AA28" i="1"/>
  <c r="AG28" i="1"/>
  <c r="X5" i="1"/>
  <c r="AA5" i="1"/>
  <c r="AG5" i="1"/>
  <c r="AM5" i="1"/>
  <c r="AJ5" i="1"/>
  <c r="AD5" i="1"/>
  <c r="AP5" i="1"/>
  <c r="AA13" i="1"/>
  <c r="X13" i="1"/>
  <c r="AP13" i="1"/>
  <c r="AG13" i="1"/>
  <c r="AD13" i="1"/>
  <c r="AJ13" i="1"/>
  <c r="AM13" i="1"/>
  <c r="X21" i="1"/>
  <c r="AA21" i="1"/>
  <c r="AG21" i="1"/>
  <c r="AP21" i="1"/>
  <c r="AM21" i="1"/>
  <c r="AJ21" i="1"/>
  <c r="AD21" i="1"/>
  <c r="AP23" i="1"/>
  <c r="AA23" i="1"/>
  <c r="AD23" i="1"/>
  <c r="AM23" i="1"/>
  <c r="X23" i="1"/>
  <c r="AJ23" i="1"/>
  <c r="AG23" i="1"/>
  <c r="AG17" i="1"/>
  <c r="AM17" i="1"/>
  <c r="AP17" i="1"/>
  <c r="AA17" i="1"/>
  <c r="AD17" i="1"/>
  <c r="X17" i="1"/>
  <c r="AJ17" i="1"/>
  <c r="AJ27" i="1"/>
  <c r="AM27" i="1"/>
  <c r="X27" i="1"/>
  <c r="AP27" i="1"/>
  <c r="AD27" i="1"/>
  <c r="AA27" i="1"/>
  <c r="AG27" i="1"/>
  <c r="X11" i="1"/>
  <c r="AJ11" i="1"/>
  <c r="AD11" i="1"/>
  <c r="AA11" i="1"/>
  <c r="AM11" i="1"/>
  <c r="AP11" i="1"/>
  <c r="AG11" i="1"/>
  <c r="AD18" i="1"/>
  <c r="AA18" i="1"/>
  <c r="AJ18" i="1"/>
  <c r="AP18" i="1"/>
  <c r="X18" i="1"/>
  <c r="AM18" i="1"/>
  <c r="AG18" i="1"/>
  <c r="AA24" i="1"/>
  <c r="AD24" i="1"/>
  <c r="AM24" i="1"/>
  <c r="X24" i="1"/>
  <c r="AP24" i="1"/>
  <c r="AJ24" i="1"/>
  <c r="AG24" i="1"/>
  <c r="AP29" i="1"/>
  <c r="X29" i="1"/>
  <c r="AG29" i="1"/>
  <c r="AM29" i="1"/>
  <c r="AJ29" i="1"/>
  <c r="AD29" i="1"/>
  <c r="AA29" i="1"/>
  <c r="X10" i="1"/>
  <c r="AM10" i="1"/>
  <c r="AG10" i="1"/>
  <c r="AP10" i="1"/>
  <c r="AJ10" i="1"/>
  <c r="AA10" i="1"/>
  <c r="AD10" i="1"/>
  <c r="AM14" i="1"/>
  <c r="AD14" i="1"/>
  <c r="AP14" i="1"/>
  <c r="AJ14" i="1"/>
  <c r="X14" i="1"/>
  <c r="AG14" i="1"/>
  <c r="AA14" i="1"/>
  <c r="AM4" i="1"/>
  <c r="AP4" i="1"/>
  <c r="AG4" i="1"/>
  <c r="U4" i="1"/>
  <c r="AJ4" i="1"/>
  <c r="X4" i="1"/>
  <c r="AA4" i="1"/>
  <c r="AD4" i="1"/>
  <c r="AJ26" i="1"/>
  <c r="AA26" i="1"/>
  <c r="AM26" i="1"/>
  <c r="X26" i="1"/>
  <c r="AP26" i="1"/>
  <c r="AG26" i="1"/>
  <c r="AD26" i="1"/>
  <c r="AM15" i="1"/>
  <c r="AA15" i="1"/>
  <c r="AJ15" i="1"/>
  <c r="AD15" i="1"/>
  <c r="AG15" i="1"/>
  <c r="AP15" i="1"/>
  <c r="X15" i="1"/>
  <c r="AA8" i="1"/>
  <c r="AM8" i="1"/>
  <c r="AP8" i="1"/>
  <c r="AG8" i="1"/>
  <c r="AJ8" i="1"/>
  <c r="X8" i="1"/>
  <c r="AD8" i="1"/>
  <c r="X6" i="1"/>
  <c r="AG6" i="1"/>
  <c r="AA6" i="1"/>
  <c r="AD6" i="1"/>
  <c r="AM6" i="1"/>
  <c r="AJ6" i="1"/>
  <c r="AP6" i="1"/>
  <c r="AJ22" i="1"/>
  <c r="AG22" i="1"/>
  <c r="X22" i="1"/>
  <c r="AA22" i="1"/>
  <c r="AD22" i="1"/>
  <c r="AP22" i="1"/>
  <c r="AM22" i="1"/>
  <c r="X9" i="1"/>
  <c r="AM9" i="1"/>
  <c r="AP9" i="1"/>
  <c r="AD9" i="1"/>
  <c r="AA9" i="1"/>
  <c r="AJ9" i="1"/>
  <c r="AG9" i="1"/>
  <c r="AJ12" i="1"/>
  <c r="AP12" i="1"/>
  <c r="AD12" i="1"/>
  <c r="AA12" i="1"/>
  <c r="X12" i="1"/>
  <c r="AG12" i="1"/>
  <c r="AM12" i="1"/>
  <c r="W77" i="9"/>
  <c r="AG77" i="9" s="1"/>
  <c r="AF20" i="9"/>
  <c r="W93" i="9"/>
  <c r="AG93" i="9" s="1"/>
  <c r="AG103" i="9"/>
  <c r="W11" i="9"/>
  <c r="AJ11" i="9" s="1"/>
  <c r="H32" i="10"/>
  <c r="L4" i="10"/>
  <c r="M4" i="10" s="1"/>
  <c r="AF101" i="9"/>
  <c r="W13" i="9"/>
  <c r="AG13" i="9" s="1"/>
  <c r="W42" i="9"/>
  <c r="AJ42" i="9" s="1"/>
  <c r="L10" i="10"/>
  <c r="M10" i="10" s="1"/>
  <c r="W38" i="9"/>
  <c r="AG38" i="9" s="1"/>
  <c r="W76" i="9"/>
  <c r="AG76" i="9" s="1"/>
  <c r="W4" i="9"/>
  <c r="AG4" i="9" s="1"/>
  <c r="AD25" i="9"/>
  <c r="W34" i="9"/>
  <c r="AG34" i="9" s="1"/>
  <c r="W59" i="9"/>
  <c r="AG59" i="9" s="1"/>
  <c r="W64" i="9"/>
  <c r="AJ64" i="9" s="1"/>
  <c r="W57" i="9"/>
  <c r="AG57" i="9" s="1"/>
  <c r="AD73" i="9"/>
  <c r="AF47" i="9"/>
  <c r="W46" i="9"/>
  <c r="AG46" i="9" s="1"/>
  <c r="W41" i="9"/>
  <c r="AG41" i="9" s="1"/>
  <c r="AF63" i="9"/>
  <c r="J10" i="8"/>
  <c r="T10" i="8" s="1"/>
  <c r="D61" i="8" s="1"/>
  <c r="AD91" i="9"/>
  <c r="AF62" i="9"/>
  <c r="AJ103" i="9"/>
  <c r="W75" i="9"/>
  <c r="AJ75" i="9" s="1"/>
  <c r="AF67" i="9"/>
  <c r="W98" i="9"/>
  <c r="AJ98" i="9" s="1"/>
  <c r="W8" i="9"/>
  <c r="AG8" i="9" s="1"/>
  <c r="W20" i="9"/>
  <c r="AJ20" i="9" s="1"/>
  <c r="W73" i="9"/>
  <c r="AG73" i="9" s="1"/>
  <c r="W27" i="9"/>
  <c r="AG27" i="9" s="1"/>
  <c r="AF45" i="9"/>
  <c r="AF83" i="9"/>
  <c r="W16" i="9"/>
  <c r="AG16" i="9" s="1"/>
  <c r="W68" i="9"/>
  <c r="AG68" i="9" s="1"/>
  <c r="W29" i="9"/>
  <c r="AG29" i="9" s="1"/>
  <c r="AD53" i="9"/>
  <c r="W50" i="9"/>
  <c r="AJ50" i="9" s="1"/>
  <c r="W94" i="9"/>
  <c r="AJ94" i="9" s="1"/>
  <c r="W12" i="9"/>
  <c r="AG12" i="9" s="1"/>
  <c r="W61" i="9"/>
  <c r="AG61" i="9" s="1"/>
  <c r="W25" i="9"/>
  <c r="AG25" i="9" s="1"/>
  <c r="L11" i="10"/>
  <c r="M11" i="10" s="1"/>
  <c r="J31" i="8"/>
  <c r="T31" i="8" s="1"/>
  <c r="AD64" i="9"/>
  <c r="W80" i="9"/>
  <c r="AG80" i="9" s="1"/>
  <c r="W30" i="9"/>
  <c r="AG30" i="9" s="1"/>
  <c r="W91" i="9"/>
  <c r="AJ91" i="9" s="1"/>
  <c r="W45" i="9"/>
  <c r="AG45" i="9" s="1"/>
  <c r="W9" i="9"/>
  <c r="AJ9" i="9" s="1"/>
  <c r="AD38" i="9"/>
  <c r="AF80" i="9"/>
  <c r="W72" i="9"/>
  <c r="AJ72" i="9" s="1"/>
  <c r="W84" i="9"/>
  <c r="AG84" i="9" s="1"/>
  <c r="W89" i="9"/>
  <c r="AG89" i="9" s="1"/>
  <c r="W43" i="9"/>
  <c r="AG43" i="9" s="1"/>
  <c r="AD102" i="9"/>
  <c r="AF100" i="9"/>
  <c r="H22" i="10"/>
  <c r="AF87" i="9"/>
  <c r="AD97" i="9"/>
  <c r="AD68" i="9"/>
  <c r="AF27" i="9"/>
  <c r="AD40" i="9"/>
  <c r="AD41" i="9"/>
  <c r="AF84" i="9"/>
  <c r="AF56" i="9"/>
  <c r="AF30" i="9"/>
  <c r="L189" i="3"/>
  <c r="AF78" i="9"/>
  <c r="L451" i="3"/>
  <c r="L97" i="3"/>
  <c r="T8" i="9"/>
  <c r="L456" i="3"/>
  <c r="AD57" i="9"/>
  <c r="AD59" i="9"/>
  <c r="AF29" i="9"/>
  <c r="AF72" i="9"/>
  <c r="L116" i="3"/>
  <c r="AD93" i="9"/>
  <c r="AF33" i="9"/>
  <c r="T39" i="9"/>
  <c r="AL39" i="9" s="1"/>
  <c r="D343" i="9" s="1"/>
  <c r="L186" i="3"/>
  <c r="L364" i="3"/>
  <c r="AF98" i="9"/>
  <c r="AF75" i="9"/>
  <c r="AF10" i="9"/>
  <c r="L180" i="3"/>
  <c r="L331" i="3"/>
  <c r="AD14" i="9"/>
  <c r="N16" i="6"/>
  <c r="AD90" i="9"/>
  <c r="AD48" i="9"/>
  <c r="AF52" i="9"/>
  <c r="AD24" i="9"/>
  <c r="AD94" i="9"/>
  <c r="D112" i="11"/>
  <c r="AF26" i="9"/>
  <c r="AD81" i="9"/>
  <c r="AD82" i="9"/>
  <c r="AD55" i="9"/>
  <c r="AF71" i="9"/>
  <c r="AF86" i="9"/>
  <c r="AF35" i="9"/>
  <c r="AF74" i="9"/>
  <c r="AF92" i="9"/>
  <c r="AD70" i="9"/>
  <c r="AF32" i="9"/>
  <c r="AD61" i="9"/>
  <c r="M21" i="7"/>
  <c r="AM21" i="7" s="1"/>
  <c r="AF9" i="9"/>
  <c r="D42" i="11"/>
  <c r="AD65" i="9"/>
  <c r="K4" i="14"/>
  <c r="W105" i="5"/>
  <c r="W50" i="5" s="1"/>
  <c r="V50" i="5" s="1"/>
  <c r="AF5" i="9"/>
  <c r="W90" i="9"/>
  <c r="AG90" i="9" s="1"/>
  <c r="W26" i="9"/>
  <c r="AG26" i="9" s="1"/>
  <c r="W56" i="9"/>
  <c r="AG56" i="9" s="1"/>
  <c r="W86" i="9"/>
  <c r="AG86" i="9" s="1"/>
  <c r="W22" i="9"/>
  <c r="W60" i="9"/>
  <c r="AG60" i="9" s="1"/>
  <c r="W102" i="9"/>
  <c r="W87" i="9"/>
  <c r="AJ87" i="9" s="1"/>
  <c r="W71" i="9"/>
  <c r="W55" i="9"/>
  <c r="AG55" i="9" s="1"/>
  <c r="W39" i="9"/>
  <c r="W23" i="9"/>
  <c r="AG23" i="9" s="1"/>
  <c r="W7" i="9"/>
  <c r="AG7" i="9" s="1"/>
  <c r="M13" i="10"/>
  <c r="L9" i="10"/>
  <c r="H28" i="10" s="1"/>
  <c r="AF17" i="9"/>
  <c r="AD28" i="9"/>
  <c r="K6" i="14"/>
  <c r="AF21" i="9"/>
  <c r="W82" i="9"/>
  <c r="AG82" i="9" s="1"/>
  <c r="W18" i="9"/>
  <c r="W48" i="9"/>
  <c r="AJ48" i="9" s="1"/>
  <c r="W78" i="9"/>
  <c r="AJ78" i="9" s="1"/>
  <c r="W14" i="9"/>
  <c r="AJ14" i="9" s="1"/>
  <c r="W52" i="9"/>
  <c r="AJ52" i="9" s="1"/>
  <c r="W101" i="9"/>
  <c r="AG101" i="9" s="1"/>
  <c r="W85" i="9"/>
  <c r="AG85" i="9" s="1"/>
  <c r="W69" i="9"/>
  <c r="AJ69" i="9" s="1"/>
  <c r="W53" i="9"/>
  <c r="W37" i="9"/>
  <c r="AG37" i="9" s="1"/>
  <c r="W21" i="9"/>
  <c r="AJ21" i="9" s="1"/>
  <c r="W5" i="9"/>
  <c r="AJ5" i="9" s="1"/>
  <c r="AD77" i="9"/>
  <c r="AF46" i="9"/>
  <c r="M17" i="6"/>
  <c r="L8" i="10"/>
  <c r="M8" i="10" s="1"/>
  <c r="AF44" i="9"/>
  <c r="J33" i="8"/>
  <c r="T33" i="8" s="1"/>
  <c r="W74" i="9"/>
  <c r="AJ74" i="9" s="1"/>
  <c r="W10" i="9"/>
  <c r="W40" i="9"/>
  <c r="AJ40" i="9" s="1"/>
  <c r="W70" i="9"/>
  <c r="AG70" i="9" s="1"/>
  <c r="W6" i="9"/>
  <c r="W44" i="9"/>
  <c r="AG44" i="9" s="1"/>
  <c r="W99" i="9"/>
  <c r="AJ99" i="9" s="1"/>
  <c r="W83" i="9"/>
  <c r="AG83" i="9" s="1"/>
  <c r="W67" i="9"/>
  <c r="W51" i="9"/>
  <c r="AJ51" i="9" s="1"/>
  <c r="W35" i="9"/>
  <c r="AG35" i="9" s="1"/>
  <c r="W19" i="9"/>
  <c r="AG19" i="9" s="1"/>
  <c r="AF7" i="9"/>
  <c r="AD6" i="9"/>
  <c r="M16" i="6"/>
  <c r="L7" i="10"/>
  <c r="H16" i="10" s="1"/>
  <c r="AF60" i="9"/>
  <c r="J36" i="8"/>
  <c r="T36" i="8" s="1"/>
  <c r="W66" i="9"/>
  <c r="AJ66" i="9" s="1"/>
  <c r="W96" i="9"/>
  <c r="AG96" i="9" s="1"/>
  <c r="W32" i="9"/>
  <c r="W62" i="9"/>
  <c r="AG62" i="9" s="1"/>
  <c r="W100" i="9"/>
  <c r="AG100" i="9" s="1"/>
  <c r="W36" i="9"/>
  <c r="AG36" i="9" s="1"/>
  <c r="W97" i="9"/>
  <c r="AG97" i="9" s="1"/>
  <c r="W81" i="9"/>
  <c r="AG81" i="9" s="1"/>
  <c r="W65" i="9"/>
  <c r="AG65" i="9" s="1"/>
  <c r="W49" i="9"/>
  <c r="AG49" i="9" s="1"/>
  <c r="W33" i="9"/>
  <c r="AG33" i="9" s="1"/>
  <c r="W17" i="9"/>
  <c r="AF39" i="9"/>
  <c r="AF50" i="9"/>
  <c r="AF4" i="9"/>
  <c r="AF22" i="9"/>
  <c r="L6" i="10"/>
  <c r="H25" i="10" s="1"/>
  <c r="J8" i="8"/>
  <c r="T8" i="8" s="1"/>
  <c r="D59" i="8" s="1"/>
  <c r="M6" i="14"/>
  <c r="W58" i="9"/>
  <c r="W88" i="9"/>
  <c r="AJ88" i="9" s="1"/>
  <c r="W24" i="9"/>
  <c r="AG24" i="9" s="1"/>
  <c r="W54" i="9"/>
  <c r="AJ54" i="9" s="1"/>
  <c r="W92" i="9"/>
  <c r="AJ92" i="9" s="1"/>
  <c r="W28" i="9"/>
  <c r="AJ28" i="9" s="1"/>
  <c r="W95" i="9"/>
  <c r="AJ95" i="9" s="1"/>
  <c r="W79" i="9"/>
  <c r="AJ79" i="9" s="1"/>
  <c r="W63" i="9"/>
  <c r="AJ63" i="9" s="1"/>
  <c r="W47" i="9"/>
  <c r="AG47" i="9" s="1"/>
  <c r="W31" i="9"/>
  <c r="AD43" i="9"/>
  <c r="L12" i="10"/>
  <c r="H21" i="10" s="1"/>
  <c r="J4" i="8"/>
  <c r="T4" i="8" s="1"/>
  <c r="D55" i="8" s="1"/>
  <c r="T67" i="9"/>
  <c r="AL67" i="9" s="1"/>
  <c r="D371" i="9" s="1"/>
  <c r="T72" i="9"/>
  <c r="T83" i="9"/>
  <c r="AL83" i="9" s="1"/>
  <c r="D387" i="9" s="1"/>
  <c r="T56" i="9"/>
  <c r="AL56" i="9" s="1"/>
  <c r="D360" i="9" s="1"/>
  <c r="T65" i="9"/>
  <c r="AL65" i="9" s="1"/>
  <c r="D369" i="9" s="1"/>
  <c r="T40" i="9"/>
  <c r="T102" i="9"/>
  <c r="AL102" i="9" s="1"/>
  <c r="D406" i="9" s="1"/>
  <c r="T24" i="9"/>
  <c r="AL24" i="9" s="1"/>
  <c r="D328" i="9" s="1"/>
  <c r="T77" i="9"/>
  <c r="AL77" i="9" s="1"/>
  <c r="D381" i="9" s="1"/>
  <c r="J42" i="8"/>
  <c r="T42" i="8" s="1"/>
  <c r="T13" i="9"/>
  <c r="AL13" i="9" s="1"/>
  <c r="D317" i="9" s="1"/>
  <c r="T88" i="9"/>
  <c r="K5" i="14"/>
  <c r="AD69" i="9"/>
  <c r="AD89" i="9"/>
  <c r="AD51" i="9"/>
  <c r="M22" i="6"/>
  <c r="M4" i="6"/>
  <c r="N5" i="17"/>
  <c r="C5" i="17" s="1"/>
  <c r="I5" i="17" s="1"/>
  <c r="K7" i="14"/>
  <c r="C13" i="17"/>
  <c r="I13" i="17" s="1"/>
  <c r="AF96" i="9"/>
  <c r="N8" i="17"/>
  <c r="C8" i="17" s="1"/>
  <c r="F8" i="17" s="1"/>
  <c r="M19" i="6"/>
  <c r="N11" i="17"/>
  <c r="C11" i="17" s="1"/>
  <c r="F11" i="17" s="1"/>
  <c r="K24" i="14"/>
  <c r="K22" i="14" s="1"/>
  <c r="AF23" i="9"/>
  <c r="AF13" i="9"/>
  <c r="AF19" i="9"/>
  <c r="AF99" i="9"/>
  <c r="M12" i="6"/>
  <c r="AF58" i="9"/>
  <c r="N6" i="17"/>
  <c r="C6" i="17" s="1"/>
  <c r="I6" i="17" s="1"/>
  <c r="M11" i="14"/>
  <c r="K3" i="14"/>
  <c r="X102" i="14"/>
  <c r="X4" i="14" s="1"/>
  <c r="K11" i="14"/>
  <c r="AF18" i="9"/>
  <c r="M10" i="6"/>
  <c r="AF31" i="9"/>
  <c r="N4" i="17"/>
  <c r="C4" i="17" s="1"/>
  <c r="I4" i="17" s="1"/>
  <c r="M9" i="14"/>
  <c r="K10" i="14"/>
  <c r="M8" i="6"/>
  <c r="N9" i="17"/>
  <c r="C9" i="17" s="1"/>
  <c r="I9" i="17" s="1"/>
  <c r="M8" i="14"/>
  <c r="K9" i="14"/>
  <c r="M4" i="14"/>
  <c r="AD34" i="9"/>
  <c r="M7" i="6"/>
  <c r="O13" i="17"/>
  <c r="N10" i="17"/>
  <c r="C10" i="17" s="1"/>
  <c r="F10" i="17" s="1"/>
  <c r="M7" i="14"/>
  <c r="L11" i="3"/>
  <c r="L204" i="3"/>
  <c r="L214" i="3"/>
  <c r="L94" i="3"/>
  <c r="L132" i="3"/>
  <c r="L67" i="3"/>
  <c r="L221" i="3"/>
  <c r="L68" i="3"/>
  <c r="L488" i="3"/>
  <c r="L393" i="3"/>
  <c r="L363" i="3"/>
  <c r="L259" i="3"/>
  <c r="AF16" i="9"/>
  <c r="AD54" i="9"/>
  <c r="T91" i="9"/>
  <c r="AL91" i="9" s="1"/>
  <c r="D395" i="9" s="1"/>
  <c r="T81" i="9"/>
  <c r="T17" i="9"/>
  <c r="AL17" i="9" s="1"/>
  <c r="D321" i="9" s="1"/>
  <c r="T55" i="9"/>
  <c r="AL55" i="9" s="1"/>
  <c r="D359" i="9" s="1"/>
  <c r="T93" i="9"/>
  <c r="AL93" i="9" s="1"/>
  <c r="D397" i="9" s="1"/>
  <c r="T29" i="9"/>
  <c r="AL29" i="9" s="1"/>
  <c r="D333" i="9" s="1"/>
  <c r="T92" i="9"/>
  <c r="AL92" i="9" s="1"/>
  <c r="D396" i="9" s="1"/>
  <c r="T76" i="9"/>
  <c r="T60" i="9"/>
  <c r="T44" i="9"/>
  <c r="T28" i="9"/>
  <c r="AL28" i="9" s="1"/>
  <c r="D332" i="9" s="1"/>
  <c r="T12" i="9"/>
  <c r="L17" i="3"/>
  <c r="L196" i="3"/>
  <c r="L43" i="3"/>
  <c r="L118" i="3"/>
  <c r="L105" i="3"/>
  <c r="L205" i="3"/>
  <c r="L423" i="3"/>
  <c r="L472" i="3"/>
  <c r="L281" i="3"/>
  <c r="L347" i="3"/>
  <c r="M18" i="6"/>
  <c r="M9" i="6"/>
  <c r="N7" i="6"/>
  <c r="AL103" i="9"/>
  <c r="D407" i="9" s="1"/>
  <c r="T27" i="9"/>
  <c r="AL27" i="9" s="1"/>
  <c r="D331" i="9" s="1"/>
  <c r="T73" i="9"/>
  <c r="T9" i="9"/>
  <c r="AL9" i="9" s="1"/>
  <c r="D313" i="9" s="1"/>
  <c r="T47" i="9"/>
  <c r="AL47" i="9" s="1"/>
  <c r="D351" i="9" s="1"/>
  <c r="T85" i="9"/>
  <c r="AL85" i="9" s="1"/>
  <c r="D389" i="9" s="1"/>
  <c r="T21" i="9"/>
  <c r="AL21" i="9" s="1"/>
  <c r="D325" i="9" s="1"/>
  <c r="T90" i="9"/>
  <c r="T74" i="9"/>
  <c r="T58" i="9"/>
  <c r="AL58" i="9" s="1"/>
  <c r="D362" i="9" s="1"/>
  <c r="T42" i="9"/>
  <c r="T26" i="9"/>
  <c r="AL26" i="9" s="1"/>
  <c r="D330" i="9" s="1"/>
  <c r="T10" i="9"/>
  <c r="AL10" i="9" s="1"/>
  <c r="D314" i="9" s="1"/>
  <c r="M5" i="14"/>
  <c r="M24" i="14"/>
  <c r="M19" i="14" s="1"/>
  <c r="X103" i="9"/>
  <c r="AA103" i="9" s="1"/>
  <c r="L98" i="3"/>
  <c r="L166" i="3"/>
  <c r="L42" i="3"/>
  <c r="L173" i="3"/>
  <c r="L440" i="3"/>
  <c r="L315" i="3"/>
  <c r="T57" i="9"/>
  <c r="AL57" i="9" s="1"/>
  <c r="D361" i="9" s="1"/>
  <c r="T69" i="9"/>
  <c r="T38" i="9"/>
  <c r="L222" i="3"/>
  <c r="L232" i="3"/>
  <c r="L91" i="3"/>
  <c r="L164" i="3"/>
  <c r="L69" i="3"/>
  <c r="L34" i="3"/>
  <c r="L157" i="3"/>
  <c r="L406" i="3"/>
  <c r="L424" i="3"/>
  <c r="L332" i="3"/>
  <c r="L299" i="3"/>
  <c r="AD85" i="9"/>
  <c r="AF8" i="9"/>
  <c r="M15" i="6"/>
  <c r="M6" i="6"/>
  <c r="M28" i="7"/>
  <c r="AY28" i="7" s="1"/>
  <c r="G10" i="11"/>
  <c r="D89" i="11" s="1"/>
  <c r="AF49" i="9"/>
  <c r="AF12" i="9"/>
  <c r="AF76" i="9"/>
  <c r="J27" i="8"/>
  <c r="T27" i="8" s="1"/>
  <c r="T51" i="9"/>
  <c r="T75" i="9"/>
  <c r="T49" i="9"/>
  <c r="AL49" i="9" s="1"/>
  <c r="D353" i="9" s="1"/>
  <c r="T87" i="9"/>
  <c r="T23" i="9"/>
  <c r="AL23" i="9" s="1"/>
  <c r="D327" i="9" s="1"/>
  <c r="T61" i="9"/>
  <c r="AL61" i="9" s="1"/>
  <c r="D365" i="9" s="1"/>
  <c r="T100" i="9"/>
  <c r="T84" i="9"/>
  <c r="T68" i="9"/>
  <c r="T52" i="9"/>
  <c r="T36" i="9"/>
  <c r="AL36" i="9" s="1"/>
  <c r="D340" i="9" s="1"/>
  <c r="T20" i="9"/>
  <c r="T4" i="9"/>
  <c r="M3" i="14"/>
  <c r="L178" i="3"/>
  <c r="L76" i="3"/>
  <c r="L493" i="3"/>
  <c r="L348" i="3"/>
  <c r="T59" i="9"/>
  <c r="T19" i="9"/>
  <c r="AL19" i="9" s="1"/>
  <c r="D323" i="9" s="1"/>
  <c r="T95" i="9"/>
  <c r="AL95" i="9" s="1"/>
  <c r="D399" i="9" s="1"/>
  <c r="T31" i="9"/>
  <c r="AL31" i="9" s="1"/>
  <c r="D335" i="9" s="1"/>
  <c r="T5" i="9"/>
  <c r="AL5" i="9" s="1"/>
  <c r="D309" i="9" s="1"/>
  <c r="T86" i="9"/>
  <c r="T70" i="9"/>
  <c r="T54" i="9"/>
  <c r="T22" i="9"/>
  <c r="AL22" i="9" s="1"/>
  <c r="D326" i="9" s="1"/>
  <c r="T6" i="9"/>
  <c r="AL6" i="9" s="1"/>
  <c r="D310" i="9" s="1"/>
  <c r="L206" i="3"/>
  <c r="L82" i="3"/>
  <c r="L64" i="3"/>
  <c r="L150" i="3"/>
  <c r="L16" i="3"/>
  <c r="L86" i="3"/>
  <c r="L141" i="3"/>
  <c r="L463" i="3"/>
  <c r="L404" i="3"/>
  <c r="L316" i="3"/>
  <c r="L283" i="3"/>
  <c r="AF66" i="9"/>
  <c r="AF11" i="9"/>
  <c r="M20" i="6"/>
  <c r="M14" i="6"/>
  <c r="M5" i="6"/>
  <c r="M12" i="7"/>
  <c r="AM12" i="7" s="1"/>
  <c r="W29" i="7"/>
  <c r="W11" i="7" s="1"/>
  <c r="J49" i="8"/>
  <c r="T49" i="8" s="1"/>
  <c r="J46" i="8"/>
  <c r="T46" i="8" s="1"/>
  <c r="T43" i="9"/>
  <c r="AL43" i="9" s="1"/>
  <c r="D347" i="9" s="1"/>
  <c r="T11" i="9"/>
  <c r="T41" i="9"/>
  <c r="T79" i="9"/>
  <c r="AL79" i="9" s="1"/>
  <c r="D383" i="9" s="1"/>
  <c r="T15" i="9"/>
  <c r="X15" i="9" s="1"/>
  <c r="T53" i="9"/>
  <c r="AL53" i="9" s="1"/>
  <c r="D357" i="9" s="1"/>
  <c r="T98" i="9"/>
  <c r="AL98" i="9" s="1"/>
  <c r="D402" i="9" s="1"/>
  <c r="T82" i="9"/>
  <c r="AL82" i="9" s="1"/>
  <c r="D386" i="9" s="1"/>
  <c r="T66" i="9"/>
  <c r="AL66" i="9" s="1"/>
  <c r="D370" i="9" s="1"/>
  <c r="T50" i="9"/>
  <c r="T34" i="9"/>
  <c r="AL34" i="9" s="1"/>
  <c r="D338" i="9" s="1"/>
  <c r="T18" i="9"/>
  <c r="AL18" i="9" s="1"/>
  <c r="D322" i="9" s="1"/>
  <c r="M10" i="14"/>
  <c r="Y48" i="13"/>
  <c r="Y11" i="13" s="1"/>
  <c r="Z11" i="13" s="1"/>
  <c r="L59" i="3"/>
  <c r="L33" i="3"/>
  <c r="L57" i="3"/>
  <c r="L148" i="3"/>
  <c r="L23" i="3"/>
  <c r="L125" i="3"/>
  <c r="L6" i="3"/>
  <c r="L388" i="3"/>
  <c r="L300" i="3"/>
  <c r="L268" i="3"/>
  <c r="AF37" i="9"/>
  <c r="AF36" i="9"/>
  <c r="T99" i="9"/>
  <c r="AL99" i="9" s="1"/>
  <c r="D403" i="9" s="1"/>
  <c r="T97" i="9"/>
  <c r="AL97" i="9" s="1"/>
  <c r="D401" i="9" s="1"/>
  <c r="T33" i="9"/>
  <c r="T71" i="9"/>
  <c r="AL71" i="9" s="1"/>
  <c r="D375" i="9" s="1"/>
  <c r="T7" i="9"/>
  <c r="T45" i="9"/>
  <c r="AL45" i="9" s="1"/>
  <c r="D349" i="9" s="1"/>
  <c r="T96" i="9"/>
  <c r="AL96" i="9" s="1"/>
  <c r="D400" i="9" s="1"/>
  <c r="T80" i="9"/>
  <c r="T64" i="9"/>
  <c r="AL64" i="9" s="1"/>
  <c r="D368" i="9" s="1"/>
  <c r="T48" i="9"/>
  <c r="AL48" i="9" s="1"/>
  <c r="D352" i="9" s="1"/>
  <c r="T32" i="9"/>
  <c r="AL32" i="9" s="1"/>
  <c r="D336" i="9" s="1"/>
  <c r="T16" i="9"/>
  <c r="AL16" i="9" s="1"/>
  <c r="D320" i="9" s="1"/>
  <c r="L220" i="3"/>
  <c r="L230" i="3"/>
  <c r="L103" i="3"/>
  <c r="L134" i="3"/>
  <c r="L74" i="3"/>
  <c r="L237" i="3"/>
  <c r="L109" i="3"/>
  <c r="L255" i="3"/>
  <c r="L409" i="3"/>
  <c r="L284" i="3"/>
  <c r="M21" i="6"/>
  <c r="M11" i="6"/>
  <c r="M5" i="7"/>
  <c r="AM5" i="7" s="1"/>
  <c r="J40" i="8"/>
  <c r="T40" i="8" s="1"/>
  <c r="J14" i="8"/>
  <c r="T14" i="8" s="1"/>
  <c r="D65" i="8" s="1"/>
  <c r="T35" i="9"/>
  <c r="AL35" i="9" s="1"/>
  <c r="D339" i="9" s="1"/>
  <c r="T89" i="9"/>
  <c r="T25" i="9"/>
  <c r="T63" i="9"/>
  <c r="T101" i="9"/>
  <c r="T37" i="9"/>
  <c r="AL37" i="9" s="1"/>
  <c r="D341" i="9" s="1"/>
  <c r="T94" i="9"/>
  <c r="AL94" i="9" s="1"/>
  <c r="D398" i="9" s="1"/>
  <c r="T78" i="9"/>
  <c r="T62" i="9"/>
  <c r="AL62" i="9" s="1"/>
  <c r="D366" i="9" s="1"/>
  <c r="T46" i="9"/>
  <c r="T30" i="9"/>
  <c r="AL30" i="9" s="1"/>
  <c r="D334" i="9" s="1"/>
  <c r="M26" i="7"/>
  <c r="AM26" i="7" s="1"/>
  <c r="N6" i="6"/>
  <c r="M24" i="7"/>
  <c r="AT24" i="7" s="1"/>
  <c r="M8" i="7"/>
  <c r="AM8" i="7" s="1"/>
  <c r="M17" i="7"/>
  <c r="AT17" i="7" s="1"/>
  <c r="N21" i="6"/>
  <c r="N14" i="6"/>
  <c r="N5" i="6"/>
  <c r="D122" i="11"/>
  <c r="G9" i="11"/>
  <c r="D98" i="11" s="1"/>
  <c r="D82" i="11"/>
  <c r="M22" i="7"/>
  <c r="AM22" i="7" s="1"/>
  <c r="M6" i="7"/>
  <c r="AM6" i="7" s="1"/>
  <c r="M15" i="7"/>
  <c r="AT15" i="7" s="1"/>
  <c r="N22" i="6"/>
  <c r="N12" i="6"/>
  <c r="N4" i="6"/>
  <c r="D22" i="11"/>
  <c r="G8" i="11"/>
  <c r="D117" i="11" s="1"/>
  <c r="M3" i="7"/>
  <c r="AY3" i="7" s="1"/>
  <c r="G5" i="11"/>
  <c r="H5" i="11" s="1"/>
  <c r="M20" i="7"/>
  <c r="AM20" i="7" s="1"/>
  <c r="M4" i="7"/>
  <c r="AM4" i="7" s="1"/>
  <c r="M13" i="7"/>
  <c r="AY13" i="7" s="1"/>
  <c r="N20" i="6"/>
  <c r="N11" i="6"/>
  <c r="N3" i="6"/>
  <c r="D62" i="11"/>
  <c r="G4" i="11"/>
  <c r="D113" i="11" s="1"/>
  <c r="M19" i="7"/>
  <c r="AT19" i="7" s="1"/>
  <c r="G6" i="11"/>
  <c r="D65" i="11" s="1"/>
  <c r="H13" i="11"/>
  <c r="AT29" i="7"/>
  <c r="M18" i="7"/>
  <c r="AM18" i="7" s="1"/>
  <c r="M27" i="7"/>
  <c r="AY27" i="7" s="1"/>
  <c r="M11" i="7"/>
  <c r="AM11" i="7" s="1"/>
  <c r="N19" i="6"/>
  <c r="N10" i="6"/>
  <c r="D92" i="11"/>
  <c r="D102" i="11"/>
  <c r="G12" i="11"/>
  <c r="D91" i="11" s="1"/>
  <c r="AM29" i="7"/>
  <c r="M16" i="7"/>
  <c r="AT16" i="7" s="1"/>
  <c r="M25" i="7"/>
  <c r="AT25" i="7" s="1"/>
  <c r="M9" i="7"/>
  <c r="AM9" i="7" s="1"/>
  <c r="N18" i="6"/>
  <c r="N9" i="6"/>
  <c r="D52" i="11"/>
  <c r="D32" i="11"/>
  <c r="G11" i="11"/>
  <c r="D50" i="11" s="1"/>
  <c r="M10" i="7"/>
  <c r="AM10" i="7" s="1"/>
  <c r="N15" i="6"/>
  <c r="AY29" i="7"/>
  <c r="M14" i="7"/>
  <c r="AM14" i="7" s="1"/>
  <c r="M23" i="7"/>
  <c r="AM23" i="7" s="1"/>
  <c r="N17" i="6"/>
  <c r="D12" i="11"/>
  <c r="D72" i="11"/>
  <c r="L261" i="3"/>
  <c r="L277" i="3"/>
  <c r="L270" i="3"/>
  <c r="L285" i="3"/>
  <c r="L301" i="3"/>
  <c r="L317" i="3"/>
  <c r="L333" i="3"/>
  <c r="L349" i="3"/>
  <c r="L365" i="3"/>
  <c r="L286" i="3"/>
  <c r="L302" i="3"/>
  <c r="L318" i="3"/>
  <c r="L334" i="3"/>
  <c r="L350" i="3"/>
  <c r="L366" i="3"/>
  <c r="L379" i="3"/>
  <c r="L395" i="3"/>
  <c r="L411" i="3"/>
  <c r="L390" i="3"/>
  <c r="L414" i="3"/>
  <c r="L426" i="3"/>
  <c r="L442" i="3"/>
  <c r="L458" i="3"/>
  <c r="L474" i="3"/>
  <c r="L490" i="3"/>
  <c r="L257" i="3"/>
  <c r="L8" i="3"/>
  <c r="L471" i="3"/>
  <c r="L425" i="3"/>
  <c r="L501" i="3"/>
  <c r="L459" i="3"/>
  <c r="L465" i="3"/>
  <c r="L77" i="3"/>
  <c r="L111" i="3"/>
  <c r="L127" i="3"/>
  <c r="L143" i="3"/>
  <c r="L159" i="3"/>
  <c r="L175" i="3"/>
  <c r="L191" i="3"/>
  <c r="L207" i="3"/>
  <c r="L223" i="3"/>
  <c r="L239" i="3"/>
  <c r="L31" i="3"/>
  <c r="L95" i="3"/>
  <c r="L50" i="3"/>
  <c r="L473" i="3"/>
  <c r="L83" i="3"/>
  <c r="L24" i="3"/>
  <c r="L85" i="3"/>
  <c r="L120" i="3"/>
  <c r="L136" i="3"/>
  <c r="L152" i="3"/>
  <c r="L168" i="3"/>
  <c r="L51" i="3"/>
  <c r="L106" i="3"/>
  <c r="L73" i="3"/>
  <c r="L194" i="3"/>
  <c r="L212" i="3"/>
  <c r="L246" i="3"/>
  <c r="L184" i="3"/>
  <c r="L202" i="3"/>
  <c r="L236" i="3"/>
  <c r="L238" i="3"/>
  <c r="L263" i="3"/>
  <c r="L279" i="3"/>
  <c r="L272" i="3"/>
  <c r="L287" i="3"/>
  <c r="L303" i="3"/>
  <c r="L319" i="3"/>
  <c r="L335" i="3"/>
  <c r="L351" i="3"/>
  <c r="L367" i="3"/>
  <c r="L288" i="3"/>
  <c r="L304" i="3"/>
  <c r="L320" i="3"/>
  <c r="L336" i="3"/>
  <c r="L352" i="3"/>
  <c r="L368" i="3"/>
  <c r="L381" i="3"/>
  <c r="L397" i="3"/>
  <c r="L413" i="3"/>
  <c r="L392" i="3"/>
  <c r="L252" i="3"/>
  <c r="L428" i="3"/>
  <c r="L444" i="3"/>
  <c r="L460" i="3"/>
  <c r="L476" i="3"/>
  <c r="L492" i="3"/>
  <c r="L3" i="3"/>
  <c r="L10" i="3"/>
  <c r="L479" i="3"/>
  <c r="L445" i="3"/>
  <c r="L12" i="3"/>
  <c r="L467" i="3"/>
  <c r="L20" i="3"/>
  <c r="L84" i="3"/>
  <c r="L113" i="3"/>
  <c r="L129" i="3"/>
  <c r="L145" i="3"/>
  <c r="L161" i="3"/>
  <c r="L177" i="3"/>
  <c r="L193" i="3"/>
  <c r="L209" i="3"/>
  <c r="L225" i="3"/>
  <c r="L241" i="3"/>
  <c r="L39" i="3"/>
  <c r="L417" i="3"/>
  <c r="L56" i="3"/>
  <c r="L21" i="3"/>
  <c r="L90" i="3"/>
  <c r="L32" i="3"/>
  <c r="L92" i="3"/>
  <c r="L122" i="3"/>
  <c r="L138" i="3"/>
  <c r="L154" i="3"/>
  <c r="L170" i="3"/>
  <c r="L55" i="3"/>
  <c r="L481" i="3"/>
  <c r="L80" i="3"/>
  <c r="L210" i="3"/>
  <c r="L228" i="3"/>
  <c r="L250" i="3"/>
  <c r="L200" i="3"/>
  <c r="L218" i="3"/>
  <c r="L176" i="3"/>
  <c r="L240" i="3"/>
  <c r="L100" i="3"/>
  <c r="L37" i="3"/>
  <c r="L126" i="3"/>
  <c r="L71" i="3"/>
  <c r="L96" i="3"/>
  <c r="L208" i="3"/>
  <c r="L265" i="3"/>
  <c r="L258" i="3"/>
  <c r="L274" i="3"/>
  <c r="L289" i="3"/>
  <c r="L305" i="3"/>
  <c r="L321" i="3"/>
  <c r="L337" i="3"/>
  <c r="L353" i="3"/>
  <c r="L369" i="3"/>
  <c r="L290" i="3"/>
  <c r="L306" i="3"/>
  <c r="L322" i="3"/>
  <c r="L338" i="3"/>
  <c r="L354" i="3"/>
  <c r="L370" i="3"/>
  <c r="L383" i="3"/>
  <c r="L399" i="3"/>
  <c r="L415" i="3"/>
  <c r="L394" i="3"/>
  <c r="L408" i="3"/>
  <c r="L430" i="3"/>
  <c r="L446" i="3"/>
  <c r="L462" i="3"/>
  <c r="L478" i="3"/>
  <c r="L494" i="3"/>
  <c r="L5" i="3"/>
  <c r="L412" i="3"/>
  <c r="L487" i="3"/>
  <c r="L453" i="3"/>
  <c r="L14" i="3"/>
  <c r="L475" i="3"/>
  <c r="L28" i="3"/>
  <c r="L93" i="3"/>
  <c r="L115" i="3"/>
  <c r="L131" i="3"/>
  <c r="L147" i="3"/>
  <c r="L163" i="3"/>
  <c r="L179" i="3"/>
  <c r="L195" i="3"/>
  <c r="L211" i="3"/>
  <c r="L227" i="3"/>
  <c r="L243" i="3"/>
  <c r="L47" i="3"/>
  <c r="L449" i="3"/>
  <c r="L65" i="3"/>
  <c r="L29" i="3"/>
  <c r="L99" i="3"/>
  <c r="L40" i="3"/>
  <c r="L108" i="3"/>
  <c r="L124" i="3"/>
  <c r="L140" i="3"/>
  <c r="L156" i="3"/>
  <c r="L433" i="3"/>
  <c r="L62" i="3"/>
  <c r="L22" i="3"/>
  <c r="L89" i="3"/>
  <c r="L226" i="3"/>
  <c r="L244" i="3"/>
  <c r="L192" i="3"/>
  <c r="L216" i="3"/>
  <c r="L234" i="3"/>
  <c r="L41" i="3"/>
  <c r="L7" i="3"/>
  <c r="L149" i="3"/>
  <c r="L181" i="3"/>
  <c r="L213" i="3"/>
  <c r="L229" i="3"/>
  <c r="L54" i="3"/>
  <c r="L15" i="3"/>
  <c r="L102" i="3"/>
  <c r="L110" i="3"/>
  <c r="L142" i="3"/>
  <c r="L457" i="3"/>
  <c r="L30" i="3"/>
  <c r="L66" i="3"/>
  <c r="L267" i="3"/>
  <c r="L260" i="3"/>
  <c r="L276" i="3"/>
  <c r="L291" i="3"/>
  <c r="L307" i="3"/>
  <c r="L323" i="3"/>
  <c r="L339" i="3"/>
  <c r="L355" i="3"/>
  <c r="L371" i="3"/>
  <c r="L292" i="3"/>
  <c r="L308" i="3"/>
  <c r="L324" i="3"/>
  <c r="L340" i="3"/>
  <c r="L356" i="3"/>
  <c r="L372" i="3"/>
  <c r="L385" i="3"/>
  <c r="L401" i="3"/>
  <c r="L380" i="3"/>
  <c r="L396" i="3"/>
  <c r="L416" i="3"/>
  <c r="L432" i="3"/>
  <c r="L448" i="3"/>
  <c r="L464" i="3"/>
  <c r="L480" i="3"/>
  <c r="L496" i="3"/>
  <c r="L429" i="3"/>
  <c r="L495" i="3"/>
  <c r="L461" i="3"/>
  <c r="L431" i="3"/>
  <c r="L483" i="3"/>
  <c r="L36" i="3"/>
  <c r="L117" i="3"/>
  <c r="L133" i="3"/>
  <c r="L165" i="3"/>
  <c r="L197" i="3"/>
  <c r="L245" i="3"/>
  <c r="L72" i="3"/>
  <c r="L48" i="3"/>
  <c r="L158" i="3"/>
  <c r="L242" i="3"/>
  <c r="L269" i="3"/>
  <c r="L262" i="3"/>
  <c r="L278" i="3"/>
  <c r="L293" i="3"/>
  <c r="L309" i="3"/>
  <c r="L325" i="3"/>
  <c r="L341" i="3"/>
  <c r="L357" i="3"/>
  <c r="L373" i="3"/>
  <c r="L294" i="3"/>
  <c r="L310" i="3"/>
  <c r="L326" i="3"/>
  <c r="L342" i="3"/>
  <c r="L358" i="3"/>
  <c r="L374" i="3"/>
  <c r="L387" i="3"/>
  <c r="L403" i="3"/>
  <c r="L382" i="3"/>
  <c r="L398" i="3"/>
  <c r="L418" i="3"/>
  <c r="L434" i="3"/>
  <c r="L450" i="3"/>
  <c r="L466" i="3"/>
  <c r="L482" i="3"/>
  <c r="L498" i="3"/>
  <c r="L9" i="3"/>
  <c r="L439" i="3"/>
  <c r="L254" i="3"/>
  <c r="L469" i="3"/>
  <c r="L421" i="3"/>
  <c r="L491" i="3"/>
  <c r="L44" i="3"/>
  <c r="L101" i="3"/>
  <c r="L119" i="3"/>
  <c r="L135" i="3"/>
  <c r="L151" i="3"/>
  <c r="L167" i="3"/>
  <c r="L183" i="3"/>
  <c r="L199" i="3"/>
  <c r="L215" i="3"/>
  <c r="L231" i="3"/>
  <c r="L247" i="3"/>
  <c r="L63" i="3"/>
  <c r="L18" i="3"/>
  <c r="L81" i="3"/>
  <c r="L45" i="3"/>
  <c r="L2" i="3"/>
  <c r="L53" i="3"/>
  <c r="L112" i="3"/>
  <c r="L128" i="3"/>
  <c r="L144" i="3"/>
  <c r="L160" i="3"/>
  <c r="L19" i="3"/>
  <c r="L78" i="3"/>
  <c r="L38" i="3"/>
  <c r="L441" i="3"/>
  <c r="L75" i="3"/>
  <c r="L182" i="3"/>
  <c r="L224" i="3"/>
  <c r="L248" i="3"/>
  <c r="L172" i="3"/>
  <c r="L174" i="3"/>
  <c r="L378" i="3"/>
  <c r="L443" i="3"/>
  <c r="L155" i="3"/>
  <c r="L203" i="3"/>
  <c r="L489" i="3"/>
  <c r="L271" i="3"/>
  <c r="L264" i="3"/>
  <c r="L280" i="3"/>
  <c r="L295" i="3"/>
  <c r="L311" i="3"/>
  <c r="L327" i="3"/>
  <c r="L343" i="3"/>
  <c r="L359" i="3"/>
  <c r="L375" i="3"/>
  <c r="L296" i="3"/>
  <c r="L312" i="3"/>
  <c r="L328" i="3"/>
  <c r="L344" i="3"/>
  <c r="L360" i="3"/>
  <c r="L376" i="3"/>
  <c r="L389" i="3"/>
  <c r="L405" i="3"/>
  <c r="L384" i="3"/>
  <c r="L400" i="3"/>
  <c r="L420" i="3"/>
  <c r="L436" i="3"/>
  <c r="L452" i="3"/>
  <c r="L468" i="3"/>
  <c r="L484" i="3"/>
  <c r="L500" i="3"/>
  <c r="L410" i="3"/>
  <c r="L447" i="3"/>
  <c r="L419" i="3"/>
  <c r="L477" i="3"/>
  <c r="L437" i="3"/>
  <c r="L499" i="3"/>
  <c r="L52" i="3"/>
  <c r="L104" i="3"/>
  <c r="L121" i="3"/>
  <c r="L137" i="3"/>
  <c r="L153" i="3"/>
  <c r="L169" i="3"/>
  <c r="L185" i="3"/>
  <c r="L201" i="3"/>
  <c r="L217" i="3"/>
  <c r="L233" i="3"/>
  <c r="L249" i="3"/>
  <c r="L70" i="3"/>
  <c r="L26" i="3"/>
  <c r="L88" i="3"/>
  <c r="L58" i="3"/>
  <c r="L497" i="3"/>
  <c r="L60" i="3"/>
  <c r="L114" i="3"/>
  <c r="L130" i="3"/>
  <c r="L146" i="3"/>
  <c r="L162" i="3"/>
  <c r="L27" i="3"/>
  <c r="L87" i="3"/>
  <c r="L46" i="3"/>
  <c r="L25" i="3"/>
  <c r="L49" i="3"/>
  <c r="L198" i="3"/>
  <c r="L256" i="3"/>
  <c r="L13" i="3"/>
  <c r="L188" i="3"/>
  <c r="L190" i="3"/>
  <c r="L377" i="3"/>
  <c r="L454" i="3"/>
  <c r="L253" i="3"/>
  <c r="L4" i="3"/>
  <c r="L435" i="3"/>
  <c r="L485" i="3"/>
  <c r="L61" i="3"/>
  <c r="L107" i="3"/>
  <c r="L139" i="3"/>
  <c r="L171" i="3"/>
  <c r="L219" i="3"/>
  <c r="L79" i="3"/>
  <c r="L273" i="3"/>
  <c r="L266" i="3"/>
  <c r="L282" i="3"/>
  <c r="L297" i="3"/>
  <c r="L313" i="3"/>
  <c r="L329" i="3"/>
  <c r="L345" i="3"/>
  <c r="L361" i="3"/>
  <c r="L298" i="3"/>
  <c r="L314" i="3"/>
  <c r="L330" i="3"/>
  <c r="L346" i="3"/>
  <c r="L362" i="3"/>
  <c r="L391" i="3"/>
  <c r="L407" i="3"/>
  <c r="L386" i="3"/>
  <c r="L402" i="3"/>
  <c r="L422" i="3"/>
  <c r="L438" i="3"/>
  <c r="L470" i="3"/>
  <c r="L486" i="3"/>
  <c r="L455" i="3"/>
  <c r="L427" i="3"/>
  <c r="L123" i="3"/>
  <c r="L187" i="3"/>
  <c r="L235" i="3"/>
  <c r="L11" i="15"/>
  <c r="O11" i="15" s="1"/>
  <c r="Q11" i="15" s="1"/>
  <c r="S11" i="15" s="1"/>
  <c r="W12" i="15"/>
  <c r="L3" i="15"/>
  <c r="O3" i="15" s="1"/>
  <c r="Q3" i="15" s="1"/>
  <c r="S3" i="15" s="1"/>
  <c r="L4" i="15"/>
  <c r="O4" i="15" s="1"/>
  <c r="Q4" i="15" s="1"/>
  <c r="S4" i="15" s="1"/>
  <c r="L5" i="15"/>
  <c r="O5" i="15" s="1"/>
  <c r="Q5" i="15" s="1"/>
  <c r="S5" i="15" s="1"/>
  <c r="O12" i="15"/>
  <c r="Q12" i="15" s="1"/>
  <c r="S12" i="15" s="1"/>
  <c r="G80" i="15" s="1"/>
  <c r="L6" i="15"/>
  <c r="O6" i="15" s="1"/>
  <c r="Q6" i="15" s="1"/>
  <c r="S6" i="15" s="1"/>
  <c r="L10" i="15"/>
  <c r="O10" i="15" s="1"/>
  <c r="Q10" i="15" s="1"/>
  <c r="S10" i="15" s="1"/>
  <c r="L7" i="15"/>
  <c r="O7" i="15" s="1"/>
  <c r="Q7" i="15" s="1"/>
  <c r="S7" i="15" s="1"/>
  <c r="L8" i="15"/>
  <c r="O8" i="15" s="1"/>
  <c r="Q8" i="15" s="1"/>
  <c r="S8" i="15" s="1"/>
  <c r="L9" i="15"/>
  <c r="T9" i="15" s="1"/>
  <c r="J41" i="8"/>
  <c r="T41" i="8" s="1"/>
  <c r="J17" i="8"/>
  <c r="T17" i="8" s="1"/>
  <c r="D68" i="8" s="1"/>
  <c r="J32" i="8"/>
  <c r="T32" i="8" s="1"/>
  <c r="J52" i="8"/>
  <c r="T52" i="8" s="1"/>
  <c r="J23" i="8"/>
  <c r="T23" i="8" s="1"/>
  <c r="D74" i="8" s="1"/>
  <c r="J38" i="8"/>
  <c r="T38" i="8" s="1"/>
  <c r="J6" i="8"/>
  <c r="T6" i="8" s="1"/>
  <c r="D57" i="8" s="1"/>
  <c r="J25" i="8"/>
  <c r="T25" i="8" s="1"/>
  <c r="J45" i="8"/>
  <c r="T45" i="8" s="1"/>
  <c r="J28" i="8"/>
  <c r="T28" i="8" s="1"/>
  <c r="J51" i="8"/>
  <c r="T51" i="8" s="1"/>
  <c r="J19" i="8"/>
  <c r="T19" i="8" s="1"/>
  <c r="D70" i="8" s="1"/>
  <c r="J34" i="8"/>
  <c r="T34" i="8" s="1"/>
  <c r="N12" i="17"/>
  <c r="C12" i="17" s="1"/>
  <c r="I12" i="17" s="1"/>
  <c r="J9" i="8"/>
  <c r="T9" i="8" s="1"/>
  <c r="D60" i="8" s="1"/>
  <c r="J29" i="8"/>
  <c r="T29" i="8" s="1"/>
  <c r="J24" i="8"/>
  <c r="T24" i="8" s="1"/>
  <c r="J47" i="8"/>
  <c r="T47" i="8" s="1"/>
  <c r="J15" i="8"/>
  <c r="T15" i="8" s="1"/>
  <c r="D66" i="8" s="1"/>
  <c r="J30" i="8"/>
  <c r="T30" i="8" s="1"/>
  <c r="J37" i="8"/>
  <c r="T37" i="8" s="1"/>
  <c r="J13" i="8"/>
  <c r="T13" i="8" s="1"/>
  <c r="D64" i="8" s="1"/>
  <c r="J20" i="8"/>
  <c r="T20" i="8" s="1"/>
  <c r="D71" i="8" s="1"/>
  <c r="J43" i="8"/>
  <c r="T43" i="8" s="1"/>
  <c r="J11" i="8"/>
  <c r="T11" i="8" s="1"/>
  <c r="D62" i="8" s="1"/>
  <c r="J26" i="8"/>
  <c r="T26" i="8" s="1"/>
  <c r="AD48" i="13"/>
  <c r="AE48" i="13" s="1"/>
  <c r="J21" i="8"/>
  <c r="T21" i="8" s="1"/>
  <c r="D72" i="8" s="1"/>
  <c r="J48" i="8"/>
  <c r="T48" i="8" s="1"/>
  <c r="J16" i="8"/>
  <c r="T16" i="8" s="1"/>
  <c r="D67" i="8" s="1"/>
  <c r="J39" i="8"/>
  <c r="T39" i="8" s="1"/>
  <c r="J7" i="8"/>
  <c r="T7" i="8" s="1"/>
  <c r="D58" i="8" s="1"/>
  <c r="J22" i="8"/>
  <c r="T22" i="8" s="1"/>
  <c r="D73" i="8" s="1"/>
  <c r="AA48" i="13"/>
  <c r="AA28" i="13" s="1"/>
  <c r="J5" i="8"/>
  <c r="T5" i="8" s="1"/>
  <c r="D56" i="8" s="1"/>
  <c r="J44" i="8"/>
  <c r="T44" i="8" s="1"/>
  <c r="J12" i="8"/>
  <c r="T12" i="8" s="1"/>
  <c r="D63" i="8" s="1"/>
  <c r="J35" i="8"/>
  <c r="T35" i="8" s="1"/>
  <c r="J50" i="8"/>
  <c r="T50" i="8" s="1"/>
  <c r="K251" i="3"/>
  <c r="N63" i="5"/>
  <c r="L16" i="14"/>
  <c r="L18" i="14"/>
  <c r="L20" i="14"/>
  <c r="L22" i="14"/>
  <c r="L23" i="14"/>
  <c r="L15" i="14"/>
  <c r="L17" i="14"/>
  <c r="L19" i="14"/>
  <c r="L21" i="14"/>
  <c r="G13" i="17"/>
  <c r="E13" i="17"/>
  <c r="N11" i="15"/>
  <c r="P11" i="15" s="1"/>
  <c r="R11" i="15" s="1"/>
  <c r="AB13" i="13"/>
  <c r="AB18" i="13"/>
  <c r="AB28" i="13"/>
  <c r="AB43" i="13"/>
  <c r="AB33" i="13"/>
  <c r="AB8" i="13"/>
  <c r="AB23" i="13"/>
  <c r="AB38" i="13"/>
  <c r="B5" i="17"/>
  <c r="N3" i="15"/>
  <c r="P3" i="15" s="1"/>
  <c r="R3" i="15" s="1"/>
  <c r="W9" i="13"/>
  <c r="W17" i="13"/>
  <c r="W25" i="13"/>
  <c r="W33" i="13"/>
  <c r="W41" i="13"/>
  <c r="X41" i="13" s="1"/>
  <c r="E409" i="13" s="1"/>
  <c r="W10" i="13"/>
  <c r="X10" i="13" s="1"/>
  <c r="W18" i="13"/>
  <c r="X18" i="13" s="1"/>
  <c r="W26" i="13"/>
  <c r="X26" i="13" s="1"/>
  <c r="W34" i="13"/>
  <c r="X34" i="13" s="1"/>
  <c r="W42" i="13"/>
  <c r="X42" i="13" s="1"/>
  <c r="W11" i="13"/>
  <c r="W19" i="13"/>
  <c r="W27" i="13"/>
  <c r="W35" i="13"/>
  <c r="W43" i="13"/>
  <c r="X43" i="13" s="1"/>
  <c r="W4" i="13"/>
  <c r="X4" i="13" s="1"/>
  <c r="W12" i="13"/>
  <c r="X12" i="13" s="1"/>
  <c r="W20" i="13"/>
  <c r="X20" i="13" s="1"/>
  <c r="W28" i="13"/>
  <c r="X28" i="13" s="1"/>
  <c r="W36" i="13"/>
  <c r="X36" i="13" s="1"/>
  <c r="W44" i="13"/>
  <c r="X44" i="13" s="1"/>
  <c r="W5" i="13"/>
  <c r="W13" i="13"/>
  <c r="W21" i="13"/>
  <c r="W29" i="13"/>
  <c r="W37" i="13"/>
  <c r="W45" i="13"/>
  <c r="X45" i="13" s="1"/>
  <c r="W6" i="13"/>
  <c r="X6" i="13" s="1"/>
  <c r="W14" i="13"/>
  <c r="X14" i="13" s="1"/>
  <c r="W22" i="13"/>
  <c r="X22" i="13" s="1"/>
  <c r="W30" i="13"/>
  <c r="X30" i="13" s="1"/>
  <c r="W38" i="13"/>
  <c r="X38" i="13" s="1"/>
  <c r="W46" i="13"/>
  <c r="X46" i="13" s="1"/>
  <c r="W7" i="13"/>
  <c r="W15" i="13"/>
  <c r="W23" i="13"/>
  <c r="W31" i="13"/>
  <c r="W39" i="13"/>
  <c r="X39" i="13" s="1"/>
  <c r="W47" i="13"/>
  <c r="X47" i="13" s="1"/>
  <c r="W8" i="13"/>
  <c r="X8" i="13" s="1"/>
  <c r="W16" i="13"/>
  <c r="X16" i="13" s="1"/>
  <c r="W24" i="13"/>
  <c r="X24" i="13" s="1"/>
  <c r="W32" i="13"/>
  <c r="X32" i="13" s="1"/>
  <c r="W40" i="13"/>
  <c r="X40" i="13" s="1"/>
  <c r="X48" i="13"/>
  <c r="B10" i="17"/>
  <c r="U5" i="13"/>
  <c r="V5" i="13" s="1"/>
  <c r="U13" i="13"/>
  <c r="V13" i="13" s="1"/>
  <c r="U21" i="13"/>
  <c r="V21" i="13" s="1"/>
  <c r="U29" i="13"/>
  <c r="V29" i="13" s="1"/>
  <c r="U37" i="13"/>
  <c r="V37" i="13" s="1"/>
  <c r="U45" i="13"/>
  <c r="V45" i="13" s="1"/>
  <c r="U6" i="13"/>
  <c r="V6" i="13" s="1"/>
  <c r="U14" i="13"/>
  <c r="V14" i="13" s="1"/>
  <c r="U22" i="13"/>
  <c r="V22" i="13" s="1"/>
  <c r="U30" i="13"/>
  <c r="V30" i="13" s="1"/>
  <c r="U38" i="13"/>
  <c r="V38" i="13" s="1"/>
  <c r="U46" i="13"/>
  <c r="V46" i="13" s="1"/>
  <c r="U7" i="13"/>
  <c r="V7" i="13" s="1"/>
  <c r="U15" i="13"/>
  <c r="V15" i="13" s="1"/>
  <c r="U23" i="13"/>
  <c r="V23" i="13" s="1"/>
  <c r="U31" i="13"/>
  <c r="V31" i="13" s="1"/>
  <c r="U39" i="13"/>
  <c r="V39" i="13" s="1"/>
  <c r="U47" i="13"/>
  <c r="V47" i="13" s="1"/>
  <c r="U8" i="13"/>
  <c r="V8" i="13" s="1"/>
  <c r="U16" i="13"/>
  <c r="V16" i="13" s="1"/>
  <c r="U24" i="13"/>
  <c r="V24" i="13" s="1"/>
  <c r="U32" i="13"/>
  <c r="V32" i="13" s="1"/>
  <c r="U40" i="13"/>
  <c r="V40" i="13" s="1"/>
  <c r="U9" i="13"/>
  <c r="V9" i="13" s="1"/>
  <c r="U17" i="13"/>
  <c r="V17" i="13" s="1"/>
  <c r="U25" i="13"/>
  <c r="V25" i="13" s="1"/>
  <c r="U33" i="13"/>
  <c r="V33" i="13" s="1"/>
  <c r="U41" i="13"/>
  <c r="V41" i="13" s="1"/>
  <c r="U10" i="13"/>
  <c r="V10" i="13" s="1"/>
  <c r="U18" i="13"/>
  <c r="V18" i="13" s="1"/>
  <c r="U26" i="13"/>
  <c r="V26" i="13" s="1"/>
  <c r="U34" i="13"/>
  <c r="V34" i="13" s="1"/>
  <c r="U42" i="13"/>
  <c r="V42" i="13" s="1"/>
  <c r="U11" i="13"/>
  <c r="V11" i="13" s="1"/>
  <c r="U19" i="13"/>
  <c r="V19" i="13" s="1"/>
  <c r="U27" i="13"/>
  <c r="V27" i="13" s="1"/>
  <c r="U35" i="13"/>
  <c r="V35" i="13" s="1"/>
  <c r="U43" i="13"/>
  <c r="V43" i="13" s="1"/>
  <c r="U28" i="13"/>
  <c r="V28" i="13" s="1"/>
  <c r="U36" i="13"/>
  <c r="V36" i="13" s="1"/>
  <c r="U44" i="13"/>
  <c r="V44" i="13" s="1"/>
  <c r="U4" i="13"/>
  <c r="V4" i="13" s="1"/>
  <c r="U12" i="13"/>
  <c r="V12" i="13" s="1"/>
  <c r="U20" i="13"/>
  <c r="V20" i="13" s="1"/>
  <c r="V48" i="13"/>
  <c r="N10" i="15"/>
  <c r="P10" i="15" s="1"/>
  <c r="R10" i="15" s="1"/>
  <c r="B8" i="17"/>
  <c r="N8" i="15"/>
  <c r="P8" i="15" s="1"/>
  <c r="R8" i="15" s="1"/>
  <c r="U4" i="14"/>
  <c r="U6" i="14"/>
  <c r="U8" i="14"/>
  <c r="U10" i="14"/>
  <c r="U12" i="14"/>
  <c r="U14" i="14"/>
  <c r="U16" i="14"/>
  <c r="U18" i="14"/>
  <c r="U20" i="14"/>
  <c r="U22" i="14"/>
  <c r="U24" i="14"/>
  <c r="U26" i="14"/>
  <c r="U28" i="14"/>
  <c r="U30" i="14"/>
  <c r="U32" i="14"/>
  <c r="U34" i="14"/>
  <c r="U36" i="14"/>
  <c r="U38" i="14"/>
  <c r="U40" i="14"/>
  <c r="U42" i="14"/>
  <c r="U44" i="14"/>
  <c r="U46" i="14"/>
  <c r="U48" i="14"/>
  <c r="U50" i="14"/>
  <c r="U52" i="14"/>
  <c r="U54" i="14"/>
  <c r="U56" i="14"/>
  <c r="U58" i="14"/>
  <c r="U60" i="14"/>
  <c r="U62" i="14"/>
  <c r="U64" i="14"/>
  <c r="U66" i="14"/>
  <c r="U68" i="14"/>
  <c r="U70" i="14"/>
  <c r="U72" i="14"/>
  <c r="U74" i="14"/>
  <c r="U76" i="14"/>
  <c r="U78" i="14"/>
  <c r="U80" i="14"/>
  <c r="U82" i="14"/>
  <c r="U84" i="14"/>
  <c r="U86" i="14"/>
  <c r="U88" i="14"/>
  <c r="U90" i="14"/>
  <c r="U92" i="14"/>
  <c r="U94" i="14"/>
  <c r="U96" i="14"/>
  <c r="U98" i="14"/>
  <c r="U100" i="14"/>
  <c r="U3" i="14"/>
  <c r="U5" i="14"/>
  <c r="U7" i="14"/>
  <c r="U9" i="14"/>
  <c r="U11" i="14"/>
  <c r="U13" i="14"/>
  <c r="U15" i="14"/>
  <c r="U17" i="14"/>
  <c r="U19" i="14"/>
  <c r="U21" i="14"/>
  <c r="U23" i="14"/>
  <c r="U25" i="14"/>
  <c r="U27" i="14"/>
  <c r="U29" i="14"/>
  <c r="U31" i="14"/>
  <c r="U33" i="14"/>
  <c r="U35" i="14"/>
  <c r="U37" i="14"/>
  <c r="U39" i="14"/>
  <c r="U41" i="14"/>
  <c r="U43" i="14"/>
  <c r="U45" i="14"/>
  <c r="U47" i="14"/>
  <c r="U49" i="14"/>
  <c r="U51" i="14"/>
  <c r="U53" i="14"/>
  <c r="U55" i="14"/>
  <c r="U57" i="14"/>
  <c r="U59" i="14"/>
  <c r="U61" i="14"/>
  <c r="U63" i="14"/>
  <c r="U65" i="14"/>
  <c r="U67" i="14"/>
  <c r="U69" i="14"/>
  <c r="U71" i="14"/>
  <c r="U73" i="14"/>
  <c r="U75" i="14"/>
  <c r="U77" i="14"/>
  <c r="U79" i="14"/>
  <c r="U81" i="14"/>
  <c r="U83" i="14"/>
  <c r="U85" i="14"/>
  <c r="U87" i="14"/>
  <c r="U89" i="14"/>
  <c r="U91" i="14"/>
  <c r="U93" i="14"/>
  <c r="U95" i="14"/>
  <c r="U97" i="14"/>
  <c r="U99" i="14"/>
  <c r="U101" i="14"/>
  <c r="B7" i="17"/>
  <c r="O7" i="17"/>
  <c r="B6" i="17"/>
  <c r="V4" i="14"/>
  <c r="V6" i="14"/>
  <c r="V8" i="14"/>
  <c r="V10" i="14"/>
  <c r="V12" i="14"/>
  <c r="V14" i="14"/>
  <c r="V16" i="14"/>
  <c r="V18" i="14"/>
  <c r="V20" i="14"/>
  <c r="V22" i="14"/>
  <c r="V24" i="14"/>
  <c r="V26" i="14"/>
  <c r="V28" i="14"/>
  <c r="V30" i="14"/>
  <c r="V32" i="14"/>
  <c r="V34" i="14"/>
  <c r="V36" i="14"/>
  <c r="V38" i="14"/>
  <c r="V40" i="14"/>
  <c r="V42" i="14"/>
  <c r="V44" i="14"/>
  <c r="V46" i="14"/>
  <c r="V48" i="14"/>
  <c r="V50" i="14"/>
  <c r="V52" i="14"/>
  <c r="V54" i="14"/>
  <c r="V56" i="14"/>
  <c r="V58" i="14"/>
  <c r="V60" i="14"/>
  <c r="V62" i="14"/>
  <c r="V64" i="14"/>
  <c r="V66" i="14"/>
  <c r="V68" i="14"/>
  <c r="V70" i="14"/>
  <c r="V72" i="14"/>
  <c r="V74" i="14"/>
  <c r="V76" i="14"/>
  <c r="V78" i="14"/>
  <c r="V80" i="14"/>
  <c r="V82" i="14"/>
  <c r="V84" i="14"/>
  <c r="V86" i="14"/>
  <c r="V88" i="14"/>
  <c r="V90" i="14"/>
  <c r="V92" i="14"/>
  <c r="V94" i="14"/>
  <c r="V96" i="14"/>
  <c r="V98" i="14"/>
  <c r="V100" i="14"/>
  <c r="V3" i="14"/>
  <c r="V5" i="14"/>
  <c r="V7" i="14"/>
  <c r="V9" i="14"/>
  <c r="V11" i="14"/>
  <c r="V13" i="14"/>
  <c r="V15" i="14"/>
  <c r="V17" i="14"/>
  <c r="V19" i="14"/>
  <c r="V21" i="14"/>
  <c r="V23" i="14"/>
  <c r="V25" i="14"/>
  <c r="V27" i="14"/>
  <c r="V29" i="14"/>
  <c r="V31" i="14"/>
  <c r="V33" i="14"/>
  <c r="V35" i="14"/>
  <c r="V37" i="14"/>
  <c r="V39" i="14"/>
  <c r="V41" i="14"/>
  <c r="V43" i="14"/>
  <c r="V45" i="14"/>
  <c r="V47" i="14"/>
  <c r="V49" i="14"/>
  <c r="V51" i="14"/>
  <c r="V53" i="14"/>
  <c r="V55" i="14"/>
  <c r="V57" i="14"/>
  <c r="V59" i="14"/>
  <c r="V61" i="14"/>
  <c r="V63" i="14"/>
  <c r="V65" i="14"/>
  <c r="V67" i="14"/>
  <c r="V69" i="14"/>
  <c r="V71" i="14"/>
  <c r="V73" i="14"/>
  <c r="V75" i="14"/>
  <c r="V77" i="14"/>
  <c r="V79" i="14"/>
  <c r="V81" i="14"/>
  <c r="V83" i="14"/>
  <c r="V85" i="14"/>
  <c r="V87" i="14"/>
  <c r="V89" i="14"/>
  <c r="V91" i="14"/>
  <c r="V93" i="14"/>
  <c r="V95" i="14"/>
  <c r="V97" i="14"/>
  <c r="V99" i="14"/>
  <c r="V101" i="14"/>
  <c r="N7" i="15"/>
  <c r="P7" i="15" s="1"/>
  <c r="R7" i="15" s="1"/>
  <c r="AC28" i="13"/>
  <c r="AC43" i="13"/>
  <c r="AC18" i="13"/>
  <c r="AC33" i="13"/>
  <c r="AC8" i="13"/>
  <c r="AC23" i="13"/>
  <c r="AC38" i="13"/>
  <c r="AC13" i="13"/>
  <c r="B4" i="17"/>
  <c r="B11" i="17"/>
  <c r="N6" i="15"/>
  <c r="P6" i="15" s="1"/>
  <c r="R6" i="15" s="1"/>
  <c r="J4" i="14"/>
  <c r="W102" i="14"/>
  <c r="J5" i="14"/>
  <c r="J6" i="14"/>
  <c r="J24" i="14"/>
  <c r="J7" i="14"/>
  <c r="J8" i="14"/>
  <c r="J9" i="14"/>
  <c r="J10" i="14"/>
  <c r="J3" i="14"/>
  <c r="J11" i="14"/>
  <c r="B9" i="17"/>
  <c r="F7" i="17"/>
  <c r="I7" i="17"/>
  <c r="N5" i="15"/>
  <c r="P5" i="15" s="1"/>
  <c r="R5" i="15" s="1"/>
  <c r="B12" i="17"/>
  <c r="N4" i="15"/>
  <c r="P4" i="15" s="1"/>
  <c r="R4" i="15" s="1"/>
  <c r="P21" i="6"/>
  <c r="P6" i="6"/>
  <c r="P10" i="6"/>
  <c r="P15" i="6"/>
  <c r="P19" i="6"/>
  <c r="O23" i="6"/>
  <c r="P3" i="6"/>
  <c r="P7" i="6"/>
  <c r="P11" i="6"/>
  <c r="P16" i="6"/>
  <c r="P20" i="6"/>
  <c r="P4" i="6"/>
  <c r="P8" i="6"/>
  <c r="P12" i="6"/>
  <c r="P17" i="6"/>
  <c r="P5" i="6"/>
  <c r="P9" i="6"/>
  <c r="P14" i="6"/>
  <c r="P18" i="6"/>
  <c r="P22" i="6"/>
  <c r="H9" i="10"/>
  <c r="W7" i="8"/>
  <c r="D109" i="8" s="1"/>
  <c r="AS13" i="7"/>
  <c r="AX13" i="7"/>
  <c r="AL13" i="7"/>
  <c r="AS22" i="7"/>
  <c r="AL22" i="7"/>
  <c r="AX22" i="7"/>
  <c r="AS6" i="7"/>
  <c r="AL6" i="7"/>
  <c r="AX6" i="7"/>
  <c r="Q5" i="12"/>
  <c r="S5" i="12" s="1"/>
  <c r="T5" i="12"/>
  <c r="Q27" i="12"/>
  <c r="S27" i="12" s="1"/>
  <c r="T27" i="12"/>
  <c r="Q25" i="12"/>
  <c r="S25" i="12" s="1"/>
  <c r="T25" i="12"/>
  <c r="Q31" i="12"/>
  <c r="S31" i="12" s="1"/>
  <c r="T31" i="12"/>
  <c r="AG15" i="9"/>
  <c r="AJ15" i="9"/>
  <c r="D161" i="11"/>
  <c r="D231" i="11"/>
  <c r="D191" i="11"/>
  <c r="D221" i="11"/>
  <c r="D181" i="11"/>
  <c r="D141" i="11"/>
  <c r="D211" i="11"/>
  <c r="D171" i="11"/>
  <c r="D241" i="11"/>
  <c r="D131" i="11"/>
  <c r="D201" i="11"/>
  <c r="D151" i="11"/>
  <c r="R3" i="6"/>
  <c r="R4" i="6"/>
  <c r="R5" i="6"/>
  <c r="R6" i="6"/>
  <c r="R7" i="6"/>
  <c r="R8" i="6"/>
  <c r="R9" i="6"/>
  <c r="R10" i="6"/>
  <c r="R11" i="6"/>
  <c r="R12" i="6"/>
  <c r="R14" i="6"/>
  <c r="R15" i="6"/>
  <c r="R16" i="6"/>
  <c r="R17" i="6"/>
  <c r="R18" i="6"/>
  <c r="R19" i="6"/>
  <c r="R20" i="6"/>
  <c r="R22" i="6"/>
  <c r="R21" i="6"/>
  <c r="Q23" i="6"/>
  <c r="H8" i="10"/>
  <c r="AS27" i="7"/>
  <c r="AL27" i="7"/>
  <c r="AX27" i="7"/>
  <c r="AS11" i="7"/>
  <c r="AL11" i="7"/>
  <c r="AX11" i="7"/>
  <c r="AL20" i="7"/>
  <c r="AX20" i="7"/>
  <c r="AS20" i="7"/>
  <c r="AL4" i="7"/>
  <c r="AX4" i="7"/>
  <c r="AS4" i="7"/>
  <c r="T36" i="12"/>
  <c r="Q36" i="12"/>
  <c r="S36" i="12" s="1"/>
  <c r="Q19" i="12"/>
  <c r="S19" i="12" s="1"/>
  <c r="T19" i="12"/>
  <c r="Q17" i="12"/>
  <c r="S17" i="12" s="1"/>
  <c r="T17" i="12"/>
  <c r="Q23" i="12"/>
  <c r="S23" i="12" s="1"/>
  <c r="T23" i="12"/>
  <c r="AL14" i="9"/>
  <c r="D318" i="9" s="1"/>
  <c r="H6" i="10"/>
  <c r="D234" i="11"/>
  <c r="D194" i="11"/>
  <c r="D144" i="11"/>
  <c r="D154" i="11"/>
  <c r="D224" i="11"/>
  <c r="D184" i="11"/>
  <c r="D204" i="11"/>
  <c r="D164" i="11"/>
  <c r="D174" i="11"/>
  <c r="D124" i="11"/>
  <c r="D134" i="11"/>
  <c r="D214" i="11"/>
  <c r="U5" i="7"/>
  <c r="U7" i="7"/>
  <c r="U9" i="7"/>
  <c r="U11" i="7"/>
  <c r="U13" i="7"/>
  <c r="U15" i="7"/>
  <c r="U17" i="7"/>
  <c r="U19" i="7"/>
  <c r="U21" i="7"/>
  <c r="U23" i="7"/>
  <c r="U25" i="7"/>
  <c r="U27" i="7"/>
  <c r="T29" i="7"/>
  <c r="U3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AV29" i="7"/>
  <c r="BA29" i="7"/>
  <c r="AO29" i="7"/>
  <c r="S3" i="7"/>
  <c r="S4" i="7"/>
  <c r="S6" i="7"/>
  <c r="S8" i="7"/>
  <c r="S10" i="7"/>
  <c r="S12" i="7"/>
  <c r="S14" i="7"/>
  <c r="S16" i="7"/>
  <c r="S18" i="7"/>
  <c r="S20" i="7"/>
  <c r="S22" i="7"/>
  <c r="S24" i="7"/>
  <c r="S26" i="7"/>
  <c r="S28" i="7"/>
  <c r="R29" i="7"/>
  <c r="S5" i="7"/>
  <c r="S13" i="7"/>
  <c r="S21" i="7"/>
  <c r="S11" i="7"/>
  <c r="S19" i="7"/>
  <c r="S27" i="7"/>
  <c r="S9" i="7"/>
  <c r="S17" i="7"/>
  <c r="S25" i="7"/>
  <c r="S7" i="7"/>
  <c r="S15" i="7"/>
  <c r="S23" i="7"/>
  <c r="D207" i="11"/>
  <c r="D167" i="11"/>
  <c r="D237" i="11"/>
  <c r="D197" i="11"/>
  <c r="D147" i="11"/>
  <c r="D227" i="11"/>
  <c r="D187" i="11"/>
  <c r="D157" i="11"/>
  <c r="D177" i="11"/>
  <c r="D127" i="11"/>
  <c r="D137" i="11"/>
  <c r="D217" i="11"/>
  <c r="T3" i="6"/>
  <c r="T4" i="6"/>
  <c r="T5" i="6"/>
  <c r="T6" i="6"/>
  <c r="T7" i="6"/>
  <c r="T8" i="6"/>
  <c r="T9" i="6"/>
  <c r="T10" i="6"/>
  <c r="T11" i="6"/>
  <c r="T12" i="6"/>
  <c r="T14" i="6"/>
  <c r="T15" i="6"/>
  <c r="T16" i="6"/>
  <c r="T17" i="6"/>
  <c r="T18" i="6"/>
  <c r="T19" i="6"/>
  <c r="T20" i="6"/>
  <c r="T22" i="6"/>
  <c r="T21" i="6"/>
  <c r="S23" i="6"/>
  <c r="H7" i="10"/>
  <c r="AM19" i="9"/>
  <c r="E323" i="9" s="1"/>
  <c r="AL25" i="7"/>
  <c r="AX25" i="7"/>
  <c r="AS25" i="7"/>
  <c r="AL9" i="7"/>
  <c r="AX9" i="7"/>
  <c r="AS9" i="7"/>
  <c r="AL18" i="7"/>
  <c r="AX18" i="7"/>
  <c r="AS18" i="7"/>
  <c r="AS3" i="7"/>
  <c r="AL3" i="7"/>
  <c r="AX3" i="7"/>
  <c r="T4" i="12"/>
  <c r="V4" i="12" s="1"/>
  <c r="Q4" i="12"/>
  <c r="S4" i="12" s="1"/>
  <c r="Q11" i="12"/>
  <c r="S11" i="12" s="1"/>
  <c r="T11" i="12"/>
  <c r="Q9" i="12"/>
  <c r="S9" i="12" s="1"/>
  <c r="T9" i="12"/>
  <c r="T15" i="12"/>
  <c r="Q15" i="12"/>
  <c r="S15" i="12" s="1"/>
  <c r="O3" i="7"/>
  <c r="O5" i="7"/>
  <c r="O7" i="7"/>
  <c r="O9" i="7"/>
  <c r="O11" i="7"/>
  <c r="O13" i="7"/>
  <c r="O15" i="7"/>
  <c r="O17" i="7"/>
  <c r="O19" i="7"/>
  <c r="O21" i="7"/>
  <c r="O23" i="7"/>
  <c r="O25" i="7"/>
  <c r="O27" i="7"/>
  <c r="N29" i="7"/>
  <c r="O8" i="7"/>
  <c r="O16" i="7"/>
  <c r="O24" i="7"/>
  <c r="O6" i="7"/>
  <c r="O14" i="7"/>
  <c r="O22" i="7"/>
  <c r="O4" i="7"/>
  <c r="O12" i="7"/>
  <c r="O20" i="7"/>
  <c r="O28" i="7"/>
  <c r="O10" i="7"/>
  <c r="O18" i="7"/>
  <c r="O26" i="7"/>
  <c r="AU29" i="7"/>
  <c r="AF29" i="7"/>
  <c r="AN29" i="7"/>
  <c r="AZ29" i="7"/>
  <c r="AS16" i="7"/>
  <c r="AL16" i="7"/>
  <c r="AX16" i="7"/>
  <c r="J39" i="12"/>
  <c r="J279" i="12"/>
  <c r="J199" i="12"/>
  <c r="J319" i="12"/>
  <c r="J119" i="12"/>
  <c r="J239" i="12"/>
  <c r="J359" i="12"/>
  <c r="J79" i="12"/>
  <c r="J159" i="12"/>
  <c r="Q34" i="12"/>
  <c r="S34" i="12" s="1"/>
  <c r="T34" i="12"/>
  <c r="Q4" i="7"/>
  <c r="Q6" i="7"/>
  <c r="Q8" i="7"/>
  <c r="Q10" i="7"/>
  <c r="Q12" i="7"/>
  <c r="Q14" i="7"/>
  <c r="Q16" i="7"/>
  <c r="Q18" i="7"/>
  <c r="Q20" i="7"/>
  <c r="Q22" i="7"/>
  <c r="Q24" i="7"/>
  <c r="Q26" i="7"/>
  <c r="Q28" i="7"/>
  <c r="Q3" i="7"/>
  <c r="P29" i="7"/>
  <c r="Q5" i="7"/>
  <c r="Q7" i="7"/>
  <c r="Q9" i="7"/>
  <c r="Q11" i="7"/>
  <c r="Q13" i="7"/>
  <c r="Q15" i="7"/>
  <c r="Q17" i="7"/>
  <c r="Q19" i="7"/>
  <c r="Q21" i="7"/>
  <c r="Q23" i="7"/>
  <c r="Q25" i="7"/>
  <c r="Q27" i="7"/>
  <c r="D235" i="11"/>
  <c r="D195" i="11"/>
  <c r="D145" i="11"/>
  <c r="D155" i="11"/>
  <c r="D225" i="11"/>
  <c r="D185" i="11"/>
  <c r="D215" i="11"/>
  <c r="D175" i="11"/>
  <c r="D135" i="11"/>
  <c r="D125" i="11"/>
  <c r="D205" i="11"/>
  <c r="D165" i="11"/>
  <c r="H5" i="10"/>
  <c r="H7" i="11"/>
  <c r="D206" i="11"/>
  <c r="D166" i="11"/>
  <c r="D236" i="11"/>
  <c r="D196" i="11"/>
  <c r="D146" i="11"/>
  <c r="D156" i="11"/>
  <c r="D216" i="11"/>
  <c r="D176" i="11"/>
  <c r="D136" i="11"/>
  <c r="D126" i="11"/>
  <c r="D226" i="11"/>
  <c r="D186" i="11"/>
  <c r="M5" i="10"/>
  <c r="H14" i="10"/>
  <c r="H24" i="10"/>
  <c r="H4" i="10"/>
  <c r="W19" i="8"/>
  <c r="D121" i="8" s="1"/>
  <c r="AS19" i="7"/>
  <c r="AL19" i="7"/>
  <c r="AX19" i="7"/>
  <c r="AL28" i="7"/>
  <c r="AX28" i="7"/>
  <c r="AS28" i="7"/>
  <c r="AL12" i="7"/>
  <c r="AX12" i="7"/>
  <c r="AS12" i="7"/>
  <c r="Q13" i="12"/>
  <c r="S13" i="12" s="1"/>
  <c r="T13" i="12"/>
  <c r="Q21" i="12"/>
  <c r="S21" i="12" s="1"/>
  <c r="T21" i="12"/>
  <c r="Q18" i="12"/>
  <c r="S18" i="12" s="1"/>
  <c r="T18" i="12"/>
  <c r="Q16" i="12"/>
  <c r="S16" i="12" s="1"/>
  <c r="T16" i="12"/>
  <c r="Q22" i="12"/>
  <c r="S22" i="12" s="1"/>
  <c r="T22" i="12"/>
  <c r="H6" i="8"/>
  <c r="H14" i="8"/>
  <c r="H22" i="8"/>
  <c r="H30" i="8"/>
  <c r="Q30" i="8" s="1"/>
  <c r="H38" i="8"/>
  <c r="Q38" i="8" s="1"/>
  <c r="H46" i="8"/>
  <c r="Q46" i="8" s="1"/>
  <c r="H7" i="8"/>
  <c r="Q7" i="8" s="1"/>
  <c r="D7" i="8" s="1"/>
  <c r="H15" i="8"/>
  <c r="Q15" i="8" s="1"/>
  <c r="D15" i="8" s="1"/>
  <c r="H23" i="8"/>
  <c r="Q23" i="8" s="1"/>
  <c r="D23" i="8" s="1"/>
  <c r="H31" i="8"/>
  <c r="Q31" i="8" s="1"/>
  <c r="H39" i="8"/>
  <c r="Q39" i="8" s="1"/>
  <c r="H47" i="8"/>
  <c r="Q47" i="8" s="1"/>
  <c r="H8" i="8"/>
  <c r="H16" i="8"/>
  <c r="H24" i="8"/>
  <c r="Q24" i="8" s="1"/>
  <c r="H32" i="8"/>
  <c r="Q32" i="8" s="1"/>
  <c r="H40" i="8"/>
  <c r="Q40" i="8" s="1"/>
  <c r="H48" i="8"/>
  <c r="Q48" i="8" s="1"/>
  <c r="H9" i="8"/>
  <c r="H17" i="8"/>
  <c r="H25" i="8"/>
  <c r="Q25" i="8" s="1"/>
  <c r="H33" i="8"/>
  <c r="Q33" i="8" s="1"/>
  <c r="H41" i="8"/>
  <c r="Q41" i="8" s="1"/>
  <c r="H49" i="8"/>
  <c r="Q49" i="8" s="1"/>
  <c r="H10" i="8"/>
  <c r="H18" i="8"/>
  <c r="H26" i="8"/>
  <c r="Q26" i="8" s="1"/>
  <c r="H34" i="8"/>
  <c r="Q34" i="8" s="1"/>
  <c r="H42" i="8"/>
  <c r="Q42" i="8" s="1"/>
  <c r="H50" i="8"/>
  <c r="Q50" i="8" s="1"/>
  <c r="H11" i="8"/>
  <c r="Q11" i="8" s="1"/>
  <c r="D11" i="8" s="1"/>
  <c r="H19" i="8"/>
  <c r="Q19" i="8" s="1"/>
  <c r="D19" i="8" s="1"/>
  <c r="H27" i="8"/>
  <c r="Q27" i="8" s="1"/>
  <c r="H35" i="8"/>
  <c r="Q35" i="8" s="1"/>
  <c r="H43" i="8"/>
  <c r="Q43" i="8" s="1"/>
  <c r="H51" i="8"/>
  <c r="Q51" i="8" s="1"/>
  <c r="H20" i="8"/>
  <c r="H52" i="8"/>
  <c r="Q52" i="8" s="1"/>
  <c r="H21" i="8"/>
  <c r="H28" i="8"/>
  <c r="Q28" i="8" s="1"/>
  <c r="H29" i="8"/>
  <c r="Q29" i="8" s="1"/>
  <c r="H4" i="8"/>
  <c r="H36" i="8"/>
  <c r="Q36" i="8" s="1"/>
  <c r="H5" i="8"/>
  <c r="H37" i="8"/>
  <c r="Q37" i="8" s="1"/>
  <c r="H12" i="8"/>
  <c r="H13" i="8"/>
  <c r="H44" i="8"/>
  <c r="Q44" i="8" s="1"/>
  <c r="H45" i="8"/>
  <c r="Q45" i="8" s="1"/>
  <c r="K53" i="8"/>
  <c r="AL7" i="7"/>
  <c r="AS7" i="7"/>
  <c r="AX7" i="7"/>
  <c r="Q29" i="12"/>
  <c r="S29" i="12" s="1"/>
  <c r="T29" i="12"/>
  <c r="T7" i="12"/>
  <c r="Q7" i="12"/>
  <c r="S7" i="12" s="1"/>
  <c r="D230" i="11"/>
  <c r="D190" i="11"/>
  <c r="D220" i="11"/>
  <c r="D180" i="11"/>
  <c r="D140" i="11"/>
  <c r="D130" i="11"/>
  <c r="D240" i="11"/>
  <c r="D200" i="11"/>
  <c r="D150" i="11"/>
  <c r="D160" i="11"/>
  <c r="D210" i="11"/>
  <c r="D170" i="11"/>
  <c r="W23" i="8"/>
  <c r="D125" i="8" s="1"/>
  <c r="AS5" i="7"/>
  <c r="AL5" i="7"/>
  <c r="AX5" i="7"/>
  <c r="T28" i="12"/>
  <c r="Q28" i="12"/>
  <c r="S28" i="12" s="1"/>
  <c r="Q26" i="12"/>
  <c r="S26" i="12" s="1"/>
  <c r="T26" i="12"/>
  <c r="Q30" i="12"/>
  <c r="S30" i="12" s="1"/>
  <c r="T30" i="12"/>
  <c r="D219" i="11"/>
  <c r="D179" i="11"/>
  <c r="D139" i="11"/>
  <c r="D129" i="11"/>
  <c r="D209" i="11"/>
  <c r="D169" i="11"/>
  <c r="D239" i="11"/>
  <c r="D199" i="11"/>
  <c r="D149" i="11"/>
  <c r="D159" i="11"/>
  <c r="D229" i="11"/>
  <c r="D189" i="11"/>
  <c r="H11" i="10"/>
  <c r="W15" i="8"/>
  <c r="D117" i="8" s="1"/>
  <c r="AA29" i="7"/>
  <c r="AL17" i="7"/>
  <c r="AX17" i="7"/>
  <c r="AS17" i="7"/>
  <c r="AL26" i="7"/>
  <c r="AX26" i="7"/>
  <c r="AS26" i="7"/>
  <c r="AL10" i="7"/>
  <c r="AX10" i="7"/>
  <c r="AS10" i="7"/>
  <c r="T12" i="12"/>
  <c r="Q12" i="12"/>
  <c r="S12" i="12" s="1"/>
  <c r="T20" i="12"/>
  <c r="Q20" i="12"/>
  <c r="S20" i="12" s="1"/>
  <c r="Q10" i="12"/>
  <c r="S10" i="12" s="1"/>
  <c r="T10" i="12"/>
  <c r="Q8" i="12"/>
  <c r="S8" i="12" s="1"/>
  <c r="T8" i="12"/>
  <c r="Q14" i="12"/>
  <c r="S14" i="12" s="1"/>
  <c r="T14" i="12"/>
  <c r="D153" i="11"/>
  <c r="D223" i="11"/>
  <c r="D183" i="11"/>
  <c r="D213" i="11"/>
  <c r="D173" i="11"/>
  <c r="D133" i="11"/>
  <c r="D123" i="11"/>
  <c r="D203" i="11"/>
  <c r="D163" i="11"/>
  <c r="D233" i="11"/>
  <c r="D193" i="11"/>
  <c r="D143" i="11"/>
  <c r="AL23" i="7"/>
  <c r="AX23" i="7"/>
  <c r="AS23" i="7"/>
  <c r="Q32" i="12"/>
  <c r="S32" i="12" s="1"/>
  <c r="T32" i="12"/>
  <c r="AM47" i="9"/>
  <c r="E351" i="9" s="1"/>
  <c r="AT7" i="7"/>
  <c r="AY7" i="7"/>
  <c r="AM7" i="7"/>
  <c r="D116" i="11"/>
  <c r="D76" i="11"/>
  <c r="D36" i="11"/>
  <c r="D106" i="11"/>
  <c r="D66" i="11"/>
  <c r="D26" i="11"/>
  <c r="D86" i="11"/>
  <c r="D46" i="11"/>
  <c r="D96" i="11"/>
  <c r="D56" i="11"/>
  <c r="D16" i="11"/>
  <c r="D6" i="11"/>
  <c r="AS21" i="7"/>
  <c r="AL21" i="7"/>
  <c r="AX21" i="7"/>
  <c r="AS14" i="7"/>
  <c r="AL14" i="7"/>
  <c r="AX14" i="7"/>
  <c r="Q24" i="12"/>
  <c r="S24" i="12" s="1"/>
  <c r="T24" i="12"/>
  <c r="D218" i="11"/>
  <c r="D178" i="11"/>
  <c r="D138" i="11"/>
  <c r="D208" i="11"/>
  <c r="D168" i="11"/>
  <c r="D158" i="11"/>
  <c r="D228" i="11"/>
  <c r="D188" i="11"/>
  <c r="D238" i="11"/>
  <c r="D128" i="11"/>
  <c r="D198" i="11"/>
  <c r="D148" i="11"/>
  <c r="H10" i="10"/>
  <c r="H3" i="10"/>
  <c r="W11" i="8"/>
  <c r="D113" i="8" s="1"/>
  <c r="AL15" i="7"/>
  <c r="AX15" i="7"/>
  <c r="AS15" i="7"/>
  <c r="AS24" i="7"/>
  <c r="AL24" i="7"/>
  <c r="AX24" i="7"/>
  <c r="AS8" i="7"/>
  <c r="AX8" i="7"/>
  <c r="AL8" i="7"/>
  <c r="Q37" i="12"/>
  <c r="S37" i="12" s="1"/>
  <c r="T37" i="12"/>
  <c r="Q35" i="12"/>
  <c r="S35" i="12" s="1"/>
  <c r="T35" i="12"/>
  <c r="Q33" i="12"/>
  <c r="S33" i="12" s="1"/>
  <c r="T33" i="12"/>
  <c r="Q38" i="12"/>
  <c r="S38" i="12" s="1"/>
  <c r="T38" i="12"/>
  <c r="T6" i="12"/>
  <c r="Q6" i="12"/>
  <c r="S6" i="12" s="1"/>
  <c r="N42" i="5"/>
  <c r="N104" i="5"/>
  <c r="N97" i="5"/>
  <c r="N41" i="5"/>
  <c r="N102" i="5"/>
  <c r="N75" i="5"/>
  <c r="N43" i="5"/>
  <c r="N11" i="5"/>
  <c r="N52" i="5"/>
  <c r="N20" i="5"/>
  <c r="N65" i="5"/>
  <c r="N79" i="5"/>
  <c r="N9" i="5"/>
  <c r="N88" i="5"/>
  <c r="N70" i="5"/>
  <c r="N93" i="5"/>
  <c r="N69" i="5"/>
  <c r="N61" i="5"/>
  <c r="N29" i="5"/>
  <c r="N55" i="5"/>
  <c r="N38" i="5"/>
  <c r="N66" i="5"/>
  <c r="N49" i="5"/>
  <c r="N47" i="5"/>
  <c r="N24" i="5"/>
  <c r="N96" i="5"/>
  <c r="N90" i="5"/>
  <c r="N30" i="5"/>
  <c r="N51" i="5"/>
  <c r="N86" i="5"/>
  <c r="N99" i="5"/>
  <c r="N58" i="5"/>
  <c r="N26" i="5"/>
  <c r="N92" i="5"/>
  <c r="N40" i="5"/>
  <c r="N60" i="5"/>
  <c r="N28" i="5"/>
  <c r="N39" i="5"/>
  <c r="N37" i="5"/>
  <c r="N50" i="5"/>
  <c r="N48" i="5"/>
  <c r="N31" i="5"/>
  <c r="N89" i="5"/>
  <c r="N94" i="5"/>
  <c r="N62" i="5"/>
  <c r="N71" i="5"/>
  <c r="N19" i="5"/>
  <c r="N73" i="5"/>
  <c r="N84" i="5"/>
  <c r="N98" i="5"/>
  <c r="N95" i="5"/>
  <c r="N91" i="5"/>
  <c r="N25" i="5"/>
  <c r="N59" i="5"/>
  <c r="N27" i="5"/>
  <c r="N23" i="5"/>
  <c r="N36" i="5"/>
  <c r="N34" i="5"/>
  <c r="N33" i="5"/>
  <c r="N15" i="5"/>
  <c r="N101" i="5"/>
  <c r="N68" i="5"/>
  <c r="N82" i="5"/>
  <c r="N72" i="5"/>
  <c r="N74" i="5"/>
  <c r="N78" i="5"/>
  <c r="N46" i="5"/>
  <c r="N14" i="5"/>
  <c r="N7" i="5"/>
  <c r="N6" i="5" s="1"/>
  <c r="N35" i="5"/>
  <c r="N18" i="5"/>
  <c r="N32" i="5"/>
  <c r="N100" i="5"/>
  <c r="N87" i="5"/>
  <c r="N57" i="5"/>
  <c r="N67" i="5"/>
  <c r="N10" i="5"/>
  <c r="N77" i="5"/>
  <c r="N45" i="5"/>
  <c r="N13" i="5"/>
  <c r="N54" i="5"/>
  <c r="N22" i="5"/>
  <c r="N81" i="5"/>
  <c r="N17" i="5"/>
  <c r="N64" i="5"/>
  <c r="N85" i="5"/>
  <c r="N83" i="5"/>
  <c r="N8" i="5"/>
  <c r="N56" i="5"/>
  <c r="N103" i="5"/>
  <c r="N76" i="5"/>
  <c r="N44" i="5"/>
  <c r="N12" i="5"/>
  <c r="N53" i="5"/>
  <c r="N21" i="5"/>
  <c r="N80" i="5"/>
  <c r="S251" i="3"/>
  <c r="T259" i="3"/>
  <c r="T261" i="3"/>
  <c r="T263" i="3"/>
  <c r="T265" i="3"/>
  <c r="T267" i="3"/>
  <c r="T269" i="3"/>
  <c r="T271" i="3"/>
  <c r="T273" i="3"/>
  <c r="T275" i="3"/>
  <c r="T277" i="3"/>
  <c r="T258" i="3"/>
  <c r="T260" i="3"/>
  <c r="T262" i="3"/>
  <c r="T264" i="3"/>
  <c r="T266" i="3"/>
  <c r="T268" i="3"/>
  <c r="T270" i="3"/>
  <c r="T272" i="3"/>
  <c r="T274" i="3"/>
  <c r="T276" i="3"/>
  <c r="T278" i="3"/>
  <c r="T280" i="3"/>
  <c r="T282" i="3"/>
  <c r="T283" i="3"/>
  <c r="T285" i="3"/>
  <c r="T287" i="3"/>
  <c r="T289" i="3"/>
  <c r="T291" i="3"/>
  <c r="T293" i="3"/>
  <c r="T295" i="3"/>
  <c r="T297" i="3"/>
  <c r="T299" i="3"/>
  <c r="T301" i="3"/>
  <c r="T303" i="3"/>
  <c r="T305" i="3"/>
  <c r="T307" i="3"/>
  <c r="T309" i="3"/>
  <c r="T311" i="3"/>
  <c r="T313" i="3"/>
  <c r="T315" i="3"/>
  <c r="T317" i="3"/>
  <c r="T319" i="3"/>
  <c r="T321" i="3"/>
  <c r="T323" i="3"/>
  <c r="T325" i="3"/>
  <c r="T327" i="3"/>
  <c r="T329" i="3"/>
  <c r="T331" i="3"/>
  <c r="T333" i="3"/>
  <c r="T335" i="3"/>
  <c r="T337" i="3"/>
  <c r="T339" i="3"/>
  <c r="T341" i="3"/>
  <c r="T343" i="3"/>
  <c r="T345" i="3"/>
  <c r="T347" i="3"/>
  <c r="T349" i="3"/>
  <c r="T351" i="3"/>
  <c r="T353" i="3"/>
  <c r="T355" i="3"/>
  <c r="T357" i="3"/>
  <c r="T359" i="3"/>
  <c r="T361" i="3"/>
  <c r="T363" i="3"/>
  <c r="T365" i="3"/>
  <c r="T367" i="3"/>
  <c r="T369" i="3"/>
  <c r="T371" i="3"/>
  <c r="T373" i="3"/>
  <c r="T375" i="3"/>
  <c r="T377" i="3"/>
  <c r="T279" i="3"/>
  <c r="T281" i="3"/>
  <c r="T284" i="3"/>
  <c r="T286" i="3"/>
  <c r="T288" i="3"/>
  <c r="T290" i="3"/>
  <c r="T292" i="3"/>
  <c r="T294" i="3"/>
  <c r="T296" i="3"/>
  <c r="T298" i="3"/>
  <c r="T300" i="3"/>
  <c r="T302" i="3"/>
  <c r="T304" i="3"/>
  <c r="T306" i="3"/>
  <c r="T308" i="3"/>
  <c r="T310" i="3"/>
  <c r="T312" i="3"/>
  <c r="T314" i="3"/>
  <c r="T316" i="3"/>
  <c r="T318" i="3"/>
  <c r="T320" i="3"/>
  <c r="T322" i="3"/>
  <c r="T324" i="3"/>
  <c r="T326" i="3"/>
  <c r="T328" i="3"/>
  <c r="T330" i="3"/>
  <c r="T332" i="3"/>
  <c r="T334" i="3"/>
  <c r="T336" i="3"/>
  <c r="T338" i="3"/>
  <c r="T340" i="3"/>
  <c r="T342" i="3"/>
  <c r="T344" i="3"/>
  <c r="T346" i="3"/>
  <c r="T348" i="3"/>
  <c r="T350" i="3"/>
  <c r="T352" i="3"/>
  <c r="T354" i="3"/>
  <c r="T356" i="3"/>
  <c r="T358" i="3"/>
  <c r="T360" i="3"/>
  <c r="T362" i="3"/>
  <c r="T364" i="3"/>
  <c r="T366" i="3"/>
  <c r="T368" i="3"/>
  <c r="T370" i="3"/>
  <c r="T372" i="3"/>
  <c r="T374" i="3"/>
  <c r="T376" i="3"/>
  <c r="T378" i="3"/>
  <c r="T379" i="3"/>
  <c r="T381" i="3"/>
  <c r="T383" i="3"/>
  <c r="T385" i="3"/>
  <c r="T387" i="3"/>
  <c r="T389" i="3"/>
  <c r="T391" i="3"/>
  <c r="T393" i="3"/>
  <c r="T395" i="3"/>
  <c r="T397" i="3"/>
  <c r="T399" i="3"/>
  <c r="T401" i="3"/>
  <c r="T403" i="3"/>
  <c r="T405" i="3"/>
  <c r="T407" i="3"/>
  <c r="T409" i="3"/>
  <c r="T411" i="3"/>
  <c r="T413" i="3"/>
  <c r="T415" i="3"/>
  <c r="T380" i="3"/>
  <c r="T382" i="3"/>
  <c r="T384" i="3"/>
  <c r="T386" i="3"/>
  <c r="T388" i="3"/>
  <c r="T390" i="3"/>
  <c r="T392" i="3"/>
  <c r="T394" i="3"/>
  <c r="T396" i="3"/>
  <c r="T398" i="3"/>
  <c r="T400" i="3"/>
  <c r="T402" i="3"/>
  <c r="T404" i="3"/>
  <c r="T408" i="3"/>
  <c r="T252" i="3"/>
  <c r="T406" i="3"/>
  <c r="T410" i="3"/>
  <c r="T416" i="3"/>
  <c r="T418" i="3"/>
  <c r="T420" i="3"/>
  <c r="T422" i="3"/>
  <c r="T424" i="3"/>
  <c r="T426" i="3"/>
  <c r="T428" i="3"/>
  <c r="T430" i="3"/>
  <c r="T432" i="3"/>
  <c r="T434" i="3"/>
  <c r="T436" i="3"/>
  <c r="T438" i="3"/>
  <c r="T440" i="3"/>
  <c r="T442" i="3"/>
  <c r="T444" i="3"/>
  <c r="T446" i="3"/>
  <c r="T448" i="3"/>
  <c r="T450" i="3"/>
  <c r="T452" i="3"/>
  <c r="T454" i="3"/>
  <c r="T456" i="3"/>
  <c r="T458" i="3"/>
  <c r="T460" i="3"/>
  <c r="T462" i="3"/>
  <c r="T464" i="3"/>
  <c r="T466" i="3"/>
  <c r="T468" i="3"/>
  <c r="T470" i="3"/>
  <c r="T472" i="3"/>
  <c r="T474" i="3"/>
  <c r="T476" i="3"/>
  <c r="T478" i="3"/>
  <c r="T480" i="3"/>
  <c r="T482" i="3"/>
  <c r="T484" i="3"/>
  <c r="T486" i="3"/>
  <c r="T488" i="3"/>
  <c r="T490" i="3"/>
  <c r="T492" i="3"/>
  <c r="T494" i="3"/>
  <c r="T496" i="3"/>
  <c r="T498" i="3"/>
  <c r="T500" i="3"/>
  <c r="T253" i="3"/>
  <c r="T255" i="3"/>
  <c r="T257" i="3"/>
  <c r="T3" i="3"/>
  <c r="T5" i="3"/>
  <c r="T7" i="3"/>
  <c r="T9" i="3"/>
  <c r="T412" i="3"/>
  <c r="T4" i="3"/>
  <c r="T6" i="3"/>
  <c r="T8" i="3"/>
  <c r="T423" i="3"/>
  <c r="T441" i="3"/>
  <c r="T449" i="3"/>
  <c r="T457" i="3"/>
  <c r="T465" i="3"/>
  <c r="T473" i="3"/>
  <c r="T481" i="3"/>
  <c r="T489" i="3"/>
  <c r="T497" i="3"/>
  <c r="T256" i="3"/>
  <c r="T429" i="3"/>
  <c r="T419" i="3"/>
  <c r="T435" i="3"/>
  <c r="T439" i="3"/>
  <c r="T447" i="3"/>
  <c r="T455" i="3"/>
  <c r="T463" i="3"/>
  <c r="T471" i="3"/>
  <c r="T479" i="3"/>
  <c r="T487" i="3"/>
  <c r="T495" i="3"/>
  <c r="T254" i="3"/>
  <c r="T10" i="3"/>
  <c r="T12" i="3"/>
  <c r="T14" i="3"/>
  <c r="T414" i="3"/>
  <c r="T425" i="3"/>
  <c r="T431" i="3"/>
  <c r="T445" i="3"/>
  <c r="T453" i="3"/>
  <c r="T461" i="3"/>
  <c r="T469" i="3"/>
  <c r="T477" i="3"/>
  <c r="T485" i="3"/>
  <c r="T493" i="3"/>
  <c r="T501" i="3"/>
  <c r="T421" i="3"/>
  <c r="T437" i="3"/>
  <c r="T417" i="3"/>
  <c r="T433" i="3"/>
  <c r="T443" i="3"/>
  <c r="T13" i="3"/>
  <c r="T22" i="3"/>
  <c r="T30" i="3"/>
  <c r="T38" i="3"/>
  <c r="T46" i="3"/>
  <c r="T55" i="3"/>
  <c r="T62" i="3"/>
  <c r="T71" i="3"/>
  <c r="T78" i="3"/>
  <c r="T87" i="3"/>
  <c r="T94" i="3"/>
  <c r="T107" i="3"/>
  <c r="T109" i="3"/>
  <c r="T111" i="3"/>
  <c r="T113" i="3"/>
  <c r="T115" i="3"/>
  <c r="T117" i="3"/>
  <c r="T119" i="3"/>
  <c r="T121" i="3"/>
  <c r="T123" i="3"/>
  <c r="T125" i="3"/>
  <c r="T127" i="3"/>
  <c r="T129" i="3"/>
  <c r="T131" i="3"/>
  <c r="T133" i="3"/>
  <c r="T135" i="3"/>
  <c r="T137" i="3"/>
  <c r="T139" i="3"/>
  <c r="T141" i="3"/>
  <c r="T143" i="3"/>
  <c r="T145" i="3"/>
  <c r="T147" i="3"/>
  <c r="T149" i="3"/>
  <c r="T151" i="3"/>
  <c r="T153" i="3"/>
  <c r="T155" i="3"/>
  <c r="T157" i="3"/>
  <c r="T159" i="3"/>
  <c r="T161" i="3"/>
  <c r="T163" i="3"/>
  <c r="T165" i="3"/>
  <c r="T167" i="3"/>
  <c r="T169" i="3"/>
  <c r="T171" i="3"/>
  <c r="T173" i="3"/>
  <c r="T175" i="3"/>
  <c r="T177" i="3"/>
  <c r="T179" i="3"/>
  <c r="T181" i="3"/>
  <c r="T183" i="3"/>
  <c r="T185" i="3"/>
  <c r="T187" i="3"/>
  <c r="T189" i="3"/>
  <c r="T191" i="3"/>
  <c r="T193" i="3"/>
  <c r="T195" i="3"/>
  <c r="T197" i="3"/>
  <c r="T199" i="3"/>
  <c r="T201" i="3"/>
  <c r="T203" i="3"/>
  <c r="T205" i="3"/>
  <c r="T207" i="3"/>
  <c r="T209" i="3"/>
  <c r="T211" i="3"/>
  <c r="T213" i="3"/>
  <c r="T215" i="3"/>
  <c r="T217" i="3"/>
  <c r="T219" i="3"/>
  <c r="T221" i="3"/>
  <c r="T223" i="3"/>
  <c r="T225" i="3"/>
  <c r="T227" i="3"/>
  <c r="T229" i="3"/>
  <c r="T231" i="3"/>
  <c r="T233" i="3"/>
  <c r="T235" i="3"/>
  <c r="T237" i="3"/>
  <c r="T239" i="3"/>
  <c r="T241" i="3"/>
  <c r="T243" i="3"/>
  <c r="T245" i="3"/>
  <c r="T247" i="3"/>
  <c r="T249" i="3"/>
  <c r="T467" i="3"/>
  <c r="T17" i="3"/>
  <c r="T25" i="3"/>
  <c r="T33" i="3"/>
  <c r="T41" i="3"/>
  <c r="T49" i="3"/>
  <c r="T57" i="3"/>
  <c r="T64" i="3"/>
  <c r="T73" i="3"/>
  <c r="T80" i="3"/>
  <c r="T89" i="3"/>
  <c r="T96" i="3"/>
  <c r="T105" i="3"/>
  <c r="T491" i="3"/>
  <c r="T20" i="3"/>
  <c r="T28" i="3"/>
  <c r="T36" i="3"/>
  <c r="T44" i="3"/>
  <c r="T59" i="3"/>
  <c r="T66" i="3"/>
  <c r="T75" i="3"/>
  <c r="T82" i="3"/>
  <c r="T91" i="3"/>
  <c r="T98" i="3"/>
  <c r="T102" i="3"/>
  <c r="T451" i="3"/>
  <c r="T15" i="3"/>
  <c r="T23" i="3"/>
  <c r="T31" i="3"/>
  <c r="T39" i="3"/>
  <c r="T47" i="3"/>
  <c r="T52" i="3"/>
  <c r="T61" i="3"/>
  <c r="T68" i="3"/>
  <c r="T77" i="3"/>
  <c r="T84" i="3"/>
  <c r="T93" i="3"/>
  <c r="T427" i="3"/>
  <c r="T475" i="3"/>
  <c r="T18" i="3"/>
  <c r="T26" i="3"/>
  <c r="T34" i="3"/>
  <c r="T42" i="3"/>
  <c r="T50" i="3"/>
  <c r="T54" i="3"/>
  <c r="T63" i="3"/>
  <c r="T70" i="3"/>
  <c r="T79" i="3"/>
  <c r="T86" i="3"/>
  <c r="T95" i="3"/>
  <c r="T103" i="3"/>
  <c r="T106" i="3"/>
  <c r="T108" i="3"/>
  <c r="T110" i="3"/>
  <c r="T112" i="3"/>
  <c r="T114" i="3"/>
  <c r="T116" i="3"/>
  <c r="T118" i="3"/>
  <c r="T120" i="3"/>
  <c r="T122" i="3"/>
  <c r="T124" i="3"/>
  <c r="T126" i="3"/>
  <c r="T128" i="3"/>
  <c r="T130" i="3"/>
  <c r="T132" i="3"/>
  <c r="T134" i="3"/>
  <c r="T136" i="3"/>
  <c r="T138" i="3"/>
  <c r="T140" i="3"/>
  <c r="T142" i="3"/>
  <c r="T144" i="3"/>
  <c r="T146" i="3"/>
  <c r="T148" i="3"/>
  <c r="T150" i="3"/>
  <c r="T152" i="3"/>
  <c r="T154" i="3"/>
  <c r="T156" i="3"/>
  <c r="T158" i="3"/>
  <c r="T160" i="3"/>
  <c r="T162" i="3"/>
  <c r="T164" i="3"/>
  <c r="T166" i="3"/>
  <c r="T168" i="3"/>
  <c r="T499" i="3"/>
  <c r="T11" i="3"/>
  <c r="T21" i="3"/>
  <c r="T29" i="3"/>
  <c r="T37" i="3"/>
  <c r="T45" i="3"/>
  <c r="T56" i="3"/>
  <c r="T65" i="3"/>
  <c r="T72" i="3"/>
  <c r="T81" i="3"/>
  <c r="T88" i="3"/>
  <c r="T97" i="3"/>
  <c r="T100" i="3"/>
  <c r="T250" i="3"/>
  <c r="T459" i="3"/>
  <c r="T16" i="3"/>
  <c r="T24" i="3"/>
  <c r="T32" i="3"/>
  <c r="T40" i="3"/>
  <c r="T48" i="3"/>
  <c r="T58" i="3"/>
  <c r="T67" i="3"/>
  <c r="T74" i="3"/>
  <c r="T83" i="3"/>
  <c r="T90" i="3"/>
  <c r="T99" i="3"/>
  <c r="T76" i="3"/>
  <c r="T172" i="3"/>
  <c r="T188" i="3"/>
  <c r="T204" i="3"/>
  <c r="T220" i="3"/>
  <c r="T236" i="3"/>
  <c r="T27" i="3"/>
  <c r="T92" i="3"/>
  <c r="T174" i="3"/>
  <c r="T190" i="3"/>
  <c r="T206" i="3"/>
  <c r="T222" i="3"/>
  <c r="T238" i="3"/>
  <c r="T43" i="3"/>
  <c r="T483" i="3"/>
  <c r="T51" i="3"/>
  <c r="T176" i="3"/>
  <c r="T192" i="3"/>
  <c r="T208" i="3"/>
  <c r="T224" i="3"/>
  <c r="T240" i="3"/>
  <c r="T60" i="3"/>
  <c r="T53" i="3"/>
  <c r="T104" i="3"/>
  <c r="T178" i="3"/>
  <c r="T194" i="3"/>
  <c r="T210" i="3"/>
  <c r="T226" i="3"/>
  <c r="T242" i="3"/>
  <c r="T186" i="3"/>
  <c r="T35" i="3"/>
  <c r="T69" i="3"/>
  <c r="T180" i="3"/>
  <c r="T196" i="3"/>
  <c r="T212" i="3"/>
  <c r="T228" i="3"/>
  <c r="T244" i="3"/>
  <c r="T101" i="3"/>
  <c r="T85" i="3"/>
  <c r="T182" i="3"/>
  <c r="T198" i="3"/>
  <c r="T214" i="3"/>
  <c r="T230" i="3"/>
  <c r="T246" i="3"/>
  <c r="T170" i="3"/>
  <c r="T234" i="3"/>
  <c r="T19" i="3"/>
  <c r="T184" i="3"/>
  <c r="T200" i="3"/>
  <c r="T216" i="3"/>
  <c r="T232" i="3"/>
  <c r="T248" i="3"/>
  <c r="T202" i="3"/>
  <c r="T218" i="3"/>
  <c r="U251" i="3"/>
  <c r="V259" i="3"/>
  <c r="V261" i="3"/>
  <c r="V263" i="3"/>
  <c r="V265" i="3"/>
  <c r="V267" i="3"/>
  <c r="V269" i="3"/>
  <c r="V271" i="3"/>
  <c r="V273" i="3"/>
  <c r="V276" i="3"/>
  <c r="V260" i="3"/>
  <c r="V268" i="3"/>
  <c r="V275" i="3"/>
  <c r="V283" i="3"/>
  <c r="V285" i="3"/>
  <c r="V287" i="3"/>
  <c r="V289" i="3"/>
  <c r="V291" i="3"/>
  <c r="V293" i="3"/>
  <c r="V295" i="3"/>
  <c r="V297" i="3"/>
  <c r="V299" i="3"/>
  <c r="V301" i="3"/>
  <c r="V303" i="3"/>
  <c r="V305" i="3"/>
  <c r="V307" i="3"/>
  <c r="V309" i="3"/>
  <c r="V311" i="3"/>
  <c r="V313" i="3"/>
  <c r="V315" i="3"/>
  <c r="V317" i="3"/>
  <c r="V319" i="3"/>
  <c r="V321" i="3"/>
  <c r="V323" i="3"/>
  <c r="V325" i="3"/>
  <c r="V327" i="3"/>
  <c r="V329" i="3"/>
  <c r="V331" i="3"/>
  <c r="V333" i="3"/>
  <c r="V335" i="3"/>
  <c r="V337" i="3"/>
  <c r="V339" i="3"/>
  <c r="V341" i="3"/>
  <c r="V343" i="3"/>
  <c r="V345" i="3"/>
  <c r="V347" i="3"/>
  <c r="V349" i="3"/>
  <c r="V351" i="3"/>
  <c r="V353" i="3"/>
  <c r="V355" i="3"/>
  <c r="V357" i="3"/>
  <c r="V359" i="3"/>
  <c r="V361" i="3"/>
  <c r="V363" i="3"/>
  <c r="V365" i="3"/>
  <c r="V258" i="3"/>
  <c r="V266" i="3"/>
  <c r="V279" i="3"/>
  <c r="V280" i="3"/>
  <c r="V274" i="3"/>
  <c r="V278" i="3"/>
  <c r="V264" i="3"/>
  <c r="V272" i="3"/>
  <c r="V281" i="3"/>
  <c r="V262" i="3"/>
  <c r="V270" i="3"/>
  <c r="V292" i="3"/>
  <c r="V308" i="3"/>
  <c r="V372" i="3"/>
  <c r="V282" i="3"/>
  <c r="V298" i="3"/>
  <c r="V314" i="3"/>
  <c r="V322" i="3"/>
  <c r="V330" i="3"/>
  <c r="V338" i="3"/>
  <c r="V346" i="3"/>
  <c r="V354" i="3"/>
  <c r="V362" i="3"/>
  <c r="V373" i="3"/>
  <c r="V288" i="3"/>
  <c r="V304" i="3"/>
  <c r="V374" i="3"/>
  <c r="V379" i="3"/>
  <c r="V381" i="3"/>
  <c r="V383" i="3"/>
  <c r="V385" i="3"/>
  <c r="V387" i="3"/>
  <c r="V389" i="3"/>
  <c r="V391" i="3"/>
  <c r="V393" i="3"/>
  <c r="V395" i="3"/>
  <c r="V397" i="3"/>
  <c r="V399" i="3"/>
  <c r="V401" i="3"/>
  <c r="V403" i="3"/>
  <c r="V405" i="3"/>
  <c r="V407" i="3"/>
  <c r="V294" i="3"/>
  <c r="V310" i="3"/>
  <c r="V320" i="3"/>
  <c r="V328" i="3"/>
  <c r="V336" i="3"/>
  <c r="V344" i="3"/>
  <c r="V352" i="3"/>
  <c r="V360" i="3"/>
  <c r="V375" i="3"/>
  <c r="V277" i="3"/>
  <c r="V284" i="3"/>
  <c r="V300" i="3"/>
  <c r="V367" i="3"/>
  <c r="V368" i="3"/>
  <c r="V376" i="3"/>
  <c r="V290" i="3"/>
  <c r="V306" i="3"/>
  <c r="V318" i="3"/>
  <c r="V326" i="3"/>
  <c r="V334" i="3"/>
  <c r="V342" i="3"/>
  <c r="V350" i="3"/>
  <c r="V358" i="3"/>
  <c r="V366" i="3"/>
  <c r="V369" i="3"/>
  <c r="V377" i="3"/>
  <c r="V286" i="3"/>
  <c r="V302" i="3"/>
  <c r="V316" i="3"/>
  <c r="V324" i="3"/>
  <c r="V332" i="3"/>
  <c r="V340" i="3"/>
  <c r="V348" i="3"/>
  <c r="V356" i="3"/>
  <c r="V364" i="3"/>
  <c r="V371" i="3"/>
  <c r="V312" i="3"/>
  <c r="V370" i="3"/>
  <c r="V388" i="3"/>
  <c r="V404" i="3"/>
  <c r="V414" i="3"/>
  <c r="V417" i="3"/>
  <c r="V419" i="3"/>
  <c r="V421" i="3"/>
  <c r="V423" i="3"/>
  <c r="V425" i="3"/>
  <c r="V427" i="3"/>
  <c r="V429" i="3"/>
  <c r="V431" i="3"/>
  <c r="V433" i="3"/>
  <c r="V435" i="3"/>
  <c r="V437" i="3"/>
  <c r="V439" i="3"/>
  <c r="V441" i="3"/>
  <c r="V443" i="3"/>
  <c r="V445" i="3"/>
  <c r="V447" i="3"/>
  <c r="V449" i="3"/>
  <c r="V451" i="3"/>
  <c r="V453" i="3"/>
  <c r="V455" i="3"/>
  <c r="V457" i="3"/>
  <c r="V459" i="3"/>
  <c r="V461" i="3"/>
  <c r="V463" i="3"/>
  <c r="V465" i="3"/>
  <c r="V467" i="3"/>
  <c r="V469" i="3"/>
  <c r="V471" i="3"/>
  <c r="V473" i="3"/>
  <c r="V475" i="3"/>
  <c r="V477" i="3"/>
  <c r="V479" i="3"/>
  <c r="V481" i="3"/>
  <c r="V483" i="3"/>
  <c r="V485" i="3"/>
  <c r="V487" i="3"/>
  <c r="V489" i="3"/>
  <c r="V491" i="3"/>
  <c r="V493" i="3"/>
  <c r="V495" i="3"/>
  <c r="V497" i="3"/>
  <c r="V499" i="3"/>
  <c r="V501" i="3"/>
  <c r="V254" i="3"/>
  <c r="V256" i="3"/>
  <c r="V378" i="3"/>
  <c r="V394" i="3"/>
  <c r="V415" i="3"/>
  <c r="V4" i="3"/>
  <c r="V6" i="3"/>
  <c r="V8" i="3"/>
  <c r="V384" i="3"/>
  <c r="V400" i="3"/>
  <c r="V408" i="3"/>
  <c r="V390" i="3"/>
  <c r="V406" i="3"/>
  <c r="V409" i="3"/>
  <c r="V380" i="3"/>
  <c r="V396" i="3"/>
  <c r="V410" i="3"/>
  <c r="V416" i="3"/>
  <c r="V418" i="3"/>
  <c r="V420" i="3"/>
  <c r="V422" i="3"/>
  <c r="V424" i="3"/>
  <c r="V426" i="3"/>
  <c r="V428" i="3"/>
  <c r="V430" i="3"/>
  <c r="V432" i="3"/>
  <c r="V434" i="3"/>
  <c r="V436" i="3"/>
  <c r="V438" i="3"/>
  <c r="V440" i="3"/>
  <c r="V442" i="3"/>
  <c r="V444" i="3"/>
  <c r="V446" i="3"/>
  <c r="V448" i="3"/>
  <c r="V450" i="3"/>
  <c r="V452" i="3"/>
  <c r="V454" i="3"/>
  <c r="V456" i="3"/>
  <c r="V458" i="3"/>
  <c r="V460" i="3"/>
  <c r="V462" i="3"/>
  <c r="V464" i="3"/>
  <c r="V466" i="3"/>
  <c r="V468" i="3"/>
  <c r="V470" i="3"/>
  <c r="V472" i="3"/>
  <c r="V474" i="3"/>
  <c r="V476" i="3"/>
  <c r="V478" i="3"/>
  <c r="V480" i="3"/>
  <c r="V482" i="3"/>
  <c r="V484" i="3"/>
  <c r="V486" i="3"/>
  <c r="V488" i="3"/>
  <c r="V490" i="3"/>
  <c r="V492" i="3"/>
  <c r="V494" i="3"/>
  <c r="V496" i="3"/>
  <c r="V498" i="3"/>
  <c r="V500" i="3"/>
  <c r="V253" i="3"/>
  <c r="V255" i="3"/>
  <c r="V257" i="3"/>
  <c r="V296" i="3"/>
  <c r="V386" i="3"/>
  <c r="V402" i="3"/>
  <c r="V411" i="3"/>
  <c r="V382" i="3"/>
  <c r="V398" i="3"/>
  <c r="V413" i="3"/>
  <c r="V11" i="3"/>
  <c r="V13" i="3"/>
  <c r="V15" i="3"/>
  <c r="V17" i="3"/>
  <c r="V19" i="3"/>
  <c r="V21" i="3"/>
  <c r="V23" i="3"/>
  <c r="V25" i="3"/>
  <c r="V27" i="3"/>
  <c r="V29" i="3"/>
  <c r="V31" i="3"/>
  <c r="V33" i="3"/>
  <c r="V35" i="3"/>
  <c r="V37" i="3"/>
  <c r="V39" i="3"/>
  <c r="V41" i="3"/>
  <c r="V43" i="3"/>
  <c r="V45" i="3"/>
  <c r="V47" i="3"/>
  <c r="V49" i="3"/>
  <c r="V51" i="3"/>
  <c r="V412" i="3"/>
  <c r="V3" i="3"/>
  <c r="V9" i="3"/>
  <c r="V252" i="3"/>
  <c r="V10" i="3"/>
  <c r="V12" i="3"/>
  <c r="V14" i="3"/>
  <c r="V16" i="3"/>
  <c r="V18" i="3"/>
  <c r="V20" i="3"/>
  <c r="V22" i="3"/>
  <c r="V24" i="3"/>
  <c r="V26" i="3"/>
  <c r="V28" i="3"/>
  <c r="V30" i="3"/>
  <c r="V32" i="3"/>
  <c r="V34" i="3"/>
  <c r="V36" i="3"/>
  <c r="V38" i="3"/>
  <c r="V40" i="3"/>
  <c r="V42" i="3"/>
  <c r="V44" i="3"/>
  <c r="V46" i="3"/>
  <c r="V48" i="3"/>
  <c r="V50" i="3"/>
  <c r="V52" i="3"/>
  <c r="V54" i="3"/>
  <c r="V56" i="3"/>
  <c r="V58" i="3"/>
  <c r="V60" i="3"/>
  <c r="V62" i="3"/>
  <c r="V64" i="3"/>
  <c r="V66" i="3"/>
  <c r="V68" i="3"/>
  <c r="V70" i="3"/>
  <c r="V72" i="3"/>
  <c r="V74" i="3"/>
  <c r="V76" i="3"/>
  <c r="V78" i="3"/>
  <c r="V80" i="3"/>
  <c r="V82" i="3"/>
  <c r="V84" i="3"/>
  <c r="V86" i="3"/>
  <c r="V88" i="3"/>
  <c r="V90" i="3"/>
  <c r="V92" i="3"/>
  <c r="V94" i="3"/>
  <c r="V96" i="3"/>
  <c r="V98" i="3"/>
  <c r="V100" i="3"/>
  <c r="V102" i="3"/>
  <c r="V104" i="3"/>
  <c r="V7" i="3"/>
  <c r="V392" i="3"/>
  <c r="V5" i="3"/>
  <c r="V53" i="3"/>
  <c r="V69" i="3"/>
  <c r="V85" i="3"/>
  <c r="V55" i="3"/>
  <c r="V71" i="3"/>
  <c r="V87" i="3"/>
  <c r="V101" i="3"/>
  <c r="V57" i="3"/>
  <c r="V73" i="3"/>
  <c r="V89" i="3"/>
  <c r="V107" i="3"/>
  <c r="V109" i="3"/>
  <c r="V111" i="3"/>
  <c r="V113" i="3"/>
  <c r="V115" i="3"/>
  <c r="V117" i="3"/>
  <c r="V119" i="3"/>
  <c r="V121" i="3"/>
  <c r="V123" i="3"/>
  <c r="V125" i="3"/>
  <c r="V127" i="3"/>
  <c r="V129" i="3"/>
  <c r="V131" i="3"/>
  <c r="V133" i="3"/>
  <c r="V135" i="3"/>
  <c r="V137" i="3"/>
  <c r="V139" i="3"/>
  <c r="V141" i="3"/>
  <c r="V143" i="3"/>
  <c r="V145" i="3"/>
  <c r="V147" i="3"/>
  <c r="V149" i="3"/>
  <c r="V151" i="3"/>
  <c r="V153" i="3"/>
  <c r="V155" i="3"/>
  <c r="V157" i="3"/>
  <c r="V159" i="3"/>
  <c r="V161" i="3"/>
  <c r="V163" i="3"/>
  <c r="V165" i="3"/>
  <c r="V167" i="3"/>
  <c r="V169" i="3"/>
  <c r="V171" i="3"/>
  <c r="V173" i="3"/>
  <c r="V175" i="3"/>
  <c r="V177" i="3"/>
  <c r="V179" i="3"/>
  <c r="V181" i="3"/>
  <c r="V183" i="3"/>
  <c r="V185" i="3"/>
  <c r="V187" i="3"/>
  <c r="V189" i="3"/>
  <c r="V191" i="3"/>
  <c r="V193" i="3"/>
  <c r="V195" i="3"/>
  <c r="V197" i="3"/>
  <c r="V199" i="3"/>
  <c r="V201" i="3"/>
  <c r="V203" i="3"/>
  <c r="V205" i="3"/>
  <c r="V207" i="3"/>
  <c r="V209" i="3"/>
  <c r="V211" i="3"/>
  <c r="V213" i="3"/>
  <c r="V215" i="3"/>
  <c r="V217" i="3"/>
  <c r="V219" i="3"/>
  <c r="V221" i="3"/>
  <c r="V223" i="3"/>
  <c r="V225" i="3"/>
  <c r="V227" i="3"/>
  <c r="V229" i="3"/>
  <c r="V231" i="3"/>
  <c r="V233" i="3"/>
  <c r="V235" i="3"/>
  <c r="V237" i="3"/>
  <c r="V239" i="3"/>
  <c r="V241" i="3"/>
  <c r="V243" i="3"/>
  <c r="V245" i="3"/>
  <c r="V247" i="3"/>
  <c r="V249" i="3"/>
  <c r="V59" i="3"/>
  <c r="V75" i="3"/>
  <c r="V91" i="3"/>
  <c r="V105" i="3"/>
  <c r="V250" i="3"/>
  <c r="V61" i="3"/>
  <c r="V77" i="3"/>
  <c r="V93" i="3"/>
  <c r="V63" i="3"/>
  <c r="V79" i="3"/>
  <c r="V95" i="3"/>
  <c r="V65" i="3"/>
  <c r="V81" i="3"/>
  <c r="V97" i="3"/>
  <c r="V103" i="3"/>
  <c r="V106" i="3"/>
  <c r="V108" i="3"/>
  <c r="V110" i="3"/>
  <c r="V112" i="3"/>
  <c r="V114" i="3"/>
  <c r="V116" i="3"/>
  <c r="V118" i="3"/>
  <c r="V120" i="3"/>
  <c r="V122" i="3"/>
  <c r="V124" i="3"/>
  <c r="V126" i="3"/>
  <c r="V170" i="3"/>
  <c r="V186" i="3"/>
  <c r="V202" i="3"/>
  <c r="V218" i="3"/>
  <c r="V234" i="3"/>
  <c r="V184" i="3"/>
  <c r="V128" i="3"/>
  <c r="V136" i="3"/>
  <c r="V144" i="3"/>
  <c r="V152" i="3"/>
  <c r="V160" i="3"/>
  <c r="V168" i="3"/>
  <c r="V172" i="3"/>
  <c r="V188" i="3"/>
  <c r="V204" i="3"/>
  <c r="V220" i="3"/>
  <c r="V236" i="3"/>
  <c r="V174" i="3"/>
  <c r="V190" i="3"/>
  <c r="V206" i="3"/>
  <c r="V222" i="3"/>
  <c r="V238" i="3"/>
  <c r="V67" i="3"/>
  <c r="V134" i="3"/>
  <c r="V142" i="3"/>
  <c r="V150" i="3"/>
  <c r="V158" i="3"/>
  <c r="V166" i="3"/>
  <c r="V176" i="3"/>
  <c r="V192" i="3"/>
  <c r="V208" i="3"/>
  <c r="V224" i="3"/>
  <c r="V240" i="3"/>
  <c r="V162" i="3"/>
  <c r="V200" i="3"/>
  <c r="V216" i="3"/>
  <c r="V83" i="3"/>
  <c r="V178" i="3"/>
  <c r="V194" i="3"/>
  <c r="V210" i="3"/>
  <c r="V226" i="3"/>
  <c r="V242" i="3"/>
  <c r="V248" i="3"/>
  <c r="V99" i="3"/>
  <c r="V132" i="3"/>
  <c r="V140" i="3"/>
  <c r="V148" i="3"/>
  <c r="V156" i="3"/>
  <c r="V164" i="3"/>
  <c r="V180" i="3"/>
  <c r="V196" i="3"/>
  <c r="V212" i="3"/>
  <c r="V228" i="3"/>
  <c r="V244" i="3"/>
  <c r="V138" i="3"/>
  <c r="V154" i="3"/>
  <c r="V182" i="3"/>
  <c r="V198" i="3"/>
  <c r="V214" i="3"/>
  <c r="V230" i="3"/>
  <c r="V246" i="3"/>
  <c r="V130" i="3"/>
  <c r="V146" i="3"/>
  <c r="V232" i="3"/>
  <c r="P105" i="5"/>
  <c r="Q10" i="5"/>
  <c r="P10" i="5" s="1"/>
  <c r="Q11" i="5"/>
  <c r="P11" i="5" s="1"/>
  <c r="Q12" i="5"/>
  <c r="P12" i="5" s="1"/>
  <c r="Q13" i="5"/>
  <c r="P13" i="5" s="1"/>
  <c r="Q26" i="5"/>
  <c r="P26" i="5" s="1"/>
  <c r="Q27" i="5"/>
  <c r="P27" i="5" s="1"/>
  <c r="Q28" i="5"/>
  <c r="P28" i="5" s="1"/>
  <c r="Q29" i="5"/>
  <c r="P29" i="5" s="1"/>
  <c r="Q42" i="5"/>
  <c r="P42" i="5" s="1"/>
  <c r="Q43" i="5"/>
  <c r="P43" i="5" s="1"/>
  <c r="Q44" i="5"/>
  <c r="P44" i="5" s="1"/>
  <c r="Q45" i="5"/>
  <c r="P45" i="5" s="1"/>
  <c r="Q58" i="5"/>
  <c r="P58" i="5" s="1"/>
  <c r="Q59" i="5"/>
  <c r="P59" i="5" s="1"/>
  <c r="Q60" i="5"/>
  <c r="P60" i="5" s="1"/>
  <c r="Q61" i="5"/>
  <c r="P61" i="5" s="1"/>
  <c r="Q74" i="5"/>
  <c r="P74" i="5" s="1"/>
  <c r="Q75" i="5"/>
  <c r="P75" i="5" s="1"/>
  <c r="Q76" i="5"/>
  <c r="P76" i="5" s="1"/>
  <c r="Q77" i="5"/>
  <c r="P77" i="5" s="1"/>
  <c r="Q14" i="5"/>
  <c r="P14" i="5" s="1"/>
  <c r="Q30" i="5"/>
  <c r="P30" i="5" s="1"/>
  <c r="Q46" i="5"/>
  <c r="P46" i="5" s="1"/>
  <c r="Q62" i="5"/>
  <c r="P62" i="5" s="1"/>
  <c r="Q78" i="5"/>
  <c r="P78" i="5" s="1"/>
  <c r="Q15" i="5"/>
  <c r="P15" i="5" s="1"/>
  <c r="Q16" i="5"/>
  <c r="P16" i="5" s="1"/>
  <c r="Q31" i="5"/>
  <c r="P31" i="5" s="1"/>
  <c r="Q32" i="5"/>
  <c r="P32" i="5" s="1"/>
  <c r="Q47" i="5"/>
  <c r="P47" i="5" s="1"/>
  <c r="Q48" i="5"/>
  <c r="P48" i="5" s="1"/>
  <c r="Q63" i="5"/>
  <c r="P63" i="5" s="1"/>
  <c r="Q64" i="5"/>
  <c r="P64" i="5" s="1"/>
  <c r="Q79" i="5"/>
  <c r="P79" i="5" s="1"/>
  <c r="Q80" i="5"/>
  <c r="P80" i="5" s="1"/>
  <c r="Q17" i="5"/>
  <c r="P17" i="5" s="1"/>
  <c r="Q33" i="5"/>
  <c r="P33" i="5" s="1"/>
  <c r="Q49" i="5"/>
  <c r="P49" i="5" s="1"/>
  <c r="Q65" i="5"/>
  <c r="P65" i="5" s="1"/>
  <c r="Q18" i="5"/>
  <c r="P18" i="5" s="1"/>
  <c r="Q19" i="5"/>
  <c r="P19" i="5" s="1"/>
  <c r="Q20" i="5"/>
  <c r="P20" i="5" s="1"/>
  <c r="Q21" i="5"/>
  <c r="P21" i="5" s="1"/>
  <c r="Q34" i="5"/>
  <c r="P34" i="5" s="1"/>
  <c r="Q35" i="5"/>
  <c r="P35" i="5" s="1"/>
  <c r="Q36" i="5"/>
  <c r="P36" i="5" s="1"/>
  <c r="Q37" i="5"/>
  <c r="P37" i="5" s="1"/>
  <c r="Q50" i="5"/>
  <c r="P50" i="5" s="1"/>
  <c r="Q51" i="5"/>
  <c r="P51" i="5" s="1"/>
  <c r="Q52" i="5"/>
  <c r="P52" i="5" s="1"/>
  <c r="Q53" i="5"/>
  <c r="P53" i="5" s="1"/>
  <c r="Q66" i="5"/>
  <c r="P66" i="5" s="1"/>
  <c r="Q67" i="5"/>
  <c r="P67" i="5" s="1"/>
  <c r="Q68" i="5"/>
  <c r="P68" i="5" s="1"/>
  <c r="Q69" i="5"/>
  <c r="P69" i="5" s="1"/>
  <c r="Q9" i="5"/>
  <c r="P9" i="5" s="1"/>
  <c r="Q25" i="5"/>
  <c r="P25" i="5" s="1"/>
  <c r="Q41" i="5"/>
  <c r="P41" i="5" s="1"/>
  <c r="Q57" i="5"/>
  <c r="P57" i="5" s="1"/>
  <c r="Q73" i="5"/>
  <c r="P73" i="5" s="1"/>
  <c r="Q71" i="5"/>
  <c r="P71" i="5" s="1"/>
  <c r="Q87" i="5"/>
  <c r="P87" i="5" s="1"/>
  <c r="Q88" i="5"/>
  <c r="P88" i="5" s="1"/>
  <c r="Q104" i="5"/>
  <c r="P104" i="5" s="1"/>
  <c r="Q40" i="5"/>
  <c r="P40" i="5" s="1"/>
  <c r="Q55" i="5"/>
  <c r="P55" i="5" s="1"/>
  <c r="Q89" i="5"/>
  <c r="P89" i="5" s="1"/>
  <c r="Q102" i="5"/>
  <c r="P102" i="5" s="1"/>
  <c r="Q103" i="5"/>
  <c r="P103" i="5" s="1"/>
  <c r="Q22" i="5"/>
  <c r="P22" i="5" s="1"/>
  <c r="Q90" i="5"/>
  <c r="P90" i="5" s="1"/>
  <c r="Q91" i="5"/>
  <c r="P91" i="5" s="1"/>
  <c r="Q92" i="5"/>
  <c r="P92" i="5" s="1"/>
  <c r="Q93" i="5"/>
  <c r="P93" i="5" s="1"/>
  <c r="Q7" i="5"/>
  <c r="Q56" i="5"/>
  <c r="P56" i="5" s="1"/>
  <c r="Q72" i="5"/>
  <c r="P72" i="5" s="1"/>
  <c r="Q94" i="5"/>
  <c r="P94" i="5" s="1"/>
  <c r="Q38" i="5"/>
  <c r="P38" i="5" s="1"/>
  <c r="Q70" i="5"/>
  <c r="P70" i="5" s="1"/>
  <c r="Q95" i="5"/>
  <c r="P95" i="5" s="1"/>
  <c r="Q96" i="5"/>
  <c r="P96" i="5" s="1"/>
  <c r="Q24" i="5"/>
  <c r="P24" i="5" s="1"/>
  <c r="Q39" i="5"/>
  <c r="P39" i="5" s="1"/>
  <c r="Q81" i="5"/>
  <c r="P81" i="5" s="1"/>
  <c r="Q86" i="5"/>
  <c r="P86" i="5" s="1"/>
  <c r="Q83" i="5"/>
  <c r="P83" i="5" s="1"/>
  <c r="Q98" i="5"/>
  <c r="P98" i="5" s="1"/>
  <c r="Q8" i="5"/>
  <c r="P8" i="5" s="1"/>
  <c r="Q23" i="5"/>
  <c r="P23" i="5" s="1"/>
  <c r="Q54" i="5"/>
  <c r="P54" i="5" s="1"/>
  <c r="Q84" i="5"/>
  <c r="P84" i="5" s="1"/>
  <c r="Q99" i="5"/>
  <c r="P99" i="5" s="1"/>
  <c r="Q85" i="5"/>
  <c r="P85" i="5" s="1"/>
  <c r="Q100" i="5"/>
  <c r="P100" i="5" s="1"/>
  <c r="Q82" i="5"/>
  <c r="P82" i="5" s="1"/>
  <c r="Q101" i="5"/>
  <c r="P101" i="5" s="1"/>
  <c r="Q97" i="5"/>
  <c r="P97" i="5" s="1"/>
  <c r="T105" i="5"/>
  <c r="U7" i="5"/>
  <c r="U19" i="5"/>
  <c r="T19" i="5" s="1"/>
  <c r="U22" i="5"/>
  <c r="T22" i="5" s="1"/>
  <c r="U23" i="5"/>
  <c r="T23" i="5" s="1"/>
  <c r="U35" i="5"/>
  <c r="T35" i="5" s="1"/>
  <c r="U38" i="5"/>
  <c r="T38" i="5" s="1"/>
  <c r="U39" i="5"/>
  <c r="T39" i="5" s="1"/>
  <c r="U51" i="5"/>
  <c r="T51" i="5" s="1"/>
  <c r="U54" i="5"/>
  <c r="T54" i="5" s="1"/>
  <c r="U55" i="5"/>
  <c r="T55" i="5" s="1"/>
  <c r="U67" i="5"/>
  <c r="T67" i="5" s="1"/>
  <c r="U70" i="5"/>
  <c r="T70" i="5" s="1"/>
  <c r="U71" i="5"/>
  <c r="T71" i="5" s="1"/>
  <c r="U8" i="5"/>
  <c r="T8" i="5" s="1"/>
  <c r="U24" i="5"/>
  <c r="T24" i="5" s="1"/>
  <c r="U40" i="5"/>
  <c r="T40" i="5" s="1"/>
  <c r="U56" i="5"/>
  <c r="T56" i="5" s="1"/>
  <c r="U72" i="5"/>
  <c r="T72" i="5" s="1"/>
  <c r="U9" i="5"/>
  <c r="T9" i="5" s="1"/>
  <c r="U25" i="5"/>
  <c r="T25" i="5" s="1"/>
  <c r="U41" i="5"/>
  <c r="T41" i="5" s="1"/>
  <c r="U57" i="5"/>
  <c r="T57" i="5" s="1"/>
  <c r="U73" i="5"/>
  <c r="T73" i="5" s="1"/>
  <c r="U10" i="5"/>
  <c r="T10" i="5" s="1"/>
  <c r="U12" i="5"/>
  <c r="T12" i="5" s="1"/>
  <c r="U13" i="5"/>
  <c r="T13" i="5" s="1"/>
  <c r="U26" i="5"/>
  <c r="T26" i="5" s="1"/>
  <c r="U28" i="5"/>
  <c r="T28" i="5" s="1"/>
  <c r="U29" i="5"/>
  <c r="T29" i="5" s="1"/>
  <c r="U42" i="5"/>
  <c r="T42" i="5" s="1"/>
  <c r="U44" i="5"/>
  <c r="T44" i="5" s="1"/>
  <c r="U45" i="5"/>
  <c r="T45" i="5" s="1"/>
  <c r="U58" i="5"/>
  <c r="T58" i="5" s="1"/>
  <c r="U60" i="5"/>
  <c r="T60" i="5" s="1"/>
  <c r="U61" i="5"/>
  <c r="T61" i="5" s="1"/>
  <c r="U11" i="5"/>
  <c r="T11" i="5" s="1"/>
  <c r="U14" i="5"/>
  <c r="T14" i="5" s="1"/>
  <c r="U15" i="5"/>
  <c r="T15" i="5" s="1"/>
  <c r="U27" i="5"/>
  <c r="T27" i="5" s="1"/>
  <c r="U30" i="5"/>
  <c r="T30" i="5" s="1"/>
  <c r="U31" i="5"/>
  <c r="T31" i="5" s="1"/>
  <c r="U43" i="5"/>
  <c r="T43" i="5" s="1"/>
  <c r="U46" i="5"/>
  <c r="T46" i="5" s="1"/>
  <c r="U47" i="5"/>
  <c r="T47" i="5" s="1"/>
  <c r="U59" i="5"/>
  <c r="T59" i="5" s="1"/>
  <c r="U62" i="5"/>
  <c r="T62" i="5" s="1"/>
  <c r="U63" i="5"/>
  <c r="T63" i="5" s="1"/>
  <c r="U75" i="5"/>
  <c r="T75" i="5" s="1"/>
  <c r="U78" i="5"/>
  <c r="T78" i="5" s="1"/>
  <c r="U79" i="5"/>
  <c r="T79" i="5" s="1"/>
  <c r="U18" i="5"/>
  <c r="T18" i="5" s="1"/>
  <c r="U20" i="5"/>
  <c r="T20" i="5" s="1"/>
  <c r="U21" i="5"/>
  <c r="T21" i="5" s="1"/>
  <c r="U34" i="5"/>
  <c r="T34" i="5" s="1"/>
  <c r="U36" i="5"/>
  <c r="T36" i="5" s="1"/>
  <c r="U37" i="5"/>
  <c r="T37" i="5" s="1"/>
  <c r="U50" i="5"/>
  <c r="T50" i="5" s="1"/>
  <c r="U52" i="5"/>
  <c r="T52" i="5" s="1"/>
  <c r="U53" i="5"/>
  <c r="T53" i="5" s="1"/>
  <c r="U66" i="5"/>
  <c r="T66" i="5" s="1"/>
  <c r="U68" i="5"/>
  <c r="T68" i="5" s="1"/>
  <c r="U69" i="5"/>
  <c r="T69" i="5" s="1"/>
  <c r="U32" i="5"/>
  <c r="T32" i="5" s="1"/>
  <c r="U76" i="5"/>
  <c r="T76" i="5" s="1"/>
  <c r="U97" i="5"/>
  <c r="T97" i="5" s="1"/>
  <c r="U17" i="5"/>
  <c r="T17" i="5" s="1"/>
  <c r="U81" i="5"/>
  <c r="T81" i="5" s="1"/>
  <c r="U82" i="5"/>
  <c r="T82" i="5" s="1"/>
  <c r="U84" i="5"/>
  <c r="T84" i="5" s="1"/>
  <c r="U85" i="5"/>
  <c r="T85" i="5" s="1"/>
  <c r="U98" i="5"/>
  <c r="T98" i="5" s="1"/>
  <c r="U100" i="5"/>
  <c r="T100" i="5" s="1"/>
  <c r="U101" i="5"/>
  <c r="T101" i="5" s="1"/>
  <c r="U48" i="5"/>
  <c r="T48" i="5" s="1"/>
  <c r="U74" i="5"/>
  <c r="T74" i="5" s="1"/>
  <c r="U83" i="5"/>
  <c r="T83" i="5" s="1"/>
  <c r="U86" i="5"/>
  <c r="T86" i="5" s="1"/>
  <c r="U87" i="5"/>
  <c r="T87" i="5" s="1"/>
  <c r="U99" i="5"/>
  <c r="T99" i="5" s="1"/>
  <c r="U104" i="5"/>
  <c r="T104" i="5" s="1"/>
  <c r="U33" i="5"/>
  <c r="T33" i="5" s="1"/>
  <c r="U77" i="5"/>
  <c r="T77" i="5" s="1"/>
  <c r="U88" i="5"/>
  <c r="T88" i="5" s="1"/>
  <c r="U103" i="5"/>
  <c r="T103" i="5" s="1"/>
  <c r="U64" i="5"/>
  <c r="T64" i="5" s="1"/>
  <c r="U89" i="5"/>
  <c r="T89" i="5" s="1"/>
  <c r="U102" i="5"/>
  <c r="T102" i="5" s="1"/>
  <c r="U65" i="5"/>
  <c r="T65" i="5" s="1"/>
  <c r="U96" i="5"/>
  <c r="T96" i="5" s="1"/>
  <c r="U49" i="5"/>
  <c r="T49" i="5" s="1"/>
  <c r="U90" i="5"/>
  <c r="T90" i="5" s="1"/>
  <c r="U94" i="5"/>
  <c r="T94" i="5" s="1"/>
  <c r="U91" i="5"/>
  <c r="T91" i="5" s="1"/>
  <c r="U95" i="5"/>
  <c r="T95" i="5" s="1"/>
  <c r="U80" i="5"/>
  <c r="T80" i="5" s="1"/>
  <c r="U92" i="5"/>
  <c r="T92" i="5" s="1"/>
  <c r="U16" i="5"/>
  <c r="T16" i="5" s="1"/>
  <c r="U93" i="5"/>
  <c r="T93" i="5" s="1"/>
  <c r="R105" i="5"/>
  <c r="S8" i="5"/>
  <c r="R8" i="5" s="1"/>
  <c r="S24" i="5"/>
  <c r="R24" i="5" s="1"/>
  <c r="S40" i="5"/>
  <c r="R40" i="5" s="1"/>
  <c r="S56" i="5"/>
  <c r="R56" i="5" s="1"/>
  <c r="S72" i="5"/>
  <c r="R72" i="5" s="1"/>
  <c r="S9" i="5"/>
  <c r="R9" i="5" s="1"/>
  <c r="S10" i="5"/>
  <c r="R10" i="5" s="1"/>
  <c r="S13" i="5"/>
  <c r="R13" i="5" s="1"/>
  <c r="S25" i="5"/>
  <c r="R25" i="5" s="1"/>
  <c r="S26" i="5"/>
  <c r="R26" i="5" s="1"/>
  <c r="S29" i="5"/>
  <c r="R29" i="5" s="1"/>
  <c r="S41" i="5"/>
  <c r="R41" i="5" s="1"/>
  <c r="S42" i="5"/>
  <c r="R42" i="5" s="1"/>
  <c r="S45" i="5"/>
  <c r="R45" i="5" s="1"/>
  <c r="S57" i="5"/>
  <c r="R57" i="5" s="1"/>
  <c r="S58" i="5"/>
  <c r="R58" i="5" s="1"/>
  <c r="S61" i="5"/>
  <c r="R61" i="5" s="1"/>
  <c r="S73" i="5"/>
  <c r="R73" i="5" s="1"/>
  <c r="S74" i="5"/>
  <c r="R74" i="5" s="1"/>
  <c r="S77" i="5"/>
  <c r="R77" i="5" s="1"/>
  <c r="S11" i="5"/>
  <c r="R11" i="5" s="1"/>
  <c r="S12" i="5"/>
  <c r="R12" i="5" s="1"/>
  <c r="S14" i="5"/>
  <c r="R14" i="5" s="1"/>
  <c r="S27" i="5"/>
  <c r="R27" i="5" s="1"/>
  <c r="S28" i="5"/>
  <c r="R28" i="5" s="1"/>
  <c r="S30" i="5"/>
  <c r="R30" i="5" s="1"/>
  <c r="S43" i="5"/>
  <c r="R43" i="5" s="1"/>
  <c r="S44" i="5"/>
  <c r="R44" i="5" s="1"/>
  <c r="S46" i="5"/>
  <c r="R46" i="5" s="1"/>
  <c r="S59" i="5"/>
  <c r="R59" i="5" s="1"/>
  <c r="S60" i="5"/>
  <c r="R60" i="5" s="1"/>
  <c r="S62" i="5"/>
  <c r="R62" i="5" s="1"/>
  <c r="S75" i="5"/>
  <c r="R75" i="5" s="1"/>
  <c r="S76" i="5"/>
  <c r="R76" i="5" s="1"/>
  <c r="S78" i="5"/>
  <c r="R78" i="5" s="1"/>
  <c r="S15" i="5"/>
  <c r="R15" i="5" s="1"/>
  <c r="S31" i="5"/>
  <c r="R31" i="5" s="1"/>
  <c r="S47" i="5"/>
  <c r="R47" i="5" s="1"/>
  <c r="S63" i="5"/>
  <c r="R63" i="5" s="1"/>
  <c r="S16" i="5"/>
  <c r="R16" i="5" s="1"/>
  <c r="S32" i="5"/>
  <c r="R32" i="5" s="1"/>
  <c r="S48" i="5"/>
  <c r="R48" i="5" s="1"/>
  <c r="S64" i="5"/>
  <c r="R64" i="5" s="1"/>
  <c r="S80" i="5"/>
  <c r="R80" i="5" s="1"/>
  <c r="S7" i="5"/>
  <c r="S23" i="5"/>
  <c r="R23" i="5" s="1"/>
  <c r="S39" i="5"/>
  <c r="R39" i="5" s="1"/>
  <c r="S55" i="5"/>
  <c r="R55" i="5" s="1"/>
  <c r="S71" i="5"/>
  <c r="R71" i="5" s="1"/>
  <c r="S17" i="5"/>
  <c r="R17" i="5" s="1"/>
  <c r="S21" i="5"/>
  <c r="R21" i="5" s="1"/>
  <c r="S66" i="5"/>
  <c r="R66" i="5" s="1"/>
  <c r="S81" i="5"/>
  <c r="R81" i="5" s="1"/>
  <c r="S83" i="5"/>
  <c r="R83" i="5" s="1"/>
  <c r="S84" i="5"/>
  <c r="R84" i="5" s="1"/>
  <c r="S86" i="5"/>
  <c r="R86" i="5" s="1"/>
  <c r="S99" i="5"/>
  <c r="R99" i="5" s="1"/>
  <c r="S100" i="5"/>
  <c r="R100" i="5" s="1"/>
  <c r="S36" i="5"/>
  <c r="R36" i="5" s="1"/>
  <c r="S51" i="5"/>
  <c r="R51" i="5" s="1"/>
  <c r="S69" i="5"/>
  <c r="R69" i="5" s="1"/>
  <c r="S79" i="5"/>
  <c r="R79" i="5" s="1"/>
  <c r="S87" i="5"/>
  <c r="R87" i="5" s="1"/>
  <c r="S104" i="5"/>
  <c r="R104" i="5" s="1"/>
  <c r="S18" i="5"/>
  <c r="R18" i="5" s="1"/>
  <c r="S33" i="5"/>
  <c r="R33" i="5" s="1"/>
  <c r="S37" i="5"/>
  <c r="R37" i="5" s="1"/>
  <c r="S88" i="5"/>
  <c r="R88" i="5" s="1"/>
  <c r="S103" i="5"/>
  <c r="R103" i="5" s="1"/>
  <c r="S22" i="5"/>
  <c r="R22" i="5" s="1"/>
  <c r="S52" i="5"/>
  <c r="R52" i="5" s="1"/>
  <c r="S89" i="5"/>
  <c r="R89" i="5" s="1"/>
  <c r="S90" i="5"/>
  <c r="R90" i="5" s="1"/>
  <c r="S93" i="5"/>
  <c r="R93" i="5" s="1"/>
  <c r="S102" i="5"/>
  <c r="R102" i="5" s="1"/>
  <c r="S34" i="5"/>
  <c r="R34" i="5" s="1"/>
  <c r="S49" i="5"/>
  <c r="R49" i="5" s="1"/>
  <c r="S53" i="5"/>
  <c r="R53" i="5" s="1"/>
  <c r="S67" i="5"/>
  <c r="R67" i="5" s="1"/>
  <c r="S91" i="5"/>
  <c r="R91" i="5" s="1"/>
  <c r="S92" i="5"/>
  <c r="R92" i="5" s="1"/>
  <c r="S94" i="5"/>
  <c r="R94" i="5" s="1"/>
  <c r="S20" i="5"/>
  <c r="R20" i="5" s="1"/>
  <c r="S35" i="5"/>
  <c r="R35" i="5" s="1"/>
  <c r="S54" i="5"/>
  <c r="R54" i="5" s="1"/>
  <c r="S68" i="5"/>
  <c r="R68" i="5" s="1"/>
  <c r="S82" i="5"/>
  <c r="R82" i="5" s="1"/>
  <c r="S85" i="5"/>
  <c r="R85" i="5" s="1"/>
  <c r="S97" i="5"/>
  <c r="R97" i="5" s="1"/>
  <c r="S98" i="5"/>
  <c r="R98" i="5" s="1"/>
  <c r="S101" i="5"/>
  <c r="R101" i="5" s="1"/>
  <c r="S19" i="5"/>
  <c r="R19" i="5" s="1"/>
  <c r="S50" i="5"/>
  <c r="R50" i="5" s="1"/>
  <c r="S65" i="5"/>
  <c r="R65" i="5" s="1"/>
  <c r="S38" i="5"/>
  <c r="R38" i="5" s="1"/>
  <c r="S95" i="5"/>
  <c r="R95" i="5" s="1"/>
  <c r="S70" i="5"/>
  <c r="R70" i="5" s="1"/>
  <c r="S96" i="5"/>
  <c r="R96" i="5" s="1"/>
  <c r="X105" i="5"/>
  <c r="Y15" i="5"/>
  <c r="X15" i="5" s="1"/>
  <c r="Y16" i="5"/>
  <c r="X16" i="5" s="1"/>
  <c r="Y31" i="5"/>
  <c r="X31" i="5" s="1"/>
  <c r="Y32" i="5"/>
  <c r="X32" i="5" s="1"/>
  <c r="Y47" i="5"/>
  <c r="X47" i="5" s="1"/>
  <c r="Y48" i="5"/>
  <c r="X48" i="5" s="1"/>
  <c r="Y63" i="5"/>
  <c r="X63" i="5" s="1"/>
  <c r="Y64" i="5"/>
  <c r="X64" i="5" s="1"/>
  <c r="Y79" i="5"/>
  <c r="X79" i="5" s="1"/>
  <c r="Y80" i="5"/>
  <c r="X80" i="5" s="1"/>
  <c r="Y17" i="5"/>
  <c r="X17" i="5" s="1"/>
  <c r="Y33" i="5"/>
  <c r="X33" i="5" s="1"/>
  <c r="Y49" i="5"/>
  <c r="X49" i="5" s="1"/>
  <c r="Y65" i="5"/>
  <c r="X65" i="5" s="1"/>
  <c r="Y18" i="5"/>
  <c r="X18" i="5" s="1"/>
  <c r="Y19" i="5"/>
  <c r="X19" i="5" s="1"/>
  <c r="Y20" i="5"/>
  <c r="X20" i="5" s="1"/>
  <c r="Y21" i="5"/>
  <c r="X21" i="5" s="1"/>
  <c r="Y34" i="5"/>
  <c r="X34" i="5" s="1"/>
  <c r="Y35" i="5"/>
  <c r="X35" i="5" s="1"/>
  <c r="Y36" i="5"/>
  <c r="X36" i="5" s="1"/>
  <c r="Y37" i="5"/>
  <c r="X37" i="5" s="1"/>
  <c r="Y50" i="5"/>
  <c r="X50" i="5" s="1"/>
  <c r="Y51" i="5"/>
  <c r="X51" i="5" s="1"/>
  <c r="Y52" i="5"/>
  <c r="X52" i="5" s="1"/>
  <c r="Y53" i="5"/>
  <c r="X53" i="5" s="1"/>
  <c r="Y66" i="5"/>
  <c r="X66" i="5" s="1"/>
  <c r="Y67" i="5"/>
  <c r="X67" i="5" s="1"/>
  <c r="Y68" i="5"/>
  <c r="X68" i="5" s="1"/>
  <c r="Y69" i="5"/>
  <c r="X69" i="5" s="1"/>
  <c r="Y22" i="5"/>
  <c r="X22" i="5" s="1"/>
  <c r="Y38" i="5"/>
  <c r="X38" i="5" s="1"/>
  <c r="Y54" i="5"/>
  <c r="X54" i="5" s="1"/>
  <c r="Y7" i="5"/>
  <c r="Y8" i="5"/>
  <c r="X8" i="5" s="1"/>
  <c r="Y23" i="5"/>
  <c r="X23" i="5" s="1"/>
  <c r="Y24" i="5"/>
  <c r="X24" i="5" s="1"/>
  <c r="Y39" i="5"/>
  <c r="X39" i="5" s="1"/>
  <c r="Y40" i="5"/>
  <c r="X40" i="5" s="1"/>
  <c r="Y55" i="5"/>
  <c r="X55" i="5" s="1"/>
  <c r="Y56" i="5"/>
  <c r="X56" i="5" s="1"/>
  <c r="Y71" i="5"/>
  <c r="X71" i="5" s="1"/>
  <c r="Y72" i="5"/>
  <c r="X72" i="5" s="1"/>
  <c r="Y14" i="5"/>
  <c r="X14" i="5" s="1"/>
  <c r="Y30" i="5"/>
  <c r="X30" i="5" s="1"/>
  <c r="Y46" i="5"/>
  <c r="X46" i="5" s="1"/>
  <c r="Y62" i="5"/>
  <c r="X62" i="5" s="1"/>
  <c r="Y78" i="5"/>
  <c r="X78" i="5" s="1"/>
  <c r="Y9" i="5"/>
  <c r="X9" i="5" s="1"/>
  <c r="Y73" i="5"/>
  <c r="X73" i="5" s="1"/>
  <c r="Y90" i="5"/>
  <c r="X90" i="5" s="1"/>
  <c r="Y91" i="5"/>
  <c r="X91" i="5" s="1"/>
  <c r="Y92" i="5"/>
  <c r="X92" i="5" s="1"/>
  <c r="Y93" i="5"/>
  <c r="X93" i="5" s="1"/>
  <c r="Y13" i="5"/>
  <c r="X13" i="5" s="1"/>
  <c r="Y28" i="5"/>
  <c r="X28" i="5" s="1"/>
  <c r="Y43" i="5"/>
  <c r="X43" i="5" s="1"/>
  <c r="Y58" i="5"/>
  <c r="X58" i="5" s="1"/>
  <c r="Y94" i="5"/>
  <c r="X94" i="5" s="1"/>
  <c r="Y25" i="5"/>
  <c r="X25" i="5" s="1"/>
  <c r="Y76" i="5"/>
  <c r="X76" i="5" s="1"/>
  <c r="Y95" i="5"/>
  <c r="X95" i="5" s="1"/>
  <c r="Y96" i="5"/>
  <c r="X96" i="5" s="1"/>
  <c r="Y10" i="5"/>
  <c r="X10" i="5" s="1"/>
  <c r="Y29" i="5"/>
  <c r="X29" i="5" s="1"/>
  <c r="Y44" i="5"/>
  <c r="X44" i="5" s="1"/>
  <c r="Y59" i="5"/>
  <c r="X59" i="5" s="1"/>
  <c r="Y81" i="5"/>
  <c r="X81" i="5" s="1"/>
  <c r="Y97" i="5"/>
  <c r="X97" i="5" s="1"/>
  <c r="Y104" i="5"/>
  <c r="X104" i="5" s="1"/>
  <c r="Y41" i="5"/>
  <c r="X41" i="5" s="1"/>
  <c r="Y74" i="5"/>
  <c r="X74" i="5" s="1"/>
  <c r="Y82" i="5"/>
  <c r="X82" i="5" s="1"/>
  <c r="Y83" i="5"/>
  <c r="X83" i="5" s="1"/>
  <c r="Y84" i="5"/>
  <c r="X84" i="5" s="1"/>
  <c r="Y85" i="5"/>
  <c r="X85" i="5" s="1"/>
  <c r="Y98" i="5"/>
  <c r="X98" i="5" s="1"/>
  <c r="Y99" i="5"/>
  <c r="X99" i="5" s="1"/>
  <c r="Y100" i="5"/>
  <c r="X100" i="5" s="1"/>
  <c r="Y101" i="5"/>
  <c r="X101" i="5" s="1"/>
  <c r="Y12" i="5"/>
  <c r="X12" i="5" s="1"/>
  <c r="Y27" i="5"/>
  <c r="X27" i="5" s="1"/>
  <c r="Y42" i="5"/>
  <c r="X42" i="5" s="1"/>
  <c r="Y61" i="5"/>
  <c r="X61" i="5" s="1"/>
  <c r="Y75" i="5"/>
  <c r="X75" i="5" s="1"/>
  <c r="Y89" i="5"/>
  <c r="X89" i="5" s="1"/>
  <c r="Y102" i="5"/>
  <c r="X102" i="5" s="1"/>
  <c r="Y86" i="5"/>
  <c r="X86" i="5" s="1"/>
  <c r="Y77" i="5"/>
  <c r="X77" i="5" s="1"/>
  <c r="Y87" i="5"/>
  <c r="X87" i="5" s="1"/>
  <c r="Y11" i="5"/>
  <c r="X11" i="5" s="1"/>
  <c r="Y26" i="5"/>
  <c r="X26" i="5" s="1"/>
  <c r="Y57" i="5"/>
  <c r="X57" i="5" s="1"/>
  <c r="Y70" i="5"/>
  <c r="X70" i="5" s="1"/>
  <c r="Y88" i="5"/>
  <c r="X88" i="5" s="1"/>
  <c r="Y103" i="5"/>
  <c r="X103" i="5" s="1"/>
  <c r="Y45" i="5"/>
  <c r="X45" i="5" s="1"/>
  <c r="Y60" i="5"/>
  <c r="X60" i="5" s="1"/>
  <c r="J115" i="18"/>
  <c r="J31" i="18"/>
  <c r="J143" i="18"/>
  <c r="K65" i="18"/>
  <c r="K63" i="18"/>
  <c r="K67" i="18"/>
  <c r="K64" i="18"/>
  <c r="BE25" i="1"/>
  <c r="J26" i="18" s="1"/>
  <c r="BH25" i="1"/>
  <c r="J110" i="18" s="1"/>
  <c r="BH15" i="1"/>
  <c r="BF15" i="1"/>
  <c r="R26" i="1"/>
  <c r="O26" i="1"/>
  <c r="U26" i="1"/>
  <c r="L26" i="1"/>
  <c r="I26" i="1"/>
  <c r="L21" i="1"/>
  <c r="U21" i="1"/>
  <c r="R21" i="1"/>
  <c r="I21" i="1"/>
  <c r="O21" i="1"/>
  <c r="U14" i="1"/>
  <c r="O14" i="1"/>
  <c r="L14" i="1"/>
  <c r="I14" i="1"/>
  <c r="R14" i="1"/>
  <c r="O8" i="1"/>
  <c r="R8" i="1"/>
  <c r="U8" i="1"/>
  <c r="I8" i="1"/>
  <c r="L8" i="1"/>
  <c r="R17" i="1"/>
  <c r="I17" i="1"/>
  <c r="O17" i="1"/>
  <c r="U17" i="1"/>
  <c r="L17" i="1"/>
  <c r="R9" i="1"/>
  <c r="I9" i="1"/>
  <c r="O9" i="1"/>
  <c r="U9" i="1"/>
  <c r="L9" i="1"/>
  <c r="I12" i="1"/>
  <c r="U12" i="1"/>
  <c r="L12" i="1"/>
  <c r="O12" i="1"/>
  <c r="R12" i="1"/>
  <c r="I7" i="1"/>
  <c r="L7" i="1"/>
  <c r="R7" i="1"/>
  <c r="O7" i="1"/>
  <c r="U7" i="1"/>
  <c r="BI15" i="1"/>
  <c r="BE15" i="1"/>
  <c r="U11" i="1"/>
  <c r="I11" i="1"/>
  <c r="L11" i="1"/>
  <c r="O11" i="1"/>
  <c r="R11" i="1"/>
  <c r="BE8" i="1"/>
  <c r="U23" i="1"/>
  <c r="I23" i="1"/>
  <c r="O23" i="1"/>
  <c r="L23" i="1"/>
  <c r="R23" i="1"/>
  <c r="U20" i="1"/>
  <c r="I20" i="1"/>
  <c r="L20" i="1"/>
  <c r="O20" i="1"/>
  <c r="R20" i="1"/>
  <c r="R29" i="1"/>
  <c r="I29" i="1"/>
  <c r="U29" i="1"/>
  <c r="O29" i="1"/>
  <c r="L29" i="1"/>
  <c r="I4" i="1"/>
  <c r="R4" i="1"/>
  <c r="L4" i="1"/>
  <c r="O4" i="1"/>
  <c r="O27" i="1"/>
  <c r="U27" i="1"/>
  <c r="I27" i="1"/>
  <c r="L27" i="1"/>
  <c r="R27" i="1"/>
  <c r="L22" i="1"/>
  <c r="U22" i="1"/>
  <c r="O22" i="1"/>
  <c r="I22" i="1"/>
  <c r="R22" i="1"/>
  <c r="R5" i="1"/>
  <c r="L5" i="1"/>
  <c r="U5" i="1"/>
  <c r="O5" i="1"/>
  <c r="I5" i="1"/>
  <c r="I28" i="1"/>
  <c r="U28" i="1"/>
  <c r="O28" i="1"/>
  <c r="R28" i="1"/>
  <c r="L28" i="1"/>
  <c r="L6" i="1"/>
  <c r="U6" i="1"/>
  <c r="O6" i="1"/>
  <c r="R6" i="1"/>
  <c r="I6" i="1"/>
  <c r="I15" i="1"/>
  <c r="O15" i="1"/>
  <c r="R15" i="1"/>
  <c r="U15" i="1"/>
  <c r="L15" i="1"/>
  <c r="R13" i="1"/>
  <c r="L13" i="1"/>
  <c r="O13" i="1"/>
  <c r="U13" i="1"/>
  <c r="I13" i="1"/>
  <c r="O19" i="1"/>
  <c r="I19" i="1"/>
  <c r="U19" i="1"/>
  <c r="L19" i="1"/>
  <c r="R19" i="1"/>
  <c r="U16" i="1"/>
  <c r="I16" i="1"/>
  <c r="R16" i="1"/>
  <c r="O16" i="1"/>
  <c r="L16" i="1"/>
  <c r="R10" i="1"/>
  <c r="O10" i="1"/>
  <c r="U10" i="1"/>
  <c r="I10" i="1"/>
  <c r="L10" i="1"/>
  <c r="O18" i="1"/>
  <c r="U18" i="1"/>
  <c r="R18" i="1"/>
  <c r="I18" i="1"/>
  <c r="L18" i="1"/>
  <c r="O24" i="1"/>
  <c r="I24" i="1"/>
  <c r="R24" i="1"/>
  <c r="L24" i="1"/>
  <c r="U24" i="1"/>
  <c r="BE18" i="1"/>
  <c r="BE16" i="1"/>
  <c r="BF16" i="1"/>
  <c r="BI16" i="1"/>
  <c r="BG6" i="1"/>
  <c r="BG20" i="1"/>
  <c r="BI18" i="1"/>
  <c r="BF8" i="1"/>
  <c r="BG16" i="1"/>
  <c r="BI8" i="1"/>
  <c r="BH6" i="1"/>
  <c r="BH20" i="1"/>
  <c r="BH29" i="1"/>
  <c r="BI20" i="1"/>
  <c r="BE20" i="1"/>
  <c r="BE29" i="1"/>
  <c r="BI29" i="1"/>
  <c r="BF25" i="1"/>
  <c r="J54" i="18" s="1"/>
  <c r="BG25" i="1"/>
  <c r="J82" i="18" s="1"/>
  <c r="BG8" i="1"/>
  <c r="BH18" i="1"/>
  <c r="BF18" i="1"/>
  <c r="BF29" i="1"/>
  <c r="BI6" i="1"/>
  <c r="BE6" i="1"/>
  <c r="BG23" i="1"/>
  <c r="BH23" i="1"/>
  <c r="BI23" i="1"/>
  <c r="BF23" i="1"/>
  <c r="BE23" i="1"/>
  <c r="BF27" i="1"/>
  <c r="BI27" i="1"/>
  <c r="BH27" i="1"/>
  <c r="J112" i="18" s="1"/>
  <c r="BE27" i="1"/>
  <c r="BG27" i="1"/>
  <c r="BF26" i="1"/>
  <c r="BH26" i="1"/>
  <c r="BI26" i="1"/>
  <c r="BE26" i="1"/>
  <c r="BG26" i="1"/>
  <c r="BG4" i="1"/>
  <c r="BH4" i="1"/>
  <c r="BE4" i="1"/>
  <c r="BF4" i="1"/>
  <c r="BF19" i="1"/>
  <c r="BH19" i="1"/>
  <c r="BI19" i="1"/>
  <c r="BG19" i="1"/>
  <c r="BE19" i="1"/>
  <c r="BI9" i="1"/>
  <c r="BE9" i="1"/>
  <c r="BF9" i="1"/>
  <c r="BG9" i="1"/>
  <c r="BH9" i="1"/>
  <c r="BH11" i="1"/>
  <c r="BI11" i="1"/>
  <c r="BG11" i="1"/>
  <c r="BF11" i="1"/>
  <c r="BE11" i="1"/>
  <c r="BI14" i="1"/>
  <c r="BH14" i="1"/>
  <c r="BE14" i="1"/>
  <c r="BF14" i="1"/>
  <c r="BG14" i="1"/>
  <c r="BG12" i="1"/>
  <c r="BI12" i="1"/>
  <c r="BH12" i="1"/>
  <c r="BF12" i="1"/>
  <c r="BE12" i="1"/>
  <c r="BF24" i="1"/>
  <c r="BI24" i="1"/>
  <c r="BG24" i="1"/>
  <c r="BE24" i="1"/>
  <c r="BH24" i="1"/>
  <c r="BF28" i="1"/>
  <c r="BE28" i="1"/>
  <c r="BH28" i="1"/>
  <c r="BG28" i="1"/>
  <c r="BI28" i="1"/>
  <c r="BG7" i="1"/>
  <c r="BE7" i="1"/>
  <c r="BI7" i="1"/>
  <c r="BF7" i="1"/>
  <c r="BH7" i="1"/>
  <c r="BE5" i="1"/>
  <c r="BI5" i="1"/>
  <c r="BH5" i="1"/>
  <c r="BG5" i="1"/>
  <c r="BF5" i="1"/>
  <c r="BF17" i="1"/>
  <c r="BH17" i="1"/>
  <c r="BG17" i="1"/>
  <c r="BE17" i="1"/>
  <c r="BI17" i="1"/>
  <c r="BI22" i="1"/>
  <c r="BF22" i="1"/>
  <c r="BH22" i="1"/>
  <c r="BE22" i="1"/>
  <c r="BG22" i="1"/>
  <c r="BH13" i="1"/>
  <c r="BG13" i="1"/>
  <c r="BF13" i="1"/>
  <c r="BI13" i="1"/>
  <c r="BE13" i="1"/>
  <c r="BE21" i="1"/>
  <c r="BI21" i="1"/>
  <c r="BH21" i="1"/>
  <c r="BF21" i="1"/>
  <c r="BG21" i="1"/>
  <c r="BG10" i="1"/>
  <c r="BF10" i="1"/>
  <c r="BH10" i="1"/>
  <c r="BI10" i="1"/>
  <c r="BE10" i="1"/>
  <c r="AJ93" i="9" l="1"/>
  <c r="X41" i="9"/>
  <c r="I121" i="9"/>
  <c r="J121" i="9"/>
  <c r="H121" i="9"/>
  <c r="K121" i="9"/>
  <c r="F121" i="9"/>
  <c r="G121" i="9"/>
  <c r="N126" i="9"/>
  <c r="O126" i="9"/>
  <c r="L126" i="9"/>
  <c r="M126" i="9"/>
  <c r="J152" i="9"/>
  <c r="K152" i="9"/>
  <c r="G152" i="9"/>
  <c r="H152" i="9"/>
  <c r="I152" i="9"/>
  <c r="F152" i="9"/>
  <c r="N138" i="9"/>
  <c r="O138" i="9"/>
  <c r="L138" i="9"/>
  <c r="M138" i="9"/>
  <c r="O185" i="9"/>
  <c r="L185" i="9"/>
  <c r="M185" i="9"/>
  <c r="N185" i="9"/>
  <c r="L139" i="9"/>
  <c r="M139" i="9"/>
  <c r="N139" i="9"/>
  <c r="O139" i="9"/>
  <c r="L251" i="9"/>
  <c r="M251" i="9"/>
  <c r="N251" i="9"/>
  <c r="O251" i="9"/>
  <c r="N162" i="9"/>
  <c r="O162" i="9"/>
  <c r="L162" i="9"/>
  <c r="M162" i="9"/>
  <c r="F194" i="9"/>
  <c r="G194" i="9"/>
  <c r="H194" i="9"/>
  <c r="I194" i="9"/>
  <c r="J194" i="9"/>
  <c r="K194" i="9"/>
  <c r="J128" i="9"/>
  <c r="K128" i="9"/>
  <c r="G128" i="9"/>
  <c r="H128" i="9"/>
  <c r="I128" i="9"/>
  <c r="F128" i="9"/>
  <c r="G15" i="9"/>
  <c r="H15" i="9"/>
  <c r="I15" i="9"/>
  <c r="J15" i="9"/>
  <c r="F15" i="9"/>
  <c r="K15" i="9"/>
  <c r="O212" i="9"/>
  <c r="L212" i="9"/>
  <c r="N212" i="9"/>
  <c r="M212" i="9"/>
  <c r="L127" i="9"/>
  <c r="M127" i="9"/>
  <c r="N127" i="9"/>
  <c r="O127" i="9"/>
  <c r="O118" i="9"/>
  <c r="M118" i="9"/>
  <c r="N118" i="9"/>
  <c r="L118" i="9"/>
  <c r="H169" i="9"/>
  <c r="I169" i="9"/>
  <c r="J169" i="9"/>
  <c r="K169" i="9"/>
  <c r="F169" i="9"/>
  <c r="G169" i="9"/>
  <c r="L148" i="9"/>
  <c r="M148" i="9"/>
  <c r="O148" i="9"/>
  <c r="N148" i="9"/>
  <c r="O106" i="9"/>
  <c r="N106" i="9"/>
  <c r="M106" i="9"/>
  <c r="L106" i="9"/>
  <c r="J181" i="9"/>
  <c r="K181" i="9"/>
  <c r="I181" i="9"/>
  <c r="F181" i="9"/>
  <c r="G181" i="9"/>
  <c r="H181" i="9"/>
  <c r="L195" i="9"/>
  <c r="N195" i="9"/>
  <c r="O195" i="9"/>
  <c r="M195" i="9"/>
  <c r="F138" i="9"/>
  <c r="G138" i="9"/>
  <c r="H138" i="9"/>
  <c r="I138" i="9"/>
  <c r="J138" i="9"/>
  <c r="K138" i="9"/>
  <c r="F115" i="9"/>
  <c r="G115" i="9"/>
  <c r="H115" i="9"/>
  <c r="I115" i="9"/>
  <c r="J115" i="9"/>
  <c r="K115" i="9"/>
  <c r="L149" i="9"/>
  <c r="M149" i="9"/>
  <c r="N149" i="9"/>
  <c r="O149" i="9"/>
  <c r="L291" i="9"/>
  <c r="M291" i="9"/>
  <c r="N291" i="9"/>
  <c r="O291" i="9"/>
  <c r="H141" i="9"/>
  <c r="I141" i="9"/>
  <c r="J141" i="9"/>
  <c r="K141" i="9"/>
  <c r="F141" i="9"/>
  <c r="G141" i="9"/>
  <c r="M202" i="9"/>
  <c r="N202" i="9"/>
  <c r="O202" i="9"/>
  <c r="L202" i="9"/>
  <c r="O302" i="9"/>
  <c r="L302" i="9"/>
  <c r="M302" i="9"/>
  <c r="N302" i="9"/>
  <c r="F146" i="9"/>
  <c r="G146" i="9"/>
  <c r="H146" i="9"/>
  <c r="I146" i="9"/>
  <c r="J146" i="9"/>
  <c r="K146" i="9"/>
  <c r="L109" i="9"/>
  <c r="M109" i="9"/>
  <c r="N109" i="9"/>
  <c r="O109" i="9"/>
  <c r="I66" i="9"/>
  <c r="J66" i="9"/>
  <c r="K66" i="9"/>
  <c r="H66" i="9"/>
  <c r="F66" i="9"/>
  <c r="G66" i="9"/>
  <c r="K176" i="9"/>
  <c r="F176" i="9"/>
  <c r="H176" i="9"/>
  <c r="I176" i="9"/>
  <c r="J176" i="9"/>
  <c r="G176" i="9"/>
  <c r="F135" i="9"/>
  <c r="G135" i="9"/>
  <c r="H135" i="9"/>
  <c r="I135" i="9"/>
  <c r="K135" i="9"/>
  <c r="J135" i="9"/>
  <c r="H42" i="9"/>
  <c r="I42" i="9"/>
  <c r="J42" i="9"/>
  <c r="K42" i="9"/>
  <c r="F42" i="9"/>
  <c r="G42" i="9"/>
  <c r="K103" i="9"/>
  <c r="F103" i="9"/>
  <c r="G103" i="9"/>
  <c r="J103" i="9"/>
  <c r="I103" i="9"/>
  <c r="H103" i="9"/>
  <c r="L147" i="9"/>
  <c r="M147" i="9"/>
  <c r="N147" i="9"/>
  <c r="O147" i="9"/>
  <c r="L163" i="9"/>
  <c r="M163" i="9"/>
  <c r="N163" i="9"/>
  <c r="O163" i="9"/>
  <c r="G185" i="9"/>
  <c r="H185" i="9"/>
  <c r="F185" i="9"/>
  <c r="I185" i="9"/>
  <c r="J185" i="9"/>
  <c r="K185" i="9"/>
  <c r="O278" i="9"/>
  <c r="N278" i="9"/>
  <c r="L278" i="9"/>
  <c r="M278" i="9"/>
  <c r="H149" i="9"/>
  <c r="I149" i="9"/>
  <c r="J149" i="9"/>
  <c r="K149" i="9"/>
  <c r="F149" i="9"/>
  <c r="G149" i="9"/>
  <c r="N178" i="9"/>
  <c r="O178" i="9"/>
  <c r="L178" i="9"/>
  <c r="M178" i="9"/>
  <c r="O214" i="9"/>
  <c r="N214" i="9"/>
  <c r="L214" i="9"/>
  <c r="M214" i="9"/>
  <c r="G197" i="9"/>
  <c r="H197" i="9"/>
  <c r="F197" i="9"/>
  <c r="I197" i="9"/>
  <c r="J197" i="9"/>
  <c r="K197" i="9"/>
  <c r="I113" i="9"/>
  <c r="J113" i="9"/>
  <c r="F113" i="9"/>
  <c r="G113" i="9"/>
  <c r="H113" i="9"/>
  <c r="K113" i="9"/>
  <c r="L125" i="9"/>
  <c r="M125" i="9"/>
  <c r="N125" i="9"/>
  <c r="O125" i="9"/>
  <c r="J168" i="9"/>
  <c r="K168" i="9"/>
  <c r="G168" i="9"/>
  <c r="H168" i="9"/>
  <c r="I168" i="9"/>
  <c r="F168" i="9"/>
  <c r="X86" i="9"/>
  <c r="G110" i="9"/>
  <c r="H110" i="9"/>
  <c r="I110" i="9"/>
  <c r="J110" i="9"/>
  <c r="K110" i="9"/>
  <c r="F110" i="9"/>
  <c r="G118" i="9"/>
  <c r="H118" i="9"/>
  <c r="F118" i="9"/>
  <c r="I118" i="9"/>
  <c r="J118" i="9"/>
  <c r="K118" i="9"/>
  <c r="O282" i="9"/>
  <c r="M282" i="9"/>
  <c r="L282" i="9"/>
  <c r="N282" i="9"/>
  <c r="L135" i="9"/>
  <c r="M135" i="9"/>
  <c r="N135" i="9"/>
  <c r="O135" i="9"/>
  <c r="I109" i="9"/>
  <c r="J109" i="9"/>
  <c r="F109" i="9"/>
  <c r="G109" i="9"/>
  <c r="H109" i="9"/>
  <c r="K109" i="9"/>
  <c r="L187" i="9"/>
  <c r="M187" i="9"/>
  <c r="N187" i="9"/>
  <c r="O187" i="9"/>
  <c r="F123" i="9"/>
  <c r="J123" i="9"/>
  <c r="K123" i="9"/>
  <c r="G123" i="9"/>
  <c r="H123" i="9"/>
  <c r="I123" i="9"/>
  <c r="N158" i="9"/>
  <c r="O158" i="9"/>
  <c r="L158" i="9"/>
  <c r="M158" i="9"/>
  <c r="F111" i="9"/>
  <c r="G111" i="9"/>
  <c r="H111" i="9"/>
  <c r="I111" i="9"/>
  <c r="J111" i="9"/>
  <c r="K111" i="9"/>
  <c r="I188" i="9"/>
  <c r="J188" i="9"/>
  <c r="H188" i="9"/>
  <c r="K188" i="9"/>
  <c r="F188" i="9"/>
  <c r="G188" i="9"/>
  <c r="F25" i="9"/>
  <c r="G25" i="9"/>
  <c r="H25" i="9"/>
  <c r="I25" i="9"/>
  <c r="J25" i="9"/>
  <c r="K25" i="9"/>
  <c r="K112" i="9"/>
  <c r="F112" i="9"/>
  <c r="G112" i="9"/>
  <c r="I112" i="9"/>
  <c r="J112" i="9"/>
  <c r="H112" i="9"/>
  <c r="H129" i="9"/>
  <c r="I129" i="9"/>
  <c r="J129" i="9"/>
  <c r="K129" i="9"/>
  <c r="F129" i="9"/>
  <c r="G129" i="9"/>
  <c r="L191" i="9"/>
  <c r="M191" i="9"/>
  <c r="N191" i="9"/>
  <c r="O191" i="9"/>
  <c r="L132" i="9"/>
  <c r="M132" i="9"/>
  <c r="O132" i="9"/>
  <c r="N132" i="9"/>
  <c r="L297" i="9"/>
  <c r="M297" i="9"/>
  <c r="N297" i="9"/>
  <c r="O297" i="9"/>
  <c r="M129" i="9"/>
  <c r="N129" i="9"/>
  <c r="O129" i="9"/>
  <c r="L129" i="9"/>
  <c r="J164" i="9"/>
  <c r="K164" i="9"/>
  <c r="F164" i="9"/>
  <c r="G164" i="9"/>
  <c r="H164" i="9"/>
  <c r="I164" i="9"/>
  <c r="L159" i="9"/>
  <c r="M159" i="9"/>
  <c r="N159" i="9"/>
  <c r="O159" i="9"/>
  <c r="J144" i="9"/>
  <c r="K144" i="9"/>
  <c r="G144" i="9"/>
  <c r="H144" i="9"/>
  <c r="I144" i="9"/>
  <c r="F144" i="9"/>
  <c r="F202" i="9"/>
  <c r="H202" i="9"/>
  <c r="I202" i="9"/>
  <c r="J202" i="9"/>
  <c r="K202" i="9"/>
  <c r="G202" i="9"/>
  <c r="J55" i="9"/>
  <c r="K55" i="9"/>
  <c r="F55" i="9"/>
  <c r="G55" i="9"/>
  <c r="I55" i="9"/>
  <c r="H55" i="9"/>
  <c r="G7" i="9"/>
  <c r="H7" i="9"/>
  <c r="I7" i="9"/>
  <c r="J7" i="9"/>
  <c r="F7" i="9"/>
  <c r="K7" i="9"/>
  <c r="L188" i="9"/>
  <c r="M188" i="9"/>
  <c r="N188" i="9"/>
  <c r="O188" i="9"/>
  <c r="K95" i="9"/>
  <c r="F95" i="9"/>
  <c r="G95" i="9"/>
  <c r="J95" i="9"/>
  <c r="H95" i="9"/>
  <c r="I95" i="9"/>
  <c r="M145" i="9"/>
  <c r="N145" i="9"/>
  <c r="O145" i="9"/>
  <c r="L145" i="9"/>
  <c r="F147" i="9"/>
  <c r="G147" i="9"/>
  <c r="I147" i="9"/>
  <c r="J147" i="9"/>
  <c r="K147" i="9"/>
  <c r="H147" i="9"/>
  <c r="L140" i="9"/>
  <c r="M140" i="9"/>
  <c r="O140" i="9"/>
  <c r="N140" i="9"/>
  <c r="O218" i="9"/>
  <c r="M218" i="9"/>
  <c r="L218" i="9"/>
  <c r="N218" i="9"/>
  <c r="H178" i="9"/>
  <c r="I178" i="9"/>
  <c r="J178" i="9"/>
  <c r="G178" i="9"/>
  <c r="F178" i="9"/>
  <c r="K178" i="9"/>
  <c r="I86" i="9"/>
  <c r="J86" i="9"/>
  <c r="K86" i="9"/>
  <c r="F86" i="9"/>
  <c r="H86" i="9"/>
  <c r="G86" i="9"/>
  <c r="J35" i="9"/>
  <c r="K35" i="9"/>
  <c r="G35" i="9"/>
  <c r="H35" i="9"/>
  <c r="I35" i="9"/>
  <c r="F35" i="9"/>
  <c r="O298" i="9"/>
  <c r="M298" i="9"/>
  <c r="L298" i="9"/>
  <c r="N298" i="9"/>
  <c r="L151" i="9"/>
  <c r="M151" i="9"/>
  <c r="N151" i="9"/>
  <c r="O151" i="9"/>
  <c r="M198" i="9"/>
  <c r="N198" i="9"/>
  <c r="L198" i="9"/>
  <c r="O198" i="9"/>
  <c r="L121" i="9"/>
  <c r="M121" i="9"/>
  <c r="N121" i="9"/>
  <c r="O121" i="9"/>
  <c r="L172" i="9"/>
  <c r="M172" i="9"/>
  <c r="O172" i="9"/>
  <c r="N172" i="9"/>
  <c r="J148" i="9"/>
  <c r="K148" i="9"/>
  <c r="F148" i="9"/>
  <c r="G148" i="9"/>
  <c r="I148" i="9"/>
  <c r="H148" i="9"/>
  <c r="L203" i="9"/>
  <c r="M203" i="9"/>
  <c r="N203" i="9"/>
  <c r="O203" i="9"/>
  <c r="L157" i="9"/>
  <c r="M157" i="9"/>
  <c r="O157" i="9"/>
  <c r="N157" i="9"/>
  <c r="L128" i="9"/>
  <c r="M128" i="9"/>
  <c r="N128" i="9"/>
  <c r="O128" i="9"/>
  <c r="H173" i="9"/>
  <c r="I173" i="9"/>
  <c r="J173" i="9"/>
  <c r="K173" i="9"/>
  <c r="F173" i="9"/>
  <c r="G173" i="9"/>
  <c r="F154" i="9"/>
  <c r="G154" i="9"/>
  <c r="H154" i="9"/>
  <c r="I154" i="9"/>
  <c r="J154" i="9"/>
  <c r="K154" i="9"/>
  <c r="J177" i="9"/>
  <c r="K177" i="9"/>
  <c r="F177" i="9"/>
  <c r="G177" i="9"/>
  <c r="H177" i="9"/>
  <c r="I177" i="9"/>
  <c r="F174" i="9"/>
  <c r="G174" i="9"/>
  <c r="H174" i="9"/>
  <c r="I174" i="9"/>
  <c r="K174" i="9"/>
  <c r="J174" i="9"/>
  <c r="F180" i="9"/>
  <c r="H180" i="9"/>
  <c r="I180" i="9"/>
  <c r="K180" i="9"/>
  <c r="J180" i="9"/>
  <c r="G180" i="9"/>
  <c r="G69" i="9"/>
  <c r="H69" i="9"/>
  <c r="I69" i="9"/>
  <c r="J69" i="9"/>
  <c r="F69" i="9"/>
  <c r="K69" i="9"/>
  <c r="M186" i="9"/>
  <c r="N186" i="9"/>
  <c r="L186" i="9"/>
  <c r="O186" i="9"/>
  <c r="M182" i="9"/>
  <c r="N182" i="9"/>
  <c r="L182" i="9"/>
  <c r="O182" i="9"/>
  <c r="L253" i="9"/>
  <c r="M253" i="9"/>
  <c r="N253" i="9"/>
  <c r="O253" i="9"/>
  <c r="M175" i="9"/>
  <c r="N175" i="9"/>
  <c r="O175" i="9"/>
  <c r="L175" i="9"/>
  <c r="F92" i="9"/>
  <c r="G92" i="9"/>
  <c r="H92" i="9"/>
  <c r="I92" i="9"/>
  <c r="J92" i="9"/>
  <c r="K92" i="9"/>
  <c r="L267" i="9"/>
  <c r="M267" i="9"/>
  <c r="N267" i="9"/>
  <c r="O267" i="9"/>
  <c r="L245" i="9"/>
  <c r="M245" i="9"/>
  <c r="N245" i="9"/>
  <c r="O245" i="9"/>
  <c r="G122" i="9"/>
  <c r="H122" i="9"/>
  <c r="J122" i="9"/>
  <c r="K122" i="9"/>
  <c r="I122" i="9"/>
  <c r="F122" i="9"/>
  <c r="F186" i="9"/>
  <c r="H186" i="9"/>
  <c r="I186" i="9"/>
  <c r="J186" i="9"/>
  <c r="K186" i="9"/>
  <c r="G186" i="9"/>
  <c r="H125" i="9"/>
  <c r="I125" i="9"/>
  <c r="J125" i="9"/>
  <c r="K125" i="9"/>
  <c r="F125" i="9"/>
  <c r="G125" i="9"/>
  <c r="O266" i="9"/>
  <c r="M266" i="9"/>
  <c r="L266" i="9"/>
  <c r="N266" i="9"/>
  <c r="L164" i="9"/>
  <c r="M164" i="9"/>
  <c r="O164" i="9"/>
  <c r="N164" i="9"/>
  <c r="L184" i="9"/>
  <c r="N184" i="9"/>
  <c r="O184" i="9"/>
  <c r="M184" i="9"/>
  <c r="H137" i="9"/>
  <c r="I137" i="9"/>
  <c r="J137" i="9"/>
  <c r="K137" i="9"/>
  <c r="F137" i="9"/>
  <c r="G137" i="9"/>
  <c r="I94" i="9"/>
  <c r="J94" i="9"/>
  <c r="K94" i="9"/>
  <c r="F94" i="9"/>
  <c r="H94" i="9"/>
  <c r="G94" i="9"/>
  <c r="O294" i="9"/>
  <c r="L294" i="9"/>
  <c r="M294" i="9"/>
  <c r="N294" i="9"/>
  <c r="O306" i="9"/>
  <c r="M306" i="9"/>
  <c r="N306" i="9"/>
  <c r="L306" i="9"/>
  <c r="O205" i="9"/>
  <c r="L205" i="9"/>
  <c r="M205" i="9"/>
  <c r="N205" i="9"/>
  <c r="L117" i="9"/>
  <c r="M117" i="9"/>
  <c r="O117" i="9"/>
  <c r="N117" i="9"/>
  <c r="G114" i="9"/>
  <c r="H114" i="9"/>
  <c r="F114" i="9"/>
  <c r="I114" i="9"/>
  <c r="K114" i="9"/>
  <c r="J114" i="9"/>
  <c r="H133" i="9"/>
  <c r="I133" i="9"/>
  <c r="J133" i="9"/>
  <c r="K133" i="9"/>
  <c r="F133" i="9"/>
  <c r="G133" i="9"/>
  <c r="J160" i="9"/>
  <c r="K160" i="9"/>
  <c r="G160" i="9"/>
  <c r="H160" i="9"/>
  <c r="I160" i="9"/>
  <c r="F160" i="9"/>
  <c r="F52" i="9"/>
  <c r="G52" i="9"/>
  <c r="H52" i="9"/>
  <c r="I52" i="9"/>
  <c r="K52" i="9"/>
  <c r="J52" i="9"/>
  <c r="L231" i="9"/>
  <c r="M231" i="9"/>
  <c r="N231" i="9"/>
  <c r="O231" i="9"/>
  <c r="L167" i="9"/>
  <c r="M167" i="9"/>
  <c r="N167" i="9"/>
  <c r="O167" i="9"/>
  <c r="L269" i="9"/>
  <c r="M269" i="9"/>
  <c r="N269" i="9"/>
  <c r="O269" i="9"/>
  <c r="M137" i="9"/>
  <c r="N137" i="9"/>
  <c r="O137" i="9"/>
  <c r="L137" i="9"/>
  <c r="L243" i="9"/>
  <c r="M243" i="9"/>
  <c r="N243" i="9"/>
  <c r="O243" i="9"/>
  <c r="I78" i="9"/>
  <c r="J78" i="9"/>
  <c r="K78" i="9"/>
  <c r="F78" i="9"/>
  <c r="H78" i="9"/>
  <c r="G78" i="9"/>
  <c r="L255" i="9"/>
  <c r="M255" i="9"/>
  <c r="N255" i="9"/>
  <c r="O255" i="9"/>
  <c r="F29" i="9"/>
  <c r="G29" i="9"/>
  <c r="H29" i="9"/>
  <c r="I29" i="9"/>
  <c r="K29" i="9"/>
  <c r="J29" i="9"/>
  <c r="L192" i="9"/>
  <c r="M192" i="9"/>
  <c r="N192" i="9"/>
  <c r="O192" i="9"/>
  <c r="H62" i="9"/>
  <c r="I62" i="9"/>
  <c r="J62" i="9"/>
  <c r="K62" i="9"/>
  <c r="F62" i="9"/>
  <c r="G62" i="9"/>
  <c r="F56" i="9"/>
  <c r="G56" i="9"/>
  <c r="I56" i="9"/>
  <c r="J56" i="9"/>
  <c r="K56" i="9"/>
  <c r="H56" i="9"/>
  <c r="F49" i="9"/>
  <c r="G49" i="9"/>
  <c r="H49" i="9"/>
  <c r="I49" i="9"/>
  <c r="J49" i="9"/>
  <c r="K49" i="9"/>
  <c r="I200" i="9"/>
  <c r="J200" i="9"/>
  <c r="F200" i="9"/>
  <c r="G200" i="9"/>
  <c r="H200" i="9"/>
  <c r="K200" i="9"/>
  <c r="F131" i="9"/>
  <c r="G131" i="9"/>
  <c r="I131" i="9"/>
  <c r="J131" i="9"/>
  <c r="K131" i="9"/>
  <c r="H131" i="9"/>
  <c r="I98" i="9"/>
  <c r="J98" i="9"/>
  <c r="K98" i="9"/>
  <c r="H98" i="9"/>
  <c r="F98" i="9"/>
  <c r="G98" i="9"/>
  <c r="L275" i="9"/>
  <c r="M275" i="9"/>
  <c r="N275" i="9"/>
  <c r="O275" i="9"/>
  <c r="G65" i="9"/>
  <c r="H65" i="9"/>
  <c r="I65" i="9"/>
  <c r="J65" i="9"/>
  <c r="K65" i="9"/>
  <c r="F65" i="9"/>
  <c r="H54" i="9"/>
  <c r="I54" i="9"/>
  <c r="J54" i="9"/>
  <c r="K54" i="9"/>
  <c r="F54" i="9"/>
  <c r="G54" i="9"/>
  <c r="L223" i="9"/>
  <c r="M223" i="9"/>
  <c r="N223" i="9"/>
  <c r="O223" i="9"/>
  <c r="M161" i="9"/>
  <c r="N161" i="9"/>
  <c r="O161" i="9"/>
  <c r="L161" i="9"/>
  <c r="M115" i="9"/>
  <c r="N115" i="9"/>
  <c r="L115" i="9"/>
  <c r="O115" i="9"/>
  <c r="N179" i="9"/>
  <c r="O179" i="9"/>
  <c r="L179" i="9"/>
  <c r="M179" i="9"/>
  <c r="F139" i="9"/>
  <c r="G139" i="9"/>
  <c r="I139" i="9"/>
  <c r="J139" i="9"/>
  <c r="K139" i="9"/>
  <c r="H139" i="9"/>
  <c r="N146" i="9"/>
  <c r="O146" i="9"/>
  <c r="L146" i="9"/>
  <c r="M146" i="9"/>
  <c r="F151" i="9"/>
  <c r="G151" i="9"/>
  <c r="H151" i="9"/>
  <c r="I151" i="9"/>
  <c r="J151" i="9"/>
  <c r="K151" i="9"/>
  <c r="I90" i="9"/>
  <c r="J90" i="9"/>
  <c r="K90" i="9"/>
  <c r="H90" i="9"/>
  <c r="F90" i="9"/>
  <c r="G90" i="9"/>
  <c r="L295" i="9"/>
  <c r="M295" i="9"/>
  <c r="N295" i="9"/>
  <c r="O295" i="9"/>
  <c r="J124" i="9"/>
  <c r="K124" i="9"/>
  <c r="F124" i="9"/>
  <c r="G124" i="9"/>
  <c r="H124" i="9"/>
  <c r="I124" i="9"/>
  <c r="L183" i="9"/>
  <c r="O183" i="9"/>
  <c r="N183" i="9"/>
  <c r="M183" i="9"/>
  <c r="O254" i="9"/>
  <c r="L254" i="9"/>
  <c r="M254" i="9"/>
  <c r="N254" i="9"/>
  <c r="O208" i="9"/>
  <c r="L208" i="9"/>
  <c r="M208" i="9"/>
  <c r="N208" i="9"/>
  <c r="L217" i="9"/>
  <c r="M217" i="9"/>
  <c r="N217" i="9"/>
  <c r="O217" i="9"/>
  <c r="F119" i="9"/>
  <c r="H119" i="9"/>
  <c r="I119" i="9"/>
  <c r="J119" i="9"/>
  <c r="K119" i="9"/>
  <c r="G119" i="9"/>
  <c r="O290" i="9"/>
  <c r="M290" i="9"/>
  <c r="N290" i="9"/>
  <c r="L290" i="9"/>
  <c r="F107" i="9"/>
  <c r="J107" i="9"/>
  <c r="K107" i="9"/>
  <c r="G107" i="9"/>
  <c r="H107" i="9"/>
  <c r="I107" i="9"/>
  <c r="F134" i="9"/>
  <c r="G134" i="9"/>
  <c r="H134" i="9"/>
  <c r="I134" i="9"/>
  <c r="K134" i="9"/>
  <c r="J134" i="9"/>
  <c r="K83" i="9"/>
  <c r="F83" i="9"/>
  <c r="H83" i="9"/>
  <c r="J83" i="9"/>
  <c r="G83" i="9"/>
  <c r="I83" i="9"/>
  <c r="K91" i="9"/>
  <c r="F91" i="9"/>
  <c r="H91" i="9"/>
  <c r="J91" i="9"/>
  <c r="G91" i="9"/>
  <c r="I91" i="9"/>
  <c r="F60" i="9"/>
  <c r="G60" i="9"/>
  <c r="H60" i="9"/>
  <c r="I60" i="9"/>
  <c r="K60" i="9"/>
  <c r="J60" i="9"/>
  <c r="J132" i="9"/>
  <c r="K132" i="9"/>
  <c r="F132" i="9"/>
  <c r="G132" i="9"/>
  <c r="I132" i="9"/>
  <c r="H132" i="9"/>
  <c r="G189" i="9"/>
  <c r="H189" i="9"/>
  <c r="J189" i="9"/>
  <c r="K189" i="9"/>
  <c r="F189" i="9"/>
  <c r="I189" i="9"/>
  <c r="H182" i="9"/>
  <c r="I182" i="9"/>
  <c r="J182" i="9"/>
  <c r="F182" i="9"/>
  <c r="G182" i="9"/>
  <c r="K182" i="9"/>
  <c r="L131" i="9"/>
  <c r="M131" i="9"/>
  <c r="N131" i="9"/>
  <c r="O131" i="9"/>
  <c r="O110" i="9"/>
  <c r="L110" i="9"/>
  <c r="M110" i="9"/>
  <c r="N110" i="9"/>
  <c r="H165" i="9"/>
  <c r="I165" i="9"/>
  <c r="J165" i="9"/>
  <c r="K165" i="9"/>
  <c r="F165" i="9"/>
  <c r="G165" i="9"/>
  <c r="L136" i="9"/>
  <c r="M136" i="9"/>
  <c r="N136" i="9"/>
  <c r="O136" i="9"/>
  <c r="K203" i="9"/>
  <c r="H203" i="9"/>
  <c r="I203" i="9"/>
  <c r="J203" i="9"/>
  <c r="F203" i="9"/>
  <c r="G203" i="9"/>
  <c r="F190" i="9"/>
  <c r="J190" i="9"/>
  <c r="K190" i="9"/>
  <c r="I190" i="9"/>
  <c r="G190" i="9"/>
  <c r="H190" i="9"/>
  <c r="O296" i="9"/>
  <c r="L296" i="9"/>
  <c r="M296" i="9"/>
  <c r="N296" i="9"/>
  <c r="O272" i="9"/>
  <c r="L272" i="9"/>
  <c r="M272" i="9"/>
  <c r="N272" i="9"/>
  <c r="F41" i="9"/>
  <c r="G41" i="9"/>
  <c r="H41" i="9"/>
  <c r="I41" i="9"/>
  <c r="J41" i="9"/>
  <c r="K41" i="9"/>
  <c r="O114" i="9"/>
  <c r="N114" i="9"/>
  <c r="L114" i="9"/>
  <c r="M114" i="9"/>
  <c r="I74" i="9"/>
  <c r="J74" i="9"/>
  <c r="K74" i="9"/>
  <c r="H74" i="9"/>
  <c r="F74" i="9"/>
  <c r="G74" i="9"/>
  <c r="K120" i="9"/>
  <c r="H120" i="9"/>
  <c r="I120" i="9"/>
  <c r="J120" i="9"/>
  <c r="F120" i="9"/>
  <c r="G120" i="9"/>
  <c r="G201" i="9"/>
  <c r="H201" i="9"/>
  <c r="F201" i="9"/>
  <c r="I201" i="9"/>
  <c r="J201" i="9"/>
  <c r="K201" i="9"/>
  <c r="F198" i="9"/>
  <c r="G198" i="9"/>
  <c r="H198" i="9"/>
  <c r="I198" i="9"/>
  <c r="K198" i="9"/>
  <c r="J198" i="9"/>
  <c r="I70" i="9"/>
  <c r="J70" i="9"/>
  <c r="K70" i="9"/>
  <c r="F70" i="9"/>
  <c r="H70" i="9"/>
  <c r="G70" i="9"/>
  <c r="F44" i="9"/>
  <c r="G44" i="9"/>
  <c r="H44" i="9"/>
  <c r="I44" i="9"/>
  <c r="J44" i="9"/>
  <c r="K44" i="9"/>
  <c r="L257" i="9"/>
  <c r="M257" i="9"/>
  <c r="N257" i="9"/>
  <c r="O257" i="9"/>
  <c r="J106" i="9"/>
  <c r="H106" i="9"/>
  <c r="G106" i="9"/>
  <c r="F106" i="9"/>
  <c r="K106" i="9"/>
  <c r="I106" i="9"/>
  <c r="L199" i="9"/>
  <c r="M199" i="9"/>
  <c r="O199" i="9"/>
  <c r="N199" i="9"/>
  <c r="F162" i="9"/>
  <c r="G162" i="9"/>
  <c r="H162" i="9"/>
  <c r="I162" i="9"/>
  <c r="J162" i="9"/>
  <c r="K162" i="9"/>
  <c r="L277" i="9"/>
  <c r="M277" i="9"/>
  <c r="N277" i="9"/>
  <c r="O277" i="9"/>
  <c r="O224" i="9"/>
  <c r="L224" i="9"/>
  <c r="M224" i="9"/>
  <c r="N224" i="9"/>
  <c r="L281" i="9"/>
  <c r="M281" i="9"/>
  <c r="N281" i="9"/>
  <c r="O281" i="9"/>
  <c r="K71" i="9"/>
  <c r="F71" i="9"/>
  <c r="G71" i="9"/>
  <c r="J71" i="9"/>
  <c r="I71" i="9"/>
  <c r="H71" i="9"/>
  <c r="I82" i="9"/>
  <c r="J82" i="9"/>
  <c r="K82" i="9"/>
  <c r="H82" i="9"/>
  <c r="G82" i="9"/>
  <c r="F82" i="9"/>
  <c r="H58" i="9"/>
  <c r="I58" i="9"/>
  <c r="J58" i="9"/>
  <c r="K58" i="9"/>
  <c r="F58" i="9"/>
  <c r="G58" i="9"/>
  <c r="F158" i="9"/>
  <c r="G158" i="9"/>
  <c r="H158" i="9"/>
  <c r="I158" i="9"/>
  <c r="K158" i="9"/>
  <c r="J158" i="9"/>
  <c r="J39" i="9"/>
  <c r="K39" i="9"/>
  <c r="F39" i="9"/>
  <c r="G39" i="9"/>
  <c r="I39" i="9"/>
  <c r="H39" i="9"/>
  <c r="N170" i="9"/>
  <c r="O170" i="9"/>
  <c r="M170" i="9"/>
  <c r="L170" i="9"/>
  <c r="L301" i="9"/>
  <c r="M301" i="9"/>
  <c r="N301" i="9"/>
  <c r="O301" i="9"/>
  <c r="L143" i="9"/>
  <c r="M143" i="9"/>
  <c r="N143" i="9"/>
  <c r="O143" i="9"/>
  <c r="H26" i="9"/>
  <c r="I26" i="9"/>
  <c r="J26" i="9"/>
  <c r="K26" i="9"/>
  <c r="F26" i="9"/>
  <c r="G26" i="9"/>
  <c r="X89" i="9"/>
  <c r="Z89" i="9" s="1"/>
  <c r="J35" i="18"/>
  <c r="X88" i="9"/>
  <c r="AA88" i="9" s="1"/>
  <c r="X87" i="9"/>
  <c r="J101" i="18"/>
  <c r="J93" i="18"/>
  <c r="J79" i="18"/>
  <c r="J137" i="18"/>
  <c r="J150" i="18"/>
  <c r="J202" i="18"/>
  <c r="J167" i="18"/>
  <c r="J196" i="18"/>
  <c r="J179" i="18"/>
  <c r="J193" i="18"/>
  <c r="J301" i="18"/>
  <c r="J232" i="18"/>
  <c r="J240" i="18"/>
  <c r="J254" i="18"/>
  <c r="J220" i="18"/>
  <c r="J264" i="18"/>
  <c r="J275" i="18"/>
  <c r="J149" i="18"/>
  <c r="J157" i="18"/>
  <c r="J203" i="18"/>
  <c r="J211" i="18"/>
  <c r="J253" i="18"/>
  <c r="J299" i="18"/>
  <c r="J162" i="18"/>
  <c r="J186" i="18"/>
  <c r="J160" i="18"/>
  <c r="J318" i="18"/>
  <c r="J174" i="18"/>
  <c r="J229" i="18"/>
  <c r="J265" i="18"/>
  <c r="J336" i="18"/>
  <c r="J291" i="18"/>
  <c r="J305" i="18"/>
  <c r="J161" i="18"/>
  <c r="J204" i="18"/>
  <c r="J212" i="18"/>
  <c r="J226" i="18"/>
  <c r="J192" i="18"/>
  <c r="J236" i="18"/>
  <c r="J322" i="18"/>
  <c r="J317" i="18"/>
  <c r="J325" i="18"/>
  <c r="J147" i="18"/>
  <c r="J155" i="18"/>
  <c r="J225" i="18"/>
  <c r="J271" i="18"/>
  <c r="J274" i="18"/>
  <c r="J270" i="18"/>
  <c r="J272" i="18"/>
  <c r="J53" i="18"/>
  <c r="J290" i="18"/>
  <c r="J335" i="18"/>
  <c r="J145" i="18"/>
  <c r="J181" i="18"/>
  <c r="J308" i="18"/>
  <c r="J263" i="18"/>
  <c r="J277" i="18"/>
  <c r="J189" i="18"/>
  <c r="J176" i="18"/>
  <c r="J184" i="18"/>
  <c r="J198" i="18"/>
  <c r="J332" i="18"/>
  <c r="J219" i="18"/>
  <c r="J294" i="18"/>
  <c r="J177" i="18"/>
  <c r="J185" i="18"/>
  <c r="J315" i="18"/>
  <c r="J323" i="18"/>
  <c r="J309" i="18"/>
  <c r="J243" i="18"/>
  <c r="J246" i="18"/>
  <c r="J326" i="18"/>
  <c r="J244" i="18"/>
  <c r="J314" i="18"/>
  <c r="J195" i="18"/>
  <c r="J257" i="18"/>
  <c r="J237" i="18"/>
  <c r="J224" i="18"/>
  <c r="J235" i="18"/>
  <c r="J249" i="18"/>
  <c r="J329" i="18"/>
  <c r="J316" i="18"/>
  <c r="J180" i="18"/>
  <c r="J247" i="18"/>
  <c r="J154" i="18"/>
  <c r="J289" i="18"/>
  <c r="J297" i="18"/>
  <c r="J231" i="18"/>
  <c r="J183" i="18"/>
  <c r="J169" i="18"/>
  <c r="J215" i="18"/>
  <c r="J218" i="18"/>
  <c r="J298" i="18"/>
  <c r="J234" i="18"/>
  <c r="J286" i="18"/>
  <c r="J307" i="18"/>
  <c r="J201" i="18"/>
  <c r="J209" i="18"/>
  <c r="J168" i="18"/>
  <c r="J207" i="18"/>
  <c r="J221" i="18"/>
  <c r="J296" i="18"/>
  <c r="J338" i="18"/>
  <c r="J304" i="18"/>
  <c r="J208" i="18"/>
  <c r="J163" i="18"/>
  <c r="J266" i="18"/>
  <c r="J261" i="18"/>
  <c r="J269" i="18"/>
  <c r="J175" i="18"/>
  <c r="J295" i="18"/>
  <c r="J197" i="18"/>
  <c r="J159" i="18"/>
  <c r="J190" i="18"/>
  <c r="J188" i="18"/>
  <c r="J262" i="18"/>
  <c r="J146" i="18"/>
  <c r="J279" i="18"/>
  <c r="J285" i="18"/>
  <c r="J293" i="18"/>
  <c r="J280" i="18"/>
  <c r="J151" i="18"/>
  <c r="J273" i="18"/>
  <c r="J288" i="18"/>
  <c r="J324" i="18"/>
  <c r="J310" i="18"/>
  <c r="J164" i="18"/>
  <c r="J320" i="18"/>
  <c r="J331" i="18"/>
  <c r="J238" i="18"/>
  <c r="J233" i="18"/>
  <c r="J241" i="18"/>
  <c r="J287" i="18"/>
  <c r="J239" i="18"/>
  <c r="J337" i="18"/>
  <c r="J242" i="18"/>
  <c r="J216" i="18"/>
  <c r="J206" i="18"/>
  <c r="J258" i="18"/>
  <c r="J251" i="18"/>
  <c r="J313" i="18"/>
  <c r="J153" i="18"/>
  <c r="J252" i="18"/>
  <c r="J165" i="18"/>
  <c r="J245" i="18"/>
  <c r="J148" i="18"/>
  <c r="J156" i="18"/>
  <c r="J170" i="18"/>
  <c r="J276" i="18"/>
  <c r="J292" i="18"/>
  <c r="J191" i="18"/>
  <c r="J210" i="18"/>
  <c r="J205" i="18"/>
  <c r="J213" i="18"/>
  <c r="J259" i="18"/>
  <c r="J267" i="18"/>
  <c r="J327" i="18"/>
  <c r="J330" i="18"/>
  <c r="J214" i="18"/>
  <c r="J328" i="18"/>
  <c r="J178" i="18"/>
  <c r="J230" i="18"/>
  <c r="J223" i="18"/>
  <c r="J173" i="18"/>
  <c r="J321" i="18"/>
  <c r="J319" i="18"/>
  <c r="J333" i="18"/>
  <c r="J217" i="18"/>
  <c r="J260" i="18"/>
  <c r="J268" i="18"/>
  <c r="J282" i="18"/>
  <c r="J248" i="18"/>
  <c r="J152" i="18"/>
  <c r="J303" i="18"/>
  <c r="J182" i="18"/>
  <c r="J281" i="18"/>
  <c r="J187" i="18"/>
  <c r="J302" i="18"/>
  <c r="J158" i="18"/>
  <c r="J300" i="18"/>
  <c r="K128" i="18"/>
  <c r="K207" i="18"/>
  <c r="K89" i="18"/>
  <c r="K267" i="18"/>
  <c r="K124" i="18"/>
  <c r="K203" i="18"/>
  <c r="K126" i="18"/>
  <c r="K205" i="18"/>
  <c r="K119" i="18"/>
  <c r="K259" i="18" s="1"/>
  <c r="K208" i="18"/>
  <c r="K125" i="18"/>
  <c r="K204" i="18"/>
  <c r="K58" i="18"/>
  <c r="K198" i="18" s="1"/>
  <c r="K338" i="18" s="1"/>
  <c r="K233" i="18"/>
  <c r="K120" i="18"/>
  <c r="K260" i="18" s="1"/>
  <c r="K209" i="18"/>
  <c r="K121" i="18"/>
  <c r="K261" i="18" s="1"/>
  <c r="K210" i="18"/>
  <c r="K123" i="18"/>
  <c r="K263" i="18" s="1"/>
  <c r="K212" i="18"/>
  <c r="J75" i="18"/>
  <c r="J49" i="18"/>
  <c r="J72" i="18"/>
  <c r="J86" i="18"/>
  <c r="W7" i="7"/>
  <c r="AG95" i="9"/>
  <c r="Y29" i="13"/>
  <c r="Z29" i="13" s="1"/>
  <c r="E167" i="13" s="1"/>
  <c r="AJ46" i="9"/>
  <c r="AJ59" i="9"/>
  <c r="W23" i="7"/>
  <c r="AJ70" i="9"/>
  <c r="Y45" i="13"/>
  <c r="Z45" i="13" s="1"/>
  <c r="E183" i="13" s="1"/>
  <c r="AG42" i="9"/>
  <c r="AJ49" i="9"/>
  <c r="Y27" i="13"/>
  <c r="Z27" i="13" s="1"/>
  <c r="E73" i="13" s="1"/>
  <c r="Y18" i="13"/>
  <c r="Z18" i="13" s="1"/>
  <c r="AJ55" i="9"/>
  <c r="AY15" i="7"/>
  <c r="Y44" i="13"/>
  <c r="Z44" i="13" s="1"/>
  <c r="E182" i="13" s="1"/>
  <c r="Y47" i="13"/>
  <c r="Z47" i="13" s="1"/>
  <c r="E231" i="13" s="1"/>
  <c r="W6" i="7"/>
  <c r="AG64" i="9"/>
  <c r="AM15" i="7"/>
  <c r="Y43" i="13"/>
  <c r="Z43" i="13" s="1"/>
  <c r="F4" i="17"/>
  <c r="W24" i="7"/>
  <c r="O11" i="17"/>
  <c r="Y13" i="13"/>
  <c r="Z13" i="13" s="1"/>
  <c r="E473" i="13" s="1"/>
  <c r="W25" i="7"/>
  <c r="Y12" i="13"/>
  <c r="Z12" i="13" s="1"/>
  <c r="E150" i="13" s="1"/>
  <c r="W9" i="7"/>
  <c r="Y28" i="13"/>
  <c r="Z28" i="13" s="1"/>
  <c r="AJ13" i="9"/>
  <c r="X59" i="9"/>
  <c r="AA59" i="9" s="1"/>
  <c r="AG91" i="9"/>
  <c r="J117" i="18"/>
  <c r="AJ12" i="9"/>
  <c r="AG87" i="9"/>
  <c r="AL87" i="9"/>
  <c r="D391" i="9" s="1"/>
  <c r="AG11" i="9"/>
  <c r="AG63" i="9"/>
  <c r="F5" i="17"/>
  <c r="X11" i="9"/>
  <c r="Z11" i="9" s="1"/>
  <c r="AJ43" i="9"/>
  <c r="AJ38" i="9"/>
  <c r="AJ76" i="9"/>
  <c r="X82" i="9"/>
  <c r="AA82" i="9" s="1"/>
  <c r="N11" i="13"/>
  <c r="AJ4" i="9"/>
  <c r="AJ16" i="9"/>
  <c r="X76" i="9"/>
  <c r="Z76" i="9" s="1"/>
  <c r="AJ34" i="9"/>
  <c r="AJ61" i="9"/>
  <c r="AJ77" i="9"/>
  <c r="AG9" i="9"/>
  <c r="AY22" i="7"/>
  <c r="X38" i="9"/>
  <c r="Z38" i="9" s="1"/>
  <c r="H23" i="10"/>
  <c r="H13" i="10"/>
  <c r="X46" i="9"/>
  <c r="AA46" i="9" s="1"/>
  <c r="W28" i="7"/>
  <c r="W16" i="7"/>
  <c r="W21" i="7"/>
  <c r="W5" i="7"/>
  <c r="AY19" i="7"/>
  <c r="AJ101" i="9"/>
  <c r="AJ89" i="9"/>
  <c r="AG94" i="9"/>
  <c r="X77" i="9"/>
  <c r="Z77" i="9" s="1"/>
  <c r="Y14" i="13"/>
  <c r="Z14" i="13" s="1"/>
  <c r="E428" i="13" s="1"/>
  <c r="Y30" i="13"/>
  <c r="Z30" i="13" s="1"/>
  <c r="E490" i="13" s="1"/>
  <c r="Y46" i="13"/>
  <c r="Z46" i="13" s="1"/>
  <c r="E230" i="13" s="1"/>
  <c r="Y16" i="13"/>
  <c r="Z16" i="13" s="1"/>
  <c r="E108" i="13" s="1"/>
  <c r="Y15" i="13"/>
  <c r="Z15" i="13" s="1"/>
  <c r="E61" i="13" s="1"/>
  <c r="AA13" i="13"/>
  <c r="N4" i="13" s="1"/>
  <c r="X33" i="9"/>
  <c r="Z33" i="9" s="1"/>
  <c r="X4" i="9"/>
  <c r="Z4" i="9" s="1"/>
  <c r="W20" i="7"/>
  <c r="W8" i="7"/>
  <c r="W19" i="7"/>
  <c r="V29" i="7"/>
  <c r="V13" i="7" s="1"/>
  <c r="AM19" i="7"/>
  <c r="AT21" i="7"/>
  <c r="AJ27" i="9"/>
  <c r="AJ80" i="9"/>
  <c r="AJ96" i="9"/>
  <c r="AL46" i="9"/>
  <c r="D350" i="9" s="1"/>
  <c r="H19" i="10"/>
  <c r="O4" i="17"/>
  <c r="Z48" i="13"/>
  <c r="E232" i="13" s="1"/>
  <c r="Y32" i="13"/>
  <c r="Z32" i="13" s="1"/>
  <c r="E492" i="13" s="1"/>
  <c r="Y9" i="13"/>
  <c r="Z9" i="13" s="1"/>
  <c r="E193" i="13" s="1"/>
  <c r="Y25" i="13"/>
  <c r="Z25" i="13" s="1"/>
  <c r="E209" i="13" s="1"/>
  <c r="Y41" i="13"/>
  <c r="Z41" i="13" s="1"/>
  <c r="E87" i="13" s="1"/>
  <c r="Y42" i="13"/>
  <c r="Z42" i="13" s="1"/>
  <c r="E180" i="13" s="1"/>
  <c r="F6" i="17"/>
  <c r="X42" i="9"/>
  <c r="Z42" i="9" s="1"/>
  <c r="X73" i="9"/>
  <c r="AA73" i="9" s="1"/>
  <c r="X55" i="9"/>
  <c r="Z55" i="9" s="1"/>
  <c r="W12" i="7"/>
  <c r="W26" i="7"/>
  <c r="W17" i="7"/>
  <c r="W3" i="7"/>
  <c r="AJ30" i="9"/>
  <c r="AY21" i="7"/>
  <c r="AJ26" i="9"/>
  <c r="H29" i="10"/>
  <c r="I11" i="17"/>
  <c r="O6" i="17"/>
  <c r="Y19" i="13"/>
  <c r="Z19" i="13" s="1"/>
  <c r="E433" i="13" s="1"/>
  <c r="Y35" i="13"/>
  <c r="Z35" i="13" s="1"/>
  <c r="E449" i="13" s="1"/>
  <c r="Y4" i="13"/>
  <c r="Z4" i="13" s="1"/>
  <c r="E50" i="13" s="1"/>
  <c r="Y20" i="13"/>
  <c r="Z20" i="13" s="1"/>
  <c r="E434" i="13" s="1"/>
  <c r="Y34" i="13"/>
  <c r="Z34" i="13" s="1"/>
  <c r="E80" i="13" s="1"/>
  <c r="Y10" i="13"/>
  <c r="Z10" i="13" s="1"/>
  <c r="E102" i="13" s="1"/>
  <c r="X67" i="9"/>
  <c r="Z67" i="9" s="1"/>
  <c r="W4" i="7"/>
  <c r="W18" i="7"/>
  <c r="W15" i="7"/>
  <c r="AJ73" i="9"/>
  <c r="AJ84" i="9"/>
  <c r="AG50" i="9"/>
  <c r="K21" i="14"/>
  <c r="Y36" i="13"/>
  <c r="Z36" i="13" s="1"/>
  <c r="E174" i="13" s="1"/>
  <c r="Y5" i="13"/>
  <c r="Z5" i="13" s="1"/>
  <c r="E143" i="13" s="1"/>
  <c r="Y21" i="13"/>
  <c r="Z21" i="13" s="1"/>
  <c r="E205" i="13" s="1"/>
  <c r="Y37" i="13"/>
  <c r="Z37" i="13" s="1"/>
  <c r="E221" i="13" s="1"/>
  <c r="Y31" i="13"/>
  <c r="Z31" i="13" s="1"/>
  <c r="E215" i="13" s="1"/>
  <c r="Y39" i="13"/>
  <c r="Z39" i="13" s="1"/>
  <c r="E177" i="13" s="1"/>
  <c r="X101" i="9"/>
  <c r="Z101" i="9" s="1"/>
  <c r="X80" i="9"/>
  <c r="AA80" i="9" s="1"/>
  <c r="X50" i="9"/>
  <c r="Z50" i="9" s="1"/>
  <c r="W22" i="7"/>
  <c r="W10" i="7"/>
  <c r="W13" i="7"/>
  <c r="AJ19" i="9"/>
  <c r="AJ57" i="9"/>
  <c r="K20" i="14"/>
  <c r="Y6" i="13"/>
  <c r="Z6" i="13" s="1"/>
  <c r="E98" i="13" s="1"/>
  <c r="Y22" i="13"/>
  <c r="Z22" i="13" s="1"/>
  <c r="E68" i="13" s="1"/>
  <c r="Y38" i="13"/>
  <c r="Z38" i="13" s="1"/>
  <c r="E84" i="13" s="1"/>
  <c r="Y8" i="13"/>
  <c r="Z8" i="13" s="1"/>
  <c r="E146" i="13" s="1"/>
  <c r="Y26" i="13"/>
  <c r="Z26" i="13" s="1"/>
  <c r="E486" i="13" s="1"/>
  <c r="Y7" i="13"/>
  <c r="Z7" i="13" s="1"/>
  <c r="E145" i="13" s="1"/>
  <c r="X70" i="9"/>
  <c r="AA70" i="9" s="1"/>
  <c r="W14" i="7"/>
  <c r="W27" i="7"/>
  <c r="K18" i="14"/>
  <c r="Y24" i="13"/>
  <c r="Z24" i="13" s="1"/>
  <c r="E116" i="13" s="1"/>
  <c r="Y40" i="13"/>
  <c r="Z40" i="13" s="1"/>
  <c r="E500" i="13" s="1"/>
  <c r="Y17" i="13"/>
  <c r="Z17" i="13" s="1"/>
  <c r="E201" i="13" s="1"/>
  <c r="Y33" i="13"/>
  <c r="Z33" i="13" s="1"/>
  <c r="E217" i="13" s="1"/>
  <c r="Y23" i="13"/>
  <c r="Z23" i="13" s="1"/>
  <c r="E161" i="13" s="1"/>
  <c r="X30" i="9"/>
  <c r="AA30" i="9" s="1"/>
  <c r="X84" i="9"/>
  <c r="Z84" i="9" s="1"/>
  <c r="W33" i="5"/>
  <c r="V33" i="5" s="1"/>
  <c r="Z33" i="5" s="1"/>
  <c r="AJ41" i="9"/>
  <c r="X71" i="9"/>
  <c r="AA71" i="9" s="1"/>
  <c r="AG75" i="9"/>
  <c r="X16" i="9"/>
  <c r="Z16" i="9" s="1"/>
  <c r="AT6" i="7"/>
  <c r="W10" i="5"/>
  <c r="V10" i="5" s="1"/>
  <c r="Z10" i="5" s="1"/>
  <c r="AA10" i="5" s="1"/>
  <c r="W34" i="5"/>
  <c r="V34" i="5" s="1"/>
  <c r="H34" i="5" s="1"/>
  <c r="AJ68" i="9"/>
  <c r="W14" i="5"/>
  <c r="V14" i="5" s="1"/>
  <c r="Z14" i="5" s="1"/>
  <c r="AB14" i="5" s="1"/>
  <c r="AA38" i="13"/>
  <c r="N9" i="13" s="1"/>
  <c r="X78" i="9"/>
  <c r="Z78" i="9" s="1"/>
  <c r="W83" i="5"/>
  <c r="V83" i="5" s="1"/>
  <c r="Z83" i="5" s="1"/>
  <c r="AA83" i="5" s="1"/>
  <c r="W28" i="5"/>
  <c r="V28" i="5" s="1"/>
  <c r="Z28" i="5" s="1"/>
  <c r="X12" i="9"/>
  <c r="Z12" i="9" s="1"/>
  <c r="W89" i="5"/>
  <c r="V89" i="5" s="1"/>
  <c r="Z89" i="5" s="1"/>
  <c r="AA89" i="5" s="1"/>
  <c r="AG98" i="9"/>
  <c r="X63" i="9"/>
  <c r="AA63" i="9" s="1"/>
  <c r="X69" i="9"/>
  <c r="Z69" i="9" s="1"/>
  <c r="W102" i="5"/>
  <c r="V102" i="5" s="1"/>
  <c r="H102" i="5" s="1"/>
  <c r="X34" i="9"/>
  <c r="Z34" i="9" s="1"/>
  <c r="H10" i="11"/>
  <c r="J18" i="18"/>
  <c r="W73" i="5"/>
  <c r="V73" i="5" s="1"/>
  <c r="H73" i="5" s="1"/>
  <c r="W68" i="5"/>
  <c r="V68" i="5" s="1"/>
  <c r="Z68" i="5" s="1"/>
  <c r="AA68" i="5" s="1"/>
  <c r="H30" i="10"/>
  <c r="AJ25" i="9"/>
  <c r="AA23" i="13"/>
  <c r="N6" i="13" s="1"/>
  <c r="X25" i="9"/>
  <c r="Z25" i="9" s="1"/>
  <c r="W8" i="5"/>
  <c r="V8" i="5" s="1"/>
  <c r="H8" i="5" s="1"/>
  <c r="H20" i="10"/>
  <c r="W30" i="5"/>
  <c r="V30" i="5" s="1"/>
  <c r="H30" i="5" s="1"/>
  <c r="W36" i="5"/>
  <c r="V36" i="5" s="1"/>
  <c r="H36" i="5" s="1"/>
  <c r="AA8" i="13"/>
  <c r="N3" i="13" s="1"/>
  <c r="AG72" i="9"/>
  <c r="AT12" i="7"/>
  <c r="AT13" i="7"/>
  <c r="AT9" i="7"/>
  <c r="O8" i="17"/>
  <c r="H31" i="10"/>
  <c r="AM13" i="7"/>
  <c r="X31" i="9"/>
  <c r="AA31" i="9" s="1"/>
  <c r="X9" i="9"/>
  <c r="AA9" i="9" s="1"/>
  <c r="X29" i="9"/>
  <c r="Z29" i="9" s="1"/>
  <c r="AJ90" i="9"/>
  <c r="AL78" i="9"/>
  <c r="D382" i="9" s="1"/>
  <c r="D97" i="11"/>
  <c r="I8" i="17"/>
  <c r="X68" i="9"/>
  <c r="Z68" i="9" s="1"/>
  <c r="X53" i="9"/>
  <c r="Z53" i="9" s="1"/>
  <c r="X8" i="9"/>
  <c r="AA8" i="9" s="1"/>
  <c r="X61" i="9"/>
  <c r="Z61" i="9" s="1"/>
  <c r="M12" i="10"/>
  <c r="AL73" i="9"/>
  <c r="D377" i="9" s="1"/>
  <c r="D29" i="11"/>
  <c r="AJ8" i="9"/>
  <c r="H18" i="10"/>
  <c r="AT5" i="7"/>
  <c r="AJ65" i="9"/>
  <c r="X98" i="9"/>
  <c r="Z98" i="9" s="1"/>
  <c r="AG51" i="9"/>
  <c r="D54" i="11"/>
  <c r="AY16" i="7"/>
  <c r="AJ29" i="9"/>
  <c r="AG20" i="9"/>
  <c r="AL4" i="9"/>
  <c r="D308" i="9" s="1"/>
  <c r="D104" i="11"/>
  <c r="AL33" i="9"/>
  <c r="D337" i="9" s="1"/>
  <c r="AY8" i="7"/>
  <c r="X35" i="9"/>
  <c r="Z35" i="9" s="1"/>
  <c r="D114" i="11"/>
  <c r="AG52" i="9"/>
  <c r="X93" i="9"/>
  <c r="Z93" i="9" s="1"/>
  <c r="AJ45" i="9"/>
  <c r="X97" i="9"/>
  <c r="Z97" i="9" s="1"/>
  <c r="AY6" i="7"/>
  <c r="AY9" i="7"/>
  <c r="X72" i="9"/>
  <c r="Z72" i="9" s="1"/>
  <c r="AJ35" i="9"/>
  <c r="AG40" i="9"/>
  <c r="D34" i="11"/>
  <c r="M6" i="10"/>
  <c r="AG28" i="9"/>
  <c r="D14" i="11"/>
  <c r="AG14" i="9"/>
  <c r="AL15" i="9"/>
  <c r="D319" i="9" s="1"/>
  <c r="D44" i="11"/>
  <c r="AY12" i="7"/>
  <c r="X20" i="9"/>
  <c r="Z20" i="9" s="1"/>
  <c r="J69" i="18"/>
  <c r="X26" i="9"/>
  <c r="Z26" i="9" s="1"/>
  <c r="D84" i="11"/>
  <c r="D24" i="11"/>
  <c r="AG5" i="9"/>
  <c r="AJ71" i="9"/>
  <c r="AL12" i="9"/>
  <c r="D316" i="9" s="1"/>
  <c r="AY11" i="7"/>
  <c r="X94" i="9"/>
  <c r="Z94" i="9" s="1"/>
  <c r="X95" i="9"/>
  <c r="AA95" i="9" s="1"/>
  <c r="AT22" i="7"/>
  <c r="X40" i="9"/>
  <c r="AA40" i="9" s="1"/>
  <c r="X102" i="9"/>
  <c r="AA102" i="9" s="1"/>
  <c r="D94" i="11"/>
  <c r="H15" i="10"/>
  <c r="AY17" i="7"/>
  <c r="D4" i="11"/>
  <c r="D64" i="11"/>
  <c r="AG71" i="9"/>
  <c r="X28" i="9"/>
  <c r="Z28" i="9" s="1"/>
  <c r="AT11" i="7"/>
  <c r="X14" i="9"/>
  <c r="Z14" i="9" s="1"/>
  <c r="AJ81" i="9"/>
  <c r="T4" i="15"/>
  <c r="Y4" i="15" s="1"/>
  <c r="X52" i="9"/>
  <c r="AA52" i="9" s="1"/>
  <c r="X75" i="9"/>
  <c r="Z75" i="9" s="1"/>
  <c r="X81" i="9"/>
  <c r="Z81" i="9" s="1"/>
  <c r="AM17" i="7"/>
  <c r="AG66" i="9"/>
  <c r="X90" i="9"/>
  <c r="Z90" i="9" s="1"/>
  <c r="D74" i="11"/>
  <c r="AM3" i="7"/>
  <c r="J58" i="18"/>
  <c r="J21" i="18"/>
  <c r="W15" i="5"/>
  <c r="V15" i="5" s="1"/>
  <c r="H15" i="5" s="1"/>
  <c r="W90" i="5"/>
  <c r="V90" i="5" s="1"/>
  <c r="H90" i="5" s="1"/>
  <c r="W31" i="5"/>
  <c r="V31" i="5" s="1"/>
  <c r="H31" i="5" s="1"/>
  <c r="W11" i="5"/>
  <c r="V11" i="5" s="1"/>
  <c r="Z11" i="5" s="1"/>
  <c r="W79" i="5"/>
  <c r="V79" i="5" s="1"/>
  <c r="H79" i="5" s="1"/>
  <c r="W97" i="5"/>
  <c r="V97" i="5" s="1"/>
  <c r="H97" i="5" s="1"/>
  <c r="W13" i="5"/>
  <c r="V13" i="5" s="1"/>
  <c r="H13" i="5" s="1"/>
  <c r="W32" i="5"/>
  <c r="V32" i="5" s="1"/>
  <c r="H32" i="5" s="1"/>
  <c r="W57" i="5"/>
  <c r="V57" i="5" s="1"/>
  <c r="Z57" i="5" s="1"/>
  <c r="W71" i="5"/>
  <c r="V71" i="5" s="1"/>
  <c r="Z71" i="5" s="1"/>
  <c r="W67" i="5"/>
  <c r="V67" i="5" s="1"/>
  <c r="Z67" i="5" s="1"/>
  <c r="AA67" i="5" s="1"/>
  <c r="W35" i="5"/>
  <c r="V35" i="5" s="1"/>
  <c r="Z35" i="5" s="1"/>
  <c r="AB35" i="5" s="1"/>
  <c r="W18" i="5"/>
  <c r="V18" i="5" s="1"/>
  <c r="H18" i="5" s="1"/>
  <c r="AG74" i="9"/>
  <c r="AG78" i="9"/>
  <c r="AM16" i="7"/>
  <c r="D69" i="11"/>
  <c r="AY5" i="7"/>
  <c r="AL8" i="9"/>
  <c r="D312" i="9" s="1"/>
  <c r="H8" i="11"/>
  <c r="M9" i="10"/>
  <c r="D27" i="11"/>
  <c r="X54" i="9"/>
  <c r="Z54" i="9" s="1"/>
  <c r="X74" i="9"/>
  <c r="Z74" i="9" s="1"/>
  <c r="W46" i="5"/>
  <c r="V46" i="5" s="1"/>
  <c r="H46" i="5" s="1"/>
  <c r="W94" i="5"/>
  <c r="V94" i="5" s="1"/>
  <c r="Z94" i="5" s="1"/>
  <c r="W87" i="5"/>
  <c r="V87" i="5" s="1"/>
  <c r="H87" i="5" s="1"/>
  <c r="W100" i="5"/>
  <c r="V100" i="5" s="1"/>
  <c r="Z100" i="5" s="1"/>
  <c r="W98" i="5"/>
  <c r="V98" i="5" s="1"/>
  <c r="Z98" i="5" s="1"/>
  <c r="W76" i="5"/>
  <c r="V76" i="5" s="1"/>
  <c r="Z76" i="5" s="1"/>
  <c r="AA76" i="5" s="1"/>
  <c r="W80" i="5"/>
  <c r="V80" i="5" s="1"/>
  <c r="Z80" i="5" s="1"/>
  <c r="W16" i="5"/>
  <c r="V16" i="5" s="1"/>
  <c r="H16" i="5" s="1"/>
  <c r="W41" i="5"/>
  <c r="V41" i="5" s="1"/>
  <c r="H41" i="5" s="1"/>
  <c r="W39" i="5"/>
  <c r="V39" i="5" s="1"/>
  <c r="Z39" i="5" s="1"/>
  <c r="W53" i="5"/>
  <c r="V53" i="5" s="1"/>
  <c r="H53" i="5" s="1"/>
  <c r="W21" i="5"/>
  <c r="V21" i="5" s="1"/>
  <c r="H21" i="5" s="1"/>
  <c r="AG67" i="9"/>
  <c r="AG21" i="9"/>
  <c r="D39" i="11"/>
  <c r="AG102" i="9"/>
  <c r="AL40" i="9"/>
  <c r="D344" i="9" s="1"/>
  <c r="AM27" i="7"/>
  <c r="X49" i="9"/>
  <c r="Z49" i="9" s="1"/>
  <c r="X37" i="9"/>
  <c r="Z37" i="9" s="1"/>
  <c r="AT4" i="7"/>
  <c r="X64" i="9"/>
  <c r="Z64" i="9" s="1"/>
  <c r="D107" i="11"/>
  <c r="W75" i="5"/>
  <c r="V75" i="5" s="1"/>
  <c r="Z75" i="5" s="1"/>
  <c r="W96" i="5"/>
  <c r="V96" i="5" s="1"/>
  <c r="H96" i="5" s="1"/>
  <c r="W56" i="5"/>
  <c r="V56" i="5" s="1"/>
  <c r="Z56" i="5" s="1"/>
  <c r="V105" i="5"/>
  <c r="Z105" i="5" s="1"/>
  <c r="X22" i="9"/>
  <c r="Z22" i="9" s="1"/>
  <c r="J55" i="18"/>
  <c r="W27" i="5"/>
  <c r="V27" i="5" s="1"/>
  <c r="Z27" i="5" s="1"/>
  <c r="W93" i="5"/>
  <c r="V93" i="5" s="1"/>
  <c r="Z93" i="5" s="1"/>
  <c r="W77" i="5"/>
  <c r="V77" i="5" s="1"/>
  <c r="H77" i="5" s="1"/>
  <c r="W99" i="5"/>
  <c r="V99" i="5" s="1"/>
  <c r="H99" i="5" s="1"/>
  <c r="W82" i="5"/>
  <c r="V82" i="5" s="1"/>
  <c r="Z82" i="5" s="1"/>
  <c r="AA82" i="5" s="1"/>
  <c r="W47" i="5"/>
  <c r="V47" i="5" s="1"/>
  <c r="H47" i="5" s="1"/>
  <c r="W65" i="5"/>
  <c r="V65" i="5" s="1"/>
  <c r="H65" i="5" s="1"/>
  <c r="W74" i="5"/>
  <c r="V74" i="5" s="1"/>
  <c r="Z74" i="5" s="1"/>
  <c r="AB74" i="5" s="1"/>
  <c r="W40" i="5"/>
  <c r="V40" i="5" s="1"/>
  <c r="H40" i="5" s="1"/>
  <c r="W23" i="5"/>
  <c r="V23" i="5" s="1"/>
  <c r="H23" i="5" s="1"/>
  <c r="W52" i="5"/>
  <c r="V52" i="5" s="1"/>
  <c r="Z52" i="5" s="1"/>
  <c r="AA52" i="5" s="1"/>
  <c r="W20" i="5"/>
  <c r="V20" i="5" s="1"/>
  <c r="H20" i="5" s="1"/>
  <c r="K11" i="8"/>
  <c r="N11" i="8" s="1"/>
  <c r="AG99" i="9"/>
  <c r="D19" i="11"/>
  <c r="D79" i="11"/>
  <c r="AJ102" i="9"/>
  <c r="AT27" i="7"/>
  <c r="X27" i="9"/>
  <c r="Z27" i="9" s="1"/>
  <c r="M7" i="10"/>
  <c r="AY4" i="7"/>
  <c r="AG54" i="9"/>
  <c r="D47" i="11"/>
  <c r="D7" i="11"/>
  <c r="W101" i="5"/>
  <c r="V101" i="5" s="1"/>
  <c r="Z101" i="5" s="1"/>
  <c r="W81" i="5"/>
  <c r="V81" i="5" s="1"/>
  <c r="Z81" i="5" s="1"/>
  <c r="AB81" i="5" s="1"/>
  <c r="W54" i="5"/>
  <c r="V54" i="5" s="1"/>
  <c r="H54" i="5" s="1"/>
  <c r="AJ67" i="9"/>
  <c r="D67" i="11"/>
  <c r="W12" i="5"/>
  <c r="V12" i="5" s="1"/>
  <c r="H12" i="5" s="1"/>
  <c r="W92" i="5"/>
  <c r="V92" i="5" s="1"/>
  <c r="H92" i="5" s="1"/>
  <c r="W72" i="5"/>
  <c r="V72" i="5" s="1"/>
  <c r="Z72" i="5" s="1"/>
  <c r="AB72" i="5" s="1"/>
  <c r="W86" i="5"/>
  <c r="V86" i="5" s="1"/>
  <c r="Z86" i="5" s="1"/>
  <c r="AB86" i="5" s="1"/>
  <c r="W59" i="5"/>
  <c r="V59" i="5" s="1"/>
  <c r="Z59" i="5" s="1"/>
  <c r="W95" i="5"/>
  <c r="V95" i="5" s="1"/>
  <c r="H95" i="5" s="1"/>
  <c r="W64" i="5"/>
  <c r="V64" i="5" s="1"/>
  <c r="Z64" i="5" s="1"/>
  <c r="AA64" i="5" s="1"/>
  <c r="W58" i="5"/>
  <c r="V58" i="5" s="1"/>
  <c r="H58" i="5" s="1"/>
  <c r="W25" i="5"/>
  <c r="V25" i="5" s="1"/>
  <c r="H25" i="5" s="1"/>
  <c r="W7" i="5"/>
  <c r="W4" i="5" s="1"/>
  <c r="W51" i="5"/>
  <c r="V51" i="5" s="1"/>
  <c r="H51" i="5" s="1"/>
  <c r="W19" i="5"/>
  <c r="V19" i="5" s="1"/>
  <c r="H19" i="5" s="1"/>
  <c r="AM24" i="7"/>
  <c r="AL59" i="9"/>
  <c r="D363" i="9" s="1"/>
  <c r="D59" i="11"/>
  <c r="D119" i="11"/>
  <c r="D87" i="11"/>
  <c r="D37" i="11"/>
  <c r="W104" i="5"/>
  <c r="V104" i="5" s="1"/>
  <c r="Z104" i="5" s="1"/>
  <c r="AB104" i="5" s="1"/>
  <c r="W22" i="5"/>
  <c r="V22" i="5" s="1"/>
  <c r="Z22" i="5" s="1"/>
  <c r="AB22" i="5" s="1"/>
  <c r="W103" i="5"/>
  <c r="V103" i="5" s="1"/>
  <c r="Z103" i="5" s="1"/>
  <c r="W91" i="5"/>
  <c r="V91" i="5" s="1"/>
  <c r="Z91" i="5" s="1"/>
  <c r="W60" i="5"/>
  <c r="V60" i="5" s="1"/>
  <c r="H60" i="5" s="1"/>
  <c r="W85" i="5"/>
  <c r="V85" i="5" s="1"/>
  <c r="H85" i="5" s="1"/>
  <c r="W44" i="5"/>
  <c r="V44" i="5" s="1"/>
  <c r="Z44" i="5" s="1"/>
  <c r="W62" i="5"/>
  <c r="V62" i="5" s="1"/>
  <c r="Z62" i="5" s="1"/>
  <c r="W49" i="5"/>
  <c r="V49" i="5" s="1"/>
  <c r="H49" i="5" s="1"/>
  <c r="W42" i="5"/>
  <c r="V42" i="5" s="1"/>
  <c r="H42" i="5" s="1"/>
  <c r="W24" i="5"/>
  <c r="V24" i="5" s="1"/>
  <c r="Z24" i="5" s="1"/>
  <c r="AA24" i="5" s="1"/>
  <c r="W70" i="5"/>
  <c r="V70" i="5" s="1"/>
  <c r="H70" i="5" s="1"/>
  <c r="W38" i="5"/>
  <c r="V38" i="5" s="1"/>
  <c r="Z38" i="5" s="1"/>
  <c r="W66" i="5"/>
  <c r="V66" i="5" s="1"/>
  <c r="Z66" i="5" s="1"/>
  <c r="AA66" i="5" s="1"/>
  <c r="AL41" i="9"/>
  <c r="D345" i="9" s="1"/>
  <c r="AY24" i="7"/>
  <c r="D99" i="11"/>
  <c r="D49" i="11"/>
  <c r="AJ97" i="9"/>
  <c r="D17" i="11"/>
  <c r="D77" i="11"/>
  <c r="N8" i="14"/>
  <c r="P8" i="14" s="1"/>
  <c r="W61" i="5"/>
  <c r="V61" i="5" s="1"/>
  <c r="Z61" i="5" s="1"/>
  <c r="AA61" i="5" s="1"/>
  <c r="W63" i="5"/>
  <c r="V63" i="5" s="1"/>
  <c r="Z63" i="5" s="1"/>
  <c r="AA63" i="5" s="1"/>
  <c r="W17" i="5"/>
  <c r="V17" i="5" s="1"/>
  <c r="H17" i="5" s="1"/>
  <c r="W55" i="5"/>
  <c r="V55" i="5" s="1"/>
  <c r="Z55" i="5" s="1"/>
  <c r="D109" i="11"/>
  <c r="W88" i="5"/>
  <c r="V88" i="5" s="1"/>
  <c r="H88" i="5" s="1"/>
  <c r="W78" i="5"/>
  <c r="V78" i="5" s="1"/>
  <c r="H78" i="5" s="1"/>
  <c r="W45" i="5"/>
  <c r="V45" i="5" s="1"/>
  <c r="H45" i="5" s="1"/>
  <c r="W84" i="5"/>
  <c r="V84" i="5" s="1"/>
  <c r="Z84" i="5" s="1"/>
  <c r="AA84" i="5" s="1"/>
  <c r="W29" i="5"/>
  <c r="V29" i="5" s="1"/>
  <c r="H29" i="5" s="1"/>
  <c r="W43" i="5"/>
  <c r="V43" i="5" s="1"/>
  <c r="H43" i="5" s="1"/>
  <c r="W48" i="5"/>
  <c r="V48" i="5" s="1"/>
  <c r="Z48" i="5" s="1"/>
  <c r="AA48" i="5" s="1"/>
  <c r="W26" i="5"/>
  <c r="V26" i="5" s="1"/>
  <c r="Z26" i="5" s="1"/>
  <c r="AA26" i="5" s="1"/>
  <c r="W9" i="5"/>
  <c r="V9" i="5" s="1"/>
  <c r="H9" i="5" s="1"/>
  <c r="W69" i="5"/>
  <c r="V69" i="5" s="1"/>
  <c r="H69" i="5" s="1"/>
  <c r="W37" i="5"/>
  <c r="V37" i="5" s="1"/>
  <c r="H37" i="5" s="1"/>
  <c r="D9" i="11"/>
  <c r="D57" i="11"/>
  <c r="X92" i="9"/>
  <c r="Z92" i="9" s="1"/>
  <c r="X10" i="9"/>
  <c r="AA10" i="9" s="1"/>
  <c r="X99" i="9"/>
  <c r="Z99" i="9" s="1"/>
  <c r="AT3" i="7"/>
  <c r="H26" i="10"/>
  <c r="X60" i="9"/>
  <c r="Z60" i="9" s="1"/>
  <c r="X18" i="9"/>
  <c r="Z18" i="9" s="1"/>
  <c r="AT8" i="7"/>
  <c r="H9" i="11"/>
  <c r="X47" i="9"/>
  <c r="Z47" i="9" s="1"/>
  <c r="AL20" i="9"/>
  <c r="D324" i="9" s="1"/>
  <c r="AL75" i="9"/>
  <c r="D379" i="9" s="1"/>
  <c r="AJ7" i="9"/>
  <c r="AL42" i="9"/>
  <c r="D346" i="9" s="1"/>
  <c r="AM25" i="7"/>
  <c r="AG92" i="9"/>
  <c r="X19" i="14"/>
  <c r="N9" i="14"/>
  <c r="P9" i="14" s="1"/>
  <c r="X58" i="9"/>
  <c r="AA58" i="9" s="1"/>
  <c r="X17" i="9"/>
  <c r="Z17" i="9" s="1"/>
  <c r="D28" i="11"/>
  <c r="AT10" i="7"/>
  <c r="AG48" i="9"/>
  <c r="AY25" i="7"/>
  <c r="X61" i="14"/>
  <c r="X5" i="9"/>
  <c r="Z5" i="9" s="1"/>
  <c r="X39" i="9"/>
  <c r="AA39" i="9" s="1"/>
  <c r="X51" i="9"/>
  <c r="Z51" i="9" s="1"/>
  <c r="D8" i="11"/>
  <c r="AJ83" i="9"/>
  <c r="AJ10" i="9"/>
  <c r="AY10" i="7"/>
  <c r="AJ18" i="9"/>
  <c r="X24" i="9"/>
  <c r="Z24" i="9" s="1"/>
  <c r="O9" i="17"/>
  <c r="O9" i="15"/>
  <c r="Q9" i="15" s="1"/>
  <c r="S9" i="15" s="1"/>
  <c r="G132" i="15" s="1"/>
  <c r="D78" i="11"/>
  <c r="AG10" i="9"/>
  <c r="AG18" i="9"/>
  <c r="X19" i="9"/>
  <c r="AA19" i="9" s="1"/>
  <c r="AJ37" i="9"/>
  <c r="AY18" i="7"/>
  <c r="AJ24" i="9"/>
  <c r="X48" i="9"/>
  <c r="AA48" i="9" s="1"/>
  <c r="D40" i="11"/>
  <c r="X87" i="14"/>
  <c r="F13" i="17"/>
  <c r="X100" i="9"/>
  <c r="Z100" i="9" s="1"/>
  <c r="X79" i="9"/>
  <c r="AA79" i="9" s="1"/>
  <c r="X32" i="9"/>
  <c r="AA32" i="9" s="1"/>
  <c r="X6" i="9"/>
  <c r="Z6" i="9" s="1"/>
  <c r="X36" i="9"/>
  <c r="Z36" i="9" s="1"/>
  <c r="AT28" i="7"/>
  <c r="AJ60" i="9"/>
  <c r="D101" i="11"/>
  <c r="AJ31" i="9"/>
  <c r="D90" i="11"/>
  <c r="X94" i="14"/>
  <c r="I10" i="17"/>
  <c r="F9" i="17"/>
  <c r="AJ53" i="9"/>
  <c r="AL38" i="9"/>
  <c r="D342" i="9" s="1"/>
  <c r="AG31" i="9"/>
  <c r="AG88" i="9"/>
  <c r="X62" i="14"/>
  <c r="AG53" i="9"/>
  <c r="AL86" i="9"/>
  <c r="D390" i="9" s="1"/>
  <c r="AJ22" i="9"/>
  <c r="AL81" i="9"/>
  <c r="D385" i="9" s="1"/>
  <c r="X65" i="9"/>
  <c r="AA65" i="9" s="1"/>
  <c r="AG58" i="9"/>
  <c r="AJ36" i="9"/>
  <c r="X30" i="14"/>
  <c r="N4" i="14"/>
  <c r="P4" i="14" s="1"/>
  <c r="AG22" i="9"/>
  <c r="X3" i="14"/>
  <c r="X71" i="14"/>
  <c r="X28" i="14"/>
  <c r="AJ44" i="9"/>
  <c r="X23" i="9"/>
  <c r="Z23" i="9" s="1"/>
  <c r="AJ23" i="9"/>
  <c r="X59" i="14"/>
  <c r="X85" i="14"/>
  <c r="X50" i="14"/>
  <c r="X18" i="14"/>
  <c r="X7" i="9"/>
  <c r="AA7" i="9" s="1"/>
  <c r="AG69" i="9"/>
  <c r="AJ82" i="9"/>
  <c r="AJ86" i="9"/>
  <c r="X56" i="9"/>
  <c r="Z56" i="9" s="1"/>
  <c r="D71" i="11"/>
  <c r="X83" i="9"/>
  <c r="Z83" i="9" s="1"/>
  <c r="AG17" i="9"/>
  <c r="AJ100" i="9"/>
  <c r="AL25" i="9"/>
  <c r="D329" i="9" s="1"/>
  <c r="D43" i="11"/>
  <c r="AG79" i="9"/>
  <c r="X96" i="9"/>
  <c r="AA96" i="9" s="1"/>
  <c r="AJ62" i="9"/>
  <c r="X17" i="14"/>
  <c r="X43" i="14"/>
  <c r="X69" i="14"/>
  <c r="X80" i="14"/>
  <c r="X48" i="14"/>
  <c r="X16" i="14"/>
  <c r="K16" i="14"/>
  <c r="AJ17" i="9"/>
  <c r="X33" i="14"/>
  <c r="AJ6" i="9"/>
  <c r="AL84" i="9"/>
  <c r="D388" i="9" s="1"/>
  <c r="AJ85" i="9"/>
  <c r="AJ39" i="9"/>
  <c r="AJ56" i="9"/>
  <c r="AL72" i="9"/>
  <c r="D376" i="9" s="1"/>
  <c r="D11" i="11"/>
  <c r="X62" i="9"/>
  <c r="AA62" i="9" s="1"/>
  <c r="AL89" i="9"/>
  <c r="D393" i="9" s="1"/>
  <c r="D83" i="11"/>
  <c r="X45" i="9"/>
  <c r="Z45" i="9" s="1"/>
  <c r="AJ33" i="9"/>
  <c r="X95" i="14"/>
  <c r="X27" i="14"/>
  <c r="X53" i="14"/>
  <c r="X78" i="14"/>
  <c r="X46" i="14"/>
  <c r="X14" i="14"/>
  <c r="N6" i="14"/>
  <c r="P6" i="14" s="1"/>
  <c r="O5" i="17"/>
  <c r="AG6" i="9"/>
  <c r="AL100" i="9"/>
  <c r="D404" i="9" s="1"/>
  <c r="AG39" i="9"/>
  <c r="D41" i="11"/>
  <c r="H27" i="10"/>
  <c r="AJ32" i="9"/>
  <c r="D13" i="11"/>
  <c r="AL7" i="9"/>
  <c r="D311" i="9" s="1"/>
  <c r="X79" i="14"/>
  <c r="X11" i="14"/>
  <c r="X37" i="14"/>
  <c r="X76" i="14"/>
  <c r="X44" i="14"/>
  <c r="X12" i="14"/>
  <c r="N11" i="14"/>
  <c r="P11" i="14" s="1"/>
  <c r="G311" i="15"/>
  <c r="O10" i="17"/>
  <c r="X92" i="14"/>
  <c r="AJ58" i="9"/>
  <c r="X82" i="14"/>
  <c r="X57" i="9"/>
  <c r="Z57" i="9" s="1"/>
  <c r="AL88" i="9"/>
  <c r="D392" i="9" s="1"/>
  <c r="AL76" i="9"/>
  <c r="D380" i="9" s="1"/>
  <c r="D21" i="11"/>
  <c r="H17" i="10"/>
  <c r="AG32" i="9"/>
  <c r="D53" i="11"/>
  <c r="AJ47" i="9"/>
  <c r="X51" i="14"/>
  <c r="X93" i="14"/>
  <c r="X25" i="14"/>
  <c r="X98" i="14"/>
  <c r="X66" i="14"/>
  <c r="X34" i="14"/>
  <c r="M17" i="14"/>
  <c r="N3" i="14"/>
  <c r="Q3" i="14" s="1"/>
  <c r="X45" i="14"/>
  <c r="X60" i="14"/>
  <c r="X43" i="9"/>
  <c r="Z43" i="9" s="1"/>
  <c r="X66" i="9"/>
  <c r="Z66" i="9" s="1"/>
  <c r="D61" i="11"/>
  <c r="X13" i="9"/>
  <c r="Z13" i="9" s="1"/>
  <c r="X35" i="14"/>
  <c r="X77" i="14"/>
  <c r="X9" i="14"/>
  <c r="X96" i="14"/>
  <c r="X64" i="14"/>
  <c r="X32" i="14"/>
  <c r="M23" i="14"/>
  <c r="N10" i="14"/>
  <c r="P10" i="14" s="1"/>
  <c r="K23" i="14"/>
  <c r="X44" i="9"/>
  <c r="AA44" i="9" s="1"/>
  <c r="T3" i="15"/>
  <c r="Y3" i="15" s="1"/>
  <c r="X91" i="9"/>
  <c r="AA91" i="9" s="1"/>
  <c r="X97" i="14"/>
  <c r="X63" i="14"/>
  <c r="X29" i="14"/>
  <c r="X89" i="14"/>
  <c r="X55" i="14"/>
  <c r="X21" i="14"/>
  <c r="X90" i="14"/>
  <c r="X74" i="14"/>
  <c r="X58" i="14"/>
  <c r="X42" i="14"/>
  <c r="X26" i="14"/>
  <c r="X10" i="14"/>
  <c r="K19" i="14"/>
  <c r="AA33" i="13"/>
  <c r="N8" i="13" s="1"/>
  <c r="D111" i="11"/>
  <c r="D103" i="11"/>
  <c r="X99" i="14"/>
  <c r="X81" i="14"/>
  <c r="X47" i="14"/>
  <c r="X13" i="14"/>
  <c r="X73" i="14"/>
  <c r="X39" i="14"/>
  <c r="X5" i="14"/>
  <c r="X88" i="14"/>
  <c r="X72" i="14"/>
  <c r="X56" i="14"/>
  <c r="X40" i="14"/>
  <c r="X24" i="14"/>
  <c r="X8" i="14"/>
  <c r="N7" i="14"/>
  <c r="Q7" i="14" s="1"/>
  <c r="K17" i="14"/>
  <c r="T10" i="15"/>
  <c r="Y10" i="15" s="1"/>
  <c r="AA18" i="13"/>
  <c r="N5" i="13" s="1"/>
  <c r="D23" i="11"/>
  <c r="H12" i="11"/>
  <c r="X83" i="14"/>
  <c r="X65" i="14"/>
  <c r="X31" i="14"/>
  <c r="X91" i="14"/>
  <c r="X57" i="14"/>
  <c r="X23" i="14"/>
  <c r="X101" i="14"/>
  <c r="X86" i="14"/>
  <c r="X70" i="14"/>
  <c r="X54" i="14"/>
  <c r="X38" i="14"/>
  <c r="X22" i="14"/>
  <c r="X6" i="14"/>
  <c r="K15" i="14"/>
  <c r="G300" i="15"/>
  <c r="AA43" i="13"/>
  <c r="N10" i="13" s="1"/>
  <c r="D63" i="11"/>
  <c r="X67" i="14"/>
  <c r="X49" i="14"/>
  <c r="X15" i="14"/>
  <c r="X75" i="14"/>
  <c r="X41" i="14"/>
  <c r="X7" i="14"/>
  <c r="X100" i="14"/>
  <c r="X84" i="14"/>
  <c r="X68" i="14"/>
  <c r="X52" i="14"/>
  <c r="X36" i="14"/>
  <c r="X20" i="14"/>
  <c r="T5" i="15"/>
  <c r="V5" i="15" s="1"/>
  <c r="G212" i="15"/>
  <c r="AB29" i="7"/>
  <c r="D38" i="11"/>
  <c r="H11" i="11"/>
  <c r="AT18" i="7"/>
  <c r="D10" i="11"/>
  <c r="D60" i="11"/>
  <c r="X85" i="9"/>
  <c r="M15" i="14"/>
  <c r="G36" i="15"/>
  <c r="D20" i="11"/>
  <c r="D118" i="11"/>
  <c r="X21" i="9"/>
  <c r="Z21" i="9" s="1"/>
  <c r="AT20" i="7"/>
  <c r="D108" i="11"/>
  <c r="D48" i="11"/>
  <c r="AL52" i="9"/>
  <c r="D356" i="9" s="1"/>
  <c r="AL51" i="9"/>
  <c r="D355" i="9" s="1"/>
  <c r="D35" i="11"/>
  <c r="AT26" i="7"/>
  <c r="AT14" i="7"/>
  <c r="AL90" i="9"/>
  <c r="D394" i="9" s="1"/>
  <c r="AL54" i="9"/>
  <c r="D358" i="9" s="1"/>
  <c r="AL69" i="9"/>
  <c r="D373" i="9" s="1"/>
  <c r="AM28" i="7"/>
  <c r="AL44" i="9"/>
  <c r="D348" i="9" s="1"/>
  <c r="D81" i="11"/>
  <c r="AL101" i="9"/>
  <c r="D405" i="9" s="1"/>
  <c r="D3" i="11"/>
  <c r="D93" i="11"/>
  <c r="AY20" i="7"/>
  <c r="D30" i="11"/>
  <c r="M20" i="14"/>
  <c r="N5" i="14"/>
  <c r="P5" i="14" s="1"/>
  <c r="G69" i="15"/>
  <c r="D100" i="11"/>
  <c r="J133" i="18"/>
  <c r="D68" i="11"/>
  <c r="D80" i="11"/>
  <c r="M22" i="14"/>
  <c r="E41" i="13"/>
  <c r="AL50" i="9"/>
  <c r="D354" i="9" s="1"/>
  <c r="AL11" i="9"/>
  <c r="D315" i="9" s="1"/>
  <c r="D18" i="11"/>
  <c r="D88" i="11"/>
  <c r="H4" i="11"/>
  <c r="D45" i="11"/>
  <c r="AY26" i="7"/>
  <c r="D121" i="11"/>
  <c r="D33" i="11"/>
  <c r="AL80" i="9"/>
  <c r="D384" i="9" s="1"/>
  <c r="D70" i="11"/>
  <c r="M18" i="14"/>
  <c r="G135" i="15"/>
  <c r="D58" i="11"/>
  <c r="AL68" i="9"/>
  <c r="D372" i="9" s="1"/>
  <c r="D105" i="11"/>
  <c r="AL70" i="9"/>
  <c r="D374" i="9" s="1"/>
  <c r="Z103" i="9"/>
  <c r="AC31" i="19" s="1"/>
  <c r="AL60" i="9"/>
  <c r="D364" i="9" s="1"/>
  <c r="D51" i="11"/>
  <c r="AL74" i="9"/>
  <c r="D378" i="9" s="1"/>
  <c r="AL63" i="9"/>
  <c r="D367" i="9" s="1"/>
  <c r="D73" i="11"/>
  <c r="D110" i="11"/>
  <c r="M21" i="14"/>
  <c r="M16" i="14"/>
  <c r="G124" i="15"/>
  <c r="D31" i="11"/>
  <c r="D120" i="11"/>
  <c r="G190" i="15"/>
  <c r="D85" i="11"/>
  <c r="H6" i="11"/>
  <c r="G223" i="15"/>
  <c r="G245" i="15"/>
  <c r="G157" i="15"/>
  <c r="G91" i="15"/>
  <c r="D15" i="11"/>
  <c r="G322" i="15"/>
  <c r="G234" i="15"/>
  <c r="G146" i="15"/>
  <c r="G14" i="15"/>
  <c r="AT23" i="7"/>
  <c r="D55" i="11"/>
  <c r="T6" i="15"/>
  <c r="Y6" i="15" s="1"/>
  <c r="G113" i="15"/>
  <c r="G256" i="15"/>
  <c r="G25" i="15"/>
  <c r="G267" i="15"/>
  <c r="AY23" i="7"/>
  <c r="D75" i="11"/>
  <c r="D95" i="11"/>
  <c r="G179" i="15"/>
  <c r="G58" i="15"/>
  <c r="G47" i="15"/>
  <c r="G333" i="15"/>
  <c r="AF48" i="13"/>
  <c r="D5" i="11"/>
  <c r="D25" i="11"/>
  <c r="AY14" i="7"/>
  <c r="G289" i="15"/>
  <c r="G201" i="15"/>
  <c r="G102" i="15"/>
  <c r="Y12" i="15"/>
  <c r="AC4" i="15" s="1"/>
  <c r="D115" i="11"/>
  <c r="G278" i="15"/>
  <c r="G168" i="15"/>
  <c r="K15" i="8"/>
  <c r="N15" i="8" s="1"/>
  <c r="F12" i="17"/>
  <c r="E363" i="13"/>
  <c r="O12" i="17"/>
  <c r="T7" i="15"/>
  <c r="X7" i="15" s="1"/>
  <c r="T11" i="15"/>
  <c r="X11" i="15" s="1"/>
  <c r="AG48" i="13"/>
  <c r="AH48" i="13" s="1"/>
  <c r="AG4" i="13"/>
  <c r="AG47" i="13"/>
  <c r="AH47" i="13" s="1"/>
  <c r="X12" i="15"/>
  <c r="AB10" i="15" s="1"/>
  <c r="T8" i="15"/>
  <c r="V8" i="15" s="1"/>
  <c r="V12" i="15"/>
  <c r="Z3" i="15" s="1"/>
  <c r="X26" i="12"/>
  <c r="X18" i="12"/>
  <c r="X13" i="12"/>
  <c r="X21" i="12"/>
  <c r="X23" i="12"/>
  <c r="X37" i="12"/>
  <c r="X14" i="12"/>
  <c r="X38" i="12"/>
  <c r="X27" i="12"/>
  <c r="X25" i="12"/>
  <c r="X20" i="12"/>
  <c r="X34" i="12"/>
  <c r="X4" i="12"/>
  <c r="X35" i="12"/>
  <c r="X5" i="12"/>
  <c r="X8" i="12"/>
  <c r="X22" i="12"/>
  <c r="X32" i="12"/>
  <c r="X24" i="12"/>
  <c r="X19" i="12"/>
  <c r="X29" i="12"/>
  <c r="X12" i="12"/>
  <c r="X39" i="12"/>
  <c r="X15" i="12"/>
  <c r="X31" i="12"/>
  <c r="X36" i="12"/>
  <c r="X9" i="12"/>
  <c r="X28" i="12"/>
  <c r="X33" i="12"/>
  <c r="X16" i="12"/>
  <c r="X17" i="12"/>
  <c r="X30" i="12"/>
  <c r="X10" i="12"/>
  <c r="X11" i="12"/>
  <c r="X7" i="12"/>
  <c r="X6" i="12"/>
  <c r="K266" i="3"/>
  <c r="K282" i="3"/>
  <c r="K273" i="3"/>
  <c r="K292" i="3"/>
  <c r="K308" i="3"/>
  <c r="K324" i="3"/>
  <c r="K340" i="3"/>
  <c r="K356" i="3"/>
  <c r="K285" i="3"/>
  <c r="K301" i="3"/>
  <c r="K317" i="3"/>
  <c r="K333" i="3"/>
  <c r="K349" i="3"/>
  <c r="K365" i="3"/>
  <c r="K384" i="3"/>
  <c r="K400" i="3"/>
  <c r="K416" i="3"/>
  <c r="K383" i="3"/>
  <c r="K399" i="3"/>
  <c r="K422" i="3"/>
  <c r="K438" i="3"/>
  <c r="K454" i="3"/>
  <c r="K470" i="3"/>
  <c r="K486" i="3"/>
  <c r="K253" i="3"/>
  <c r="K409" i="3"/>
  <c r="K427" i="3"/>
  <c r="K6" i="3"/>
  <c r="K501" i="3"/>
  <c r="K26" i="3"/>
  <c r="K42" i="3"/>
  <c r="K58" i="3"/>
  <c r="K74" i="3"/>
  <c r="K90" i="3"/>
  <c r="K451" i="3"/>
  <c r="K441" i="3"/>
  <c r="K256" i="3"/>
  <c r="K25" i="3"/>
  <c r="K41" i="3"/>
  <c r="K57" i="3"/>
  <c r="K73" i="3"/>
  <c r="K89" i="3"/>
  <c r="K455" i="3"/>
  <c r="K8" i="3"/>
  <c r="K120" i="3"/>
  <c r="K136" i="3"/>
  <c r="K152" i="3"/>
  <c r="K168" i="3"/>
  <c r="K184" i="3"/>
  <c r="K200" i="3"/>
  <c r="K216" i="3"/>
  <c r="K232" i="3"/>
  <c r="K248" i="3"/>
  <c r="K155" i="3"/>
  <c r="K215" i="3"/>
  <c r="K247" i="3"/>
  <c r="K169" i="3"/>
  <c r="K191" i="3"/>
  <c r="K135" i="3"/>
  <c r="K225" i="3"/>
  <c r="K183" i="3"/>
  <c r="K165" i="3"/>
  <c r="K268" i="3"/>
  <c r="K259" i="3"/>
  <c r="K275" i="3"/>
  <c r="K294" i="3"/>
  <c r="K310" i="3"/>
  <c r="K326" i="3"/>
  <c r="K342" i="3"/>
  <c r="K358" i="3"/>
  <c r="K287" i="3"/>
  <c r="K303" i="3"/>
  <c r="K319" i="3"/>
  <c r="K335" i="3"/>
  <c r="K351" i="3"/>
  <c r="K367" i="3"/>
  <c r="K386" i="3"/>
  <c r="K402" i="3"/>
  <c r="K376" i="3"/>
  <c r="K385" i="3"/>
  <c r="K401" i="3"/>
  <c r="K424" i="3"/>
  <c r="K440" i="3"/>
  <c r="K456" i="3"/>
  <c r="K472" i="3"/>
  <c r="K488" i="3"/>
  <c r="K255" i="3"/>
  <c r="K407" i="3"/>
  <c r="K429" i="3"/>
  <c r="K445" i="3"/>
  <c r="K12" i="3"/>
  <c r="K28" i="3"/>
  <c r="K44" i="3"/>
  <c r="K60" i="3"/>
  <c r="K76" i="3"/>
  <c r="K92" i="3"/>
  <c r="K459" i="3"/>
  <c r="K449" i="3"/>
  <c r="K11" i="3"/>
  <c r="K27" i="3"/>
  <c r="K43" i="3"/>
  <c r="K59" i="3"/>
  <c r="K75" i="3"/>
  <c r="K91" i="3"/>
  <c r="K463" i="3"/>
  <c r="K102" i="3"/>
  <c r="K122" i="3"/>
  <c r="K138" i="3"/>
  <c r="K154" i="3"/>
  <c r="K170" i="3"/>
  <c r="K186" i="3"/>
  <c r="K202" i="3"/>
  <c r="K218" i="3"/>
  <c r="K234" i="3"/>
  <c r="K103" i="3"/>
  <c r="K163" i="3"/>
  <c r="K109" i="3"/>
  <c r="K104" i="3"/>
  <c r="K173" i="3"/>
  <c r="K207" i="3"/>
  <c r="K143" i="3"/>
  <c r="K241" i="3"/>
  <c r="K101" i="3"/>
  <c r="K181" i="3"/>
  <c r="K270" i="3"/>
  <c r="K261" i="3"/>
  <c r="K277" i="3"/>
  <c r="K296" i="3"/>
  <c r="K312" i="3"/>
  <c r="K328" i="3"/>
  <c r="K344" i="3"/>
  <c r="K360" i="3"/>
  <c r="K289" i="3"/>
  <c r="K305" i="3"/>
  <c r="K321" i="3"/>
  <c r="K337" i="3"/>
  <c r="K353" i="3"/>
  <c r="K372" i="3"/>
  <c r="K388" i="3"/>
  <c r="K404" i="3"/>
  <c r="K368" i="3"/>
  <c r="K387" i="3"/>
  <c r="K403" i="3"/>
  <c r="K426" i="3"/>
  <c r="K442" i="3"/>
  <c r="K458" i="3"/>
  <c r="K474" i="3"/>
  <c r="K490" i="3"/>
  <c r="K257" i="3"/>
  <c r="K411" i="3"/>
  <c r="K431" i="3"/>
  <c r="K453" i="3"/>
  <c r="K14" i="3"/>
  <c r="K30" i="3"/>
  <c r="K46" i="3"/>
  <c r="K62" i="3"/>
  <c r="K78" i="3"/>
  <c r="K94" i="3"/>
  <c r="K467" i="3"/>
  <c r="K457" i="3"/>
  <c r="K13" i="3"/>
  <c r="K29" i="3"/>
  <c r="K45" i="3"/>
  <c r="K61" i="3"/>
  <c r="K77" i="3"/>
  <c r="K93" i="3"/>
  <c r="K471" i="3"/>
  <c r="K108" i="3"/>
  <c r="K124" i="3"/>
  <c r="K140" i="3"/>
  <c r="K156" i="3"/>
  <c r="K172" i="3"/>
  <c r="K188" i="3"/>
  <c r="K204" i="3"/>
  <c r="K220" i="3"/>
  <c r="K236" i="3"/>
  <c r="K106" i="3"/>
  <c r="K185" i="3"/>
  <c r="K125" i="3"/>
  <c r="K115" i="3"/>
  <c r="K189" i="3"/>
  <c r="K223" i="3"/>
  <c r="K151" i="3"/>
  <c r="K117" i="3"/>
  <c r="K107" i="3"/>
  <c r="K197" i="3"/>
  <c r="K272" i="3"/>
  <c r="K263" i="3"/>
  <c r="K279" i="3"/>
  <c r="K298" i="3"/>
  <c r="K314" i="3"/>
  <c r="K330" i="3"/>
  <c r="K346" i="3"/>
  <c r="K362" i="3"/>
  <c r="K291" i="3"/>
  <c r="K307" i="3"/>
  <c r="K323" i="3"/>
  <c r="K339" i="3"/>
  <c r="K355" i="3"/>
  <c r="K373" i="3"/>
  <c r="K390" i="3"/>
  <c r="K406" i="3"/>
  <c r="K369" i="3"/>
  <c r="K389" i="3"/>
  <c r="K405" i="3"/>
  <c r="K428" i="3"/>
  <c r="K444" i="3"/>
  <c r="K460" i="3"/>
  <c r="K476" i="3"/>
  <c r="K492" i="3"/>
  <c r="K252" i="3"/>
  <c r="K417" i="3"/>
  <c r="K433" i="3"/>
  <c r="K461" i="3"/>
  <c r="K16" i="3"/>
  <c r="K32" i="3"/>
  <c r="K48" i="3"/>
  <c r="K64" i="3"/>
  <c r="K80" i="3"/>
  <c r="K96" i="3"/>
  <c r="K475" i="3"/>
  <c r="K465" i="3"/>
  <c r="K15" i="3"/>
  <c r="K31" i="3"/>
  <c r="K47" i="3"/>
  <c r="K63" i="3"/>
  <c r="K79" i="3"/>
  <c r="K95" i="3"/>
  <c r="K479" i="3"/>
  <c r="K110" i="3"/>
  <c r="K126" i="3"/>
  <c r="K142" i="3"/>
  <c r="K158" i="3"/>
  <c r="K174" i="3"/>
  <c r="K190" i="3"/>
  <c r="K206" i="3"/>
  <c r="K222" i="3"/>
  <c r="K238" i="3"/>
  <c r="K2" i="3"/>
  <c r="K201" i="3"/>
  <c r="K171" i="3"/>
  <c r="K129" i="3"/>
  <c r="K205" i="3"/>
  <c r="K239" i="3"/>
  <c r="K159" i="3"/>
  <c r="K179" i="3"/>
  <c r="K123" i="3"/>
  <c r="K213" i="3"/>
  <c r="K258" i="3"/>
  <c r="K274" i="3"/>
  <c r="K265" i="3"/>
  <c r="K284" i="3"/>
  <c r="K300" i="3"/>
  <c r="K316" i="3"/>
  <c r="K332" i="3"/>
  <c r="K348" i="3"/>
  <c r="K364" i="3"/>
  <c r="K293" i="3"/>
  <c r="K309" i="3"/>
  <c r="K325" i="3"/>
  <c r="K341" i="3"/>
  <c r="K357" i="3"/>
  <c r="K374" i="3"/>
  <c r="K392" i="3"/>
  <c r="K408" i="3"/>
  <c r="K377" i="3"/>
  <c r="K391" i="3"/>
  <c r="K378" i="3"/>
  <c r="K430" i="3"/>
  <c r="K446" i="3"/>
  <c r="K462" i="3"/>
  <c r="K478" i="3"/>
  <c r="K494" i="3"/>
  <c r="K3" i="3"/>
  <c r="K419" i="3"/>
  <c r="K435" i="3"/>
  <c r="K469" i="3"/>
  <c r="K18" i="3"/>
  <c r="K34" i="3"/>
  <c r="K50" i="3"/>
  <c r="K66" i="3"/>
  <c r="K82" i="3"/>
  <c r="K98" i="3"/>
  <c r="K483" i="3"/>
  <c r="K473" i="3"/>
  <c r="K17" i="3"/>
  <c r="K33" i="3"/>
  <c r="K49" i="3"/>
  <c r="K65" i="3"/>
  <c r="K81" i="3"/>
  <c r="K97" i="3"/>
  <c r="K487" i="3"/>
  <c r="K112" i="3"/>
  <c r="K128" i="3"/>
  <c r="K144" i="3"/>
  <c r="K160" i="3"/>
  <c r="K176" i="3"/>
  <c r="K192" i="3"/>
  <c r="K208" i="3"/>
  <c r="K224" i="3"/>
  <c r="K240" i="3"/>
  <c r="K119" i="3"/>
  <c r="K217" i="3"/>
  <c r="K187" i="3"/>
  <c r="K137" i="3"/>
  <c r="K221" i="3"/>
  <c r="K250" i="3"/>
  <c r="K167" i="3"/>
  <c r="K195" i="3"/>
  <c r="K133" i="3"/>
  <c r="K229" i="3"/>
  <c r="K260" i="3"/>
  <c r="K276" i="3"/>
  <c r="K267" i="3"/>
  <c r="K286" i="3"/>
  <c r="K302" i="3"/>
  <c r="K318" i="3"/>
  <c r="K334" i="3"/>
  <c r="K350" i="3"/>
  <c r="K366" i="3"/>
  <c r="K295" i="3"/>
  <c r="K311" i="3"/>
  <c r="K327" i="3"/>
  <c r="K343" i="3"/>
  <c r="K359" i="3"/>
  <c r="K375" i="3"/>
  <c r="K394" i="3"/>
  <c r="K410" i="3"/>
  <c r="K371" i="3"/>
  <c r="K393" i="3"/>
  <c r="K415" i="3"/>
  <c r="K432" i="3"/>
  <c r="K448" i="3"/>
  <c r="K464" i="3"/>
  <c r="K480" i="3"/>
  <c r="K496" i="3"/>
  <c r="K5" i="3"/>
  <c r="K421" i="3"/>
  <c r="K437" i="3"/>
  <c r="K477" i="3"/>
  <c r="K20" i="3"/>
  <c r="K36" i="3"/>
  <c r="K52" i="3"/>
  <c r="K68" i="3"/>
  <c r="K84" i="3"/>
  <c r="K100" i="3"/>
  <c r="K491" i="3"/>
  <c r="K481" i="3"/>
  <c r="K19" i="3"/>
  <c r="K35" i="3"/>
  <c r="K51" i="3"/>
  <c r="K67" i="3"/>
  <c r="K83" i="3"/>
  <c r="K99" i="3"/>
  <c r="K495" i="3"/>
  <c r="K114" i="3"/>
  <c r="K130" i="3"/>
  <c r="K146" i="3"/>
  <c r="K162" i="3"/>
  <c r="K178" i="3"/>
  <c r="K194" i="3"/>
  <c r="K210" i="3"/>
  <c r="K226" i="3"/>
  <c r="K242" i="3"/>
  <c r="K131" i="3"/>
  <c r="K233" i="3"/>
  <c r="K203" i="3"/>
  <c r="K145" i="3"/>
  <c r="K237" i="3"/>
  <c r="K231" i="3"/>
  <c r="K177" i="3"/>
  <c r="K211" i="3"/>
  <c r="K141" i="3"/>
  <c r="K245" i="3"/>
  <c r="K262" i="3"/>
  <c r="K278" i="3"/>
  <c r="K269" i="3"/>
  <c r="K288" i="3"/>
  <c r="K304" i="3"/>
  <c r="K320" i="3"/>
  <c r="K336" i="3"/>
  <c r="K352" i="3"/>
  <c r="K281" i="3"/>
  <c r="K297" i="3"/>
  <c r="K313" i="3"/>
  <c r="K329" i="3"/>
  <c r="K345" i="3"/>
  <c r="K361" i="3"/>
  <c r="K380" i="3"/>
  <c r="K396" i="3"/>
  <c r="K412" i="3"/>
  <c r="K379" i="3"/>
  <c r="K395" i="3"/>
  <c r="K418" i="3"/>
  <c r="K434" i="3"/>
  <c r="K450" i="3"/>
  <c r="K466" i="3"/>
  <c r="K482" i="3"/>
  <c r="K498" i="3"/>
  <c r="K7" i="3"/>
  <c r="K423" i="3"/>
  <c r="K370" i="3"/>
  <c r="K485" i="3"/>
  <c r="K22" i="3"/>
  <c r="K38" i="3"/>
  <c r="K54" i="3"/>
  <c r="K70" i="3"/>
  <c r="K86" i="3"/>
  <c r="K4" i="3"/>
  <c r="K499" i="3"/>
  <c r="K489" i="3"/>
  <c r="K21" i="3"/>
  <c r="K37" i="3"/>
  <c r="K53" i="3"/>
  <c r="K69" i="3"/>
  <c r="K85" i="3"/>
  <c r="K439" i="3"/>
  <c r="K254" i="3"/>
  <c r="K116" i="3"/>
  <c r="K132" i="3"/>
  <c r="K148" i="3"/>
  <c r="K164" i="3"/>
  <c r="K180" i="3"/>
  <c r="K196" i="3"/>
  <c r="K212" i="3"/>
  <c r="K228" i="3"/>
  <c r="K244" i="3"/>
  <c r="K139" i="3"/>
  <c r="K249" i="3"/>
  <c r="K219" i="3"/>
  <c r="K153" i="3"/>
  <c r="K121" i="3"/>
  <c r="K111" i="3"/>
  <c r="K193" i="3"/>
  <c r="K227" i="3"/>
  <c r="K149" i="3"/>
  <c r="K113" i="3"/>
  <c r="K264" i="3"/>
  <c r="K280" i="3"/>
  <c r="K271" i="3"/>
  <c r="K290" i="3"/>
  <c r="K306" i="3"/>
  <c r="K322" i="3"/>
  <c r="K338" i="3"/>
  <c r="K354" i="3"/>
  <c r="K283" i="3"/>
  <c r="K299" i="3"/>
  <c r="K315" i="3"/>
  <c r="K331" i="3"/>
  <c r="K347" i="3"/>
  <c r="K363" i="3"/>
  <c r="K382" i="3"/>
  <c r="K398" i="3"/>
  <c r="K414" i="3"/>
  <c r="K381" i="3"/>
  <c r="K397" i="3"/>
  <c r="K420" i="3"/>
  <c r="K436" i="3"/>
  <c r="K452" i="3"/>
  <c r="K468" i="3"/>
  <c r="K484" i="3"/>
  <c r="K500" i="3"/>
  <c r="K9" i="3"/>
  <c r="K425" i="3"/>
  <c r="K413" i="3"/>
  <c r="K493" i="3"/>
  <c r="K24" i="3"/>
  <c r="K40" i="3"/>
  <c r="K56" i="3"/>
  <c r="K72" i="3"/>
  <c r="K88" i="3"/>
  <c r="K443" i="3"/>
  <c r="K10" i="3"/>
  <c r="K497" i="3"/>
  <c r="K23" i="3"/>
  <c r="K39" i="3"/>
  <c r="K55" i="3"/>
  <c r="K71" i="3"/>
  <c r="K87" i="3"/>
  <c r="K447" i="3"/>
  <c r="K105" i="3"/>
  <c r="K118" i="3"/>
  <c r="K134" i="3"/>
  <c r="K150" i="3"/>
  <c r="K166" i="3"/>
  <c r="K182" i="3"/>
  <c r="K198" i="3"/>
  <c r="K214" i="3"/>
  <c r="K230" i="3"/>
  <c r="K246" i="3"/>
  <c r="K147" i="3"/>
  <c r="K199" i="3"/>
  <c r="K235" i="3"/>
  <c r="K161" i="3"/>
  <c r="K175" i="3"/>
  <c r="K127" i="3"/>
  <c r="K209" i="3"/>
  <c r="K243" i="3"/>
  <c r="K157" i="3"/>
  <c r="K47" i="8"/>
  <c r="M47" i="8" s="1"/>
  <c r="AA4" i="7"/>
  <c r="K19" i="8"/>
  <c r="N19" i="8" s="1"/>
  <c r="W4" i="14"/>
  <c r="W6" i="14"/>
  <c r="W8" i="14"/>
  <c r="W10" i="14"/>
  <c r="W12" i="14"/>
  <c r="W14" i="14"/>
  <c r="W16" i="14"/>
  <c r="W18" i="14"/>
  <c r="W20" i="14"/>
  <c r="W22" i="14"/>
  <c r="W24" i="14"/>
  <c r="W26" i="14"/>
  <c r="W28" i="14"/>
  <c r="W30" i="14"/>
  <c r="W32" i="14"/>
  <c r="W34" i="14"/>
  <c r="W36" i="14"/>
  <c r="W38" i="14"/>
  <c r="W40" i="14"/>
  <c r="W42" i="14"/>
  <c r="W44" i="14"/>
  <c r="W46" i="14"/>
  <c r="W48" i="14"/>
  <c r="W50" i="14"/>
  <c r="W52" i="14"/>
  <c r="W54" i="14"/>
  <c r="W56" i="14"/>
  <c r="W58" i="14"/>
  <c r="W60" i="14"/>
  <c r="W62" i="14"/>
  <c r="W64" i="14"/>
  <c r="W66" i="14"/>
  <c r="W68" i="14"/>
  <c r="W70" i="14"/>
  <c r="W72" i="14"/>
  <c r="W74" i="14"/>
  <c r="W76" i="14"/>
  <c r="W78" i="14"/>
  <c r="W80" i="14"/>
  <c r="W82" i="14"/>
  <c r="W84" i="14"/>
  <c r="W86" i="14"/>
  <c r="W88" i="14"/>
  <c r="W90" i="14"/>
  <c r="W92" i="14"/>
  <c r="W94" i="14"/>
  <c r="W96" i="14"/>
  <c r="W98" i="14"/>
  <c r="W100" i="14"/>
  <c r="W101" i="14"/>
  <c r="W3" i="14"/>
  <c r="W5" i="14"/>
  <c r="W7" i="14"/>
  <c r="W9" i="14"/>
  <c r="W11" i="14"/>
  <c r="W13" i="14"/>
  <c r="W15" i="14"/>
  <c r="W17" i="14"/>
  <c r="W19" i="14"/>
  <c r="W21" i="14"/>
  <c r="W23" i="14"/>
  <c r="W25" i="14"/>
  <c r="W27" i="14"/>
  <c r="W29" i="14"/>
  <c r="W31" i="14"/>
  <c r="W33" i="14"/>
  <c r="W35" i="14"/>
  <c r="W37" i="14"/>
  <c r="W39" i="14"/>
  <c r="W41" i="14"/>
  <c r="W43" i="14"/>
  <c r="W45" i="14"/>
  <c r="W47" i="14"/>
  <c r="W49" i="14"/>
  <c r="W51" i="14"/>
  <c r="W53" i="14"/>
  <c r="W55" i="14"/>
  <c r="W57" i="14"/>
  <c r="W59" i="14"/>
  <c r="W61" i="14"/>
  <c r="W63" i="14"/>
  <c r="W65" i="14"/>
  <c r="W67" i="14"/>
  <c r="W69" i="14"/>
  <c r="W71" i="14"/>
  <c r="W73" i="14"/>
  <c r="W75" i="14"/>
  <c r="W77" i="14"/>
  <c r="W79" i="14"/>
  <c r="W81" i="14"/>
  <c r="W83" i="14"/>
  <c r="W85" i="14"/>
  <c r="W87" i="14"/>
  <c r="W89" i="14"/>
  <c r="W91" i="14"/>
  <c r="W93" i="14"/>
  <c r="W95" i="14"/>
  <c r="W97" i="14"/>
  <c r="W99" i="14"/>
  <c r="E11" i="17"/>
  <c r="G11" i="17"/>
  <c r="E121" i="13"/>
  <c r="G307" i="15"/>
  <c r="G318" i="15"/>
  <c r="G54" i="15"/>
  <c r="G175" i="15"/>
  <c r="G109" i="15"/>
  <c r="G43" i="15"/>
  <c r="G230" i="15"/>
  <c r="G285" i="15"/>
  <c r="G186" i="15"/>
  <c r="G153" i="15"/>
  <c r="G142" i="15"/>
  <c r="G131" i="15"/>
  <c r="G197" i="15"/>
  <c r="G10" i="15"/>
  <c r="G252" i="15"/>
  <c r="G65" i="15"/>
  <c r="G208" i="15"/>
  <c r="G219" i="15"/>
  <c r="G164" i="15"/>
  <c r="G32" i="15"/>
  <c r="G296" i="15"/>
  <c r="G241" i="15"/>
  <c r="G329" i="15"/>
  <c r="G76" i="15"/>
  <c r="G263" i="15"/>
  <c r="G120" i="15"/>
  <c r="G87" i="15"/>
  <c r="G98" i="15"/>
  <c r="G21" i="15"/>
  <c r="G274" i="15"/>
  <c r="G232" i="15"/>
  <c r="G276" i="15"/>
  <c r="G78" i="15"/>
  <c r="G45" i="15"/>
  <c r="G155" i="15"/>
  <c r="G331" i="15"/>
  <c r="G56" i="15"/>
  <c r="G166" i="15"/>
  <c r="G12" i="15"/>
  <c r="G23" i="15"/>
  <c r="G177" i="15"/>
  <c r="G100" i="15"/>
  <c r="G89" i="15"/>
  <c r="G320" i="15"/>
  <c r="G67" i="15"/>
  <c r="G188" i="15"/>
  <c r="G298" i="15"/>
  <c r="G287" i="15"/>
  <c r="G122" i="15"/>
  <c r="G199" i="15"/>
  <c r="G243" i="15"/>
  <c r="G309" i="15"/>
  <c r="G254" i="15"/>
  <c r="G34" i="15"/>
  <c r="G133" i="15"/>
  <c r="G111" i="15"/>
  <c r="G210" i="15"/>
  <c r="G265" i="15"/>
  <c r="G144" i="15"/>
  <c r="G221" i="15"/>
  <c r="E324" i="13"/>
  <c r="E278" i="13"/>
  <c r="E265" i="13"/>
  <c r="E311" i="13"/>
  <c r="E286" i="13"/>
  <c r="E240" i="13"/>
  <c r="E300" i="13"/>
  <c r="E254" i="13"/>
  <c r="E283" i="13"/>
  <c r="E237" i="13"/>
  <c r="E267" i="13"/>
  <c r="E313" i="13"/>
  <c r="E10" i="17"/>
  <c r="G10" i="17"/>
  <c r="E22" i="13"/>
  <c r="E344" i="13"/>
  <c r="E390" i="13"/>
  <c r="E332" i="13"/>
  <c r="E10" i="13"/>
  <c r="E378" i="13"/>
  <c r="E5" i="17"/>
  <c r="G5" i="17"/>
  <c r="E106" i="13"/>
  <c r="E184" i="13"/>
  <c r="E430" i="13"/>
  <c r="E250" i="13"/>
  <c r="E296" i="13"/>
  <c r="E257" i="13"/>
  <c r="E303" i="13"/>
  <c r="E317" i="13"/>
  <c r="E271" i="13"/>
  <c r="E292" i="13"/>
  <c r="E246" i="13"/>
  <c r="E276" i="13"/>
  <c r="E322" i="13"/>
  <c r="E259" i="13"/>
  <c r="E305" i="13"/>
  <c r="E416" i="13"/>
  <c r="E370" i="13"/>
  <c r="E48" i="13"/>
  <c r="E336" i="13"/>
  <c r="E14" i="13"/>
  <c r="E382" i="13"/>
  <c r="E366" i="13"/>
  <c r="E412" i="13"/>
  <c r="E44" i="13"/>
  <c r="BC31" i="19"/>
  <c r="BE31" i="19"/>
  <c r="AA5" i="15"/>
  <c r="BG31" i="19"/>
  <c r="AA4" i="15"/>
  <c r="AA11" i="15"/>
  <c r="BA31" i="19"/>
  <c r="AA12" i="15"/>
  <c r="AA9" i="15"/>
  <c r="AA3" i="15"/>
  <c r="AA7" i="15"/>
  <c r="AA8" i="15"/>
  <c r="AA6" i="15"/>
  <c r="AA10" i="15"/>
  <c r="G4" i="17"/>
  <c r="E4" i="17"/>
  <c r="E501" i="13"/>
  <c r="E242" i="13"/>
  <c r="E288" i="13"/>
  <c r="E249" i="13"/>
  <c r="E295" i="13"/>
  <c r="E309" i="13"/>
  <c r="E263" i="13"/>
  <c r="E284" i="13"/>
  <c r="E238" i="13"/>
  <c r="E268" i="13"/>
  <c r="E314" i="13"/>
  <c r="E251" i="13"/>
  <c r="E297" i="13"/>
  <c r="E408" i="13"/>
  <c r="E362" i="13"/>
  <c r="E40" i="13"/>
  <c r="E6" i="13"/>
  <c r="E374" i="13"/>
  <c r="E328" i="13"/>
  <c r="E358" i="13"/>
  <c r="E404" i="13"/>
  <c r="E36" i="13"/>
  <c r="N7" i="13"/>
  <c r="G255" i="15"/>
  <c r="G24" i="15"/>
  <c r="G112" i="15"/>
  <c r="G233" i="15"/>
  <c r="G244" i="15"/>
  <c r="G178" i="15"/>
  <c r="G35" i="15"/>
  <c r="G123" i="15"/>
  <c r="G266" i="15"/>
  <c r="G46" i="15"/>
  <c r="G211" i="15"/>
  <c r="G321" i="15"/>
  <c r="G13" i="15"/>
  <c r="G57" i="15"/>
  <c r="G299" i="15"/>
  <c r="G189" i="15"/>
  <c r="G68" i="15"/>
  <c r="G134" i="15"/>
  <c r="G277" i="15"/>
  <c r="G79" i="15"/>
  <c r="G222" i="15"/>
  <c r="G156" i="15"/>
  <c r="G200" i="15"/>
  <c r="G90" i="15"/>
  <c r="G310" i="15"/>
  <c r="G332" i="15"/>
  <c r="G167" i="15"/>
  <c r="G288" i="15"/>
  <c r="G101" i="15"/>
  <c r="G145" i="15"/>
  <c r="AK31" i="19"/>
  <c r="AG13" i="13"/>
  <c r="AG43" i="13"/>
  <c r="AH43" i="13" s="1"/>
  <c r="AG8" i="13"/>
  <c r="AG45" i="13"/>
  <c r="AG7" i="13"/>
  <c r="AG28" i="13"/>
  <c r="AH28" i="13" s="1"/>
  <c r="AG9" i="13"/>
  <c r="AG38" i="13"/>
  <c r="AH38" i="13" s="1"/>
  <c r="AG18" i="13"/>
  <c r="AG5" i="13"/>
  <c r="AG29" i="13"/>
  <c r="AG23" i="13"/>
  <c r="AH23" i="13" s="1"/>
  <c r="AG33" i="13"/>
  <c r="AH33" i="13" s="1"/>
  <c r="AG46" i="13"/>
  <c r="AG6" i="13"/>
  <c r="AG37" i="13"/>
  <c r="AG21" i="13"/>
  <c r="AG31" i="13"/>
  <c r="AG27" i="13"/>
  <c r="AG39" i="13"/>
  <c r="AH39" i="13" s="1"/>
  <c r="AG10" i="13"/>
  <c r="AG42" i="13"/>
  <c r="AG35" i="13"/>
  <c r="AG19" i="13"/>
  <c r="AG14" i="13"/>
  <c r="AG24" i="13"/>
  <c r="AG16" i="13"/>
  <c r="AG41" i="13"/>
  <c r="AG26" i="13"/>
  <c r="AG12" i="13"/>
  <c r="AG36" i="13"/>
  <c r="AG11" i="13"/>
  <c r="AG20" i="13"/>
  <c r="AG44" i="13"/>
  <c r="AH44" i="13" s="1"/>
  <c r="AG40" i="13"/>
  <c r="AG17" i="13"/>
  <c r="AG34" i="13"/>
  <c r="AH34" i="13" s="1"/>
  <c r="AG15" i="13"/>
  <c r="AG32" i="13"/>
  <c r="AG22" i="13"/>
  <c r="AG30" i="13"/>
  <c r="AG25" i="13"/>
  <c r="AA28" i="7"/>
  <c r="G63" i="15"/>
  <c r="G129" i="15"/>
  <c r="G107" i="15"/>
  <c r="G195" i="15"/>
  <c r="G294" i="15"/>
  <c r="G19" i="15"/>
  <c r="G206" i="15"/>
  <c r="G305" i="15"/>
  <c r="G217" i="15"/>
  <c r="G316" i="15"/>
  <c r="G327" i="15"/>
  <c r="G74" i="15"/>
  <c r="G8" i="15"/>
  <c r="G228" i="15"/>
  <c r="G239" i="15"/>
  <c r="G30" i="15"/>
  <c r="G151" i="15"/>
  <c r="G250" i="15"/>
  <c r="G85" i="15"/>
  <c r="G162" i="15"/>
  <c r="G261" i="15"/>
  <c r="G41" i="15"/>
  <c r="G52" i="15"/>
  <c r="G140" i="15"/>
  <c r="G173" i="15"/>
  <c r="G96" i="15"/>
  <c r="G272" i="15"/>
  <c r="G118" i="15"/>
  <c r="G184" i="15"/>
  <c r="G283" i="15"/>
  <c r="E157" i="13"/>
  <c r="E464" i="13"/>
  <c r="E66" i="13"/>
  <c r="V9" i="15"/>
  <c r="X9" i="15"/>
  <c r="Y9" i="15"/>
  <c r="W9" i="15"/>
  <c r="E234" i="13"/>
  <c r="E280" i="13"/>
  <c r="E241" i="13"/>
  <c r="E287" i="13"/>
  <c r="E301" i="13"/>
  <c r="E255" i="13"/>
  <c r="E323" i="13"/>
  <c r="E277" i="13"/>
  <c r="E260" i="13"/>
  <c r="E306" i="13"/>
  <c r="E243" i="13"/>
  <c r="E289" i="13"/>
  <c r="E400" i="13"/>
  <c r="E32" i="13"/>
  <c r="E354" i="13"/>
  <c r="E413" i="13"/>
  <c r="E45" i="13"/>
  <c r="E367" i="13"/>
  <c r="E350" i="13"/>
  <c r="E396" i="13"/>
  <c r="E28" i="13"/>
  <c r="E12" i="17"/>
  <c r="G12" i="17"/>
  <c r="E6" i="17"/>
  <c r="G6" i="17"/>
  <c r="E77" i="13"/>
  <c r="E274" i="13"/>
  <c r="E320" i="13"/>
  <c r="E318" i="13"/>
  <c r="E272" i="13"/>
  <c r="E293" i="13"/>
  <c r="E247" i="13"/>
  <c r="E315" i="13"/>
  <c r="E269" i="13"/>
  <c r="E252" i="13"/>
  <c r="E298" i="13"/>
  <c r="E235" i="13"/>
  <c r="E281" i="13"/>
  <c r="E392" i="13"/>
  <c r="E346" i="13"/>
  <c r="E24" i="13"/>
  <c r="E342" i="13"/>
  <c r="E388" i="13"/>
  <c r="E20" i="13"/>
  <c r="E364" i="13"/>
  <c r="E42" i="13"/>
  <c r="E410" i="13"/>
  <c r="G325" i="15"/>
  <c r="G116" i="15"/>
  <c r="G215" i="15"/>
  <c r="G237" i="15"/>
  <c r="G28" i="15"/>
  <c r="G127" i="15"/>
  <c r="G226" i="15"/>
  <c r="G248" i="15"/>
  <c r="G138" i="15"/>
  <c r="G149" i="15"/>
  <c r="G259" i="15"/>
  <c r="G39" i="15"/>
  <c r="G160" i="15"/>
  <c r="G270" i="15"/>
  <c r="G61" i="15"/>
  <c r="G171" i="15"/>
  <c r="G94" i="15"/>
  <c r="G281" i="15"/>
  <c r="G182" i="15"/>
  <c r="G292" i="15"/>
  <c r="G83" i="15"/>
  <c r="G72" i="15"/>
  <c r="G50" i="15"/>
  <c r="G6" i="15"/>
  <c r="G105" i="15"/>
  <c r="G193" i="15"/>
  <c r="G303" i="15"/>
  <c r="G17" i="15"/>
  <c r="G204" i="15"/>
  <c r="G314" i="15"/>
  <c r="G9" i="17"/>
  <c r="E9" i="17"/>
  <c r="J16" i="14"/>
  <c r="J18" i="14"/>
  <c r="J20" i="14"/>
  <c r="J22" i="14"/>
  <c r="J15" i="14"/>
  <c r="J17" i="14"/>
  <c r="J19" i="14"/>
  <c r="J21" i="14"/>
  <c r="J23" i="14"/>
  <c r="E46" i="14"/>
  <c r="E35" i="14"/>
  <c r="E24" i="14"/>
  <c r="E13" i="14"/>
  <c r="E57" i="14"/>
  <c r="G53" i="15"/>
  <c r="G130" i="15"/>
  <c r="G119" i="15"/>
  <c r="G141" i="15"/>
  <c r="G174" i="15"/>
  <c r="G196" i="15"/>
  <c r="G284" i="15"/>
  <c r="G152" i="15"/>
  <c r="G42" i="15"/>
  <c r="G163" i="15"/>
  <c r="G295" i="15"/>
  <c r="G64" i="15"/>
  <c r="G185" i="15"/>
  <c r="G306" i="15"/>
  <c r="G317" i="15"/>
  <c r="G328" i="15"/>
  <c r="G75" i="15"/>
  <c r="G207" i="15"/>
  <c r="G240" i="15"/>
  <c r="G9" i="15"/>
  <c r="G218" i="15"/>
  <c r="G20" i="15"/>
  <c r="G251" i="15"/>
  <c r="G86" i="15"/>
  <c r="G31" i="15"/>
  <c r="G229" i="15"/>
  <c r="G262" i="15"/>
  <c r="G108" i="15"/>
  <c r="G97" i="15"/>
  <c r="G273" i="15"/>
  <c r="E468" i="13"/>
  <c r="E100" i="13"/>
  <c r="E191" i="13"/>
  <c r="E266" i="13"/>
  <c r="E312" i="13"/>
  <c r="E310" i="13"/>
  <c r="E264" i="13"/>
  <c r="E285" i="13"/>
  <c r="E239" i="13"/>
  <c r="E307" i="13"/>
  <c r="E261" i="13"/>
  <c r="E244" i="13"/>
  <c r="E290" i="13"/>
  <c r="E384" i="13"/>
  <c r="E16" i="13"/>
  <c r="E338" i="13"/>
  <c r="E368" i="13"/>
  <c r="E414" i="13"/>
  <c r="E46" i="13"/>
  <c r="E334" i="13"/>
  <c r="E380" i="13"/>
  <c r="E12" i="13"/>
  <c r="E356" i="13"/>
  <c r="E402" i="13"/>
  <c r="E34" i="13"/>
  <c r="AA7" i="7"/>
  <c r="G73" i="15"/>
  <c r="G18" i="15"/>
  <c r="G205" i="15"/>
  <c r="G304" i="15"/>
  <c r="G326" i="15"/>
  <c r="G117" i="15"/>
  <c r="G216" i="15"/>
  <c r="G315" i="15"/>
  <c r="G62" i="15"/>
  <c r="G29" i="15"/>
  <c r="G128" i="15"/>
  <c r="G227" i="15"/>
  <c r="G238" i="15"/>
  <c r="G51" i="15"/>
  <c r="G139" i="15"/>
  <c r="G150" i="15"/>
  <c r="G249" i="15"/>
  <c r="G84" i="15"/>
  <c r="G161" i="15"/>
  <c r="G260" i="15"/>
  <c r="G40" i="15"/>
  <c r="G172" i="15"/>
  <c r="G95" i="15"/>
  <c r="G271" i="15"/>
  <c r="G183" i="15"/>
  <c r="G282" i="15"/>
  <c r="G7" i="15"/>
  <c r="G106" i="15"/>
  <c r="G194" i="15"/>
  <c r="G293" i="15"/>
  <c r="P12" i="14"/>
  <c r="AQ31" i="19" s="1"/>
  <c r="E7" i="17"/>
  <c r="G7" i="17"/>
  <c r="E454" i="13"/>
  <c r="E178" i="13"/>
  <c r="E86" i="13"/>
  <c r="E79" i="13"/>
  <c r="E425" i="13"/>
  <c r="E57" i="13"/>
  <c r="E471" i="13"/>
  <c r="E103" i="13"/>
  <c r="E149" i="13"/>
  <c r="E195" i="13"/>
  <c r="E258" i="13"/>
  <c r="E304" i="13"/>
  <c r="E302" i="13"/>
  <c r="E256" i="13"/>
  <c r="E316" i="13"/>
  <c r="E270" i="13"/>
  <c r="E299" i="13"/>
  <c r="E253" i="13"/>
  <c r="E236" i="13"/>
  <c r="E282" i="13"/>
  <c r="E376" i="13"/>
  <c r="E330" i="13"/>
  <c r="E8" i="13"/>
  <c r="E406" i="13"/>
  <c r="E360" i="13"/>
  <c r="E38" i="13"/>
  <c r="E326" i="13"/>
  <c r="E4" i="13"/>
  <c r="E372" i="13"/>
  <c r="E348" i="13"/>
  <c r="E26" i="13"/>
  <c r="E394" i="13"/>
  <c r="AB7" i="7"/>
  <c r="E487" i="13"/>
  <c r="E457" i="13"/>
  <c r="E89" i="13"/>
  <c r="E181" i="13"/>
  <c r="E227" i="13"/>
  <c r="E503" i="13"/>
  <c r="E135" i="13"/>
  <c r="E472" i="13"/>
  <c r="E196" i="13"/>
  <c r="E166" i="13"/>
  <c r="E442" i="13"/>
  <c r="E120" i="13"/>
  <c r="E74" i="13"/>
  <c r="E212" i="13"/>
  <c r="E488" i="13"/>
  <c r="E110" i="13"/>
  <c r="E156" i="13"/>
  <c r="E432" i="13"/>
  <c r="E202" i="13"/>
  <c r="E64" i="13"/>
  <c r="E478" i="13"/>
  <c r="E8" i="17"/>
  <c r="G8" i="17"/>
  <c r="E273" i="13"/>
  <c r="E319" i="13"/>
  <c r="E294" i="13"/>
  <c r="E248" i="13"/>
  <c r="E308" i="13"/>
  <c r="E262" i="13"/>
  <c r="E291" i="13"/>
  <c r="E245" i="13"/>
  <c r="E275" i="13"/>
  <c r="E321" i="13"/>
  <c r="E369" i="13"/>
  <c r="E415" i="13"/>
  <c r="E47" i="13"/>
  <c r="E30" i="13"/>
  <c r="E352" i="13"/>
  <c r="E398" i="13"/>
  <c r="E43" i="13"/>
  <c r="E411" i="13"/>
  <c r="E365" i="13"/>
  <c r="E340" i="13"/>
  <c r="E386" i="13"/>
  <c r="E18" i="13"/>
  <c r="G49" i="15"/>
  <c r="G60" i="15"/>
  <c r="G82" i="15"/>
  <c r="G137" i="15"/>
  <c r="G159" i="15"/>
  <c r="G247" i="15"/>
  <c r="G148" i="15"/>
  <c r="G170" i="15"/>
  <c r="G258" i="15"/>
  <c r="G181" i="15"/>
  <c r="G38" i="15"/>
  <c r="G269" i="15"/>
  <c r="G192" i="15"/>
  <c r="G280" i="15"/>
  <c r="G324" i="15"/>
  <c r="G5" i="15"/>
  <c r="G27" i="15"/>
  <c r="G203" i="15"/>
  <c r="G291" i="15"/>
  <c r="G71" i="15"/>
  <c r="G16" i="15"/>
  <c r="G115" i="15"/>
  <c r="G214" i="15"/>
  <c r="G302" i="15"/>
  <c r="G104" i="15"/>
  <c r="G225" i="15"/>
  <c r="G313" i="15"/>
  <c r="G93" i="15"/>
  <c r="G126" i="15"/>
  <c r="G236" i="15"/>
  <c r="N5" i="5"/>
  <c r="AA15" i="7"/>
  <c r="AA16" i="7"/>
  <c r="AA18" i="7"/>
  <c r="K31" i="8"/>
  <c r="M31" i="8" s="1"/>
  <c r="K7" i="8"/>
  <c r="N7" i="8" s="1"/>
  <c r="AA9" i="7"/>
  <c r="AA24" i="7"/>
  <c r="K43" i="8"/>
  <c r="N43" i="8" s="1"/>
  <c r="K51" i="8"/>
  <c r="N51" i="8" s="1"/>
  <c r="N4" i="5"/>
  <c r="N3" i="5"/>
  <c r="AA25" i="7"/>
  <c r="W6" i="12"/>
  <c r="V6" i="12"/>
  <c r="J37" i="12"/>
  <c r="J77" i="12"/>
  <c r="J157" i="12"/>
  <c r="J237" i="12"/>
  <c r="J317" i="12"/>
  <c r="J197" i="12"/>
  <c r="J277" i="12"/>
  <c r="J357" i="12"/>
  <c r="J117" i="12"/>
  <c r="J10" i="12"/>
  <c r="J130" i="12"/>
  <c r="J50" i="12"/>
  <c r="J290" i="12"/>
  <c r="J90" i="12"/>
  <c r="J170" i="12"/>
  <c r="J250" i="12"/>
  <c r="J330" i="12"/>
  <c r="J210" i="12"/>
  <c r="V30" i="12"/>
  <c r="W30" i="12"/>
  <c r="K45" i="8"/>
  <c r="K29" i="8"/>
  <c r="K10" i="8"/>
  <c r="Q10" i="8"/>
  <c r="D10" i="8" s="1"/>
  <c r="K40" i="8"/>
  <c r="K6" i="8"/>
  <c r="Q6" i="8"/>
  <c r="D6" i="8" s="1"/>
  <c r="J18" i="12"/>
  <c r="J298" i="12"/>
  <c r="J138" i="12"/>
  <c r="J218" i="12"/>
  <c r="J58" i="12"/>
  <c r="J98" i="12"/>
  <c r="J258" i="12"/>
  <c r="J178" i="12"/>
  <c r="J338" i="12"/>
  <c r="AN10" i="7"/>
  <c r="AZ10" i="7"/>
  <c r="AF10" i="7"/>
  <c r="AU10" i="7"/>
  <c r="AN24" i="7"/>
  <c r="AZ24" i="7"/>
  <c r="AU24" i="7"/>
  <c r="AF24" i="7"/>
  <c r="AF19" i="7"/>
  <c r="AU19" i="7"/>
  <c r="AZ19" i="7"/>
  <c r="AN19" i="7"/>
  <c r="AU3" i="7"/>
  <c r="AZ3" i="7"/>
  <c r="AF3" i="7"/>
  <c r="AN3" i="7"/>
  <c r="J211" i="12"/>
  <c r="J331" i="12"/>
  <c r="J251" i="12"/>
  <c r="J171" i="12"/>
  <c r="J91" i="12"/>
  <c r="J11" i="12"/>
  <c r="J291" i="12"/>
  <c r="J131" i="12"/>
  <c r="J51" i="12"/>
  <c r="AO26" i="7"/>
  <c r="BA26" i="7"/>
  <c r="AV26" i="7"/>
  <c r="AO10" i="7"/>
  <c r="BA10" i="7"/>
  <c r="AV10" i="7"/>
  <c r="AV23" i="7"/>
  <c r="BA23" i="7"/>
  <c r="AO23" i="7"/>
  <c r="AV7" i="7"/>
  <c r="BA7" i="7"/>
  <c r="AO7" i="7"/>
  <c r="V38" i="12"/>
  <c r="W38" i="12"/>
  <c r="AA8" i="7"/>
  <c r="V18" i="7"/>
  <c r="V24" i="7"/>
  <c r="AA14" i="7"/>
  <c r="W32" i="12"/>
  <c r="V32" i="12"/>
  <c r="J20" i="12"/>
  <c r="J100" i="12"/>
  <c r="J140" i="12"/>
  <c r="J60" i="12"/>
  <c r="J180" i="12"/>
  <c r="J220" i="12"/>
  <c r="J300" i="12"/>
  <c r="J340" i="12"/>
  <c r="J260" i="12"/>
  <c r="J30" i="12"/>
  <c r="J270" i="12"/>
  <c r="J150" i="12"/>
  <c r="J230" i="12"/>
  <c r="J310" i="12"/>
  <c r="J190" i="12"/>
  <c r="J70" i="12"/>
  <c r="J110" i="12"/>
  <c r="J350" i="12"/>
  <c r="K44" i="8"/>
  <c r="K28" i="8"/>
  <c r="K49" i="8"/>
  <c r="K32" i="8"/>
  <c r="W21" i="12"/>
  <c r="V21" i="12"/>
  <c r="AU28" i="7"/>
  <c r="AF28" i="7"/>
  <c r="AN28" i="7"/>
  <c r="AZ28" i="7"/>
  <c r="AN16" i="7"/>
  <c r="AZ16" i="7"/>
  <c r="AU16" i="7"/>
  <c r="AF16" i="7"/>
  <c r="AU17" i="7"/>
  <c r="AF17" i="7"/>
  <c r="AN17" i="7"/>
  <c r="AZ17" i="7"/>
  <c r="J4" i="12"/>
  <c r="J204" i="12"/>
  <c r="J244" i="12"/>
  <c r="J124" i="12"/>
  <c r="J164" i="12"/>
  <c r="J44" i="12"/>
  <c r="J84" i="12"/>
  <c r="J284" i="12"/>
  <c r="J324" i="12"/>
  <c r="AO24" i="7"/>
  <c r="BA24" i="7"/>
  <c r="AV24" i="7"/>
  <c r="AO8" i="7"/>
  <c r="BA8" i="7"/>
  <c r="AV8" i="7"/>
  <c r="AO21" i="7"/>
  <c r="BA21" i="7"/>
  <c r="AV21" i="7"/>
  <c r="AO5" i="7"/>
  <c r="BA5" i="7"/>
  <c r="AV5" i="7"/>
  <c r="W23" i="12"/>
  <c r="V23" i="12"/>
  <c r="AA11" i="7"/>
  <c r="J31" i="12"/>
  <c r="J111" i="12"/>
  <c r="J351" i="12"/>
  <c r="J311" i="12"/>
  <c r="J191" i="12"/>
  <c r="J71" i="12"/>
  <c r="J271" i="12"/>
  <c r="J231" i="12"/>
  <c r="J151" i="12"/>
  <c r="AA6" i="7"/>
  <c r="W36" i="12"/>
  <c r="V36" i="12"/>
  <c r="W31" i="12"/>
  <c r="V31" i="12"/>
  <c r="Z41" i="9"/>
  <c r="AA41" i="9"/>
  <c r="J38" i="12"/>
  <c r="J158" i="12"/>
  <c r="J238" i="12"/>
  <c r="J318" i="12"/>
  <c r="J198" i="12"/>
  <c r="J78" i="12"/>
  <c r="J118" i="12"/>
  <c r="J278" i="12"/>
  <c r="J358" i="12"/>
  <c r="J32" i="12"/>
  <c r="J312" i="12"/>
  <c r="J352" i="12"/>
  <c r="J232" i="12"/>
  <c r="J272" i="12"/>
  <c r="J152" i="12"/>
  <c r="J192" i="12"/>
  <c r="J72" i="12"/>
  <c r="J112" i="12"/>
  <c r="W20" i="12"/>
  <c r="V20" i="12"/>
  <c r="AA26" i="7"/>
  <c r="V26" i="12"/>
  <c r="W26" i="12"/>
  <c r="J7" i="12"/>
  <c r="J87" i="12"/>
  <c r="J207" i="12"/>
  <c r="J167" i="12"/>
  <c r="J127" i="12"/>
  <c r="J47" i="12"/>
  <c r="J327" i="12"/>
  <c r="J247" i="12"/>
  <c r="J287" i="12"/>
  <c r="K27" i="8"/>
  <c r="K13" i="8"/>
  <c r="Q13" i="8"/>
  <c r="D13" i="8" s="1"/>
  <c r="K21" i="8"/>
  <c r="Q21" i="8"/>
  <c r="D21" i="8" s="1"/>
  <c r="K41" i="8"/>
  <c r="K24" i="8"/>
  <c r="J21" i="12"/>
  <c r="J61" i="12"/>
  <c r="J141" i="12"/>
  <c r="J221" i="12"/>
  <c r="J301" i="12"/>
  <c r="J101" i="12"/>
  <c r="J181" i="12"/>
  <c r="J261" i="12"/>
  <c r="J341" i="12"/>
  <c r="AU20" i="7"/>
  <c r="AZ20" i="7"/>
  <c r="AF20" i="7"/>
  <c r="AN20" i="7"/>
  <c r="AN8" i="7"/>
  <c r="AZ8" i="7"/>
  <c r="AU8" i="7"/>
  <c r="AF8" i="7"/>
  <c r="AF15" i="7"/>
  <c r="AN15" i="7"/>
  <c r="AZ15" i="7"/>
  <c r="AU15" i="7"/>
  <c r="W4" i="12"/>
  <c r="R4" i="7"/>
  <c r="R6" i="7"/>
  <c r="R8" i="7"/>
  <c r="R10" i="7"/>
  <c r="R12" i="7"/>
  <c r="R14" i="7"/>
  <c r="R16" i="7"/>
  <c r="R18" i="7"/>
  <c r="R20" i="7"/>
  <c r="R22" i="7"/>
  <c r="R24" i="7"/>
  <c r="R26" i="7"/>
  <c r="R28" i="7"/>
  <c r="R3" i="7"/>
  <c r="R5" i="7"/>
  <c r="R13" i="7"/>
  <c r="R21" i="7"/>
  <c r="R11" i="7"/>
  <c r="R19" i="7"/>
  <c r="R27" i="7"/>
  <c r="R9" i="7"/>
  <c r="R17" i="7"/>
  <c r="R25" i="7"/>
  <c r="R7" i="7"/>
  <c r="R15" i="7"/>
  <c r="R23" i="7"/>
  <c r="AV22" i="7"/>
  <c r="AO22" i="7"/>
  <c r="BA22" i="7"/>
  <c r="AV6" i="7"/>
  <c r="AO6" i="7"/>
  <c r="BA6" i="7"/>
  <c r="AO19" i="7"/>
  <c r="BA19" i="7"/>
  <c r="AV19" i="7"/>
  <c r="J23" i="12"/>
  <c r="J63" i="12"/>
  <c r="J103" i="12"/>
  <c r="J263" i="12"/>
  <c r="J343" i="12"/>
  <c r="J183" i="12"/>
  <c r="J143" i="12"/>
  <c r="J223" i="12"/>
  <c r="J303" i="12"/>
  <c r="W25" i="12"/>
  <c r="V25" i="12"/>
  <c r="K52" i="8"/>
  <c r="K16" i="8"/>
  <c r="Q16" i="8"/>
  <c r="D16" i="8" s="1"/>
  <c r="W13" i="12"/>
  <c r="V13" i="12"/>
  <c r="P3" i="7"/>
  <c r="P4" i="7"/>
  <c r="P6" i="7"/>
  <c r="P8" i="7"/>
  <c r="P10" i="7"/>
  <c r="P12" i="7"/>
  <c r="P14" i="7"/>
  <c r="P16" i="7"/>
  <c r="P18" i="7"/>
  <c r="P20" i="7"/>
  <c r="P22" i="7"/>
  <c r="P24" i="7"/>
  <c r="P26" i="7"/>
  <c r="P28" i="7"/>
  <c r="P5" i="7"/>
  <c r="P7" i="7"/>
  <c r="P9" i="7"/>
  <c r="P11" i="7"/>
  <c r="P13" i="7"/>
  <c r="P15" i="7"/>
  <c r="P17" i="7"/>
  <c r="P19" i="7"/>
  <c r="P21" i="7"/>
  <c r="P23" i="7"/>
  <c r="P25" i="7"/>
  <c r="P27" i="7"/>
  <c r="AU12" i="7"/>
  <c r="AZ12" i="7"/>
  <c r="AF12" i="7"/>
  <c r="AN12" i="7"/>
  <c r="AN13" i="7"/>
  <c r="AZ13" i="7"/>
  <c r="AU13" i="7"/>
  <c r="AF13" i="7"/>
  <c r="AV17" i="7"/>
  <c r="AO17" i="7"/>
  <c r="BA17" i="7"/>
  <c r="J15" i="12"/>
  <c r="J335" i="12"/>
  <c r="J135" i="12"/>
  <c r="J175" i="12"/>
  <c r="J55" i="12"/>
  <c r="J255" i="12"/>
  <c r="J95" i="12"/>
  <c r="J215" i="12"/>
  <c r="J295" i="12"/>
  <c r="AV4" i="7"/>
  <c r="AO4" i="7"/>
  <c r="BA4" i="7"/>
  <c r="W17" i="12"/>
  <c r="V17" i="12"/>
  <c r="Z71" i="9"/>
  <c r="J33" i="12"/>
  <c r="J73" i="12"/>
  <c r="J153" i="12"/>
  <c r="J233" i="12"/>
  <c r="J313" i="12"/>
  <c r="J273" i="12"/>
  <c r="J353" i="12"/>
  <c r="J113" i="12"/>
  <c r="J193" i="12"/>
  <c r="W24" i="12"/>
  <c r="V24" i="12"/>
  <c r="AA21" i="7"/>
  <c r="J14" i="12"/>
  <c r="J334" i="12"/>
  <c r="J254" i="12"/>
  <c r="J134" i="12"/>
  <c r="J214" i="12"/>
  <c r="J294" i="12"/>
  <c r="J174" i="12"/>
  <c r="J94" i="12"/>
  <c r="J54" i="12"/>
  <c r="W12" i="12"/>
  <c r="V12" i="12"/>
  <c r="J348" i="12"/>
  <c r="J268" i="12"/>
  <c r="J188" i="12"/>
  <c r="J108" i="12"/>
  <c r="J308" i="12"/>
  <c r="J28" i="12"/>
  <c r="J68" i="12"/>
  <c r="J228" i="12"/>
  <c r="J148" i="12"/>
  <c r="W29" i="12"/>
  <c r="V29" i="12"/>
  <c r="K37" i="8"/>
  <c r="K20" i="8"/>
  <c r="Q20" i="8"/>
  <c r="D20" i="8" s="1"/>
  <c r="K42" i="8"/>
  <c r="K25" i="8"/>
  <c r="K8" i="8"/>
  <c r="Q8" i="8"/>
  <c r="D8" i="8" s="1"/>
  <c r="K38" i="8"/>
  <c r="Z86" i="9"/>
  <c r="AA86" i="9"/>
  <c r="J22" i="12"/>
  <c r="J262" i="12"/>
  <c r="J142" i="12"/>
  <c r="J222" i="12"/>
  <c r="J302" i="12"/>
  <c r="J182" i="12"/>
  <c r="J62" i="12"/>
  <c r="J342" i="12"/>
  <c r="J102" i="12"/>
  <c r="J13" i="12"/>
  <c r="J93" i="12"/>
  <c r="J173" i="12"/>
  <c r="J253" i="12"/>
  <c r="J333" i="12"/>
  <c r="J53" i="12"/>
  <c r="J133" i="12"/>
  <c r="J213" i="12"/>
  <c r="J293" i="12"/>
  <c r="W34" i="12"/>
  <c r="V34" i="12"/>
  <c r="BF29" i="7"/>
  <c r="CZ4" i="7" s="1"/>
  <c r="AC29" i="7"/>
  <c r="AU4" i="7"/>
  <c r="AF4" i="7"/>
  <c r="AN4" i="7"/>
  <c r="AZ4" i="7"/>
  <c r="AU27" i="7"/>
  <c r="AN27" i="7"/>
  <c r="AF27" i="7"/>
  <c r="AZ27" i="7"/>
  <c r="AF11" i="7"/>
  <c r="AU11" i="7"/>
  <c r="AN11" i="7"/>
  <c r="AZ11" i="7"/>
  <c r="Z88" i="9"/>
  <c r="W15" i="12"/>
  <c r="V15" i="12"/>
  <c r="AA3" i="7"/>
  <c r="S3" i="6"/>
  <c r="S4" i="6"/>
  <c r="S5" i="6"/>
  <c r="S6" i="6"/>
  <c r="S7" i="6"/>
  <c r="S8" i="6"/>
  <c r="S9" i="6"/>
  <c r="S10" i="6"/>
  <c r="S11" i="6"/>
  <c r="S12" i="6"/>
  <c r="S14" i="6"/>
  <c r="H14" i="6" s="1"/>
  <c r="S15" i="6"/>
  <c r="H15" i="6" s="1"/>
  <c r="S16" i="6"/>
  <c r="H16" i="6" s="1"/>
  <c r="S17" i="6"/>
  <c r="H17" i="6" s="1"/>
  <c r="S18" i="6"/>
  <c r="H18" i="6" s="1"/>
  <c r="S19" i="6"/>
  <c r="H19" i="6" s="1"/>
  <c r="S20" i="6"/>
  <c r="H20" i="6" s="1"/>
  <c r="S22" i="6"/>
  <c r="H22" i="6" s="1"/>
  <c r="S21" i="6"/>
  <c r="H21" i="6" s="1"/>
  <c r="H23" i="6"/>
  <c r="BH29" i="7"/>
  <c r="AD29" i="7"/>
  <c r="BA18" i="7"/>
  <c r="AO18" i="7"/>
  <c r="AV18" i="7"/>
  <c r="AO3" i="7"/>
  <c r="BA3" i="7"/>
  <c r="AV3" i="7"/>
  <c r="AV15" i="7"/>
  <c r="BA15" i="7"/>
  <c r="AO15" i="7"/>
  <c r="J17" i="12"/>
  <c r="J57" i="12"/>
  <c r="J137" i="12"/>
  <c r="J217" i="12"/>
  <c r="J297" i="12"/>
  <c r="J257" i="12"/>
  <c r="J177" i="12"/>
  <c r="J337" i="12"/>
  <c r="J97" i="12"/>
  <c r="AA27" i="7"/>
  <c r="V27" i="12"/>
  <c r="W27" i="12"/>
  <c r="AA22" i="7"/>
  <c r="W33" i="12"/>
  <c r="V33" i="12"/>
  <c r="J132" i="12"/>
  <c r="J52" i="12"/>
  <c r="J332" i="12"/>
  <c r="J252" i="12"/>
  <c r="J172" i="12"/>
  <c r="J212" i="12"/>
  <c r="J12" i="12"/>
  <c r="J292" i="12"/>
  <c r="J92" i="12"/>
  <c r="J26" i="12"/>
  <c r="J66" i="12"/>
  <c r="J346" i="12"/>
  <c r="J266" i="12"/>
  <c r="J186" i="12"/>
  <c r="J106" i="12"/>
  <c r="J146" i="12"/>
  <c r="J306" i="12"/>
  <c r="J226" i="12"/>
  <c r="K23" i="8"/>
  <c r="K12" i="8"/>
  <c r="Q12" i="8"/>
  <c r="D12" i="8" s="1"/>
  <c r="K50" i="8"/>
  <c r="K46" i="8"/>
  <c r="V22" i="12"/>
  <c r="W22" i="12"/>
  <c r="N3" i="7"/>
  <c r="N5" i="7"/>
  <c r="N7" i="7"/>
  <c r="N9" i="7"/>
  <c r="N11" i="7"/>
  <c r="N13" i="7"/>
  <c r="N15" i="7"/>
  <c r="N17" i="7"/>
  <c r="N19" i="7"/>
  <c r="N21" i="7"/>
  <c r="N23" i="7"/>
  <c r="N25" i="7"/>
  <c r="N27" i="7"/>
  <c r="N8" i="7"/>
  <c r="N16" i="7"/>
  <c r="N24" i="7"/>
  <c r="N6" i="7"/>
  <c r="N14" i="7"/>
  <c r="N22" i="7"/>
  <c r="N4" i="7"/>
  <c r="N12" i="7"/>
  <c r="N20" i="7"/>
  <c r="N28" i="7"/>
  <c r="N10" i="7"/>
  <c r="N18" i="7"/>
  <c r="N26" i="7"/>
  <c r="AV20" i="7"/>
  <c r="AO20" i="7"/>
  <c r="BA20" i="7"/>
  <c r="J145" i="12"/>
  <c r="J25" i="12"/>
  <c r="J65" i="12"/>
  <c r="J345" i="12"/>
  <c r="J265" i="12"/>
  <c r="J185" i="12"/>
  <c r="J225" i="12"/>
  <c r="J305" i="12"/>
  <c r="J105" i="12"/>
  <c r="O6" i="6"/>
  <c r="O10" i="6"/>
  <c r="O15" i="6"/>
  <c r="O19" i="6"/>
  <c r="O3" i="6"/>
  <c r="O7" i="6"/>
  <c r="O11" i="6"/>
  <c r="O16" i="6"/>
  <c r="O20" i="6"/>
  <c r="O4" i="6"/>
  <c r="O8" i="6"/>
  <c r="O12" i="6"/>
  <c r="O17" i="6"/>
  <c r="O21" i="6"/>
  <c r="O5" i="6"/>
  <c r="O9" i="6"/>
  <c r="O14" i="6"/>
  <c r="O18" i="6"/>
  <c r="O22" i="6"/>
  <c r="F23" i="6"/>
  <c r="Y23" i="6"/>
  <c r="Z23" i="6" s="1"/>
  <c r="W35" i="12"/>
  <c r="V35" i="12"/>
  <c r="J24" i="12"/>
  <c r="J304" i="12"/>
  <c r="J344" i="12"/>
  <c r="J224" i="12"/>
  <c r="J264" i="12"/>
  <c r="J144" i="12"/>
  <c r="J184" i="12"/>
  <c r="J64" i="12"/>
  <c r="J104" i="12"/>
  <c r="AA23" i="7"/>
  <c r="W8" i="12"/>
  <c r="V8" i="12"/>
  <c r="AA17" i="7"/>
  <c r="W28" i="12"/>
  <c r="V28" i="12"/>
  <c r="Z9" i="9"/>
  <c r="J29" i="12"/>
  <c r="J69" i="12"/>
  <c r="J149" i="12"/>
  <c r="J229" i="12"/>
  <c r="J309" i="12"/>
  <c r="J189" i="12"/>
  <c r="J269" i="12"/>
  <c r="J349" i="12"/>
  <c r="J109" i="12"/>
  <c r="K5" i="8"/>
  <c r="Q5" i="8"/>
  <c r="D5" i="8" s="1"/>
  <c r="K34" i="8"/>
  <c r="K17" i="8"/>
  <c r="Q17" i="8"/>
  <c r="D17" i="8" s="1"/>
  <c r="K30" i="8"/>
  <c r="W16" i="12"/>
  <c r="V16" i="12"/>
  <c r="AA19" i="7"/>
  <c r="J34" i="12"/>
  <c r="J314" i="12"/>
  <c r="J114" i="12"/>
  <c r="J74" i="12"/>
  <c r="J274" i="12"/>
  <c r="J234" i="12"/>
  <c r="J354" i="12"/>
  <c r="J154" i="12"/>
  <c r="J194" i="12"/>
  <c r="AU22" i="7"/>
  <c r="AF22" i="7"/>
  <c r="AN22" i="7"/>
  <c r="AZ22" i="7"/>
  <c r="AU25" i="7"/>
  <c r="AF25" i="7"/>
  <c r="AN25" i="7"/>
  <c r="AZ25" i="7"/>
  <c r="AU9" i="7"/>
  <c r="AF9" i="7"/>
  <c r="AN9" i="7"/>
  <c r="AZ9" i="7"/>
  <c r="W9" i="12"/>
  <c r="V9" i="12"/>
  <c r="BP29" i="7"/>
  <c r="CZ10" i="7" s="1"/>
  <c r="BJ29" i="7"/>
  <c r="CZ7" i="7" s="1"/>
  <c r="BT29" i="7"/>
  <c r="CZ12" i="7" s="1"/>
  <c r="BL29" i="7"/>
  <c r="CZ8" i="7" s="1"/>
  <c r="BR29" i="7"/>
  <c r="CZ11" i="7" s="1"/>
  <c r="BN29" i="7"/>
  <c r="CZ9" i="7" s="1"/>
  <c r="AO16" i="7"/>
  <c r="BA16" i="7"/>
  <c r="AV16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4" i="7"/>
  <c r="T6" i="7"/>
  <c r="T8" i="7"/>
  <c r="T10" i="7"/>
  <c r="T12" i="7"/>
  <c r="T14" i="7"/>
  <c r="T16" i="7"/>
  <c r="T18" i="7"/>
  <c r="T20" i="7"/>
  <c r="T22" i="7"/>
  <c r="T24" i="7"/>
  <c r="T26" i="7"/>
  <c r="T28" i="7"/>
  <c r="AO13" i="7"/>
  <c r="BA13" i="7"/>
  <c r="AV13" i="7"/>
  <c r="V19" i="12"/>
  <c r="W19" i="12"/>
  <c r="J347" i="12"/>
  <c r="J267" i="12"/>
  <c r="J187" i="12"/>
  <c r="J107" i="12"/>
  <c r="J307" i="12"/>
  <c r="J147" i="12"/>
  <c r="J227" i="12"/>
  <c r="J67" i="12"/>
  <c r="J27" i="12"/>
  <c r="K39" i="8"/>
  <c r="W14" i="12"/>
  <c r="V14" i="12"/>
  <c r="W7" i="12"/>
  <c r="V7" i="12"/>
  <c r="K33" i="8"/>
  <c r="AA15" i="9"/>
  <c r="Z15" i="9"/>
  <c r="J35" i="12"/>
  <c r="J155" i="12"/>
  <c r="J355" i="12"/>
  <c r="J275" i="12"/>
  <c r="J195" i="12"/>
  <c r="J315" i="12"/>
  <c r="J115" i="12"/>
  <c r="J235" i="12"/>
  <c r="J75" i="12"/>
  <c r="AE31" i="19"/>
  <c r="Z87" i="9"/>
  <c r="AA87" i="9"/>
  <c r="J8" i="12"/>
  <c r="J288" i="12"/>
  <c r="J328" i="12"/>
  <c r="J208" i="12"/>
  <c r="J248" i="12"/>
  <c r="J128" i="12"/>
  <c r="J48" i="12"/>
  <c r="J88" i="12"/>
  <c r="J168" i="12"/>
  <c r="K36" i="8"/>
  <c r="K26" i="8"/>
  <c r="K9" i="8"/>
  <c r="Q9" i="8"/>
  <c r="D9" i="8" s="1"/>
  <c r="K22" i="8"/>
  <c r="Q22" i="8"/>
  <c r="D22" i="8" s="1"/>
  <c r="J16" i="12"/>
  <c r="J296" i="12"/>
  <c r="J336" i="12"/>
  <c r="J216" i="12"/>
  <c r="J256" i="12"/>
  <c r="J136" i="12"/>
  <c r="J176" i="12"/>
  <c r="J96" i="12"/>
  <c r="J56" i="12"/>
  <c r="AN26" i="7"/>
  <c r="AZ26" i="7"/>
  <c r="AF26" i="7"/>
  <c r="AU26" i="7"/>
  <c r="AU14" i="7"/>
  <c r="AF14" i="7"/>
  <c r="AN14" i="7"/>
  <c r="AZ14" i="7"/>
  <c r="AF23" i="7"/>
  <c r="AN23" i="7"/>
  <c r="AZ23" i="7"/>
  <c r="AU23" i="7"/>
  <c r="AF7" i="7"/>
  <c r="AN7" i="7"/>
  <c r="AU7" i="7"/>
  <c r="AZ7" i="7"/>
  <c r="Z44" i="9"/>
  <c r="J9" i="12"/>
  <c r="J49" i="12"/>
  <c r="J129" i="12"/>
  <c r="J209" i="12"/>
  <c r="J289" i="12"/>
  <c r="J89" i="12"/>
  <c r="J169" i="12"/>
  <c r="J249" i="12"/>
  <c r="J329" i="12"/>
  <c r="BV29" i="7"/>
  <c r="CZ13" i="7" s="1"/>
  <c r="AV14" i="7"/>
  <c r="BA14" i="7"/>
  <c r="AO14" i="7"/>
  <c r="AO27" i="7"/>
  <c r="BA27" i="7"/>
  <c r="AV27" i="7"/>
  <c r="AO11" i="7"/>
  <c r="BA11" i="7"/>
  <c r="AV11" i="7"/>
  <c r="J19" i="12"/>
  <c r="J339" i="12"/>
  <c r="J259" i="12"/>
  <c r="J179" i="12"/>
  <c r="J139" i="12"/>
  <c r="J299" i="12"/>
  <c r="J99" i="12"/>
  <c r="J59" i="12"/>
  <c r="J219" i="12"/>
  <c r="V5" i="12"/>
  <c r="W5" i="12"/>
  <c r="AA13" i="7"/>
  <c r="J6" i="12"/>
  <c r="J326" i="12"/>
  <c r="J246" i="12"/>
  <c r="J126" i="12"/>
  <c r="J206" i="12"/>
  <c r="J286" i="12"/>
  <c r="J86" i="12"/>
  <c r="J166" i="12"/>
  <c r="J46" i="12"/>
  <c r="V37" i="12"/>
  <c r="W37" i="12"/>
  <c r="V10" i="12"/>
  <c r="W10" i="12"/>
  <c r="AA10" i="7"/>
  <c r="AA5" i="7"/>
  <c r="M53" i="8"/>
  <c r="N53" i="8"/>
  <c r="K4" i="8"/>
  <c r="M4" i="8" s="1"/>
  <c r="Q4" i="8"/>
  <c r="D4" i="8" s="1"/>
  <c r="K18" i="8"/>
  <c r="Q18" i="8"/>
  <c r="D18" i="8" s="1"/>
  <c r="K48" i="8"/>
  <c r="K14" i="8"/>
  <c r="Q14" i="8"/>
  <c r="D14" i="8" s="1"/>
  <c r="V18" i="12"/>
  <c r="W18" i="12"/>
  <c r="AA12" i="7"/>
  <c r="AN18" i="7"/>
  <c r="AZ18" i="7"/>
  <c r="AU18" i="7"/>
  <c r="AF18" i="7"/>
  <c r="AU6" i="7"/>
  <c r="AF6" i="7"/>
  <c r="AN6" i="7"/>
  <c r="AZ6" i="7"/>
  <c r="AN21" i="7"/>
  <c r="AZ21" i="7"/>
  <c r="AU21" i="7"/>
  <c r="AF21" i="7"/>
  <c r="AN5" i="7"/>
  <c r="AZ5" i="7"/>
  <c r="AU5" i="7"/>
  <c r="AF5" i="7"/>
  <c r="V11" i="12"/>
  <c r="W11" i="12"/>
  <c r="AV28" i="7"/>
  <c r="AO28" i="7"/>
  <c r="BA28" i="7"/>
  <c r="AV12" i="7"/>
  <c r="AO12" i="7"/>
  <c r="BA12" i="7"/>
  <c r="AV25" i="7"/>
  <c r="AO25" i="7"/>
  <c r="BA25" i="7"/>
  <c r="AV9" i="7"/>
  <c r="AO9" i="7"/>
  <c r="BA9" i="7"/>
  <c r="J36" i="12"/>
  <c r="J76" i="12"/>
  <c r="J356" i="12"/>
  <c r="J116" i="12"/>
  <c r="J156" i="12"/>
  <c r="J316" i="12"/>
  <c r="J236" i="12"/>
  <c r="J196" i="12"/>
  <c r="J276" i="12"/>
  <c r="AA20" i="7"/>
  <c r="K35" i="8"/>
  <c r="Q3" i="6"/>
  <c r="Q4" i="6"/>
  <c r="Q5" i="6"/>
  <c r="Q6" i="6"/>
  <c r="Q7" i="6"/>
  <c r="Q8" i="6"/>
  <c r="Q9" i="6"/>
  <c r="Q10" i="6"/>
  <c r="Q11" i="6"/>
  <c r="Q12" i="6"/>
  <c r="Q14" i="6"/>
  <c r="Q15" i="6"/>
  <c r="Q16" i="6"/>
  <c r="Q17" i="6"/>
  <c r="Q18" i="6"/>
  <c r="Q19" i="6"/>
  <c r="Q20" i="6"/>
  <c r="Q22" i="6"/>
  <c r="Q21" i="6"/>
  <c r="G23" i="6"/>
  <c r="J5" i="12"/>
  <c r="J85" i="12"/>
  <c r="J165" i="12"/>
  <c r="J245" i="12"/>
  <c r="J325" i="12"/>
  <c r="J45" i="12"/>
  <c r="J125" i="12"/>
  <c r="J205" i="12"/>
  <c r="J285" i="12"/>
  <c r="Z88" i="5"/>
  <c r="AA88" i="5" s="1"/>
  <c r="H52" i="5"/>
  <c r="H94" i="5"/>
  <c r="Y5" i="5"/>
  <c r="Y6" i="5"/>
  <c r="Y3" i="5"/>
  <c r="X7" i="5"/>
  <c r="Y4" i="5"/>
  <c r="H50" i="5"/>
  <c r="Z50" i="5"/>
  <c r="H83" i="5"/>
  <c r="T7" i="5"/>
  <c r="U4" i="5"/>
  <c r="U3" i="5"/>
  <c r="U5" i="5"/>
  <c r="U6" i="5"/>
  <c r="U259" i="3"/>
  <c r="U261" i="3"/>
  <c r="U263" i="3"/>
  <c r="U265" i="3"/>
  <c r="U267" i="3"/>
  <c r="U269" i="3"/>
  <c r="U271" i="3"/>
  <c r="U273" i="3"/>
  <c r="U260" i="3"/>
  <c r="U268" i="3"/>
  <c r="U275" i="3"/>
  <c r="U283" i="3"/>
  <c r="U285" i="3"/>
  <c r="U287" i="3"/>
  <c r="U289" i="3"/>
  <c r="U291" i="3"/>
  <c r="U293" i="3"/>
  <c r="U295" i="3"/>
  <c r="U297" i="3"/>
  <c r="U299" i="3"/>
  <c r="U301" i="3"/>
  <c r="U303" i="3"/>
  <c r="U305" i="3"/>
  <c r="U307" i="3"/>
  <c r="U309" i="3"/>
  <c r="U311" i="3"/>
  <c r="U313" i="3"/>
  <c r="U315" i="3"/>
  <c r="U317" i="3"/>
  <c r="U319" i="3"/>
  <c r="U321" i="3"/>
  <c r="U323" i="3"/>
  <c r="U325" i="3"/>
  <c r="U327" i="3"/>
  <c r="U329" i="3"/>
  <c r="U331" i="3"/>
  <c r="U333" i="3"/>
  <c r="U335" i="3"/>
  <c r="U337" i="3"/>
  <c r="U339" i="3"/>
  <c r="U341" i="3"/>
  <c r="U343" i="3"/>
  <c r="U345" i="3"/>
  <c r="U347" i="3"/>
  <c r="U349" i="3"/>
  <c r="U351" i="3"/>
  <c r="U353" i="3"/>
  <c r="U355" i="3"/>
  <c r="U357" i="3"/>
  <c r="U359" i="3"/>
  <c r="U361" i="3"/>
  <c r="U363" i="3"/>
  <c r="U365" i="3"/>
  <c r="U258" i="3"/>
  <c r="U266" i="3"/>
  <c r="U279" i="3"/>
  <c r="U280" i="3"/>
  <c r="U274" i="3"/>
  <c r="U278" i="3"/>
  <c r="U264" i="3"/>
  <c r="U272" i="3"/>
  <c r="U281" i="3"/>
  <c r="U277" i="3"/>
  <c r="U282" i="3"/>
  <c r="U284" i="3"/>
  <c r="U286" i="3"/>
  <c r="U288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276" i="3"/>
  <c r="U270" i="3"/>
  <c r="U322" i="3"/>
  <c r="U330" i="3"/>
  <c r="U338" i="3"/>
  <c r="U346" i="3"/>
  <c r="U354" i="3"/>
  <c r="U362" i="3"/>
  <c r="U373" i="3"/>
  <c r="U374" i="3"/>
  <c r="U379" i="3"/>
  <c r="U381" i="3"/>
  <c r="U383" i="3"/>
  <c r="U385" i="3"/>
  <c r="U387" i="3"/>
  <c r="U389" i="3"/>
  <c r="U391" i="3"/>
  <c r="U393" i="3"/>
  <c r="U395" i="3"/>
  <c r="U397" i="3"/>
  <c r="U399" i="3"/>
  <c r="U401" i="3"/>
  <c r="U403" i="3"/>
  <c r="U320" i="3"/>
  <c r="U328" i="3"/>
  <c r="U336" i="3"/>
  <c r="U344" i="3"/>
  <c r="U352" i="3"/>
  <c r="U360" i="3"/>
  <c r="U375" i="3"/>
  <c r="U367" i="3"/>
  <c r="U368" i="3"/>
  <c r="U376" i="3"/>
  <c r="U318" i="3"/>
  <c r="U326" i="3"/>
  <c r="U334" i="3"/>
  <c r="U342" i="3"/>
  <c r="U350" i="3"/>
  <c r="U358" i="3"/>
  <c r="U366" i="3"/>
  <c r="U369" i="3"/>
  <c r="U377" i="3"/>
  <c r="U262" i="3"/>
  <c r="U370" i="3"/>
  <c r="U378" i="3"/>
  <c r="U380" i="3"/>
  <c r="U382" i="3"/>
  <c r="U384" i="3"/>
  <c r="U386" i="3"/>
  <c r="U388" i="3"/>
  <c r="U390" i="3"/>
  <c r="U392" i="3"/>
  <c r="U394" i="3"/>
  <c r="U396" i="3"/>
  <c r="U398" i="3"/>
  <c r="U400" i="3"/>
  <c r="U402" i="3"/>
  <c r="U404" i="3"/>
  <c r="U406" i="3"/>
  <c r="U372" i="3"/>
  <c r="U356" i="3"/>
  <c r="U415" i="3"/>
  <c r="U4" i="3"/>
  <c r="U6" i="3"/>
  <c r="U8" i="3"/>
  <c r="U316" i="3"/>
  <c r="U371" i="3"/>
  <c r="U407" i="3"/>
  <c r="U408" i="3"/>
  <c r="U340" i="3"/>
  <c r="U409" i="3"/>
  <c r="U364" i="3"/>
  <c r="U410" i="3"/>
  <c r="U416" i="3"/>
  <c r="U418" i="3"/>
  <c r="U420" i="3"/>
  <c r="U422" i="3"/>
  <c r="U424" i="3"/>
  <c r="U426" i="3"/>
  <c r="U428" i="3"/>
  <c r="U430" i="3"/>
  <c r="U432" i="3"/>
  <c r="U434" i="3"/>
  <c r="U436" i="3"/>
  <c r="U438" i="3"/>
  <c r="U440" i="3"/>
  <c r="U442" i="3"/>
  <c r="U444" i="3"/>
  <c r="U446" i="3"/>
  <c r="U448" i="3"/>
  <c r="U450" i="3"/>
  <c r="U452" i="3"/>
  <c r="U454" i="3"/>
  <c r="U456" i="3"/>
  <c r="U458" i="3"/>
  <c r="U460" i="3"/>
  <c r="U462" i="3"/>
  <c r="U464" i="3"/>
  <c r="U466" i="3"/>
  <c r="U468" i="3"/>
  <c r="U470" i="3"/>
  <c r="U472" i="3"/>
  <c r="U474" i="3"/>
  <c r="U476" i="3"/>
  <c r="U478" i="3"/>
  <c r="U480" i="3"/>
  <c r="U482" i="3"/>
  <c r="U484" i="3"/>
  <c r="U486" i="3"/>
  <c r="U488" i="3"/>
  <c r="U490" i="3"/>
  <c r="U492" i="3"/>
  <c r="U494" i="3"/>
  <c r="U496" i="3"/>
  <c r="U498" i="3"/>
  <c r="U500" i="3"/>
  <c r="U253" i="3"/>
  <c r="U255" i="3"/>
  <c r="U257" i="3"/>
  <c r="U324" i="3"/>
  <c r="U411" i="3"/>
  <c r="U3" i="3"/>
  <c r="U5" i="3"/>
  <c r="U7" i="3"/>
  <c r="U9" i="3"/>
  <c r="U348" i="3"/>
  <c r="U405" i="3"/>
  <c r="U412" i="3"/>
  <c r="U332" i="3"/>
  <c r="U414" i="3"/>
  <c r="U417" i="3"/>
  <c r="U419" i="3"/>
  <c r="U421" i="3"/>
  <c r="U423" i="3"/>
  <c r="U425" i="3"/>
  <c r="U427" i="3"/>
  <c r="U429" i="3"/>
  <c r="U431" i="3"/>
  <c r="U433" i="3"/>
  <c r="U435" i="3"/>
  <c r="U437" i="3"/>
  <c r="U439" i="3"/>
  <c r="U441" i="3"/>
  <c r="U443" i="3"/>
  <c r="U445" i="3"/>
  <c r="U447" i="3"/>
  <c r="U449" i="3"/>
  <c r="U451" i="3"/>
  <c r="U453" i="3"/>
  <c r="U455" i="3"/>
  <c r="U457" i="3"/>
  <c r="U459" i="3"/>
  <c r="U461" i="3"/>
  <c r="U463" i="3"/>
  <c r="U465" i="3"/>
  <c r="U467" i="3"/>
  <c r="U469" i="3"/>
  <c r="U471" i="3"/>
  <c r="U473" i="3"/>
  <c r="U475" i="3"/>
  <c r="U477" i="3"/>
  <c r="U479" i="3"/>
  <c r="U481" i="3"/>
  <c r="U483" i="3"/>
  <c r="U485" i="3"/>
  <c r="U487" i="3"/>
  <c r="U489" i="3"/>
  <c r="U491" i="3"/>
  <c r="U493" i="3"/>
  <c r="U495" i="3"/>
  <c r="U497" i="3"/>
  <c r="U499" i="3"/>
  <c r="U501" i="3"/>
  <c r="U254" i="3"/>
  <c r="U256" i="3"/>
  <c r="U252" i="3"/>
  <c r="U413" i="3"/>
  <c r="U10" i="3"/>
  <c r="U12" i="3"/>
  <c r="U14" i="3"/>
  <c r="U16" i="3"/>
  <c r="U18" i="3"/>
  <c r="U20" i="3"/>
  <c r="U22" i="3"/>
  <c r="U24" i="3"/>
  <c r="U26" i="3"/>
  <c r="U28" i="3"/>
  <c r="U30" i="3"/>
  <c r="U32" i="3"/>
  <c r="U34" i="3"/>
  <c r="U36" i="3"/>
  <c r="U38" i="3"/>
  <c r="U40" i="3"/>
  <c r="U42" i="3"/>
  <c r="U44" i="3"/>
  <c r="U46" i="3"/>
  <c r="U48" i="3"/>
  <c r="U50" i="3"/>
  <c r="U52" i="3"/>
  <c r="U54" i="3"/>
  <c r="U56" i="3"/>
  <c r="U58" i="3"/>
  <c r="U60" i="3"/>
  <c r="U62" i="3"/>
  <c r="U64" i="3"/>
  <c r="U66" i="3"/>
  <c r="U68" i="3"/>
  <c r="U70" i="3"/>
  <c r="U72" i="3"/>
  <c r="U74" i="3"/>
  <c r="U76" i="3"/>
  <c r="U78" i="3"/>
  <c r="U80" i="3"/>
  <c r="U82" i="3"/>
  <c r="U84" i="3"/>
  <c r="U86" i="3"/>
  <c r="U88" i="3"/>
  <c r="U90" i="3"/>
  <c r="U92" i="3"/>
  <c r="U94" i="3"/>
  <c r="U96" i="3"/>
  <c r="U98" i="3"/>
  <c r="U11" i="3"/>
  <c r="U13" i="3"/>
  <c r="U15" i="3"/>
  <c r="U17" i="3"/>
  <c r="U19" i="3"/>
  <c r="U21" i="3"/>
  <c r="U23" i="3"/>
  <c r="U25" i="3"/>
  <c r="U27" i="3"/>
  <c r="U29" i="3"/>
  <c r="U31" i="3"/>
  <c r="U33" i="3"/>
  <c r="U35" i="3"/>
  <c r="U37" i="3"/>
  <c r="U39" i="3"/>
  <c r="U41" i="3"/>
  <c r="U43" i="3"/>
  <c r="U45" i="3"/>
  <c r="U47" i="3"/>
  <c r="U49" i="3"/>
  <c r="U51" i="3"/>
  <c r="U53" i="3"/>
  <c r="U55" i="3"/>
  <c r="U57" i="3"/>
  <c r="U59" i="3"/>
  <c r="U61" i="3"/>
  <c r="U63" i="3"/>
  <c r="U65" i="3"/>
  <c r="U67" i="3"/>
  <c r="U69" i="3"/>
  <c r="U71" i="3"/>
  <c r="U73" i="3"/>
  <c r="U75" i="3"/>
  <c r="U77" i="3"/>
  <c r="U79" i="3"/>
  <c r="U81" i="3"/>
  <c r="U83" i="3"/>
  <c r="U85" i="3"/>
  <c r="U87" i="3"/>
  <c r="U89" i="3"/>
  <c r="U91" i="3"/>
  <c r="U93" i="3"/>
  <c r="U95" i="3"/>
  <c r="U97" i="3"/>
  <c r="U99" i="3"/>
  <c r="U101" i="3"/>
  <c r="U104" i="3"/>
  <c r="U107" i="3"/>
  <c r="U109" i="3"/>
  <c r="U111" i="3"/>
  <c r="U113" i="3"/>
  <c r="U115" i="3"/>
  <c r="U117" i="3"/>
  <c r="U119" i="3"/>
  <c r="U121" i="3"/>
  <c r="U123" i="3"/>
  <c r="U125" i="3"/>
  <c r="U127" i="3"/>
  <c r="U129" i="3"/>
  <c r="U131" i="3"/>
  <c r="U133" i="3"/>
  <c r="U135" i="3"/>
  <c r="U137" i="3"/>
  <c r="U139" i="3"/>
  <c r="U141" i="3"/>
  <c r="U143" i="3"/>
  <c r="U145" i="3"/>
  <c r="U147" i="3"/>
  <c r="U149" i="3"/>
  <c r="U151" i="3"/>
  <c r="U153" i="3"/>
  <c r="U155" i="3"/>
  <c r="U157" i="3"/>
  <c r="U159" i="3"/>
  <c r="U161" i="3"/>
  <c r="U163" i="3"/>
  <c r="U165" i="3"/>
  <c r="U167" i="3"/>
  <c r="U169" i="3"/>
  <c r="U171" i="3"/>
  <c r="U173" i="3"/>
  <c r="U175" i="3"/>
  <c r="U177" i="3"/>
  <c r="U179" i="3"/>
  <c r="U181" i="3"/>
  <c r="U183" i="3"/>
  <c r="U185" i="3"/>
  <c r="U187" i="3"/>
  <c r="U189" i="3"/>
  <c r="U191" i="3"/>
  <c r="U193" i="3"/>
  <c r="U195" i="3"/>
  <c r="U197" i="3"/>
  <c r="U199" i="3"/>
  <c r="U201" i="3"/>
  <c r="U203" i="3"/>
  <c r="U205" i="3"/>
  <c r="U207" i="3"/>
  <c r="U209" i="3"/>
  <c r="U211" i="3"/>
  <c r="U213" i="3"/>
  <c r="U215" i="3"/>
  <c r="U217" i="3"/>
  <c r="U219" i="3"/>
  <c r="U221" i="3"/>
  <c r="U223" i="3"/>
  <c r="U225" i="3"/>
  <c r="U227" i="3"/>
  <c r="U229" i="3"/>
  <c r="U231" i="3"/>
  <c r="U233" i="3"/>
  <c r="U235" i="3"/>
  <c r="U237" i="3"/>
  <c r="U239" i="3"/>
  <c r="U241" i="3"/>
  <c r="U243" i="3"/>
  <c r="U245" i="3"/>
  <c r="U247" i="3"/>
  <c r="U249" i="3"/>
  <c r="U105" i="3"/>
  <c r="U102" i="3"/>
  <c r="U103" i="3"/>
  <c r="U106" i="3"/>
  <c r="U108" i="3"/>
  <c r="U110" i="3"/>
  <c r="U112" i="3"/>
  <c r="U114" i="3"/>
  <c r="U116" i="3"/>
  <c r="U118" i="3"/>
  <c r="U120" i="3"/>
  <c r="U122" i="3"/>
  <c r="U124" i="3"/>
  <c r="U126" i="3"/>
  <c r="U128" i="3"/>
  <c r="U130" i="3"/>
  <c r="U132" i="3"/>
  <c r="U134" i="3"/>
  <c r="U136" i="3"/>
  <c r="U138" i="3"/>
  <c r="U140" i="3"/>
  <c r="U142" i="3"/>
  <c r="U144" i="3"/>
  <c r="U146" i="3"/>
  <c r="U148" i="3"/>
  <c r="U150" i="3"/>
  <c r="U152" i="3"/>
  <c r="U154" i="3"/>
  <c r="U156" i="3"/>
  <c r="U158" i="3"/>
  <c r="U160" i="3"/>
  <c r="U162" i="3"/>
  <c r="U164" i="3"/>
  <c r="U166" i="3"/>
  <c r="U168" i="3"/>
  <c r="U170" i="3"/>
  <c r="U172" i="3"/>
  <c r="U174" i="3"/>
  <c r="U176" i="3"/>
  <c r="U178" i="3"/>
  <c r="U180" i="3"/>
  <c r="U182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42" i="3"/>
  <c r="U244" i="3"/>
  <c r="U246" i="3"/>
  <c r="U248" i="3"/>
  <c r="U100" i="3"/>
  <c r="U250" i="3"/>
  <c r="Q5" i="5"/>
  <c r="Q6" i="5"/>
  <c r="Q3" i="5"/>
  <c r="Q4" i="5"/>
  <c r="P7" i="5"/>
  <c r="S258" i="3"/>
  <c r="S260" i="3"/>
  <c r="S262" i="3"/>
  <c r="S264" i="3"/>
  <c r="S266" i="3"/>
  <c r="S268" i="3"/>
  <c r="S270" i="3"/>
  <c r="S272" i="3"/>
  <c r="S274" i="3"/>
  <c r="S276" i="3"/>
  <c r="S278" i="3"/>
  <c r="S280" i="3"/>
  <c r="S259" i="3"/>
  <c r="S261" i="3"/>
  <c r="S263" i="3"/>
  <c r="S265" i="3"/>
  <c r="S267" i="3"/>
  <c r="S269" i="3"/>
  <c r="S271" i="3"/>
  <c r="S273" i="3"/>
  <c r="S275" i="3"/>
  <c r="S277" i="3"/>
  <c r="S279" i="3"/>
  <c r="S281" i="3"/>
  <c r="S284" i="3"/>
  <c r="S286" i="3"/>
  <c r="S288" i="3"/>
  <c r="S290" i="3"/>
  <c r="S292" i="3"/>
  <c r="S294" i="3"/>
  <c r="S296" i="3"/>
  <c r="S298" i="3"/>
  <c r="S300" i="3"/>
  <c r="S302" i="3"/>
  <c r="S304" i="3"/>
  <c r="S306" i="3"/>
  <c r="S308" i="3"/>
  <c r="S310" i="3"/>
  <c r="S312" i="3"/>
  <c r="S314" i="3"/>
  <c r="S316" i="3"/>
  <c r="S318" i="3"/>
  <c r="S320" i="3"/>
  <c r="S322" i="3"/>
  <c r="S324" i="3"/>
  <c r="S326" i="3"/>
  <c r="S328" i="3"/>
  <c r="S330" i="3"/>
  <c r="S332" i="3"/>
  <c r="S334" i="3"/>
  <c r="S336" i="3"/>
  <c r="S338" i="3"/>
  <c r="S340" i="3"/>
  <c r="S342" i="3"/>
  <c r="S344" i="3"/>
  <c r="S346" i="3"/>
  <c r="S348" i="3"/>
  <c r="S350" i="3"/>
  <c r="S352" i="3"/>
  <c r="S354" i="3"/>
  <c r="S356" i="3"/>
  <c r="S358" i="3"/>
  <c r="S360" i="3"/>
  <c r="S362" i="3"/>
  <c r="S364" i="3"/>
  <c r="S366" i="3"/>
  <c r="S282" i="3"/>
  <c r="S283" i="3"/>
  <c r="S285" i="3"/>
  <c r="S287" i="3"/>
  <c r="S289" i="3"/>
  <c r="S291" i="3"/>
  <c r="S293" i="3"/>
  <c r="S295" i="3"/>
  <c r="S297" i="3"/>
  <c r="S299" i="3"/>
  <c r="S301" i="3"/>
  <c r="S303" i="3"/>
  <c r="S305" i="3"/>
  <c r="S307" i="3"/>
  <c r="S309" i="3"/>
  <c r="S311" i="3"/>
  <c r="S313" i="3"/>
  <c r="S315" i="3"/>
  <c r="S317" i="3"/>
  <c r="S319" i="3"/>
  <c r="S321" i="3"/>
  <c r="S323" i="3"/>
  <c r="S325" i="3"/>
  <c r="S327" i="3"/>
  <c r="S329" i="3"/>
  <c r="S331" i="3"/>
  <c r="S333" i="3"/>
  <c r="S335" i="3"/>
  <c r="S337" i="3"/>
  <c r="S339" i="3"/>
  <c r="S341" i="3"/>
  <c r="S343" i="3"/>
  <c r="S345" i="3"/>
  <c r="S347" i="3"/>
  <c r="S349" i="3"/>
  <c r="S351" i="3"/>
  <c r="S353" i="3"/>
  <c r="S355" i="3"/>
  <c r="S357" i="3"/>
  <c r="S359" i="3"/>
  <c r="S361" i="3"/>
  <c r="S363" i="3"/>
  <c r="S365" i="3"/>
  <c r="S367" i="3"/>
  <c r="S374" i="3"/>
  <c r="S375" i="3"/>
  <c r="S368" i="3"/>
  <c r="S376" i="3"/>
  <c r="S369" i="3"/>
  <c r="S377" i="3"/>
  <c r="S380" i="3"/>
  <c r="S382" i="3"/>
  <c r="S384" i="3"/>
  <c r="S386" i="3"/>
  <c r="S388" i="3"/>
  <c r="S390" i="3"/>
  <c r="S392" i="3"/>
  <c r="S394" i="3"/>
  <c r="S396" i="3"/>
  <c r="S398" i="3"/>
  <c r="S400" i="3"/>
  <c r="S402" i="3"/>
  <c r="S404" i="3"/>
  <c r="S406" i="3"/>
  <c r="S408" i="3"/>
  <c r="S410" i="3"/>
  <c r="S412" i="3"/>
  <c r="S414" i="3"/>
  <c r="S370" i="3"/>
  <c r="S378" i="3"/>
  <c r="S371" i="3"/>
  <c r="S373" i="3"/>
  <c r="S379" i="3"/>
  <c r="S381" i="3"/>
  <c r="S383" i="3"/>
  <c r="S385" i="3"/>
  <c r="S387" i="3"/>
  <c r="S389" i="3"/>
  <c r="S391" i="3"/>
  <c r="S393" i="3"/>
  <c r="S395" i="3"/>
  <c r="S397" i="3"/>
  <c r="S399" i="3"/>
  <c r="S401" i="3"/>
  <c r="S403" i="3"/>
  <c r="S407" i="3"/>
  <c r="S409" i="3"/>
  <c r="S416" i="3"/>
  <c r="S418" i="3"/>
  <c r="S420" i="3"/>
  <c r="S422" i="3"/>
  <c r="S424" i="3"/>
  <c r="S426" i="3"/>
  <c r="S428" i="3"/>
  <c r="S430" i="3"/>
  <c r="S432" i="3"/>
  <c r="S434" i="3"/>
  <c r="S436" i="3"/>
  <c r="S438" i="3"/>
  <c r="S440" i="3"/>
  <c r="S442" i="3"/>
  <c r="S444" i="3"/>
  <c r="S446" i="3"/>
  <c r="S448" i="3"/>
  <c r="S450" i="3"/>
  <c r="S452" i="3"/>
  <c r="S454" i="3"/>
  <c r="S456" i="3"/>
  <c r="S458" i="3"/>
  <c r="S460" i="3"/>
  <c r="S462" i="3"/>
  <c r="S464" i="3"/>
  <c r="S466" i="3"/>
  <c r="S468" i="3"/>
  <c r="S470" i="3"/>
  <c r="S472" i="3"/>
  <c r="S474" i="3"/>
  <c r="S476" i="3"/>
  <c r="S478" i="3"/>
  <c r="S480" i="3"/>
  <c r="S482" i="3"/>
  <c r="S484" i="3"/>
  <c r="S486" i="3"/>
  <c r="S488" i="3"/>
  <c r="S490" i="3"/>
  <c r="S492" i="3"/>
  <c r="S494" i="3"/>
  <c r="S496" i="3"/>
  <c r="S498" i="3"/>
  <c r="S500" i="3"/>
  <c r="S253" i="3"/>
  <c r="S255" i="3"/>
  <c r="S257" i="3"/>
  <c r="S252" i="3"/>
  <c r="S372" i="3"/>
  <c r="S3" i="3"/>
  <c r="S5" i="3"/>
  <c r="S7" i="3"/>
  <c r="S9" i="3"/>
  <c r="S411" i="3"/>
  <c r="S405" i="3"/>
  <c r="S413" i="3"/>
  <c r="S417" i="3"/>
  <c r="S419" i="3"/>
  <c r="S421" i="3"/>
  <c r="S423" i="3"/>
  <c r="S425" i="3"/>
  <c r="S427" i="3"/>
  <c r="S429" i="3"/>
  <c r="S431" i="3"/>
  <c r="S433" i="3"/>
  <c r="S435" i="3"/>
  <c r="S437" i="3"/>
  <c r="S415" i="3"/>
  <c r="S8" i="3"/>
  <c r="S439" i="3"/>
  <c r="S447" i="3"/>
  <c r="S455" i="3"/>
  <c r="S463" i="3"/>
  <c r="S471" i="3"/>
  <c r="S479" i="3"/>
  <c r="S487" i="3"/>
  <c r="S495" i="3"/>
  <c r="S254" i="3"/>
  <c r="S10" i="3"/>
  <c r="S12" i="3"/>
  <c r="S14" i="3"/>
  <c r="S16" i="3"/>
  <c r="S18" i="3"/>
  <c r="S20" i="3"/>
  <c r="S22" i="3"/>
  <c r="S24" i="3"/>
  <c r="S26" i="3"/>
  <c r="S28" i="3"/>
  <c r="S30" i="3"/>
  <c r="S32" i="3"/>
  <c r="S34" i="3"/>
  <c r="S36" i="3"/>
  <c r="S38" i="3"/>
  <c r="S40" i="3"/>
  <c r="S42" i="3"/>
  <c r="S44" i="3"/>
  <c r="S46" i="3"/>
  <c r="S48" i="3"/>
  <c r="S50" i="3"/>
  <c r="S52" i="3"/>
  <c r="S54" i="3"/>
  <c r="S56" i="3"/>
  <c r="S58" i="3"/>
  <c r="S60" i="3"/>
  <c r="S62" i="3"/>
  <c r="S64" i="3"/>
  <c r="S66" i="3"/>
  <c r="S68" i="3"/>
  <c r="S70" i="3"/>
  <c r="S72" i="3"/>
  <c r="S74" i="3"/>
  <c r="S76" i="3"/>
  <c r="S78" i="3"/>
  <c r="S80" i="3"/>
  <c r="S82" i="3"/>
  <c r="S84" i="3"/>
  <c r="S86" i="3"/>
  <c r="S88" i="3"/>
  <c r="S90" i="3"/>
  <c r="S92" i="3"/>
  <c r="S94" i="3"/>
  <c r="S96" i="3"/>
  <c r="S98" i="3"/>
  <c r="S6" i="3"/>
  <c r="S445" i="3"/>
  <c r="S453" i="3"/>
  <c r="S461" i="3"/>
  <c r="S469" i="3"/>
  <c r="S477" i="3"/>
  <c r="S485" i="3"/>
  <c r="S493" i="3"/>
  <c r="S501" i="3"/>
  <c r="S4" i="3"/>
  <c r="S443" i="3"/>
  <c r="S451" i="3"/>
  <c r="S459" i="3"/>
  <c r="S467" i="3"/>
  <c r="S475" i="3"/>
  <c r="S483" i="3"/>
  <c r="S491" i="3"/>
  <c r="S499" i="3"/>
  <c r="S11" i="3"/>
  <c r="S13" i="3"/>
  <c r="S15" i="3"/>
  <c r="S17" i="3"/>
  <c r="S19" i="3"/>
  <c r="S21" i="3"/>
  <c r="S23" i="3"/>
  <c r="S25" i="3"/>
  <c r="S27" i="3"/>
  <c r="S29" i="3"/>
  <c r="S31" i="3"/>
  <c r="S33" i="3"/>
  <c r="S35" i="3"/>
  <c r="S37" i="3"/>
  <c r="S39" i="3"/>
  <c r="S41" i="3"/>
  <c r="S43" i="3"/>
  <c r="S45" i="3"/>
  <c r="S47" i="3"/>
  <c r="S49" i="3"/>
  <c r="S51" i="3"/>
  <c r="S53" i="3"/>
  <c r="S55" i="3"/>
  <c r="S57" i="3"/>
  <c r="S59" i="3"/>
  <c r="S61" i="3"/>
  <c r="S63" i="3"/>
  <c r="S65" i="3"/>
  <c r="S67" i="3"/>
  <c r="S69" i="3"/>
  <c r="S71" i="3"/>
  <c r="S73" i="3"/>
  <c r="S75" i="3"/>
  <c r="S77" i="3"/>
  <c r="S79" i="3"/>
  <c r="S81" i="3"/>
  <c r="S83" i="3"/>
  <c r="S85" i="3"/>
  <c r="S87" i="3"/>
  <c r="S89" i="3"/>
  <c r="S91" i="3"/>
  <c r="S93" i="3"/>
  <c r="S95" i="3"/>
  <c r="S97" i="3"/>
  <c r="S99" i="3"/>
  <c r="S441" i="3"/>
  <c r="S449" i="3"/>
  <c r="S457" i="3"/>
  <c r="S465" i="3"/>
  <c r="S473" i="3"/>
  <c r="S481" i="3"/>
  <c r="S489" i="3"/>
  <c r="S497" i="3"/>
  <c r="S256" i="3"/>
  <c r="S105" i="3"/>
  <c r="S102" i="3"/>
  <c r="S103" i="3"/>
  <c r="S106" i="3"/>
  <c r="S108" i="3"/>
  <c r="S110" i="3"/>
  <c r="S112" i="3"/>
  <c r="S114" i="3"/>
  <c r="S116" i="3"/>
  <c r="S118" i="3"/>
  <c r="S120" i="3"/>
  <c r="S122" i="3"/>
  <c r="S124" i="3"/>
  <c r="S126" i="3"/>
  <c r="S128" i="3"/>
  <c r="S130" i="3"/>
  <c r="S132" i="3"/>
  <c r="S134" i="3"/>
  <c r="S136" i="3"/>
  <c r="S138" i="3"/>
  <c r="S140" i="3"/>
  <c r="S142" i="3"/>
  <c r="S144" i="3"/>
  <c r="S146" i="3"/>
  <c r="S148" i="3"/>
  <c r="S150" i="3"/>
  <c r="S152" i="3"/>
  <c r="S154" i="3"/>
  <c r="S156" i="3"/>
  <c r="S158" i="3"/>
  <c r="S160" i="3"/>
  <c r="S162" i="3"/>
  <c r="S164" i="3"/>
  <c r="S166" i="3"/>
  <c r="S168" i="3"/>
  <c r="S170" i="3"/>
  <c r="S172" i="3"/>
  <c r="S174" i="3"/>
  <c r="S176" i="3"/>
  <c r="S178" i="3"/>
  <c r="S180" i="3"/>
  <c r="S182" i="3"/>
  <c r="S184" i="3"/>
  <c r="S186" i="3"/>
  <c r="S188" i="3"/>
  <c r="S190" i="3"/>
  <c r="S192" i="3"/>
  <c r="S194" i="3"/>
  <c r="S196" i="3"/>
  <c r="S198" i="3"/>
  <c r="S200" i="3"/>
  <c r="S202" i="3"/>
  <c r="S204" i="3"/>
  <c r="S206" i="3"/>
  <c r="S208" i="3"/>
  <c r="S210" i="3"/>
  <c r="S212" i="3"/>
  <c r="S214" i="3"/>
  <c r="S216" i="3"/>
  <c r="S218" i="3"/>
  <c r="S220" i="3"/>
  <c r="S222" i="3"/>
  <c r="S224" i="3"/>
  <c r="S226" i="3"/>
  <c r="S228" i="3"/>
  <c r="S230" i="3"/>
  <c r="S232" i="3"/>
  <c r="S234" i="3"/>
  <c r="S236" i="3"/>
  <c r="S238" i="3"/>
  <c r="S240" i="3"/>
  <c r="S242" i="3"/>
  <c r="S244" i="3"/>
  <c r="S246" i="3"/>
  <c r="S248" i="3"/>
  <c r="S100" i="3"/>
  <c r="S101" i="3"/>
  <c r="S104" i="3"/>
  <c r="S113" i="3"/>
  <c r="S133" i="3"/>
  <c r="S141" i="3"/>
  <c r="S149" i="3"/>
  <c r="S157" i="3"/>
  <c r="S165" i="3"/>
  <c r="S179" i="3"/>
  <c r="S195" i="3"/>
  <c r="S211" i="3"/>
  <c r="S227" i="3"/>
  <c r="S243" i="3"/>
  <c r="S241" i="3"/>
  <c r="S119" i="3"/>
  <c r="S181" i="3"/>
  <c r="S197" i="3"/>
  <c r="S213" i="3"/>
  <c r="S229" i="3"/>
  <c r="S245" i="3"/>
  <c r="S193" i="3"/>
  <c r="S109" i="3"/>
  <c r="S125" i="3"/>
  <c r="S131" i="3"/>
  <c r="S139" i="3"/>
  <c r="S147" i="3"/>
  <c r="S155" i="3"/>
  <c r="S163" i="3"/>
  <c r="S183" i="3"/>
  <c r="S199" i="3"/>
  <c r="S215" i="3"/>
  <c r="S231" i="3"/>
  <c r="S247" i="3"/>
  <c r="S115" i="3"/>
  <c r="S185" i="3"/>
  <c r="S201" i="3"/>
  <c r="S217" i="3"/>
  <c r="S233" i="3"/>
  <c r="S249" i="3"/>
  <c r="S121" i="3"/>
  <c r="S129" i="3"/>
  <c r="S137" i="3"/>
  <c r="S145" i="3"/>
  <c r="S153" i="3"/>
  <c r="S161" i="3"/>
  <c r="S169" i="3"/>
  <c r="S171" i="3"/>
  <c r="S187" i="3"/>
  <c r="S203" i="3"/>
  <c r="S219" i="3"/>
  <c r="S235" i="3"/>
  <c r="S209" i="3"/>
  <c r="S111" i="3"/>
  <c r="S173" i="3"/>
  <c r="S189" i="3"/>
  <c r="S205" i="3"/>
  <c r="S221" i="3"/>
  <c r="S237" i="3"/>
  <c r="S250" i="3"/>
  <c r="S107" i="3"/>
  <c r="S117" i="3"/>
  <c r="S127" i="3"/>
  <c r="S135" i="3"/>
  <c r="S143" i="3"/>
  <c r="S151" i="3"/>
  <c r="S159" i="3"/>
  <c r="S167" i="3"/>
  <c r="S175" i="3"/>
  <c r="S191" i="3"/>
  <c r="S207" i="3"/>
  <c r="S223" i="3"/>
  <c r="S239" i="3"/>
  <c r="S123" i="3"/>
  <c r="S177" i="3"/>
  <c r="S225" i="3"/>
  <c r="R7" i="5"/>
  <c r="S4" i="5"/>
  <c r="S5" i="5"/>
  <c r="S6" i="5"/>
  <c r="S3" i="5"/>
  <c r="J121" i="18"/>
  <c r="J106" i="18"/>
  <c r="J65" i="18"/>
  <c r="J120" i="18"/>
  <c r="J125" i="18"/>
  <c r="J130" i="18"/>
  <c r="J134" i="18"/>
  <c r="J131" i="18"/>
  <c r="J14" i="18"/>
  <c r="J64" i="18"/>
  <c r="J76" i="18"/>
  <c r="J90" i="18"/>
  <c r="J96" i="18"/>
  <c r="J12" i="18"/>
  <c r="J136" i="18"/>
  <c r="J135" i="18"/>
  <c r="J67" i="18"/>
  <c r="J105" i="18"/>
  <c r="J62" i="18"/>
  <c r="J95" i="18"/>
  <c r="J83" i="18"/>
  <c r="J94" i="18"/>
  <c r="J78" i="18"/>
  <c r="J81" i="18"/>
  <c r="J71" i="18"/>
  <c r="J61" i="18"/>
  <c r="J70" i="18"/>
  <c r="J46" i="18"/>
  <c r="J123" i="18"/>
  <c r="J22" i="18"/>
  <c r="J43" i="18"/>
  <c r="J30" i="18"/>
  <c r="J118" i="18"/>
  <c r="J104" i="18"/>
  <c r="J102" i="18"/>
  <c r="J36" i="18"/>
  <c r="J23" i="18"/>
  <c r="J40" i="18"/>
  <c r="J108" i="18"/>
  <c r="J11" i="18"/>
  <c r="J25" i="18"/>
  <c r="J7" i="18"/>
  <c r="J27" i="18"/>
  <c r="J6" i="18"/>
  <c r="J97" i="18"/>
  <c r="J10" i="18"/>
  <c r="J124" i="18"/>
  <c r="J9" i="18"/>
  <c r="J13" i="18"/>
  <c r="J99" i="18"/>
  <c r="J66" i="18"/>
  <c r="J139" i="18"/>
  <c r="J77" i="18"/>
  <c r="J113" i="18"/>
  <c r="J98" i="18"/>
  <c r="J74" i="18"/>
  <c r="J29" i="18"/>
  <c r="J127" i="18"/>
  <c r="J111" i="18"/>
  <c r="J103" i="18"/>
  <c r="J114" i="18"/>
  <c r="J63" i="18"/>
  <c r="J91" i="18"/>
  <c r="J8" i="18"/>
  <c r="J20" i="18"/>
  <c r="J89" i="18"/>
  <c r="J28" i="18"/>
  <c r="J80" i="18"/>
  <c r="J85" i="18"/>
  <c r="J15" i="18"/>
  <c r="J50" i="18"/>
  <c r="J38" i="18"/>
  <c r="J68" i="18"/>
  <c r="J17" i="18"/>
  <c r="J16" i="18"/>
  <c r="J73" i="18"/>
  <c r="J39" i="18"/>
  <c r="J126" i="18"/>
  <c r="J129" i="18"/>
  <c r="J122" i="18"/>
  <c r="J142" i="18"/>
  <c r="J128" i="18"/>
  <c r="J141" i="18"/>
  <c r="J132" i="18"/>
  <c r="J140" i="18"/>
  <c r="J119" i="18"/>
  <c r="J109" i="18"/>
  <c r="J107" i="18"/>
  <c r="J92" i="18"/>
  <c r="J100" i="18"/>
  <c r="J84" i="18"/>
  <c r="J57" i="18"/>
  <c r="J45" i="18"/>
  <c r="J34" i="18"/>
  <c r="J37" i="18"/>
  <c r="J42" i="18"/>
  <c r="J56" i="18"/>
  <c r="J48" i="18"/>
  <c r="J47" i="18"/>
  <c r="J41" i="18"/>
  <c r="J52" i="18"/>
  <c r="J51" i="18"/>
  <c r="J19" i="18"/>
  <c r="J44" i="18"/>
  <c r="J24" i="18"/>
  <c r="J33" i="18"/>
  <c r="J5" i="18"/>
  <c r="E39" i="13"/>
  <c r="E407" i="13"/>
  <c r="E361" i="13"/>
  <c r="X37" i="13"/>
  <c r="AA89" i="9" l="1"/>
  <c r="Z65" i="9"/>
  <c r="AA60" i="9"/>
  <c r="O256" i="9"/>
  <c r="L256" i="9"/>
  <c r="M256" i="9"/>
  <c r="N256" i="9"/>
  <c r="O210" i="9"/>
  <c r="M210" i="9"/>
  <c r="N210" i="9"/>
  <c r="L210" i="9"/>
  <c r="O270" i="9"/>
  <c r="L270" i="9"/>
  <c r="N270" i="9"/>
  <c r="M270" i="9"/>
  <c r="L173" i="9"/>
  <c r="M173" i="9"/>
  <c r="O173" i="9"/>
  <c r="N173" i="9"/>
  <c r="L177" i="9"/>
  <c r="M177" i="9"/>
  <c r="N177" i="9"/>
  <c r="O177" i="9"/>
  <c r="M111" i="9"/>
  <c r="N111" i="9"/>
  <c r="L111" i="9"/>
  <c r="O111" i="9"/>
  <c r="O250" i="9"/>
  <c r="M250" i="9"/>
  <c r="L250" i="9"/>
  <c r="N250" i="9"/>
  <c r="L225" i="9"/>
  <c r="M225" i="9"/>
  <c r="N225" i="9"/>
  <c r="O225" i="9"/>
  <c r="L204" i="9"/>
  <c r="M204" i="9"/>
  <c r="O204" i="9"/>
  <c r="N204" i="9"/>
  <c r="N130" i="9"/>
  <c r="O130" i="9"/>
  <c r="L130" i="9"/>
  <c r="M130" i="9"/>
  <c r="O268" i="9"/>
  <c r="N268" i="9"/>
  <c r="L268" i="9"/>
  <c r="M268" i="9"/>
  <c r="N174" i="9"/>
  <c r="O174" i="9"/>
  <c r="L174" i="9"/>
  <c r="M174" i="9"/>
  <c r="O228" i="9"/>
  <c r="L228" i="9"/>
  <c r="N228" i="9"/>
  <c r="M228" i="9"/>
  <c r="L299" i="9"/>
  <c r="M299" i="9"/>
  <c r="N299" i="9"/>
  <c r="O299" i="9"/>
  <c r="O280" i="9"/>
  <c r="L280" i="9"/>
  <c r="M280" i="9"/>
  <c r="N280" i="9"/>
  <c r="L279" i="9"/>
  <c r="M279" i="9"/>
  <c r="N279" i="9"/>
  <c r="O279" i="9"/>
  <c r="O189" i="9"/>
  <c r="L189" i="9"/>
  <c r="M189" i="9"/>
  <c r="N189" i="9"/>
  <c r="N166" i="9"/>
  <c r="O166" i="9"/>
  <c r="L166" i="9"/>
  <c r="M166" i="9"/>
  <c r="O252" i="9"/>
  <c r="N252" i="9"/>
  <c r="L252" i="9"/>
  <c r="M252" i="9"/>
  <c r="O197" i="9"/>
  <c r="N197" i="9"/>
  <c r="L197" i="9"/>
  <c r="M197" i="9"/>
  <c r="L261" i="9"/>
  <c r="M261" i="9"/>
  <c r="N261" i="9"/>
  <c r="O261" i="9"/>
  <c r="L241" i="9"/>
  <c r="M241" i="9"/>
  <c r="N241" i="9"/>
  <c r="O241" i="9"/>
  <c r="Z62" i="9"/>
  <c r="N134" i="9"/>
  <c r="O134" i="9"/>
  <c r="L134" i="9"/>
  <c r="M134" i="9"/>
  <c r="L155" i="9"/>
  <c r="M155" i="9"/>
  <c r="N155" i="9"/>
  <c r="O155" i="9"/>
  <c r="L305" i="9"/>
  <c r="M305" i="9"/>
  <c r="N305" i="9"/>
  <c r="O305" i="9"/>
  <c r="M123" i="9"/>
  <c r="N123" i="9"/>
  <c r="L123" i="9"/>
  <c r="O123" i="9"/>
  <c r="L176" i="9"/>
  <c r="M176" i="9"/>
  <c r="N176" i="9"/>
  <c r="O176" i="9"/>
  <c r="O122" i="9"/>
  <c r="L122" i="9"/>
  <c r="M122" i="9"/>
  <c r="N122" i="9"/>
  <c r="M200" i="9"/>
  <c r="N200" i="9"/>
  <c r="O200" i="9"/>
  <c r="L200" i="9"/>
  <c r="L271" i="9"/>
  <c r="M271" i="9"/>
  <c r="N271" i="9"/>
  <c r="O271" i="9"/>
  <c r="O230" i="9"/>
  <c r="L230" i="9"/>
  <c r="M230" i="9"/>
  <c r="N230" i="9"/>
  <c r="N196" i="9"/>
  <c r="O196" i="9"/>
  <c r="L196" i="9"/>
  <c r="M196" i="9"/>
  <c r="L237" i="9"/>
  <c r="M237" i="9"/>
  <c r="N237" i="9"/>
  <c r="O237" i="9"/>
  <c r="O246" i="9"/>
  <c r="L246" i="9"/>
  <c r="M246" i="9"/>
  <c r="N246" i="9"/>
  <c r="M119" i="9"/>
  <c r="N119" i="9"/>
  <c r="L119" i="9"/>
  <c r="O119" i="9"/>
  <c r="L141" i="9"/>
  <c r="M141" i="9"/>
  <c r="N141" i="9"/>
  <c r="O141" i="9"/>
  <c r="L180" i="9"/>
  <c r="M180" i="9"/>
  <c r="N180" i="9"/>
  <c r="O180" i="9"/>
  <c r="O248" i="9"/>
  <c r="L248" i="9"/>
  <c r="M248" i="9"/>
  <c r="N248" i="9"/>
  <c r="L283" i="9"/>
  <c r="M283" i="9"/>
  <c r="N283" i="9"/>
  <c r="O283" i="9"/>
  <c r="L144" i="9"/>
  <c r="M144" i="9"/>
  <c r="N144" i="9"/>
  <c r="O144" i="9"/>
  <c r="AA75" i="9"/>
  <c r="L108" i="9"/>
  <c r="M108" i="9"/>
  <c r="N108" i="9"/>
  <c r="O108" i="9"/>
  <c r="L259" i="9"/>
  <c r="M259" i="9"/>
  <c r="N259" i="9"/>
  <c r="O259" i="9"/>
  <c r="L181" i="9"/>
  <c r="M181" i="9"/>
  <c r="N181" i="9"/>
  <c r="O181" i="9"/>
  <c r="L289" i="9"/>
  <c r="M289" i="9"/>
  <c r="N289" i="9"/>
  <c r="O289" i="9"/>
  <c r="O226" i="9"/>
  <c r="M226" i="9"/>
  <c r="N226" i="9"/>
  <c r="L226" i="9"/>
  <c r="O240" i="9"/>
  <c r="L240" i="9"/>
  <c r="M240" i="9"/>
  <c r="N240" i="9"/>
  <c r="L221" i="9"/>
  <c r="M221" i="9"/>
  <c r="N221" i="9"/>
  <c r="O221" i="9"/>
  <c r="M169" i="9"/>
  <c r="N169" i="9"/>
  <c r="O169" i="9"/>
  <c r="L169" i="9"/>
  <c r="O284" i="9"/>
  <c r="N284" i="9"/>
  <c r="L284" i="9"/>
  <c r="M284" i="9"/>
  <c r="N142" i="9"/>
  <c r="O142" i="9"/>
  <c r="L142" i="9"/>
  <c r="M142" i="9"/>
  <c r="N154" i="9"/>
  <c r="O154" i="9"/>
  <c r="M154" i="9"/>
  <c r="L154" i="9"/>
  <c r="O232" i="9"/>
  <c r="L232" i="9"/>
  <c r="M232" i="9"/>
  <c r="N232" i="9"/>
  <c r="L211" i="9"/>
  <c r="M211" i="9"/>
  <c r="N211" i="9"/>
  <c r="O211" i="9"/>
  <c r="O292" i="9"/>
  <c r="N292" i="9"/>
  <c r="L292" i="9"/>
  <c r="M292" i="9"/>
  <c r="O193" i="9"/>
  <c r="L193" i="9"/>
  <c r="M193" i="9"/>
  <c r="N193" i="9"/>
  <c r="L273" i="9"/>
  <c r="M273" i="9"/>
  <c r="N273" i="9"/>
  <c r="O273" i="9"/>
  <c r="L209" i="9"/>
  <c r="M209" i="9"/>
  <c r="N209" i="9"/>
  <c r="O209" i="9"/>
  <c r="L265" i="9"/>
  <c r="M265" i="9"/>
  <c r="N265" i="9"/>
  <c r="O265" i="9"/>
  <c r="L124" i="9"/>
  <c r="M124" i="9"/>
  <c r="O124" i="9"/>
  <c r="N124" i="9"/>
  <c r="O300" i="9"/>
  <c r="N300" i="9"/>
  <c r="L300" i="9"/>
  <c r="M300" i="9"/>
  <c r="O244" i="9"/>
  <c r="N244" i="9"/>
  <c r="L244" i="9"/>
  <c r="M244" i="9"/>
  <c r="L215" i="9"/>
  <c r="M215" i="9"/>
  <c r="N215" i="9"/>
  <c r="O215" i="9"/>
  <c r="O236" i="9"/>
  <c r="N236" i="9"/>
  <c r="M236" i="9"/>
  <c r="L236" i="9"/>
  <c r="O242" i="9"/>
  <c r="M242" i="9"/>
  <c r="N242" i="9"/>
  <c r="L242" i="9"/>
  <c r="L285" i="9"/>
  <c r="M285" i="9"/>
  <c r="N285" i="9"/>
  <c r="O285" i="9"/>
  <c r="L239" i="9"/>
  <c r="M239" i="9"/>
  <c r="N239" i="9"/>
  <c r="O239" i="9"/>
  <c r="M190" i="9"/>
  <c r="N190" i="9"/>
  <c r="L190" i="9"/>
  <c r="O190" i="9"/>
  <c r="O234" i="9"/>
  <c r="M234" i="9"/>
  <c r="L234" i="9"/>
  <c r="N234" i="9"/>
  <c r="M194" i="9"/>
  <c r="N194" i="9"/>
  <c r="L194" i="9"/>
  <c r="O194" i="9"/>
  <c r="O274" i="9"/>
  <c r="M274" i="9"/>
  <c r="N274" i="9"/>
  <c r="L274" i="9"/>
  <c r="O238" i="9"/>
  <c r="L238" i="9"/>
  <c r="M238" i="9"/>
  <c r="N238" i="9"/>
  <c r="L152" i="9"/>
  <c r="M152" i="9"/>
  <c r="N152" i="9"/>
  <c r="O152" i="9"/>
  <c r="L229" i="9"/>
  <c r="M229" i="9"/>
  <c r="N229" i="9"/>
  <c r="O229" i="9"/>
  <c r="O304" i="9"/>
  <c r="L304" i="9"/>
  <c r="N304" i="9"/>
  <c r="M304" i="9"/>
  <c r="L219" i="9"/>
  <c r="M219" i="9"/>
  <c r="N219" i="9"/>
  <c r="O219" i="9"/>
  <c r="O220" i="9"/>
  <c r="N220" i="9"/>
  <c r="L220" i="9"/>
  <c r="M220" i="9"/>
  <c r="L227" i="9"/>
  <c r="M227" i="9"/>
  <c r="N227" i="9"/>
  <c r="O227" i="9"/>
  <c r="O264" i="9"/>
  <c r="L264" i="9"/>
  <c r="M264" i="9"/>
  <c r="N264" i="9"/>
  <c r="AA27" i="9"/>
  <c r="O288" i="9"/>
  <c r="L288" i="9"/>
  <c r="M288" i="9"/>
  <c r="N288" i="9"/>
  <c r="L171" i="9"/>
  <c r="M171" i="9"/>
  <c r="N171" i="9"/>
  <c r="O171" i="9"/>
  <c r="L247" i="9"/>
  <c r="M247" i="9"/>
  <c r="N247" i="9"/>
  <c r="O247" i="9"/>
  <c r="L160" i="9"/>
  <c r="M160" i="9"/>
  <c r="N160" i="9"/>
  <c r="O160" i="9"/>
  <c r="L133" i="9"/>
  <c r="M133" i="9"/>
  <c r="N133" i="9"/>
  <c r="O133" i="9"/>
  <c r="L120" i="9"/>
  <c r="M120" i="9"/>
  <c r="O120" i="9"/>
  <c r="N120" i="9"/>
  <c r="L213" i="9"/>
  <c r="M213" i="9"/>
  <c r="N213" i="9"/>
  <c r="O213" i="9"/>
  <c r="N150" i="9"/>
  <c r="O150" i="9"/>
  <c r="L150" i="9"/>
  <c r="M150" i="9"/>
  <c r="L156" i="9"/>
  <c r="M156" i="9"/>
  <c r="O156" i="9"/>
  <c r="N156" i="9"/>
  <c r="O201" i="9"/>
  <c r="L201" i="9"/>
  <c r="M201" i="9"/>
  <c r="N201" i="9"/>
  <c r="L168" i="9"/>
  <c r="M168" i="9"/>
  <c r="N168" i="9"/>
  <c r="O168" i="9"/>
  <c r="M107" i="9"/>
  <c r="N107" i="9"/>
  <c r="L107" i="9"/>
  <c r="O107" i="9"/>
  <c r="O260" i="9"/>
  <c r="N260" i="9"/>
  <c r="L260" i="9"/>
  <c r="M260" i="9"/>
  <c r="L287" i="9"/>
  <c r="M287" i="9"/>
  <c r="N287" i="9"/>
  <c r="O287" i="9"/>
  <c r="O207" i="9"/>
  <c r="N207" i="9"/>
  <c r="M207" i="9"/>
  <c r="L207" i="9"/>
  <c r="L165" i="9"/>
  <c r="M165" i="9"/>
  <c r="N165" i="9"/>
  <c r="O165" i="9"/>
  <c r="O216" i="9"/>
  <c r="L216" i="9"/>
  <c r="M216" i="9"/>
  <c r="N216" i="9"/>
  <c r="O258" i="9"/>
  <c r="M258" i="9"/>
  <c r="N258" i="9"/>
  <c r="L258" i="9"/>
  <c r="O262" i="9"/>
  <c r="M262" i="9"/>
  <c r="N262" i="9"/>
  <c r="L262" i="9"/>
  <c r="L235" i="9"/>
  <c r="M235" i="9"/>
  <c r="N235" i="9"/>
  <c r="O235" i="9"/>
  <c r="L303" i="9"/>
  <c r="M303" i="9"/>
  <c r="N303" i="9"/>
  <c r="O303" i="9"/>
  <c r="L263" i="9"/>
  <c r="M263" i="9"/>
  <c r="N263" i="9"/>
  <c r="O263" i="9"/>
  <c r="L112" i="9"/>
  <c r="N112" i="9"/>
  <c r="O112" i="9"/>
  <c r="M112" i="9"/>
  <c r="O286" i="9"/>
  <c r="L286" i="9"/>
  <c r="N286" i="9"/>
  <c r="M286" i="9"/>
  <c r="L116" i="9"/>
  <c r="M116" i="9"/>
  <c r="N116" i="9"/>
  <c r="O116" i="9"/>
  <c r="M153" i="9"/>
  <c r="N153" i="9"/>
  <c r="O153" i="9"/>
  <c r="L153" i="9"/>
  <c r="L293" i="9"/>
  <c r="M293" i="9"/>
  <c r="N293" i="9"/>
  <c r="O293" i="9"/>
  <c r="O222" i="9"/>
  <c r="L222" i="9"/>
  <c r="M222" i="9"/>
  <c r="N222" i="9"/>
  <c r="O276" i="9"/>
  <c r="N276" i="9"/>
  <c r="L276" i="9"/>
  <c r="M276" i="9"/>
  <c r="L233" i="9"/>
  <c r="M233" i="9"/>
  <c r="N233" i="9"/>
  <c r="O233" i="9"/>
  <c r="N113" i="9"/>
  <c r="O113" i="9"/>
  <c r="L113" i="9"/>
  <c r="M113" i="9"/>
  <c r="L249" i="9"/>
  <c r="M249" i="9"/>
  <c r="N249" i="9"/>
  <c r="O249" i="9"/>
  <c r="E455" i="13"/>
  <c r="E198" i="13"/>
  <c r="G55" i="15"/>
  <c r="E60" i="13"/>
  <c r="E67" i="13"/>
  <c r="E435" i="13"/>
  <c r="E159" i="13"/>
  <c r="E203" i="13"/>
  <c r="E443" i="13"/>
  <c r="E75" i="13"/>
  <c r="E489" i="13"/>
  <c r="E213" i="13"/>
  <c r="Z99" i="5"/>
  <c r="AA99" i="5" s="1"/>
  <c r="Z59" i="9"/>
  <c r="Z77" i="5"/>
  <c r="AB77" i="5" s="1"/>
  <c r="AA97" i="9"/>
  <c r="Z8" i="9"/>
  <c r="E104" i="13"/>
  <c r="E65" i="13"/>
  <c r="E179" i="13"/>
  <c r="H75" i="5"/>
  <c r="E426" i="13"/>
  <c r="E192" i="13"/>
  <c r="E111" i="13"/>
  <c r="E225" i="13"/>
  <c r="Z95" i="5"/>
  <c r="AA95" i="5" s="1"/>
  <c r="E58" i="13"/>
  <c r="E132" i="13"/>
  <c r="E422" i="13"/>
  <c r="E481" i="13"/>
  <c r="E479" i="13"/>
  <c r="E152" i="13"/>
  <c r="Z16" i="5"/>
  <c r="AA16" i="5" s="1"/>
  <c r="Z32" i="5"/>
  <c r="AB32" i="5" s="1"/>
  <c r="AA69" i="9"/>
  <c r="E224" i="13"/>
  <c r="E54" i="13"/>
  <c r="E113" i="13"/>
  <c r="E133" i="13"/>
  <c r="W6" i="15"/>
  <c r="E474" i="13"/>
  <c r="K115" i="18"/>
  <c r="K266" i="18"/>
  <c r="K113" i="18"/>
  <c r="K264" i="18"/>
  <c r="K114" i="18"/>
  <c r="K265" i="18"/>
  <c r="K39" i="18"/>
  <c r="K179" i="18" s="1"/>
  <c r="K319" i="18" s="1"/>
  <c r="K229" i="18"/>
  <c r="K90" i="18"/>
  <c r="K230" i="18" s="1"/>
  <c r="K268" i="18"/>
  <c r="AC7" i="15"/>
  <c r="AA55" i="9"/>
  <c r="AB15" i="7"/>
  <c r="E137" i="13"/>
  <c r="H68" i="5"/>
  <c r="AA67" i="9"/>
  <c r="E91" i="13"/>
  <c r="E229" i="13"/>
  <c r="AA33" i="9"/>
  <c r="E469" i="13"/>
  <c r="E505" i="13"/>
  <c r="E160" i="13"/>
  <c r="E470" i="13"/>
  <c r="E147" i="13"/>
  <c r="E459" i="13"/>
  <c r="E151" i="13"/>
  <c r="E52" i="13"/>
  <c r="E504" i="13"/>
  <c r="Z46" i="9"/>
  <c r="H33" i="5"/>
  <c r="AA11" i="9"/>
  <c r="E93" i="13"/>
  <c r="Z36" i="5"/>
  <c r="AA36" i="5" s="1"/>
  <c r="E507" i="13"/>
  <c r="E211" i="13"/>
  <c r="Z82" i="9"/>
  <c r="V16" i="7"/>
  <c r="X16" i="7" s="1"/>
  <c r="E119" i="13"/>
  <c r="E69" i="13"/>
  <c r="V23" i="7"/>
  <c r="X23" i="7" s="1"/>
  <c r="E441" i="13"/>
  <c r="V21" i="7"/>
  <c r="X21" i="7" s="1"/>
  <c r="V15" i="7"/>
  <c r="X15" i="7" s="1"/>
  <c r="H28" i="5"/>
  <c r="AA38" i="9"/>
  <c r="V28" i="7"/>
  <c r="X28" i="7" s="1"/>
  <c r="V7" i="7"/>
  <c r="E165" i="13"/>
  <c r="Z70" i="9"/>
  <c r="V4" i="7"/>
  <c r="X4" i="7" s="1"/>
  <c r="V5" i="7"/>
  <c r="X5" i="7" s="1"/>
  <c r="E458" i="13"/>
  <c r="E423" i="13"/>
  <c r="E139" i="13"/>
  <c r="E105" i="13"/>
  <c r="E90" i="13"/>
  <c r="E450" i="13"/>
  <c r="E55" i="13"/>
  <c r="E461" i="13"/>
  <c r="E197" i="13"/>
  <c r="E228" i="13"/>
  <c r="E101" i="13"/>
  <c r="E185" i="13"/>
  <c r="E59" i="13"/>
  <c r="E136" i="13"/>
  <c r="E427" i="13"/>
  <c r="H72" i="5"/>
  <c r="E78" i="13"/>
  <c r="Z45" i="5"/>
  <c r="AB45" i="5" s="1"/>
  <c r="AB22" i="7"/>
  <c r="H56" i="5"/>
  <c r="H71" i="5"/>
  <c r="E493" i="13"/>
  <c r="E53" i="13"/>
  <c r="E169" i="13"/>
  <c r="E168" i="13"/>
  <c r="E171" i="13"/>
  <c r="H82" i="5"/>
  <c r="Z58" i="5"/>
  <c r="AB58" i="5" s="1"/>
  <c r="AA28" i="9"/>
  <c r="AA34" i="9"/>
  <c r="E447" i="13"/>
  <c r="E467" i="13"/>
  <c r="E491" i="13"/>
  <c r="E99" i="13"/>
  <c r="E142" i="13"/>
  <c r="Z37" i="5"/>
  <c r="AB37" i="5" s="1"/>
  <c r="H39" i="5"/>
  <c r="AA16" i="9"/>
  <c r="E125" i="13"/>
  <c r="E188" i="13"/>
  <c r="E506" i="13"/>
  <c r="E445" i="13"/>
  <c r="AA25" i="9"/>
  <c r="Z40" i="9"/>
  <c r="Z7" i="9"/>
  <c r="Q8" i="14"/>
  <c r="E96" i="13"/>
  <c r="E460" i="13"/>
  <c r="E92" i="13"/>
  <c r="Z90" i="5"/>
  <c r="AA90" i="5" s="1"/>
  <c r="M11" i="8"/>
  <c r="E421" i="13"/>
  <c r="E123" i="13"/>
  <c r="E418" i="13"/>
  <c r="E138" i="13"/>
  <c r="AB10" i="7"/>
  <c r="AB8" i="7"/>
  <c r="Z85" i="5"/>
  <c r="AA85" i="5" s="1"/>
  <c r="H66" i="5"/>
  <c r="AB9" i="7"/>
  <c r="H14" i="5"/>
  <c r="AA50" i="9"/>
  <c r="W4" i="15"/>
  <c r="E72" i="13"/>
  <c r="E436" i="13"/>
  <c r="E497" i="13"/>
  <c r="E496" i="13"/>
  <c r="E130" i="13"/>
  <c r="AA68" i="9"/>
  <c r="X4" i="15"/>
  <c r="E114" i="13"/>
  <c r="E85" i="13"/>
  <c r="E220" i="13"/>
  <c r="AB19" i="7"/>
  <c r="E482" i="13"/>
  <c r="E82" i="13"/>
  <c r="Z63" i="9"/>
  <c r="E206" i="13"/>
  <c r="E128" i="13"/>
  <c r="E70" i="13"/>
  <c r="E189" i="13"/>
  <c r="E56" i="13"/>
  <c r="Z80" i="9"/>
  <c r="AA76" i="9"/>
  <c r="E194" i="13"/>
  <c r="E216" i="13"/>
  <c r="AB21" i="7"/>
  <c r="E190" i="13"/>
  <c r="E148" i="13"/>
  <c r="E446" i="13"/>
  <c r="Z30" i="5"/>
  <c r="AA30" i="5" s="1"/>
  <c r="Z17" i="5"/>
  <c r="AB17" i="5" s="1"/>
  <c r="AA84" i="9"/>
  <c r="AA101" i="9"/>
  <c r="E144" i="13"/>
  <c r="E424" i="13"/>
  <c r="E124" i="13"/>
  <c r="E170" i="13"/>
  <c r="E466" i="13"/>
  <c r="E153" i="13"/>
  <c r="H89" i="5"/>
  <c r="Z49" i="5"/>
  <c r="AB49" i="5" s="1"/>
  <c r="E420" i="13"/>
  <c r="E126" i="13"/>
  <c r="E140" i="13"/>
  <c r="AA92" i="9"/>
  <c r="E118" i="13"/>
  <c r="E502" i="13"/>
  <c r="E71" i="13"/>
  <c r="E173" i="13"/>
  <c r="E226" i="13"/>
  <c r="W11" i="15"/>
  <c r="E431" i="13"/>
  <c r="E484" i="13"/>
  <c r="E51" i="13"/>
  <c r="E477" i="13"/>
  <c r="E208" i="13"/>
  <c r="E210" i="13"/>
  <c r="E452" i="13"/>
  <c r="E175" i="13"/>
  <c r="E97" i="13"/>
  <c r="E88" i="13"/>
  <c r="E76" i="13"/>
  <c r="AA4" i="9"/>
  <c r="E109" i="13"/>
  <c r="E222" i="13"/>
  <c r="E419" i="13"/>
  <c r="E219" i="13"/>
  <c r="E134" i="13"/>
  <c r="E485" i="13"/>
  <c r="E63" i="13"/>
  <c r="E498" i="13"/>
  <c r="E451" i="13"/>
  <c r="E465" i="13"/>
  <c r="E81" i="13"/>
  <c r="E163" i="13"/>
  <c r="E444" i="13"/>
  <c r="AA77" i="9"/>
  <c r="Z52" i="9"/>
  <c r="AA54" i="9"/>
  <c r="X3" i="15"/>
  <c r="E155" i="13"/>
  <c r="E162" i="13"/>
  <c r="E164" i="13"/>
  <c r="E176" i="13"/>
  <c r="E83" i="13"/>
  <c r="E127" i="13"/>
  <c r="E439" i="13"/>
  <c r="E122" i="13"/>
  <c r="E438" i="13"/>
  <c r="E440" i="13"/>
  <c r="E129" i="13"/>
  <c r="E495" i="13"/>
  <c r="E456" i="13"/>
  <c r="E117" i="13"/>
  <c r="E214" i="13"/>
  <c r="Z20" i="5"/>
  <c r="AB20" i="5" s="1"/>
  <c r="AB4" i="7"/>
  <c r="W3" i="5"/>
  <c r="Z73" i="9"/>
  <c r="Z30" i="9"/>
  <c r="H10" i="5"/>
  <c r="V14" i="7"/>
  <c r="X14" i="7" s="1"/>
  <c r="V27" i="7"/>
  <c r="X27" i="7" s="1"/>
  <c r="V11" i="7"/>
  <c r="X11" i="7" s="1"/>
  <c r="E483" i="13"/>
  <c r="E499" i="13"/>
  <c r="E218" i="13"/>
  <c r="E158" i="13"/>
  <c r="E429" i="13"/>
  <c r="E62" i="13"/>
  <c r="X29" i="7"/>
  <c r="V6" i="7"/>
  <c r="X6" i="7" s="1"/>
  <c r="V25" i="7"/>
  <c r="X25" i="7" s="1"/>
  <c r="V9" i="7"/>
  <c r="X9" i="7" s="1"/>
  <c r="E448" i="13"/>
  <c r="E199" i="13"/>
  <c r="E154" i="13"/>
  <c r="AA12" i="9"/>
  <c r="E186" i="13"/>
  <c r="E107" i="13"/>
  <c r="Z8" i="5"/>
  <c r="AA8" i="5" s="1"/>
  <c r="Z21" i="5"/>
  <c r="AA21" i="5" s="1"/>
  <c r="AA42" i="9"/>
  <c r="AA23" i="9"/>
  <c r="V20" i="7"/>
  <c r="X20" i="7" s="1"/>
  <c r="V8" i="7"/>
  <c r="X8" i="7" s="1"/>
  <c r="V19" i="7"/>
  <c r="X19" i="7" s="1"/>
  <c r="V3" i="7"/>
  <c r="X3" i="7" s="1"/>
  <c r="E115" i="13"/>
  <c r="E223" i="13"/>
  <c r="E204" i="13"/>
  <c r="E508" i="13"/>
  <c r="E475" i="13"/>
  <c r="V12" i="7"/>
  <c r="X12" i="7" s="1"/>
  <c r="V26" i="7"/>
  <c r="X26" i="7" s="1"/>
  <c r="V17" i="7"/>
  <c r="X17" i="7" s="1"/>
  <c r="E437" i="13"/>
  <c r="E131" i="13"/>
  <c r="E172" i="13"/>
  <c r="E480" i="13"/>
  <c r="AC10" i="15"/>
  <c r="E94" i="13"/>
  <c r="E476" i="13"/>
  <c r="H35" i="5"/>
  <c r="Z19" i="9"/>
  <c r="E207" i="13"/>
  <c r="E453" i="13"/>
  <c r="E494" i="13"/>
  <c r="E112" i="13"/>
  <c r="E462" i="13"/>
  <c r="E200" i="13"/>
  <c r="V22" i="7"/>
  <c r="X22" i="7" s="1"/>
  <c r="V10" i="7"/>
  <c r="X10" i="7" s="1"/>
  <c r="H98" i="5"/>
  <c r="Z79" i="5"/>
  <c r="AA79" i="5" s="1"/>
  <c r="AB8" i="15"/>
  <c r="H74" i="5"/>
  <c r="H104" i="5"/>
  <c r="Z51" i="5"/>
  <c r="AA51" i="5" s="1"/>
  <c r="Z79" i="9"/>
  <c r="AB11" i="15"/>
  <c r="Z43" i="5"/>
  <c r="AA43" i="5" s="1"/>
  <c r="AB5" i="15"/>
  <c r="AB6" i="7"/>
  <c r="AB12" i="7"/>
  <c r="Z18" i="5"/>
  <c r="AB18" i="5" s="1"/>
  <c r="Z34" i="5"/>
  <c r="AA34" i="5" s="1"/>
  <c r="Z73" i="5"/>
  <c r="AA73" i="5" s="1"/>
  <c r="AB16" i="7"/>
  <c r="AA36" i="9"/>
  <c r="G99" i="15"/>
  <c r="G66" i="15"/>
  <c r="AC12" i="15"/>
  <c r="V6" i="15"/>
  <c r="H91" i="5"/>
  <c r="Z54" i="5"/>
  <c r="AA54" i="5" s="1"/>
  <c r="Z48" i="9"/>
  <c r="AA74" i="9"/>
  <c r="Z95" i="9"/>
  <c r="AA51" i="9"/>
  <c r="AA17" i="9"/>
  <c r="G253" i="15"/>
  <c r="G154" i="15"/>
  <c r="G297" i="15"/>
  <c r="G286" i="15"/>
  <c r="G77" i="15"/>
  <c r="AC8" i="15"/>
  <c r="AC3" i="15"/>
  <c r="X6" i="15"/>
  <c r="G264" i="15"/>
  <c r="AB99" i="5"/>
  <c r="V3" i="15"/>
  <c r="H38" i="5"/>
  <c r="Z15" i="5"/>
  <c r="AA15" i="5" s="1"/>
  <c r="Z41" i="5"/>
  <c r="AB41" i="5" s="1"/>
  <c r="Z9" i="5"/>
  <c r="AA9" i="5" s="1"/>
  <c r="G220" i="15"/>
  <c r="G209" i="15"/>
  <c r="AA29" i="9"/>
  <c r="AA21" i="9"/>
  <c r="AA26" i="9"/>
  <c r="G110" i="15"/>
  <c r="G187" i="15"/>
  <c r="G308" i="15"/>
  <c r="G165" i="15"/>
  <c r="G275" i="15"/>
  <c r="AC11" i="15"/>
  <c r="AC6" i="15"/>
  <c r="G319" i="15"/>
  <c r="P3" i="14"/>
  <c r="Z46" i="5"/>
  <c r="AA46" i="5" s="1"/>
  <c r="Z70" i="5"/>
  <c r="AA70" i="5" s="1"/>
  <c r="AA83" i="9"/>
  <c r="G33" i="15"/>
  <c r="G176" i="15"/>
  <c r="G231" i="15"/>
  <c r="G121" i="15"/>
  <c r="AC9" i="15"/>
  <c r="M31" i="19"/>
  <c r="M12" i="19" s="1"/>
  <c r="G11" i="15"/>
  <c r="G143" i="15"/>
  <c r="AB14" i="7"/>
  <c r="G330" i="15"/>
  <c r="G22" i="15"/>
  <c r="P7" i="14"/>
  <c r="AC5" i="15"/>
  <c r="G198" i="15"/>
  <c r="G88" i="15"/>
  <c r="Z102" i="5"/>
  <c r="AA102" i="5" s="1"/>
  <c r="G44" i="15"/>
  <c r="G242" i="15"/>
  <c r="Z69" i="5"/>
  <c r="AB69" i="5" s="1"/>
  <c r="Z60" i="5"/>
  <c r="AB60" i="5" s="1"/>
  <c r="W3" i="15"/>
  <c r="Z78" i="5"/>
  <c r="AA78" i="5" s="1"/>
  <c r="Z96" i="5"/>
  <c r="AA96" i="5" s="1"/>
  <c r="AA78" i="9"/>
  <c r="AA81" i="9"/>
  <c r="H67" i="5"/>
  <c r="H57" i="5"/>
  <c r="AA98" i="9"/>
  <c r="AA57" i="9"/>
  <c r="AB27" i="7"/>
  <c r="AB5" i="7"/>
  <c r="H105" i="5"/>
  <c r="H64" i="5"/>
  <c r="Z25" i="5"/>
  <c r="AB25" i="5" s="1"/>
  <c r="AA61" i="9"/>
  <c r="AB3" i="7"/>
  <c r="AB17" i="7"/>
  <c r="AB13" i="7"/>
  <c r="AA43" i="9"/>
  <c r="AB28" i="7"/>
  <c r="Z23" i="5"/>
  <c r="AA23" i="5" s="1"/>
  <c r="H103" i="5"/>
  <c r="H80" i="5"/>
  <c r="AA93" i="9"/>
  <c r="Z31" i="9"/>
  <c r="Z10" i="9"/>
  <c r="AA56" i="9"/>
  <c r="V4" i="15"/>
  <c r="Z13" i="5"/>
  <c r="AA13" i="5" s="1"/>
  <c r="AA53" i="9"/>
  <c r="AA6" i="9"/>
  <c r="AA64" i="9"/>
  <c r="AB25" i="7"/>
  <c r="AB24" i="7"/>
  <c r="H59" i="5"/>
  <c r="H24" i="5"/>
  <c r="AA20" i="9"/>
  <c r="Z58" i="9"/>
  <c r="Z39" i="9"/>
  <c r="AB11" i="7"/>
  <c r="H93" i="5"/>
  <c r="AA94" i="9"/>
  <c r="H81" i="5"/>
  <c r="H26" i="5"/>
  <c r="H100" i="5"/>
  <c r="W5" i="5"/>
  <c r="Z47" i="5"/>
  <c r="AA47" i="5" s="1"/>
  <c r="Z65" i="5"/>
  <c r="AB65" i="5" s="1"/>
  <c r="H62" i="5"/>
  <c r="AA45" i="9"/>
  <c r="Z102" i="9"/>
  <c r="AA35" i="9"/>
  <c r="AA14" i="9"/>
  <c r="AA49" i="9"/>
  <c r="H63" i="5"/>
  <c r="Q11" i="14"/>
  <c r="Q6" i="14"/>
  <c r="AB18" i="7"/>
  <c r="V7" i="5"/>
  <c r="H7" i="5" s="1"/>
  <c r="Z87" i="5"/>
  <c r="AA87" i="5" s="1"/>
  <c r="H61" i="5"/>
  <c r="H84" i="5"/>
  <c r="H11" i="5"/>
  <c r="Z31" i="5"/>
  <c r="AA31" i="5" s="1"/>
  <c r="Z92" i="5"/>
  <c r="AB92" i="5" s="1"/>
  <c r="AA90" i="9"/>
  <c r="AA22" i="9"/>
  <c r="X5" i="15"/>
  <c r="Z53" i="5"/>
  <c r="AB53" i="5" s="1"/>
  <c r="Z29" i="5"/>
  <c r="AB29" i="5" s="1"/>
  <c r="H44" i="5"/>
  <c r="BV13" i="7"/>
  <c r="CJ13" i="7" s="1"/>
  <c r="AA72" i="9"/>
  <c r="AA37" i="9"/>
  <c r="Y5" i="15"/>
  <c r="Z12" i="5"/>
  <c r="AA12" i="5" s="1"/>
  <c r="AA18" i="9"/>
  <c r="W5" i="15"/>
  <c r="W6" i="5"/>
  <c r="AB101" i="5"/>
  <c r="AA101" i="5"/>
  <c r="H22" i="5"/>
  <c r="H76" i="5"/>
  <c r="H48" i="5"/>
  <c r="Z40" i="5"/>
  <c r="AA40" i="5" s="1"/>
  <c r="Z42" i="5"/>
  <c r="AB42" i="5" s="1"/>
  <c r="Z96" i="9"/>
  <c r="Z97" i="5"/>
  <c r="H101" i="5"/>
  <c r="H27" i="5"/>
  <c r="H55" i="5"/>
  <c r="Z19" i="5"/>
  <c r="AA19" i="5" s="1"/>
  <c r="X8" i="15"/>
  <c r="Q4" i="14"/>
  <c r="H86" i="5"/>
  <c r="Y8" i="15"/>
  <c r="Z32" i="9"/>
  <c r="AA24" i="9"/>
  <c r="AA47" i="9"/>
  <c r="BV9" i="7"/>
  <c r="CF13" i="7" s="1"/>
  <c r="Q10" i="14"/>
  <c r="Q9" i="14"/>
  <c r="AA5" i="9"/>
  <c r="AA49" i="5"/>
  <c r="M15" i="8"/>
  <c r="AA99" i="9"/>
  <c r="AA14" i="5"/>
  <c r="AB90" i="5"/>
  <c r="Z91" i="9"/>
  <c r="AB88" i="5"/>
  <c r="X10" i="15"/>
  <c r="AA66" i="9"/>
  <c r="V10" i="15"/>
  <c r="W10" i="15"/>
  <c r="AB26" i="7"/>
  <c r="AA100" i="9"/>
  <c r="AB23" i="7"/>
  <c r="AA13" i="9"/>
  <c r="Z12" i="15"/>
  <c r="Z10" i="15"/>
  <c r="BV11" i="7"/>
  <c r="CH13" i="7" s="1"/>
  <c r="W8" i="15"/>
  <c r="AB89" i="5"/>
  <c r="AB20" i="7"/>
  <c r="Y11" i="15"/>
  <c r="AB6" i="15"/>
  <c r="AB4" i="15"/>
  <c r="Q5" i="14"/>
  <c r="AB9" i="15"/>
  <c r="AY31" i="19"/>
  <c r="AX12" i="19" s="1"/>
  <c r="D4844" i="23" s="1"/>
  <c r="Z85" i="9"/>
  <c r="AA85" i="9"/>
  <c r="AB12" i="15"/>
  <c r="AB3" i="15"/>
  <c r="AB7" i="15"/>
  <c r="AB61" i="5"/>
  <c r="V11" i="15"/>
  <c r="BV16" i="7"/>
  <c r="CM13" i="7" s="1"/>
  <c r="BV15" i="7"/>
  <c r="CL13" i="7" s="1"/>
  <c r="AB66" i="5"/>
  <c r="V7" i="15"/>
  <c r="AB52" i="5"/>
  <c r="M51" i="8"/>
  <c r="W7" i="15"/>
  <c r="Y7" i="15"/>
  <c r="BV10" i="7"/>
  <c r="CG13" i="7" s="1"/>
  <c r="N47" i="8"/>
  <c r="BV12" i="7"/>
  <c r="CI13" i="7" s="1"/>
  <c r="Z6" i="15"/>
  <c r="AU31" i="19"/>
  <c r="AT4" i="19" s="1"/>
  <c r="D4728" i="23" s="1"/>
  <c r="Z11" i="15"/>
  <c r="Z9" i="15"/>
  <c r="BG10" i="19"/>
  <c r="BG18" i="19"/>
  <c r="BG26" i="19"/>
  <c r="BG11" i="19"/>
  <c r="BG19" i="19"/>
  <c r="BG27" i="19"/>
  <c r="BF4" i="19"/>
  <c r="D4593" i="23" s="1"/>
  <c r="BG12" i="19"/>
  <c r="BG20" i="19"/>
  <c r="BG28" i="19"/>
  <c r="BG5" i="19"/>
  <c r="BG13" i="19"/>
  <c r="BG21" i="19"/>
  <c r="BG29" i="19"/>
  <c r="BG6" i="19"/>
  <c r="BG14" i="19"/>
  <c r="BG22" i="19"/>
  <c r="BG30" i="19"/>
  <c r="BG7" i="19"/>
  <c r="BG15" i="19"/>
  <c r="BG23" i="19"/>
  <c r="BG4" i="19"/>
  <c r="BG8" i="19"/>
  <c r="BG16" i="19"/>
  <c r="BG24" i="19"/>
  <c r="BG9" i="19"/>
  <c r="BG17" i="19"/>
  <c r="BG25" i="19"/>
  <c r="Z4" i="15"/>
  <c r="BV25" i="7"/>
  <c r="CV13" i="7" s="1"/>
  <c r="Z8" i="15"/>
  <c r="Z7" i="15"/>
  <c r="Z5" i="15"/>
  <c r="AW31" i="19"/>
  <c r="AV15" i="19" s="1"/>
  <c r="D4658" i="23" s="1"/>
  <c r="AS31" i="19"/>
  <c r="AR15" i="19" s="1"/>
  <c r="D5009" i="23" s="1"/>
  <c r="F2" i="3"/>
  <c r="E2" i="3"/>
  <c r="Y39" i="12"/>
  <c r="L78" i="12" s="1"/>
  <c r="Y38" i="12"/>
  <c r="L37" i="12" s="1"/>
  <c r="Y36" i="12"/>
  <c r="L275" i="12" s="1"/>
  <c r="Y37" i="12"/>
  <c r="L316" i="12" s="1"/>
  <c r="AH46" i="13"/>
  <c r="F45" i="13"/>
  <c r="F321" i="13"/>
  <c r="F459" i="13"/>
  <c r="F367" i="13"/>
  <c r="F275" i="13"/>
  <c r="F183" i="13"/>
  <c r="F91" i="13"/>
  <c r="F229" i="13"/>
  <c r="F137" i="13"/>
  <c r="F505" i="13"/>
  <c r="F413" i="13"/>
  <c r="AH45" i="13"/>
  <c r="F458" i="13"/>
  <c r="F366" i="13"/>
  <c r="F274" i="13"/>
  <c r="F182" i="13"/>
  <c r="F90" i="13"/>
  <c r="F504" i="13"/>
  <c r="F412" i="13"/>
  <c r="F320" i="13"/>
  <c r="F228" i="13"/>
  <c r="F136" i="13"/>
  <c r="F44" i="13"/>
  <c r="AH42" i="13"/>
  <c r="Y33" i="12"/>
  <c r="L272" i="12" s="1"/>
  <c r="AH41" i="13"/>
  <c r="F362" i="13"/>
  <c r="F316" i="13"/>
  <c r="F270" i="13"/>
  <c r="F224" i="13"/>
  <c r="F178" i="13"/>
  <c r="F500" i="13"/>
  <c r="F132" i="13"/>
  <c r="F454" i="13"/>
  <c r="F86" i="13"/>
  <c r="F408" i="13"/>
  <c r="F40" i="13"/>
  <c r="Y35" i="12"/>
  <c r="L354" i="12" s="1"/>
  <c r="AH40" i="13"/>
  <c r="F409" i="13" s="1"/>
  <c r="F315" i="13"/>
  <c r="F269" i="13"/>
  <c r="F223" i="13"/>
  <c r="F177" i="13"/>
  <c r="F499" i="13"/>
  <c r="F131" i="13"/>
  <c r="F453" i="13"/>
  <c r="F85" i="13"/>
  <c r="F407" i="13"/>
  <c r="F39" i="13"/>
  <c r="F361" i="13"/>
  <c r="Y32" i="12"/>
  <c r="L151" i="12" s="1"/>
  <c r="Y34" i="12"/>
  <c r="L313" i="12" s="1"/>
  <c r="Y29" i="12"/>
  <c r="L148" i="12" s="1"/>
  <c r="AH36" i="13"/>
  <c r="F449" i="13"/>
  <c r="F265" i="13"/>
  <c r="F81" i="13"/>
  <c r="F495" i="13"/>
  <c r="F311" i="13"/>
  <c r="F127" i="13"/>
  <c r="F357" i="13"/>
  <c r="F403" i="13"/>
  <c r="F219" i="13"/>
  <c r="F35" i="13"/>
  <c r="F173" i="13"/>
  <c r="AH35" i="13"/>
  <c r="F312" i="13" s="1"/>
  <c r="F448" i="13"/>
  <c r="F264" i="13"/>
  <c r="F80" i="13"/>
  <c r="F494" i="13"/>
  <c r="F310" i="13"/>
  <c r="F126" i="13"/>
  <c r="F356" i="13"/>
  <c r="F172" i="13"/>
  <c r="F402" i="13"/>
  <c r="F218" i="13"/>
  <c r="F34" i="13"/>
  <c r="Y30" i="12"/>
  <c r="L309" i="12" s="1"/>
  <c r="Y31" i="12"/>
  <c r="L30" i="12" s="1"/>
  <c r="Y28" i="12"/>
  <c r="L267" i="12" s="1"/>
  <c r="AH37" i="13"/>
  <c r="Y4" i="12"/>
  <c r="L323" i="12" s="1"/>
  <c r="AH4" i="13"/>
  <c r="F95" i="13" s="1"/>
  <c r="Y25" i="12"/>
  <c r="L64" i="12" s="1"/>
  <c r="Y24" i="12"/>
  <c r="L223" i="12" s="1"/>
  <c r="AH30" i="13"/>
  <c r="F76" i="13" s="1"/>
  <c r="AH31" i="13"/>
  <c r="F261" i="13" s="1"/>
  <c r="AH29" i="13"/>
  <c r="F167" i="13" s="1"/>
  <c r="F304" i="13"/>
  <c r="F442" i="13"/>
  <c r="F74" i="13"/>
  <c r="F212" i="13"/>
  <c r="F350" i="13"/>
  <c r="F28" i="13"/>
  <c r="F488" i="13"/>
  <c r="F120" i="13"/>
  <c r="F258" i="13"/>
  <c r="F396" i="13"/>
  <c r="F166" i="13"/>
  <c r="Y27" i="12"/>
  <c r="L306" i="12" s="1"/>
  <c r="Y26" i="12"/>
  <c r="L65" i="12" s="1"/>
  <c r="AH32" i="13"/>
  <c r="Y22" i="12"/>
  <c r="L181" i="12" s="1"/>
  <c r="Y23" i="12"/>
  <c r="L302" i="12" s="1"/>
  <c r="AH26" i="13"/>
  <c r="F164" i="13" s="1"/>
  <c r="AH25" i="13"/>
  <c r="F393" i="13" s="1"/>
  <c r="AH27" i="13"/>
  <c r="Y21" i="12"/>
  <c r="L220" i="12" s="1"/>
  <c r="AH24" i="13"/>
  <c r="F484" i="13" s="1"/>
  <c r="F391" i="13"/>
  <c r="F207" i="13"/>
  <c r="F69" i="13"/>
  <c r="F345" i="13"/>
  <c r="F161" i="13"/>
  <c r="F483" i="13"/>
  <c r="F299" i="13"/>
  <c r="F115" i="13"/>
  <c r="F253" i="13"/>
  <c r="F23" i="13"/>
  <c r="F437" i="13"/>
  <c r="Y20" i="12"/>
  <c r="L299" i="12" s="1"/>
  <c r="Y18" i="12"/>
  <c r="L337" i="12" s="1"/>
  <c r="Y19" i="12"/>
  <c r="L338" i="12" s="1"/>
  <c r="Y17" i="12"/>
  <c r="L136" i="12" s="1"/>
  <c r="Y16" i="12"/>
  <c r="L335" i="12" s="1"/>
  <c r="AH22" i="13"/>
  <c r="AH20" i="13"/>
  <c r="F388" i="13" s="1"/>
  <c r="AH21" i="13"/>
  <c r="F343" i="13" s="1"/>
  <c r="AH19" i="13"/>
  <c r="F111" i="13" s="1"/>
  <c r="AH18" i="13"/>
  <c r="F64" i="13" s="1"/>
  <c r="Y6" i="12"/>
  <c r="L165" i="12" s="1"/>
  <c r="AH6" i="13"/>
  <c r="F235" i="13" s="1"/>
  <c r="Y5" i="12"/>
  <c r="L4" i="12" s="1"/>
  <c r="AH7" i="13"/>
  <c r="F52" i="13" s="1"/>
  <c r="Y8" i="12"/>
  <c r="L7" i="12" s="1"/>
  <c r="AH8" i="13"/>
  <c r="F237" i="13" s="1"/>
  <c r="AH5" i="13"/>
  <c r="F96" i="13" s="1"/>
  <c r="Y7" i="12"/>
  <c r="L206" i="12" s="1"/>
  <c r="Y10" i="12"/>
  <c r="L169" i="12" s="1"/>
  <c r="AH15" i="13"/>
  <c r="F198" i="13" s="1"/>
  <c r="AH12" i="13"/>
  <c r="F57" i="13" s="1"/>
  <c r="AH9" i="13"/>
  <c r="F8" i="13" s="1"/>
  <c r="Y13" i="12"/>
  <c r="L292" i="12" s="1"/>
  <c r="Y9" i="12"/>
  <c r="L288" i="12" s="1"/>
  <c r="AH17" i="13"/>
  <c r="F154" i="13" s="1"/>
  <c r="AH10" i="13"/>
  <c r="F147" i="13" s="1"/>
  <c r="Y15" i="12"/>
  <c r="L254" i="12" s="1"/>
  <c r="Y12" i="12"/>
  <c r="L331" i="12" s="1"/>
  <c r="AH16" i="13"/>
  <c r="F153" i="13" s="1"/>
  <c r="Y11" i="12"/>
  <c r="L90" i="12" s="1"/>
  <c r="Y14" i="12"/>
  <c r="L333" i="12" s="1"/>
  <c r="AH14" i="13"/>
  <c r="F13" i="13" s="1"/>
  <c r="AH11" i="13"/>
  <c r="F148" i="13" s="1"/>
  <c r="AH13" i="13"/>
  <c r="F104" i="13" s="1"/>
  <c r="M43" i="8"/>
  <c r="X7" i="7"/>
  <c r="AB68" i="5"/>
  <c r="BV20" i="7"/>
  <c r="CQ13" i="7" s="1"/>
  <c r="AA74" i="5"/>
  <c r="AA86" i="5"/>
  <c r="M7" i="8"/>
  <c r="BV19" i="7"/>
  <c r="CP13" i="7" s="1"/>
  <c r="AA81" i="5"/>
  <c r="M19" i="8"/>
  <c r="BV24" i="7"/>
  <c r="CU13" i="7" s="1"/>
  <c r="E48" i="14"/>
  <c r="E4" i="14"/>
  <c r="E37" i="14"/>
  <c r="E26" i="14"/>
  <c r="E15" i="14"/>
  <c r="E55" i="14"/>
  <c r="E11" i="14"/>
  <c r="E44" i="14"/>
  <c r="E33" i="14"/>
  <c r="E22" i="14"/>
  <c r="AZ7" i="19"/>
  <c r="D4542" i="23" s="1"/>
  <c r="BA13" i="19"/>
  <c r="AZ9" i="19"/>
  <c r="D4544" i="23" s="1"/>
  <c r="BA15" i="19"/>
  <c r="AZ11" i="19"/>
  <c r="D4546" i="23" s="1"/>
  <c r="BA17" i="19"/>
  <c r="AZ14" i="19"/>
  <c r="D4549" i="23" s="1"/>
  <c r="BA10" i="19"/>
  <c r="AZ29" i="19"/>
  <c r="D4564" i="23" s="1"/>
  <c r="AZ15" i="19"/>
  <c r="D4550" i="23" s="1"/>
  <c r="BA21" i="19"/>
  <c r="AZ17" i="19"/>
  <c r="D4552" i="23" s="1"/>
  <c r="BA23" i="19"/>
  <c r="AZ19" i="19"/>
  <c r="D4554" i="23" s="1"/>
  <c r="BA25" i="19"/>
  <c r="AZ22" i="19"/>
  <c r="D4557" i="23" s="1"/>
  <c r="AZ5" i="19"/>
  <c r="D4540" i="23" s="1"/>
  <c r="AZ23" i="19"/>
  <c r="D4558" i="23" s="1"/>
  <c r="BA29" i="19"/>
  <c r="AZ25" i="19"/>
  <c r="D4560" i="23" s="1"/>
  <c r="AZ27" i="19"/>
  <c r="D4562" i="23" s="1"/>
  <c r="AZ30" i="19"/>
  <c r="D4565" i="23" s="1"/>
  <c r="BA20" i="19"/>
  <c r="AZ16" i="19"/>
  <c r="D4551" i="23" s="1"/>
  <c r="BA22" i="19"/>
  <c r="AZ18" i="19"/>
  <c r="D4553" i="23" s="1"/>
  <c r="BA24" i="19"/>
  <c r="AZ20" i="19"/>
  <c r="D4555" i="23" s="1"/>
  <c r="BA27" i="19"/>
  <c r="AZ21" i="19"/>
  <c r="D4556" i="23" s="1"/>
  <c r="BA28" i="19"/>
  <c r="AZ24" i="19"/>
  <c r="D4559" i="23" s="1"/>
  <c r="AZ26" i="19"/>
  <c r="D4561" i="23" s="1"/>
  <c r="BA7" i="19"/>
  <c r="AZ6" i="19"/>
  <c r="D4541" i="23" s="1"/>
  <c r="BA18" i="19"/>
  <c r="BA6" i="19"/>
  <c r="AZ4" i="19"/>
  <c r="D4539" i="23" s="1"/>
  <c r="BA11" i="19"/>
  <c r="BA14" i="19"/>
  <c r="AZ12" i="19"/>
  <c r="D4547" i="23" s="1"/>
  <c r="BA19" i="19"/>
  <c r="AZ28" i="19"/>
  <c r="D4563" i="23" s="1"/>
  <c r="BA26" i="19"/>
  <c r="AZ13" i="19"/>
  <c r="D4548" i="23" s="1"/>
  <c r="BA4" i="19"/>
  <c r="AZ8" i="19"/>
  <c r="D4543" i="23" s="1"/>
  <c r="BA30" i="19"/>
  <c r="BA9" i="19"/>
  <c r="BA12" i="19"/>
  <c r="BA5" i="19"/>
  <c r="BA8" i="19"/>
  <c r="AZ10" i="19"/>
  <c r="D4545" i="23" s="1"/>
  <c r="BA16" i="19"/>
  <c r="E53" i="14"/>
  <c r="E9" i="14"/>
  <c r="E42" i="14"/>
  <c r="E31" i="14"/>
  <c r="E20" i="14"/>
  <c r="AP6" i="19"/>
  <c r="D4946" i="23" s="1"/>
  <c r="AP5" i="19"/>
  <c r="D4945" i="23" s="1"/>
  <c r="AQ11" i="19"/>
  <c r="AQ12" i="19"/>
  <c r="AP15" i="19"/>
  <c r="D4955" i="23" s="1"/>
  <c r="AQ20" i="19"/>
  <c r="AP27" i="19"/>
  <c r="D4967" i="23" s="1"/>
  <c r="AP18" i="19"/>
  <c r="D4958" i="23" s="1"/>
  <c r="AQ21" i="19"/>
  <c r="AP8" i="19"/>
  <c r="D4948" i="23" s="1"/>
  <c r="AP22" i="19"/>
  <c r="D4962" i="23" s="1"/>
  <c r="AP16" i="19"/>
  <c r="D4956" i="23" s="1"/>
  <c r="AP13" i="19"/>
  <c r="D4953" i="23" s="1"/>
  <c r="AQ19" i="19"/>
  <c r="AP21" i="19"/>
  <c r="D4961" i="23" s="1"/>
  <c r="AP4" i="19"/>
  <c r="D4944" i="23" s="1"/>
  <c r="AP25" i="19"/>
  <c r="D4965" i="23" s="1"/>
  <c r="AP26" i="19"/>
  <c r="D4966" i="23" s="1"/>
  <c r="AQ9" i="19"/>
  <c r="AP24" i="19"/>
  <c r="D4964" i="23" s="1"/>
  <c r="AQ17" i="19"/>
  <c r="AQ27" i="19"/>
  <c r="AQ30" i="19"/>
  <c r="AP12" i="19"/>
  <c r="D4952" i="23" s="1"/>
  <c r="AQ5" i="19"/>
  <c r="AQ15" i="19"/>
  <c r="AP17" i="19"/>
  <c r="D4957" i="23" s="1"/>
  <c r="AQ23" i="19"/>
  <c r="AP29" i="19"/>
  <c r="D4969" i="23" s="1"/>
  <c r="AQ29" i="19"/>
  <c r="AQ13" i="19"/>
  <c r="AP28" i="19"/>
  <c r="D4968" i="23" s="1"/>
  <c r="AQ14" i="19"/>
  <c r="AQ8" i="19"/>
  <c r="AQ10" i="19"/>
  <c r="AQ24" i="19"/>
  <c r="AP9" i="19"/>
  <c r="D4949" i="23" s="1"/>
  <c r="AP11" i="19"/>
  <c r="D4951" i="23" s="1"/>
  <c r="AQ28" i="19"/>
  <c r="AQ22" i="19"/>
  <c r="AP10" i="19"/>
  <c r="D4950" i="23" s="1"/>
  <c r="AQ6" i="19"/>
  <c r="AP20" i="19"/>
  <c r="D4960" i="23" s="1"/>
  <c r="AQ25" i="19"/>
  <c r="AP30" i="19"/>
  <c r="D4970" i="23" s="1"/>
  <c r="AQ4" i="19"/>
  <c r="AP7" i="19"/>
  <c r="D4947" i="23" s="1"/>
  <c r="AQ26" i="19"/>
  <c r="AP14" i="19"/>
  <c r="D4954" i="23" s="1"/>
  <c r="AQ18" i="19"/>
  <c r="AP23" i="19"/>
  <c r="D4963" i="23" s="1"/>
  <c r="AQ7" i="19"/>
  <c r="AQ16" i="19"/>
  <c r="AP19" i="19"/>
  <c r="D4959" i="23" s="1"/>
  <c r="E29" i="14"/>
  <c r="E18" i="14"/>
  <c r="E40" i="14"/>
  <c r="E51" i="14"/>
  <c r="E7" i="14"/>
  <c r="E56" i="14"/>
  <c r="E12" i="14"/>
  <c r="E45" i="14"/>
  <c r="E34" i="14"/>
  <c r="E23" i="14"/>
  <c r="E27" i="14"/>
  <c r="E49" i="14"/>
  <c r="E5" i="14"/>
  <c r="E38" i="14"/>
  <c r="E16" i="14"/>
  <c r="BF29" i="19"/>
  <c r="D4618" i="23" s="1"/>
  <c r="BF7" i="19"/>
  <c r="D4596" i="23" s="1"/>
  <c r="BF10" i="19"/>
  <c r="D4599" i="23" s="1"/>
  <c r="BF6" i="19"/>
  <c r="D4595" i="23" s="1"/>
  <c r="BF18" i="19"/>
  <c r="D4607" i="23" s="1"/>
  <c r="BF12" i="19"/>
  <c r="D4601" i="23" s="1"/>
  <c r="BF14" i="19"/>
  <c r="D4603" i="23" s="1"/>
  <c r="BF9" i="19"/>
  <c r="D4598" i="23" s="1"/>
  <c r="BF11" i="19"/>
  <c r="D4600" i="23" s="1"/>
  <c r="BF5" i="19"/>
  <c r="D4594" i="23" s="1"/>
  <c r="BF8" i="19"/>
  <c r="D4597" i="23" s="1"/>
  <c r="BF17" i="19"/>
  <c r="D4606" i="23" s="1"/>
  <c r="BF19" i="19"/>
  <c r="D4608" i="23" s="1"/>
  <c r="BF16" i="19"/>
  <c r="D4605" i="23" s="1"/>
  <c r="BF27" i="19"/>
  <c r="D4616" i="23" s="1"/>
  <c r="BF24" i="19"/>
  <c r="D4613" i="23" s="1"/>
  <c r="BF15" i="19"/>
  <c r="D4604" i="23" s="1"/>
  <c r="BF25" i="19"/>
  <c r="D4614" i="23" s="1"/>
  <c r="BF26" i="19"/>
  <c r="D4615" i="23" s="1"/>
  <c r="BF22" i="19"/>
  <c r="D4611" i="23" s="1"/>
  <c r="BF23" i="19"/>
  <c r="D4612" i="23" s="1"/>
  <c r="BF30" i="19"/>
  <c r="D4619" i="23" s="1"/>
  <c r="BF13" i="19"/>
  <c r="D4602" i="23" s="1"/>
  <c r="BF21" i="19"/>
  <c r="D4610" i="23" s="1"/>
  <c r="BF20" i="19"/>
  <c r="D4609" i="23" s="1"/>
  <c r="BF28" i="19"/>
  <c r="D4617" i="23" s="1"/>
  <c r="E54" i="14"/>
  <c r="E10" i="14"/>
  <c r="E43" i="14"/>
  <c r="E32" i="14"/>
  <c r="E21" i="14"/>
  <c r="AO31" i="19"/>
  <c r="AM31" i="19"/>
  <c r="AK25" i="19"/>
  <c r="AJ7" i="19"/>
  <c r="D4137" i="23" s="1"/>
  <c r="AK6" i="19"/>
  <c r="AK16" i="19"/>
  <c r="AJ4" i="19"/>
  <c r="D4134" i="23" s="1"/>
  <c r="AJ5" i="19"/>
  <c r="D4135" i="23" s="1"/>
  <c r="AJ6" i="19"/>
  <c r="D4136" i="23" s="1"/>
  <c r="AJ15" i="19"/>
  <c r="D4145" i="23" s="1"/>
  <c r="AK14" i="19"/>
  <c r="AK24" i="19"/>
  <c r="AJ30" i="19"/>
  <c r="D4160" i="23" s="1"/>
  <c r="AJ12" i="19"/>
  <c r="D4142" i="23" s="1"/>
  <c r="AJ9" i="19"/>
  <c r="D4139" i="23" s="1"/>
  <c r="AJ13" i="19"/>
  <c r="D4143" i="23" s="1"/>
  <c r="AK7" i="19"/>
  <c r="AJ14" i="19"/>
  <c r="D4144" i="23" s="1"/>
  <c r="AJ17" i="19"/>
  <c r="D4147" i="23" s="1"/>
  <c r="AJ23" i="19"/>
  <c r="D4153" i="23" s="1"/>
  <c r="AK22" i="19"/>
  <c r="AJ19" i="19"/>
  <c r="D4149" i="23" s="1"/>
  <c r="AJ28" i="19"/>
  <c r="D4158" i="23" s="1"/>
  <c r="AJ27" i="19"/>
  <c r="D4157" i="23" s="1"/>
  <c r="AK10" i="19"/>
  <c r="AK11" i="19"/>
  <c r="AK12" i="19"/>
  <c r="AK21" i="19"/>
  <c r="AJ8" i="19"/>
  <c r="D4138" i="23" s="1"/>
  <c r="AJ18" i="19"/>
  <c r="D4148" i="23" s="1"/>
  <c r="AK9" i="19"/>
  <c r="AK18" i="19"/>
  <c r="AK19" i="19"/>
  <c r="AK20" i="19"/>
  <c r="AK29" i="19"/>
  <c r="AJ16" i="19"/>
  <c r="D4146" i="23" s="1"/>
  <c r="AK23" i="19"/>
  <c r="AJ26" i="19"/>
  <c r="D4156" i="23" s="1"/>
  <c r="AK17" i="19"/>
  <c r="AK26" i="19"/>
  <c r="AK27" i="19"/>
  <c r="AK4" i="19"/>
  <c r="AK5" i="19"/>
  <c r="AJ24" i="19"/>
  <c r="D4154" i="23" s="1"/>
  <c r="AJ10" i="19"/>
  <c r="D4140" i="23" s="1"/>
  <c r="AK28" i="19"/>
  <c r="AK13" i="19"/>
  <c r="AK30" i="19"/>
  <c r="AK8" i="19"/>
  <c r="AJ25" i="19"/>
  <c r="D4155" i="23" s="1"/>
  <c r="AJ11" i="19"/>
  <c r="D4141" i="23" s="1"/>
  <c r="AK15" i="19"/>
  <c r="AJ21" i="19"/>
  <c r="D4151" i="23" s="1"/>
  <c r="AJ20" i="19"/>
  <c r="D4150" i="23" s="1"/>
  <c r="AJ29" i="19"/>
  <c r="D4159" i="23" s="1"/>
  <c r="AJ22" i="19"/>
  <c r="D4152" i="23" s="1"/>
  <c r="E41" i="14"/>
  <c r="E30" i="14"/>
  <c r="E19" i="14"/>
  <c r="E52" i="14"/>
  <c r="E8" i="14"/>
  <c r="BE18" i="19"/>
  <c r="BD23" i="19"/>
  <c r="D5071" i="23" s="1"/>
  <c r="BE20" i="19"/>
  <c r="BD25" i="19"/>
  <c r="D5073" i="23" s="1"/>
  <c r="BE22" i="19"/>
  <c r="BD27" i="19"/>
  <c r="D5075" i="23" s="1"/>
  <c r="BE25" i="19"/>
  <c r="BD28" i="19"/>
  <c r="D5076" i="23" s="1"/>
  <c r="BE26" i="19"/>
  <c r="BE28" i="19"/>
  <c r="BE30" i="19"/>
  <c r="BD5" i="19"/>
  <c r="D5053" i="23" s="1"/>
  <c r="BD20" i="19"/>
  <c r="D5068" i="23" s="1"/>
  <c r="BD6" i="19"/>
  <c r="D5054" i="23" s="1"/>
  <c r="BD8" i="19"/>
  <c r="D5056" i="23" s="1"/>
  <c r="BE5" i="19"/>
  <c r="BD10" i="19"/>
  <c r="D5058" i="23" s="1"/>
  <c r="BE7" i="19"/>
  <c r="BD13" i="19"/>
  <c r="D5061" i="23" s="1"/>
  <c r="BE16" i="19"/>
  <c r="BE27" i="19"/>
  <c r="BE29" i="19"/>
  <c r="BD30" i="19"/>
  <c r="D5078" i="23" s="1"/>
  <c r="BD12" i="19"/>
  <c r="D5060" i="23" s="1"/>
  <c r="BD7" i="19"/>
  <c r="D5055" i="23" s="1"/>
  <c r="BD14" i="19"/>
  <c r="D5062" i="23" s="1"/>
  <c r="BE19" i="19"/>
  <c r="BE6" i="19"/>
  <c r="BD11" i="19"/>
  <c r="D5059" i="23" s="1"/>
  <c r="BD4" i="19"/>
  <c r="D5052" i="23" s="1"/>
  <c r="BD22" i="19"/>
  <c r="D5070" i="23" s="1"/>
  <c r="BD15" i="19"/>
  <c r="D5063" i="23" s="1"/>
  <c r="BE14" i="19"/>
  <c r="BD19" i="19"/>
  <c r="D5067" i="23" s="1"/>
  <c r="BE13" i="19"/>
  <c r="BD18" i="19"/>
  <c r="D5066" i="23" s="1"/>
  <c r="BE21" i="19"/>
  <c r="BD26" i="19"/>
  <c r="D5074" i="23" s="1"/>
  <c r="BE4" i="19"/>
  <c r="BD9" i="19"/>
  <c r="D5057" i="23" s="1"/>
  <c r="BE9" i="19"/>
  <c r="BE12" i="19"/>
  <c r="BD17" i="19"/>
  <c r="D5065" i="23" s="1"/>
  <c r="BE17" i="19"/>
  <c r="BE24" i="19"/>
  <c r="BD16" i="19"/>
  <c r="D5064" i="23" s="1"/>
  <c r="BE15" i="19"/>
  <c r="BD21" i="19"/>
  <c r="D5069" i="23" s="1"/>
  <c r="BE10" i="19"/>
  <c r="BE11" i="19"/>
  <c r="BD24" i="19"/>
  <c r="D5072" i="23" s="1"/>
  <c r="BE23" i="19"/>
  <c r="BD29" i="19"/>
  <c r="D5077" i="23" s="1"/>
  <c r="BE8" i="19"/>
  <c r="E17" i="14"/>
  <c r="E50" i="14"/>
  <c r="E6" i="14"/>
  <c r="E39" i="14"/>
  <c r="E28" i="14"/>
  <c r="BB21" i="19"/>
  <c r="D4205" i="23" s="1"/>
  <c r="BB22" i="19"/>
  <c r="D4206" i="23" s="1"/>
  <c r="BC17" i="19"/>
  <c r="BB30" i="19"/>
  <c r="D4214" i="23" s="1"/>
  <c r="BC26" i="19"/>
  <c r="BC10" i="19"/>
  <c r="BB27" i="19"/>
  <c r="D4211" i="23" s="1"/>
  <c r="BC12" i="19"/>
  <c r="BC8" i="19"/>
  <c r="BC27" i="19"/>
  <c r="BB29" i="19"/>
  <c r="D4213" i="23" s="1"/>
  <c r="BC30" i="19"/>
  <c r="BC21" i="19"/>
  <c r="BC24" i="19"/>
  <c r="BC29" i="19"/>
  <c r="BC28" i="19"/>
  <c r="BB4" i="19"/>
  <c r="D4188" i="23" s="1"/>
  <c r="BC14" i="19"/>
  <c r="BC18" i="19"/>
  <c r="BB10" i="19"/>
  <c r="D4194" i="23" s="1"/>
  <c r="BB12" i="19"/>
  <c r="D4196" i="23" s="1"/>
  <c r="BB11" i="19"/>
  <c r="D4195" i="23" s="1"/>
  <c r="BC7" i="19"/>
  <c r="BC13" i="19"/>
  <c r="BC6" i="19"/>
  <c r="BC9" i="19"/>
  <c r="BB7" i="19"/>
  <c r="D4191" i="23" s="1"/>
  <c r="BB8" i="19"/>
  <c r="D4192" i="23" s="1"/>
  <c r="BB9" i="19"/>
  <c r="D4193" i="23" s="1"/>
  <c r="BC16" i="19"/>
  <c r="BC4" i="19"/>
  <c r="BB5" i="19"/>
  <c r="D4189" i="23" s="1"/>
  <c r="BB6" i="19"/>
  <c r="D4190" i="23" s="1"/>
  <c r="BB15" i="19"/>
  <c r="D4199" i="23" s="1"/>
  <c r="BB16" i="19"/>
  <c r="D4200" i="23" s="1"/>
  <c r="BB17" i="19"/>
  <c r="D4201" i="23" s="1"/>
  <c r="BB13" i="19"/>
  <c r="D4197" i="23" s="1"/>
  <c r="BB14" i="19"/>
  <c r="D4198" i="23" s="1"/>
  <c r="BC20" i="19"/>
  <c r="BC11" i="19"/>
  <c r="BC23" i="19"/>
  <c r="BB23" i="19"/>
  <c r="D4207" i="23" s="1"/>
  <c r="BC15" i="19"/>
  <c r="BC25" i="19"/>
  <c r="BB19" i="19"/>
  <c r="D4203" i="23" s="1"/>
  <c r="BC19" i="19"/>
  <c r="BB24" i="19"/>
  <c r="D4208" i="23" s="1"/>
  <c r="BC22" i="19"/>
  <c r="BB18" i="19"/>
  <c r="D4202" i="23" s="1"/>
  <c r="BC5" i="19"/>
  <c r="BB25" i="19"/>
  <c r="D4209" i="23" s="1"/>
  <c r="BB26" i="19"/>
  <c r="D4210" i="23" s="1"/>
  <c r="BB20" i="19"/>
  <c r="D4204" i="23" s="1"/>
  <c r="BB28" i="19"/>
  <c r="D4212" i="23" s="1"/>
  <c r="AA104" i="5"/>
  <c r="AB83" i="5"/>
  <c r="BV17" i="7"/>
  <c r="CN13" i="7" s="1"/>
  <c r="N31" i="8"/>
  <c r="AA72" i="5"/>
  <c r="AB64" i="5"/>
  <c r="AB76" i="5"/>
  <c r="BV28" i="7"/>
  <c r="CY13" i="7" s="1"/>
  <c r="BV3" i="7"/>
  <c r="BZ13" i="7" s="1"/>
  <c r="G16" i="6"/>
  <c r="F16" i="6"/>
  <c r="Y16" i="6"/>
  <c r="AD28" i="7"/>
  <c r="BH28" i="7"/>
  <c r="CY6" i="7" s="1"/>
  <c r="M14" i="8"/>
  <c r="N14" i="8"/>
  <c r="Y31" i="19"/>
  <c r="AA31" i="19"/>
  <c r="W31" i="19"/>
  <c r="U31" i="19"/>
  <c r="BH14" i="7"/>
  <c r="AD14" i="7"/>
  <c r="BF7" i="7"/>
  <c r="CD4" i="7" s="1"/>
  <c r="AC7" i="7"/>
  <c r="Y14" i="6"/>
  <c r="G14" i="6"/>
  <c r="F14" i="6"/>
  <c r="F20" i="6"/>
  <c r="G20" i="6"/>
  <c r="Y20" i="6"/>
  <c r="Y6" i="6"/>
  <c r="F6" i="6"/>
  <c r="CZ6" i="7"/>
  <c r="CY5" i="7"/>
  <c r="CZ5" i="7"/>
  <c r="N25" i="8"/>
  <c r="M25" i="8"/>
  <c r="BR6" i="7"/>
  <c r="CC11" i="7" s="1"/>
  <c r="BJ6" i="7"/>
  <c r="CC7" i="7" s="1"/>
  <c r="BT6" i="7"/>
  <c r="CC12" i="7" s="1"/>
  <c r="BP6" i="7"/>
  <c r="CC10" i="7" s="1"/>
  <c r="BN6" i="7"/>
  <c r="CC9" i="7" s="1"/>
  <c r="BL6" i="7"/>
  <c r="CC8" i="7" s="1"/>
  <c r="BF8" i="7"/>
  <c r="CE4" i="7" s="1"/>
  <c r="AC8" i="7"/>
  <c r="BJ5" i="7"/>
  <c r="CB7" i="7" s="1"/>
  <c r="BP5" i="7"/>
  <c r="CB10" i="7" s="1"/>
  <c r="BL5" i="7"/>
  <c r="CB8" i="7" s="1"/>
  <c r="BT5" i="7"/>
  <c r="CB12" i="7" s="1"/>
  <c r="BR5" i="7"/>
  <c r="CB11" i="7" s="1"/>
  <c r="BN5" i="7"/>
  <c r="CB9" i="7" s="1"/>
  <c r="BH7" i="7"/>
  <c r="AD7" i="7"/>
  <c r="AD10" i="7"/>
  <c r="BH10" i="7"/>
  <c r="BF3" i="7"/>
  <c r="BZ4" i="7" s="1"/>
  <c r="AC3" i="7"/>
  <c r="BF17" i="7"/>
  <c r="CN4" i="7" s="1"/>
  <c r="AC17" i="7"/>
  <c r="BF28" i="7"/>
  <c r="CY4" i="7" s="1"/>
  <c r="AC28" i="7"/>
  <c r="N32" i="8"/>
  <c r="M32" i="8"/>
  <c r="BN7" i="7"/>
  <c r="CD9" i="7" s="1"/>
  <c r="BP7" i="7"/>
  <c r="CD10" i="7" s="1"/>
  <c r="BL7" i="7"/>
  <c r="CD8" i="7" s="1"/>
  <c r="BJ7" i="7"/>
  <c r="CD7" i="7" s="1"/>
  <c r="BT7" i="7"/>
  <c r="CD12" i="7" s="1"/>
  <c r="BR7" i="7"/>
  <c r="CD11" i="7" s="1"/>
  <c r="BV26" i="7"/>
  <c r="CW13" i="7" s="1"/>
  <c r="AD25" i="7"/>
  <c r="BH25" i="7"/>
  <c r="M48" i="8"/>
  <c r="N48" i="8"/>
  <c r="BV14" i="7"/>
  <c r="CK13" i="7" s="1"/>
  <c r="BF26" i="7"/>
  <c r="CW4" i="7" s="1"/>
  <c r="AC26" i="7"/>
  <c r="N33" i="8"/>
  <c r="M33" i="8"/>
  <c r="AD16" i="7"/>
  <c r="BH16" i="7"/>
  <c r="BF25" i="7"/>
  <c r="CV4" i="7" s="1"/>
  <c r="AC25" i="7"/>
  <c r="Y5" i="6"/>
  <c r="F5" i="6"/>
  <c r="Y11" i="6"/>
  <c r="F11" i="6"/>
  <c r="X24" i="7"/>
  <c r="BT3" i="7"/>
  <c r="BZ12" i="7" s="1"/>
  <c r="BP3" i="7"/>
  <c r="BZ10" i="7" s="1"/>
  <c r="BJ3" i="7"/>
  <c r="BZ7" i="7" s="1"/>
  <c r="BN3" i="7"/>
  <c r="BZ9" i="7" s="1"/>
  <c r="BL3" i="7"/>
  <c r="BZ8" i="7" s="1"/>
  <c r="BR3" i="7"/>
  <c r="BZ11" i="7" s="1"/>
  <c r="M42" i="8"/>
  <c r="N42" i="8"/>
  <c r="BN4" i="7"/>
  <c r="CA9" i="7" s="1"/>
  <c r="BL4" i="7"/>
  <c r="CA8" i="7" s="1"/>
  <c r="BT4" i="7"/>
  <c r="CA12" i="7" s="1"/>
  <c r="BJ4" i="7"/>
  <c r="CA7" i="7" s="1"/>
  <c r="BR4" i="7"/>
  <c r="CA11" i="7" s="1"/>
  <c r="BP4" i="7"/>
  <c r="CA10" i="7" s="1"/>
  <c r="BT17" i="7"/>
  <c r="CN12" i="7" s="1"/>
  <c r="BL17" i="7"/>
  <c r="CN8" i="7" s="1"/>
  <c r="BR17" i="7"/>
  <c r="CN11" i="7" s="1"/>
  <c r="BJ17" i="7"/>
  <c r="CN7" i="7" s="1"/>
  <c r="BN17" i="7"/>
  <c r="CN9" i="7" s="1"/>
  <c r="BP17" i="7"/>
  <c r="CN10" i="7" s="1"/>
  <c r="BF12" i="7"/>
  <c r="CI4" i="7" s="1"/>
  <c r="AC12" i="7"/>
  <c r="M16" i="8"/>
  <c r="N16" i="8"/>
  <c r="BV6" i="7"/>
  <c r="CC13" i="7" s="1"/>
  <c r="N27" i="8"/>
  <c r="M27" i="8"/>
  <c r="BV21" i="7"/>
  <c r="CR13" i="7" s="1"/>
  <c r="AD24" i="7"/>
  <c r="BH24" i="7"/>
  <c r="BV7" i="7"/>
  <c r="CD13" i="7" s="1"/>
  <c r="BP26" i="7"/>
  <c r="CW10" i="7" s="1"/>
  <c r="BL26" i="7"/>
  <c r="CW8" i="7" s="1"/>
  <c r="BT26" i="7"/>
  <c r="CW12" i="7" s="1"/>
  <c r="BJ26" i="7"/>
  <c r="CW7" i="7" s="1"/>
  <c r="BR26" i="7"/>
  <c r="CW11" i="7" s="1"/>
  <c r="BN26" i="7"/>
  <c r="CW9" i="7" s="1"/>
  <c r="BP25" i="7"/>
  <c r="CV10" i="7" s="1"/>
  <c r="BN25" i="7"/>
  <c r="CV9" i="7" s="1"/>
  <c r="BJ25" i="7"/>
  <c r="CV7" i="7" s="1"/>
  <c r="BR25" i="7"/>
  <c r="CV11" i="7" s="1"/>
  <c r="BL25" i="7"/>
  <c r="CV8" i="7" s="1"/>
  <c r="BT25" i="7"/>
  <c r="CV12" i="7" s="1"/>
  <c r="M50" i="8"/>
  <c r="N50" i="8"/>
  <c r="BH5" i="7"/>
  <c r="AD5" i="7"/>
  <c r="BP24" i="7"/>
  <c r="CU10" i="7" s="1"/>
  <c r="BR24" i="7"/>
  <c r="CU11" i="7" s="1"/>
  <c r="BL24" i="7"/>
  <c r="CU8" i="7" s="1"/>
  <c r="BT24" i="7"/>
  <c r="CU12" i="7" s="1"/>
  <c r="BN24" i="7"/>
  <c r="CU9" i="7" s="1"/>
  <c r="BJ24" i="7"/>
  <c r="CU7" i="7" s="1"/>
  <c r="BF5" i="7"/>
  <c r="CB4" i="7" s="1"/>
  <c r="AC5" i="7"/>
  <c r="BN11" i="7"/>
  <c r="CH9" i="7" s="1"/>
  <c r="BR11" i="7"/>
  <c r="CH11" i="7" s="1"/>
  <c r="BL11" i="7"/>
  <c r="CH8" i="7" s="1"/>
  <c r="BJ11" i="7"/>
  <c r="CH7" i="7" s="1"/>
  <c r="BP11" i="7"/>
  <c r="CH10" i="7" s="1"/>
  <c r="BT11" i="7"/>
  <c r="CH12" i="7" s="1"/>
  <c r="N36" i="8"/>
  <c r="M36" i="8"/>
  <c r="X18" i="7"/>
  <c r="N5" i="8"/>
  <c r="M5" i="8"/>
  <c r="Y21" i="6"/>
  <c r="G21" i="6"/>
  <c r="F21" i="6"/>
  <c r="Y7" i="6"/>
  <c r="F7" i="6"/>
  <c r="M12" i="8"/>
  <c r="N12" i="8"/>
  <c r="BH3" i="7"/>
  <c r="AD3" i="7"/>
  <c r="AD4" i="7"/>
  <c r="BH4" i="7"/>
  <c r="BH17" i="7"/>
  <c r="AD17" i="7"/>
  <c r="BT22" i="7"/>
  <c r="CS12" i="7" s="1"/>
  <c r="BP22" i="7"/>
  <c r="CS10" i="7" s="1"/>
  <c r="BJ22" i="7"/>
  <c r="CS7" i="7" s="1"/>
  <c r="BL22" i="7"/>
  <c r="CS8" i="7" s="1"/>
  <c r="BN22" i="7"/>
  <c r="CS9" i="7" s="1"/>
  <c r="BR22" i="7"/>
  <c r="CS11" i="7" s="1"/>
  <c r="N24" i="8"/>
  <c r="M24" i="8"/>
  <c r="BR21" i="7"/>
  <c r="CR11" i="7" s="1"/>
  <c r="BL21" i="7"/>
  <c r="CR8" i="7" s="1"/>
  <c r="BT21" i="7"/>
  <c r="CR12" i="7" s="1"/>
  <c r="BJ21" i="7"/>
  <c r="CR7" i="7" s="1"/>
  <c r="BP21" i="7"/>
  <c r="CR10" i="7" s="1"/>
  <c r="BN21" i="7"/>
  <c r="CR9" i="7" s="1"/>
  <c r="BF16" i="7"/>
  <c r="CM4" i="7" s="1"/>
  <c r="AC16" i="7"/>
  <c r="N49" i="8"/>
  <c r="M49" i="8"/>
  <c r="BH23" i="7"/>
  <c r="AD23" i="7"/>
  <c r="BH26" i="7"/>
  <c r="AD26" i="7"/>
  <c r="M40" i="8"/>
  <c r="N40" i="8"/>
  <c r="M26" i="8"/>
  <c r="N26" i="8"/>
  <c r="BL16" i="7"/>
  <c r="CM8" i="7" s="1"/>
  <c r="BR16" i="7"/>
  <c r="CM11" i="7" s="1"/>
  <c r="BN16" i="7"/>
  <c r="CM9" i="7" s="1"/>
  <c r="BJ16" i="7"/>
  <c r="CM7" i="7" s="1"/>
  <c r="BT16" i="7"/>
  <c r="CM12" i="7" s="1"/>
  <c r="BP16" i="7"/>
  <c r="CM10" i="7" s="1"/>
  <c r="M6" i="8"/>
  <c r="N6" i="8"/>
  <c r="AB84" i="5"/>
  <c r="BT12" i="7"/>
  <c r="CI12" i="7" s="1"/>
  <c r="BR12" i="7"/>
  <c r="CI11" i="7" s="1"/>
  <c r="BP12" i="7"/>
  <c r="CI10" i="7" s="1"/>
  <c r="BL12" i="7"/>
  <c r="CI8" i="7" s="1"/>
  <c r="BJ12" i="7"/>
  <c r="CI7" i="7" s="1"/>
  <c r="BN12" i="7"/>
  <c r="CI9" i="7" s="1"/>
  <c r="M18" i="8"/>
  <c r="N18" i="8"/>
  <c r="AD11" i="7"/>
  <c r="BH11" i="7"/>
  <c r="BF23" i="7"/>
  <c r="CT4" i="7" s="1"/>
  <c r="AC23" i="7"/>
  <c r="BN13" i="7"/>
  <c r="CJ9" i="7" s="1"/>
  <c r="BR13" i="7"/>
  <c r="CJ11" i="7" s="1"/>
  <c r="BL13" i="7"/>
  <c r="CJ8" i="7" s="1"/>
  <c r="BT13" i="7"/>
  <c r="CJ12" i="7" s="1"/>
  <c r="BJ13" i="7"/>
  <c r="CJ7" i="7" s="1"/>
  <c r="BP13" i="7"/>
  <c r="CJ10" i="7" s="1"/>
  <c r="AB23" i="6"/>
  <c r="AA23" i="6"/>
  <c r="Y17" i="6"/>
  <c r="F17" i="6"/>
  <c r="G17" i="6"/>
  <c r="F3" i="6"/>
  <c r="Y3" i="6"/>
  <c r="BN20" i="7"/>
  <c r="CQ9" i="7" s="1"/>
  <c r="BL20" i="7"/>
  <c r="CQ8" i="7" s="1"/>
  <c r="BT20" i="7"/>
  <c r="CQ12" i="7" s="1"/>
  <c r="BR20" i="7"/>
  <c r="CQ11" i="7" s="1"/>
  <c r="BP20" i="7"/>
  <c r="CQ10" i="7" s="1"/>
  <c r="BJ20" i="7"/>
  <c r="CQ7" i="7" s="1"/>
  <c r="X13" i="7"/>
  <c r="BV18" i="7"/>
  <c r="CO13" i="7" s="1"/>
  <c r="BF4" i="7"/>
  <c r="CA4" i="7" s="1"/>
  <c r="AC4" i="7"/>
  <c r="M38" i="8"/>
  <c r="N38" i="8"/>
  <c r="M20" i="8"/>
  <c r="N20" i="8"/>
  <c r="BV4" i="7"/>
  <c r="CA13" i="7" s="1"/>
  <c r="N52" i="8"/>
  <c r="M52" i="8"/>
  <c r="AD22" i="7"/>
  <c r="BH22" i="7"/>
  <c r="BH21" i="7"/>
  <c r="AD21" i="7"/>
  <c r="BT23" i="7"/>
  <c r="CT12" i="7" s="1"/>
  <c r="BR23" i="7"/>
  <c r="CT11" i="7" s="1"/>
  <c r="BL23" i="7"/>
  <c r="CT8" i="7" s="1"/>
  <c r="BJ23" i="7"/>
  <c r="CT7" i="7" s="1"/>
  <c r="BN23" i="7"/>
  <c r="CT9" i="7" s="1"/>
  <c r="BP23" i="7"/>
  <c r="CT10" i="7" s="1"/>
  <c r="BF10" i="7"/>
  <c r="CG4" i="7" s="1"/>
  <c r="AC10" i="7"/>
  <c r="N45" i="8"/>
  <c r="M45" i="8"/>
  <c r="BH12" i="7"/>
  <c r="AD12" i="7"/>
  <c r="AB6" i="19"/>
  <c r="D4811" i="23" s="1"/>
  <c r="AC23" i="19"/>
  <c r="AB16" i="19"/>
  <c r="D4821" i="23" s="1"/>
  <c r="AC8" i="19"/>
  <c r="AB21" i="19"/>
  <c r="D4826" i="23" s="1"/>
  <c r="AB25" i="19"/>
  <c r="D4830" i="23" s="1"/>
  <c r="AB11" i="19"/>
  <c r="D4816" i="23" s="1"/>
  <c r="AC15" i="19"/>
  <c r="AC11" i="19"/>
  <c r="AC27" i="19"/>
  <c r="AC17" i="19"/>
  <c r="AC13" i="19"/>
  <c r="AT7" i="9" s="1"/>
  <c r="AU7" i="9" s="1"/>
  <c r="AC5" i="19"/>
  <c r="AB29" i="19"/>
  <c r="D4834" i="23" s="1"/>
  <c r="AB27" i="19"/>
  <c r="D4832" i="23" s="1"/>
  <c r="AB14" i="19"/>
  <c r="D4819" i="23" s="1"/>
  <c r="AC12" i="19"/>
  <c r="AB10" i="19"/>
  <c r="D4815" i="23" s="1"/>
  <c r="AB8" i="19"/>
  <c r="D4813" i="23" s="1"/>
  <c r="AB12" i="19"/>
  <c r="D4817" i="23" s="1"/>
  <c r="AC10" i="19"/>
  <c r="AT6" i="9" s="1"/>
  <c r="AU6" i="9" s="1"/>
  <c r="AB19" i="19"/>
  <c r="D4824" i="23" s="1"/>
  <c r="AB22" i="19"/>
  <c r="D4827" i="23" s="1"/>
  <c r="AC4" i="19"/>
  <c r="AT4" i="9" s="1"/>
  <c r="AU4" i="9" s="1"/>
  <c r="AC7" i="19"/>
  <c r="AT5" i="9" s="1"/>
  <c r="AU5" i="9" s="1"/>
  <c r="AC25" i="19"/>
  <c r="AT11" i="9" s="1"/>
  <c r="AU11" i="9" s="1"/>
  <c r="AC18" i="19"/>
  <c r="AB30" i="19"/>
  <c r="D4835" i="23" s="1"/>
  <c r="AC19" i="19"/>
  <c r="AT9" i="9" s="1"/>
  <c r="AU9" i="9" s="1"/>
  <c r="AB18" i="19"/>
  <c r="D4823" i="23" s="1"/>
  <c r="AC22" i="19"/>
  <c r="AT10" i="9" s="1"/>
  <c r="AU10" i="9" s="1"/>
  <c r="AB26" i="19"/>
  <c r="D4831" i="23" s="1"/>
  <c r="AB28" i="19"/>
  <c r="D4833" i="23" s="1"/>
  <c r="AB7" i="19"/>
  <c r="D4812" i="23" s="1"/>
  <c r="AB20" i="19"/>
  <c r="D4825" i="23" s="1"/>
  <c r="AC6" i="19"/>
  <c r="AB15" i="19"/>
  <c r="D4820" i="23" s="1"/>
  <c r="AC26" i="19"/>
  <c r="AC29" i="19"/>
  <c r="AC20" i="19"/>
  <c r="AB4" i="19"/>
  <c r="D4809" i="23" s="1"/>
  <c r="AC16" i="19"/>
  <c r="AT8" i="9" s="1"/>
  <c r="AU8" i="9" s="1"/>
  <c r="AB17" i="19"/>
  <c r="D4822" i="23" s="1"/>
  <c r="AC24" i="19"/>
  <c r="AB5" i="19"/>
  <c r="D4810" i="23" s="1"/>
  <c r="AB23" i="19"/>
  <c r="D4828" i="23" s="1"/>
  <c r="AB9" i="19"/>
  <c r="D4814" i="23" s="1"/>
  <c r="AC28" i="19"/>
  <c r="AT12" i="9" s="1"/>
  <c r="AU12" i="9" s="1"/>
  <c r="AC14" i="19"/>
  <c r="AB24" i="19"/>
  <c r="D4829" i="23" s="1"/>
  <c r="AC21" i="19"/>
  <c r="AC30" i="19"/>
  <c r="AT13" i="9" s="1"/>
  <c r="AU13" i="9" s="1"/>
  <c r="AB13" i="19"/>
  <c r="D4818" i="23" s="1"/>
  <c r="AC9" i="19"/>
  <c r="BF6" i="7"/>
  <c r="CC4" i="7" s="1"/>
  <c r="AC6" i="7"/>
  <c r="BV27" i="7"/>
  <c r="CX13" i="7" s="1"/>
  <c r="M22" i="8"/>
  <c r="N22" i="8"/>
  <c r="BH13" i="7"/>
  <c r="AD13" i="7"/>
  <c r="M30" i="8"/>
  <c r="N30" i="8"/>
  <c r="Y12" i="6"/>
  <c r="F12" i="6"/>
  <c r="Y19" i="6"/>
  <c r="G19" i="6"/>
  <c r="F19" i="6"/>
  <c r="BH20" i="7"/>
  <c r="AD20" i="7"/>
  <c r="AD18" i="7"/>
  <c r="BH18" i="7"/>
  <c r="BF11" i="7"/>
  <c r="CH4" i="7" s="1"/>
  <c r="AC11" i="7"/>
  <c r="BF13" i="7"/>
  <c r="CJ4" i="7" s="1"/>
  <c r="AC13" i="7"/>
  <c r="BV22" i="7"/>
  <c r="CS13" i="7" s="1"/>
  <c r="BF20" i="7"/>
  <c r="CQ4" i="7" s="1"/>
  <c r="AC20" i="7"/>
  <c r="N41" i="8"/>
  <c r="M41" i="8"/>
  <c r="BV8" i="7"/>
  <c r="CE13" i="7" s="1"/>
  <c r="M28" i="8"/>
  <c r="N28" i="8"/>
  <c r="BV23" i="7"/>
  <c r="CT13" i="7" s="1"/>
  <c r="M10" i="8"/>
  <c r="N10" i="8"/>
  <c r="N35" i="8"/>
  <c r="M35" i="8"/>
  <c r="M34" i="8"/>
  <c r="N34" i="8"/>
  <c r="Y9" i="6"/>
  <c r="F9" i="6"/>
  <c r="BH6" i="7"/>
  <c r="AD6" i="7"/>
  <c r="BJ9" i="7"/>
  <c r="CF7" i="7" s="1"/>
  <c r="BL9" i="7"/>
  <c r="CF8" i="7" s="1"/>
  <c r="BR9" i="7"/>
  <c r="CF11" i="7" s="1"/>
  <c r="BT9" i="7"/>
  <c r="CF12" i="7" s="1"/>
  <c r="BP9" i="7"/>
  <c r="CF10" i="7" s="1"/>
  <c r="BN9" i="7"/>
  <c r="CF9" i="7" s="1"/>
  <c r="N4" i="8"/>
  <c r="BL27" i="7"/>
  <c r="CX8" i="7" s="1"/>
  <c r="BT27" i="7"/>
  <c r="CX12" i="7" s="1"/>
  <c r="BR27" i="7"/>
  <c r="CX11" i="7" s="1"/>
  <c r="BJ27" i="7"/>
  <c r="CX7" i="7" s="1"/>
  <c r="BN27" i="7"/>
  <c r="CX9" i="7" s="1"/>
  <c r="BP27" i="7"/>
  <c r="CX10" i="7" s="1"/>
  <c r="BF9" i="7"/>
  <c r="CF4" i="7" s="1"/>
  <c r="AC9" i="7"/>
  <c r="BF22" i="7"/>
  <c r="CS4" i="7" s="1"/>
  <c r="AC22" i="7"/>
  <c r="G22" i="6"/>
  <c r="Y22" i="6"/>
  <c r="F22" i="6"/>
  <c r="F8" i="6"/>
  <c r="Y8" i="6"/>
  <c r="Y15" i="6"/>
  <c r="F15" i="6"/>
  <c r="G15" i="6"/>
  <c r="M23" i="8"/>
  <c r="N23" i="8"/>
  <c r="BH15" i="7"/>
  <c r="AD15" i="7"/>
  <c r="BN18" i="7"/>
  <c r="CO9" i="7" s="1"/>
  <c r="BJ18" i="7"/>
  <c r="CO7" i="7" s="1"/>
  <c r="BR18" i="7"/>
  <c r="CO11" i="7" s="1"/>
  <c r="BP18" i="7"/>
  <c r="CO10" i="7" s="1"/>
  <c r="BT18" i="7"/>
  <c r="CO12" i="7" s="1"/>
  <c r="BL18" i="7"/>
  <c r="CO8" i="7" s="1"/>
  <c r="M8" i="8"/>
  <c r="N8" i="8"/>
  <c r="N37" i="8"/>
  <c r="M37" i="8"/>
  <c r="BP19" i="7"/>
  <c r="CP10" i="7" s="1"/>
  <c r="BJ19" i="7"/>
  <c r="CP7" i="7" s="1"/>
  <c r="BN19" i="7"/>
  <c r="CP9" i="7" s="1"/>
  <c r="BT19" i="7"/>
  <c r="CP12" i="7" s="1"/>
  <c r="BL19" i="7"/>
  <c r="CP8" i="7" s="1"/>
  <c r="BR19" i="7"/>
  <c r="CP11" i="7" s="1"/>
  <c r="BJ8" i="7"/>
  <c r="CE7" i="7" s="1"/>
  <c r="BT8" i="7"/>
  <c r="CE12" i="7" s="1"/>
  <c r="BN8" i="7"/>
  <c r="CE9" i="7" s="1"/>
  <c r="BP8" i="7"/>
  <c r="CE10" i="7" s="1"/>
  <c r="BL8" i="7"/>
  <c r="CE8" i="7" s="1"/>
  <c r="BR8" i="7"/>
  <c r="CE11" i="7" s="1"/>
  <c r="BF19" i="7"/>
  <c r="CP4" i="7" s="1"/>
  <c r="AC19" i="7"/>
  <c r="BJ14" i="7"/>
  <c r="CK7" i="7" s="1"/>
  <c r="BN14" i="7"/>
  <c r="CK9" i="7" s="1"/>
  <c r="BL14" i="7"/>
  <c r="CK8" i="7" s="1"/>
  <c r="BP14" i="7"/>
  <c r="CK10" i="7" s="1"/>
  <c r="BT14" i="7"/>
  <c r="CK12" i="7" s="1"/>
  <c r="BR14" i="7"/>
  <c r="CK11" i="7" s="1"/>
  <c r="N13" i="8"/>
  <c r="M13" i="8"/>
  <c r="BH9" i="7"/>
  <c r="AD9" i="7"/>
  <c r="BP28" i="7"/>
  <c r="CY10" i="7" s="1"/>
  <c r="BL28" i="7"/>
  <c r="CY8" i="7" s="1"/>
  <c r="BR28" i="7"/>
  <c r="CY11" i="7" s="1"/>
  <c r="BT28" i="7"/>
  <c r="CY12" i="7" s="1"/>
  <c r="BN28" i="7"/>
  <c r="CY9" i="7" s="1"/>
  <c r="BJ28" i="7"/>
  <c r="CY7" i="7" s="1"/>
  <c r="BF21" i="7"/>
  <c r="CR4" i="7" s="1"/>
  <c r="AC21" i="7"/>
  <c r="BF18" i="7"/>
  <c r="CO4" i="7" s="1"/>
  <c r="AC18" i="7"/>
  <c r="BH27" i="7"/>
  <c r="AD27" i="7"/>
  <c r="BF14" i="7"/>
  <c r="CK4" i="7" s="1"/>
  <c r="AC14" i="7"/>
  <c r="N9" i="8"/>
  <c r="M9" i="8"/>
  <c r="AG31" i="19"/>
  <c r="AI31" i="19"/>
  <c r="AE21" i="19"/>
  <c r="AD18" i="19"/>
  <c r="D5093" i="23" s="1"/>
  <c r="AE12" i="19"/>
  <c r="AE24" i="19"/>
  <c r="AE6" i="19"/>
  <c r="AD7" i="19"/>
  <c r="D5082" i="23" s="1"/>
  <c r="AE17" i="19"/>
  <c r="AD6" i="19"/>
  <c r="D5081" i="23" s="1"/>
  <c r="AD19" i="19"/>
  <c r="D5094" i="23" s="1"/>
  <c r="AE10" i="19"/>
  <c r="AD27" i="19"/>
  <c r="D5102" i="23" s="1"/>
  <c r="AE30" i="19"/>
  <c r="AD20" i="19"/>
  <c r="D5095" i="23" s="1"/>
  <c r="AE26" i="19"/>
  <c r="AE29" i="19"/>
  <c r="AD30" i="19"/>
  <c r="D5105" i="23" s="1"/>
  <c r="AD13" i="19"/>
  <c r="D5088" i="23" s="1"/>
  <c r="AE16" i="19"/>
  <c r="AD16" i="19"/>
  <c r="D5091" i="23" s="1"/>
  <c r="AD11" i="19"/>
  <c r="D5086" i="23" s="1"/>
  <c r="AD15" i="19"/>
  <c r="D5090" i="23" s="1"/>
  <c r="AE7" i="19"/>
  <c r="AD24" i="19"/>
  <c r="D5099" i="23" s="1"/>
  <c r="AD17" i="19"/>
  <c r="D5092" i="23" s="1"/>
  <c r="AE28" i="19"/>
  <c r="AE8" i="19"/>
  <c r="AD28" i="19"/>
  <c r="D5103" i="23" s="1"/>
  <c r="AE5" i="19"/>
  <c r="AE27" i="19"/>
  <c r="AE25" i="19"/>
  <c r="AD4" i="19"/>
  <c r="D5079" i="23" s="1"/>
  <c r="AD14" i="19"/>
  <c r="D5089" i="23" s="1"/>
  <c r="AE15" i="19"/>
  <c r="AE19" i="19"/>
  <c r="AE9" i="19"/>
  <c r="AD10" i="19"/>
  <c r="D5085" i="23" s="1"/>
  <c r="AE14" i="19"/>
  <c r="AE23" i="19"/>
  <c r="AD12" i="19"/>
  <c r="D5087" i="23" s="1"/>
  <c r="AD21" i="19"/>
  <c r="D5096" i="23" s="1"/>
  <c r="AE22" i="19"/>
  <c r="AD23" i="19"/>
  <c r="D5098" i="23" s="1"/>
  <c r="AD22" i="19"/>
  <c r="D5097" i="23" s="1"/>
  <c r="AD26" i="19"/>
  <c r="D5101" i="23" s="1"/>
  <c r="AE4" i="19"/>
  <c r="AD8" i="19"/>
  <c r="D5083" i="23" s="1"/>
  <c r="AE18" i="19"/>
  <c r="AE20" i="19"/>
  <c r="AD29" i="19"/>
  <c r="D5104" i="23" s="1"/>
  <c r="AE11" i="19"/>
  <c r="AD5" i="19"/>
  <c r="D5080" i="23" s="1"/>
  <c r="AD9" i="19"/>
  <c r="D5084" i="23" s="1"/>
  <c r="AD25" i="19"/>
  <c r="D5100" i="23" s="1"/>
  <c r="AE13" i="19"/>
  <c r="M39" i="8"/>
  <c r="N39" i="8"/>
  <c r="N17" i="8"/>
  <c r="M17" i="8"/>
  <c r="G18" i="6"/>
  <c r="Y18" i="6"/>
  <c r="F18" i="6"/>
  <c r="F4" i="6"/>
  <c r="Y4" i="6"/>
  <c r="F10" i="6"/>
  <c r="Y10" i="6"/>
  <c r="M46" i="8"/>
  <c r="N46" i="8"/>
  <c r="BR15" i="7"/>
  <c r="CL11" i="7" s="1"/>
  <c r="BN15" i="7"/>
  <c r="CL9" i="7" s="1"/>
  <c r="BL15" i="7"/>
  <c r="CL8" i="7" s="1"/>
  <c r="BT15" i="7"/>
  <c r="CL12" i="7" s="1"/>
  <c r="BJ15" i="7"/>
  <c r="CL7" i="7" s="1"/>
  <c r="BP15" i="7"/>
  <c r="CL10" i="7" s="1"/>
  <c r="BF27" i="7"/>
  <c r="CX4" i="7" s="1"/>
  <c r="AC27" i="7"/>
  <c r="BH19" i="7"/>
  <c r="AD19" i="7"/>
  <c r="BF15" i="7"/>
  <c r="CL4" i="7" s="1"/>
  <c r="AC15" i="7"/>
  <c r="N21" i="8"/>
  <c r="M21" i="8"/>
  <c r="BV5" i="7"/>
  <c r="CB13" i="7" s="1"/>
  <c r="BH8" i="7"/>
  <c r="AD8" i="7"/>
  <c r="N44" i="8"/>
  <c r="M44" i="8"/>
  <c r="BJ10" i="7"/>
  <c r="CG7" i="7" s="1"/>
  <c r="BL10" i="7"/>
  <c r="CG8" i="7" s="1"/>
  <c r="BT10" i="7"/>
  <c r="CG12" i="7" s="1"/>
  <c r="BP10" i="7"/>
  <c r="CG10" i="7" s="1"/>
  <c r="BN10" i="7"/>
  <c r="CG9" i="7" s="1"/>
  <c r="BR10" i="7"/>
  <c r="CG11" i="7" s="1"/>
  <c r="BF24" i="7"/>
  <c r="CU4" i="7" s="1"/>
  <c r="AC24" i="7"/>
  <c r="N29" i="8"/>
  <c r="M29" i="8"/>
  <c r="AB24" i="5"/>
  <c r="AB10" i="5"/>
  <c r="AA35" i="5"/>
  <c r="AB26" i="5"/>
  <c r="AA22" i="5"/>
  <c r="AB48" i="5"/>
  <c r="AB82" i="5"/>
  <c r="AB67" i="5"/>
  <c r="AB63" i="5"/>
  <c r="AB93" i="5"/>
  <c r="AA93" i="5"/>
  <c r="AA75" i="5"/>
  <c r="AB75" i="5"/>
  <c r="AA44" i="5"/>
  <c r="AB44" i="5"/>
  <c r="AA50" i="5"/>
  <c r="AB50" i="5"/>
  <c r="R4" i="5"/>
  <c r="R5" i="5"/>
  <c r="R6" i="5"/>
  <c r="R3" i="5"/>
  <c r="AA55" i="5"/>
  <c r="AB55" i="5"/>
  <c r="AB57" i="5"/>
  <c r="AA57" i="5"/>
  <c r="AA56" i="5"/>
  <c r="AB56" i="5"/>
  <c r="AA103" i="5"/>
  <c r="AB103" i="5"/>
  <c r="AA100" i="5"/>
  <c r="AB100" i="5"/>
  <c r="AB33" i="5"/>
  <c r="AA33" i="5"/>
  <c r="AB94" i="5"/>
  <c r="AA94" i="5"/>
  <c r="AA98" i="5"/>
  <c r="AB98" i="5"/>
  <c r="P5" i="5"/>
  <c r="P6" i="5"/>
  <c r="P3" i="5"/>
  <c r="P4" i="5"/>
  <c r="AA39" i="5"/>
  <c r="AB39" i="5"/>
  <c r="AA62" i="5"/>
  <c r="AB62" i="5"/>
  <c r="AA80" i="5"/>
  <c r="AB80" i="5"/>
  <c r="X5" i="5"/>
  <c r="X6" i="5"/>
  <c r="X3" i="5"/>
  <c r="X4" i="5"/>
  <c r="AA27" i="5"/>
  <c r="AB27" i="5"/>
  <c r="AA28" i="5"/>
  <c r="AB28" i="5"/>
  <c r="AA71" i="5"/>
  <c r="AB71" i="5"/>
  <c r="AA38" i="5"/>
  <c r="AB38" i="5"/>
  <c r="AA91" i="5"/>
  <c r="AB91" i="5"/>
  <c r="AA59" i="5"/>
  <c r="AB59" i="5"/>
  <c r="AB105" i="5"/>
  <c r="AA105" i="5"/>
  <c r="T4" i="5"/>
  <c r="T5" i="5"/>
  <c r="T6" i="5"/>
  <c r="T3" i="5"/>
  <c r="AA11" i="5"/>
  <c r="AB11" i="5"/>
  <c r="E405" i="13"/>
  <c r="E359" i="13"/>
  <c r="E37" i="13"/>
  <c r="X35" i="13"/>
  <c r="AB16" i="5" l="1"/>
  <c r="AA37" i="5"/>
  <c r="AA58" i="5"/>
  <c r="AB95" i="5"/>
  <c r="AA77" i="5"/>
  <c r="AA32" i="5"/>
  <c r="F266" i="13"/>
  <c r="K37" i="18"/>
  <c r="K254" i="18"/>
  <c r="K36" i="18"/>
  <c r="K253" i="18"/>
  <c r="K38" i="18"/>
  <c r="K255" i="18"/>
  <c r="D11341" i="23"/>
  <c r="D10315" i="23"/>
  <c r="D9289" i="23"/>
  <c r="D8263" i="23"/>
  <c r="D7237" i="23"/>
  <c r="D6211" i="23"/>
  <c r="D5185" i="23"/>
  <c r="D3133" i="23"/>
  <c r="D2107" i="23"/>
  <c r="D1081" i="23"/>
  <c r="D55" i="23"/>
  <c r="D11340" i="23"/>
  <c r="D10314" i="23"/>
  <c r="D9288" i="23"/>
  <c r="D8262" i="23"/>
  <c r="D7236" i="23"/>
  <c r="D6210" i="23"/>
  <c r="D5184" i="23"/>
  <c r="D3132" i="23"/>
  <c r="D2106" i="23"/>
  <c r="D1080" i="23"/>
  <c r="D54" i="23"/>
  <c r="D11321" i="23"/>
  <c r="D10295" i="23"/>
  <c r="D9269" i="23"/>
  <c r="D8243" i="23"/>
  <c r="D7217" i="23"/>
  <c r="D6191" i="23"/>
  <c r="D5165" i="23"/>
  <c r="D3113" i="23"/>
  <c r="D2087" i="23"/>
  <c r="D1061" i="23"/>
  <c r="D35" i="23"/>
  <c r="D11316" i="23"/>
  <c r="D10290" i="23"/>
  <c r="D9264" i="23"/>
  <c r="D8238" i="23"/>
  <c r="D7212" i="23"/>
  <c r="D6186" i="23"/>
  <c r="D5160" i="23"/>
  <c r="D3108" i="23"/>
  <c r="D2082" i="23"/>
  <c r="D1056" i="23"/>
  <c r="D30" i="23"/>
  <c r="D11332" i="23"/>
  <c r="D10306" i="23"/>
  <c r="D9280" i="23"/>
  <c r="D8254" i="23"/>
  <c r="D7228" i="23"/>
  <c r="D6202" i="23"/>
  <c r="D5176" i="23"/>
  <c r="D3124" i="23"/>
  <c r="D2098" i="23"/>
  <c r="D1072" i="23"/>
  <c r="D46" i="23"/>
  <c r="D2104" i="23"/>
  <c r="D10312" i="23"/>
  <c r="D8260" i="23"/>
  <c r="D6208" i="23"/>
  <c r="D5182" i="23"/>
  <c r="D3130" i="23"/>
  <c r="D1078" i="23"/>
  <c r="D52" i="23"/>
  <c r="D11338" i="23"/>
  <c r="D9286" i="23"/>
  <c r="D7234" i="23"/>
  <c r="D10304" i="23"/>
  <c r="D8252" i="23"/>
  <c r="D6200" i="23"/>
  <c r="D1070" i="23"/>
  <c r="D3122" i="23"/>
  <c r="D44" i="23"/>
  <c r="D11330" i="23"/>
  <c r="D9278" i="23"/>
  <c r="D7226" i="23"/>
  <c r="D5174" i="23"/>
  <c r="D2096" i="23"/>
  <c r="D11331" i="23"/>
  <c r="D10305" i="23"/>
  <c r="D9279" i="23"/>
  <c r="D8253" i="23"/>
  <c r="D7227" i="23"/>
  <c r="D6201" i="23"/>
  <c r="D5175" i="23"/>
  <c r="D3123" i="23"/>
  <c r="D2097" i="23"/>
  <c r="D1071" i="23"/>
  <c r="D45" i="23"/>
  <c r="D11324" i="23"/>
  <c r="D10298" i="23"/>
  <c r="D9272" i="23"/>
  <c r="D8246" i="23"/>
  <c r="D7220" i="23"/>
  <c r="D6194" i="23"/>
  <c r="D5168" i="23"/>
  <c r="D3116" i="23"/>
  <c r="D2090" i="23"/>
  <c r="D1064" i="23"/>
  <c r="D38" i="23"/>
  <c r="D11333" i="23"/>
  <c r="D10307" i="23"/>
  <c r="D9281" i="23"/>
  <c r="D8255" i="23"/>
  <c r="D7229" i="23"/>
  <c r="D6203" i="23"/>
  <c r="D5177" i="23"/>
  <c r="D3125" i="23"/>
  <c r="D2099" i="23"/>
  <c r="D1073" i="23"/>
  <c r="D47" i="23"/>
  <c r="D3114" i="23"/>
  <c r="D2088" i="23"/>
  <c r="D5166" i="23"/>
  <c r="D11322" i="23"/>
  <c r="D9270" i="23"/>
  <c r="D7218" i="23"/>
  <c r="D1062" i="23"/>
  <c r="D36" i="23"/>
  <c r="D10296" i="23"/>
  <c r="D8244" i="23"/>
  <c r="D6192" i="23"/>
  <c r="D5164" i="23"/>
  <c r="D11320" i="23"/>
  <c r="D9268" i="23"/>
  <c r="D7216" i="23"/>
  <c r="D10294" i="23"/>
  <c r="D8242" i="23"/>
  <c r="D6190" i="23"/>
  <c r="D2086" i="23"/>
  <c r="D1060" i="23"/>
  <c r="D34" i="23"/>
  <c r="D3112" i="23"/>
  <c r="D11342" i="23"/>
  <c r="D10316" i="23"/>
  <c r="D9290" i="23"/>
  <c r="D8264" i="23"/>
  <c r="D7238" i="23"/>
  <c r="D6212" i="23"/>
  <c r="D5186" i="23"/>
  <c r="D3134" i="23"/>
  <c r="D2108" i="23"/>
  <c r="D1082" i="23"/>
  <c r="D56" i="23"/>
  <c r="D10310" i="23"/>
  <c r="D8258" i="23"/>
  <c r="D6206" i="23"/>
  <c r="D3128" i="23"/>
  <c r="D11336" i="23"/>
  <c r="D9284" i="23"/>
  <c r="D7232" i="23"/>
  <c r="D2102" i="23"/>
  <c r="D1076" i="23"/>
  <c r="D50" i="23"/>
  <c r="D5180" i="23"/>
  <c r="D10302" i="23"/>
  <c r="D3120" i="23"/>
  <c r="D6198" i="23"/>
  <c r="D11328" i="23"/>
  <c r="D9276" i="23"/>
  <c r="D7224" i="23"/>
  <c r="D5172" i="23"/>
  <c r="D8250" i="23"/>
  <c r="D2094" i="23"/>
  <c r="D1068" i="23"/>
  <c r="D42" i="23"/>
  <c r="D11335" i="23"/>
  <c r="D10309" i="23"/>
  <c r="D9283" i="23"/>
  <c r="D8257" i="23"/>
  <c r="D7231" i="23"/>
  <c r="D6205" i="23"/>
  <c r="D3127" i="23"/>
  <c r="D2101" i="23"/>
  <c r="D1075" i="23"/>
  <c r="D49" i="23"/>
  <c r="D5179" i="23"/>
  <c r="D11319" i="23"/>
  <c r="D10293" i="23"/>
  <c r="D9267" i="23"/>
  <c r="D8241" i="23"/>
  <c r="D7215" i="23"/>
  <c r="D6189" i="23"/>
  <c r="D2085" i="23"/>
  <c r="D1059" i="23"/>
  <c r="D33" i="23"/>
  <c r="D3111" i="23"/>
  <c r="D5163" i="23"/>
  <c r="D11323" i="23"/>
  <c r="D10297" i="23"/>
  <c r="D9271" i="23"/>
  <c r="D8245" i="23"/>
  <c r="D7219" i="23"/>
  <c r="D6193" i="23"/>
  <c r="D5167" i="23"/>
  <c r="D3115" i="23"/>
  <c r="D2089" i="23"/>
  <c r="D1063" i="23"/>
  <c r="D37" i="23"/>
  <c r="D11329" i="23"/>
  <c r="D10303" i="23"/>
  <c r="D9277" i="23"/>
  <c r="D8251" i="23"/>
  <c r="D7225" i="23"/>
  <c r="D6199" i="23"/>
  <c r="D5173" i="23"/>
  <c r="D3121" i="23"/>
  <c r="D2095" i="23"/>
  <c r="D1069" i="23"/>
  <c r="D43" i="23"/>
  <c r="D11337" i="23"/>
  <c r="D10311" i="23"/>
  <c r="D9285" i="23"/>
  <c r="D8259" i="23"/>
  <c r="D7233" i="23"/>
  <c r="D6207" i="23"/>
  <c r="D5181" i="23"/>
  <c r="D3129" i="23"/>
  <c r="D2103" i="23"/>
  <c r="D1077" i="23"/>
  <c r="D51" i="23"/>
  <c r="D11326" i="23"/>
  <c r="D10300" i="23"/>
  <c r="D9274" i="23"/>
  <c r="D8248" i="23"/>
  <c r="D7222" i="23"/>
  <c r="D6196" i="23"/>
  <c r="D5170" i="23"/>
  <c r="D3118" i="23"/>
  <c r="D2092" i="23"/>
  <c r="D1066" i="23"/>
  <c r="D40" i="23"/>
  <c r="D11327" i="23"/>
  <c r="D10301" i="23"/>
  <c r="D9275" i="23"/>
  <c r="D8249" i="23"/>
  <c r="D7223" i="23"/>
  <c r="D6197" i="23"/>
  <c r="D3119" i="23"/>
  <c r="D5171" i="23"/>
  <c r="D2093" i="23"/>
  <c r="D1067" i="23"/>
  <c r="D41" i="23"/>
  <c r="D11318" i="23"/>
  <c r="D10292" i="23"/>
  <c r="D9266" i="23"/>
  <c r="D8240" i="23"/>
  <c r="D7214" i="23"/>
  <c r="D6188" i="23"/>
  <c r="D5162" i="23"/>
  <c r="D3110" i="23"/>
  <c r="D2084" i="23"/>
  <c r="D1058" i="23"/>
  <c r="D32" i="23"/>
  <c r="D11334" i="23"/>
  <c r="D10308" i="23"/>
  <c r="D9282" i="23"/>
  <c r="D8256" i="23"/>
  <c r="D7230" i="23"/>
  <c r="D6204" i="23"/>
  <c r="D5178" i="23"/>
  <c r="D3126" i="23"/>
  <c r="D2100" i="23"/>
  <c r="D1074" i="23"/>
  <c r="D48" i="23"/>
  <c r="D11339" i="23"/>
  <c r="D10313" i="23"/>
  <c r="D9287" i="23"/>
  <c r="D8261" i="23"/>
  <c r="D7235" i="23"/>
  <c r="D6209" i="23"/>
  <c r="D5183" i="23"/>
  <c r="D3131" i="23"/>
  <c r="D2105" i="23"/>
  <c r="D1079" i="23"/>
  <c r="D53" i="23"/>
  <c r="D11325" i="23"/>
  <c r="D10299" i="23"/>
  <c r="D9273" i="23"/>
  <c r="D8247" i="23"/>
  <c r="D7221" i="23"/>
  <c r="D6195" i="23"/>
  <c r="D5169" i="23"/>
  <c r="D3117" i="23"/>
  <c r="D2091" i="23"/>
  <c r="D1065" i="23"/>
  <c r="D39" i="23"/>
  <c r="D11317" i="23"/>
  <c r="D10291" i="23"/>
  <c r="D9265" i="23"/>
  <c r="D8239" i="23"/>
  <c r="D7213" i="23"/>
  <c r="D6187" i="23"/>
  <c r="D5161" i="23"/>
  <c r="D3109" i="23"/>
  <c r="D2083" i="23"/>
  <c r="D1057" i="23"/>
  <c r="D31" i="23"/>
  <c r="D12262" i="23"/>
  <c r="D11236" i="23"/>
  <c r="D10210" i="23"/>
  <c r="D9184" i="23"/>
  <c r="D8158" i="23"/>
  <c r="D6106" i="23"/>
  <c r="D4054" i="23"/>
  <c r="D3028" i="23"/>
  <c r="D976" i="23"/>
  <c r="D7132" i="23"/>
  <c r="D2002" i="23"/>
  <c r="D4071" i="23"/>
  <c r="D12279" i="23"/>
  <c r="D11253" i="23"/>
  <c r="D10227" i="23"/>
  <c r="D9201" i="23"/>
  <c r="D7149" i="23"/>
  <c r="D6123" i="23"/>
  <c r="D3045" i="23"/>
  <c r="D8175" i="23"/>
  <c r="D2019" i="23"/>
  <c r="D993" i="23"/>
  <c r="D11259" i="23"/>
  <c r="D10233" i="23"/>
  <c r="D9207" i="23"/>
  <c r="D8181" i="23"/>
  <c r="D4077" i="23"/>
  <c r="D12285" i="23"/>
  <c r="D999" i="23"/>
  <c r="D7155" i="23"/>
  <c r="D3051" i="23"/>
  <c r="D2025" i="23"/>
  <c r="D6129" i="23"/>
  <c r="D7143" i="23"/>
  <c r="D6117" i="23"/>
  <c r="D4065" i="23"/>
  <c r="D12273" i="23"/>
  <c r="D11247" i="23"/>
  <c r="D9195" i="23"/>
  <c r="D8169" i="23"/>
  <c r="D2013" i="23"/>
  <c r="D987" i="23"/>
  <c r="D10221" i="23"/>
  <c r="D3039" i="23"/>
  <c r="D10232" i="23"/>
  <c r="D9206" i="23"/>
  <c r="D8180" i="23"/>
  <c r="D7154" i="23"/>
  <c r="D12284" i="23"/>
  <c r="D11258" i="23"/>
  <c r="D4076" i="23"/>
  <c r="D3050" i="23"/>
  <c r="D2024" i="23"/>
  <c r="D998" i="23"/>
  <c r="D6128" i="23"/>
  <c r="D10224" i="23"/>
  <c r="D9198" i="23"/>
  <c r="D8172" i="23"/>
  <c r="D7146" i="23"/>
  <c r="D12276" i="23"/>
  <c r="D11250" i="23"/>
  <c r="D3042" i="23"/>
  <c r="D6120" i="23"/>
  <c r="D2016" i="23"/>
  <c r="D990" i="23"/>
  <c r="D4068" i="23"/>
  <c r="D6124" i="23"/>
  <c r="D4072" i="23"/>
  <c r="D12280" i="23"/>
  <c r="D11254" i="23"/>
  <c r="D10228" i="23"/>
  <c r="D8176" i="23"/>
  <c r="D7150" i="23"/>
  <c r="D9202" i="23"/>
  <c r="D994" i="23"/>
  <c r="D3046" i="23"/>
  <c r="D2020" i="23"/>
  <c r="D9197" i="23"/>
  <c r="D8171" i="23"/>
  <c r="D7145" i="23"/>
  <c r="D6119" i="23"/>
  <c r="D11249" i="23"/>
  <c r="D10223" i="23"/>
  <c r="D12275" i="23"/>
  <c r="D3041" i="23"/>
  <c r="D2015" i="23"/>
  <c r="D989" i="23"/>
  <c r="D4067" i="23"/>
  <c r="D12278" i="23"/>
  <c r="D11252" i="23"/>
  <c r="D10226" i="23"/>
  <c r="D9200" i="23"/>
  <c r="D6122" i="23"/>
  <c r="D4070" i="23"/>
  <c r="D7148" i="23"/>
  <c r="D8174" i="23"/>
  <c r="D3044" i="23"/>
  <c r="D992" i="23"/>
  <c r="D2018" i="23"/>
  <c r="D4063" i="23"/>
  <c r="D12271" i="23"/>
  <c r="D11245" i="23"/>
  <c r="D10219" i="23"/>
  <c r="D9193" i="23"/>
  <c r="D7141" i="23"/>
  <c r="D6115" i="23"/>
  <c r="D8167" i="23"/>
  <c r="D3037" i="23"/>
  <c r="D2011" i="23"/>
  <c r="D985" i="23"/>
  <c r="D8170" i="23"/>
  <c r="D7144" i="23"/>
  <c r="D6118" i="23"/>
  <c r="D4066" i="23"/>
  <c r="D12274" i="23"/>
  <c r="D10222" i="23"/>
  <c r="D9196" i="23"/>
  <c r="D3040" i="23"/>
  <c r="D2014" i="23"/>
  <c r="D11248" i="23"/>
  <c r="D988" i="23"/>
  <c r="D4079" i="23"/>
  <c r="D12287" i="23"/>
  <c r="D11261" i="23"/>
  <c r="D10235" i="23"/>
  <c r="D9209" i="23"/>
  <c r="D7157" i="23"/>
  <c r="D6131" i="23"/>
  <c r="D3053" i="23"/>
  <c r="D8183" i="23"/>
  <c r="D2027" i="23"/>
  <c r="D1001" i="23"/>
  <c r="D4055" i="23"/>
  <c r="D12263" i="23"/>
  <c r="D11237" i="23"/>
  <c r="D10211" i="23"/>
  <c r="D9185" i="23"/>
  <c r="D7133" i="23"/>
  <c r="D6107" i="23"/>
  <c r="D8159" i="23"/>
  <c r="D3029" i="23"/>
  <c r="D2003" i="23"/>
  <c r="D977" i="23"/>
  <c r="D12286" i="23"/>
  <c r="D11260" i="23"/>
  <c r="D10234" i="23"/>
  <c r="D9208" i="23"/>
  <c r="D6130" i="23"/>
  <c r="D4078" i="23"/>
  <c r="D8182" i="23"/>
  <c r="D7156" i="23"/>
  <c r="D2026" i="23"/>
  <c r="D3052" i="23"/>
  <c r="D1000" i="23"/>
  <c r="D11243" i="23"/>
  <c r="D10217" i="23"/>
  <c r="D9191" i="23"/>
  <c r="D8165" i="23"/>
  <c r="D4061" i="23"/>
  <c r="D12269" i="23"/>
  <c r="D6113" i="23"/>
  <c r="D3035" i="23"/>
  <c r="D983" i="23"/>
  <c r="D2009" i="23"/>
  <c r="D7139" i="23"/>
  <c r="D11235" i="23"/>
  <c r="D10209" i="23"/>
  <c r="D9183" i="23"/>
  <c r="D8157" i="23"/>
  <c r="D4053" i="23"/>
  <c r="D12261" i="23"/>
  <c r="D6105" i="23"/>
  <c r="D3027" i="23"/>
  <c r="D7131" i="23"/>
  <c r="D2001" i="23"/>
  <c r="D975" i="23"/>
  <c r="D7151" i="23"/>
  <c r="D6125" i="23"/>
  <c r="D4073" i="23"/>
  <c r="D12281" i="23"/>
  <c r="D11255" i="23"/>
  <c r="D9203" i="23"/>
  <c r="D8177" i="23"/>
  <c r="D2021" i="23"/>
  <c r="D995" i="23"/>
  <c r="D10229" i="23"/>
  <c r="D3047" i="23"/>
  <c r="D7135" i="23"/>
  <c r="D6109" i="23"/>
  <c r="D4057" i="23"/>
  <c r="D12265" i="23"/>
  <c r="D11239" i="23"/>
  <c r="D9187" i="23"/>
  <c r="D8161" i="23"/>
  <c r="D2005" i="23"/>
  <c r="D979" i="23"/>
  <c r="D10213" i="23"/>
  <c r="D3031" i="23"/>
  <c r="D6108" i="23"/>
  <c r="D4056" i="23"/>
  <c r="D12264" i="23"/>
  <c r="D11238" i="23"/>
  <c r="D10212" i="23"/>
  <c r="D8160" i="23"/>
  <c r="D7134" i="23"/>
  <c r="D978" i="23"/>
  <c r="D9186" i="23"/>
  <c r="D3030" i="23"/>
  <c r="D2004" i="23"/>
  <c r="D12270" i="23"/>
  <c r="D11244" i="23"/>
  <c r="D10218" i="23"/>
  <c r="D9192" i="23"/>
  <c r="D6114" i="23"/>
  <c r="D4062" i="23"/>
  <c r="D8166" i="23"/>
  <c r="D2010" i="23"/>
  <c r="D3036" i="23"/>
  <c r="D984" i="23"/>
  <c r="D7140" i="23"/>
  <c r="D8178" i="23"/>
  <c r="D7152" i="23"/>
  <c r="D6126" i="23"/>
  <c r="D4074" i="23"/>
  <c r="D12282" i="23"/>
  <c r="D10230" i="23"/>
  <c r="D9204" i="23"/>
  <c r="D3048" i="23"/>
  <c r="D2022" i="23"/>
  <c r="D996" i="23"/>
  <c r="D11256" i="23"/>
  <c r="D6116" i="23"/>
  <c r="D4064" i="23"/>
  <c r="D12272" i="23"/>
  <c r="D11246" i="23"/>
  <c r="D10220" i="23"/>
  <c r="D8168" i="23"/>
  <c r="D7142" i="23"/>
  <c r="D986" i="23"/>
  <c r="D3038" i="23"/>
  <c r="D9194" i="23"/>
  <c r="D2012" i="23"/>
  <c r="D11251" i="23"/>
  <c r="D10225" i="23"/>
  <c r="D9199" i="23"/>
  <c r="D8173" i="23"/>
  <c r="D4069" i="23"/>
  <c r="D12277" i="23"/>
  <c r="D7147" i="23"/>
  <c r="D3043" i="23"/>
  <c r="D6121" i="23"/>
  <c r="D2017" i="23"/>
  <c r="D991" i="23"/>
  <c r="D8162" i="23"/>
  <c r="D7136" i="23"/>
  <c r="D6110" i="23"/>
  <c r="D4058" i="23"/>
  <c r="D12266" i="23"/>
  <c r="D10214" i="23"/>
  <c r="D9188" i="23"/>
  <c r="D3032" i="23"/>
  <c r="D11240" i="23"/>
  <c r="D2006" i="23"/>
  <c r="D980" i="23"/>
  <c r="D9205" i="23"/>
  <c r="D8179" i="23"/>
  <c r="D7153" i="23"/>
  <c r="D6127" i="23"/>
  <c r="D11257" i="23"/>
  <c r="D10231" i="23"/>
  <c r="D12283" i="23"/>
  <c r="D3049" i="23"/>
  <c r="D2023" i="23"/>
  <c r="D997" i="23"/>
  <c r="D4075" i="23"/>
  <c r="D9189" i="23"/>
  <c r="D8163" i="23"/>
  <c r="D7137" i="23"/>
  <c r="D6111" i="23"/>
  <c r="D11241" i="23"/>
  <c r="D10215" i="23"/>
  <c r="D3033" i="23"/>
  <c r="D2007" i="23"/>
  <c r="D4059" i="23"/>
  <c r="D981" i="23"/>
  <c r="D12267" i="23"/>
  <c r="D10216" i="23"/>
  <c r="D9190" i="23"/>
  <c r="D8164" i="23"/>
  <c r="D7138" i="23"/>
  <c r="D12268" i="23"/>
  <c r="D11242" i="23"/>
  <c r="D6112" i="23"/>
  <c r="D3034" i="23"/>
  <c r="D2008" i="23"/>
  <c r="D4060" i="23"/>
  <c r="D982" i="23"/>
  <c r="D11995" i="23"/>
  <c r="D9943" i="23"/>
  <c r="D7891" i="23"/>
  <c r="D5839" i="23"/>
  <c r="D2761" i="23"/>
  <c r="D709" i="23"/>
  <c r="D10969" i="23"/>
  <c r="D8917" i="23"/>
  <c r="D6865" i="23"/>
  <c r="D3787" i="23"/>
  <c r="D1735" i="23"/>
  <c r="D12011" i="23"/>
  <c r="D9959" i="23"/>
  <c r="D7907" i="23"/>
  <c r="D5855" i="23"/>
  <c r="D2777" i="23"/>
  <c r="D725" i="23"/>
  <c r="D10985" i="23"/>
  <c r="D8933" i="23"/>
  <c r="D6881" i="23"/>
  <c r="D3803" i="23"/>
  <c r="D1751" i="23"/>
  <c r="D11994" i="23"/>
  <c r="D9942" i="23"/>
  <c r="D7890" i="23"/>
  <c r="D5838" i="23"/>
  <c r="D2760" i="23"/>
  <c r="D708" i="23"/>
  <c r="D10968" i="23"/>
  <c r="D8916" i="23"/>
  <c r="D6864" i="23"/>
  <c r="D3786" i="23"/>
  <c r="D1734" i="23"/>
  <c r="D10971" i="23"/>
  <c r="D8919" i="23"/>
  <c r="D6867" i="23"/>
  <c r="D3789" i="23"/>
  <c r="D1737" i="23"/>
  <c r="D11997" i="23"/>
  <c r="D9945" i="23"/>
  <c r="D7893" i="23"/>
  <c r="D5841" i="23"/>
  <c r="D2763" i="23"/>
  <c r="D711" i="23"/>
  <c r="D12003" i="23"/>
  <c r="D9951" i="23"/>
  <c r="D7899" i="23"/>
  <c r="D5847" i="23"/>
  <c r="D2769" i="23"/>
  <c r="D717" i="23"/>
  <c r="D10977" i="23"/>
  <c r="D8925" i="23"/>
  <c r="D6873" i="23"/>
  <c r="D3795" i="23"/>
  <c r="D1743" i="23"/>
  <c r="D10965" i="23"/>
  <c r="D8913" i="23"/>
  <c r="D6861" i="23"/>
  <c r="D3783" i="23"/>
  <c r="D1731" i="23"/>
  <c r="D11991" i="23"/>
  <c r="D9939" i="23"/>
  <c r="D7887" i="23"/>
  <c r="D5835" i="23"/>
  <c r="D2757" i="23"/>
  <c r="D705" i="23"/>
  <c r="D10989" i="23"/>
  <c r="D8937" i="23"/>
  <c r="D6885" i="23"/>
  <c r="D3807" i="23"/>
  <c r="D1755" i="23"/>
  <c r="D12015" i="23"/>
  <c r="D9963" i="23"/>
  <c r="D7911" i="23"/>
  <c r="D5859" i="23"/>
  <c r="D2781" i="23"/>
  <c r="D729" i="23"/>
  <c r="D11993" i="23"/>
  <c r="D9941" i="23"/>
  <c r="D7889" i="23"/>
  <c r="D5837" i="23"/>
  <c r="D2759" i="23"/>
  <c r="D707" i="23"/>
  <c r="D10967" i="23"/>
  <c r="D8915" i="23"/>
  <c r="D6863" i="23"/>
  <c r="D3785" i="23"/>
  <c r="D1733" i="23"/>
  <c r="D10987" i="23"/>
  <c r="D8935" i="23"/>
  <c r="D6883" i="23"/>
  <c r="D3805" i="23"/>
  <c r="D1753" i="23"/>
  <c r="D12013" i="23"/>
  <c r="D9961" i="23"/>
  <c r="D7909" i="23"/>
  <c r="D5857" i="23"/>
  <c r="D2779" i="23"/>
  <c r="D727" i="23"/>
  <c r="D12001" i="23"/>
  <c r="D9949" i="23"/>
  <c r="D7897" i="23"/>
  <c r="D5845" i="23"/>
  <c r="D2767" i="23"/>
  <c r="D715" i="23"/>
  <c r="D10975" i="23"/>
  <c r="D8923" i="23"/>
  <c r="D6871" i="23"/>
  <c r="D3793" i="23"/>
  <c r="D1741" i="23"/>
  <c r="D12009" i="23"/>
  <c r="D9957" i="23"/>
  <c r="D7905" i="23"/>
  <c r="D5853" i="23"/>
  <c r="D2775" i="23"/>
  <c r="D723" i="23"/>
  <c r="D10983" i="23"/>
  <c r="D8931" i="23"/>
  <c r="D6879" i="23"/>
  <c r="D3801" i="23"/>
  <c r="D1749" i="23"/>
  <c r="D10988" i="23"/>
  <c r="D8936" i="23"/>
  <c r="D6884" i="23"/>
  <c r="D3806" i="23"/>
  <c r="D1754" i="23"/>
  <c r="D12014" i="23"/>
  <c r="D9962" i="23"/>
  <c r="D7910" i="23"/>
  <c r="D5858" i="23"/>
  <c r="D2780" i="23"/>
  <c r="D728" i="23"/>
  <c r="D10972" i="23"/>
  <c r="D8920" i="23"/>
  <c r="D6868" i="23"/>
  <c r="D3790" i="23"/>
  <c r="D1738" i="23"/>
  <c r="D11998" i="23"/>
  <c r="D9946" i="23"/>
  <c r="D7894" i="23"/>
  <c r="D5842" i="23"/>
  <c r="D2764" i="23"/>
  <c r="D712" i="23"/>
  <c r="D10981" i="23"/>
  <c r="D8929" i="23"/>
  <c r="D6877" i="23"/>
  <c r="D3799" i="23"/>
  <c r="D1747" i="23"/>
  <c r="D12007" i="23"/>
  <c r="D9955" i="23"/>
  <c r="D7903" i="23"/>
  <c r="D5851" i="23"/>
  <c r="D2773" i="23"/>
  <c r="D721" i="23"/>
  <c r="D8918" i="23"/>
  <c r="D11996" i="23"/>
  <c r="D9944" i="23"/>
  <c r="D7892" i="23"/>
  <c r="D5840" i="23"/>
  <c r="D2762" i="23"/>
  <c r="D710" i="23"/>
  <c r="D6866" i="23"/>
  <c r="D3788" i="23"/>
  <c r="D10970" i="23"/>
  <c r="D1736" i="23"/>
  <c r="D12010" i="23"/>
  <c r="D9958" i="23"/>
  <c r="D7906" i="23"/>
  <c r="D5854" i="23"/>
  <c r="D2776" i="23"/>
  <c r="D724" i="23"/>
  <c r="D10984" i="23"/>
  <c r="D8932" i="23"/>
  <c r="D6880" i="23"/>
  <c r="D3802" i="23"/>
  <c r="D1750" i="23"/>
  <c r="D10979" i="23"/>
  <c r="D8927" i="23"/>
  <c r="D6875" i="23"/>
  <c r="D3797" i="23"/>
  <c r="D1745" i="23"/>
  <c r="D12005" i="23"/>
  <c r="D9953" i="23"/>
  <c r="D7901" i="23"/>
  <c r="D5849" i="23"/>
  <c r="D2771" i="23"/>
  <c r="D719" i="23"/>
  <c r="D10980" i="23"/>
  <c r="D8928" i="23"/>
  <c r="D6876" i="23"/>
  <c r="D3798" i="23"/>
  <c r="D1746" i="23"/>
  <c r="D12006" i="23"/>
  <c r="D9954" i="23"/>
  <c r="D7902" i="23"/>
  <c r="D5850" i="23"/>
  <c r="D2772" i="23"/>
  <c r="D720" i="23"/>
  <c r="D2782" i="23"/>
  <c r="D730" i="23"/>
  <c r="D12016" i="23"/>
  <c r="D10990" i="23"/>
  <c r="D8938" i="23"/>
  <c r="D6886" i="23"/>
  <c r="D3808" i="23"/>
  <c r="D1756" i="23"/>
  <c r="D7912" i="23"/>
  <c r="D9964" i="23"/>
  <c r="D5860" i="23"/>
  <c r="D8934" i="23"/>
  <c r="D1752" i="23"/>
  <c r="D12012" i="23"/>
  <c r="D9960" i="23"/>
  <c r="D7908" i="23"/>
  <c r="D5856" i="23"/>
  <c r="D2778" i="23"/>
  <c r="D726" i="23"/>
  <c r="D10986" i="23"/>
  <c r="D6882" i="23"/>
  <c r="D3804" i="23"/>
  <c r="D8926" i="23"/>
  <c r="D10978" i="23"/>
  <c r="D3796" i="23"/>
  <c r="D12004" i="23"/>
  <c r="D9952" i="23"/>
  <c r="D7900" i="23"/>
  <c r="D5848" i="23"/>
  <c r="D2770" i="23"/>
  <c r="D718" i="23"/>
  <c r="D1744" i="23"/>
  <c r="D6874" i="23"/>
  <c r="D7896" i="23"/>
  <c r="D5844" i="23"/>
  <c r="D714" i="23"/>
  <c r="D12000" i="23"/>
  <c r="D9948" i="23"/>
  <c r="D10974" i="23"/>
  <c r="D8922" i="23"/>
  <c r="D6870" i="23"/>
  <c r="D3792" i="23"/>
  <c r="D1740" i="23"/>
  <c r="D2766" i="23"/>
  <c r="D7888" i="23"/>
  <c r="D2758" i="23"/>
  <c r="D10966" i="23"/>
  <c r="D8914" i="23"/>
  <c r="D6862" i="23"/>
  <c r="D3784" i="23"/>
  <c r="D1732" i="23"/>
  <c r="D11992" i="23"/>
  <c r="D9940" i="23"/>
  <c r="D706" i="23"/>
  <c r="D5836" i="23"/>
  <c r="D12002" i="23"/>
  <c r="D9950" i="23"/>
  <c r="D7898" i="23"/>
  <c r="D5846" i="23"/>
  <c r="D2768" i="23"/>
  <c r="D716" i="23"/>
  <c r="D10976" i="23"/>
  <c r="D8924" i="23"/>
  <c r="D6872" i="23"/>
  <c r="D3794" i="23"/>
  <c r="D1742" i="23"/>
  <c r="D12008" i="23"/>
  <c r="D5852" i="23"/>
  <c r="D10982" i="23"/>
  <c r="D8930" i="23"/>
  <c r="D6878" i="23"/>
  <c r="D3800" i="23"/>
  <c r="D1748" i="23"/>
  <c r="D7904" i="23"/>
  <c r="D2774" i="23"/>
  <c r="D722" i="23"/>
  <c r="D9956" i="23"/>
  <c r="D12017" i="23"/>
  <c r="D9965" i="23"/>
  <c r="D7913" i="23"/>
  <c r="D5861" i="23"/>
  <c r="D2783" i="23"/>
  <c r="D731" i="23"/>
  <c r="D10991" i="23"/>
  <c r="D8939" i="23"/>
  <c r="D6887" i="23"/>
  <c r="D3809" i="23"/>
  <c r="D1757" i="23"/>
  <c r="D10973" i="23"/>
  <c r="D8921" i="23"/>
  <c r="D6869" i="23"/>
  <c r="D3791" i="23"/>
  <c r="D1739" i="23"/>
  <c r="D11999" i="23"/>
  <c r="D9947" i="23"/>
  <c r="D7895" i="23"/>
  <c r="D5843" i="23"/>
  <c r="D2765" i="23"/>
  <c r="D713" i="23"/>
  <c r="D7022" i="23"/>
  <c r="D8048" i="23"/>
  <c r="D9074" i="23"/>
  <c r="D10100" i="23"/>
  <c r="D866" i="23"/>
  <c r="D12152" i="23"/>
  <c r="D11126" i="23"/>
  <c r="D1892" i="23"/>
  <c r="D3944" i="23"/>
  <c r="D5996" i="23"/>
  <c r="D2918" i="23"/>
  <c r="D8047" i="23"/>
  <c r="D9073" i="23"/>
  <c r="D10099" i="23"/>
  <c r="D865" i="23"/>
  <c r="D11125" i="23"/>
  <c r="D1891" i="23"/>
  <c r="D12151" i="23"/>
  <c r="D2917" i="23"/>
  <c r="D5995" i="23"/>
  <c r="D7021" i="23"/>
  <c r="D3943" i="23"/>
  <c r="D5981" i="23"/>
  <c r="D7007" i="23"/>
  <c r="D8033" i="23"/>
  <c r="D9059" i="23"/>
  <c r="D11111" i="23"/>
  <c r="D10085" i="23"/>
  <c r="D851" i="23"/>
  <c r="D12137" i="23"/>
  <c r="D2903" i="23"/>
  <c r="D3929" i="23"/>
  <c r="D1877" i="23"/>
  <c r="D3938" i="23"/>
  <c r="D5990" i="23"/>
  <c r="D7016" i="23"/>
  <c r="D8042" i="23"/>
  <c r="D9068" i="23"/>
  <c r="D10094" i="23"/>
  <c r="D11120" i="23"/>
  <c r="D1886" i="23"/>
  <c r="D12146" i="23"/>
  <c r="D2912" i="23"/>
  <c r="D860" i="23"/>
  <c r="D3930" i="23"/>
  <c r="D5982" i="23"/>
  <c r="D10086" i="23"/>
  <c r="D7008" i="23"/>
  <c r="D8034" i="23"/>
  <c r="D9060" i="23"/>
  <c r="D11112" i="23"/>
  <c r="D1878" i="23"/>
  <c r="D12138" i="23"/>
  <c r="D2904" i="23"/>
  <c r="D852" i="23"/>
  <c r="D5989" i="23"/>
  <c r="D7015" i="23"/>
  <c r="D11119" i="23"/>
  <c r="D8041" i="23"/>
  <c r="D9067" i="23"/>
  <c r="D10093" i="23"/>
  <c r="D859" i="23"/>
  <c r="D12145" i="23"/>
  <c r="D2911" i="23"/>
  <c r="D3937" i="23"/>
  <c r="D1885" i="23"/>
  <c r="D9064" i="23"/>
  <c r="D10090" i="23"/>
  <c r="D856" i="23"/>
  <c r="D11116" i="23"/>
  <c r="D1882" i="23"/>
  <c r="D12142" i="23"/>
  <c r="D2908" i="23"/>
  <c r="D3934" i="23"/>
  <c r="D7012" i="23"/>
  <c r="D8038" i="23"/>
  <c r="D5986" i="23"/>
  <c r="D12139" i="23"/>
  <c r="D2905" i="23"/>
  <c r="D3931" i="23"/>
  <c r="D5983" i="23"/>
  <c r="D7009" i="23"/>
  <c r="D8035" i="23"/>
  <c r="D9061" i="23"/>
  <c r="D10087" i="23"/>
  <c r="D853" i="23"/>
  <c r="D11113" i="23"/>
  <c r="D1879" i="23"/>
  <c r="D7014" i="23"/>
  <c r="D8040" i="23"/>
  <c r="D9066" i="23"/>
  <c r="D10092" i="23"/>
  <c r="D858" i="23"/>
  <c r="D11118" i="23"/>
  <c r="D1884" i="23"/>
  <c r="D12144" i="23"/>
  <c r="D3936" i="23"/>
  <c r="D5988" i="23"/>
  <c r="D2910" i="23"/>
  <c r="D12131" i="23"/>
  <c r="D2897" i="23"/>
  <c r="D3923" i="23"/>
  <c r="D9053" i="23"/>
  <c r="D5975" i="23"/>
  <c r="D7001" i="23"/>
  <c r="D8027" i="23"/>
  <c r="D10079" i="23"/>
  <c r="D845" i="23"/>
  <c r="D11105" i="23"/>
  <c r="D1871" i="23"/>
  <c r="D8031" i="23"/>
  <c r="D9057" i="23"/>
  <c r="D10083" i="23"/>
  <c r="D849" i="23"/>
  <c r="D11109" i="23"/>
  <c r="D1875" i="23"/>
  <c r="D12135" i="23"/>
  <c r="D2901" i="23"/>
  <c r="D5979" i="23"/>
  <c r="D7005" i="23"/>
  <c r="D3927" i="23"/>
  <c r="D11122" i="23"/>
  <c r="D1888" i="23"/>
  <c r="D12148" i="23"/>
  <c r="D2914" i="23"/>
  <c r="D8044" i="23"/>
  <c r="D3940" i="23"/>
  <c r="D5992" i="23"/>
  <c r="D7018" i="23"/>
  <c r="D9070" i="23"/>
  <c r="D10096" i="23"/>
  <c r="D862" i="23"/>
  <c r="D3922" i="23"/>
  <c r="D10078" i="23"/>
  <c r="D5974" i="23"/>
  <c r="D7000" i="23"/>
  <c r="D8026" i="23"/>
  <c r="D9052" i="23"/>
  <c r="D11104" i="23"/>
  <c r="D1870" i="23"/>
  <c r="D12130" i="23"/>
  <c r="D2896" i="23"/>
  <c r="D844" i="23"/>
  <c r="D8023" i="23"/>
  <c r="D9049" i="23"/>
  <c r="D10075" i="23"/>
  <c r="D841" i="23"/>
  <c r="D11101" i="23"/>
  <c r="D1867" i="23"/>
  <c r="D12127" i="23"/>
  <c r="D2893" i="23"/>
  <c r="D5971" i="23"/>
  <c r="D6997" i="23"/>
  <c r="D3919" i="23"/>
  <c r="D7006" i="23"/>
  <c r="D8032" i="23"/>
  <c r="D12136" i="23"/>
  <c r="D9058" i="23"/>
  <c r="D10084" i="23"/>
  <c r="D850" i="23"/>
  <c r="D11110" i="23"/>
  <c r="D1876" i="23"/>
  <c r="D3928" i="23"/>
  <c r="D5980" i="23"/>
  <c r="D2902" i="23"/>
  <c r="D6998" i="23"/>
  <c r="D12128" i="23"/>
  <c r="D8024" i="23"/>
  <c r="D9050" i="23"/>
  <c r="D10076" i="23"/>
  <c r="D842" i="23"/>
  <c r="D11102" i="23"/>
  <c r="D1868" i="23"/>
  <c r="D3920" i="23"/>
  <c r="D5972" i="23"/>
  <c r="D2894" i="23"/>
  <c r="D9072" i="23"/>
  <c r="D10098" i="23"/>
  <c r="D864" i="23"/>
  <c r="D11124" i="23"/>
  <c r="D1890" i="23"/>
  <c r="D12150" i="23"/>
  <c r="D2916" i="23"/>
  <c r="D3942" i="23"/>
  <c r="D7020" i="23"/>
  <c r="D8046" i="23"/>
  <c r="D5994" i="23"/>
  <c r="D9056" i="23"/>
  <c r="D10082" i="23"/>
  <c r="D848" i="23"/>
  <c r="D11108" i="23"/>
  <c r="D1874" i="23"/>
  <c r="D12134" i="23"/>
  <c r="D2900" i="23"/>
  <c r="D3926" i="23"/>
  <c r="D7004" i="23"/>
  <c r="D8030" i="23"/>
  <c r="D5978" i="23"/>
  <c r="D9048" i="23"/>
  <c r="D10074" i="23"/>
  <c r="D840" i="23"/>
  <c r="D11100" i="23"/>
  <c r="D1866" i="23"/>
  <c r="D12126" i="23"/>
  <c r="D2892" i="23"/>
  <c r="D3918" i="23"/>
  <c r="D6996" i="23"/>
  <c r="D8022" i="23"/>
  <c r="D5970" i="23"/>
  <c r="D11114" i="23"/>
  <c r="D1880" i="23"/>
  <c r="D12140" i="23"/>
  <c r="D2906" i="23"/>
  <c r="D3932" i="23"/>
  <c r="D5984" i="23"/>
  <c r="D7010" i="23"/>
  <c r="D8036" i="23"/>
  <c r="D9062" i="23"/>
  <c r="D10088" i="23"/>
  <c r="D854" i="23"/>
  <c r="D11106" i="23"/>
  <c r="D1872" i="23"/>
  <c r="D12132" i="23"/>
  <c r="D2898" i="23"/>
  <c r="D3924" i="23"/>
  <c r="D5976" i="23"/>
  <c r="D8028" i="23"/>
  <c r="D7002" i="23"/>
  <c r="D9054" i="23"/>
  <c r="D10080" i="23"/>
  <c r="D846" i="23"/>
  <c r="D12147" i="23"/>
  <c r="D2913" i="23"/>
  <c r="D9069" i="23"/>
  <c r="D3939" i="23"/>
  <c r="D5991" i="23"/>
  <c r="D7017" i="23"/>
  <c r="D8043" i="23"/>
  <c r="D10095" i="23"/>
  <c r="D861" i="23"/>
  <c r="D11121" i="23"/>
  <c r="D1887" i="23"/>
  <c r="D5973" i="23"/>
  <c r="D6999" i="23"/>
  <c r="D8025" i="23"/>
  <c r="D9051" i="23"/>
  <c r="D10077" i="23"/>
  <c r="D843" i="23"/>
  <c r="D11103" i="23"/>
  <c r="D12129" i="23"/>
  <c r="D2895" i="23"/>
  <c r="D3921" i="23"/>
  <c r="D1869" i="23"/>
  <c r="D8039" i="23"/>
  <c r="D9065" i="23"/>
  <c r="D10091" i="23"/>
  <c r="D857" i="23"/>
  <c r="D11117" i="23"/>
  <c r="D1883" i="23"/>
  <c r="D12143" i="23"/>
  <c r="D2909" i="23"/>
  <c r="D5987" i="23"/>
  <c r="D7013" i="23"/>
  <c r="D3935" i="23"/>
  <c r="D10097" i="23"/>
  <c r="D863" i="23"/>
  <c r="D11123" i="23"/>
  <c r="D1889" i="23"/>
  <c r="D12149" i="23"/>
  <c r="D2915" i="23"/>
  <c r="D3941" i="23"/>
  <c r="D5993" i="23"/>
  <c r="D8045" i="23"/>
  <c r="D9071" i="23"/>
  <c r="D7019" i="23"/>
  <c r="D10089" i="23"/>
  <c r="D855" i="23"/>
  <c r="D11115" i="23"/>
  <c r="D1881" i="23"/>
  <c r="D12141" i="23"/>
  <c r="D2907" i="23"/>
  <c r="D3933" i="23"/>
  <c r="D5985" i="23"/>
  <c r="D8037" i="23"/>
  <c r="D9063" i="23"/>
  <c r="D7011" i="23"/>
  <c r="D10081" i="23"/>
  <c r="D847" i="23"/>
  <c r="D11107" i="23"/>
  <c r="D1873" i="23"/>
  <c r="D12133" i="23"/>
  <c r="D2899" i="23"/>
  <c r="D3925" i="23"/>
  <c r="D5977" i="23"/>
  <c r="D8029" i="23"/>
  <c r="D9055" i="23"/>
  <c r="D7003" i="23"/>
  <c r="D11372" i="23"/>
  <c r="D9320" i="23"/>
  <c r="D10346" i="23"/>
  <c r="D6242" i="23"/>
  <c r="D8294" i="23"/>
  <c r="D3164" i="23"/>
  <c r="D7268" i="23"/>
  <c r="D2138" i="23"/>
  <c r="D1112" i="23"/>
  <c r="D5216" i="23"/>
  <c r="D86" i="23"/>
  <c r="D11222" i="23"/>
  <c r="D12248" i="23"/>
  <c r="D9170" i="23"/>
  <c r="D8144" i="23"/>
  <c r="D7118" i="23"/>
  <c r="D1988" i="23"/>
  <c r="D6092" i="23"/>
  <c r="D962" i="23"/>
  <c r="D3014" i="23"/>
  <c r="D10196" i="23"/>
  <c r="D4040" i="23"/>
  <c r="D11739" i="23"/>
  <c r="D9687" i="23"/>
  <c r="D8661" i="23"/>
  <c r="D10713" i="23"/>
  <c r="D7635" i="23"/>
  <c r="D3531" i="23"/>
  <c r="D2505" i="23"/>
  <c r="D6609" i="23"/>
  <c r="D5583" i="23"/>
  <c r="D1479" i="23"/>
  <c r="D453" i="23"/>
  <c r="D12026" i="23"/>
  <c r="D11000" i="23"/>
  <c r="D8948" i="23"/>
  <c r="D6896" i="23"/>
  <c r="D9974" i="23"/>
  <c r="D2792" i="23"/>
  <c r="D1766" i="23"/>
  <c r="D7922" i="23"/>
  <c r="D5870" i="23"/>
  <c r="D740" i="23"/>
  <c r="D3818" i="23"/>
  <c r="D11371" i="23"/>
  <c r="D9319" i="23"/>
  <c r="D10345" i="23"/>
  <c r="D8293" i="23"/>
  <c r="D7267" i="23"/>
  <c r="D3163" i="23"/>
  <c r="D2137" i="23"/>
  <c r="D5215" i="23"/>
  <c r="D85" i="23"/>
  <c r="D1111" i="23"/>
  <c r="D6241" i="23"/>
  <c r="D12254" i="23"/>
  <c r="D8150" i="23"/>
  <c r="D11228" i="23"/>
  <c r="D6098" i="23"/>
  <c r="D9176" i="23"/>
  <c r="D4046" i="23"/>
  <c r="D10202" i="23"/>
  <c r="D3020" i="23"/>
  <c r="D968" i="23"/>
  <c r="D7124" i="23"/>
  <c r="D1994" i="23"/>
  <c r="D11221" i="23"/>
  <c r="D12247" i="23"/>
  <c r="D10195" i="23"/>
  <c r="D9169" i="23"/>
  <c r="D7117" i="23"/>
  <c r="D1987" i="23"/>
  <c r="D6091" i="23"/>
  <c r="D3013" i="23"/>
  <c r="D961" i="23"/>
  <c r="D8143" i="23"/>
  <c r="D4039" i="23"/>
  <c r="D12243" i="23"/>
  <c r="D9165" i="23"/>
  <c r="D8139" i="23"/>
  <c r="D4035" i="23"/>
  <c r="D11217" i="23"/>
  <c r="D3009" i="23"/>
  <c r="D6087" i="23"/>
  <c r="D10191" i="23"/>
  <c r="D7113" i="23"/>
  <c r="D957" i="23"/>
  <c r="D1983" i="23"/>
  <c r="D10758" i="23"/>
  <c r="D9732" i="23"/>
  <c r="D7680" i="23"/>
  <c r="D8706" i="23"/>
  <c r="D11784" i="23"/>
  <c r="D1524" i="23"/>
  <c r="D6654" i="23"/>
  <c r="D5628" i="23"/>
  <c r="D498" i="23"/>
  <c r="D2550" i="23"/>
  <c r="D3576" i="23"/>
  <c r="D9746" i="23"/>
  <c r="D8720" i="23"/>
  <c r="D7694" i="23"/>
  <c r="D6668" i="23"/>
  <c r="D5642" i="23"/>
  <c r="D11798" i="23"/>
  <c r="D3590" i="23"/>
  <c r="D512" i="23"/>
  <c r="D2564" i="23"/>
  <c r="D1538" i="23"/>
  <c r="D10772" i="23"/>
  <c r="D11785" i="23"/>
  <c r="D10759" i="23"/>
  <c r="D7681" i="23"/>
  <c r="D6655" i="23"/>
  <c r="D9733" i="23"/>
  <c r="D8707" i="23"/>
  <c r="D2551" i="23"/>
  <c r="D1525" i="23"/>
  <c r="D3577" i="23"/>
  <c r="D5629" i="23"/>
  <c r="D499" i="23"/>
  <c r="D9673" i="23"/>
  <c r="D10699" i="23"/>
  <c r="D8647" i="23"/>
  <c r="D11725" i="23"/>
  <c r="D7621" i="23"/>
  <c r="D5569" i="23"/>
  <c r="D3517" i="23"/>
  <c r="D1465" i="23"/>
  <c r="D6595" i="23"/>
  <c r="D2491" i="23"/>
  <c r="D439" i="23"/>
  <c r="D11731" i="23"/>
  <c r="D9679" i="23"/>
  <c r="D8653" i="23"/>
  <c r="D10705" i="23"/>
  <c r="D3523" i="23"/>
  <c r="D7627" i="23"/>
  <c r="D6601" i="23"/>
  <c r="D2497" i="23"/>
  <c r="D5575" i="23"/>
  <c r="D1471" i="23"/>
  <c r="D445" i="23"/>
  <c r="D11387" i="23"/>
  <c r="D9335" i="23"/>
  <c r="D8309" i="23"/>
  <c r="D7283" i="23"/>
  <c r="D10361" i="23"/>
  <c r="D3179" i="23"/>
  <c r="D2153" i="23"/>
  <c r="D5231" i="23"/>
  <c r="D6257" i="23"/>
  <c r="D1127" i="23"/>
  <c r="D101" i="23"/>
  <c r="D11229" i="23"/>
  <c r="D12255" i="23"/>
  <c r="D10203" i="23"/>
  <c r="D9177" i="23"/>
  <c r="D7125" i="23"/>
  <c r="D1995" i="23"/>
  <c r="D6099" i="23"/>
  <c r="D8151" i="23"/>
  <c r="D3021" i="23"/>
  <c r="D969" i="23"/>
  <c r="D4047" i="23"/>
  <c r="D11780" i="23"/>
  <c r="D9728" i="23"/>
  <c r="D10754" i="23"/>
  <c r="D8702" i="23"/>
  <c r="D7676" i="23"/>
  <c r="D6650" i="23"/>
  <c r="D3572" i="23"/>
  <c r="D2546" i="23"/>
  <c r="D5624" i="23"/>
  <c r="D1520" i="23"/>
  <c r="D494" i="23"/>
  <c r="D9689" i="23"/>
  <c r="D10715" i="23"/>
  <c r="D8663" i="23"/>
  <c r="D11741" i="23"/>
  <c r="D5585" i="23"/>
  <c r="D3533" i="23"/>
  <c r="D7637" i="23"/>
  <c r="D1481" i="23"/>
  <c r="D6611" i="23"/>
  <c r="D2507" i="23"/>
  <c r="D455" i="23"/>
  <c r="D10814" i="23"/>
  <c r="D9788" i="23"/>
  <c r="D8762" i="23"/>
  <c r="D11840" i="23"/>
  <c r="D1580" i="23"/>
  <c r="D5684" i="23"/>
  <c r="D554" i="23"/>
  <c r="D7736" i="23"/>
  <c r="D3632" i="23"/>
  <c r="D2606" i="23"/>
  <c r="D6710" i="23"/>
  <c r="D9338" i="23"/>
  <c r="D11390" i="23"/>
  <c r="D10364" i="23"/>
  <c r="D7286" i="23"/>
  <c r="D8312" i="23"/>
  <c r="D5234" i="23"/>
  <c r="D3182" i="23"/>
  <c r="D2156" i="23"/>
  <c r="D104" i="23"/>
  <c r="D6260" i="23"/>
  <c r="D1130" i="23"/>
  <c r="D11393" i="23"/>
  <c r="D10367" i="23"/>
  <c r="D7289" i="23"/>
  <c r="D8315" i="23"/>
  <c r="D6263" i="23"/>
  <c r="D9341" i="23"/>
  <c r="D2159" i="23"/>
  <c r="D1133" i="23"/>
  <c r="D3185" i="23"/>
  <c r="D5237" i="23"/>
  <c r="D107" i="23"/>
  <c r="D12249" i="23"/>
  <c r="D11223" i="23"/>
  <c r="D10197" i="23"/>
  <c r="D8145" i="23"/>
  <c r="D9171" i="23"/>
  <c r="D3015" i="23"/>
  <c r="D7119" i="23"/>
  <c r="D1989" i="23"/>
  <c r="D4041" i="23"/>
  <c r="D6093" i="23"/>
  <c r="D963" i="23"/>
  <c r="D12244" i="23"/>
  <c r="D10192" i="23"/>
  <c r="D11218" i="23"/>
  <c r="D8140" i="23"/>
  <c r="D7114" i="23"/>
  <c r="D9166" i="23"/>
  <c r="D4036" i="23"/>
  <c r="D3010" i="23"/>
  <c r="D6088" i="23"/>
  <c r="D1984" i="23"/>
  <c r="D958" i="23"/>
  <c r="D11227" i="23"/>
  <c r="D10201" i="23"/>
  <c r="D12253" i="23"/>
  <c r="D6097" i="23"/>
  <c r="D9175" i="23"/>
  <c r="D8149" i="23"/>
  <c r="D4045" i="23"/>
  <c r="D7123" i="23"/>
  <c r="D1993" i="23"/>
  <c r="D3019" i="23"/>
  <c r="D967" i="23"/>
  <c r="D11801" i="23"/>
  <c r="D10775" i="23"/>
  <c r="D7697" i="23"/>
  <c r="D6671" i="23"/>
  <c r="D8723" i="23"/>
  <c r="D9749" i="23"/>
  <c r="D2567" i="23"/>
  <c r="D1541" i="23"/>
  <c r="D3593" i="23"/>
  <c r="D5645" i="23"/>
  <c r="D515" i="23"/>
  <c r="D11787" i="23"/>
  <c r="D9735" i="23"/>
  <c r="D10761" i="23"/>
  <c r="D8709" i="23"/>
  <c r="D3579" i="23"/>
  <c r="D2553" i="23"/>
  <c r="D6657" i="23"/>
  <c r="D5631" i="23"/>
  <c r="D1527" i="23"/>
  <c r="D7683" i="23"/>
  <c r="D501" i="23"/>
  <c r="D10757" i="23"/>
  <c r="D9731" i="23"/>
  <c r="D11783" i="23"/>
  <c r="D7679" i="23"/>
  <c r="D6653" i="23"/>
  <c r="D1523" i="23"/>
  <c r="D5627" i="23"/>
  <c r="D2549" i="23"/>
  <c r="D497" i="23"/>
  <c r="D8705" i="23"/>
  <c r="D3575" i="23"/>
  <c r="D11721" i="23"/>
  <c r="D10695" i="23"/>
  <c r="D7617" i="23"/>
  <c r="D9669" i="23"/>
  <c r="D6591" i="23"/>
  <c r="D8643" i="23"/>
  <c r="D2487" i="23"/>
  <c r="D1461" i="23"/>
  <c r="D3513" i="23"/>
  <c r="D5565" i="23"/>
  <c r="D435" i="23"/>
  <c r="D11738" i="23"/>
  <c r="D10712" i="23"/>
  <c r="D8660" i="23"/>
  <c r="D6608" i="23"/>
  <c r="D9686" i="23"/>
  <c r="D2504" i="23"/>
  <c r="D1478" i="23"/>
  <c r="D5582" i="23"/>
  <c r="D3530" i="23"/>
  <c r="D452" i="23"/>
  <c r="D7634" i="23"/>
  <c r="D11747" i="23"/>
  <c r="D9695" i="23"/>
  <c r="D10721" i="23"/>
  <c r="D8669" i="23"/>
  <c r="D7643" i="23"/>
  <c r="D3539" i="23"/>
  <c r="D6617" i="23"/>
  <c r="D2513" i="23"/>
  <c r="D5591" i="23"/>
  <c r="D1487" i="23"/>
  <c r="D461" i="23"/>
  <c r="D10710" i="23"/>
  <c r="D9684" i="23"/>
  <c r="D7632" i="23"/>
  <c r="D11736" i="23"/>
  <c r="D8658" i="23"/>
  <c r="D1476" i="23"/>
  <c r="D5580" i="23"/>
  <c r="D6606" i="23"/>
  <c r="D3528" i="23"/>
  <c r="D450" i="23"/>
  <c r="D2502" i="23"/>
  <c r="D10358" i="23"/>
  <c r="D9332" i="23"/>
  <c r="D7280" i="23"/>
  <c r="D11384" i="23"/>
  <c r="D8306" i="23"/>
  <c r="D1124" i="23"/>
  <c r="D5228" i="23"/>
  <c r="D98" i="23"/>
  <c r="D3176" i="23"/>
  <c r="D2150" i="23"/>
  <c r="D6254" i="23"/>
  <c r="D11795" i="23"/>
  <c r="D9743" i="23"/>
  <c r="D8717" i="23"/>
  <c r="D10769" i="23"/>
  <c r="D7691" i="23"/>
  <c r="D3587" i="23"/>
  <c r="D2561" i="23"/>
  <c r="D5639" i="23"/>
  <c r="D6665" i="23"/>
  <c r="D1535" i="23"/>
  <c r="D509" i="23"/>
  <c r="D11394" i="23"/>
  <c r="D10368" i="23"/>
  <c r="D8316" i="23"/>
  <c r="D6264" i="23"/>
  <c r="D2160" i="23"/>
  <c r="D7290" i="23"/>
  <c r="D1134" i="23"/>
  <c r="D9342" i="23"/>
  <c r="D5238" i="23"/>
  <c r="D108" i="23"/>
  <c r="D3186" i="23"/>
  <c r="D11380" i="23"/>
  <c r="D9328" i="23"/>
  <c r="D8302" i="23"/>
  <c r="D6250" i="23"/>
  <c r="D3172" i="23"/>
  <c r="D2146" i="23"/>
  <c r="D7276" i="23"/>
  <c r="D94" i="23"/>
  <c r="D10354" i="23"/>
  <c r="D1120" i="23"/>
  <c r="D5224" i="23"/>
  <c r="D11377" i="23"/>
  <c r="D10351" i="23"/>
  <c r="D7273" i="23"/>
  <c r="D9325" i="23"/>
  <c r="D8299" i="23"/>
  <c r="D6247" i="23"/>
  <c r="D2143" i="23"/>
  <c r="D1117" i="23"/>
  <c r="D3169" i="23"/>
  <c r="D91" i="23"/>
  <c r="D5221" i="23"/>
  <c r="D11211" i="23"/>
  <c r="D12237" i="23"/>
  <c r="D10185" i="23"/>
  <c r="D9159" i="23"/>
  <c r="D6081" i="23"/>
  <c r="D7107" i="23"/>
  <c r="D8133" i="23"/>
  <c r="D4029" i="23"/>
  <c r="D1977" i="23"/>
  <c r="D3003" i="23"/>
  <c r="D951" i="23"/>
  <c r="D11214" i="23"/>
  <c r="D12240" i="23"/>
  <c r="D9162" i="23"/>
  <c r="D10188" i="23"/>
  <c r="D1980" i="23"/>
  <c r="D7110" i="23"/>
  <c r="D6084" i="23"/>
  <c r="D8136" i="23"/>
  <c r="D4032" i="23"/>
  <c r="D954" i="23"/>
  <c r="D3006" i="23"/>
  <c r="D11794" i="23"/>
  <c r="D10768" i="23"/>
  <c r="D9742" i="23"/>
  <c r="D8716" i="23"/>
  <c r="D6664" i="23"/>
  <c r="D7690" i="23"/>
  <c r="D2560" i="23"/>
  <c r="D1534" i="23"/>
  <c r="D3586" i="23"/>
  <c r="D508" i="23"/>
  <c r="D5638" i="23"/>
  <c r="D9738" i="23"/>
  <c r="D7686" i="23"/>
  <c r="D11790" i="23"/>
  <c r="D5634" i="23"/>
  <c r="D3582" i="23"/>
  <c r="D8712" i="23"/>
  <c r="D504" i="23"/>
  <c r="D1530" i="23"/>
  <c r="D10764" i="23"/>
  <c r="D2556" i="23"/>
  <c r="D6660" i="23"/>
  <c r="D9737" i="23"/>
  <c r="D10763" i="23"/>
  <c r="D8711" i="23"/>
  <c r="D11789" i="23"/>
  <c r="D7685" i="23"/>
  <c r="D5633" i="23"/>
  <c r="D3581" i="23"/>
  <c r="D1529" i="23"/>
  <c r="D6659" i="23"/>
  <c r="D2555" i="23"/>
  <c r="D503" i="23"/>
  <c r="D10701" i="23"/>
  <c r="D9675" i="23"/>
  <c r="D11727" i="23"/>
  <c r="D8649" i="23"/>
  <c r="D7623" i="23"/>
  <c r="D6597" i="23"/>
  <c r="D1467" i="23"/>
  <c r="D5571" i="23"/>
  <c r="D2493" i="23"/>
  <c r="D441" i="23"/>
  <c r="D3519" i="23"/>
  <c r="D11730" i="23"/>
  <c r="D10704" i="23"/>
  <c r="D8652" i="23"/>
  <c r="D6600" i="23"/>
  <c r="D9678" i="23"/>
  <c r="D7626" i="23"/>
  <c r="D2496" i="23"/>
  <c r="D1470" i="23"/>
  <c r="D444" i="23"/>
  <c r="D5574" i="23"/>
  <c r="D3522" i="23"/>
  <c r="D10718" i="23"/>
  <c r="D9692" i="23"/>
  <c r="D7640" i="23"/>
  <c r="D11744" i="23"/>
  <c r="D8666" i="23"/>
  <c r="D6614" i="23"/>
  <c r="D1484" i="23"/>
  <c r="D5588" i="23"/>
  <c r="D458" i="23"/>
  <c r="D3536" i="23"/>
  <c r="D2510" i="23"/>
  <c r="D10702" i="23"/>
  <c r="D9676" i="23"/>
  <c r="D11728" i="23"/>
  <c r="D7624" i="23"/>
  <c r="D8650" i="23"/>
  <c r="D6598" i="23"/>
  <c r="D1468" i="23"/>
  <c r="D5572" i="23"/>
  <c r="D2494" i="23"/>
  <c r="D442" i="23"/>
  <c r="D3520" i="23"/>
  <c r="D10749" i="23"/>
  <c r="D9723" i="23"/>
  <c r="D11775" i="23"/>
  <c r="D8697" i="23"/>
  <c r="D6645" i="23"/>
  <c r="D1515" i="23"/>
  <c r="D5619" i="23"/>
  <c r="D7671" i="23"/>
  <c r="D2541" i="23"/>
  <c r="D3567" i="23"/>
  <c r="D489" i="23"/>
  <c r="D11370" i="23"/>
  <c r="D10344" i="23"/>
  <c r="D8292" i="23"/>
  <c r="D7266" i="23"/>
  <c r="D6240" i="23"/>
  <c r="D2136" i="23"/>
  <c r="D9318" i="23"/>
  <c r="D1110" i="23"/>
  <c r="D5214" i="23"/>
  <c r="D84" i="23"/>
  <c r="D3162" i="23"/>
  <c r="D12235" i="23"/>
  <c r="D9157" i="23"/>
  <c r="D8131" i="23"/>
  <c r="D10183" i="23"/>
  <c r="D11209" i="23"/>
  <c r="D7105" i="23"/>
  <c r="D4027" i="23"/>
  <c r="D3001" i="23"/>
  <c r="D6079" i="23"/>
  <c r="D1975" i="23"/>
  <c r="D949" i="23"/>
  <c r="D10766" i="23"/>
  <c r="D9740" i="23"/>
  <c r="D11792" i="23"/>
  <c r="D7688" i="23"/>
  <c r="D8714" i="23"/>
  <c r="D1532" i="23"/>
  <c r="D5636" i="23"/>
  <c r="D6662" i="23"/>
  <c r="D3584" i="23"/>
  <c r="D2558" i="23"/>
  <c r="D506" i="23"/>
  <c r="D9681" i="23"/>
  <c r="D10707" i="23"/>
  <c r="D11733" i="23"/>
  <c r="D8655" i="23"/>
  <c r="D5577" i="23"/>
  <c r="D3525" i="23"/>
  <c r="D7629" i="23"/>
  <c r="D6603" i="23"/>
  <c r="D1473" i="23"/>
  <c r="D2499" i="23"/>
  <c r="D447" i="23"/>
  <c r="D11386" i="23"/>
  <c r="D10360" i="23"/>
  <c r="D8308" i="23"/>
  <c r="D6256" i="23"/>
  <c r="D9334" i="23"/>
  <c r="D2152" i="23"/>
  <c r="D1126" i="23"/>
  <c r="D5230" i="23"/>
  <c r="D3178" i="23"/>
  <c r="D100" i="23"/>
  <c r="D7282" i="23"/>
  <c r="D11385" i="23"/>
  <c r="D10359" i="23"/>
  <c r="D9333" i="23"/>
  <c r="D7281" i="23"/>
  <c r="D6255" i="23"/>
  <c r="D2151" i="23"/>
  <c r="D1125" i="23"/>
  <c r="D8307" i="23"/>
  <c r="D3177" i="23"/>
  <c r="D5229" i="23"/>
  <c r="D99" i="23"/>
  <c r="D11379" i="23"/>
  <c r="D9327" i="23"/>
  <c r="D8301" i="23"/>
  <c r="D7275" i="23"/>
  <c r="D3171" i="23"/>
  <c r="D6249" i="23"/>
  <c r="D2145" i="23"/>
  <c r="D10353" i="23"/>
  <c r="D5223" i="23"/>
  <c r="D93" i="23"/>
  <c r="D1119" i="23"/>
  <c r="D10349" i="23"/>
  <c r="D9323" i="23"/>
  <c r="D11375" i="23"/>
  <c r="D6245" i="23"/>
  <c r="D1115" i="23"/>
  <c r="D8297" i="23"/>
  <c r="D5219" i="23"/>
  <c r="D89" i="23"/>
  <c r="D2141" i="23"/>
  <c r="D3167" i="23"/>
  <c r="D7271" i="23"/>
  <c r="D11378" i="23"/>
  <c r="D10352" i="23"/>
  <c r="D8300" i="23"/>
  <c r="D9326" i="23"/>
  <c r="D6248" i="23"/>
  <c r="D2144" i="23"/>
  <c r="D1118" i="23"/>
  <c r="D3170" i="23"/>
  <c r="D7274" i="23"/>
  <c r="D5222" i="23"/>
  <c r="D92" i="23"/>
  <c r="D12251" i="23"/>
  <c r="D11225" i="23"/>
  <c r="D9173" i="23"/>
  <c r="D8147" i="23"/>
  <c r="D10199" i="23"/>
  <c r="D4043" i="23"/>
  <c r="D3017" i="23"/>
  <c r="D6095" i="23"/>
  <c r="D1991" i="23"/>
  <c r="D7121" i="23"/>
  <c r="D965" i="23"/>
  <c r="D11213" i="23"/>
  <c r="D12239" i="23"/>
  <c r="D10187" i="23"/>
  <c r="D7109" i="23"/>
  <c r="D1979" i="23"/>
  <c r="D6083" i="23"/>
  <c r="D8135" i="23"/>
  <c r="D3005" i="23"/>
  <c r="D4031" i="23"/>
  <c r="D953" i="23"/>
  <c r="D9161" i="23"/>
  <c r="D11219" i="23"/>
  <c r="D10193" i="23"/>
  <c r="D12245" i="23"/>
  <c r="D6089" i="23"/>
  <c r="D4037" i="23"/>
  <c r="D8141" i="23"/>
  <c r="D7115" i="23"/>
  <c r="D1985" i="23"/>
  <c r="D3011" i="23"/>
  <c r="D959" i="23"/>
  <c r="D9167" i="23"/>
  <c r="D12242" i="23"/>
  <c r="D11216" i="23"/>
  <c r="D9164" i="23"/>
  <c r="D10190" i="23"/>
  <c r="D7112" i="23"/>
  <c r="D3008" i="23"/>
  <c r="D1982" i="23"/>
  <c r="D8138" i="23"/>
  <c r="D4034" i="23"/>
  <c r="D6086" i="23"/>
  <c r="D956" i="23"/>
  <c r="D12258" i="23"/>
  <c r="D11232" i="23"/>
  <c r="D9180" i="23"/>
  <c r="D10206" i="23"/>
  <c r="D3024" i="23"/>
  <c r="D7128" i="23"/>
  <c r="D1998" i="23"/>
  <c r="D4050" i="23"/>
  <c r="D972" i="23"/>
  <c r="D8154" i="23"/>
  <c r="D6102" i="23"/>
  <c r="D11793" i="23"/>
  <c r="D10767" i="23"/>
  <c r="D7689" i="23"/>
  <c r="D6663" i="23"/>
  <c r="D2559" i="23"/>
  <c r="D1533" i="23"/>
  <c r="D3585" i="23"/>
  <c r="D9741" i="23"/>
  <c r="D507" i="23"/>
  <c r="D8715" i="23"/>
  <c r="D5637" i="23"/>
  <c r="D11788" i="23"/>
  <c r="D10762" i="23"/>
  <c r="D9736" i="23"/>
  <c r="D6658" i="23"/>
  <c r="D7684" i="23"/>
  <c r="D3580" i="23"/>
  <c r="D2554" i="23"/>
  <c r="D1528" i="23"/>
  <c r="D8710" i="23"/>
  <c r="D502" i="23"/>
  <c r="D5632" i="23"/>
  <c r="D11777" i="23"/>
  <c r="D10751" i="23"/>
  <c r="D9725" i="23"/>
  <c r="D7673" i="23"/>
  <c r="D6647" i="23"/>
  <c r="D2543" i="23"/>
  <c r="D1517" i="23"/>
  <c r="D8699" i="23"/>
  <c r="D3569" i="23"/>
  <c r="D5621" i="23"/>
  <c r="D491" i="23"/>
  <c r="D11737" i="23"/>
  <c r="D10711" i="23"/>
  <c r="D9685" i="23"/>
  <c r="D7633" i="23"/>
  <c r="D6607" i="23"/>
  <c r="D8659" i="23"/>
  <c r="D2503" i="23"/>
  <c r="D1477" i="23"/>
  <c r="D3529" i="23"/>
  <c r="D5581" i="23"/>
  <c r="D451" i="23"/>
  <c r="D9690" i="23"/>
  <c r="D10716" i="23"/>
  <c r="D8664" i="23"/>
  <c r="D7638" i="23"/>
  <c r="D6612" i="23"/>
  <c r="D5586" i="23"/>
  <c r="D3534" i="23"/>
  <c r="D11742" i="23"/>
  <c r="D1482" i="23"/>
  <c r="D456" i="23"/>
  <c r="D2508" i="23"/>
  <c r="D9682" i="23"/>
  <c r="D7630" i="23"/>
  <c r="D11734" i="23"/>
  <c r="D10708" i="23"/>
  <c r="D5578" i="23"/>
  <c r="D3526" i="23"/>
  <c r="D448" i="23"/>
  <c r="D2500" i="23"/>
  <c r="D8656" i="23"/>
  <c r="D6604" i="23"/>
  <c r="D1474" i="23"/>
  <c r="D9858" i="23"/>
  <c r="D11910" i="23"/>
  <c r="D10884" i="23"/>
  <c r="D8832" i="23"/>
  <c r="D7806" i="23"/>
  <c r="D5754" i="23"/>
  <c r="D6780" i="23"/>
  <c r="D3702" i="23"/>
  <c r="D2676" i="23"/>
  <c r="D624" i="23"/>
  <c r="D1650" i="23"/>
  <c r="D10366" i="23"/>
  <c r="D9340" i="23"/>
  <c r="D7288" i="23"/>
  <c r="D11392" i="23"/>
  <c r="D8314" i="23"/>
  <c r="D6262" i="23"/>
  <c r="D1132" i="23"/>
  <c r="D5236" i="23"/>
  <c r="D2158" i="23"/>
  <c r="D106" i="23"/>
  <c r="D3184" i="23"/>
  <c r="D10357" i="23"/>
  <c r="D9331" i="23"/>
  <c r="D11383" i="23"/>
  <c r="D7279" i="23"/>
  <c r="D8305" i="23"/>
  <c r="D6253" i="23"/>
  <c r="D1123" i="23"/>
  <c r="D5227" i="23"/>
  <c r="D97" i="23"/>
  <c r="D2149" i="23"/>
  <c r="D3175" i="23"/>
  <c r="D9322" i="23"/>
  <c r="D10348" i="23"/>
  <c r="D7270" i="23"/>
  <c r="D11374" i="23"/>
  <c r="D8296" i="23"/>
  <c r="D5218" i="23"/>
  <c r="D88" i="23"/>
  <c r="D3166" i="23"/>
  <c r="D2140" i="23"/>
  <c r="D1114" i="23"/>
  <c r="D6244" i="23"/>
  <c r="D10350" i="23"/>
  <c r="D9324" i="23"/>
  <c r="D7272" i="23"/>
  <c r="D11376" i="23"/>
  <c r="D8298" i="23"/>
  <c r="D6246" i="23"/>
  <c r="D1116" i="23"/>
  <c r="D5220" i="23"/>
  <c r="D90" i="23"/>
  <c r="D3168" i="23"/>
  <c r="D2142" i="23"/>
  <c r="D11396" i="23"/>
  <c r="D10370" i="23"/>
  <c r="D9344" i="23"/>
  <c r="D8318" i="23"/>
  <c r="D7292" i="23"/>
  <c r="D6266" i="23"/>
  <c r="D3188" i="23"/>
  <c r="D2162" i="23"/>
  <c r="D1136" i="23"/>
  <c r="D110" i="23"/>
  <c r="D5240" i="23"/>
  <c r="D12252" i="23"/>
  <c r="D10200" i="23"/>
  <c r="D11226" i="23"/>
  <c r="D8148" i="23"/>
  <c r="D9174" i="23"/>
  <c r="D4044" i="23"/>
  <c r="D3018" i="23"/>
  <c r="D7122" i="23"/>
  <c r="D1992" i="23"/>
  <c r="D6096" i="23"/>
  <c r="D966" i="23"/>
  <c r="D12260" i="23"/>
  <c r="D10208" i="23"/>
  <c r="D9182" i="23"/>
  <c r="D8156" i="23"/>
  <c r="D4052" i="23"/>
  <c r="D11234" i="23"/>
  <c r="D3026" i="23"/>
  <c r="D7130" i="23"/>
  <c r="D2000" i="23"/>
  <c r="D6104" i="23"/>
  <c r="D974" i="23"/>
  <c r="D12238" i="23"/>
  <c r="D11212" i="23"/>
  <c r="D9160" i="23"/>
  <c r="D8134" i="23"/>
  <c r="D6082" i="23"/>
  <c r="D10186" i="23"/>
  <c r="D7108" i="23"/>
  <c r="D4030" i="23"/>
  <c r="D952" i="23"/>
  <c r="D3004" i="23"/>
  <c r="D1978" i="23"/>
  <c r="D9745" i="23"/>
  <c r="D10771" i="23"/>
  <c r="D11797" i="23"/>
  <c r="D8719" i="23"/>
  <c r="D6667" i="23"/>
  <c r="D5641" i="23"/>
  <c r="D3589" i="23"/>
  <c r="D7693" i="23"/>
  <c r="D1537" i="23"/>
  <c r="D2563" i="23"/>
  <c r="D511" i="23"/>
  <c r="D11779" i="23"/>
  <c r="D9727" i="23"/>
  <c r="D8701" i="23"/>
  <c r="D10753" i="23"/>
  <c r="D3571" i="23"/>
  <c r="D2545" i="23"/>
  <c r="D5623" i="23"/>
  <c r="D7675" i="23"/>
  <c r="D493" i="23"/>
  <c r="D1519" i="23"/>
  <c r="D6649" i="23"/>
  <c r="D9729" i="23"/>
  <c r="D10755" i="23"/>
  <c r="D11781" i="23"/>
  <c r="D8703" i="23"/>
  <c r="D7677" i="23"/>
  <c r="D6651" i="23"/>
  <c r="D5625" i="23"/>
  <c r="D3573" i="23"/>
  <c r="D1521" i="23"/>
  <c r="D2547" i="23"/>
  <c r="D495" i="23"/>
  <c r="D11745" i="23"/>
  <c r="D10719" i="23"/>
  <c r="D7641" i="23"/>
  <c r="D6615" i="23"/>
  <c r="D2511" i="23"/>
  <c r="D9693" i="23"/>
  <c r="D1485" i="23"/>
  <c r="D3537" i="23"/>
  <c r="D5589" i="23"/>
  <c r="D459" i="23"/>
  <c r="D8667" i="23"/>
  <c r="D11723" i="23"/>
  <c r="D9671" i="23"/>
  <c r="D10697" i="23"/>
  <c r="D8645" i="23"/>
  <c r="D3515" i="23"/>
  <c r="D2489" i="23"/>
  <c r="D6593" i="23"/>
  <c r="D5567" i="23"/>
  <c r="D1463" i="23"/>
  <c r="D7619" i="23"/>
  <c r="D437" i="23"/>
  <c r="D9674" i="23"/>
  <c r="D8648" i="23"/>
  <c r="D11726" i="23"/>
  <c r="D7622" i="23"/>
  <c r="D6596" i="23"/>
  <c r="D5570" i="23"/>
  <c r="D3518" i="23"/>
  <c r="D440" i="23"/>
  <c r="D10700" i="23"/>
  <c r="D1466" i="23"/>
  <c r="D2492" i="23"/>
  <c r="D10365" i="23"/>
  <c r="D9339" i="23"/>
  <c r="D11391" i="23"/>
  <c r="D7287" i="23"/>
  <c r="D6261" i="23"/>
  <c r="D1131" i="23"/>
  <c r="D5235" i="23"/>
  <c r="D2157" i="23"/>
  <c r="D105" i="23"/>
  <c r="D8313" i="23"/>
  <c r="D3183" i="23"/>
  <c r="D9330" i="23"/>
  <c r="D10356" i="23"/>
  <c r="D7278" i="23"/>
  <c r="D11382" i="23"/>
  <c r="D5226" i="23"/>
  <c r="D96" i="23"/>
  <c r="D8304" i="23"/>
  <c r="D6252" i="23"/>
  <c r="D3174" i="23"/>
  <c r="D1122" i="23"/>
  <c r="D2148" i="23"/>
  <c r="D9321" i="23"/>
  <c r="D10347" i="23"/>
  <c r="D11373" i="23"/>
  <c r="D8295" i="23"/>
  <c r="D7269" i="23"/>
  <c r="D5217" i="23"/>
  <c r="D87" i="23"/>
  <c r="D3165" i="23"/>
  <c r="D6243" i="23"/>
  <c r="D1113" i="23"/>
  <c r="D2139" i="23"/>
  <c r="D11395" i="23"/>
  <c r="D9343" i="23"/>
  <c r="D8317" i="23"/>
  <c r="D7291" i="23"/>
  <c r="D10369" i="23"/>
  <c r="D3187" i="23"/>
  <c r="D6265" i="23"/>
  <c r="D2161" i="23"/>
  <c r="D5239" i="23"/>
  <c r="D1135" i="23"/>
  <c r="D109" i="23"/>
  <c r="D9168" i="23"/>
  <c r="D12246" i="23"/>
  <c r="D8142" i="23"/>
  <c r="D10194" i="23"/>
  <c r="D6090" i="23"/>
  <c r="D11220" i="23"/>
  <c r="D4038" i="23"/>
  <c r="D960" i="23"/>
  <c r="D7116" i="23"/>
  <c r="D3012" i="23"/>
  <c r="D1986" i="23"/>
  <c r="D11230" i="23"/>
  <c r="D12256" i="23"/>
  <c r="D9178" i="23"/>
  <c r="D10204" i="23"/>
  <c r="D7126" i="23"/>
  <c r="D1996" i="23"/>
  <c r="D6100" i="23"/>
  <c r="D4048" i="23"/>
  <c r="D3022" i="23"/>
  <c r="D970" i="23"/>
  <c r="D8152" i="23"/>
  <c r="D12234" i="23"/>
  <c r="D11208" i="23"/>
  <c r="D9156" i="23"/>
  <c r="D10182" i="23"/>
  <c r="D7104" i="23"/>
  <c r="D8130" i="23"/>
  <c r="D3000" i="23"/>
  <c r="D1974" i="23"/>
  <c r="D4026" i="23"/>
  <c r="D6078" i="23"/>
  <c r="D948" i="23"/>
  <c r="D12236" i="23"/>
  <c r="D10184" i="23"/>
  <c r="D11210" i="23"/>
  <c r="D8132" i="23"/>
  <c r="D7106" i="23"/>
  <c r="D4028" i="23"/>
  <c r="D3002" i="23"/>
  <c r="D9158" i="23"/>
  <c r="D1976" i="23"/>
  <c r="D950" i="23"/>
  <c r="D6080" i="23"/>
  <c r="D12257" i="23"/>
  <c r="D11231" i="23"/>
  <c r="D8153" i="23"/>
  <c r="D3023" i="23"/>
  <c r="D7127" i="23"/>
  <c r="D1997" i="23"/>
  <c r="D9179" i="23"/>
  <c r="D4049" i="23"/>
  <c r="D971" i="23"/>
  <c r="D6101" i="23"/>
  <c r="D10205" i="23"/>
  <c r="D10773" i="23"/>
  <c r="D9747" i="23"/>
  <c r="D11799" i="23"/>
  <c r="D6669" i="23"/>
  <c r="D8721" i="23"/>
  <c r="D1539" i="23"/>
  <c r="D5643" i="23"/>
  <c r="D2565" i="23"/>
  <c r="D513" i="23"/>
  <c r="D3591" i="23"/>
  <c r="D7695" i="23"/>
  <c r="D11796" i="23"/>
  <c r="D9744" i="23"/>
  <c r="D8718" i="23"/>
  <c r="D6666" i="23"/>
  <c r="D10770" i="23"/>
  <c r="D3588" i="23"/>
  <c r="D7692" i="23"/>
  <c r="D2562" i="23"/>
  <c r="D5640" i="23"/>
  <c r="D1536" i="23"/>
  <c r="D510" i="23"/>
  <c r="D10750" i="23"/>
  <c r="D9724" i="23"/>
  <c r="D7672" i="23"/>
  <c r="D8698" i="23"/>
  <c r="D11776" i="23"/>
  <c r="D1516" i="23"/>
  <c r="D5620" i="23"/>
  <c r="D6646" i="23"/>
  <c r="D3568" i="23"/>
  <c r="D2542" i="23"/>
  <c r="D490" i="23"/>
  <c r="D11778" i="23"/>
  <c r="D10752" i="23"/>
  <c r="D8700" i="23"/>
  <c r="D6648" i="23"/>
  <c r="D9726" i="23"/>
  <c r="D7674" i="23"/>
  <c r="D2544" i="23"/>
  <c r="D1518" i="23"/>
  <c r="D5622" i="23"/>
  <c r="D3570" i="23"/>
  <c r="D492" i="23"/>
  <c r="D10709" i="23"/>
  <c r="D9683" i="23"/>
  <c r="D11735" i="23"/>
  <c r="D7631" i="23"/>
  <c r="D6605" i="23"/>
  <c r="D1475" i="23"/>
  <c r="D5579" i="23"/>
  <c r="D2501" i="23"/>
  <c r="D3527" i="23"/>
  <c r="D449" i="23"/>
  <c r="D8657" i="23"/>
  <c r="D11740" i="23"/>
  <c r="D9688" i="23"/>
  <c r="D6610" i="23"/>
  <c r="D3532" i="23"/>
  <c r="D2506" i="23"/>
  <c r="D8662" i="23"/>
  <c r="D10714" i="23"/>
  <c r="D5584" i="23"/>
  <c r="D7636" i="23"/>
  <c r="D454" i="23"/>
  <c r="D1480" i="23"/>
  <c r="D11732" i="23"/>
  <c r="D9680" i="23"/>
  <c r="D8654" i="23"/>
  <c r="D6602" i="23"/>
  <c r="D7628" i="23"/>
  <c r="D3524" i="23"/>
  <c r="D2498" i="23"/>
  <c r="D10706" i="23"/>
  <c r="D1472" i="23"/>
  <c r="D446" i="23"/>
  <c r="D5576" i="23"/>
  <c r="D9337" i="23"/>
  <c r="D10363" i="23"/>
  <c r="D8311" i="23"/>
  <c r="D5233" i="23"/>
  <c r="D11389" i="23"/>
  <c r="D7285" i="23"/>
  <c r="D3181" i="23"/>
  <c r="D6259" i="23"/>
  <c r="D1129" i="23"/>
  <c r="D103" i="23"/>
  <c r="D2155" i="23"/>
  <c r="D9329" i="23"/>
  <c r="D10355" i="23"/>
  <c r="D8303" i="23"/>
  <c r="D7277" i="23"/>
  <c r="D11381" i="23"/>
  <c r="D5225" i="23"/>
  <c r="D95" i="23"/>
  <c r="D6251" i="23"/>
  <c r="D3173" i="23"/>
  <c r="D1121" i="23"/>
  <c r="D2147" i="23"/>
  <c r="D11388" i="23"/>
  <c r="D10362" i="23"/>
  <c r="D9336" i="23"/>
  <c r="D6258" i="23"/>
  <c r="D7284" i="23"/>
  <c r="D3180" i="23"/>
  <c r="D2154" i="23"/>
  <c r="D1128" i="23"/>
  <c r="D5232" i="23"/>
  <c r="D8310" i="23"/>
  <c r="D102" i="23"/>
  <c r="D12259" i="23"/>
  <c r="D9181" i="23"/>
  <c r="D11233" i="23"/>
  <c r="D8155" i="23"/>
  <c r="D10207" i="23"/>
  <c r="D4051" i="23"/>
  <c r="D3025" i="23"/>
  <c r="D6103" i="23"/>
  <c r="D7129" i="23"/>
  <c r="D1999" i="23"/>
  <c r="D973" i="23"/>
  <c r="D12241" i="23"/>
  <c r="D11215" i="23"/>
  <c r="D8137" i="23"/>
  <c r="D3007" i="23"/>
  <c r="D1981" i="23"/>
  <c r="D10189" i="23"/>
  <c r="D9163" i="23"/>
  <c r="D4033" i="23"/>
  <c r="D955" i="23"/>
  <c r="D7111" i="23"/>
  <c r="D6085" i="23"/>
  <c r="D12250" i="23"/>
  <c r="D11224" i="23"/>
  <c r="D9172" i="23"/>
  <c r="D10198" i="23"/>
  <c r="D8146" i="23"/>
  <c r="D3016" i="23"/>
  <c r="D7120" i="23"/>
  <c r="D1990" i="23"/>
  <c r="D6094" i="23"/>
  <c r="D4042" i="23"/>
  <c r="D964" i="23"/>
  <c r="D10765" i="23"/>
  <c r="D9739" i="23"/>
  <c r="D11791" i="23"/>
  <c r="D7687" i="23"/>
  <c r="D8713" i="23"/>
  <c r="D6661" i="23"/>
  <c r="D1531" i="23"/>
  <c r="D5635" i="23"/>
  <c r="D2557" i="23"/>
  <c r="D505" i="23"/>
  <c r="D3583" i="23"/>
  <c r="D11786" i="23"/>
  <c r="D10760" i="23"/>
  <c r="D8708" i="23"/>
  <c r="D6656" i="23"/>
  <c r="D2552" i="23"/>
  <c r="D1526" i="23"/>
  <c r="D9734" i="23"/>
  <c r="D7682" i="23"/>
  <c r="D5630" i="23"/>
  <c r="D500" i="23"/>
  <c r="D3578" i="23"/>
  <c r="D9730" i="23"/>
  <c r="D11782" i="23"/>
  <c r="D8704" i="23"/>
  <c r="D6652" i="23"/>
  <c r="D5626" i="23"/>
  <c r="D10756" i="23"/>
  <c r="D3574" i="23"/>
  <c r="D496" i="23"/>
  <c r="D7678" i="23"/>
  <c r="D2548" i="23"/>
  <c r="D1522" i="23"/>
  <c r="D10774" i="23"/>
  <c r="D9748" i="23"/>
  <c r="D7696" i="23"/>
  <c r="D11800" i="23"/>
  <c r="D8722" i="23"/>
  <c r="D1540" i="23"/>
  <c r="D6670" i="23"/>
  <c r="D5644" i="23"/>
  <c r="D514" i="23"/>
  <c r="D3592" i="23"/>
  <c r="D2566" i="23"/>
  <c r="D11729" i="23"/>
  <c r="D10703" i="23"/>
  <c r="D7625" i="23"/>
  <c r="D9677" i="23"/>
  <c r="D6599" i="23"/>
  <c r="D2495" i="23"/>
  <c r="D1469" i="23"/>
  <c r="D8651" i="23"/>
  <c r="D3521" i="23"/>
  <c r="D443" i="23"/>
  <c r="D5573" i="23"/>
  <c r="D10717" i="23"/>
  <c r="D9691" i="23"/>
  <c r="D11743" i="23"/>
  <c r="D8665" i="23"/>
  <c r="D6613" i="23"/>
  <c r="D1483" i="23"/>
  <c r="D5587" i="23"/>
  <c r="D2509" i="23"/>
  <c r="D457" i="23"/>
  <c r="D3535" i="23"/>
  <c r="D7639" i="23"/>
  <c r="D11722" i="23"/>
  <c r="D10696" i="23"/>
  <c r="D8644" i="23"/>
  <c r="D9670" i="23"/>
  <c r="D6592" i="23"/>
  <c r="D7618" i="23"/>
  <c r="D2488" i="23"/>
  <c r="D1462" i="23"/>
  <c r="D5566" i="23"/>
  <c r="D3514" i="23"/>
  <c r="D436" i="23"/>
  <c r="D11746" i="23"/>
  <c r="D10720" i="23"/>
  <c r="D8668" i="23"/>
  <c r="D7642" i="23"/>
  <c r="D6616" i="23"/>
  <c r="D9694" i="23"/>
  <c r="D2512" i="23"/>
  <c r="D1486" i="23"/>
  <c r="D5590" i="23"/>
  <c r="D460" i="23"/>
  <c r="D3538" i="23"/>
  <c r="D11724" i="23"/>
  <c r="D10698" i="23"/>
  <c r="D7620" i="23"/>
  <c r="D9672" i="23"/>
  <c r="D6594" i="23"/>
  <c r="D3516" i="23"/>
  <c r="D8646" i="23"/>
  <c r="D2490" i="23"/>
  <c r="D1464" i="23"/>
  <c r="D5568" i="23"/>
  <c r="D438" i="23"/>
  <c r="D11165" i="23"/>
  <c r="D10139" i="23"/>
  <c r="D12191" i="23"/>
  <c r="D7061" i="23"/>
  <c r="D1931" i="23"/>
  <c r="D9113" i="23"/>
  <c r="D6035" i="23"/>
  <c r="D8087" i="23"/>
  <c r="D2957" i="23"/>
  <c r="D905" i="23"/>
  <c r="D3983" i="23"/>
  <c r="AB8" i="5"/>
  <c r="AB36" i="5"/>
  <c r="L6" i="19"/>
  <c r="D5027" i="23" s="1"/>
  <c r="AB30" i="5"/>
  <c r="AB85" i="5"/>
  <c r="AA45" i="5"/>
  <c r="AB54" i="5"/>
  <c r="AA69" i="5"/>
  <c r="AB47" i="5"/>
  <c r="AV11" i="19"/>
  <c r="D4654" i="23" s="1"/>
  <c r="AA20" i="5"/>
  <c r="AB73" i="5"/>
  <c r="AB21" i="5"/>
  <c r="M20" i="19"/>
  <c r="AB78" i="5"/>
  <c r="AB15" i="5"/>
  <c r="M28" i="19"/>
  <c r="AA65" i="5"/>
  <c r="L20" i="19"/>
  <c r="D5041" i="23" s="1"/>
  <c r="L18" i="19"/>
  <c r="D5039" i="23" s="1"/>
  <c r="M27" i="19"/>
  <c r="M6" i="19"/>
  <c r="M11" i="19"/>
  <c r="L5" i="19"/>
  <c r="D5026" i="23" s="1"/>
  <c r="L27" i="19"/>
  <c r="D5048" i="23" s="1"/>
  <c r="H468" i="15"/>
  <c r="L16" i="19"/>
  <c r="D5037" i="23" s="1"/>
  <c r="L8" i="19"/>
  <c r="D5029" i="23" s="1"/>
  <c r="L14" i="19"/>
  <c r="D5035" i="23" s="1"/>
  <c r="AA17" i="5"/>
  <c r="H908" i="15"/>
  <c r="AA18" i="5"/>
  <c r="AB13" i="5"/>
  <c r="H303" i="15"/>
  <c r="L28" i="19"/>
  <c r="D5049" i="23" s="1"/>
  <c r="M22" i="19"/>
  <c r="M8" i="19"/>
  <c r="L15" i="19"/>
  <c r="D5036" i="23" s="1"/>
  <c r="L11" i="19"/>
  <c r="M19" i="19"/>
  <c r="M10" i="19"/>
  <c r="AB46" i="5"/>
  <c r="AY25" i="19"/>
  <c r="L7" i="19"/>
  <c r="D5028" i="23" s="1"/>
  <c r="M24" i="19"/>
  <c r="M23" i="19"/>
  <c r="L24" i="19"/>
  <c r="L17" i="19"/>
  <c r="D5038" i="23" s="1"/>
  <c r="M15" i="19"/>
  <c r="M25" i="19"/>
  <c r="AB43" i="5"/>
  <c r="AB79" i="5"/>
  <c r="AY26" i="19"/>
  <c r="L9" i="19"/>
  <c r="D5030" i="23" s="1"/>
  <c r="L29" i="19"/>
  <c r="L13" i="19"/>
  <c r="D5034" i="23" s="1"/>
  <c r="L30" i="19"/>
  <c r="D5051" i="23" s="1"/>
  <c r="M18" i="19"/>
  <c r="M14" i="19"/>
  <c r="M9" i="19"/>
  <c r="L4" i="19"/>
  <c r="D5025" i="23" s="1"/>
  <c r="AX27" i="19"/>
  <c r="D4859" i="23" s="1"/>
  <c r="M26" i="19"/>
  <c r="L12" i="19"/>
  <c r="D5033" i="23" s="1"/>
  <c r="L23" i="19"/>
  <c r="D5044" i="23" s="1"/>
  <c r="L19" i="19"/>
  <c r="D5040" i="23" s="1"/>
  <c r="M30" i="19"/>
  <c r="M29" i="19"/>
  <c r="M4" i="19"/>
  <c r="H292" i="15"/>
  <c r="AA41" i="5"/>
  <c r="M17" i="19"/>
  <c r="L26" i="19"/>
  <c r="L10" i="19"/>
  <c r="D5031" i="23" s="1"/>
  <c r="L25" i="19"/>
  <c r="D5046" i="23" s="1"/>
  <c r="M21" i="19"/>
  <c r="M13" i="19"/>
  <c r="L22" i="19"/>
  <c r="D5043" i="23" s="1"/>
  <c r="L21" i="19"/>
  <c r="M7" i="19"/>
  <c r="M16" i="19"/>
  <c r="M5" i="19"/>
  <c r="H988" i="15"/>
  <c r="H638" i="15"/>
  <c r="AB70" i="5"/>
  <c r="AB96" i="5"/>
  <c r="AB23" i="5"/>
  <c r="AA53" i="5"/>
  <c r="AB9" i="5"/>
  <c r="AB40" i="5"/>
  <c r="H983" i="15"/>
  <c r="H747" i="15"/>
  <c r="AB51" i="5"/>
  <c r="AB34" i="5"/>
  <c r="H743" i="15"/>
  <c r="H318" i="15"/>
  <c r="AW24" i="19"/>
  <c r="H820" i="15"/>
  <c r="H836" i="15"/>
  <c r="AB102" i="5"/>
  <c r="H655" i="15"/>
  <c r="AW8" i="19"/>
  <c r="H391" i="15"/>
  <c r="H831" i="15"/>
  <c r="H528" i="15"/>
  <c r="H341" i="15"/>
  <c r="H974" i="15"/>
  <c r="AB31" i="5"/>
  <c r="AV7" i="19"/>
  <c r="D4650" i="23" s="1"/>
  <c r="AW15" i="19"/>
  <c r="H39" i="15"/>
  <c r="H479" i="15"/>
  <c r="H737" i="15"/>
  <c r="H726" i="15"/>
  <c r="H903" i="15"/>
  <c r="H33" i="15"/>
  <c r="H22" i="15"/>
  <c r="AA29" i="5"/>
  <c r="AW17" i="19"/>
  <c r="AW30" i="19"/>
  <c r="H116" i="15"/>
  <c r="H556" i="15"/>
  <c r="H330" i="15"/>
  <c r="AW18" i="19"/>
  <c r="AV6" i="19"/>
  <c r="D4649" i="23" s="1"/>
  <c r="H127" i="15"/>
  <c r="H644" i="15"/>
  <c r="H231" i="15"/>
  <c r="AV19" i="19"/>
  <c r="D4662" i="23" s="1"/>
  <c r="AW27" i="19"/>
  <c r="AA60" i="5"/>
  <c r="H204" i="15"/>
  <c r="H539" i="15"/>
  <c r="AV21" i="19"/>
  <c r="D4664" i="23" s="1"/>
  <c r="AV25" i="19"/>
  <c r="D4668" i="23" s="1"/>
  <c r="H132" i="15"/>
  <c r="H471" i="15"/>
  <c r="H243" i="15"/>
  <c r="AA25" i="5"/>
  <c r="H906" i="15"/>
  <c r="H213" i="15"/>
  <c r="H453" i="15"/>
  <c r="V5" i="5"/>
  <c r="Z5" i="5" s="1"/>
  <c r="V6" i="5"/>
  <c r="H6" i="5" s="1"/>
  <c r="AY10" i="19"/>
  <c r="H356" i="15"/>
  <c r="V4" i="5"/>
  <c r="Z4" i="5" s="1"/>
  <c r="AB87" i="5"/>
  <c r="AX30" i="19"/>
  <c r="D4862" i="23" s="1"/>
  <c r="H620" i="15"/>
  <c r="AB12" i="5"/>
  <c r="V3" i="5"/>
  <c r="H3" i="5" s="1"/>
  <c r="AX5" i="19"/>
  <c r="D4837" i="23" s="1"/>
  <c r="H763" i="15"/>
  <c r="Z7" i="5"/>
  <c r="AA7" i="5" s="1"/>
  <c r="AS23" i="19"/>
  <c r="AW4" i="19"/>
  <c r="AV27" i="19"/>
  <c r="D4670" i="23" s="1"/>
  <c r="AW12" i="19"/>
  <c r="AW10" i="19"/>
  <c r="AW9" i="19"/>
  <c r="AW22" i="19"/>
  <c r="AV24" i="19"/>
  <c r="D4667" i="23" s="1"/>
  <c r="AY6" i="19"/>
  <c r="AY16" i="19"/>
  <c r="AX17" i="19"/>
  <c r="D4849" i="23" s="1"/>
  <c r="AY8" i="19"/>
  <c r="AY22" i="19"/>
  <c r="AY4" i="19"/>
  <c r="AX13" i="19"/>
  <c r="D4845" i="23" s="1"/>
  <c r="AY11" i="19"/>
  <c r="AW21" i="19"/>
  <c r="AW6" i="19"/>
  <c r="AW23" i="19"/>
  <c r="AV5" i="19"/>
  <c r="D4648" i="23" s="1"/>
  <c r="AV20" i="19"/>
  <c r="D4663" i="23" s="1"/>
  <c r="AW19" i="19"/>
  <c r="AW14" i="19"/>
  <c r="AX18" i="19"/>
  <c r="D4850" i="23" s="1"/>
  <c r="AY24" i="19"/>
  <c r="AX26" i="19"/>
  <c r="D4858" i="23" s="1"/>
  <c r="AY9" i="19"/>
  <c r="AY30" i="19"/>
  <c r="AY12" i="19"/>
  <c r="AR27" i="19"/>
  <c r="D5021" i="23" s="1"/>
  <c r="AA92" i="5"/>
  <c r="AX28" i="19"/>
  <c r="D4860" i="23" s="1"/>
  <c r="AW11" i="19"/>
  <c r="AV23" i="19"/>
  <c r="D4666" i="23" s="1"/>
  <c r="AV17" i="19"/>
  <c r="D4660" i="23" s="1"/>
  <c r="AV26" i="19"/>
  <c r="D4669" i="23" s="1"/>
  <c r="AW5" i="19"/>
  <c r="AV29" i="19"/>
  <c r="D4672" i="23" s="1"/>
  <c r="AX8" i="19"/>
  <c r="D4840" i="23" s="1"/>
  <c r="AY14" i="19"/>
  <c r="AX20" i="19"/>
  <c r="D4852" i="23" s="1"/>
  <c r="AX29" i="19"/>
  <c r="D4861" i="23" s="1"/>
  <c r="AY18" i="19"/>
  <c r="AX22" i="19"/>
  <c r="D4854" i="23" s="1"/>
  <c r="AY13" i="19"/>
  <c r="AR19" i="19"/>
  <c r="D5013" i="23" s="1"/>
  <c r="AV8" i="19"/>
  <c r="D4651" i="23" s="1"/>
  <c r="AV10" i="19"/>
  <c r="D4653" i="23" s="1"/>
  <c r="AV16" i="19"/>
  <c r="D4659" i="23" s="1"/>
  <c r="AV13" i="19"/>
  <c r="D4656" i="23" s="1"/>
  <c r="AW28" i="19"/>
  <c r="AV14" i="19"/>
  <c r="D4657" i="23" s="1"/>
  <c r="AW20" i="19"/>
  <c r="AX9" i="19"/>
  <c r="D4841" i="23" s="1"/>
  <c r="AY15" i="19"/>
  <c r="AX21" i="19"/>
  <c r="D4853" i="23" s="1"/>
  <c r="AX15" i="19"/>
  <c r="D4847" i="23" s="1"/>
  <c r="AX4" i="19"/>
  <c r="D4836" i="23" s="1"/>
  <c r="AY5" i="19"/>
  <c r="AX10" i="19"/>
  <c r="D4842" i="23" s="1"/>
  <c r="H19" i="15"/>
  <c r="AX7" i="19"/>
  <c r="D4839" i="23" s="1"/>
  <c r="AR20" i="19"/>
  <c r="D5014" i="23" s="1"/>
  <c r="AW25" i="19"/>
  <c r="AW13" i="19"/>
  <c r="AV30" i="19"/>
  <c r="D4673" i="23" s="1"/>
  <c r="AW16" i="19"/>
  <c r="AW29" i="19"/>
  <c r="AV12" i="19"/>
  <c r="D4655" i="23" s="1"/>
  <c r="AV4" i="19"/>
  <c r="D4647" i="23" s="1"/>
  <c r="AY19" i="19"/>
  <c r="AX19" i="19"/>
  <c r="D4851" i="23" s="1"/>
  <c r="AY27" i="19"/>
  <c r="AX25" i="19"/>
  <c r="D4857" i="23" s="1"/>
  <c r="AX14" i="19"/>
  <c r="D4846" i="23" s="1"/>
  <c r="AX23" i="19"/>
  <c r="D4855" i="23" s="1"/>
  <c r="AX11" i="19"/>
  <c r="D4843" i="23" s="1"/>
  <c r="AX6" i="19"/>
  <c r="D4838" i="23" s="1"/>
  <c r="AY21" i="19"/>
  <c r="AY28" i="19"/>
  <c r="AY17" i="19"/>
  <c r="AV18" i="19"/>
  <c r="D4661" i="23" s="1"/>
  <c r="AW26" i="19"/>
  <c r="AV28" i="19"/>
  <c r="D4671" i="23" s="1"/>
  <c r="AV9" i="19"/>
  <c r="D4652" i="23" s="1"/>
  <c r="AV22" i="19"/>
  <c r="D4665" i="23" s="1"/>
  <c r="AW7" i="19"/>
  <c r="AX16" i="19"/>
  <c r="D4848" i="23" s="1"/>
  <c r="AY23" i="19"/>
  <c r="AY29" i="19"/>
  <c r="AY7" i="19"/>
  <c r="AX24" i="19"/>
  <c r="D4856" i="23" s="1"/>
  <c r="AY20" i="19"/>
  <c r="H140" i="15"/>
  <c r="H966" i="15"/>
  <c r="H595" i="15"/>
  <c r="AT19" i="19"/>
  <c r="D4743" i="23" s="1"/>
  <c r="H301" i="15"/>
  <c r="H708" i="15"/>
  <c r="H34" i="15"/>
  <c r="H947" i="15"/>
  <c r="AT14" i="19"/>
  <c r="D4738" i="23" s="1"/>
  <c r="H114" i="15"/>
  <c r="H565" i="15"/>
  <c r="H972" i="15"/>
  <c r="H386" i="15"/>
  <c r="AT5" i="19"/>
  <c r="D4729" i="23" s="1"/>
  <c r="H202" i="15"/>
  <c r="H653" i="15"/>
  <c r="H59" i="15"/>
  <c r="H215" i="15"/>
  <c r="H567" i="15"/>
  <c r="H919" i="15"/>
  <c r="H251" i="15"/>
  <c r="H738" i="15"/>
  <c r="H651" i="15"/>
  <c r="AB19" i="5"/>
  <c r="AT30" i="19"/>
  <c r="D4754" i="23" s="1"/>
  <c r="H466" i="15"/>
  <c r="H917" i="15"/>
  <c r="H323" i="15"/>
  <c r="H361" i="15"/>
  <c r="H133" i="15"/>
  <c r="AA42" i="5"/>
  <c r="AU7" i="19"/>
  <c r="H554" i="15"/>
  <c r="H4" i="15"/>
  <c r="H411" i="15"/>
  <c r="H64" i="15"/>
  <c r="H837" i="15"/>
  <c r="H818" i="15"/>
  <c r="H268" i="15"/>
  <c r="H675" i="15"/>
  <c r="H28" i="15"/>
  <c r="H380" i="15"/>
  <c r="H732" i="15"/>
  <c r="H768" i="15"/>
  <c r="H892" i="15"/>
  <c r="H943" i="15"/>
  <c r="H571" i="15"/>
  <c r="AB97" i="5"/>
  <c r="AA97" i="5"/>
  <c r="AU12" i="19"/>
  <c r="AT9" i="19"/>
  <c r="D4733" i="23" s="1"/>
  <c r="AU14" i="19"/>
  <c r="H158" i="15"/>
  <c r="H510" i="15"/>
  <c r="H862" i="15"/>
  <c r="H257" i="15"/>
  <c r="H609" i="15"/>
  <c r="H961" i="15"/>
  <c r="H312" i="15"/>
  <c r="H664" i="15"/>
  <c r="H15" i="15"/>
  <c r="H367" i="15"/>
  <c r="H719" i="15"/>
  <c r="H492" i="15"/>
  <c r="H371" i="15"/>
  <c r="H494" i="15"/>
  <c r="H923" i="15"/>
  <c r="H616" i="15"/>
  <c r="H121" i="15"/>
  <c r="H825" i="15"/>
  <c r="H418" i="15"/>
  <c r="H671" i="15"/>
  <c r="H627" i="15"/>
  <c r="H220" i="15"/>
  <c r="H924" i="15"/>
  <c r="H429" i="15"/>
  <c r="H110" i="15"/>
  <c r="H814" i="15"/>
  <c r="H844" i="15"/>
  <c r="H11" i="15"/>
  <c r="AT7" i="19"/>
  <c r="D4731" i="23" s="1"/>
  <c r="AT24" i="19"/>
  <c r="D4748" i="23" s="1"/>
  <c r="H246" i="15"/>
  <c r="H598" i="15"/>
  <c r="H950" i="15"/>
  <c r="H345" i="15"/>
  <c r="H697" i="15"/>
  <c r="H48" i="15"/>
  <c r="H400" i="15"/>
  <c r="H752" i="15"/>
  <c r="H103" i="15"/>
  <c r="H455" i="15"/>
  <c r="H807" i="15"/>
  <c r="H217" i="15"/>
  <c r="H262" i="15"/>
  <c r="H846" i="15"/>
  <c r="H88" i="15"/>
  <c r="H792" i="15"/>
  <c r="H297" i="15"/>
  <c r="H55" i="15"/>
  <c r="H594" i="15"/>
  <c r="H99" i="15"/>
  <c r="H803" i="15"/>
  <c r="H396" i="15"/>
  <c r="H319" i="15"/>
  <c r="H605" i="15"/>
  <c r="H286" i="15"/>
  <c r="H990" i="15"/>
  <c r="H485" i="15"/>
  <c r="H984" i="15"/>
  <c r="H722" i="15"/>
  <c r="H728" i="15"/>
  <c r="H723" i="15"/>
  <c r="H670" i="15"/>
  <c r="H704" i="15"/>
  <c r="H506" i="15"/>
  <c r="H715" i="15"/>
  <c r="H143" i="15"/>
  <c r="H198" i="15"/>
  <c r="H902" i="15"/>
  <c r="AU29" i="19"/>
  <c r="AU11" i="19"/>
  <c r="H290" i="15"/>
  <c r="H642" i="15"/>
  <c r="H37" i="15"/>
  <c r="H389" i="15"/>
  <c r="H741" i="15"/>
  <c r="H92" i="15"/>
  <c r="H444" i="15"/>
  <c r="H796" i="15"/>
  <c r="H147" i="15"/>
  <c r="H499" i="15"/>
  <c r="H851" i="15"/>
  <c r="H569" i="15"/>
  <c r="H43" i="15"/>
  <c r="H176" i="15"/>
  <c r="H880" i="15"/>
  <c r="H385" i="15"/>
  <c r="H847" i="15"/>
  <c r="H682" i="15"/>
  <c r="H187" i="15"/>
  <c r="H891" i="15"/>
  <c r="H484" i="15"/>
  <c r="H759" i="15"/>
  <c r="H693" i="15"/>
  <c r="H374" i="15"/>
  <c r="H407" i="15"/>
  <c r="H913" i="15"/>
  <c r="H308" i="15"/>
  <c r="AU23" i="19"/>
  <c r="AU15" i="19"/>
  <c r="AU20" i="19"/>
  <c r="H334" i="15"/>
  <c r="H686" i="15"/>
  <c r="H81" i="15"/>
  <c r="H433" i="15"/>
  <c r="H785" i="15"/>
  <c r="H136" i="15"/>
  <c r="H488" i="15"/>
  <c r="H840" i="15"/>
  <c r="H191" i="15"/>
  <c r="H543" i="15"/>
  <c r="H895" i="15"/>
  <c r="H921" i="15"/>
  <c r="H955" i="15"/>
  <c r="H669" i="15"/>
  <c r="H219" i="15"/>
  <c r="H264" i="15"/>
  <c r="H968" i="15"/>
  <c r="H473" i="15"/>
  <c r="H66" i="15"/>
  <c r="H770" i="15"/>
  <c r="H275" i="15"/>
  <c r="H979" i="15"/>
  <c r="H572" i="15"/>
  <c r="H77" i="15"/>
  <c r="H781" i="15"/>
  <c r="H462" i="15"/>
  <c r="H188" i="15"/>
  <c r="H209" i="15"/>
  <c r="H517" i="15"/>
  <c r="AU25" i="19"/>
  <c r="AU21" i="19"/>
  <c r="AT12" i="19"/>
  <c r="D4736" i="23" s="1"/>
  <c r="H26" i="15"/>
  <c r="H378" i="15"/>
  <c r="H730" i="15"/>
  <c r="H125" i="15"/>
  <c r="H477" i="15"/>
  <c r="H829" i="15"/>
  <c r="H180" i="15"/>
  <c r="H532" i="15"/>
  <c r="H884" i="15"/>
  <c r="H235" i="15"/>
  <c r="H587" i="15"/>
  <c r="H939" i="15"/>
  <c r="H294" i="15"/>
  <c r="H658" i="15"/>
  <c r="H372" i="15"/>
  <c r="H395" i="15"/>
  <c r="H352" i="15"/>
  <c r="H495" i="15"/>
  <c r="H561" i="15"/>
  <c r="H154" i="15"/>
  <c r="H858" i="15"/>
  <c r="H363" i="15"/>
  <c r="H583" i="15"/>
  <c r="H660" i="15"/>
  <c r="H165" i="15"/>
  <c r="H869" i="15"/>
  <c r="H550" i="15"/>
  <c r="H540" i="15"/>
  <c r="AT22" i="19"/>
  <c r="D4746" i="23" s="1"/>
  <c r="AU6" i="19"/>
  <c r="AT27" i="19"/>
  <c r="D4751" i="23" s="1"/>
  <c r="H70" i="15"/>
  <c r="H422" i="15"/>
  <c r="H774" i="15"/>
  <c r="H169" i="15"/>
  <c r="H521" i="15"/>
  <c r="H873" i="15"/>
  <c r="H224" i="15"/>
  <c r="H576" i="15"/>
  <c r="H928" i="15"/>
  <c r="H279" i="15"/>
  <c r="H631" i="15"/>
  <c r="H646" i="15"/>
  <c r="H142" i="15"/>
  <c r="H440" i="15"/>
  <c r="H935" i="15"/>
  <c r="H649" i="15"/>
  <c r="H242" i="15"/>
  <c r="H946" i="15"/>
  <c r="H451" i="15"/>
  <c r="H44" i="15"/>
  <c r="H748" i="15"/>
  <c r="H253" i="15"/>
  <c r="H957" i="15"/>
  <c r="AR30" i="19"/>
  <c r="D5024" i="23" s="1"/>
  <c r="AS11" i="19"/>
  <c r="H398" i="15"/>
  <c r="H112" i="15"/>
  <c r="AS19" i="19"/>
  <c r="AR11" i="19"/>
  <c r="D5005" i="23" s="1"/>
  <c r="H49" i="15"/>
  <c r="H348" i="15"/>
  <c r="H849" i="15"/>
  <c r="AS16" i="19"/>
  <c r="AS18" i="19"/>
  <c r="H676" i="15"/>
  <c r="H777" i="15"/>
  <c r="H596" i="15"/>
  <c r="AS20" i="19"/>
  <c r="AR5" i="19"/>
  <c r="D4999" i="23" s="1"/>
  <c r="H522" i="15"/>
  <c r="H667" i="15"/>
  <c r="H343" i="15"/>
  <c r="H145" i="15"/>
  <c r="H816" i="15"/>
  <c r="AS29" i="19"/>
  <c r="H973" i="15"/>
  <c r="H381" i="15"/>
  <c r="H90" i="15"/>
  <c r="AR12" i="19"/>
  <c r="D5006" i="23" s="1"/>
  <c r="H794" i="15"/>
  <c r="H458" i="15"/>
  <c r="H857" i="15"/>
  <c r="AR10" i="19"/>
  <c r="D5004" i="23" s="1"/>
  <c r="AR24" i="19"/>
  <c r="D5018" i="23" s="1"/>
  <c r="AR25" i="19"/>
  <c r="D5019" i="23" s="1"/>
  <c r="AR6" i="19"/>
  <c r="D5000" i="23" s="1"/>
  <c r="AS21" i="19"/>
  <c r="AR13" i="19"/>
  <c r="D5007" i="23" s="1"/>
  <c r="AS4" i="19"/>
  <c r="H302" i="15"/>
  <c r="H764" i="15"/>
  <c r="H610" i="15"/>
  <c r="H368" i="15"/>
  <c r="H436" i="15"/>
  <c r="H238" i="15"/>
  <c r="H755" i="15"/>
  <c r="H469" i="15"/>
  <c r="H35" i="15"/>
  <c r="H739" i="15"/>
  <c r="H486" i="15"/>
  <c r="H233" i="15"/>
  <c r="H937" i="15"/>
  <c r="H684" i="15"/>
  <c r="H431" i="15"/>
  <c r="H178" i="15"/>
  <c r="H882" i="15"/>
  <c r="H541" i="15"/>
  <c r="H200" i="15"/>
  <c r="H904" i="15"/>
  <c r="H698" i="15"/>
  <c r="H123" i="15"/>
  <c r="H827" i="15"/>
  <c r="H574" i="15"/>
  <c r="H321" i="15"/>
  <c r="H68" i="15"/>
  <c r="H772" i="15"/>
  <c r="H519" i="15"/>
  <c r="H266" i="15"/>
  <c r="H970" i="15"/>
  <c r="H629" i="15"/>
  <c r="H288" i="15"/>
  <c r="H992" i="15"/>
  <c r="AS13" i="19"/>
  <c r="AS24" i="19"/>
  <c r="AR21" i="19"/>
  <c r="D5015" i="23" s="1"/>
  <c r="AR18" i="19"/>
  <c r="D5012" i="23" s="1"/>
  <c r="AS17" i="19"/>
  <c r="AR9" i="19"/>
  <c r="D5003" i="23" s="1"/>
  <c r="AS14" i="19"/>
  <c r="H115" i="15"/>
  <c r="H478" i="15"/>
  <c r="H247" i="15"/>
  <c r="H93" i="15"/>
  <c r="H544" i="15"/>
  <c r="H271" i="15"/>
  <c r="H414" i="15"/>
  <c r="H304" i="15"/>
  <c r="H623" i="15"/>
  <c r="H211" i="15"/>
  <c r="H915" i="15"/>
  <c r="H662" i="15"/>
  <c r="H409" i="15"/>
  <c r="H156" i="15"/>
  <c r="H860" i="15"/>
  <c r="H607" i="15"/>
  <c r="H354" i="15"/>
  <c r="H13" i="15"/>
  <c r="H717" i="15"/>
  <c r="H376" i="15"/>
  <c r="H390" i="15"/>
  <c r="H456" i="15"/>
  <c r="H524" i="15"/>
  <c r="H557" i="15"/>
  <c r="AS30" i="19"/>
  <c r="AS7" i="19"/>
  <c r="AS8" i="19"/>
  <c r="AR28" i="19"/>
  <c r="D5022" i="23" s="1"/>
  <c r="AR17" i="19"/>
  <c r="D5011" i="23" s="1"/>
  <c r="AR4" i="19"/>
  <c r="D4998" i="23" s="1"/>
  <c r="AR7" i="19"/>
  <c r="D5001" i="23" s="1"/>
  <c r="H203" i="15"/>
  <c r="H137" i="15"/>
  <c r="H335" i="15"/>
  <c r="H181" i="15"/>
  <c r="H711" i="15"/>
  <c r="H942" i="15"/>
  <c r="H392" i="15"/>
  <c r="H887" i="15"/>
  <c r="H299" i="15"/>
  <c r="H46" i="15"/>
  <c r="H750" i="15"/>
  <c r="H497" i="15"/>
  <c r="H244" i="15"/>
  <c r="H948" i="15"/>
  <c r="H695" i="15"/>
  <c r="H442" i="15"/>
  <c r="H101" i="15"/>
  <c r="H805" i="15"/>
  <c r="H464" i="15"/>
  <c r="AS5" i="19"/>
  <c r="AR8" i="19"/>
  <c r="D5002" i="23" s="1"/>
  <c r="AR14" i="19"/>
  <c r="D5008" i="23" s="1"/>
  <c r="AS15" i="19"/>
  <c r="AS10" i="19"/>
  <c r="AS22" i="19"/>
  <c r="AR22" i="19"/>
  <c r="D5016" i="23" s="1"/>
  <c r="H291" i="15"/>
  <c r="H665" i="15"/>
  <c r="H863" i="15"/>
  <c r="H269" i="15"/>
  <c r="H73" i="15"/>
  <c r="H183" i="15"/>
  <c r="H920" i="15"/>
  <c r="H18" i="15"/>
  <c r="H387" i="15"/>
  <c r="H134" i="15"/>
  <c r="H838" i="15"/>
  <c r="H585" i="15"/>
  <c r="H332" i="15"/>
  <c r="H79" i="15"/>
  <c r="H783" i="15"/>
  <c r="H530" i="15"/>
  <c r="H189" i="15"/>
  <c r="H893" i="15"/>
  <c r="H552" i="15"/>
  <c r="H159" i="15"/>
  <c r="AS6" i="19"/>
  <c r="AS28" i="19"/>
  <c r="AS26" i="19"/>
  <c r="AS25" i="19"/>
  <c r="AR23" i="19"/>
  <c r="D5017" i="23" s="1"/>
  <c r="AS9" i="19"/>
  <c r="H819" i="15"/>
  <c r="H60" i="15"/>
  <c r="H951" i="15"/>
  <c r="H797" i="15"/>
  <c r="H601" i="15"/>
  <c r="H51" i="15"/>
  <c r="H95" i="15"/>
  <c r="H546" i="15"/>
  <c r="H475" i="15"/>
  <c r="H222" i="15"/>
  <c r="H926" i="15"/>
  <c r="H673" i="15"/>
  <c r="H420" i="15"/>
  <c r="H167" i="15"/>
  <c r="H871" i="15"/>
  <c r="H618" i="15"/>
  <c r="H277" i="15"/>
  <c r="H981" i="15"/>
  <c r="H640" i="15"/>
  <c r="H326" i="15"/>
  <c r="H216" i="15"/>
  <c r="AS27" i="19"/>
  <c r="AR29" i="19"/>
  <c r="D5023" i="23" s="1"/>
  <c r="AR26" i="19"/>
  <c r="D5020" i="23" s="1"/>
  <c r="AR16" i="19"/>
  <c r="D5010" i="23" s="1"/>
  <c r="AS12" i="19"/>
  <c r="H907" i="15"/>
  <c r="H588" i="15"/>
  <c r="H753" i="15"/>
  <c r="H885" i="15"/>
  <c r="H689" i="15"/>
  <c r="H579" i="15"/>
  <c r="H447" i="15"/>
  <c r="H634" i="15"/>
  <c r="H563" i="15"/>
  <c r="H310" i="15"/>
  <c r="H57" i="15"/>
  <c r="H761" i="15"/>
  <c r="H508" i="15"/>
  <c r="H255" i="15"/>
  <c r="H959" i="15"/>
  <c r="H706" i="15"/>
  <c r="H365" i="15"/>
  <c r="H24" i="15"/>
  <c r="H339" i="15"/>
  <c r="H42" i="15"/>
  <c r="H746" i="15"/>
  <c r="H449" i="15"/>
  <c r="H152" i="15"/>
  <c r="H856" i="15"/>
  <c r="H559" i="15"/>
  <c r="H350" i="15"/>
  <c r="H53" i="15"/>
  <c r="H757" i="15"/>
  <c r="H460" i="15"/>
  <c r="H78" i="15"/>
  <c r="H430" i="15"/>
  <c r="H782" i="15"/>
  <c r="H177" i="15"/>
  <c r="H529" i="15"/>
  <c r="H881" i="15"/>
  <c r="H232" i="15"/>
  <c r="H584" i="15"/>
  <c r="H936" i="15"/>
  <c r="H287" i="15"/>
  <c r="H639" i="15"/>
  <c r="H991" i="15"/>
  <c r="H427" i="15"/>
  <c r="H130" i="15"/>
  <c r="H834" i="15"/>
  <c r="H537" i="15"/>
  <c r="H240" i="15"/>
  <c r="H944" i="15"/>
  <c r="H647" i="15"/>
  <c r="H438" i="15"/>
  <c r="H141" i="15"/>
  <c r="H845" i="15"/>
  <c r="H548" i="15"/>
  <c r="H122" i="15"/>
  <c r="H474" i="15"/>
  <c r="H826" i="15"/>
  <c r="H221" i="15"/>
  <c r="H573" i="15"/>
  <c r="H925" i="15"/>
  <c r="H276" i="15"/>
  <c r="H628" i="15"/>
  <c r="H980" i="15"/>
  <c r="H331" i="15"/>
  <c r="H683" i="15"/>
  <c r="AT26" i="19"/>
  <c r="D4750" i="23" s="1"/>
  <c r="AT15" i="19"/>
  <c r="D4739" i="23" s="1"/>
  <c r="AT16" i="19"/>
  <c r="D4740" i="23" s="1"/>
  <c r="AT25" i="19"/>
  <c r="D4749" i="23" s="1"/>
  <c r="AU17" i="19"/>
  <c r="AU26" i="19"/>
  <c r="AU9" i="19"/>
  <c r="H379" i="15"/>
  <c r="H313" i="15"/>
  <c r="H566" i="15"/>
  <c r="H148" i="15"/>
  <c r="H852" i="15"/>
  <c r="H423" i="15"/>
  <c r="H82" i="15"/>
  <c r="H786" i="15"/>
  <c r="H357" i="15"/>
  <c r="H929" i="15"/>
  <c r="H632" i="15"/>
  <c r="H612" i="15"/>
  <c r="H161" i="15"/>
  <c r="H865" i="15"/>
  <c r="H502" i="15"/>
  <c r="H139" i="15"/>
  <c r="H843" i="15"/>
  <c r="H480" i="15"/>
  <c r="H799" i="15"/>
  <c r="H645" i="15"/>
  <c r="H106" i="15"/>
  <c r="H810" i="15"/>
  <c r="H515" i="15"/>
  <c r="H218" i="15"/>
  <c r="H922" i="15"/>
  <c r="H625" i="15"/>
  <c r="H328" i="15"/>
  <c r="H31" i="15"/>
  <c r="H735" i="15"/>
  <c r="H526" i="15"/>
  <c r="H229" i="15"/>
  <c r="H933" i="15"/>
  <c r="H636" i="15"/>
  <c r="H166" i="15"/>
  <c r="H518" i="15"/>
  <c r="H870" i="15"/>
  <c r="H265" i="15"/>
  <c r="H617" i="15"/>
  <c r="H969" i="15"/>
  <c r="H320" i="15"/>
  <c r="H672" i="15"/>
  <c r="H23" i="15"/>
  <c r="H375" i="15"/>
  <c r="H727" i="15"/>
  <c r="AU5" i="19"/>
  <c r="AT29" i="19"/>
  <c r="D4753" i="23" s="1"/>
  <c r="AU22" i="19"/>
  <c r="AU28" i="19"/>
  <c r="AT20" i="19"/>
  <c r="D4744" i="23" s="1"/>
  <c r="AT10" i="19"/>
  <c r="D4734" i="23" s="1"/>
  <c r="AU24" i="19"/>
  <c r="H467" i="15"/>
  <c r="H841" i="15"/>
  <c r="H654" i="15"/>
  <c r="H236" i="15"/>
  <c r="H940" i="15"/>
  <c r="H511" i="15"/>
  <c r="H170" i="15"/>
  <c r="H874" i="15"/>
  <c r="H445" i="15"/>
  <c r="H16" i="15"/>
  <c r="H720" i="15"/>
  <c r="H975" i="15"/>
  <c r="H700" i="15"/>
  <c r="H249" i="15"/>
  <c r="H953" i="15"/>
  <c r="H590" i="15"/>
  <c r="H227" i="15"/>
  <c r="H931" i="15"/>
  <c r="H568" i="15"/>
  <c r="H29" i="15"/>
  <c r="H733" i="15"/>
  <c r="H194" i="15"/>
  <c r="H898" i="15"/>
  <c r="H603" i="15"/>
  <c r="H306" i="15"/>
  <c r="H9" i="15"/>
  <c r="H713" i="15"/>
  <c r="H416" i="15"/>
  <c r="H119" i="15"/>
  <c r="H823" i="15"/>
  <c r="H614" i="15"/>
  <c r="H317" i="15"/>
  <c r="H20" i="15"/>
  <c r="H724" i="15"/>
  <c r="H210" i="15"/>
  <c r="H562" i="15"/>
  <c r="H914" i="15"/>
  <c r="H309" i="15"/>
  <c r="H661" i="15"/>
  <c r="H12" i="15"/>
  <c r="H364" i="15"/>
  <c r="H716" i="15"/>
  <c r="H67" i="15"/>
  <c r="H419" i="15"/>
  <c r="H771" i="15"/>
  <c r="AU4" i="19"/>
  <c r="AT11" i="19"/>
  <c r="D4735" i="23" s="1"/>
  <c r="AT28" i="19"/>
  <c r="D4752" i="23" s="1"/>
  <c r="AU13" i="19"/>
  <c r="AT13" i="19"/>
  <c r="D4737" i="23" s="1"/>
  <c r="AU30" i="19"/>
  <c r="AT23" i="19"/>
  <c r="D4747" i="23" s="1"/>
  <c r="H555" i="15"/>
  <c r="H38" i="15"/>
  <c r="H742" i="15"/>
  <c r="H324" i="15"/>
  <c r="H225" i="15"/>
  <c r="H599" i="15"/>
  <c r="H258" i="15"/>
  <c r="H962" i="15"/>
  <c r="H533" i="15"/>
  <c r="H104" i="15"/>
  <c r="H808" i="15"/>
  <c r="H84" i="15"/>
  <c r="H788" i="15"/>
  <c r="H337" i="15"/>
  <c r="H7" i="15"/>
  <c r="H678" i="15"/>
  <c r="H315" i="15"/>
  <c r="H535" i="15"/>
  <c r="H656" i="15"/>
  <c r="H117" i="15"/>
  <c r="H821" i="15"/>
  <c r="H282" i="15"/>
  <c r="H986" i="15"/>
  <c r="H691" i="15"/>
  <c r="H394" i="15"/>
  <c r="H97" i="15"/>
  <c r="H801" i="15"/>
  <c r="H504" i="15"/>
  <c r="H207" i="15"/>
  <c r="H911" i="15"/>
  <c r="H702" i="15"/>
  <c r="H405" i="15"/>
  <c r="H108" i="15"/>
  <c r="H812" i="15"/>
  <c r="H254" i="15"/>
  <c r="H606" i="15"/>
  <c r="H958" i="15"/>
  <c r="H353" i="15"/>
  <c r="H705" i="15"/>
  <c r="H56" i="15"/>
  <c r="H408" i="15"/>
  <c r="H760" i="15"/>
  <c r="H111" i="15"/>
  <c r="H463" i="15"/>
  <c r="H815" i="15"/>
  <c r="AU27" i="19"/>
  <c r="AU16" i="19"/>
  <c r="AU18" i="19"/>
  <c r="AT17" i="19"/>
  <c r="D4741" i="23" s="1"/>
  <c r="AT18" i="19"/>
  <c r="D4742" i="23" s="1"/>
  <c r="AU8" i="19"/>
  <c r="H401" i="15"/>
  <c r="H643" i="15"/>
  <c r="H126" i="15"/>
  <c r="H830" i="15"/>
  <c r="H412" i="15"/>
  <c r="H577" i="15"/>
  <c r="H687" i="15"/>
  <c r="H346" i="15"/>
  <c r="H489" i="15"/>
  <c r="H621" i="15"/>
  <c r="H192" i="15"/>
  <c r="H896" i="15"/>
  <c r="H172" i="15"/>
  <c r="H876" i="15"/>
  <c r="H425" i="15"/>
  <c r="H62" i="15"/>
  <c r="H766" i="15"/>
  <c r="H403" i="15"/>
  <c r="H40" i="15"/>
  <c r="H744" i="15"/>
  <c r="H205" i="15"/>
  <c r="H909" i="15"/>
  <c r="H370" i="15"/>
  <c r="H75" i="15"/>
  <c r="H779" i="15"/>
  <c r="H482" i="15"/>
  <c r="H185" i="15"/>
  <c r="H889" i="15"/>
  <c r="H592" i="15"/>
  <c r="H295" i="15"/>
  <c r="H86" i="15"/>
  <c r="H790" i="15"/>
  <c r="H493" i="15"/>
  <c r="H196" i="15"/>
  <c r="H900" i="15"/>
  <c r="H298" i="15"/>
  <c r="H650" i="15"/>
  <c r="H45" i="15"/>
  <c r="H397" i="15"/>
  <c r="H749" i="15"/>
  <c r="H100" i="15"/>
  <c r="H452" i="15"/>
  <c r="H804" i="15"/>
  <c r="H155" i="15"/>
  <c r="H507" i="15"/>
  <c r="H859" i="15"/>
  <c r="AT21" i="19"/>
  <c r="D4745" i="23" s="1"/>
  <c r="AU10" i="19"/>
  <c r="AT8" i="19"/>
  <c r="D4732" i="23" s="1"/>
  <c r="AU19" i="19"/>
  <c r="AT6" i="19"/>
  <c r="D4730" i="23" s="1"/>
  <c r="H27" i="15"/>
  <c r="H731" i="15"/>
  <c r="H214" i="15"/>
  <c r="H918" i="15"/>
  <c r="H500" i="15"/>
  <c r="H71" i="15"/>
  <c r="H775" i="15"/>
  <c r="H434" i="15"/>
  <c r="H5" i="15"/>
  <c r="H709" i="15"/>
  <c r="H280" i="15"/>
  <c r="H260" i="15"/>
  <c r="H964" i="15"/>
  <c r="H513" i="15"/>
  <c r="H150" i="15"/>
  <c r="H854" i="15"/>
  <c r="H491" i="15"/>
  <c r="H128" i="15"/>
  <c r="H832" i="15"/>
  <c r="H293" i="15"/>
  <c r="H359" i="15"/>
  <c r="H163" i="15"/>
  <c r="H867" i="15"/>
  <c r="H570" i="15"/>
  <c r="H273" i="15"/>
  <c r="H977" i="15"/>
  <c r="H680" i="15"/>
  <c r="H383" i="15"/>
  <c r="H174" i="15"/>
  <c r="H878" i="15"/>
  <c r="H581" i="15"/>
  <c r="H284" i="15"/>
  <c r="H342" i="15"/>
  <c r="H694" i="15"/>
  <c r="H89" i="15"/>
  <c r="H441" i="15"/>
  <c r="H793" i="15"/>
  <c r="H144" i="15"/>
  <c r="H496" i="15"/>
  <c r="H848" i="15"/>
  <c r="H199" i="15"/>
  <c r="H551" i="15"/>
  <c r="H17" i="15"/>
  <c r="H105" i="15"/>
  <c r="H193" i="15"/>
  <c r="H281" i="15"/>
  <c r="H369" i="15"/>
  <c r="H457" i="15"/>
  <c r="H545" i="15"/>
  <c r="H633" i="15"/>
  <c r="H721" i="15"/>
  <c r="H809" i="15"/>
  <c r="H897" i="15"/>
  <c r="H985" i="15"/>
  <c r="H52" i="15"/>
  <c r="H404" i="15"/>
  <c r="H756" i="15"/>
  <c r="H129" i="15"/>
  <c r="H481" i="15"/>
  <c r="H833" i="15"/>
  <c r="H206" i="15"/>
  <c r="H558" i="15"/>
  <c r="H910" i="15"/>
  <c r="H283" i="15"/>
  <c r="H635" i="15"/>
  <c r="H987" i="15"/>
  <c r="H98" i="15"/>
  <c r="H274" i="15"/>
  <c r="H450" i="15"/>
  <c r="H626" i="15"/>
  <c r="H802" i="15"/>
  <c r="H978" i="15"/>
  <c r="H175" i="15"/>
  <c r="H351" i="15"/>
  <c r="H527" i="15"/>
  <c r="H703" i="15"/>
  <c r="H879" i="15"/>
  <c r="H96" i="15"/>
  <c r="H448" i="15"/>
  <c r="H800" i="15"/>
  <c r="H173" i="15"/>
  <c r="H525" i="15"/>
  <c r="H877" i="15"/>
  <c r="H250" i="15"/>
  <c r="H602" i="15"/>
  <c r="H954" i="15"/>
  <c r="H327" i="15"/>
  <c r="H679" i="15"/>
  <c r="H120" i="15"/>
  <c r="H296" i="15"/>
  <c r="H472" i="15"/>
  <c r="H648" i="15"/>
  <c r="H824" i="15"/>
  <c r="H21" i="15"/>
  <c r="H197" i="15"/>
  <c r="H373" i="15"/>
  <c r="H549" i="15"/>
  <c r="H725" i="15"/>
  <c r="H901" i="15"/>
  <c r="H50" i="15"/>
  <c r="H138" i="15"/>
  <c r="H226" i="15"/>
  <c r="H314" i="15"/>
  <c r="H402" i="15"/>
  <c r="H490" i="15"/>
  <c r="H578" i="15"/>
  <c r="H666" i="15"/>
  <c r="H754" i="15"/>
  <c r="H842" i="15"/>
  <c r="H930" i="15"/>
  <c r="H184" i="15"/>
  <c r="H536" i="15"/>
  <c r="H888" i="15"/>
  <c r="H261" i="15"/>
  <c r="H613" i="15"/>
  <c r="H965" i="15"/>
  <c r="H338" i="15"/>
  <c r="H690" i="15"/>
  <c r="H63" i="15"/>
  <c r="H415" i="15"/>
  <c r="H767" i="15"/>
  <c r="H164" i="15"/>
  <c r="H340" i="15"/>
  <c r="H516" i="15"/>
  <c r="H692" i="15"/>
  <c r="H868" i="15"/>
  <c r="H65" i="15"/>
  <c r="H241" i="15"/>
  <c r="H417" i="15"/>
  <c r="H593" i="15"/>
  <c r="H769" i="15"/>
  <c r="H945" i="15"/>
  <c r="H61" i="15"/>
  <c r="H149" i="15"/>
  <c r="H237" i="15"/>
  <c r="H325" i="15"/>
  <c r="H413" i="15"/>
  <c r="H501" i="15"/>
  <c r="H589" i="15"/>
  <c r="H677" i="15"/>
  <c r="H765" i="15"/>
  <c r="H853" i="15"/>
  <c r="H941" i="15"/>
  <c r="H228" i="15"/>
  <c r="H580" i="15"/>
  <c r="H932" i="15"/>
  <c r="H305" i="15"/>
  <c r="H657" i="15"/>
  <c r="H30" i="15"/>
  <c r="H382" i="15"/>
  <c r="H734" i="15"/>
  <c r="H107" i="15"/>
  <c r="H459" i="15"/>
  <c r="H811" i="15"/>
  <c r="H10" i="15"/>
  <c r="H186" i="15"/>
  <c r="H362" i="15"/>
  <c r="H538" i="15"/>
  <c r="H714" i="15"/>
  <c r="H890" i="15"/>
  <c r="H87" i="15"/>
  <c r="H263" i="15"/>
  <c r="H439" i="15"/>
  <c r="H615" i="15"/>
  <c r="H791" i="15"/>
  <c r="H967" i="15"/>
  <c r="H72" i="15"/>
  <c r="H160" i="15"/>
  <c r="H248" i="15"/>
  <c r="H336" i="15"/>
  <c r="H424" i="15"/>
  <c r="H512" i="15"/>
  <c r="H600" i="15"/>
  <c r="H688" i="15"/>
  <c r="H776" i="15"/>
  <c r="H864" i="15"/>
  <c r="H952" i="15"/>
  <c r="H272" i="15"/>
  <c r="H624" i="15"/>
  <c r="H976" i="15"/>
  <c r="H349" i="15"/>
  <c r="H701" i="15"/>
  <c r="H74" i="15"/>
  <c r="H426" i="15"/>
  <c r="H778" i="15"/>
  <c r="H151" i="15"/>
  <c r="H503" i="15"/>
  <c r="H855" i="15"/>
  <c r="H32" i="15"/>
  <c r="H208" i="15"/>
  <c r="H384" i="15"/>
  <c r="H560" i="15"/>
  <c r="H736" i="15"/>
  <c r="H912" i="15"/>
  <c r="H109" i="15"/>
  <c r="H285" i="15"/>
  <c r="H461" i="15"/>
  <c r="H637" i="15"/>
  <c r="H813" i="15"/>
  <c r="H989" i="15"/>
  <c r="H83" i="15"/>
  <c r="H171" i="15"/>
  <c r="H259" i="15"/>
  <c r="H347" i="15"/>
  <c r="H435" i="15"/>
  <c r="H523" i="15"/>
  <c r="H611" i="15"/>
  <c r="H699" i="15"/>
  <c r="H787" i="15"/>
  <c r="H875" i="15"/>
  <c r="H963" i="15"/>
  <c r="H316" i="15"/>
  <c r="H668" i="15"/>
  <c r="H41" i="15"/>
  <c r="H393" i="15"/>
  <c r="H745" i="15"/>
  <c r="H118" i="15"/>
  <c r="H470" i="15"/>
  <c r="H822" i="15"/>
  <c r="H195" i="15"/>
  <c r="H547" i="15"/>
  <c r="H899" i="15"/>
  <c r="H54" i="15"/>
  <c r="H230" i="15"/>
  <c r="H406" i="15"/>
  <c r="H582" i="15"/>
  <c r="H758" i="15"/>
  <c r="H934" i="15"/>
  <c r="H131" i="15"/>
  <c r="H307" i="15"/>
  <c r="H483" i="15"/>
  <c r="H659" i="15"/>
  <c r="H835" i="15"/>
  <c r="H6" i="15"/>
  <c r="H94" i="15"/>
  <c r="H182" i="15"/>
  <c r="H270" i="15"/>
  <c r="H358" i="15"/>
  <c r="H446" i="15"/>
  <c r="H534" i="15"/>
  <c r="H622" i="15"/>
  <c r="H710" i="15"/>
  <c r="H798" i="15"/>
  <c r="H886" i="15"/>
  <c r="H8" i="15"/>
  <c r="H360" i="15"/>
  <c r="H712" i="15"/>
  <c r="H85" i="15"/>
  <c r="H437" i="15"/>
  <c r="H789" i="15"/>
  <c r="H162" i="15"/>
  <c r="H514" i="15"/>
  <c r="H866" i="15"/>
  <c r="H239" i="15"/>
  <c r="H591" i="15"/>
  <c r="H76" i="15"/>
  <c r="H252" i="15"/>
  <c r="H428" i="15"/>
  <c r="H604" i="15"/>
  <c r="H780" i="15"/>
  <c r="H956" i="15"/>
  <c r="H153" i="15"/>
  <c r="H329" i="15"/>
  <c r="H505" i="15"/>
  <c r="H681" i="15"/>
  <c r="L101" i="12"/>
  <c r="L271" i="12"/>
  <c r="L257" i="12"/>
  <c r="F352" i="13"/>
  <c r="F348" i="13"/>
  <c r="L3" i="12"/>
  <c r="L234" i="12"/>
  <c r="F31" i="13"/>
  <c r="F260" i="13"/>
  <c r="L203" i="12"/>
  <c r="F168" i="13"/>
  <c r="L243" i="12"/>
  <c r="L27" i="12"/>
  <c r="L71" i="12"/>
  <c r="L315" i="12"/>
  <c r="D5047" i="23"/>
  <c r="D5032" i="23"/>
  <c r="D5042" i="23"/>
  <c r="D5045" i="23"/>
  <c r="D5050" i="23"/>
  <c r="L311" i="12"/>
  <c r="F490" i="13"/>
  <c r="L317" i="12"/>
  <c r="AB19" i="9"/>
  <c r="AC19" i="9" s="1"/>
  <c r="Q19" i="9" s="1"/>
  <c r="AB20" i="9"/>
  <c r="AC20" i="9" s="1"/>
  <c r="Q323" i="9" s="1"/>
  <c r="AB21" i="9"/>
  <c r="AC21" i="9" s="1"/>
  <c r="Q21" i="9" s="1"/>
  <c r="AB22" i="9"/>
  <c r="AC22" i="9" s="1"/>
  <c r="Q22" i="9" s="1"/>
  <c r="AB15" i="9"/>
  <c r="AC15" i="9" s="1"/>
  <c r="Q116" i="9" s="1"/>
  <c r="AB23" i="9"/>
  <c r="AC23" i="9" s="1"/>
  <c r="Q326" i="9" s="1"/>
  <c r="AB16" i="9"/>
  <c r="AC16" i="9" s="1"/>
  <c r="Q117" i="9" s="1"/>
  <c r="AB14" i="9"/>
  <c r="AC14" i="9" s="1"/>
  <c r="Q115" i="9" s="1"/>
  <c r="AB17" i="9"/>
  <c r="AC17" i="9" s="1"/>
  <c r="Q219" i="9" s="1"/>
  <c r="AB18" i="9"/>
  <c r="AC18" i="9" s="1"/>
  <c r="Q220" i="9" s="1"/>
  <c r="AB27" i="9"/>
  <c r="AC27" i="9" s="1"/>
  <c r="Q229" i="9" s="1"/>
  <c r="AB26" i="9"/>
  <c r="AC26" i="9" s="1"/>
  <c r="Q228" i="9" s="1"/>
  <c r="AB33" i="9"/>
  <c r="AC33" i="9" s="1"/>
  <c r="Q134" i="9" s="1"/>
  <c r="AB25" i="9"/>
  <c r="AC25" i="9" s="1"/>
  <c r="Q227" i="9" s="1"/>
  <c r="AB32" i="9"/>
  <c r="AC32" i="9" s="1"/>
  <c r="Q133" i="9" s="1"/>
  <c r="AB24" i="9"/>
  <c r="AC24" i="9" s="1"/>
  <c r="Q327" i="9" s="1"/>
  <c r="AB31" i="9"/>
  <c r="AC31" i="9" s="1"/>
  <c r="Q334" i="9" s="1"/>
  <c r="AB30" i="9"/>
  <c r="AC30" i="9" s="1"/>
  <c r="Q131" i="9" s="1"/>
  <c r="AB29" i="9"/>
  <c r="AC29" i="9" s="1"/>
  <c r="Q332" i="9" s="1"/>
  <c r="AB28" i="9"/>
  <c r="AC28" i="9" s="1"/>
  <c r="Q230" i="9" s="1"/>
  <c r="AB6" i="9"/>
  <c r="AB7" i="9"/>
  <c r="AB8" i="9"/>
  <c r="AB9" i="9"/>
  <c r="AB10" i="9"/>
  <c r="AB11" i="9"/>
  <c r="AB4" i="9"/>
  <c r="AB12" i="9"/>
  <c r="AB5" i="9"/>
  <c r="AB13" i="9"/>
  <c r="AB71" i="9"/>
  <c r="AB72" i="9"/>
  <c r="AB65" i="9"/>
  <c r="AC65" i="9" s="1"/>
  <c r="Q368" i="9" s="1"/>
  <c r="AB73" i="9"/>
  <c r="AC73" i="9" s="1"/>
  <c r="Q73" i="9" s="1"/>
  <c r="AB66" i="9"/>
  <c r="AC66" i="9" s="1"/>
  <c r="Q167" i="9" s="1"/>
  <c r="AB64" i="9"/>
  <c r="AC64" i="9" s="1"/>
  <c r="Q367" i="9" s="1"/>
  <c r="AB67" i="9"/>
  <c r="AB68" i="9"/>
  <c r="AC68" i="9" s="1"/>
  <c r="Q270" i="9" s="1"/>
  <c r="AB69" i="9"/>
  <c r="AC69" i="9" s="1"/>
  <c r="Q170" i="9" s="1"/>
  <c r="AB70" i="9"/>
  <c r="AB87" i="9"/>
  <c r="AC87" i="9" s="1"/>
  <c r="Q188" i="9" s="1"/>
  <c r="AB88" i="9"/>
  <c r="AC88" i="9" s="1"/>
  <c r="Q189" i="9" s="1"/>
  <c r="AB89" i="9"/>
  <c r="AC89" i="9" s="1"/>
  <c r="Q89" i="9" s="1"/>
  <c r="AB90" i="9"/>
  <c r="AC90" i="9" s="1"/>
  <c r="Q393" i="9" s="1"/>
  <c r="AB91" i="9"/>
  <c r="AC91" i="9" s="1"/>
  <c r="Q394" i="9" s="1"/>
  <c r="AB92" i="9"/>
  <c r="AB85" i="9"/>
  <c r="AC85" i="9" s="1"/>
  <c r="Q85" i="9" s="1"/>
  <c r="AB93" i="9"/>
  <c r="AB86" i="9"/>
  <c r="AC86" i="9" s="1"/>
  <c r="Q187" i="9" s="1"/>
  <c r="AB84" i="9"/>
  <c r="AB59" i="9"/>
  <c r="AC59" i="9" s="1"/>
  <c r="Q362" i="9" s="1"/>
  <c r="AB60" i="9"/>
  <c r="AB61" i="9"/>
  <c r="AB62" i="9"/>
  <c r="AC62" i="9" s="1"/>
  <c r="Q365" i="9" s="1"/>
  <c r="AB55" i="9"/>
  <c r="AB63" i="9"/>
  <c r="AC63" i="9" s="1"/>
  <c r="Q164" i="9" s="1"/>
  <c r="AB56" i="9"/>
  <c r="AB54" i="9"/>
  <c r="AC54" i="9" s="1"/>
  <c r="Q357" i="9" s="1"/>
  <c r="AB57" i="9"/>
  <c r="AC57" i="9" s="1"/>
  <c r="Q360" i="9" s="1"/>
  <c r="AB58" i="9"/>
  <c r="AC58" i="9" s="1"/>
  <c r="Q361" i="9" s="1"/>
  <c r="AB99" i="9"/>
  <c r="AC99" i="9" s="1"/>
  <c r="Q301" i="9" s="1"/>
  <c r="AB100" i="9"/>
  <c r="AB101" i="9"/>
  <c r="AB102" i="9"/>
  <c r="AB95" i="9"/>
  <c r="AC95" i="9" s="1"/>
  <c r="Q95" i="9" s="1"/>
  <c r="AB103" i="9"/>
  <c r="AC103" i="9" s="1"/>
  <c r="Q305" i="9" s="1"/>
  <c r="AB96" i="9"/>
  <c r="AB94" i="9"/>
  <c r="AC94" i="9" s="1"/>
  <c r="Q195" i="9" s="1"/>
  <c r="AB97" i="9"/>
  <c r="AC97" i="9" s="1"/>
  <c r="Q400" i="9" s="1"/>
  <c r="AB98" i="9"/>
  <c r="AB74" i="9"/>
  <c r="AB82" i="9"/>
  <c r="AC82" i="9" s="1"/>
  <c r="Q183" i="9" s="1"/>
  <c r="AB75" i="9"/>
  <c r="AB83" i="9"/>
  <c r="AC83" i="9" s="1"/>
  <c r="Q83" i="9" s="1"/>
  <c r="AB76" i="9"/>
  <c r="AB77" i="9"/>
  <c r="AC77" i="9" s="1"/>
  <c r="Q77" i="9" s="1"/>
  <c r="AB78" i="9"/>
  <c r="AB79" i="9"/>
  <c r="AC79" i="9" s="1"/>
  <c r="Q180" i="9" s="1"/>
  <c r="AB80" i="9"/>
  <c r="AC80" i="9" s="1"/>
  <c r="Q282" i="9" s="1"/>
  <c r="AB81" i="9"/>
  <c r="AB43" i="9"/>
  <c r="AC43" i="9" s="1"/>
  <c r="Q245" i="9" s="1"/>
  <c r="AB35" i="9"/>
  <c r="AC35" i="9" s="1"/>
  <c r="Q237" i="9" s="1"/>
  <c r="AB42" i="9"/>
  <c r="AB34" i="9"/>
  <c r="AC34" i="9" s="1"/>
  <c r="Q337" i="9" s="1"/>
  <c r="AB41" i="9"/>
  <c r="AC41" i="9" s="1"/>
  <c r="Q142" i="9" s="1"/>
  <c r="AB40" i="9"/>
  <c r="AC40" i="9" s="1"/>
  <c r="Q242" i="9" s="1"/>
  <c r="AB39" i="9"/>
  <c r="AC39" i="9" s="1"/>
  <c r="Q39" i="9" s="1"/>
  <c r="AB38" i="9"/>
  <c r="AC38" i="9" s="1"/>
  <c r="Q240" i="9" s="1"/>
  <c r="AB37" i="9"/>
  <c r="AC37" i="9" s="1"/>
  <c r="Q239" i="9" s="1"/>
  <c r="AB36" i="9"/>
  <c r="AC36" i="9" s="1"/>
  <c r="Q339" i="9" s="1"/>
  <c r="AB47" i="9"/>
  <c r="AC47" i="9" s="1"/>
  <c r="Q148" i="9" s="1"/>
  <c r="AB48" i="9"/>
  <c r="AC48" i="9" s="1"/>
  <c r="Q351" i="9" s="1"/>
  <c r="AB49" i="9"/>
  <c r="AC49" i="9" s="1"/>
  <c r="Q352" i="9" s="1"/>
  <c r="AB50" i="9"/>
  <c r="AC50" i="9" s="1"/>
  <c r="Q252" i="9" s="1"/>
  <c r="AB51" i="9"/>
  <c r="AC51" i="9" s="1"/>
  <c r="Q354" i="9" s="1"/>
  <c r="AB52" i="9"/>
  <c r="AC52" i="9" s="1"/>
  <c r="Q153" i="9" s="1"/>
  <c r="AB45" i="9"/>
  <c r="AC45" i="9" s="1"/>
  <c r="Q146" i="9" s="1"/>
  <c r="AB53" i="9"/>
  <c r="AC53" i="9" s="1"/>
  <c r="Q255" i="9" s="1"/>
  <c r="AB46" i="9"/>
  <c r="AC46" i="9" s="1"/>
  <c r="Q248" i="9" s="1"/>
  <c r="AB44" i="9"/>
  <c r="AC44" i="9" s="1"/>
  <c r="Q347" i="9" s="1"/>
  <c r="L143" i="12"/>
  <c r="L115" i="12"/>
  <c r="L163" i="12"/>
  <c r="L123" i="12"/>
  <c r="L303" i="12"/>
  <c r="L347" i="12"/>
  <c r="L274" i="12"/>
  <c r="L72" i="12"/>
  <c r="L35" i="12"/>
  <c r="L117" i="12"/>
  <c r="L43" i="12"/>
  <c r="L108" i="12"/>
  <c r="L355" i="12"/>
  <c r="L34" i="12"/>
  <c r="L75" i="12"/>
  <c r="L103" i="12"/>
  <c r="L283" i="12"/>
  <c r="L74" i="12"/>
  <c r="L36" i="12"/>
  <c r="L278" i="12"/>
  <c r="L343" i="12"/>
  <c r="L83" i="12"/>
  <c r="L67" i="12"/>
  <c r="L154" i="12"/>
  <c r="L236" i="12"/>
  <c r="L38" i="12"/>
  <c r="L60" i="12"/>
  <c r="L63" i="12"/>
  <c r="L147" i="12"/>
  <c r="L194" i="12"/>
  <c r="L356" i="12"/>
  <c r="L77" i="12"/>
  <c r="L118" i="12"/>
  <c r="F77" i="13"/>
  <c r="F445" i="13"/>
  <c r="L26" i="12"/>
  <c r="F491" i="13"/>
  <c r="F169" i="13"/>
  <c r="L304" i="12"/>
  <c r="L237" i="12"/>
  <c r="L238" i="12"/>
  <c r="L197" i="12"/>
  <c r="L156" i="12"/>
  <c r="L277" i="12"/>
  <c r="L158" i="12"/>
  <c r="L157" i="12"/>
  <c r="L76" i="12"/>
  <c r="L186" i="12"/>
  <c r="L345" i="12"/>
  <c r="L185" i="12"/>
  <c r="L146" i="12"/>
  <c r="F26" i="13"/>
  <c r="F302" i="13"/>
  <c r="L137" i="12"/>
  <c r="L217" i="12"/>
  <c r="L262" i="12"/>
  <c r="L97" i="12"/>
  <c r="L142" i="12"/>
  <c r="L342" i="12"/>
  <c r="L22" i="12"/>
  <c r="L95" i="12"/>
  <c r="F244" i="13"/>
  <c r="F49" i="13"/>
  <c r="F233" i="13"/>
  <c r="L233" i="12"/>
  <c r="L353" i="12"/>
  <c r="L195" i="12"/>
  <c r="L33" i="12"/>
  <c r="L73" i="12"/>
  <c r="L193" i="12"/>
  <c r="L198" i="12"/>
  <c r="L318" i="12"/>
  <c r="L116" i="12"/>
  <c r="L357" i="12"/>
  <c r="L358" i="12"/>
  <c r="L113" i="12"/>
  <c r="L114" i="12"/>
  <c r="L276" i="12"/>
  <c r="L196" i="12"/>
  <c r="L155" i="12"/>
  <c r="L153" i="12"/>
  <c r="L235" i="12"/>
  <c r="L273" i="12"/>
  <c r="L314" i="12"/>
  <c r="F507" i="13"/>
  <c r="F415" i="13"/>
  <c r="F323" i="13"/>
  <c r="F231" i="13"/>
  <c r="F139" i="13"/>
  <c r="F47" i="13"/>
  <c r="F461" i="13"/>
  <c r="F369" i="13"/>
  <c r="F277" i="13"/>
  <c r="F185" i="13"/>
  <c r="F93" i="13"/>
  <c r="F225" i="13"/>
  <c r="F46" i="13"/>
  <c r="F276" i="13"/>
  <c r="F460" i="13"/>
  <c r="F368" i="13"/>
  <c r="F506" i="13"/>
  <c r="F414" i="13"/>
  <c r="F184" i="13"/>
  <c r="F92" i="13"/>
  <c r="F230" i="13"/>
  <c r="F322" i="13"/>
  <c r="F138" i="13"/>
  <c r="F496" i="13"/>
  <c r="L70" i="12"/>
  <c r="L349" i="12"/>
  <c r="L191" i="12"/>
  <c r="F456" i="13"/>
  <c r="F88" i="13"/>
  <c r="F410" i="13"/>
  <c r="F42" i="13"/>
  <c r="F364" i="13"/>
  <c r="F318" i="13"/>
  <c r="F272" i="13"/>
  <c r="F226" i="13"/>
  <c r="F180" i="13"/>
  <c r="F502" i="13"/>
  <c r="F134" i="13"/>
  <c r="L312" i="12"/>
  <c r="F501" i="13"/>
  <c r="F503" i="13"/>
  <c r="F135" i="13"/>
  <c r="F457" i="13"/>
  <c r="F89" i="13"/>
  <c r="F411" i="13"/>
  <c r="F43" i="13"/>
  <c r="F365" i="13"/>
  <c r="F319" i="13"/>
  <c r="F273" i="13"/>
  <c r="F227" i="13"/>
  <c r="F181" i="13"/>
  <c r="F82" i="13"/>
  <c r="L231" i="12"/>
  <c r="L32" i="12"/>
  <c r="L352" i="12"/>
  <c r="F179" i="13"/>
  <c r="F450" i="13"/>
  <c r="L112" i="12"/>
  <c r="F271" i="13"/>
  <c r="F174" i="13"/>
  <c r="F36" i="13"/>
  <c r="L310" i="12"/>
  <c r="L69" i="12"/>
  <c r="L31" i="12"/>
  <c r="L351" i="12"/>
  <c r="L152" i="12"/>
  <c r="F317" i="13"/>
  <c r="F358" i="13"/>
  <c r="F220" i="13"/>
  <c r="L230" i="12"/>
  <c r="L149" i="12"/>
  <c r="L192" i="12"/>
  <c r="F87" i="13"/>
  <c r="F363" i="13"/>
  <c r="F128" i="13"/>
  <c r="F404" i="13"/>
  <c r="L110" i="12"/>
  <c r="L29" i="12"/>
  <c r="L111" i="12"/>
  <c r="L232" i="12"/>
  <c r="F455" i="13"/>
  <c r="F41" i="13"/>
  <c r="L190" i="12"/>
  <c r="L109" i="12"/>
  <c r="F133" i="13"/>
  <c r="F123" i="13"/>
  <c r="L227" i="12"/>
  <c r="L270" i="12"/>
  <c r="L189" i="12"/>
  <c r="F405" i="13"/>
  <c r="F221" i="13"/>
  <c r="F37" i="13"/>
  <c r="F497" i="13"/>
  <c r="F129" i="13"/>
  <c r="F451" i="13"/>
  <c r="F267" i="13"/>
  <c r="F83" i="13"/>
  <c r="F313" i="13"/>
  <c r="F359" i="13"/>
  <c r="F175" i="13"/>
  <c r="L228" i="12"/>
  <c r="F307" i="13"/>
  <c r="L307" i="12"/>
  <c r="L350" i="12"/>
  <c r="L269" i="12"/>
  <c r="L28" i="12"/>
  <c r="L308" i="12"/>
  <c r="L107" i="12"/>
  <c r="L188" i="12"/>
  <c r="F353" i="13"/>
  <c r="F399" i="13"/>
  <c r="L187" i="12"/>
  <c r="L150" i="12"/>
  <c r="L229" i="12"/>
  <c r="L268" i="12"/>
  <c r="F215" i="13"/>
  <c r="L344" i="12"/>
  <c r="F360" i="13"/>
  <c r="F176" i="13"/>
  <c r="F406" i="13"/>
  <c r="F222" i="13"/>
  <c r="F38" i="13"/>
  <c r="F452" i="13"/>
  <c r="F268" i="13"/>
  <c r="F84" i="13"/>
  <c r="F498" i="13"/>
  <c r="F314" i="13"/>
  <c r="F130" i="13"/>
  <c r="L348" i="12"/>
  <c r="L68" i="12"/>
  <c r="F486" i="13"/>
  <c r="L21" i="12"/>
  <c r="F398" i="13"/>
  <c r="L23" i="12"/>
  <c r="L144" i="12"/>
  <c r="F210" i="13"/>
  <c r="F259" i="13"/>
  <c r="F394" i="13"/>
  <c r="F443" i="13"/>
  <c r="F72" i="13"/>
  <c r="F256" i="13"/>
  <c r="F214" i="13"/>
  <c r="L183" i="12"/>
  <c r="L104" i="12"/>
  <c r="F118" i="13"/>
  <c r="F440" i="13"/>
  <c r="F25" i="13"/>
  <c r="L61" i="12"/>
  <c r="F444" i="13"/>
  <c r="L263" i="12"/>
  <c r="L184" i="12"/>
  <c r="L140" i="12"/>
  <c r="L102" i="12"/>
  <c r="L20" i="12"/>
  <c r="L182" i="12"/>
  <c r="L222" i="12"/>
  <c r="L62" i="12"/>
  <c r="L58" i="12"/>
  <c r="F282" i="13"/>
  <c r="F141" i="13"/>
  <c r="F188" i="13"/>
  <c r="F3" i="13"/>
  <c r="L125" i="12"/>
  <c r="F279" i="13"/>
  <c r="L5" i="12"/>
  <c r="F287" i="13"/>
  <c r="L167" i="12"/>
  <c r="L247" i="12"/>
  <c r="F242" i="13"/>
  <c r="F156" i="13"/>
  <c r="L175" i="12"/>
  <c r="F247" i="13"/>
  <c r="L135" i="12"/>
  <c r="F60" i="13"/>
  <c r="F293" i="13"/>
  <c r="L295" i="12"/>
  <c r="F290" i="13"/>
  <c r="F155" i="13"/>
  <c r="F296" i="13"/>
  <c r="L296" i="12"/>
  <c r="F71" i="13"/>
  <c r="F20" i="13"/>
  <c r="F480" i="13"/>
  <c r="L180" i="12"/>
  <c r="F117" i="13"/>
  <c r="F342" i="13"/>
  <c r="L59" i="12"/>
  <c r="L100" i="12"/>
  <c r="F346" i="13"/>
  <c r="F202" i="13"/>
  <c r="F204" i="13"/>
  <c r="L216" i="12"/>
  <c r="L57" i="12"/>
  <c r="F434" i="13"/>
  <c r="L55" i="12"/>
  <c r="L297" i="12"/>
  <c r="L16" i="12"/>
  <c r="L14" i="12"/>
  <c r="F152" i="13"/>
  <c r="F14" i="13"/>
  <c r="F192" i="13"/>
  <c r="F195" i="13"/>
  <c r="F280" i="13"/>
  <c r="F284" i="13"/>
  <c r="L325" i="12"/>
  <c r="L205" i="12"/>
  <c r="F187" i="13"/>
  <c r="L85" i="12"/>
  <c r="L285" i="12"/>
  <c r="L45" i="12"/>
  <c r="F144" i="13"/>
  <c r="L245" i="12"/>
  <c r="L260" i="12"/>
  <c r="L221" i="12"/>
  <c r="L145" i="12"/>
  <c r="L106" i="12"/>
  <c r="F397" i="13"/>
  <c r="L300" i="12"/>
  <c r="F70" i="13"/>
  <c r="L261" i="12"/>
  <c r="F309" i="13"/>
  <c r="F492" i="13"/>
  <c r="F124" i="13"/>
  <c r="F354" i="13"/>
  <c r="F355" i="13"/>
  <c r="F262" i="13"/>
  <c r="F263" i="13"/>
  <c r="F401" i="13"/>
  <c r="F400" i="13"/>
  <c r="F33" i="13"/>
  <c r="F32" i="13"/>
  <c r="F447" i="13"/>
  <c r="F79" i="13"/>
  <c r="F170" i="13"/>
  <c r="F493" i="13"/>
  <c r="F125" i="13"/>
  <c r="F308" i="13"/>
  <c r="F171" i="13"/>
  <c r="F446" i="13"/>
  <c r="F78" i="13"/>
  <c r="F217" i="13"/>
  <c r="F216" i="13"/>
  <c r="L225" i="12"/>
  <c r="L346" i="12"/>
  <c r="L266" i="12"/>
  <c r="F122" i="13"/>
  <c r="F306" i="13"/>
  <c r="F29" i="13"/>
  <c r="L224" i="12"/>
  <c r="L340" i="12"/>
  <c r="F162" i="13"/>
  <c r="L341" i="12"/>
  <c r="L105" i="12"/>
  <c r="L305" i="12"/>
  <c r="F351" i="13"/>
  <c r="F213" i="13"/>
  <c r="F209" i="13"/>
  <c r="L265" i="12"/>
  <c r="L66" i="12"/>
  <c r="F30" i="13"/>
  <c r="F75" i="13"/>
  <c r="L264" i="12"/>
  <c r="L25" i="12"/>
  <c r="L226" i="12"/>
  <c r="F121" i="13"/>
  <c r="F305" i="13"/>
  <c r="L24" i="12"/>
  <c r="L141" i="12"/>
  <c r="F489" i="13"/>
  <c r="L19" i="12"/>
  <c r="L339" i="12"/>
  <c r="F487" i="13"/>
  <c r="F303" i="13"/>
  <c r="F119" i="13"/>
  <c r="F27" i="13"/>
  <c r="F441" i="13"/>
  <c r="F257" i="13"/>
  <c r="F73" i="13"/>
  <c r="F395" i="13"/>
  <c r="F211" i="13"/>
  <c r="F165" i="13"/>
  <c r="F349" i="13"/>
  <c r="L96" i="12"/>
  <c r="L177" i="12"/>
  <c r="L99" i="12"/>
  <c r="F254" i="13"/>
  <c r="F208" i="13"/>
  <c r="F301" i="13"/>
  <c r="F255" i="13"/>
  <c r="L301" i="12"/>
  <c r="F21" i="13"/>
  <c r="L176" i="12"/>
  <c r="L139" i="12"/>
  <c r="F438" i="13"/>
  <c r="F392" i="13"/>
  <c r="F485" i="13"/>
  <c r="F439" i="13"/>
  <c r="F159" i="13"/>
  <c r="L256" i="12"/>
  <c r="L17" i="12"/>
  <c r="L179" i="12"/>
  <c r="F24" i="13"/>
  <c r="F163" i="13"/>
  <c r="F67" i="13"/>
  <c r="L336" i="12"/>
  <c r="L219" i="12"/>
  <c r="F116" i="13"/>
  <c r="F347" i="13"/>
  <c r="F297" i="13"/>
  <c r="L259" i="12"/>
  <c r="F300" i="13"/>
  <c r="L56" i="12"/>
  <c r="L173" i="12"/>
  <c r="F106" i="13"/>
  <c r="F294" i="13"/>
  <c r="F158" i="13"/>
  <c r="F250" i="13"/>
  <c r="F251" i="13"/>
  <c r="L133" i="12"/>
  <c r="F63" i="13"/>
  <c r="F248" i="13"/>
  <c r="F112" i="13"/>
  <c r="F205" i="13"/>
  <c r="F109" i="13"/>
  <c r="F18" i="13"/>
  <c r="F66" i="13"/>
  <c r="F17" i="13"/>
  <c r="F110" i="13"/>
  <c r="F113" i="13"/>
  <c r="L15" i="12"/>
  <c r="F432" i="13"/>
  <c r="L93" i="12"/>
  <c r="F386" i="13"/>
  <c r="L138" i="12"/>
  <c r="F479" i="13"/>
  <c r="F65" i="13"/>
  <c r="L213" i="12"/>
  <c r="F433" i="13"/>
  <c r="F481" i="13"/>
  <c r="F160" i="13"/>
  <c r="F22" i="13"/>
  <c r="F206" i="13"/>
  <c r="F252" i="13"/>
  <c r="F298" i="13"/>
  <c r="F344" i="13"/>
  <c r="F390" i="13"/>
  <c r="F436" i="13"/>
  <c r="F68" i="13"/>
  <c r="F482" i="13"/>
  <c r="F114" i="13"/>
  <c r="L215" i="12"/>
  <c r="L218" i="12"/>
  <c r="L12" i="12"/>
  <c r="F249" i="13"/>
  <c r="F387" i="13"/>
  <c r="L298" i="12"/>
  <c r="L92" i="12"/>
  <c r="F203" i="13"/>
  <c r="F341" i="13"/>
  <c r="F435" i="13"/>
  <c r="L98" i="12"/>
  <c r="L172" i="12"/>
  <c r="F478" i="13"/>
  <c r="F19" i="13"/>
  <c r="F295" i="13"/>
  <c r="F389" i="13"/>
  <c r="L255" i="12"/>
  <c r="L178" i="12"/>
  <c r="L52" i="12"/>
  <c r="F201" i="13"/>
  <c r="F340" i="13"/>
  <c r="F157" i="13"/>
  <c r="L258" i="12"/>
  <c r="L18" i="12"/>
  <c r="F15" i="13"/>
  <c r="L94" i="12"/>
  <c r="L53" i="12"/>
  <c r="F107" i="13"/>
  <c r="L294" i="12"/>
  <c r="F62" i="13"/>
  <c r="L89" i="12"/>
  <c r="L286" i="12"/>
  <c r="L126" i="12"/>
  <c r="F236" i="13"/>
  <c r="F145" i="13"/>
  <c r="L49" i="12"/>
  <c r="L6" i="12"/>
  <c r="F53" i="13"/>
  <c r="L124" i="12"/>
  <c r="F196" i="13"/>
  <c r="L131" i="12"/>
  <c r="L212" i="12"/>
  <c r="L13" i="12"/>
  <c r="L293" i="12"/>
  <c r="F61" i="13"/>
  <c r="L211" i="12"/>
  <c r="L174" i="12"/>
  <c r="L291" i="12"/>
  <c r="L11" i="12"/>
  <c r="F58" i="13"/>
  <c r="L253" i="12"/>
  <c r="L91" i="12"/>
  <c r="F288" i="13"/>
  <c r="L50" i="12"/>
  <c r="L251" i="12"/>
  <c r="F16" i="13"/>
  <c r="L252" i="12"/>
  <c r="F108" i="13"/>
  <c r="L332" i="12"/>
  <c r="L289" i="12"/>
  <c r="F4" i="13"/>
  <c r="L166" i="12"/>
  <c r="F7" i="13"/>
  <c r="F103" i="13"/>
  <c r="L244" i="12"/>
  <c r="F286" i="13"/>
  <c r="F146" i="13"/>
  <c r="F241" i="13"/>
  <c r="L46" i="12"/>
  <c r="F50" i="13"/>
  <c r="F191" i="13"/>
  <c r="L324" i="12"/>
  <c r="F100" i="13"/>
  <c r="F234" i="13"/>
  <c r="L204" i="12"/>
  <c r="F9" i="13"/>
  <c r="F54" i="13"/>
  <c r="L84" i="12"/>
  <c r="L284" i="12"/>
  <c r="L326" i="12"/>
  <c r="F142" i="13"/>
  <c r="F99" i="13"/>
  <c r="L164" i="12"/>
  <c r="F11" i="13"/>
  <c r="L86" i="12"/>
  <c r="F283" i="13"/>
  <c r="L44" i="12"/>
  <c r="L130" i="12"/>
  <c r="L128" i="12"/>
  <c r="F102" i="13"/>
  <c r="L170" i="12"/>
  <c r="L8" i="12"/>
  <c r="F190" i="13"/>
  <c r="L250" i="12"/>
  <c r="L168" i="12"/>
  <c r="L330" i="12"/>
  <c r="L248" i="12"/>
  <c r="F238" i="13"/>
  <c r="F149" i="13"/>
  <c r="L129" i="12"/>
  <c r="L246" i="12"/>
  <c r="L87" i="12"/>
  <c r="L207" i="12"/>
  <c r="L327" i="12"/>
  <c r="F189" i="13"/>
  <c r="F10" i="13"/>
  <c r="L209" i="12"/>
  <c r="L287" i="12"/>
  <c r="F143" i="13"/>
  <c r="F97" i="13"/>
  <c r="F56" i="13"/>
  <c r="L9" i="12"/>
  <c r="L47" i="12"/>
  <c r="F98" i="13"/>
  <c r="F281" i="13"/>
  <c r="F5" i="13"/>
  <c r="F101" i="13"/>
  <c r="L249" i="12"/>
  <c r="L127" i="12"/>
  <c r="F6" i="13"/>
  <c r="F51" i="13"/>
  <c r="F55" i="13"/>
  <c r="L88" i="12"/>
  <c r="L329" i="12"/>
  <c r="F150" i="13"/>
  <c r="F240" i="13"/>
  <c r="F105" i="13"/>
  <c r="L210" i="12"/>
  <c r="F291" i="13"/>
  <c r="L171" i="12"/>
  <c r="L334" i="12"/>
  <c r="F285" i="13"/>
  <c r="F292" i="13"/>
  <c r="L48" i="12"/>
  <c r="L328" i="12"/>
  <c r="L132" i="12"/>
  <c r="F12" i="13"/>
  <c r="F194" i="13"/>
  <c r="F59" i="13"/>
  <c r="L290" i="12"/>
  <c r="F245" i="13"/>
  <c r="L54" i="12"/>
  <c r="F239" i="13"/>
  <c r="F246" i="13"/>
  <c r="F289" i="13"/>
  <c r="L10" i="12"/>
  <c r="F199" i="13"/>
  <c r="L51" i="12"/>
  <c r="L134" i="12"/>
  <c r="F193" i="13"/>
  <c r="F200" i="13"/>
  <c r="L208" i="12"/>
  <c r="F243" i="13"/>
  <c r="L214" i="12"/>
  <c r="F197" i="13"/>
  <c r="F151" i="13"/>
  <c r="AL20" i="19"/>
  <c r="D4717" i="23" s="1"/>
  <c r="AL27" i="19"/>
  <c r="D4724" i="23" s="1"/>
  <c r="AL12" i="19"/>
  <c r="D4709" i="23" s="1"/>
  <c r="AL8" i="19"/>
  <c r="D4705" i="23" s="1"/>
  <c r="AM29" i="19"/>
  <c r="AL14" i="19"/>
  <c r="D4711" i="23" s="1"/>
  <c r="AL16" i="19"/>
  <c r="D4713" i="23" s="1"/>
  <c r="AM10" i="19"/>
  <c r="AM4" i="19"/>
  <c r="AL26" i="19"/>
  <c r="D4723" i="23" s="1"/>
  <c r="AM6" i="19"/>
  <c r="AM15" i="19"/>
  <c r="AL5" i="19"/>
  <c r="D4702" i="23" s="1"/>
  <c r="AM18" i="19"/>
  <c r="AL24" i="19"/>
  <c r="D4721" i="23" s="1"/>
  <c r="AM12" i="19"/>
  <c r="AM14" i="19"/>
  <c r="AL30" i="19"/>
  <c r="D4727" i="23" s="1"/>
  <c r="AM7" i="19"/>
  <c r="AM9" i="19"/>
  <c r="AM11" i="19"/>
  <c r="AL23" i="19"/>
  <c r="D4720" i="23" s="1"/>
  <c r="AM5" i="19"/>
  <c r="AM8" i="19"/>
  <c r="AM17" i="19"/>
  <c r="AM25" i="19"/>
  <c r="AL22" i="19"/>
  <c r="D4719" i="23" s="1"/>
  <c r="AM19" i="19"/>
  <c r="AM16" i="19"/>
  <c r="AL13" i="19"/>
  <c r="D4710" i="23" s="1"/>
  <c r="AL28" i="19"/>
  <c r="D4725" i="23" s="1"/>
  <c r="AM27" i="19"/>
  <c r="AL10" i="19"/>
  <c r="D4707" i="23" s="1"/>
  <c r="AM24" i="19"/>
  <c r="AM26" i="19"/>
  <c r="AL7" i="19"/>
  <c r="D4704" i="23" s="1"/>
  <c r="AM22" i="19"/>
  <c r="AM30" i="19"/>
  <c r="AL11" i="19"/>
  <c r="D4708" i="23" s="1"/>
  <c r="AL9" i="19"/>
  <c r="D4706" i="23" s="1"/>
  <c r="AL15" i="19"/>
  <c r="D4712" i="23" s="1"/>
  <c r="AM13" i="19"/>
  <c r="AL4" i="19"/>
  <c r="D4701" i="23" s="1"/>
  <c r="AM21" i="19"/>
  <c r="AL21" i="19"/>
  <c r="D4718" i="23" s="1"/>
  <c r="AL6" i="19"/>
  <c r="D4703" i="23" s="1"/>
  <c r="AM20" i="19"/>
  <c r="AL18" i="19"/>
  <c r="D4715" i="23" s="1"/>
  <c r="AL25" i="19"/>
  <c r="D4722" i="23" s="1"/>
  <c r="AL29" i="19"/>
  <c r="D4726" i="23" s="1"/>
  <c r="AM28" i="19"/>
  <c r="AL17" i="19"/>
  <c r="D4714" i="23" s="1"/>
  <c r="AL19" i="19"/>
  <c r="D4716" i="23" s="1"/>
  <c r="AM23" i="19"/>
  <c r="AO5" i="19"/>
  <c r="AN25" i="19"/>
  <c r="D4911" i="23" s="1"/>
  <c r="AN27" i="19"/>
  <c r="D4913" i="23" s="1"/>
  <c r="AN6" i="19"/>
  <c r="D4892" i="23" s="1"/>
  <c r="AO13" i="19"/>
  <c r="AN8" i="19"/>
  <c r="D4894" i="23" s="1"/>
  <c r="AO7" i="19"/>
  <c r="AO9" i="19"/>
  <c r="AN5" i="19"/>
  <c r="D4891" i="23" s="1"/>
  <c r="AN12" i="19"/>
  <c r="D4898" i="23" s="1"/>
  <c r="AN14" i="19"/>
  <c r="D4900" i="23" s="1"/>
  <c r="AO21" i="19"/>
  <c r="AN16" i="19"/>
  <c r="D4902" i="23" s="1"/>
  <c r="AO15" i="19"/>
  <c r="AN10" i="19"/>
  <c r="D4896" i="23" s="1"/>
  <c r="AO17" i="19"/>
  <c r="AN13" i="19"/>
  <c r="D4899" i="23" s="1"/>
  <c r="AO26" i="19"/>
  <c r="AO18" i="19"/>
  <c r="AO12" i="19"/>
  <c r="AN7" i="19"/>
  <c r="D4893" i="23" s="1"/>
  <c r="AO14" i="19"/>
  <c r="AO8" i="19"/>
  <c r="AO30" i="19"/>
  <c r="AO11" i="19"/>
  <c r="AN28" i="19"/>
  <c r="D4914" i="23" s="1"/>
  <c r="AO20" i="19"/>
  <c r="AN9" i="19"/>
  <c r="D4895" i="23" s="1"/>
  <c r="AO16" i="19"/>
  <c r="AN22" i="19"/>
  <c r="D4908" i="23" s="1"/>
  <c r="AN17" i="19"/>
  <c r="D4903" i="23" s="1"/>
  <c r="AO24" i="19"/>
  <c r="AN20" i="19"/>
  <c r="D4906" i="23" s="1"/>
  <c r="AO4" i="19"/>
  <c r="AN24" i="19"/>
  <c r="D4910" i="23" s="1"/>
  <c r="AO23" i="19"/>
  <c r="AN21" i="19"/>
  <c r="D4907" i="23" s="1"/>
  <c r="AN4" i="19"/>
  <c r="D4890" i="23" s="1"/>
  <c r="AO28" i="19"/>
  <c r="AO6" i="19"/>
  <c r="AN29" i="19"/>
  <c r="D4915" i="23" s="1"/>
  <c r="AN15" i="19"/>
  <c r="D4901" i="23" s="1"/>
  <c r="AO22" i="19"/>
  <c r="AN11" i="19"/>
  <c r="D4897" i="23" s="1"/>
  <c r="AO19" i="19"/>
  <c r="AN23" i="19"/>
  <c r="D4909" i="23" s="1"/>
  <c r="AN30" i="19"/>
  <c r="D4916" i="23" s="1"/>
  <c r="AN19" i="19"/>
  <c r="D4905" i="23" s="1"/>
  <c r="AO27" i="19"/>
  <c r="AO29" i="19"/>
  <c r="AN18" i="19"/>
  <c r="D4904" i="23" s="1"/>
  <c r="AO25" i="19"/>
  <c r="AO10" i="19"/>
  <c r="AN26" i="19"/>
  <c r="D4912" i="23" s="1"/>
  <c r="AB10" i="6"/>
  <c r="AA10" i="6"/>
  <c r="Z10" i="6"/>
  <c r="CS6" i="7"/>
  <c r="CS5" i="7"/>
  <c r="AA17" i="6"/>
  <c r="AB17" i="6"/>
  <c r="Z17" i="6"/>
  <c r="CW6" i="7"/>
  <c r="CW5" i="7"/>
  <c r="AA5" i="6"/>
  <c r="AB5" i="6"/>
  <c r="Z5" i="6"/>
  <c r="Z6" i="6"/>
  <c r="AA6" i="6"/>
  <c r="AB6" i="6"/>
  <c r="W24" i="19"/>
  <c r="W19" i="19"/>
  <c r="V23" i="19"/>
  <c r="D4801" i="23" s="1"/>
  <c r="V24" i="19"/>
  <c r="D4802" i="23" s="1"/>
  <c r="V11" i="19"/>
  <c r="D4789" i="23" s="1"/>
  <c r="V6" i="19"/>
  <c r="D4784" i="23" s="1"/>
  <c r="W7" i="19"/>
  <c r="W6" i="19"/>
  <c r="V10" i="19"/>
  <c r="D4788" i="23" s="1"/>
  <c r="V4" i="19"/>
  <c r="D4782" i="23" s="1"/>
  <c r="V5" i="19"/>
  <c r="D4783" i="23" s="1"/>
  <c r="W27" i="19"/>
  <c r="W4" i="19"/>
  <c r="V9" i="19"/>
  <c r="D4787" i="23" s="1"/>
  <c r="V8" i="19"/>
  <c r="D4786" i="23" s="1"/>
  <c r="W21" i="19"/>
  <c r="W5" i="19"/>
  <c r="V20" i="19"/>
  <c r="D4798" i="23" s="1"/>
  <c r="V21" i="19"/>
  <c r="D4799" i="23" s="1"/>
  <c r="V25" i="19"/>
  <c r="D4803" i="23" s="1"/>
  <c r="V29" i="19"/>
  <c r="D4807" i="23" s="1"/>
  <c r="V14" i="19"/>
  <c r="D4792" i="23" s="1"/>
  <c r="V16" i="19"/>
  <c r="D4794" i="23" s="1"/>
  <c r="V18" i="19"/>
  <c r="D4796" i="23" s="1"/>
  <c r="V12" i="19"/>
  <c r="D4790" i="23" s="1"/>
  <c r="V13" i="19"/>
  <c r="D4791" i="23" s="1"/>
  <c r="W12" i="19"/>
  <c r="V17" i="19"/>
  <c r="D4795" i="23" s="1"/>
  <c r="V26" i="19"/>
  <c r="D4804" i="23" s="1"/>
  <c r="W20" i="19"/>
  <c r="W15" i="19"/>
  <c r="V27" i="19"/>
  <c r="D4805" i="23" s="1"/>
  <c r="W9" i="19"/>
  <c r="W10" i="19"/>
  <c r="V22" i="19"/>
  <c r="D4800" i="23" s="1"/>
  <c r="W14" i="19"/>
  <c r="W29" i="19"/>
  <c r="W11" i="19"/>
  <c r="V15" i="19"/>
  <c r="D4793" i="23" s="1"/>
  <c r="W13" i="19"/>
  <c r="W23" i="19"/>
  <c r="W8" i="19"/>
  <c r="W17" i="19"/>
  <c r="W18" i="19"/>
  <c r="W30" i="19"/>
  <c r="V7" i="19"/>
  <c r="D4785" i="23" s="1"/>
  <c r="W22" i="19"/>
  <c r="W16" i="19"/>
  <c r="W25" i="19"/>
  <c r="W26" i="19"/>
  <c r="V30" i="19"/>
  <c r="D4808" i="23" s="1"/>
  <c r="V19" i="19"/>
  <c r="D4797" i="23" s="1"/>
  <c r="V28" i="19"/>
  <c r="D4806" i="23" s="1"/>
  <c r="W28" i="19"/>
  <c r="AA15" i="6"/>
  <c r="AB15" i="6"/>
  <c r="Z15" i="6"/>
  <c r="CO6" i="7"/>
  <c r="CO5" i="7"/>
  <c r="AA12" i="6"/>
  <c r="Z12" i="6"/>
  <c r="AB12" i="6"/>
  <c r="Z21" i="6"/>
  <c r="AB21" i="6"/>
  <c r="AA21" i="6"/>
  <c r="CD6" i="7"/>
  <c r="CD5" i="7"/>
  <c r="AB20" i="6"/>
  <c r="Z20" i="6"/>
  <c r="AA20" i="6"/>
  <c r="AA4" i="6"/>
  <c r="AB4" i="6"/>
  <c r="Z4" i="6"/>
  <c r="CX5" i="7"/>
  <c r="CX6" i="7"/>
  <c r="Z8" i="6"/>
  <c r="AA8" i="6"/>
  <c r="AB8" i="6"/>
  <c r="CI5" i="7"/>
  <c r="CI6" i="7"/>
  <c r="CT6" i="7"/>
  <c r="CT5" i="7"/>
  <c r="BZ6" i="7"/>
  <c r="BZ5" i="7"/>
  <c r="CK5" i="7"/>
  <c r="CK6" i="7"/>
  <c r="Z21" i="19"/>
  <c r="D5123" i="23" s="1"/>
  <c r="Z6" i="19"/>
  <c r="D5108" i="23" s="1"/>
  <c r="Z16" i="19"/>
  <c r="D5118" i="23" s="1"/>
  <c r="AA15" i="19"/>
  <c r="Z20" i="19"/>
  <c r="D5122" i="23" s="1"/>
  <c r="Z11" i="19"/>
  <c r="D5113" i="23" s="1"/>
  <c r="Z25" i="19"/>
  <c r="D5127" i="23" s="1"/>
  <c r="AA17" i="19"/>
  <c r="AA4" i="19"/>
  <c r="AA12" i="19"/>
  <c r="Z29" i="19"/>
  <c r="D5131" i="23" s="1"/>
  <c r="Z14" i="19"/>
  <c r="D5116" i="23" s="1"/>
  <c r="Z24" i="19"/>
  <c r="D5126" i="23" s="1"/>
  <c r="Z9" i="19"/>
  <c r="D5111" i="23" s="1"/>
  <c r="AA23" i="19"/>
  <c r="Z28" i="19"/>
  <c r="D5130" i="23" s="1"/>
  <c r="Z15" i="19"/>
  <c r="D5117" i="23" s="1"/>
  <c r="AA6" i="19"/>
  <c r="Z27" i="19"/>
  <c r="D5129" i="23" s="1"/>
  <c r="AA28" i="19"/>
  <c r="Z30" i="19"/>
  <c r="D5132" i="23" s="1"/>
  <c r="AA18" i="19"/>
  <c r="Z19" i="19"/>
  <c r="D5121" i="23" s="1"/>
  <c r="AA11" i="19"/>
  <c r="Z10" i="19"/>
  <c r="D5112" i="23" s="1"/>
  <c r="AA25" i="19"/>
  <c r="AA10" i="19"/>
  <c r="Z22" i="19"/>
  <c r="D5124" i="23" s="1"/>
  <c r="AA5" i="19"/>
  <c r="Z17" i="19"/>
  <c r="D5119" i="23" s="1"/>
  <c r="AA9" i="19"/>
  <c r="AA14" i="19"/>
  <c r="AA30" i="19"/>
  <c r="AA13" i="19"/>
  <c r="AA22" i="19"/>
  <c r="AA8" i="19"/>
  <c r="AA16" i="19"/>
  <c r="AA19" i="19"/>
  <c r="AA29" i="19"/>
  <c r="Z18" i="19"/>
  <c r="D5120" i="23" s="1"/>
  <c r="AA24" i="19"/>
  <c r="Z13" i="19"/>
  <c r="D5115" i="23" s="1"/>
  <c r="Z7" i="19"/>
  <c r="D5109" i="23" s="1"/>
  <c r="Z8" i="19"/>
  <c r="D5110" i="23" s="1"/>
  <c r="AA7" i="19"/>
  <c r="Z12" i="19"/>
  <c r="D5114" i="23" s="1"/>
  <c r="Z5" i="19"/>
  <c r="D5107" i="23" s="1"/>
  <c r="AA27" i="19"/>
  <c r="Z26" i="19"/>
  <c r="D5128" i="23" s="1"/>
  <c r="Z4" i="19"/>
  <c r="D5106" i="23" s="1"/>
  <c r="Z23" i="19"/>
  <c r="D5125" i="23" s="1"/>
  <c r="AA20" i="19"/>
  <c r="AA26" i="19"/>
  <c r="AA21" i="19"/>
  <c r="CR6" i="7"/>
  <c r="CR5" i="7"/>
  <c r="AH25" i="19"/>
  <c r="D4695" i="23" s="1"/>
  <c r="AI7" i="19"/>
  <c r="AI20" i="19"/>
  <c r="AI8" i="19"/>
  <c r="AH9" i="19"/>
  <c r="D4679" i="23" s="1"/>
  <c r="AI17" i="19"/>
  <c r="AI9" i="19"/>
  <c r="AH24" i="19"/>
  <c r="D4694" i="23" s="1"/>
  <c r="AI10" i="19"/>
  <c r="AI15" i="19"/>
  <c r="AI27" i="19"/>
  <c r="AH8" i="19"/>
  <c r="D4678" i="23" s="1"/>
  <c r="AH14" i="19"/>
  <c r="D4684" i="23" s="1"/>
  <c r="AI12" i="19"/>
  <c r="AH29" i="19"/>
  <c r="D4699" i="23" s="1"/>
  <c r="AH19" i="19"/>
  <c r="D4689" i="23" s="1"/>
  <c r="AI23" i="19"/>
  <c r="AI21" i="19"/>
  <c r="AH6" i="19"/>
  <c r="D4676" i="23" s="1"/>
  <c r="AH15" i="19"/>
  <c r="D4685" i="23" s="1"/>
  <c r="AH20" i="19"/>
  <c r="D4690" i="23" s="1"/>
  <c r="AI5" i="19"/>
  <c r="AI30" i="19"/>
  <c r="AH12" i="19"/>
  <c r="D4682" i="23" s="1"/>
  <c r="AI16" i="19"/>
  <c r="AI28" i="19"/>
  <c r="AI24" i="19"/>
  <c r="AI29" i="19"/>
  <c r="AI19" i="19"/>
  <c r="AH27" i="19"/>
  <c r="D4697" i="23" s="1"/>
  <c r="AH23" i="19"/>
  <c r="D4693" i="23" s="1"/>
  <c r="AI4" i="19"/>
  <c r="AI6" i="19"/>
  <c r="AI14" i="19"/>
  <c r="AI25" i="19"/>
  <c r="AH17" i="19"/>
  <c r="D4687" i="23" s="1"/>
  <c r="AH11" i="19"/>
  <c r="D4681" i="23" s="1"/>
  <c r="AH5" i="19"/>
  <c r="D4675" i="23" s="1"/>
  <c r="AH18" i="19"/>
  <c r="D4688" i="23" s="1"/>
  <c r="AH22" i="19"/>
  <c r="D4692" i="23" s="1"/>
  <c r="AH7" i="19"/>
  <c r="D4677" i="23" s="1"/>
  <c r="AH13" i="19"/>
  <c r="D4683" i="23" s="1"/>
  <c r="AH16" i="19"/>
  <c r="D4686" i="23" s="1"/>
  <c r="AI18" i="19"/>
  <c r="AI13" i="19"/>
  <c r="AH28" i="19"/>
  <c r="D4698" i="23" s="1"/>
  <c r="AH26" i="19"/>
  <c r="D4696" i="23" s="1"/>
  <c r="AI11" i="19"/>
  <c r="AH21" i="19"/>
  <c r="D4691" i="23" s="1"/>
  <c r="AI22" i="19"/>
  <c r="AH10" i="19"/>
  <c r="D4680" i="23" s="1"/>
  <c r="AH30" i="19"/>
  <c r="D4700" i="23" s="1"/>
  <c r="AH4" i="19"/>
  <c r="D4674" i="23" s="1"/>
  <c r="AI26" i="19"/>
  <c r="CL6" i="7"/>
  <c r="CL5" i="7"/>
  <c r="CC6" i="7"/>
  <c r="CC5" i="7"/>
  <c r="S31" i="19"/>
  <c r="CM5" i="7"/>
  <c r="CM6" i="7"/>
  <c r="Y5" i="19"/>
  <c r="X19" i="19"/>
  <c r="D4770" i="23" s="1"/>
  <c r="Y4" i="19"/>
  <c r="Y24" i="19"/>
  <c r="X4" i="19"/>
  <c r="D4755" i="23" s="1"/>
  <c r="Y27" i="19"/>
  <c r="X30" i="19"/>
  <c r="D4781" i="23" s="1"/>
  <c r="Y29" i="19"/>
  <c r="X10" i="19"/>
  <c r="D4761" i="23" s="1"/>
  <c r="X18" i="19"/>
  <c r="D4769" i="23" s="1"/>
  <c r="X17" i="19"/>
  <c r="D4768" i="23" s="1"/>
  <c r="Y13" i="19"/>
  <c r="Y8" i="19"/>
  <c r="Y12" i="19"/>
  <c r="Y14" i="19"/>
  <c r="X28" i="19"/>
  <c r="D4779" i="23" s="1"/>
  <c r="Y19" i="19"/>
  <c r="Y17" i="19"/>
  <c r="X29" i="19"/>
  <c r="D4780" i="23" s="1"/>
  <c r="X26" i="19"/>
  <c r="D4777" i="23" s="1"/>
  <c r="Y25" i="19"/>
  <c r="X16" i="19"/>
  <c r="D4767" i="23" s="1"/>
  <c r="X8" i="19"/>
  <c r="D4759" i="23" s="1"/>
  <c r="X9" i="19"/>
  <c r="D4760" i="23" s="1"/>
  <c r="Y9" i="19"/>
  <c r="X5" i="19"/>
  <c r="D4756" i="23" s="1"/>
  <c r="X14" i="19"/>
  <c r="D4765" i="23" s="1"/>
  <c r="X23" i="19"/>
  <c r="D4774" i="23" s="1"/>
  <c r="X11" i="19"/>
  <c r="D4762" i="23" s="1"/>
  <c r="Y15" i="19"/>
  <c r="X24" i="19"/>
  <c r="D4775" i="23" s="1"/>
  <c r="Y6" i="19"/>
  <c r="Y20" i="19"/>
  <c r="X20" i="19"/>
  <c r="D4771" i="23" s="1"/>
  <c r="X27" i="19"/>
  <c r="D4778" i="23" s="1"/>
  <c r="X15" i="19"/>
  <c r="D4766" i="23" s="1"/>
  <c r="X13" i="19"/>
  <c r="D4764" i="23" s="1"/>
  <c r="X12" i="19"/>
  <c r="D4763" i="23" s="1"/>
  <c r="X7" i="19"/>
  <c r="D4758" i="23" s="1"/>
  <c r="X22" i="19"/>
  <c r="D4773" i="23" s="1"/>
  <c r="Y10" i="19"/>
  <c r="X6" i="19"/>
  <c r="D4757" i="23" s="1"/>
  <c r="Y23" i="19"/>
  <c r="X21" i="19"/>
  <c r="D4772" i="23" s="1"/>
  <c r="Y28" i="19"/>
  <c r="Y26" i="19"/>
  <c r="Y22" i="19"/>
  <c r="Y11" i="19"/>
  <c r="X25" i="19"/>
  <c r="D4776" i="23" s="1"/>
  <c r="Y7" i="19"/>
  <c r="Y16" i="19"/>
  <c r="Y21" i="19"/>
  <c r="Y18" i="19"/>
  <c r="Y30" i="19"/>
  <c r="AB19" i="6"/>
  <c r="AA19" i="6"/>
  <c r="Z19" i="6"/>
  <c r="CA6" i="7"/>
  <c r="CA5" i="7"/>
  <c r="AF30" i="19"/>
  <c r="D4511" i="23" s="1"/>
  <c r="AG27" i="19"/>
  <c r="AF9" i="19"/>
  <c r="D4490" i="23" s="1"/>
  <c r="AF13" i="19"/>
  <c r="D4494" i="23" s="1"/>
  <c r="AF14" i="19"/>
  <c r="D4495" i="23" s="1"/>
  <c r="AG4" i="19"/>
  <c r="AF29" i="19"/>
  <c r="D4510" i="23" s="1"/>
  <c r="AF16" i="19"/>
  <c r="D4497" i="23" s="1"/>
  <c r="AG18" i="19"/>
  <c r="AG12" i="19"/>
  <c r="AG14" i="19"/>
  <c r="AG21" i="19"/>
  <c r="AG10" i="19"/>
  <c r="AF7" i="19"/>
  <c r="D4488" i="23" s="1"/>
  <c r="AG15" i="19"/>
  <c r="AG16" i="19"/>
  <c r="AF18" i="19"/>
  <c r="D4499" i="23" s="1"/>
  <c r="AG24" i="19"/>
  <c r="AF24" i="19"/>
  <c r="D4505" i="23" s="1"/>
  <c r="AF5" i="19"/>
  <c r="D4486" i="23" s="1"/>
  <c r="AF4" i="19"/>
  <c r="D4485" i="23" s="1"/>
  <c r="AF17" i="19"/>
  <c r="D4498" i="23" s="1"/>
  <c r="AG11" i="19"/>
  <c r="AF20" i="19"/>
  <c r="D4501" i="23" s="1"/>
  <c r="AG9" i="19"/>
  <c r="AG13" i="19"/>
  <c r="AG8" i="19"/>
  <c r="AF15" i="19"/>
  <c r="D4496" i="23" s="1"/>
  <c r="AG23" i="19"/>
  <c r="AF28" i="19"/>
  <c r="D4509" i="23" s="1"/>
  <c r="AF27" i="19"/>
  <c r="D4508" i="23" s="1"/>
  <c r="AG29" i="19"/>
  <c r="AG25" i="19"/>
  <c r="AF21" i="19"/>
  <c r="D4502" i="23" s="1"/>
  <c r="AG19" i="19"/>
  <c r="AG26" i="19"/>
  <c r="AF23" i="19"/>
  <c r="D4504" i="23" s="1"/>
  <c r="AG30" i="19"/>
  <c r="AG6" i="19"/>
  <c r="AG22" i="19"/>
  <c r="AG5" i="19"/>
  <c r="AG20" i="19"/>
  <c r="AF6" i="19"/>
  <c r="D4487" i="23" s="1"/>
  <c r="AF10" i="19"/>
  <c r="D4491" i="23" s="1"/>
  <c r="AG17" i="19"/>
  <c r="AF26" i="19"/>
  <c r="D4507" i="23" s="1"/>
  <c r="AF22" i="19"/>
  <c r="D4503" i="23" s="1"/>
  <c r="AG7" i="19"/>
  <c r="AF12" i="19"/>
  <c r="D4493" i="23" s="1"/>
  <c r="AF11" i="19"/>
  <c r="D4492" i="23" s="1"/>
  <c r="AF25" i="19"/>
  <c r="D4506" i="23" s="1"/>
  <c r="AF19" i="19"/>
  <c r="D4500" i="23" s="1"/>
  <c r="AG28" i="19"/>
  <c r="AF8" i="19"/>
  <c r="D4489" i="23" s="1"/>
  <c r="CQ5" i="7"/>
  <c r="CQ6" i="7"/>
  <c r="AA3" i="6"/>
  <c r="AB3" i="6"/>
  <c r="Z3" i="6"/>
  <c r="CV5" i="7"/>
  <c r="CV6" i="7"/>
  <c r="AB16" i="6"/>
  <c r="Z16" i="6"/>
  <c r="AA16" i="6"/>
  <c r="CP6" i="7"/>
  <c r="CP5" i="7"/>
  <c r="Z18" i="6"/>
  <c r="AA18" i="6"/>
  <c r="AB18" i="6"/>
  <c r="Z22" i="6"/>
  <c r="AA22" i="6"/>
  <c r="AB22" i="6"/>
  <c r="AA9" i="6"/>
  <c r="Z9" i="6"/>
  <c r="AB9" i="6"/>
  <c r="CJ5" i="7"/>
  <c r="CJ6" i="7"/>
  <c r="CH5" i="7"/>
  <c r="CH6" i="7"/>
  <c r="CE5" i="7"/>
  <c r="CE6" i="7"/>
  <c r="CF6" i="7"/>
  <c r="CF5" i="7"/>
  <c r="CN5" i="7"/>
  <c r="CN6" i="7"/>
  <c r="AA7" i="6"/>
  <c r="AB7" i="6"/>
  <c r="Z7" i="6"/>
  <c r="CB6" i="7"/>
  <c r="CB5" i="7"/>
  <c r="CU5" i="7"/>
  <c r="CU6" i="7"/>
  <c r="Z11" i="6"/>
  <c r="AB11" i="6"/>
  <c r="AA11" i="6"/>
  <c r="CG5" i="7"/>
  <c r="CG6" i="7"/>
  <c r="Z14" i="6"/>
  <c r="AB14" i="6"/>
  <c r="AA14" i="6"/>
  <c r="U12" i="19"/>
  <c r="U6" i="19"/>
  <c r="U7" i="19"/>
  <c r="T26" i="19"/>
  <c r="T7" i="19"/>
  <c r="D4515" i="23" s="1"/>
  <c r="U11" i="19"/>
  <c r="U10" i="19"/>
  <c r="T13" i="19"/>
  <c r="D4521" i="23" s="1"/>
  <c r="U18" i="19"/>
  <c r="T12" i="19"/>
  <c r="D4520" i="23" s="1"/>
  <c r="U30" i="19"/>
  <c r="T5" i="19"/>
  <c r="D4513" i="23" s="1"/>
  <c r="T28" i="19"/>
  <c r="U29" i="19"/>
  <c r="T16" i="19"/>
  <c r="D4524" i="23" s="1"/>
  <c r="T18" i="19"/>
  <c r="D4526" i="23" s="1"/>
  <c r="U24" i="19"/>
  <c r="U20" i="19"/>
  <c r="U5" i="19"/>
  <c r="U14" i="19"/>
  <c r="U15" i="19"/>
  <c r="T23" i="19"/>
  <c r="U19" i="19"/>
  <c r="T24" i="19"/>
  <c r="T9" i="19"/>
  <c r="D4517" i="23" s="1"/>
  <c r="U21" i="19"/>
  <c r="U16" i="19"/>
  <c r="T27" i="19"/>
  <c r="U28" i="19"/>
  <c r="U13" i="19"/>
  <c r="U22" i="19"/>
  <c r="U23" i="19"/>
  <c r="U8" i="19"/>
  <c r="T10" i="19"/>
  <c r="D4518" i="23" s="1"/>
  <c r="U27" i="19"/>
  <c r="T11" i="19"/>
  <c r="D4519" i="23" s="1"/>
  <c r="T17" i="19"/>
  <c r="D4525" i="23" s="1"/>
  <c r="T15" i="19"/>
  <c r="D4523" i="23" s="1"/>
  <c r="T30" i="19"/>
  <c r="T4" i="19"/>
  <c r="D4512" i="23" s="1"/>
  <c r="T6" i="19"/>
  <c r="D4514" i="23" s="1"/>
  <c r="U9" i="19"/>
  <c r="T14" i="19"/>
  <c r="D4522" i="23" s="1"/>
  <c r="U26" i="19"/>
  <c r="T19" i="19"/>
  <c r="T8" i="19"/>
  <c r="D4516" i="23" s="1"/>
  <c r="T29" i="19"/>
  <c r="T21" i="19"/>
  <c r="T22" i="19"/>
  <c r="T20" i="19"/>
  <c r="U17" i="19"/>
  <c r="U4" i="19"/>
  <c r="U25" i="19"/>
  <c r="T25" i="19"/>
  <c r="Q31" i="19"/>
  <c r="E357" i="13"/>
  <c r="E35" i="13"/>
  <c r="E403" i="13"/>
  <c r="X33" i="13"/>
  <c r="K82" i="18" l="1"/>
  <c r="K222" i="18" s="1"/>
  <c r="K178" i="18"/>
  <c r="K318" i="18" s="1"/>
  <c r="K80" i="18"/>
  <c r="K220" i="18" s="1"/>
  <c r="K176" i="18"/>
  <c r="K316" i="18" s="1"/>
  <c r="K81" i="18"/>
  <c r="K221" i="18" s="1"/>
  <c r="K177" i="18"/>
  <c r="K317" i="18" s="1"/>
  <c r="D11056" i="23"/>
  <c r="D9004" i="23"/>
  <c r="D3874" i="23"/>
  <c r="D5926" i="23"/>
  <c r="D12082" i="23"/>
  <c r="D10030" i="23"/>
  <c r="D7978" i="23"/>
  <c r="D6952" i="23"/>
  <c r="D2848" i="23"/>
  <c r="D1822" i="23"/>
  <c r="D796" i="23"/>
  <c r="D12087" i="23"/>
  <c r="D11061" i="23"/>
  <c r="D10035" i="23"/>
  <c r="D9009" i="23"/>
  <c r="D7983" i="23"/>
  <c r="D6957" i="23"/>
  <c r="D5931" i="23"/>
  <c r="D3879" i="23"/>
  <c r="D2853" i="23"/>
  <c r="D1827" i="23"/>
  <c r="D801" i="23"/>
  <c r="D3677" i="23"/>
  <c r="D1625" i="23"/>
  <c r="D11885" i="23"/>
  <c r="D9833" i="23"/>
  <c r="D7781" i="23"/>
  <c r="D599" i="23"/>
  <c r="D5729" i="23"/>
  <c r="D10859" i="23"/>
  <c r="D8807" i="23"/>
  <c r="D6755" i="23"/>
  <c r="D2651" i="23"/>
  <c r="D11892" i="23"/>
  <c r="D10866" i="23"/>
  <c r="D9840" i="23"/>
  <c r="D8814" i="23"/>
  <c r="D7788" i="23"/>
  <c r="D6762" i="23"/>
  <c r="D5736" i="23"/>
  <c r="D3684" i="23"/>
  <c r="D2658" i="23"/>
  <c r="D1632" i="23"/>
  <c r="D606" i="23"/>
  <c r="D11902" i="23"/>
  <c r="D10876" i="23"/>
  <c r="D9850" i="23"/>
  <c r="D8824" i="23"/>
  <c r="D7798" i="23"/>
  <c r="D6772" i="23"/>
  <c r="D5746" i="23"/>
  <c r="D3694" i="23"/>
  <c r="D2668" i="23"/>
  <c r="D1642" i="23"/>
  <c r="D616" i="23"/>
  <c r="D8815" i="23"/>
  <c r="D607" i="23"/>
  <c r="D1633" i="23"/>
  <c r="D10867" i="23"/>
  <c r="D11893" i="23"/>
  <c r="D9841" i="23"/>
  <c r="D7789" i="23"/>
  <c r="D3685" i="23"/>
  <c r="D6763" i="23"/>
  <c r="D2659" i="23"/>
  <c r="D5737" i="23"/>
  <c r="D12098" i="23"/>
  <c r="D10046" i="23"/>
  <c r="D7994" i="23"/>
  <c r="D5942" i="23"/>
  <c r="D6968" i="23"/>
  <c r="D11072" i="23"/>
  <c r="D9020" i="23"/>
  <c r="D3890" i="23"/>
  <c r="D2864" i="23"/>
  <c r="D1838" i="23"/>
  <c r="D812" i="23"/>
  <c r="D12085" i="23"/>
  <c r="D11059" i="23"/>
  <c r="D10033" i="23"/>
  <c r="D9007" i="23"/>
  <c r="D7981" i="23"/>
  <c r="D6955" i="23"/>
  <c r="D5929" i="23"/>
  <c r="D3877" i="23"/>
  <c r="D2851" i="23"/>
  <c r="D1825" i="23"/>
  <c r="D799" i="23"/>
  <c r="D12078" i="23"/>
  <c r="D11052" i="23"/>
  <c r="D10026" i="23"/>
  <c r="D9000" i="23"/>
  <c r="D7974" i="23"/>
  <c r="D6948" i="23"/>
  <c r="D5922" i="23"/>
  <c r="D3870" i="23"/>
  <c r="D2844" i="23"/>
  <c r="D1818" i="23"/>
  <c r="D792" i="23"/>
  <c r="D11898" i="23"/>
  <c r="D10872" i="23"/>
  <c r="D9846" i="23"/>
  <c r="D8820" i="23"/>
  <c r="D7794" i="23"/>
  <c r="D6768" i="23"/>
  <c r="D3690" i="23"/>
  <c r="D2664" i="23"/>
  <c r="D1638" i="23"/>
  <c r="D612" i="23"/>
  <c r="D5742" i="23"/>
  <c r="D11900" i="23"/>
  <c r="D10874" i="23"/>
  <c r="D9848" i="23"/>
  <c r="D8822" i="23"/>
  <c r="D7796" i="23"/>
  <c r="D6770" i="23"/>
  <c r="D5744" i="23"/>
  <c r="D3692" i="23"/>
  <c r="D2666" i="23"/>
  <c r="D1640" i="23"/>
  <c r="D614" i="23"/>
  <c r="D11884" i="23"/>
  <c r="D10858" i="23"/>
  <c r="D9832" i="23"/>
  <c r="D8806" i="23"/>
  <c r="D7780" i="23"/>
  <c r="D6754" i="23"/>
  <c r="D5728" i="23"/>
  <c r="D3676" i="23"/>
  <c r="D2650" i="23"/>
  <c r="D1624" i="23"/>
  <c r="D598" i="23"/>
  <c r="D12091" i="23"/>
  <c r="D11065" i="23"/>
  <c r="D10039" i="23"/>
  <c r="D9013" i="23"/>
  <c r="D7987" i="23"/>
  <c r="D6961" i="23"/>
  <c r="D5935" i="23"/>
  <c r="D3883" i="23"/>
  <c r="D2857" i="23"/>
  <c r="D1831" i="23"/>
  <c r="D805" i="23"/>
  <c r="D6960" i="23"/>
  <c r="D7986" i="23"/>
  <c r="D11064" i="23"/>
  <c r="D9012" i="23"/>
  <c r="D12090" i="23"/>
  <c r="D2856" i="23"/>
  <c r="D1830" i="23"/>
  <c r="D804" i="23"/>
  <c r="D10038" i="23"/>
  <c r="D5934" i="23"/>
  <c r="D3882" i="23"/>
  <c r="D11050" i="23"/>
  <c r="D8998" i="23"/>
  <c r="D2842" i="23"/>
  <c r="D5920" i="23"/>
  <c r="D790" i="23"/>
  <c r="D6946" i="23"/>
  <c r="D12076" i="23"/>
  <c r="D10024" i="23"/>
  <c r="D7972" i="23"/>
  <c r="D3868" i="23"/>
  <c r="D1816" i="23"/>
  <c r="D11896" i="23"/>
  <c r="D10870" i="23"/>
  <c r="D9844" i="23"/>
  <c r="D8818" i="23"/>
  <c r="D7792" i="23"/>
  <c r="D6766" i="23"/>
  <c r="D5740" i="23"/>
  <c r="D3688" i="23"/>
  <c r="D2662" i="23"/>
  <c r="D1636" i="23"/>
  <c r="D610" i="23"/>
  <c r="D11886" i="23"/>
  <c r="D10860" i="23"/>
  <c r="D9834" i="23"/>
  <c r="D8808" i="23"/>
  <c r="D7782" i="23"/>
  <c r="D6756" i="23"/>
  <c r="D5730" i="23"/>
  <c r="D3678" i="23"/>
  <c r="D2652" i="23"/>
  <c r="D1626" i="23"/>
  <c r="D600" i="23"/>
  <c r="D11887" i="23"/>
  <c r="D10861" i="23"/>
  <c r="D9835" i="23"/>
  <c r="D8809" i="23"/>
  <c r="D7783" i="23"/>
  <c r="D6757" i="23"/>
  <c r="D5731" i="23"/>
  <c r="D3679" i="23"/>
  <c r="D2653" i="23"/>
  <c r="D1627" i="23"/>
  <c r="D601" i="23"/>
  <c r="D12094" i="23"/>
  <c r="D11068" i="23"/>
  <c r="D10042" i="23"/>
  <c r="D9016" i="23"/>
  <c r="D7990" i="23"/>
  <c r="D6964" i="23"/>
  <c r="D5938" i="23"/>
  <c r="D2860" i="23"/>
  <c r="D1834" i="23"/>
  <c r="D808" i="23"/>
  <c r="D3886" i="23"/>
  <c r="D12072" i="23"/>
  <c r="D11046" i="23"/>
  <c r="D10020" i="23"/>
  <c r="D8994" i="23"/>
  <c r="D7968" i="23"/>
  <c r="D6942" i="23"/>
  <c r="D5916" i="23"/>
  <c r="D3864" i="23"/>
  <c r="D2838" i="23"/>
  <c r="D1812" i="23"/>
  <c r="D786" i="23"/>
  <c r="D12089" i="23"/>
  <c r="D11063" i="23"/>
  <c r="D10037" i="23"/>
  <c r="D9011" i="23"/>
  <c r="D7985" i="23"/>
  <c r="D2855" i="23"/>
  <c r="D1829" i="23"/>
  <c r="D803" i="23"/>
  <c r="D6959" i="23"/>
  <c r="D5933" i="23"/>
  <c r="D3881" i="23"/>
  <c r="D12075" i="23"/>
  <c r="D11049" i="23"/>
  <c r="D10023" i="23"/>
  <c r="D8997" i="23"/>
  <c r="D7971" i="23"/>
  <c r="D6945" i="23"/>
  <c r="D5919" i="23"/>
  <c r="D3867" i="23"/>
  <c r="D2841" i="23"/>
  <c r="D1815" i="23"/>
  <c r="D789" i="23"/>
  <c r="D11058" i="23"/>
  <c r="D9006" i="23"/>
  <c r="D2850" i="23"/>
  <c r="D1824" i="23"/>
  <c r="D3876" i="23"/>
  <c r="D5928" i="23"/>
  <c r="D12084" i="23"/>
  <c r="D10032" i="23"/>
  <c r="D7980" i="23"/>
  <c r="D6954" i="23"/>
  <c r="D798" i="23"/>
  <c r="D11883" i="23"/>
  <c r="D9831" i="23"/>
  <c r="D7779" i="23"/>
  <c r="D5727" i="23"/>
  <c r="D3675" i="23"/>
  <c r="D10857" i="23"/>
  <c r="D8805" i="23"/>
  <c r="D6753" i="23"/>
  <c r="D2649" i="23"/>
  <c r="D1623" i="23"/>
  <c r="D597" i="23"/>
  <c r="D5745" i="23"/>
  <c r="D10875" i="23"/>
  <c r="D8823" i="23"/>
  <c r="D6771" i="23"/>
  <c r="D1641" i="23"/>
  <c r="D11901" i="23"/>
  <c r="D9849" i="23"/>
  <c r="D7797" i="23"/>
  <c r="D2667" i="23"/>
  <c r="D615" i="23"/>
  <c r="D3693" i="23"/>
  <c r="D11891" i="23"/>
  <c r="D9839" i="23"/>
  <c r="D7787" i="23"/>
  <c r="D3683" i="23"/>
  <c r="D5735" i="23"/>
  <c r="D2657" i="23"/>
  <c r="D1631" i="23"/>
  <c r="D605" i="23"/>
  <c r="D10865" i="23"/>
  <c r="D8813" i="23"/>
  <c r="D6761" i="23"/>
  <c r="D12086" i="23"/>
  <c r="D11060" i="23"/>
  <c r="D10034" i="23"/>
  <c r="D9008" i="23"/>
  <c r="D7982" i="23"/>
  <c r="D6956" i="23"/>
  <c r="D5930" i="23"/>
  <c r="D3878" i="23"/>
  <c r="D2852" i="23"/>
  <c r="D1826" i="23"/>
  <c r="D800" i="23"/>
  <c r="D12079" i="23"/>
  <c r="D11053" i="23"/>
  <c r="D10027" i="23"/>
  <c r="D9001" i="23"/>
  <c r="D7975" i="23"/>
  <c r="D6949" i="23"/>
  <c r="D5923" i="23"/>
  <c r="D3871" i="23"/>
  <c r="D2845" i="23"/>
  <c r="D1819" i="23"/>
  <c r="D793" i="23"/>
  <c r="D12077" i="23"/>
  <c r="D11051" i="23"/>
  <c r="D10025" i="23"/>
  <c r="D8999" i="23"/>
  <c r="D7973" i="23"/>
  <c r="D6947" i="23"/>
  <c r="D5921" i="23"/>
  <c r="D3869" i="23"/>
  <c r="D2843" i="23"/>
  <c r="D1817" i="23"/>
  <c r="D791" i="23"/>
  <c r="D5918" i="23"/>
  <c r="D6944" i="23"/>
  <c r="D12074" i="23"/>
  <c r="D10022" i="23"/>
  <c r="D7970" i="23"/>
  <c r="D11048" i="23"/>
  <c r="D8996" i="23"/>
  <c r="D2840" i="23"/>
  <c r="D1814" i="23"/>
  <c r="D788" i="23"/>
  <c r="D3866" i="23"/>
  <c r="D11908" i="23"/>
  <c r="D10882" i="23"/>
  <c r="D9856" i="23"/>
  <c r="D8830" i="23"/>
  <c r="D7804" i="23"/>
  <c r="D6778" i="23"/>
  <c r="D5752" i="23"/>
  <c r="D3700" i="23"/>
  <c r="D2674" i="23"/>
  <c r="D1648" i="23"/>
  <c r="D622" i="23"/>
  <c r="D3701" i="23"/>
  <c r="D9857" i="23"/>
  <c r="D10883" i="23"/>
  <c r="D8831" i="23"/>
  <c r="D5753" i="23"/>
  <c r="D7805" i="23"/>
  <c r="D1649" i="23"/>
  <c r="D2675" i="23"/>
  <c r="D623" i="23"/>
  <c r="D6779" i="23"/>
  <c r="D11909" i="23"/>
  <c r="D11905" i="23"/>
  <c r="D10879" i="23"/>
  <c r="D9853" i="23"/>
  <c r="D8827" i="23"/>
  <c r="D7801" i="23"/>
  <c r="D6775" i="23"/>
  <c r="D5749" i="23"/>
  <c r="D3697" i="23"/>
  <c r="D2671" i="23"/>
  <c r="D1645" i="23"/>
  <c r="D619" i="23"/>
  <c r="D11906" i="23"/>
  <c r="D10880" i="23"/>
  <c r="D9854" i="23"/>
  <c r="D8828" i="23"/>
  <c r="D7802" i="23"/>
  <c r="D5750" i="23"/>
  <c r="D6776" i="23"/>
  <c r="D3698" i="23"/>
  <c r="D2672" i="23"/>
  <c r="D1646" i="23"/>
  <c r="D620" i="23"/>
  <c r="D12092" i="23"/>
  <c r="D10040" i="23"/>
  <c r="D7988" i="23"/>
  <c r="D3884" i="23"/>
  <c r="D1832" i="23"/>
  <c r="D6962" i="23"/>
  <c r="D2858" i="23"/>
  <c r="D806" i="23"/>
  <c r="D11066" i="23"/>
  <c r="D9014" i="23"/>
  <c r="D5936" i="23"/>
  <c r="D12095" i="23"/>
  <c r="D11069" i="23"/>
  <c r="D10043" i="23"/>
  <c r="D9017" i="23"/>
  <c r="D7991" i="23"/>
  <c r="D6965" i="23"/>
  <c r="D5939" i="23"/>
  <c r="D3887" i="23"/>
  <c r="D2861" i="23"/>
  <c r="D1835" i="23"/>
  <c r="D809" i="23"/>
  <c r="D11904" i="23"/>
  <c r="D10878" i="23"/>
  <c r="D9852" i="23"/>
  <c r="D8826" i="23"/>
  <c r="D7800" i="23"/>
  <c r="D6774" i="23"/>
  <c r="D5748" i="23"/>
  <c r="D3696" i="23"/>
  <c r="D2670" i="23"/>
  <c r="D1644" i="23"/>
  <c r="D618" i="23"/>
  <c r="D11894" i="23"/>
  <c r="D10868" i="23"/>
  <c r="D9842" i="23"/>
  <c r="D8816" i="23"/>
  <c r="D7790" i="23"/>
  <c r="D6764" i="23"/>
  <c r="D5738" i="23"/>
  <c r="D3686" i="23"/>
  <c r="D2660" i="23"/>
  <c r="D1634" i="23"/>
  <c r="D608" i="23"/>
  <c r="D11889" i="23"/>
  <c r="D10863" i="23"/>
  <c r="D9837" i="23"/>
  <c r="D8811" i="23"/>
  <c r="D7785" i="23"/>
  <c r="D6759" i="23"/>
  <c r="D5733" i="23"/>
  <c r="D3681" i="23"/>
  <c r="D2655" i="23"/>
  <c r="D1629" i="23"/>
  <c r="D603" i="23"/>
  <c r="D10873" i="23"/>
  <c r="D8821" i="23"/>
  <c r="D6769" i="23"/>
  <c r="D5743" i="23"/>
  <c r="D11899" i="23"/>
  <c r="D9847" i="23"/>
  <c r="D7795" i="23"/>
  <c r="D3691" i="23"/>
  <c r="D2665" i="23"/>
  <c r="D1639" i="23"/>
  <c r="D613" i="23"/>
  <c r="D12083" i="23"/>
  <c r="D11057" i="23"/>
  <c r="D10031" i="23"/>
  <c r="D9005" i="23"/>
  <c r="D7979" i="23"/>
  <c r="D6953" i="23"/>
  <c r="D5927" i="23"/>
  <c r="D3875" i="23"/>
  <c r="D2849" i="23"/>
  <c r="D1823" i="23"/>
  <c r="D797" i="23"/>
  <c r="D12096" i="23"/>
  <c r="D11070" i="23"/>
  <c r="D10044" i="23"/>
  <c r="D9018" i="23"/>
  <c r="D7992" i="23"/>
  <c r="D6966" i="23"/>
  <c r="D5940" i="23"/>
  <c r="D3888" i="23"/>
  <c r="D2862" i="23"/>
  <c r="D1836" i="23"/>
  <c r="D810" i="23"/>
  <c r="D12080" i="23"/>
  <c r="D11054" i="23"/>
  <c r="D10028" i="23"/>
  <c r="D9002" i="23"/>
  <c r="D7976" i="23"/>
  <c r="D6950" i="23"/>
  <c r="D5924" i="23"/>
  <c r="D3872" i="23"/>
  <c r="D2846" i="23"/>
  <c r="D1820" i="23"/>
  <c r="D794" i="23"/>
  <c r="D12093" i="23"/>
  <c r="D11067" i="23"/>
  <c r="D10041" i="23"/>
  <c r="D9015" i="23"/>
  <c r="D7989" i="23"/>
  <c r="D6963" i="23"/>
  <c r="D5937" i="23"/>
  <c r="D2859" i="23"/>
  <c r="D1833" i="23"/>
  <c r="D807" i="23"/>
  <c r="D3885" i="23"/>
  <c r="D11897" i="23"/>
  <c r="D10871" i="23"/>
  <c r="D9845" i="23"/>
  <c r="D8819" i="23"/>
  <c r="D7793" i="23"/>
  <c r="D6767" i="23"/>
  <c r="D5741" i="23"/>
  <c r="D3689" i="23"/>
  <c r="D2663" i="23"/>
  <c r="D1637" i="23"/>
  <c r="D611" i="23"/>
  <c r="D11888" i="23"/>
  <c r="D10862" i="23"/>
  <c r="D9836" i="23"/>
  <c r="D8810" i="23"/>
  <c r="D7784" i="23"/>
  <c r="D6758" i="23"/>
  <c r="D5732" i="23"/>
  <c r="D3680" i="23"/>
  <c r="D2654" i="23"/>
  <c r="D1628" i="23"/>
  <c r="D602" i="23"/>
  <c r="D12097" i="23"/>
  <c r="D11071" i="23"/>
  <c r="D10045" i="23"/>
  <c r="D9019" i="23"/>
  <c r="D7993" i="23"/>
  <c r="D5941" i="23"/>
  <c r="D6967" i="23"/>
  <c r="D3889" i="23"/>
  <c r="D2863" i="23"/>
  <c r="D1837" i="23"/>
  <c r="D811" i="23"/>
  <c r="D12088" i="23"/>
  <c r="D11062" i="23"/>
  <c r="D10036" i="23"/>
  <c r="D9010" i="23"/>
  <c r="D7984" i="23"/>
  <c r="D6958" i="23"/>
  <c r="D5932" i="23"/>
  <c r="D2854" i="23"/>
  <c r="D1828" i="23"/>
  <c r="D802" i="23"/>
  <c r="D3880" i="23"/>
  <c r="D12081" i="23"/>
  <c r="D11055" i="23"/>
  <c r="D10029" i="23"/>
  <c r="D9003" i="23"/>
  <c r="D7977" i="23"/>
  <c r="D3873" i="23"/>
  <c r="D5925" i="23"/>
  <c r="D6951" i="23"/>
  <c r="D2847" i="23"/>
  <c r="D1821" i="23"/>
  <c r="D795" i="23"/>
  <c r="D12073" i="23"/>
  <c r="D11047" i="23"/>
  <c r="D10021" i="23"/>
  <c r="D8995" i="23"/>
  <c r="D7969" i="23"/>
  <c r="D6943" i="23"/>
  <c r="D5917" i="23"/>
  <c r="D2839" i="23"/>
  <c r="D1813" i="23"/>
  <c r="D787" i="23"/>
  <c r="D3865" i="23"/>
  <c r="D11890" i="23"/>
  <c r="D10864" i="23"/>
  <c r="D9838" i="23"/>
  <c r="D8812" i="23"/>
  <c r="D7786" i="23"/>
  <c r="D6760" i="23"/>
  <c r="D3682" i="23"/>
  <c r="D5734" i="23"/>
  <c r="D2656" i="23"/>
  <c r="D1630" i="23"/>
  <c r="D604" i="23"/>
  <c r="D3699" i="23"/>
  <c r="D10881" i="23"/>
  <c r="D8829" i="23"/>
  <c r="D5751" i="23"/>
  <c r="D6777" i="23"/>
  <c r="D2673" i="23"/>
  <c r="D1647" i="23"/>
  <c r="D621" i="23"/>
  <c r="D11907" i="23"/>
  <c r="D9855" i="23"/>
  <c r="D7803" i="23"/>
  <c r="D11903" i="23"/>
  <c r="D10877" i="23"/>
  <c r="D9851" i="23"/>
  <c r="D8825" i="23"/>
  <c r="D7799" i="23"/>
  <c r="D6773" i="23"/>
  <c r="D5747" i="23"/>
  <c r="D3695" i="23"/>
  <c r="D2669" i="23"/>
  <c r="D1643" i="23"/>
  <c r="D617" i="23"/>
  <c r="D11895" i="23"/>
  <c r="D10869" i="23"/>
  <c r="D9843" i="23"/>
  <c r="D8817" i="23"/>
  <c r="D7791" i="23"/>
  <c r="D6765" i="23"/>
  <c r="D5739" i="23"/>
  <c r="D3687" i="23"/>
  <c r="D2661" i="23"/>
  <c r="D1635" i="23"/>
  <c r="D609" i="23"/>
  <c r="D8608" i="23"/>
  <c r="D7582" i="23"/>
  <c r="D6556" i="23"/>
  <c r="D5530" i="23"/>
  <c r="D10660" i="23"/>
  <c r="D9634" i="23"/>
  <c r="D1426" i="23"/>
  <c r="D400" i="23"/>
  <c r="D11686" i="23"/>
  <c r="D3478" i="23"/>
  <c r="D2452" i="23"/>
  <c r="D8783" i="23"/>
  <c r="D7757" i="23"/>
  <c r="D6731" i="23"/>
  <c r="D5705" i="23"/>
  <c r="D10835" i="23"/>
  <c r="D9809" i="23"/>
  <c r="D11861" i="23"/>
  <c r="D3653" i="23"/>
  <c r="D2627" i="23"/>
  <c r="D1601" i="23"/>
  <c r="D575" i="23"/>
  <c r="D3474" i="23"/>
  <c r="D11682" i="23"/>
  <c r="D2448" i="23"/>
  <c r="D10656" i="23"/>
  <c r="D9630" i="23"/>
  <c r="D8604" i="23"/>
  <c r="D6552" i="23"/>
  <c r="D5526" i="23"/>
  <c r="D7578" i="23"/>
  <c r="D1422" i="23"/>
  <c r="D396" i="23"/>
  <c r="D11673" i="23"/>
  <c r="D2439" i="23"/>
  <c r="D10647" i="23"/>
  <c r="D9621" i="23"/>
  <c r="D8595" i="23"/>
  <c r="D7569" i="23"/>
  <c r="D5517" i="23"/>
  <c r="D3465" i="23"/>
  <c r="D6543" i="23"/>
  <c r="D1413" i="23"/>
  <c r="D387" i="23"/>
  <c r="D8600" i="23"/>
  <c r="D7574" i="23"/>
  <c r="D6548" i="23"/>
  <c r="D5522" i="23"/>
  <c r="D10652" i="23"/>
  <c r="D9626" i="23"/>
  <c r="D2444" i="23"/>
  <c r="D3470" i="23"/>
  <c r="D1418" i="23"/>
  <c r="D11678" i="23"/>
  <c r="D392" i="23"/>
  <c r="D6538" i="23"/>
  <c r="D5512" i="23"/>
  <c r="D3460" i="23"/>
  <c r="D11668" i="23"/>
  <c r="D2434" i="23"/>
  <c r="D10642" i="23"/>
  <c r="D8590" i="23"/>
  <c r="D7564" i="23"/>
  <c r="D1408" i="23"/>
  <c r="D9616" i="23"/>
  <c r="D382" i="23"/>
  <c r="D6546" i="23"/>
  <c r="D5520" i="23"/>
  <c r="D3468" i="23"/>
  <c r="D11676" i="23"/>
  <c r="D2442" i="23"/>
  <c r="D10650" i="23"/>
  <c r="D8598" i="23"/>
  <c r="D7572" i="23"/>
  <c r="D1416" i="23"/>
  <c r="D390" i="23"/>
  <c r="D9624" i="23"/>
  <c r="D5726" i="23"/>
  <c r="D3674" i="23"/>
  <c r="D11882" i="23"/>
  <c r="D10856" i="23"/>
  <c r="D9830" i="23"/>
  <c r="D7778" i="23"/>
  <c r="D6752" i="23"/>
  <c r="D596" i="23"/>
  <c r="D8804" i="23"/>
  <c r="D2648" i="23"/>
  <c r="D1622" i="23"/>
  <c r="D8791" i="23"/>
  <c r="D7765" i="23"/>
  <c r="D6739" i="23"/>
  <c r="D5713" i="23"/>
  <c r="D10843" i="23"/>
  <c r="D9817" i="23"/>
  <c r="D11869" i="23"/>
  <c r="D2635" i="23"/>
  <c r="D1609" i="23"/>
  <c r="D3661" i="23"/>
  <c r="D583" i="23"/>
  <c r="D6737" i="23"/>
  <c r="D5711" i="23"/>
  <c r="D3659" i="23"/>
  <c r="D11867" i="23"/>
  <c r="D10841" i="23"/>
  <c r="D8789" i="23"/>
  <c r="D7763" i="23"/>
  <c r="D1607" i="23"/>
  <c r="D581" i="23"/>
  <c r="D9815" i="23"/>
  <c r="D2633" i="23"/>
  <c r="D7756" i="23"/>
  <c r="D6730" i="23"/>
  <c r="D5704" i="23"/>
  <c r="D3652" i="23"/>
  <c r="D11860" i="23"/>
  <c r="D9808" i="23"/>
  <c r="D8782" i="23"/>
  <c r="D2626" i="23"/>
  <c r="D1600" i="23"/>
  <c r="D10834" i="23"/>
  <c r="D574" i="23"/>
  <c r="D7573" i="23"/>
  <c r="D6547" i="23"/>
  <c r="D5521" i="23"/>
  <c r="D3469" i="23"/>
  <c r="D11677" i="23"/>
  <c r="D9625" i="23"/>
  <c r="D8599" i="23"/>
  <c r="D1417" i="23"/>
  <c r="D391" i="23"/>
  <c r="D10651" i="23"/>
  <c r="D2443" i="23"/>
  <c r="D11872" i="23"/>
  <c r="D10846" i="23"/>
  <c r="D9820" i="23"/>
  <c r="D8794" i="23"/>
  <c r="D7768" i="23"/>
  <c r="D5716" i="23"/>
  <c r="D3664" i="23"/>
  <c r="D2638" i="23"/>
  <c r="D6742" i="23"/>
  <c r="D1612" i="23"/>
  <c r="D586" i="23"/>
  <c r="D10646" i="23"/>
  <c r="D9620" i="23"/>
  <c r="D8594" i="23"/>
  <c r="D7568" i="23"/>
  <c r="D3464" i="23"/>
  <c r="D11672" i="23"/>
  <c r="D2438" i="23"/>
  <c r="D6542" i="23"/>
  <c r="D386" i="23"/>
  <c r="D1412" i="23"/>
  <c r="D5516" i="23"/>
  <c r="D5702" i="23"/>
  <c r="D3650" i="23"/>
  <c r="D11858" i="23"/>
  <c r="D10832" i="23"/>
  <c r="D9806" i="23"/>
  <c r="D7754" i="23"/>
  <c r="D6728" i="23"/>
  <c r="D572" i="23"/>
  <c r="D8780" i="23"/>
  <c r="D2624" i="23"/>
  <c r="D1598" i="23"/>
  <c r="D5511" i="23"/>
  <c r="D3459" i="23"/>
  <c r="D11667" i="23"/>
  <c r="D2433" i="23"/>
  <c r="D10641" i="23"/>
  <c r="D9615" i="23"/>
  <c r="D7563" i="23"/>
  <c r="D6537" i="23"/>
  <c r="D381" i="23"/>
  <c r="D8589" i="23"/>
  <c r="D1407" i="23"/>
  <c r="D10837" i="23"/>
  <c r="D9811" i="23"/>
  <c r="D8785" i="23"/>
  <c r="D7759" i="23"/>
  <c r="D3655" i="23"/>
  <c r="D11863" i="23"/>
  <c r="D6733" i="23"/>
  <c r="D2629" i="23"/>
  <c r="D577" i="23"/>
  <c r="D1603" i="23"/>
  <c r="D5707" i="23"/>
  <c r="D10662" i="23"/>
  <c r="D9636" i="23"/>
  <c r="D8610" i="23"/>
  <c r="D7584" i="23"/>
  <c r="D3480" i="23"/>
  <c r="D11688" i="23"/>
  <c r="D2454" i="23"/>
  <c r="D5532" i="23"/>
  <c r="D6558" i="23"/>
  <c r="D1428" i="23"/>
  <c r="D402" i="23"/>
  <c r="D7764" i="23"/>
  <c r="D6738" i="23"/>
  <c r="D5712" i="23"/>
  <c r="D3660" i="23"/>
  <c r="D11868" i="23"/>
  <c r="D9816" i="23"/>
  <c r="D8790" i="23"/>
  <c r="D2634" i="23"/>
  <c r="D1608" i="23"/>
  <c r="D582" i="23"/>
  <c r="D10842" i="23"/>
  <c r="D3466" i="23"/>
  <c r="D11674" i="23"/>
  <c r="D2440" i="23"/>
  <c r="D10648" i="23"/>
  <c r="D9622" i="23"/>
  <c r="D8596" i="23"/>
  <c r="D6544" i="23"/>
  <c r="D5518" i="23"/>
  <c r="D7570" i="23"/>
  <c r="D1414" i="23"/>
  <c r="D388" i="23"/>
  <c r="D6554" i="23"/>
  <c r="D5528" i="23"/>
  <c r="D3476" i="23"/>
  <c r="D11684" i="23"/>
  <c r="D2450" i="23"/>
  <c r="D10658" i="23"/>
  <c r="D8606" i="23"/>
  <c r="D7580" i="23"/>
  <c r="D1424" i="23"/>
  <c r="D398" i="23"/>
  <c r="D9632" i="23"/>
  <c r="D3657" i="23"/>
  <c r="D11865" i="23"/>
  <c r="D10839" i="23"/>
  <c r="D9813" i="23"/>
  <c r="D8787" i="23"/>
  <c r="D6735" i="23"/>
  <c r="D5709" i="23"/>
  <c r="D7761" i="23"/>
  <c r="D2631" i="23"/>
  <c r="D1605" i="23"/>
  <c r="D579" i="23"/>
  <c r="D7565" i="23"/>
  <c r="D6539" i="23"/>
  <c r="D5513" i="23"/>
  <c r="D3461" i="23"/>
  <c r="D11669" i="23"/>
  <c r="D9617" i="23"/>
  <c r="D8591" i="23"/>
  <c r="D1409" i="23"/>
  <c r="D2435" i="23"/>
  <c r="D383" i="23"/>
  <c r="D10643" i="23"/>
  <c r="D11681" i="23"/>
  <c r="D2447" i="23"/>
  <c r="D10655" i="23"/>
  <c r="D9629" i="23"/>
  <c r="D8603" i="23"/>
  <c r="D7577" i="23"/>
  <c r="D5525" i="23"/>
  <c r="D3473" i="23"/>
  <c r="D1421" i="23"/>
  <c r="D6551" i="23"/>
  <c r="D395" i="23"/>
  <c r="D7589" i="23"/>
  <c r="D6563" i="23"/>
  <c r="D5537" i="23"/>
  <c r="D3485" i="23"/>
  <c r="D11693" i="23"/>
  <c r="D9641" i="23"/>
  <c r="D8615" i="23"/>
  <c r="D2459" i="23"/>
  <c r="D1433" i="23"/>
  <c r="D407" i="23"/>
  <c r="D10667" i="23"/>
  <c r="D3665" i="23"/>
  <c r="D11873" i="23"/>
  <c r="D10847" i="23"/>
  <c r="D9821" i="23"/>
  <c r="D8795" i="23"/>
  <c r="D6743" i="23"/>
  <c r="D5717" i="23"/>
  <c r="D7769" i="23"/>
  <c r="D1613" i="23"/>
  <c r="D587" i="23"/>
  <c r="D2639" i="23"/>
  <c r="D6729" i="23"/>
  <c r="D5703" i="23"/>
  <c r="D3651" i="23"/>
  <c r="D11859" i="23"/>
  <c r="D10833" i="23"/>
  <c r="D8781" i="23"/>
  <c r="D7755" i="23"/>
  <c r="D1599" i="23"/>
  <c r="D573" i="23"/>
  <c r="D9807" i="23"/>
  <c r="D2625" i="23"/>
  <c r="D8799" i="23"/>
  <c r="D7773" i="23"/>
  <c r="D6747" i="23"/>
  <c r="D5721" i="23"/>
  <c r="D10851" i="23"/>
  <c r="D9825" i="23"/>
  <c r="D2643" i="23"/>
  <c r="D11877" i="23"/>
  <c r="D1617" i="23"/>
  <c r="D591" i="23"/>
  <c r="D3669" i="23"/>
  <c r="D11856" i="23"/>
  <c r="D10830" i="23"/>
  <c r="D9804" i="23"/>
  <c r="D8778" i="23"/>
  <c r="D7752" i="23"/>
  <c r="D5700" i="23"/>
  <c r="D3648" i="23"/>
  <c r="D6726" i="23"/>
  <c r="D2622" i="23"/>
  <c r="D570" i="23"/>
  <c r="D1596" i="23"/>
  <c r="D5710" i="23"/>
  <c r="D3658" i="23"/>
  <c r="D11866" i="23"/>
  <c r="D10840" i="23"/>
  <c r="D9814" i="23"/>
  <c r="D7762" i="23"/>
  <c r="D6736" i="23"/>
  <c r="D580" i="23"/>
  <c r="D2632" i="23"/>
  <c r="D8788" i="23"/>
  <c r="D1606" i="23"/>
  <c r="D9635" i="23"/>
  <c r="D8609" i="23"/>
  <c r="D7583" i="23"/>
  <c r="D6557" i="23"/>
  <c r="D11687" i="23"/>
  <c r="D2453" i="23"/>
  <c r="D10661" i="23"/>
  <c r="D5531" i="23"/>
  <c r="D1427" i="23"/>
  <c r="D401" i="23"/>
  <c r="D3479" i="23"/>
  <c r="D9810" i="23"/>
  <c r="D8784" i="23"/>
  <c r="D7758" i="23"/>
  <c r="D6732" i="23"/>
  <c r="D11862" i="23"/>
  <c r="D10836" i="23"/>
  <c r="D3654" i="23"/>
  <c r="D2628" i="23"/>
  <c r="D1602" i="23"/>
  <c r="D576" i="23"/>
  <c r="D5706" i="23"/>
  <c r="D5519" i="23"/>
  <c r="D3467" i="23"/>
  <c r="D11675" i="23"/>
  <c r="D2441" i="23"/>
  <c r="D10649" i="23"/>
  <c r="D9623" i="23"/>
  <c r="D7571" i="23"/>
  <c r="D6545" i="23"/>
  <c r="D8597" i="23"/>
  <c r="D389" i="23"/>
  <c r="D1415" i="23"/>
  <c r="D5527" i="23"/>
  <c r="D3475" i="23"/>
  <c r="D11683" i="23"/>
  <c r="D2449" i="23"/>
  <c r="D10657" i="23"/>
  <c r="D9631" i="23"/>
  <c r="D7579" i="23"/>
  <c r="D6553" i="23"/>
  <c r="D397" i="23"/>
  <c r="D8605" i="23"/>
  <c r="D1423" i="23"/>
  <c r="D9627" i="23"/>
  <c r="D8601" i="23"/>
  <c r="D7575" i="23"/>
  <c r="D6549" i="23"/>
  <c r="D11679" i="23"/>
  <c r="D2445" i="23"/>
  <c r="D10653" i="23"/>
  <c r="D3471" i="23"/>
  <c r="D1419" i="23"/>
  <c r="D393" i="23"/>
  <c r="D5523" i="23"/>
  <c r="D5718" i="23"/>
  <c r="D3666" i="23"/>
  <c r="D11874" i="23"/>
  <c r="D10848" i="23"/>
  <c r="D9822" i="23"/>
  <c r="D7770" i="23"/>
  <c r="D6744" i="23"/>
  <c r="D8796" i="23"/>
  <c r="D588" i="23"/>
  <c r="D2640" i="23"/>
  <c r="D1614" i="23"/>
  <c r="D11864" i="23"/>
  <c r="D10838" i="23"/>
  <c r="D9812" i="23"/>
  <c r="D8786" i="23"/>
  <c r="D7760" i="23"/>
  <c r="D5708" i="23"/>
  <c r="D3656" i="23"/>
  <c r="D1604" i="23"/>
  <c r="D6734" i="23"/>
  <c r="D2630" i="23"/>
  <c r="D578" i="23"/>
  <c r="D10845" i="23"/>
  <c r="D9819" i="23"/>
  <c r="D8793" i="23"/>
  <c r="D7767" i="23"/>
  <c r="D3663" i="23"/>
  <c r="D11871" i="23"/>
  <c r="D5715" i="23"/>
  <c r="D2637" i="23"/>
  <c r="D6741" i="23"/>
  <c r="D1611" i="23"/>
  <c r="D585" i="23"/>
  <c r="D7772" i="23"/>
  <c r="D6746" i="23"/>
  <c r="D5720" i="23"/>
  <c r="D3668" i="23"/>
  <c r="D11876" i="23"/>
  <c r="D9824" i="23"/>
  <c r="D8798" i="23"/>
  <c r="D2642" i="23"/>
  <c r="D1616" i="23"/>
  <c r="D590" i="23"/>
  <c r="D10850" i="23"/>
  <c r="D3482" i="23"/>
  <c r="D11690" i="23"/>
  <c r="D2456" i="23"/>
  <c r="D10664" i="23"/>
  <c r="D9638" i="23"/>
  <c r="D8612" i="23"/>
  <c r="D6560" i="23"/>
  <c r="D5534" i="23"/>
  <c r="D7586" i="23"/>
  <c r="D1430" i="23"/>
  <c r="D404" i="23"/>
  <c r="D6562" i="23"/>
  <c r="D5536" i="23"/>
  <c r="D3484" i="23"/>
  <c r="D11692" i="23"/>
  <c r="D2458" i="23"/>
  <c r="D10666" i="23"/>
  <c r="D8614" i="23"/>
  <c r="D7588" i="23"/>
  <c r="D9640" i="23"/>
  <c r="D1432" i="23"/>
  <c r="D406" i="23"/>
  <c r="D9818" i="23"/>
  <c r="D8792" i="23"/>
  <c r="D7766" i="23"/>
  <c r="D6740" i="23"/>
  <c r="D11870" i="23"/>
  <c r="D10844" i="23"/>
  <c r="D5714" i="23"/>
  <c r="D2636" i="23"/>
  <c r="D1610" i="23"/>
  <c r="D3662" i="23"/>
  <c r="D584" i="23"/>
  <c r="D6745" i="23"/>
  <c r="D5719" i="23"/>
  <c r="D3667" i="23"/>
  <c r="D11875" i="23"/>
  <c r="D10849" i="23"/>
  <c r="D8797" i="23"/>
  <c r="D7771" i="23"/>
  <c r="D1615" i="23"/>
  <c r="D589" i="23"/>
  <c r="D9823" i="23"/>
  <c r="D2641" i="23"/>
  <c r="D7581" i="23"/>
  <c r="D6555" i="23"/>
  <c r="D5529" i="23"/>
  <c r="D3477" i="23"/>
  <c r="D11685" i="23"/>
  <c r="D9633" i="23"/>
  <c r="D8607" i="23"/>
  <c r="D1425" i="23"/>
  <c r="D10659" i="23"/>
  <c r="D399" i="23"/>
  <c r="D2451" i="23"/>
  <c r="D9826" i="23"/>
  <c r="D8800" i="23"/>
  <c r="D7774" i="23"/>
  <c r="D6748" i="23"/>
  <c r="D11878" i="23"/>
  <c r="D10852" i="23"/>
  <c r="D5722" i="23"/>
  <c r="D2644" i="23"/>
  <c r="D1618" i="23"/>
  <c r="D592" i="23"/>
  <c r="D3670" i="23"/>
  <c r="D3673" i="23"/>
  <c r="D11881" i="23"/>
  <c r="D10855" i="23"/>
  <c r="D9829" i="23"/>
  <c r="D8803" i="23"/>
  <c r="D6751" i="23"/>
  <c r="D5725" i="23"/>
  <c r="D7777" i="23"/>
  <c r="D2647" i="23"/>
  <c r="D1621" i="23"/>
  <c r="D595" i="23"/>
  <c r="D9619" i="23"/>
  <c r="D8593" i="23"/>
  <c r="D7567" i="23"/>
  <c r="D6541" i="23"/>
  <c r="D11671" i="23"/>
  <c r="D2437" i="23"/>
  <c r="D10645" i="23"/>
  <c r="D3463" i="23"/>
  <c r="D1411" i="23"/>
  <c r="D5515" i="23"/>
  <c r="D385" i="23"/>
  <c r="D11689" i="23"/>
  <c r="D2455" i="23"/>
  <c r="D10663" i="23"/>
  <c r="D9637" i="23"/>
  <c r="D8611" i="23"/>
  <c r="D7585" i="23"/>
  <c r="D5533" i="23"/>
  <c r="D3481" i="23"/>
  <c r="D1429" i="23"/>
  <c r="D403" i="23"/>
  <c r="D6559" i="23"/>
  <c r="D5535" i="23"/>
  <c r="D3483" i="23"/>
  <c r="D11691" i="23"/>
  <c r="D2457" i="23"/>
  <c r="D10665" i="23"/>
  <c r="D9639" i="23"/>
  <c r="D7587" i="23"/>
  <c r="D6561" i="23"/>
  <c r="D405" i="23"/>
  <c r="D8613" i="23"/>
  <c r="D1431" i="23"/>
  <c r="D10654" i="23"/>
  <c r="D9628" i="23"/>
  <c r="D8602" i="23"/>
  <c r="D7576" i="23"/>
  <c r="D3472" i="23"/>
  <c r="D11680" i="23"/>
  <c r="D2446" i="23"/>
  <c r="D5524" i="23"/>
  <c r="D6550" i="23"/>
  <c r="D394" i="23"/>
  <c r="D1420" i="23"/>
  <c r="D8592" i="23"/>
  <c r="D7566" i="23"/>
  <c r="D6540" i="23"/>
  <c r="D5514" i="23"/>
  <c r="D10644" i="23"/>
  <c r="D9618" i="23"/>
  <c r="D3462" i="23"/>
  <c r="D11670" i="23"/>
  <c r="D1410" i="23"/>
  <c r="D2436" i="23"/>
  <c r="D384" i="23"/>
  <c r="D11880" i="23"/>
  <c r="D10854" i="23"/>
  <c r="D9828" i="23"/>
  <c r="D8802" i="23"/>
  <c r="D7776" i="23"/>
  <c r="D5724" i="23"/>
  <c r="D3672" i="23"/>
  <c r="D1620" i="23"/>
  <c r="D2646" i="23"/>
  <c r="D594" i="23"/>
  <c r="D6750" i="23"/>
  <c r="D3649" i="23"/>
  <c r="D11857" i="23"/>
  <c r="D10831" i="23"/>
  <c r="D9805" i="23"/>
  <c r="D8779" i="23"/>
  <c r="D6727" i="23"/>
  <c r="D5701" i="23"/>
  <c r="D7753" i="23"/>
  <c r="D2623" i="23"/>
  <c r="D1597" i="23"/>
  <c r="D571" i="23"/>
  <c r="D10853" i="23"/>
  <c r="D9827" i="23"/>
  <c r="D8801" i="23"/>
  <c r="D7775" i="23"/>
  <c r="D3671" i="23"/>
  <c r="D11879" i="23"/>
  <c r="D593" i="23"/>
  <c r="D5723" i="23"/>
  <c r="D2645" i="23"/>
  <c r="D1619" i="23"/>
  <c r="D6749" i="23"/>
  <c r="D10678" i="23"/>
  <c r="D6574" i="23"/>
  <c r="D9652" i="23"/>
  <c r="D8626" i="23"/>
  <c r="D11704" i="23"/>
  <c r="D7600" i="23"/>
  <c r="D5548" i="23"/>
  <c r="D3496" i="23"/>
  <c r="D2470" i="23"/>
  <c r="D1444" i="23"/>
  <c r="D418" i="23"/>
  <c r="D12309" i="23"/>
  <c r="D11283" i="23"/>
  <c r="D10257" i="23"/>
  <c r="D9231" i="23"/>
  <c r="D8205" i="23"/>
  <c r="D7179" i="23"/>
  <c r="D6153" i="23"/>
  <c r="D4101" i="23"/>
  <c r="D3075" i="23"/>
  <c r="D2049" i="23"/>
  <c r="D1023" i="23"/>
  <c r="D11989" i="23"/>
  <c r="D10963" i="23"/>
  <c r="D9937" i="23"/>
  <c r="D8911" i="23"/>
  <c r="D7885" i="23"/>
  <c r="D6859" i="23"/>
  <c r="D5833" i="23"/>
  <c r="D3781" i="23"/>
  <c r="D2755" i="23"/>
  <c r="D1729" i="23"/>
  <c r="D703" i="23"/>
  <c r="D11702" i="23"/>
  <c r="D10676" i="23"/>
  <c r="D9650" i="23"/>
  <c r="D8624" i="23"/>
  <c r="D7598" i="23"/>
  <c r="D6572" i="23"/>
  <c r="D5546" i="23"/>
  <c r="D3494" i="23"/>
  <c r="D2468" i="23"/>
  <c r="D1442" i="23"/>
  <c r="D416" i="23"/>
  <c r="D11958" i="23"/>
  <c r="D10932" i="23"/>
  <c r="D9906" i="23"/>
  <c r="D8880" i="23"/>
  <c r="D7854" i="23"/>
  <c r="D6828" i="23"/>
  <c r="D5802" i="23"/>
  <c r="D3750" i="23"/>
  <c r="D2724" i="23"/>
  <c r="D1698" i="23"/>
  <c r="D672" i="23"/>
  <c r="D8865" i="23"/>
  <c r="D6813" i="23"/>
  <c r="D11943" i="23"/>
  <c r="D7839" i="23"/>
  <c r="D10917" i="23"/>
  <c r="D9891" i="23"/>
  <c r="D5787" i="23"/>
  <c r="D3735" i="23"/>
  <c r="D2709" i="23"/>
  <c r="D1683" i="23"/>
  <c r="D657" i="23"/>
  <c r="D12296" i="23"/>
  <c r="D11270" i="23"/>
  <c r="D10244" i="23"/>
  <c r="D9218" i="23"/>
  <c r="D8192" i="23"/>
  <c r="D7166" i="23"/>
  <c r="D6140" i="23"/>
  <c r="D4088" i="23"/>
  <c r="D3062" i="23"/>
  <c r="D2036" i="23"/>
  <c r="D1010" i="23"/>
  <c r="D12301" i="23"/>
  <c r="D11275" i="23"/>
  <c r="D10249" i="23"/>
  <c r="D9223" i="23"/>
  <c r="D8197" i="23"/>
  <c r="D7171" i="23"/>
  <c r="D6145" i="23"/>
  <c r="D4093" i="23"/>
  <c r="D3067" i="23"/>
  <c r="D2041" i="23"/>
  <c r="D1015" i="23"/>
  <c r="D12293" i="23"/>
  <c r="D11267" i="23"/>
  <c r="D10241" i="23"/>
  <c r="D9215" i="23"/>
  <c r="D8189" i="23"/>
  <c r="D7163" i="23"/>
  <c r="D6137" i="23"/>
  <c r="D4085" i="23"/>
  <c r="D3059" i="23"/>
  <c r="D2033" i="23"/>
  <c r="D1007" i="23"/>
  <c r="D12295" i="23"/>
  <c r="D11269" i="23"/>
  <c r="D10243" i="23"/>
  <c r="D9217" i="23"/>
  <c r="D8191" i="23"/>
  <c r="D7165" i="23"/>
  <c r="D6139" i="23"/>
  <c r="D4087" i="23"/>
  <c r="D3061" i="23"/>
  <c r="D2035" i="23"/>
  <c r="D1009" i="23"/>
  <c r="D11979" i="23"/>
  <c r="D10953" i="23"/>
  <c r="D9927" i="23"/>
  <c r="D8901" i="23"/>
  <c r="D7875" i="23"/>
  <c r="D6849" i="23"/>
  <c r="D5823" i="23"/>
  <c r="D3771" i="23"/>
  <c r="D2745" i="23"/>
  <c r="D1719" i="23"/>
  <c r="D693" i="23"/>
  <c r="D11977" i="23"/>
  <c r="D10951" i="23"/>
  <c r="D9925" i="23"/>
  <c r="D8899" i="23"/>
  <c r="D7873" i="23"/>
  <c r="D6847" i="23"/>
  <c r="D5821" i="23"/>
  <c r="D3769" i="23"/>
  <c r="D2743" i="23"/>
  <c r="D1717" i="23"/>
  <c r="D691" i="23"/>
  <c r="D11985" i="23"/>
  <c r="D10959" i="23"/>
  <c r="D9933" i="23"/>
  <c r="D8907" i="23"/>
  <c r="D7881" i="23"/>
  <c r="D6855" i="23"/>
  <c r="D5829" i="23"/>
  <c r="D3777" i="23"/>
  <c r="D2751" i="23"/>
  <c r="D1725" i="23"/>
  <c r="D699" i="23"/>
  <c r="D11984" i="23"/>
  <c r="D10958" i="23"/>
  <c r="D9932" i="23"/>
  <c r="D8906" i="23"/>
  <c r="D7880" i="23"/>
  <c r="D6854" i="23"/>
  <c r="D5828" i="23"/>
  <c r="D3776" i="23"/>
  <c r="D2750" i="23"/>
  <c r="D1724" i="23"/>
  <c r="D698" i="23"/>
  <c r="D8873" i="23"/>
  <c r="D6821" i="23"/>
  <c r="D11951" i="23"/>
  <c r="D7847" i="23"/>
  <c r="D10925" i="23"/>
  <c r="D5795" i="23"/>
  <c r="D3743" i="23"/>
  <c r="D2717" i="23"/>
  <c r="D1691" i="23"/>
  <c r="D665" i="23"/>
  <c r="D9899" i="23"/>
  <c r="D11263" i="23"/>
  <c r="D10237" i="23"/>
  <c r="D9211" i="23"/>
  <c r="D7159" i="23"/>
  <c r="D6133" i="23"/>
  <c r="D4081" i="23"/>
  <c r="D3055" i="23"/>
  <c r="D2029" i="23"/>
  <c r="D1003" i="23"/>
  <c r="D12289" i="23"/>
  <c r="D8185" i="23"/>
  <c r="D11971" i="23"/>
  <c r="D10945" i="23"/>
  <c r="D9919" i="23"/>
  <c r="D8893" i="23"/>
  <c r="D7867" i="23"/>
  <c r="D6841" i="23"/>
  <c r="D5815" i="23"/>
  <c r="D3763" i="23"/>
  <c r="D2737" i="23"/>
  <c r="D1711" i="23"/>
  <c r="D685" i="23"/>
  <c r="D9644" i="23"/>
  <c r="D8618" i="23"/>
  <c r="D11696" i="23"/>
  <c r="D7592" i="23"/>
  <c r="D5540" i="23"/>
  <c r="D3488" i="23"/>
  <c r="D2462" i="23"/>
  <c r="D1436" i="23"/>
  <c r="D410" i="23"/>
  <c r="D10670" i="23"/>
  <c r="D6566" i="23"/>
  <c r="D11699" i="23"/>
  <c r="D10673" i="23"/>
  <c r="D9647" i="23"/>
  <c r="D8621" i="23"/>
  <c r="D7595" i="23"/>
  <c r="D6569" i="23"/>
  <c r="D5543" i="23"/>
  <c r="D3491" i="23"/>
  <c r="D2465" i="23"/>
  <c r="D1439" i="23"/>
  <c r="D413" i="23"/>
  <c r="D11955" i="23"/>
  <c r="D10929" i="23"/>
  <c r="D9903" i="23"/>
  <c r="D8877" i="23"/>
  <c r="D7851" i="23"/>
  <c r="D6825" i="23"/>
  <c r="D5799" i="23"/>
  <c r="D3747" i="23"/>
  <c r="D2721" i="23"/>
  <c r="D1695" i="23"/>
  <c r="D669" i="23"/>
  <c r="D11942" i="23"/>
  <c r="D10916" i="23"/>
  <c r="D9890" i="23"/>
  <c r="D8864" i="23"/>
  <c r="D7838" i="23"/>
  <c r="D6812" i="23"/>
  <c r="D5786" i="23"/>
  <c r="D3734" i="23"/>
  <c r="D2708" i="23"/>
  <c r="D1682" i="23"/>
  <c r="D656" i="23"/>
  <c r="D11961" i="23"/>
  <c r="D10935" i="23"/>
  <c r="D9909" i="23"/>
  <c r="D8883" i="23"/>
  <c r="D7857" i="23"/>
  <c r="D6831" i="23"/>
  <c r="D5805" i="23"/>
  <c r="D3753" i="23"/>
  <c r="D2727" i="23"/>
  <c r="D1701" i="23"/>
  <c r="D675" i="23"/>
  <c r="D12314" i="23"/>
  <c r="D11288" i="23"/>
  <c r="D10262" i="23"/>
  <c r="D9236" i="23"/>
  <c r="D8210" i="23"/>
  <c r="D7184" i="23"/>
  <c r="D6158" i="23"/>
  <c r="D4106" i="23"/>
  <c r="D3080" i="23"/>
  <c r="D2054" i="23"/>
  <c r="D1028" i="23"/>
  <c r="D12308" i="23"/>
  <c r="D11282" i="23"/>
  <c r="D10256" i="23"/>
  <c r="D9230" i="23"/>
  <c r="D8204" i="23"/>
  <c r="D7178" i="23"/>
  <c r="D6152" i="23"/>
  <c r="D4100" i="23"/>
  <c r="D3074" i="23"/>
  <c r="D2048" i="23"/>
  <c r="D1022" i="23"/>
  <c r="D12304" i="23"/>
  <c r="D11278" i="23"/>
  <c r="D10252" i="23"/>
  <c r="D9226" i="23"/>
  <c r="D8200" i="23"/>
  <c r="D7174" i="23"/>
  <c r="D6148" i="23"/>
  <c r="D4096" i="23"/>
  <c r="D3070" i="23"/>
  <c r="D2044" i="23"/>
  <c r="D1018" i="23"/>
  <c r="D11990" i="23"/>
  <c r="D10964" i="23"/>
  <c r="D9938" i="23"/>
  <c r="D8912" i="23"/>
  <c r="D7886" i="23"/>
  <c r="D6860" i="23"/>
  <c r="D5834" i="23"/>
  <c r="D3782" i="23"/>
  <c r="D2756" i="23"/>
  <c r="D1730" i="23"/>
  <c r="D704" i="23"/>
  <c r="D11982" i="23"/>
  <c r="D10956" i="23"/>
  <c r="D9930" i="23"/>
  <c r="D8904" i="23"/>
  <c r="D7878" i="23"/>
  <c r="D6852" i="23"/>
  <c r="D5826" i="23"/>
  <c r="D3774" i="23"/>
  <c r="D2748" i="23"/>
  <c r="D1722" i="23"/>
  <c r="D696" i="23"/>
  <c r="D11981" i="23"/>
  <c r="D10955" i="23"/>
  <c r="D9929" i="23"/>
  <c r="D8903" i="23"/>
  <c r="D7877" i="23"/>
  <c r="D6851" i="23"/>
  <c r="D5825" i="23"/>
  <c r="D3773" i="23"/>
  <c r="D2747" i="23"/>
  <c r="D1721" i="23"/>
  <c r="D695" i="23"/>
  <c r="D11965" i="23"/>
  <c r="D10939" i="23"/>
  <c r="D9913" i="23"/>
  <c r="D8887" i="23"/>
  <c r="D7861" i="23"/>
  <c r="D6835" i="23"/>
  <c r="D5809" i="23"/>
  <c r="D3757" i="23"/>
  <c r="D2731" i="23"/>
  <c r="D1705" i="23"/>
  <c r="D679" i="23"/>
  <c r="D10957" i="23"/>
  <c r="D6853" i="23"/>
  <c r="D9931" i="23"/>
  <c r="D8905" i="23"/>
  <c r="D5827" i="23"/>
  <c r="D3775" i="23"/>
  <c r="D2749" i="23"/>
  <c r="D1723" i="23"/>
  <c r="D697" i="23"/>
  <c r="D11983" i="23"/>
  <c r="D7879" i="23"/>
  <c r="D11939" i="23"/>
  <c r="D10913" i="23"/>
  <c r="D9887" i="23"/>
  <c r="D8861" i="23"/>
  <c r="D7835" i="23"/>
  <c r="D6809" i="23"/>
  <c r="D5783" i="23"/>
  <c r="D3731" i="23"/>
  <c r="D2705" i="23"/>
  <c r="D1679" i="23"/>
  <c r="D653" i="23"/>
  <c r="D11952" i="23"/>
  <c r="D10926" i="23"/>
  <c r="D9900" i="23"/>
  <c r="D8874" i="23"/>
  <c r="D7848" i="23"/>
  <c r="D6822" i="23"/>
  <c r="D5796" i="23"/>
  <c r="D3744" i="23"/>
  <c r="D2718" i="23"/>
  <c r="D1692" i="23"/>
  <c r="D666" i="23"/>
  <c r="D11988" i="23"/>
  <c r="D10962" i="23"/>
  <c r="D9936" i="23"/>
  <c r="D8910" i="23"/>
  <c r="D7884" i="23"/>
  <c r="D5832" i="23"/>
  <c r="D3780" i="23"/>
  <c r="D2754" i="23"/>
  <c r="D1728" i="23"/>
  <c r="D702" i="23"/>
  <c r="D6858" i="23"/>
  <c r="D11708" i="23"/>
  <c r="D10682" i="23"/>
  <c r="D9656" i="23"/>
  <c r="D8630" i="23"/>
  <c r="D7604" i="23"/>
  <c r="D6578" i="23"/>
  <c r="D5552" i="23"/>
  <c r="D3500" i="23"/>
  <c r="D2474" i="23"/>
  <c r="D1448" i="23"/>
  <c r="D422" i="23"/>
  <c r="D11703" i="23"/>
  <c r="D10677" i="23"/>
  <c r="D9651" i="23"/>
  <c r="D8625" i="23"/>
  <c r="D7599" i="23"/>
  <c r="D6573" i="23"/>
  <c r="D5547" i="23"/>
  <c r="D3495" i="23"/>
  <c r="D2469" i="23"/>
  <c r="D1443" i="23"/>
  <c r="D417" i="23"/>
  <c r="D11940" i="23"/>
  <c r="D10914" i="23"/>
  <c r="D9888" i="23"/>
  <c r="D8862" i="23"/>
  <c r="D7836" i="23"/>
  <c r="D5784" i="23"/>
  <c r="D3732" i="23"/>
  <c r="D2706" i="23"/>
  <c r="D1680" i="23"/>
  <c r="D654" i="23"/>
  <c r="D6810" i="23"/>
  <c r="D11957" i="23"/>
  <c r="D10931" i="23"/>
  <c r="D9905" i="23"/>
  <c r="D8879" i="23"/>
  <c r="D7853" i="23"/>
  <c r="D6827" i="23"/>
  <c r="D5801" i="23"/>
  <c r="D3749" i="23"/>
  <c r="D2723" i="23"/>
  <c r="D1697" i="23"/>
  <c r="D671" i="23"/>
  <c r="D11941" i="23"/>
  <c r="D10915" i="23"/>
  <c r="D9889" i="23"/>
  <c r="D8863" i="23"/>
  <c r="D7837" i="23"/>
  <c r="D6811" i="23"/>
  <c r="D5785" i="23"/>
  <c r="D3733" i="23"/>
  <c r="D2707" i="23"/>
  <c r="D1681" i="23"/>
  <c r="D655" i="23"/>
  <c r="D11963" i="23"/>
  <c r="D10937" i="23"/>
  <c r="D9911" i="23"/>
  <c r="D8885" i="23"/>
  <c r="D7859" i="23"/>
  <c r="D6833" i="23"/>
  <c r="D5807" i="23"/>
  <c r="D3755" i="23"/>
  <c r="D2729" i="23"/>
  <c r="D1703" i="23"/>
  <c r="D677" i="23"/>
  <c r="D12292" i="23"/>
  <c r="D11266" i="23"/>
  <c r="D10240" i="23"/>
  <c r="D9214" i="23"/>
  <c r="D8188" i="23"/>
  <c r="D7162" i="23"/>
  <c r="D6136" i="23"/>
  <c r="D4084" i="23"/>
  <c r="D3058" i="23"/>
  <c r="D2032" i="23"/>
  <c r="D1006" i="23"/>
  <c r="D12306" i="23"/>
  <c r="D11280" i="23"/>
  <c r="D10254" i="23"/>
  <c r="D9228" i="23"/>
  <c r="D8202" i="23"/>
  <c r="D7176" i="23"/>
  <c r="D6150" i="23"/>
  <c r="D4098" i="23"/>
  <c r="D3072" i="23"/>
  <c r="D2046" i="23"/>
  <c r="D1020" i="23"/>
  <c r="D12298" i="23"/>
  <c r="D11272" i="23"/>
  <c r="D10246" i="23"/>
  <c r="D9220" i="23"/>
  <c r="D8194" i="23"/>
  <c r="D7168" i="23"/>
  <c r="D6142" i="23"/>
  <c r="D4090" i="23"/>
  <c r="D3064" i="23"/>
  <c r="D2038" i="23"/>
  <c r="D1012" i="23"/>
  <c r="D11973" i="23"/>
  <c r="D10947" i="23"/>
  <c r="D9921" i="23"/>
  <c r="D8895" i="23"/>
  <c r="D7869" i="23"/>
  <c r="D6843" i="23"/>
  <c r="D5817" i="23"/>
  <c r="D3765" i="23"/>
  <c r="D2739" i="23"/>
  <c r="D1713" i="23"/>
  <c r="D687" i="23"/>
  <c r="D11980" i="23"/>
  <c r="D10954" i="23"/>
  <c r="D9928" i="23"/>
  <c r="D8902" i="23"/>
  <c r="D7876" i="23"/>
  <c r="D6850" i="23"/>
  <c r="D5824" i="23"/>
  <c r="D3772" i="23"/>
  <c r="D2746" i="23"/>
  <c r="D1720" i="23"/>
  <c r="D694" i="23"/>
  <c r="D11964" i="23"/>
  <c r="D10938" i="23"/>
  <c r="D9912" i="23"/>
  <c r="D8886" i="23"/>
  <c r="D7860" i="23"/>
  <c r="D5808" i="23"/>
  <c r="D3756" i="23"/>
  <c r="D2730" i="23"/>
  <c r="D1704" i="23"/>
  <c r="D678" i="23"/>
  <c r="D6834" i="23"/>
  <c r="D11953" i="23"/>
  <c r="D10927" i="23"/>
  <c r="D9901" i="23"/>
  <c r="D8875" i="23"/>
  <c r="D7849" i="23"/>
  <c r="D6823" i="23"/>
  <c r="D5797" i="23"/>
  <c r="D3745" i="23"/>
  <c r="D2719" i="23"/>
  <c r="D1693" i="23"/>
  <c r="D667" i="23"/>
  <c r="D12303" i="23"/>
  <c r="D11277" i="23"/>
  <c r="D10251" i="23"/>
  <c r="D9225" i="23"/>
  <c r="D8199" i="23"/>
  <c r="D7173" i="23"/>
  <c r="D6147" i="23"/>
  <c r="D4095" i="23"/>
  <c r="D3069" i="23"/>
  <c r="D2043" i="23"/>
  <c r="D1017" i="23"/>
  <c r="D11986" i="23"/>
  <c r="D10960" i="23"/>
  <c r="D9934" i="23"/>
  <c r="D8908" i="23"/>
  <c r="D7882" i="23"/>
  <c r="D5830" i="23"/>
  <c r="D3778" i="23"/>
  <c r="D2752" i="23"/>
  <c r="D1726" i="23"/>
  <c r="D700" i="23"/>
  <c r="D6856" i="23"/>
  <c r="D11700" i="23"/>
  <c r="D10674" i="23"/>
  <c r="D9648" i="23"/>
  <c r="D8622" i="23"/>
  <c r="D7596" i="23"/>
  <c r="D6570" i="23"/>
  <c r="D5544" i="23"/>
  <c r="D3492" i="23"/>
  <c r="D2466" i="23"/>
  <c r="D1440" i="23"/>
  <c r="D414" i="23"/>
  <c r="D11694" i="23"/>
  <c r="D10668" i="23"/>
  <c r="D9642" i="23"/>
  <c r="D8616" i="23"/>
  <c r="D7590" i="23"/>
  <c r="D6564" i="23"/>
  <c r="D5538" i="23"/>
  <c r="D3486" i="23"/>
  <c r="D2460" i="23"/>
  <c r="D1434" i="23"/>
  <c r="D408" i="23"/>
  <c r="D11706" i="23"/>
  <c r="D10680" i="23"/>
  <c r="D9654" i="23"/>
  <c r="D8628" i="23"/>
  <c r="D7602" i="23"/>
  <c r="D6576" i="23"/>
  <c r="D5550" i="23"/>
  <c r="D3498" i="23"/>
  <c r="D2472" i="23"/>
  <c r="D1446" i="23"/>
  <c r="D420" i="23"/>
  <c r="D11945" i="23"/>
  <c r="D10919" i="23"/>
  <c r="D9893" i="23"/>
  <c r="D8867" i="23"/>
  <c r="D7841" i="23"/>
  <c r="D6815" i="23"/>
  <c r="D5789" i="23"/>
  <c r="D3737" i="23"/>
  <c r="D2711" i="23"/>
  <c r="D1685" i="23"/>
  <c r="D659" i="23"/>
  <c r="D11949" i="23"/>
  <c r="D10923" i="23"/>
  <c r="D9897" i="23"/>
  <c r="D8871" i="23"/>
  <c r="D7845" i="23"/>
  <c r="D6819" i="23"/>
  <c r="D5793" i="23"/>
  <c r="D3741" i="23"/>
  <c r="D2715" i="23"/>
  <c r="D1689" i="23"/>
  <c r="D663" i="23"/>
  <c r="D12307" i="23"/>
  <c r="D11281" i="23"/>
  <c r="D10255" i="23"/>
  <c r="D9229" i="23"/>
  <c r="D8203" i="23"/>
  <c r="D7177" i="23"/>
  <c r="D6151" i="23"/>
  <c r="D4099" i="23"/>
  <c r="D3073" i="23"/>
  <c r="D2047" i="23"/>
  <c r="D1021" i="23"/>
  <c r="D12291" i="23"/>
  <c r="D11265" i="23"/>
  <c r="D10239" i="23"/>
  <c r="D9213" i="23"/>
  <c r="D8187" i="23"/>
  <c r="D7161" i="23"/>
  <c r="D6135" i="23"/>
  <c r="D4083" i="23"/>
  <c r="D3057" i="23"/>
  <c r="D2031" i="23"/>
  <c r="D1005" i="23"/>
  <c r="D12311" i="23"/>
  <c r="D11285" i="23"/>
  <c r="D10259" i="23"/>
  <c r="D9233" i="23"/>
  <c r="D8207" i="23"/>
  <c r="D7181" i="23"/>
  <c r="D6155" i="23"/>
  <c r="D4103" i="23"/>
  <c r="D3077" i="23"/>
  <c r="D2051" i="23"/>
  <c r="D1025" i="23"/>
  <c r="D9235" i="23"/>
  <c r="D12313" i="23"/>
  <c r="D8209" i="23"/>
  <c r="D11287" i="23"/>
  <c r="D10261" i="23"/>
  <c r="D7183" i="23"/>
  <c r="D6157" i="23"/>
  <c r="D4105" i="23"/>
  <c r="D3079" i="23"/>
  <c r="D2053" i="23"/>
  <c r="D1027" i="23"/>
  <c r="D12300" i="23"/>
  <c r="D11274" i="23"/>
  <c r="D10248" i="23"/>
  <c r="D9222" i="23"/>
  <c r="D8196" i="23"/>
  <c r="D7170" i="23"/>
  <c r="D6144" i="23"/>
  <c r="D4092" i="23"/>
  <c r="D3066" i="23"/>
  <c r="D2040" i="23"/>
  <c r="D1014" i="23"/>
  <c r="D11972" i="23"/>
  <c r="D10946" i="23"/>
  <c r="D9920" i="23"/>
  <c r="D8894" i="23"/>
  <c r="D7868" i="23"/>
  <c r="D5816" i="23"/>
  <c r="D3764" i="23"/>
  <c r="D2738" i="23"/>
  <c r="D1712" i="23"/>
  <c r="D686" i="23"/>
  <c r="D6842" i="23"/>
  <c r="D11970" i="23"/>
  <c r="D10944" i="23"/>
  <c r="D9918" i="23"/>
  <c r="D8892" i="23"/>
  <c r="D7866" i="23"/>
  <c r="D6840" i="23"/>
  <c r="D5814" i="23"/>
  <c r="D3762" i="23"/>
  <c r="D2736" i="23"/>
  <c r="D1710" i="23"/>
  <c r="D684" i="23"/>
  <c r="D11705" i="23"/>
  <c r="D10679" i="23"/>
  <c r="D9653" i="23"/>
  <c r="D8627" i="23"/>
  <c r="D7601" i="23"/>
  <c r="D6575" i="23"/>
  <c r="D5549" i="23"/>
  <c r="D3497" i="23"/>
  <c r="D2471" i="23"/>
  <c r="D1445" i="23"/>
  <c r="D419" i="23"/>
  <c r="D11944" i="23"/>
  <c r="D10918" i="23"/>
  <c r="D9892" i="23"/>
  <c r="D8866" i="23"/>
  <c r="D7840" i="23"/>
  <c r="D6814" i="23"/>
  <c r="D5788" i="23"/>
  <c r="D3736" i="23"/>
  <c r="D2710" i="23"/>
  <c r="D1684" i="23"/>
  <c r="D658" i="23"/>
  <c r="D12288" i="23"/>
  <c r="D11262" i="23"/>
  <c r="D10236" i="23"/>
  <c r="D9210" i="23"/>
  <c r="D8184" i="23"/>
  <c r="D7158" i="23"/>
  <c r="D6132" i="23"/>
  <c r="D4080" i="23"/>
  <c r="D3054" i="23"/>
  <c r="D2028" i="23"/>
  <c r="D1002" i="23"/>
  <c r="D12297" i="23"/>
  <c r="D8193" i="23"/>
  <c r="D11271" i="23"/>
  <c r="D10245" i="23"/>
  <c r="D9219" i="23"/>
  <c r="D7167" i="23"/>
  <c r="D6141" i="23"/>
  <c r="D4089" i="23"/>
  <c r="D3063" i="23"/>
  <c r="D2037" i="23"/>
  <c r="D1011" i="23"/>
  <c r="D12290" i="23"/>
  <c r="D11264" i="23"/>
  <c r="D10238" i="23"/>
  <c r="D9212" i="23"/>
  <c r="D8186" i="23"/>
  <c r="D7160" i="23"/>
  <c r="D6134" i="23"/>
  <c r="D4082" i="23"/>
  <c r="D3056" i="23"/>
  <c r="D2030" i="23"/>
  <c r="D1004" i="23"/>
  <c r="D11987" i="23"/>
  <c r="D10961" i="23"/>
  <c r="D9935" i="23"/>
  <c r="D8909" i="23"/>
  <c r="D7883" i="23"/>
  <c r="D6857" i="23"/>
  <c r="D5831" i="23"/>
  <c r="D3779" i="23"/>
  <c r="D2753" i="23"/>
  <c r="D1727" i="23"/>
  <c r="D701" i="23"/>
  <c r="D11978" i="23"/>
  <c r="D10952" i="23"/>
  <c r="D9926" i="23"/>
  <c r="D8900" i="23"/>
  <c r="D7874" i="23"/>
  <c r="D6848" i="23"/>
  <c r="D5822" i="23"/>
  <c r="D3770" i="23"/>
  <c r="D2744" i="23"/>
  <c r="D1718" i="23"/>
  <c r="D692" i="23"/>
  <c r="D11938" i="23"/>
  <c r="D10912" i="23"/>
  <c r="D9886" i="23"/>
  <c r="D8860" i="23"/>
  <c r="D7834" i="23"/>
  <c r="D6808" i="23"/>
  <c r="D5782" i="23"/>
  <c r="D3730" i="23"/>
  <c r="D2704" i="23"/>
  <c r="D1678" i="23"/>
  <c r="D652" i="23"/>
  <c r="D11698" i="23"/>
  <c r="D10672" i="23"/>
  <c r="D9646" i="23"/>
  <c r="D8620" i="23"/>
  <c r="D7594" i="23"/>
  <c r="D6568" i="23"/>
  <c r="D5542" i="23"/>
  <c r="D3490" i="23"/>
  <c r="D2464" i="23"/>
  <c r="D1438" i="23"/>
  <c r="D412" i="23"/>
  <c r="D11946" i="23"/>
  <c r="D10920" i="23"/>
  <c r="D9894" i="23"/>
  <c r="D8868" i="23"/>
  <c r="D7842" i="23"/>
  <c r="D6816" i="23"/>
  <c r="D5790" i="23"/>
  <c r="D3738" i="23"/>
  <c r="D2712" i="23"/>
  <c r="D1686" i="23"/>
  <c r="D660" i="23"/>
  <c r="D11937" i="23"/>
  <c r="D10911" i="23"/>
  <c r="D9885" i="23"/>
  <c r="D8859" i="23"/>
  <c r="D7833" i="23"/>
  <c r="D6807" i="23"/>
  <c r="D5781" i="23"/>
  <c r="D3729" i="23"/>
  <c r="D2703" i="23"/>
  <c r="D1677" i="23"/>
  <c r="D651" i="23"/>
  <c r="D11707" i="23"/>
  <c r="D10681" i="23"/>
  <c r="D9655" i="23"/>
  <c r="D8629" i="23"/>
  <c r="D7603" i="23"/>
  <c r="D6577" i="23"/>
  <c r="D5551" i="23"/>
  <c r="D3499" i="23"/>
  <c r="D2473" i="23"/>
  <c r="D1447" i="23"/>
  <c r="D421" i="23"/>
  <c r="D11697" i="23"/>
  <c r="D10671" i="23"/>
  <c r="D9645" i="23"/>
  <c r="D8619" i="23"/>
  <c r="D7593" i="23"/>
  <c r="D6567" i="23"/>
  <c r="D5541" i="23"/>
  <c r="D3489" i="23"/>
  <c r="D2463" i="23"/>
  <c r="D1437" i="23"/>
  <c r="D411" i="23"/>
  <c r="D11954" i="23"/>
  <c r="D10928" i="23"/>
  <c r="D9902" i="23"/>
  <c r="D8876" i="23"/>
  <c r="D7850" i="23"/>
  <c r="D6824" i="23"/>
  <c r="D5798" i="23"/>
  <c r="D3746" i="23"/>
  <c r="D2720" i="23"/>
  <c r="D1694" i="23"/>
  <c r="D668" i="23"/>
  <c r="D11948" i="23"/>
  <c r="D10922" i="23"/>
  <c r="D9896" i="23"/>
  <c r="D8870" i="23"/>
  <c r="D7844" i="23"/>
  <c r="D6818" i="23"/>
  <c r="D5792" i="23"/>
  <c r="D3740" i="23"/>
  <c r="D2714" i="23"/>
  <c r="D1688" i="23"/>
  <c r="D662" i="23"/>
  <c r="D11956" i="23"/>
  <c r="D10930" i="23"/>
  <c r="D9904" i="23"/>
  <c r="D8878" i="23"/>
  <c r="D7852" i="23"/>
  <c r="D6826" i="23"/>
  <c r="D5800" i="23"/>
  <c r="D3748" i="23"/>
  <c r="D2722" i="23"/>
  <c r="D1696" i="23"/>
  <c r="D670" i="23"/>
  <c r="D9907" i="23"/>
  <c r="D8881" i="23"/>
  <c r="D11959" i="23"/>
  <c r="D7855" i="23"/>
  <c r="D6829" i="23"/>
  <c r="D10933" i="23"/>
  <c r="D5803" i="23"/>
  <c r="D3751" i="23"/>
  <c r="D2725" i="23"/>
  <c r="D1699" i="23"/>
  <c r="D673" i="23"/>
  <c r="D12310" i="23"/>
  <c r="D11284" i="23"/>
  <c r="D10258" i="23"/>
  <c r="D9232" i="23"/>
  <c r="D8206" i="23"/>
  <c r="D7180" i="23"/>
  <c r="D6154" i="23"/>
  <c r="D4102" i="23"/>
  <c r="D3076" i="23"/>
  <c r="D2050" i="23"/>
  <c r="D1024" i="23"/>
  <c r="D12294" i="23"/>
  <c r="D11268" i="23"/>
  <c r="D10242" i="23"/>
  <c r="D9216" i="23"/>
  <c r="D8190" i="23"/>
  <c r="D7164" i="23"/>
  <c r="D6138" i="23"/>
  <c r="D4086" i="23"/>
  <c r="D3060" i="23"/>
  <c r="D2034" i="23"/>
  <c r="D1008" i="23"/>
  <c r="D12299" i="23"/>
  <c r="D11273" i="23"/>
  <c r="D10247" i="23"/>
  <c r="D9221" i="23"/>
  <c r="D8195" i="23"/>
  <c r="D7169" i="23"/>
  <c r="D6143" i="23"/>
  <c r="D4091" i="23"/>
  <c r="D3065" i="23"/>
  <c r="D2039" i="23"/>
  <c r="D1013" i="23"/>
  <c r="D12305" i="23"/>
  <c r="D8201" i="23"/>
  <c r="D11279" i="23"/>
  <c r="D10253" i="23"/>
  <c r="D7175" i="23"/>
  <c r="D6149" i="23"/>
  <c r="D4097" i="23"/>
  <c r="D3071" i="23"/>
  <c r="D2045" i="23"/>
  <c r="D1019" i="23"/>
  <c r="D9227" i="23"/>
  <c r="D10949" i="23"/>
  <c r="D6845" i="23"/>
  <c r="D9923" i="23"/>
  <c r="D8897" i="23"/>
  <c r="D11975" i="23"/>
  <c r="D7871" i="23"/>
  <c r="D5819" i="23"/>
  <c r="D3767" i="23"/>
  <c r="D2741" i="23"/>
  <c r="D1715" i="23"/>
  <c r="D689" i="23"/>
  <c r="D11976" i="23"/>
  <c r="D10950" i="23"/>
  <c r="D9924" i="23"/>
  <c r="D8898" i="23"/>
  <c r="D7872" i="23"/>
  <c r="D6846" i="23"/>
  <c r="D5820" i="23"/>
  <c r="D3768" i="23"/>
  <c r="D2742" i="23"/>
  <c r="D1716" i="23"/>
  <c r="D690" i="23"/>
  <c r="D11968" i="23"/>
  <c r="D10942" i="23"/>
  <c r="D9916" i="23"/>
  <c r="D8890" i="23"/>
  <c r="D7864" i="23"/>
  <c r="D6838" i="23"/>
  <c r="D5812" i="23"/>
  <c r="D3760" i="23"/>
  <c r="D2734" i="23"/>
  <c r="D1708" i="23"/>
  <c r="D682" i="23"/>
  <c r="D11701" i="23"/>
  <c r="D10675" i="23"/>
  <c r="D9649" i="23"/>
  <c r="D8623" i="23"/>
  <c r="D7597" i="23"/>
  <c r="D6571" i="23"/>
  <c r="D5545" i="23"/>
  <c r="D3493" i="23"/>
  <c r="D2467" i="23"/>
  <c r="D1441" i="23"/>
  <c r="D415" i="23"/>
  <c r="D11695" i="23"/>
  <c r="D10669" i="23"/>
  <c r="D9643" i="23"/>
  <c r="D8617" i="23"/>
  <c r="D7591" i="23"/>
  <c r="D6565" i="23"/>
  <c r="D5539" i="23"/>
  <c r="D3487" i="23"/>
  <c r="D2461" i="23"/>
  <c r="D1435" i="23"/>
  <c r="D409" i="23"/>
  <c r="D11960" i="23"/>
  <c r="D10934" i="23"/>
  <c r="D9908" i="23"/>
  <c r="D8882" i="23"/>
  <c r="D7856" i="23"/>
  <c r="D6830" i="23"/>
  <c r="D5804" i="23"/>
  <c r="D3752" i="23"/>
  <c r="D2726" i="23"/>
  <c r="D1700" i="23"/>
  <c r="D674" i="23"/>
  <c r="D11947" i="23"/>
  <c r="D10921" i="23"/>
  <c r="D9895" i="23"/>
  <c r="D8869" i="23"/>
  <c r="D7843" i="23"/>
  <c r="D6817" i="23"/>
  <c r="D5791" i="23"/>
  <c r="D3739" i="23"/>
  <c r="D2713" i="23"/>
  <c r="D1687" i="23"/>
  <c r="D661" i="23"/>
  <c r="D11962" i="23"/>
  <c r="D10936" i="23"/>
  <c r="D9910" i="23"/>
  <c r="D8884" i="23"/>
  <c r="D7858" i="23"/>
  <c r="D6832" i="23"/>
  <c r="D5806" i="23"/>
  <c r="D3754" i="23"/>
  <c r="D2728" i="23"/>
  <c r="D1702" i="23"/>
  <c r="D676" i="23"/>
  <c r="D11950" i="23"/>
  <c r="D10924" i="23"/>
  <c r="D9898" i="23"/>
  <c r="D8872" i="23"/>
  <c r="D7846" i="23"/>
  <c r="D6820" i="23"/>
  <c r="D5794" i="23"/>
  <c r="D3742" i="23"/>
  <c r="D2716" i="23"/>
  <c r="D1690" i="23"/>
  <c r="D664" i="23"/>
  <c r="D12302" i="23"/>
  <c r="D11276" i="23"/>
  <c r="D10250" i="23"/>
  <c r="D9224" i="23"/>
  <c r="D8198" i="23"/>
  <c r="D7172" i="23"/>
  <c r="D6146" i="23"/>
  <c r="D4094" i="23"/>
  <c r="D3068" i="23"/>
  <c r="D2042" i="23"/>
  <c r="D1016" i="23"/>
  <c r="D12312" i="23"/>
  <c r="D11286" i="23"/>
  <c r="D10260" i="23"/>
  <c r="D9234" i="23"/>
  <c r="D8208" i="23"/>
  <c r="D7182" i="23"/>
  <c r="D6156" i="23"/>
  <c r="D4104" i="23"/>
  <c r="D3078" i="23"/>
  <c r="D2052" i="23"/>
  <c r="D1026" i="23"/>
  <c r="D9915" i="23"/>
  <c r="D8889" i="23"/>
  <c r="D11967" i="23"/>
  <c r="D7863" i="23"/>
  <c r="D6837" i="23"/>
  <c r="D5811" i="23"/>
  <c r="D3759" i="23"/>
  <c r="D2733" i="23"/>
  <c r="D1707" i="23"/>
  <c r="D681" i="23"/>
  <c r="D10941" i="23"/>
  <c r="D11974" i="23"/>
  <c r="D10948" i="23"/>
  <c r="D9922" i="23"/>
  <c r="D8896" i="23"/>
  <c r="D7870" i="23"/>
  <c r="D6844" i="23"/>
  <c r="D5818" i="23"/>
  <c r="D3766" i="23"/>
  <c r="D2740" i="23"/>
  <c r="D1714" i="23"/>
  <c r="D688" i="23"/>
  <c r="D11969" i="23"/>
  <c r="D10943" i="23"/>
  <c r="D9917" i="23"/>
  <c r="D8891" i="23"/>
  <c r="D7865" i="23"/>
  <c r="D6839" i="23"/>
  <c r="D5813" i="23"/>
  <c r="D3761" i="23"/>
  <c r="D2735" i="23"/>
  <c r="D1709" i="23"/>
  <c r="D683" i="23"/>
  <c r="D11966" i="23"/>
  <c r="D10940" i="23"/>
  <c r="D9914" i="23"/>
  <c r="D8888" i="23"/>
  <c r="D7862" i="23"/>
  <c r="D6836" i="23"/>
  <c r="D5810" i="23"/>
  <c r="D3758" i="23"/>
  <c r="D2732" i="23"/>
  <c r="D1706" i="23"/>
  <c r="D680" i="23"/>
  <c r="H5" i="5"/>
  <c r="D11189" i="23"/>
  <c r="D12215" i="23"/>
  <c r="D10163" i="23"/>
  <c r="D9137" i="23"/>
  <c r="D7085" i="23"/>
  <c r="D1955" i="23"/>
  <c r="D6059" i="23"/>
  <c r="D2981" i="23"/>
  <c r="D4007" i="23"/>
  <c r="D929" i="23"/>
  <c r="D8111" i="23"/>
  <c r="D12220" i="23"/>
  <c r="D10168" i="23"/>
  <c r="D11194" i="23"/>
  <c r="D8116" i="23"/>
  <c r="D7090" i="23"/>
  <c r="D9142" i="23"/>
  <c r="D4012" i="23"/>
  <c r="D2986" i="23"/>
  <c r="D934" i="23"/>
  <c r="D1960" i="23"/>
  <c r="D6064" i="23"/>
  <c r="D11190" i="23"/>
  <c r="D9138" i="23"/>
  <c r="D8112" i="23"/>
  <c r="D1956" i="23"/>
  <c r="D6060" i="23"/>
  <c r="D7086" i="23"/>
  <c r="D4008" i="23"/>
  <c r="D10164" i="23"/>
  <c r="D2982" i="23"/>
  <c r="D930" i="23"/>
  <c r="D12216" i="23"/>
  <c r="D10129" i="23"/>
  <c r="D11155" i="23"/>
  <c r="D9103" i="23"/>
  <c r="D6025" i="23"/>
  <c r="D12181" i="23"/>
  <c r="D3973" i="23"/>
  <c r="D8077" i="23"/>
  <c r="D1921" i="23"/>
  <c r="D7051" i="23"/>
  <c r="D2947" i="23"/>
  <c r="D895" i="23"/>
  <c r="D10893" i="23"/>
  <c r="D9867" i="23"/>
  <c r="D11919" i="23"/>
  <c r="D8841" i="23"/>
  <c r="D6789" i="23"/>
  <c r="D1659" i="23"/>
  <c r="D5763" i="23"/>
  <c r="D2685" i="23"/>
  <c r="D633" i="23"/>
  <c r="D3711" i="23"/>
  <c r="D7815" i="23"/>
  <c r="D11931" i="23"/>
  <c r="D9879" i="23"/>
  <c r="D10905" i="23"/>
  <c r="D8853" i="23"/>
  <c r="D7827" i="23"/>
  <c r="D3723" i="23"/>
  <c r="D2697" i="23"/>
  <c r="D5775" i="23"/>
  <c r="D1671" i="23"/>
  <c r="D6801" i="23"/>
  <c r="D645" i="23"/>
  <c r="D10902" i="23"/>
  <c r="D9876" i="23"/>
  <c r="D8850" i="23"/>
  <c r="D11928" i="23"/>
  <c r="D1668" i="23"/>
  <c r="D6798" i="23"/>
  <c r="D5772" i="23"/>
  <c r="D642" i="23"/>
  <c r="D3720" i="23"/>
  <c r="D7824" i="23"/>
  <c r="D2694" i="23"/>
  <c r="D11843" i="23"/>
  <c r="D9791" i="23"/>
  <c r="D8765" i="23"/>
  <c r="D7739" i="23"/>
  <c r="D3635" i="23"/>
  <c r="D10817" i="23"/>
  <c r="D2609" i="23"/>
  <c r="D5687" i="23"/>
  <c r="D6713" i="23"/>
  <c r="D1583" i="23"/>
  <c r="D557" i="23"/>
  <c r="D11013" i="23"/>
  <c r="D9987" i="23"/>
  <c r="D12039" i="23"/>
  <c r="D6909" i="23"/>
  <c r="D1779" i="23"/>
  <c r="D5883" i="23"/>
  <c r="D8961" i="23"/>
  <c r="D2805" i="23"/>
  <c r="D753" i="23"/>
  <c r="D3831" i="23"/>
  <c r="D7935" i="23"/>
  <c r="D10829" i="23"/>
  <c r="D9803" i="23"/>
  <c r="D11855" i="23"/>
  <c r="D6725" i="23"/>
  <c r="D1595" i="23"/>
  <c r="D8777" i="23"/>
  <c r="D5699" i="23"/>
  <c r="D2621" i="23"/>
  <c r="D3647" i="23"/>
  <c r="D569" i="23"/>
  <c r="D7751" i="23"/>
  <c r="D12018" i="23"/>
  <c r="D10992" i="23"/>
  <c r="D8940" i="23"/>
  <c r="D6888" i="23"/>
  <c r="D2784" i="23"/>
  <c r="D7914" i="23"/>
  <c r="D1758" i="23"/>
  <c r="D9966" i="23"/>
  <c r="D3810" i="23"/>
  <c r="D732" i="23"/>
  <c r="D5862" i="23"/>
  <c r="D9786" i="23"/>
  <c r="D11838" i="23"/>
  <c r="D8760" i="23"/>
  <c r="D7734" i="23"/>
  <c r="D10812" i="23"/>
  <c r="D5682" i="23"/>
  <c r="D6708" i="23"/>
  <c r="D3630" i="23"/>
  <c r="D552" i="23"/>
  <c r="D2604" i="23"/>
  <c r="D1578" i="23"/>
  <c r="D12043" i="23"/>
  <c r="D9991" i="23"/>
  <c r="D8965" i="23"/>
  <c r="D7939" i="23"/>
  <c r="D11017" i="23"/>
  <c r="D3835" i="23"/>
  <c r="D2809" i="23"/>
  <c r="D5887" i="23"/>
  <c r="D6913" i="23"/>
  <c r="D757" i="23"/>
  <c r="D1783" i="23"/>
  <c r="D10822" i="23"/>
  <c r="D9796" i="23"/>
  <c r="D8770" i="23"/>
  <c r="D6718" i="23"/>
  <c r="D7744" i="23"/>
  <c r="D1588" i="23"/>
  <c r="D5692" i="23"/>
  <c r="D11848" i="23"/>
  <c r="D562" i="23"/>
  <c r="D3640" i="23"/>
  <c r="D2614" i="23"/>
  <c r="D11014" i="23"/>
  <c r="D9988" i="23"/>
  <c r="D8962" i="23"/>
  <c r="D1780" i="23"/>
  <c r="D12040" i="23"/>
  <c r="D5884" i="23"/>
  <c r="D6910" i="23"/>
  <c r="D754" i="23"/>
  <c r="D3832" i="23"/>
  <c r="D2806" i="23"/>
  <c r="D7936" i="23"/>
  <c r="D11005" i="23"/>
  <c r="D9979" i="23"/>
  <c r="D12031" i="23"/>
  <c r="D8953" i="23"/>
  <c r="D6901" i="23"/>
  <c r="D7927" i="23"/>
  <c r="D1771" i="23"/>
  <c r="D5875" i="23"/>
  <c r="D2797" i="23"/>
  <c r="D745" i="23"/>
  <c r="D3823" i="23"/>
  <c r="D11852" i="23"/>
  <c r="D10826" i="23"/>
  <c r="D9800" i="23"/>
  <c r="D7748" i="23"/>
  <c r="D6722" i="23"/>
  <c r="D8774" i="23"/>
  <c r="D3644" i="23"/>
  <c r="D2618" i="23"/>
  <c r="D1592" i="23"/>
  <c r="D566" i="23"/>
  <c r="D5696" i="23"/>
  <c r="D9794" i="23"/>
  <c r="D11846" i="23"/>
  <c r="D7742" i="23"/>
  <c r="D10820" i="23"/>
  <c r="D8768" i="23"/>
  <c r="D5690" i="23"/>
  <c r="D3638" i="23"/>
  <c r="D560" i="23"/>
  <c r="D2612" i="23"/>
  <c r="D1586" i="23"/>
  <c r="D6716" i="23"/>
  <c r="D11206" i="23"/>
  <c r="D12232" i="23"/>
  <c r="D9154" i="23"/>
  <c r="D8128" i="23"/>
  <c r="D10180" i="23"/>
  <c r="D1972" i="23"/>
  <c r="D6076" i="23"/>
  <c r="D2998" i="23"/>
  <c r="D946" i="23"/>
  <c r="D7102" i="23"/>
  <c r="D4024" i="23"/>
  <c r="D10901" i="23"/>
  <c r="D9875" i="23"/>
  <c r="D11927" i="23"/>
  <c r="D6797" i="23"/>
  <c r="D1667" i="23"/>
  <c r="D5771" i="23"/>
  <c r="D7823" i="23"/>
  <c r="D2693" i="23"/>
  <c r="D641" i="23"/>
  <c r="D8849" i="23"/>
  <c r="D3719" i="23"/>
  <c r="D11922" i="23"/>
  <c r="D10896" i="23"/>
  <c r="D8844" i="23"/>
  <c r="D9870" i="23"/>
  <c r="D6792" i="23"/>
  <c r="D7818" i="23"/>
  <c r="D2688" i="23"/>
  <c r="D1662" i="23"/>
  <c r="D5766" i="23"/>
  <c r="D3714" i="23"/>
  <c r="D636" i="23"/>
  <c r="D11173" i="23"/>
  <c r="D10147" i="23"/>
  <c r="D12199" i="23"/>
  <c r="D9121" i="23"/>
  <c r="D7069" i="23"/>
  <c r="D1939" i="23"/>
  <c r="D6043" i="23"/>
  <c r="D2965" i="23"/>
  <c r="D913" i="23"/>
  <c r="D8095" i="23"/>
  <c r="D3991" i="23"/>
  <c r="D11157" i="23"/>
  <c r="D10131" i="23"/>
  <c r="D12183" i="23"/>
  <c r="D9105" i="23"/>
  <c r="D7053" i="23"/>
  <c r="D1923" i="23"/>
  <c r="D6027" i="23"/>
  <c r="D2949" i="23"/>
  <c r="D897" i="23"/>
  <c r="D3975" i="23"/>
  <c r="D8079" i="23"/>
  <c r="D12187" i="23"/>
  <c r="D10135" i="23"/>
  <c r="D11161" i="23"/>
  <c r="D9109" i="23"/>
  <c r="D8083" i="23"/>
  <c r="D7057" i="23"/>
  <c r="D3979" i="23"/>
  <c r="D2953" i="23"/>
  <c r="D6031" i="23"/>
  <c r="D1927" i="23"/>
  <c r="D901" i="23"/>
  <c r="D9873" i="23"/>
  <c r="D10899" i="23"/>
  <c r="D8847" i="23"/>
  <c r="D5769" i="23"/>
  <c r="D6795" i="23"/>
  <c r="D7821" i="23"/>
  <c r="D3717" i="23"/>
  <c r="D11925" i="23"/>
  <c r="D1665" i="23"/>
  <c r="D639" i="23"/>
  <c r="D2691" i="23"/>
  <c r="D9977" i="23"/>
  <c r="D11003" i="23"/>
  <c r="D8951" i="23"/>
  <c r="D12029" i="23"/>
  <c r="D5873" i="23"/>
  <c r="D3821" i="23"/>
  <c r="D6899" i="23"/>
  <c r="D1769" i="23"/>
  <c r="D7925" i="23"/>
  <c r="D743" i="23"/>
  <c r="D2795" i="23"/>
  <c r="D11841" i="23"/>
  <c r="D10815" i="23"/>
  <c r="D9789" i="23"/>
  <c r="D6711" i="23"/>
  <c r="D7737" i="23"/>
  <c r="D2607" i="23"/>
  <c r="D1581" i="23"/>
  <c r="D3633" i="23"/>
  <c r="D5685" i="23"/>
  <c r="D8763" i="23"/>
  <c r="D555" i="23"/>
  <c r="D12034" i="23"/>
  <c r="D11008" i="23"/>
  <c r="D8956" i="23"/>
  <c r="D6904" i="23"/>
  <c r="D9982" i="23"/>
  <c r="D2800" i="23"/>
  <c r="D7930" i="23"/>
  <c r="D1774" i="23"/>
  <c r="D3826" i="23"/>
  <c r="D5878" i="23"/>
  <c r="D748" i="23"/>
  <c r="D12044" i="23"/>
  <c r="D9992" i="23"/>
  <c r="D11018" i="23"/>
  <c r="D7940" i="23"/>
  <c r="D6914" i="23"/>
  <c r="D8966" i="23"/>
  <c r="D3836" i="23"/>
  <c r="D2810" i="23"/>
  <c r="D5888" i="23"/>
  <c r="D1784" i="23"/>
  <c r="D758" i="23"/>
  <c r="D12225" i="23"/>
  <c r="D11199" i="23"/>
  <c r="D7095" i="23"/>
  <c r="D8121" i="23"/>
  <c r="D2991" i="23"/>
  <c r="D9147" i="23"/>
  <c r="D1965" i="23"/>
  <c r="D4017" i="23"/>
  <c r="D6069" i="23"/>
  <c r="D10173" i="23"/>
  <c r="D939" i="23"/>
  <c r="D12041" i="23"/>
  <c r="D11015" i="23"/>
  <c r="D6911" i="23"/>
  <c r="D9989" i="23"/>
  <c r="D7937" i="23"/>
  <c r="D2807" i="23"/>
  <c r="D1781" i="23"/>
  <c r="D3833" i="23"/>
  <c r="D755" i="23"/>
  <c r="D5885" i="23"/>
  <c r="D8963" i="23"/>
  <c r="D12212" i="23"/>
  <c r="D10160" i="23"/>
  <c r="D8108" i="23"/>
  <c r="D7082" i="23"/>
  <c r="D11186" i="23"/>
  <c r="D9134" i="23"/>
  <c r="D4004" i="23"/>
  <c r="D2978" i="23"/>
  <c r="D1952" i="23"/>
  <c r="D6056" i="23"/>
  <c r="D926" i="23"/>
  <c r="D12218" i="23"/>
  <c r="D11192" i="23"/>
  <c r="D9140" i="23"/>
  <c r="D10166" i="23"/>
  <c r="D7088" i="23"/>
  <c r="D8114" i="23"/>
  <c r="D2984" i="23"/>
  <c r="D1958" i="23"/>
  <c r="D4010" i="23"/>
  <c r="D6062" i="23"/>
  <c r="D932" i="23"/>
  <c r="D11914" i="23"/>
  <c r="D10888" i="23"/>
  <c r="D8836" i="23"/>
  <c r="D9862" i="23"/>
  <c r="D6784" i="23"/>
  <c r="D2680" i="23"/>
  <c r="D1654" i="23"/>
  <c r="D3706" i="23"/>
  <c r="D628" i="23"/>
  <c r="D5758" i="23"/>
  <c r="D7810" i="23"/>
  <c r="D12186" i="23"/>
  <c r="D11160" i="23"/>
  <c r="D9108" i="23"/>
  <c r="D10134" i="23"/>
  <c r="D7056" i="23"/>
  <c r="D8082" i="23"/>
  <c r="D2952" i="23"/>
  <c r="D1926" i="23"/>
  <c r="D6030" i="23"/>
  <c r="D900" i="23"/>
  <c r="D3978" i="23"/>
  <c r="D11924" i="23"/>
  <c r="D10898" i="23"/>
  <c r="D7820" i="23"/>
  <c r="D6794" i="23"/>
  <c r="D9872" i="23"/>
  <c r="D3716" i="23"/>
  <c r="D2690" i="23"/>
  <c r="D8846" i="23"/>
  <c r="D5768" i="23"/>
  <c r="D1664" i="23"/>
  <c r="D638" i="23"/>
  <c r="D9882" i="23"/>
  <c r="D11934" i="23"/>
  <c r="D10908" i="23"/>
  <c r="D7830" i="23"/>
  <c r="D5778" i="23"/>
  <c r="D3726" i="23"/>
  <c r="D6804" i="23"/>
  <c r="D648" i="23"/>
  <c r="D2700" i="23"/>
  <c r="D1674" i="23"/>
  <c r="D8856" i="23"/>
  <c r="D11921" i="23"/>
  <c r="D10895" i="23"/>
  <c r="D9869" i="23"/>
  <c r="D6791" i="23"/>
  <c r="D8843" i="23"/>
  <c r="D7817" i="23"/>
  <c r="D2687" i="23"/>
  <c r="D1661" i="23"/>
  <c r="D3713" i="23"/>
  <c r="D635" i="23"/>
  <c r="D5765" i="23"/>
  <c r="D10138" i="23"/>
  <c r="D12190" i="23"/>
  <c r="D11164" i="23"/>
  <c r="D9112" i="23"/>
  <c r="D8086" i="23"/>
  <c r="D6034" i="23"/>
  <c r="D7060" i="23"/>
  <c r="D3982" i="23"/>
  <c r="D2956" i="23"/>
  <c r="D904" i="23"/>
  <c r="D1930" i="23"/>
  <c r="D12180" i="23"/>
  <c r="D10128" i="23"/>
  <c r="D11154" i="23"/>
  <c r="D8076" i="23"/>
  <c r="D7050" i="23"/>
  <c r="D9102" i="23"/>
  <c r="D3972" i="23"/>
  <c r="D2946" i="23"/>
  <c r="D6024" i="23"/>
  <c r="D1920" i="23"/>
  <c r="D894" i="23"/>
  <c r="D12185" i="23"/>
  <c r="D11159" i="23"/>
  <c r="D7055" i="23"/>
  <c r="D9107" i="23"/>
  <c r="D10133" i="23"/>
  <c r="D8081" i="23"/>
  <c r="D2951" i="23"/>
  <c r="D1925" i="23"/>
  <c r="D3977" i="23"/>
  <c r="D6029" i="23"/>
  <c r="D899" i="23"/>
  <c r="D10137" i="23"/>
  <c r="D11163" i="23"/>
  <c r="D9111" i="23"/>
  <c r="D6033" i="23"/>
  <c r="D7059" i="23"/>
  <c r="D8085" i="23"/>
  <c r="D3981" i="23"/>
  <c r="D12189" i="23"/>
  <c r="D1929" i="23"/>
  <c r="D903" i="23"/>
  <c r="D2955" i="23"/>
  <c r="D11915" i="23"/>
  <c r="D9863" i="23"/>
  <c r="D8837" i="23"/>
  <c r="D7811" i="23"/>
  <c r="D10889" i="23"/>
  <c r="D3707" i="23"/>
  <c r="D2681" i="23"/>
  <c r="D5759" i="23"/>
  <c r="D1655" i="23"/>
  <c r="D6785" i="23"/>
  <c r="D629" i="23"/>
  <c r="D9978" i="23"/>
  <c r="D12030" i="23"/>
  <c r="D11004" i="23"/>
  <c r="D7926" i="23"/>
  <c r="D5874" i="23"/>
  <c r="D3822" i="23"/>
  <c r="D2796" i="23"/>
  <c r="D744" i="23"/>
  <c r="D1770" i="23"/>
  <c r="D8952" i="23"/>
  <c r="D6900" i="23"/>
  <c r="D12033" i="23"/>
  <c r="D11007" i="23"/>
  <c r="D6903" i="23"/>
  <c r="D8955" i="23"/>
  <c r="D7929" i="23"/>
  <c r="D9981" i="23"/>
  <c r="D2799" i="23"/>
  <c r="D1773" i="23"/>
  <c r="D3825" i="23"/>
  <c r="D5877" i="23"/>
  <c r="D747" i="23"/>
  <c r="D12035" i="23"/>
  <c r="D9983" i="23"/>
  <c r="D8957" i="23"/>
  <c r="D7931" i="23"/>
  <c r="D3827" i="23"/>
  <c r="D6905" i="23"/>
  <c r="D2801" i="23"/>
  <c r="D11009" i="23"/>
  <c r="D5879" i="23"/>
  <c r="D1775" i="23"/>
  <c r="D749" i="23"/>
  <c r="D11835" i="23"/>
  <c r="D9783" i="23"/>
  <c r="D8757" i="23"/>
  <c r="D7731" i="23"/>
  <c r="D10809" i="23"/>
  <c r="D3627" i="23"/>
  <c r="D6705" i="23"/>
  <c r="D2601" i="23"/>
  <c r="D5679" i="23"/>
  <c r="D1575" i="23"/>
  <c r="D549" i="23"/>
  <c r="D12042" i="23"/>
  <c r="D11016" i="23"/>
  <c r="D9990" i="23"/>
  <c r="D8964" i="23"/>
  <c r="D6912" i="23"/>
  <c r="D2808" i="23"/>
  <c r="D1782" i="23"/>
  <c r="D7938" i="23"/>
  <c r="D3834" i="23"/>
  <c r="D756" i="23"/>
  <c r="D5886" i="23"/>
  <c r="D11006" i="23"/>
  <c r="D9980" i="23"/>
  <c r="D12032" i="23"/>
  <c r="D8954" i="23"/>
  <c r="D6902" i="23"/>
  <c r="D7928" i="23"/>
  <c r="D1772" i="23"/>
  <c r="D5876" i="23"/>
  <c r="D3824" i="23"/>
  <c r="D2798" i="23"/>
  <c r="D746" i="23"/>
  <c r="D10805" i="23"/>
  <c r="D9779" i="23"/>
  <c r="D11831" i="23"/>
  <c r="D8753" i="23"/>
  <c r="D6701" i="23"/>
  <c r="D1571" i="23"/>
  <c r="D7727" i="23"/>
  <c r="D5675" i="23"/>
  <c r="D2597" i="23"/>
  <c r="D545" i="23"/>
  <c r="D3623" i="23"/>
  <c r="D10806" i="23"/>
  <c r="D9780" i="23"/>
  <c r="D7728" i="23"/>
  <c r="D11832" i="23"/>
  <c r="D8754" i="23"/>
  <c r="D6702" i="23"/>
  <c r="D1572" i="23"/>
  <c r="D5676" i="23"/>
  <c r="D3624" i="23"/>
  <c r="D2598" i="23"/>
  <c r="D546" i="23"/>
  <c r="D11181" i="23"/>
  <c r="D12207" i="23"/>
  <c r="D10155" i="23"/>
  <c r="D7077" i="23"/>
  <c r="D1947" i="23"/>
  <c r="D6051" i="23"/>
  <c r="D8103" i="23"/>
  <c r="D2973" i="23"/>
  <c r="D9129" i="23"/>
  <c r="D921" i="23"/>
  <c r="D3999" i="23"/>
  <c r="D12217" i="23"/>
  <c r="D11191" i="23"/>
  <c r="D10165" i="23"/>
  <c r="D7087" i="23"/>
  <c r="D9139" i="23"/>
  <c r="D8113" i="23"/>
  <c r="D2983" i="23"/>
  <c r="D1957" i="23"/>
  <c r="D4009" i="23"/>
  <c r="D931" i="23"/>
  <c r="D6061" i="23"/>
  <c r="D12227" i="23"/>
  <c r="D9149" i="23"/>
  <c r="D8123" i="23"/>
  <c r="D11201" i="23"/>
  <c r="D10175" i="23"/>
  <c r="D4019" i="23"/>
  <c r="D2993" i="23"/>
  <c r="D6071" i="23"/>
  <c r="D7097" i="23"/>
  <c r="D941" i="23"/>
  <c r="D1967" i="23"/>
  <c r="D11923" i="23"/>
  <c r="D9871" i="23"/>
  <c r="D8845" i="23"/>
  <c r="D10897" i="23"/>
  <c r="D7819" i="23"/>
  <c r="D6793" i="23"/>
  <c r="D3715" i="23"/>
  <c r="D2689" i="23"/>
  <c r="D5767" i="23"/>
  <c r="D637" i="23"/>
  <c r="D1663" i="23"/>
  <c r="D9865" i="23"/>
  <c r="D10891" i="23"/>
  <c r="D8839" i="23"/>
  <c r="D11917" i="23"/>
  <c r="D5761" i="23"/>
  <c r="D3709" i="23"/>
  <c r="D7813" i="23"/>
  <c r="D1657" i="23"/>
  <c r="D2683" i="23"/>
  <c r="D6787" i="23"/>
  <c r="D631" i="23"/>
  <c r="D11916" i="23"/>
  <c r="D10890" i="23"/>
  <c r="D7812" i="23"/>
  <c r="D6786" i="23"/>
  <c r="D8838" i="23"/>
  <c r="D3708" i="23"/>
  <c r="D2682" i="23"/>
  <c r="D1656" i="23"/>
  <c r="D9864" i="23"/>
  <c r="D5760" i="23"/>
  <c r="D630" i="23"/>
  <c r="D11932" i="23"/>
  <c r="D10906" i="23"/>
  <c r="D9880" i="23"/>
  <c r="D7828" i="23"/>
  <c r="D6802" i="23"/>
  <c r="D8854" i="23"/>
  <c r="D3724" i="23"/>
  <c r="D2698" i="23"/>
  <c r="D1672" i="23"/>
  <c r="D5776" i="23"/>
  <c r="D646" i="23"/>
  <c r="D11158" i="23"/>
  <c r="D10132" i="23"/>
  <c r="D12184" i="23"/>
  <c r="D9106" i="23"/>
  <c r="D8080" i="23"/>
  <c r="D1924" i="23"/>
  <c r="D6028" i="23"/>
  <c r="D7054" i="23"/>
  <c r="D898" i="23"/>
  <c r="D2950" i="23"/>
  <c r="D3976" i="23"/>
  <c r="D12193" i="23"/>
  <c r="D11167" i="23"/>
  <c r="D10141" i="23"/>
  <c r="D7063" i="23"/>
  <c r="D8089" i="23"/>
  <c r="D2959" i="23"/>
  <c r="D9115" i="23"/>
  <c r="D1933" i="23"/>
  <c r="D3985" i="23"/>
  <c r="D907" i="23"/>
  <c r="D6037" i="23"/>
  <c r="D11930" i="23"/>
  <c r="D10904" i="23"/>
  <c r="D8852" i="23"/>
  <c r="D6800" i="23"/>
  <c r="D2696" i="23"/>
  <c r="D1670" i="23"/>
  <c r="D7826" i="23"/>
  <c r="D5774" i="23"/>
  <c r="D644" i="23"/>
  <c r="D9878" i="23"/>
  <c r="D3722" i="23"/>
  <c r="D12196" i="23"/>
  <c r="D10144" i="23"/>
  <c r="D8092" i="23"/>
  <c r="D11170" i="23"/>
  <c r="D7066" i="23"/>
  <c r="D9118" i="23"/>
  <c r="D3988" i="23"/>
  <c r="D2962" i="23"/>
  <c r="D1936" i="23"/>
  <c r="D6040" i="23"/>
  <c r="D910" i="23"/>
  <c r="D11833" i="23"/>
  <c r="D10807" i="23"/>
  <c r="D9781" i="23"/>
  <c r="D6703" i="23"/>
  <c r="D8755" i="23"/>
  <c r="D7729" i="23"/>
  <c r="D2599" i="23"/>
  <c r="D1573" i="23"/>
  <c r="D3625" i="23"/>
  <c r="D547" i="23"/>
  <c r="D5677" i="23"/>
  <c r="D9970" i="23"/>
  <c r="D10996" i="23"/>
  <c r="D12022" i="23"/>
  <c r="D8944" i="23"/>
  <c r="D7918" i="23"/>
  <c r="D5866" i="23"/>
  <c r="D6892" i="23"/>
  <c r="D3814" i="23"/>
  <c r="D736" i="23"/>
  <c r="D1762" i="23"/>
  <c r="D2788" i="23"/>
  <c r="D11849" i="23"/>
  <c r="D10823" i="23"/>
  <c r="D6719" i="23"/>
  <c r="D8771" i="23"/>
  <c r="D7745" i="23"/>
  <c r="D2615" i="23"/>
  <c r="D1589" i="23"/>
  <c r="D9797" i="23"/>
  <c r="D3641" i="23"/>
  <c r="D5693" i="23"/>
  <c r="D563" i="23"/>
  <c r="D12210" i="23"/>
  <c r="D11184" i="23"/>
  <c r="D9132" i="23"/>
  <c r="D7080" i="23"/>
  <c r="D2976" i="23"/>
  <c r="D1950" i="23"/>
  <c r="D10158" i="23"/>
  <c r="D6054" i="23"/>
  <c r="D8106" i="23"/>
  <c r="D4002" i="23"/>
  <c r="D924" i="23"/>
  <c r="D12211" i="23"/>
  <c r="D10159" i="23"/>
  <c r="D11185" i="23"/>
  <c r="D9133" i="23"/>
  <c r="D8107" i="23"/>
  <c r="D4003" i="23"/>
  <c r="D2977" i="23"/>
  <c r="D6055" i="23"/>
  <c r="D1951" i="23"/>
  <c r="D7081" i="23"/>
  <c r="D925" i="23"/>
  <c r="D11195" i="23"/>
  <c r="D10169" i="23"/>
  <c r="D12221" i="23"/>
  <c r="D9143" i="23"/>
  <c r="D6065" i="23"/>
  <c r="D7091" i="23"/>
  <c r="D8117" i="23"/>
  <c r="D4013" i="23"/>
  <c r="D1961" i="23"/>
  <c r="D2987" i="23"/>
  <c r="D935" i="23"/>
  <c r="D10909" i="23"/>
  <c r="D9883" i="23"/>
  <c r="D11935" i="23"/>
  <c r="D8857" i="23"/>
  <c r="D6805" i="23"/>
  <c r="D1675" i="23"/>
  <c r="D5779" i="23"/>
  <c r="D2701" i="23"/>
  <c r="D3727" i="23"/>
  <c r="D7831" i="23"/>
  <c r="D649" i="23"/>
  <c r="D11850" i="23"/>
  <c r="D10824" i="23"/>
  <c r="D8772" i="23"/>
  <c r="D6720" i="23"/>
  <c r="D2616" i="23"/>
  <c r="D7746" i="23"/>
  <c r="D1590" i="23"/>
  <c r="D5694" i="23"/>
  <c r="D564" i="23"/>
  <c r="D9798" i="23"/>
  <c r="D3642" i="23"/>
  <c r="D11198" i="23"/>
  <c r="D9146" i="23"/>
  <c r="D10172" i="23"/>
  <c r="D12224" i="23"/>
  <c r="D1964" i="23"/>
  <c r="D7094" i="23"/>
  <c r="D6068" i="23"/>
  <c r="D938" i="23"/>
  <c r="D4016" i="23"/>
  <c r="D8120" i="23"/>
  <c r="D2990" i="23"/>
  <c r="D9874" i="23"/>
  <c r="D11926" i="23"/>
  <c r="D10900" i="23"/>
  <c r="D8848" i="23"/>
  <c r="D7822" i="23"/>
  <c r="D5770" i="23"/>
  <c r="D6796" i="23"/>
  <c r="D3718" i="23"/>
  <c r="D640" i="23"/>
  <c r="D2692" i="23"/>
  <c r="D1666" i="23"/>
  <c r="D11166" i="23"/>
  <c r="D10140" i="23"/>
  <c r="D12192" i="23"/>
  <c r="D9114" i="23"/>
  <c r="D1932" i="23"/>
  <c r="D7062" i="23"/>
  <c r="D6036" i="23"/>
  <c r="D8088" i="23"/>
  <c r="D3984" i="23"/>
  <c r="D2958" i="23"/>
  <c r="D906" i="23"/>
  <c r="D12204" i="23"/>
  <c r="D8100" i="23"/>
  <c r="D7074" i="23"/>
  <c r="D3996" i="23"/>
  <c r="D10152" i="23"/>
  <c r="D2970" i="23"/>
  <c r="D9126" i="23"/>
  <c r="D6048" i="23"/>
  <c r="D11178" i="23"/>
  <c r="D918" i="23"/>
  <c r="D1944" i="23"/>
  <c r="D12194" i="23"/>
  <c r="D11168" i="23"/>
  <c r="D9116" i="23"/>
  <c r="D10142" i="23"/>
  <c r="D7064" i="23"/>
  <c r="D2960" i="23"/>
  <c r="D1934" i="23"/>
  <c r="D8090" i="23"/>
  <c r="D3986" i="23"/>
  <c r="D908" i="23"/>
  <c r="D6038" i="23"/>
  <c r="D10130" i="23"/>
  <c r="D11156" i="23"/>
  <c r="D8078" i="23"/>
  <c r="D12182" i="23"/>
  <c r="D6026" i="23"/>
  <c r="D3974" i="23"/>
  <c r="D7052" i="23"/>
  <c r="D896" i="23"/>
  <c r="D2948" i="23"/>
  <c r="D9104" i="23"/>
  <c r="D1922" i="23"/>
  <c r="D11913" i="23"/>
  <c r="D10887" i="23"/>
  <c r="D6783" i="23"/>
  <c r="D7809" i="23"/>
  <c r="D2679" i="23"/>
  <c r="D8835" i="23"/>
  <c r="D1653" i="23"/>
  <c r="D9861" i="23"/>
  <c r="D3705" i="23"/>
  <c r="D627" i="23"/>
  <c r="D5757" i="23"/>
  <c r="D10910" i="23"/>
  <c r="D9884" i="23"/>
  <c r="D8858" i="23"/>
  <c r="D7832" i="23"/>
  <c r="D1676" i="23"/>
  <c r="D5780" i="23"/>
  <c r="D3728" i="23"/>
  <c r="D11936" i="23"/>
  <c r="D2702" i="23"/>
  <c r="D650" i="23"/>
  <c r="D6806" i="23"/>
  <c r="D10894" i="23"/>
  <c r="D9868" i="23"/>
  <c r="D8842" i="23"/>
  <c r="D7816" i="23"/>
  <c r="D1660" i="23"/>
  <c r="D5764" i="23"/>
  <c r="D6790" i="23"/>
  <c r="D11920" i="23"/>
  <c r="D634" i="23"/>
  <c r="D3712" i="23"/>
  <c r="D2686" i="23"/>
  <c r="D10821" i="23"/>
  <c r="D9795" i="23"/>
  <c r="D11847" i="23"/>
  <c r="D8769" i="23"/>
  <c r="D6717" i="23"/>
  <c r="D7743" i="23"/>
  <c r="D1587" i="23"/>
  <c r="D5691" i="23"/>
  <c r="D2613" i="23"/>
  <c r="D561" i="23"/>
  <c r="D3639" i="23"/>
  <c r="D12020" i="23"/>
  <c r="D9968" i="23"/>
  <c r="D7916" i="23"/>
  <c r="D6890" i="23"/>
  <c r="D8942" i="23"/>
  <c r="D3812" i="23"/>
  <c r="D2786" i="23"/>
  <c r="D10994" i="23"/>
  <c r="D734" i="23"/>
  <c r="D1760" i="23"/>
  <c r="D5864" i="23"/>
  <c r="D9777" i="23"/>
  <c r="D10803" i="23"/>
  <c r="D8751" i="23"/>
  <c r="D11829" i="23"/>
  <c r="D7725" i="23"/>
  <c r="D5673" i="23"/>
  <c r="D3621" i="23"/>
  <c r="D6699" i="23"/>
  <c r="D1569" i="23"/>
  <c r="D543" i="23"/>
  <c r="D2595" i="23"/>
  <c r="D9969" i="23"/>
  <c r="D10995" i="23"/>
  <c r="D8943" i="23"/>
  <c r="D12021" i="23"/>
  <c r="D5865" i="23"/>
  <c r="D6891" i="23"/>
  <c r="D3813" i="23"/>
  <c r="D7917" i="23"/>
  <c r="D1761" i="23"/>
  <c r="D2787" i="23"/>
  <c r="D735" i="23"/>
  <c r="D10997" i="23"/>
  <c r="D9971" i="23"/>
  <c r="D12023" i="23"/>
  <c r="D6893" i="23"/>
  <c r="D1763" i="23"/>
  <c r="D8945" i="23"/>
  <c r="D5867" i="23"/>
  <c r="D2789" i="23"/>
  <c r="D737" i="23"/>
  <c r="D7919" i="23"/>
  <c r="D3815" i="23"/>
  <c r="D12195" i="23"/>
  <c r="D10143" i="23"/>
  <c r="D9117" i="23"/>
  <c r="D11169" i="23"/>
  <c r="D8091" i="23"/>
  <c r="D3987" i="23"/>
  <c r="D2961" i="23"/>
  <c r="D6039" i="23"/>
  <c r="D7065" i="23"/>
  <c r="D1935" i="23"/>
  <c r="D909" i="23"/>
  <c r="D9802" i="23"/>
  <c r="D11854" i="23"/>
  <c r="D8776" i="23"/>
  <c r="D7750" i="23"/>
  <c r="D5698" i="23"/>
  <c r="D10828" i="23"/>
  <c r="D6724" i="23"/>
  <c r="D3646" i="23"/>
  <c r="D568" i="23"/>
  <c r="D2620" i="23"/>
  <c r="D1594" i="23"/>
  <c r="D12203" i="23"/>
  <c r="D10151" i="23"/>
  <c r="D9125" i="23"/>
  <c r="D11177" i="23"/>
  <c r="D8099" i="23"/>
  <c r="D7073" i="23"/>
  <c r="D3995" i="23"/>
  <c r="D2969" i="23"/>
  <c r="D6047" i="23"/>
  <c r="D1943" i="23"/>
  <c r="D917" i="23"/>
  <c r="D12027" i="23"/>
  <c r="D9975" i="23"/>
  <c r="D8949" i="23"/>
  <c r="D7923" i="23"/>
  <c r="D11001" i="23"/>
  <c r="D3819" i="23"/>
  <c r="D2793" i="23"/>
  <c r="D5871" i="23"/>
  <c r="D6897" i="23"/>
  <c r="D1767" i="23"/>
  <c r="D741" i="23"/>
  <c r="D12228" i="23"/>
  <c r="D11202" i="23"/>
  <c r="D10176" i="23"/>
  <c r="D8124" i="23"/>
  <c r="D7098" i="23"/>
  <c r="D9150" i="23"/>
  <c r="D4020" i="23"/>
  <c r="D2994" i="23"/>
  <c r="D1968" i="23"/>
  <c r="D6072" i="23"/>
  <c r="D942" i="23"/>
  <c r="D11205" i="23"/>
  <c r="D12231" i="23"/>
  <c r="D10179" i="23"/>
  <c r="D9153" i="23"/>
  <c r="D7101" i="23"/>
  <c r="D1971" i="23"/>
  <c r="D6075" i="23"/>
  <c r="D2997" i="23"/>
  <c r="D8127" i="23"/>
  <c r="D945" i="23"/>
  <c r="D4023" i="23"/>
  <c r="D12219" i="23"/>
  <c r="D9141" i="23"/>
  <c r="D8115" i="23"/>
  <c r="D10167" i="23"/>
  <c r="D11193" i="23"/>
  <c r="D7089" i="23"/>
  <c r="D4011" i="23"/>
  <c r="D2985" i="23"/>
  <c r="D6063" i="23"/>
  <c r="D1959" i="23"/>
  <c r="D933" i="23"/>
  <c r="D11197" i="23"/>
  <c r="D12223" i="23"/>
  <c r="D10171" i="23"/>
  <c r="D7093" i="23"/>
  <c r="D1963" i="23"/>
  <c r="D9145" i="23"/>
  <c r="D6067" i="23"/>
  <c r="D8119" i="23"/>
  <c r="D2989" i="23"/>
  <c r="D937" i="23"/>
  <c r="D4015" i="23"/>
  <c r="D12209" i="23"/>
  <c r="D11183" i="23"/>
  <c r="D10157" i="23"/>
  <c r="D7079" i="23"/>
  <c r="D8105" i="23"/>
  <c r="D2975" i="23"/>
  <c r="D1949" i="23"/>
  <c r="D9131" i="23"/>
  <c r="D4001" i="23"/>
  <c r="D6053" i="23"/>
  <c r="D923" i="23"/>
  <c r="D11182" i="23"/>
  <c r="D9130" i="23"/>
  <c r="D12208" i="23"/>
  <c r="D1948" i="23"/>
  <c r="D10156" i="23"/>
  <c r="D7078" i="23"/>
  <c r="D6052" i="23"/>
  <c r="D922" i="23"/>
  <c r="D8104" i="23"/>
  <c r="D4000" i="23"/>
  <c r="D2974" i="23"/>
  <c r="D12028" i="23"/>
  <c r="D11002" i="23"/>
  <c r="D9976" i="23"/>
  <c r="D7924" i="23"/>
  <c r="D6898" i="23"/>
  <c r="D8950" i="23"/>
  <c r="D3820" i="23"/>
  <c r="D2794" i="23"/>
  <c r="D1768" i="23"/>
  <c r="D5872" i="23"/>
  <c r="D742" i="23"/>
  <c r="D11842" i="23"/>
  <c r="D10816" i="23"/>
  <c r="D8764" i="23"/>
  <c r="D6712" i="23"/>
  <c r="D9790" i="23"/>
  <c r="D2608" i="23"/>
  <c r="D1582" i="23"/>
  <c r="D7738" i="23"/>
  <c r="D5686" i="23"/>
  <c r="D3634" i="23"/>
  <c r="D556" i="23"/>
  <c r="D12214" i="23"/>
  <c r="D11188" i="23"/>
  <c r="D8110" i="23"/>
  <c r="D10162" i="23"/>
  <c r="D6058" i="23"/>
  <c r="D4006" i="23"/>
  <c r="D7084" i="23"/>
  <c r="D928" i="23"/>
  <c r="D2980" i="23"/>
  <c r="D9136" i="23"/>
  <c r="D1954" i="23"/>
  <c r="D10886" i="23"/>
  <c r="D9860" i="23"/>
  <c r="D11912" i="23"/>
  <c r="D8834" i="23"/>
  <c r="D1652" i="23"/>
  <c r="D6782" i="23"/>
  <c r="D5756" i="23"/>
  <c r="D3704" i="23"/>
  <c r="D2678" i="23"/>
  <c r="D626" i="23"/>
  <c r="D7808" i="23"/>
  <c r="D12202" i="23"/>
  <c r="D11176" i="23"/>
  <c r="D9124" i="23"/>
  <c r="D10150" i="23"/>
  <c r="D7072" i="23"/>
  <c r="D8098" i="23"/>
  <c r="D2968" i="23"/>
  <c r="D1942" i="23"/>
  <c r="D6046" i="23"/>
  <c r="D3994" i="23"/>
  <c r="D916" i="23"/>
  <c r="D10145" i="23"/>
  <c r="D11171" i="23"/>
  <c r="D9119" i="23"/>
  <c r="D12197" i="23"/>
  <c r="D6041" i="23"/>
  <c r="D3989" i="23"/>
  <c r="D8093" i="23"/>
  <c r="D1937" i="23"/>
  <c r="D2963" i="23"/>
  <c r="D7067" i="23"/>
  <c r="D911" i="23"/>
  <c r="D12201" i="23"/>
  <c r="D11175" i="23"/>
  <c r="D10149" i="23"/>
  <c r="D7071" i="23"/>
  <c r="D9123" i="23"/>
  <c r="D8097" i="23"/>
  <c r="D2967" i="23"/>
  <c r="D1941" i="23"/>
  <c r="D3993" i="23"/>
  <c r="D915" i="23"/>
  <c r="D6045" i="23"/>
  <c r="D12188" i="23"/>
  <c r="D11162" i="23"/>
  <c r="D8084" i="23"/>
  <c r="D7058" i="23"/>
  <c r="D9110" i="23"/>
  <c r="D10136" i="23"/>
  <c r="D3980" i="23"/>
  <c r="D2954" i="23"/>
  <c r="D1928" i="23"/>
  <c r="D6032" i="23"/>
  <c r="D902" i="23"/>
  <c r="D9866" i="23"/>
  <c r="D11918" i="23"/>
  <c r="D7814" i="23"/>
  <c r="D5762" i="23"/>
  <c r="D10892" i="23"/>
  <c r="D8840" i="23"/>
  <c r="D3710" i="23"/>
  <c r="D6788" i="23"/>
  <c r="D632" i="23"/>
  <c r="D2684" i="23"/>
  <c r="D1658" i="23"/>
  <c r="D11834" i="23"/>
  <c r="D10808" i="23"/>
  <c r="D8756" i="23"/>
  <c r="D6704" i="23"/>
  <c r="D9782" i="23"/>
  <c r="D2600" i="23"/>
  <c r="D7730" i="23"/>
  <c r="D1574" i="23"/>
  <c r="D3626" i="23"/>
  <c r="D548" i="23"/>
  <c r="D5678" i="23"/>
  <c r="D12025" i="23"/>
  <c r="D10999" i="23"/>
  <c r="D9973" i="23"/>
  <c r="D6895" i="23"/>
  <c r="D7921" i="23"/>
  <c r="D2791" i="23"/>
  <c r="D1765" i="23"/>
  <c r="D8947" i="23"/>
  <c r="D3817" i="23"/>
  <c r="D5869" i="23"/>
  <c r="D739" i="23"/>
  <c r="D9785" i="23"/>
  <c r="D10811" i="23"/>
  <c r="D8759" i="23"/>
  <c r="D11837" i="23"/>
  <c r="D5681" i="23"/>
  <c r="D6707" i="23"/>
  <c r="D3629" i="23"/>
  <c r="D7733" i="23"/>
  <c r="D1577" i="23"/>
  <c r="D2603" i="23"/>
  <c r="D551" i="23"/>
  <c r="D9793" i="23"/>
  <c r="D10819" i="23"/>
  <c r="D8767" i="23"/>
  <c r="D11845" i="23"/>
  <c r="D5689" i="23"/>
  <c r="D3637" i="23"/>
  <c r="D6715" i="23"/>
  <c r="D1585" i="23"/>
  <c r="D7741" i="23"/>
  <c r="D559" i="23"/>
  <c r="D2611" i="23"/>
  <c r="D12019" i="23"/>
  <c r="D9967" i="23"/>
  <c r="D8941" i="23"/>
  <c r="D7915" i="23"/>
  <c r="D3811" i="23"/>
  <c r="D6889" i="23"/>
  <c r="D2785" i="23"/>
  <c r="D5863" i="23"/>
  <c r="D10993" i="23"/>
  <c r="D1759" i="23"/>
  <c r="D733" i="23"/>
  <c r="D11844" i="23"/>
  <c r="D9792" i="23"/>
  <c r="D10818" i="23"/>
  <c r="D7740" i="23"/>
  <c r="D6714" i="23"/>
  <c r="D8766" i="23"/>
  <c r="D3636" i="23"/>
  <c r="D2610" i="23"/>
  <c r="D5688" i="23"/>
  <c r="D1584" i="23"/>
  <c r="D558" i="23"/>
  <c r="D11187" i="23"/>
  <c r="D12213" i="23"/>
  <c r="D10161" i="23"/>
  <c r="D9135" i="23"/>
  <c r="D6057" i="23"/>
  <c r="D4005" i="23"/>
  <c r="D8109" i="23"/>
  <c r="D1953" i="23"/>
  <c r="D2979" i="23"/>
  <c r="D927" i="23"/>
  <c r="D7083" i="23"/>
  <c r="D11196" i="23"/>
  <c r="D9144" i="23"/>
  <c r="D8118" i="23"/>
  <c r="D6066" i="23"/>
  <c r="D7092" i="23"/>
  <c r="D4014" i="23"/>
  <c r="D10170" i="23"/>
  <c r="D936" i="23"/>
  <c r="D12222" i="23"/>
  <c r="D2988" i="23"/>
  <c r="D1962" i="23"/>
  <c r="D11836" i="23"/>
  <c r="D9784" i="23"/>
  <c r="D10810" i="23"/>
  <c r="D7732" i="23"/>
  <c r="D6706" i="23"/>
  <c r="D3628" i="23"/>
  <c r="D2602" i="23"/>
  <c r="D8758" i="23"/>
  <c r="D1576" i="23"/>
  <c r="D550" i="23"/>
  <c r="D5680" i="23"/>
  <c r="D10885" i="23"/>
  <c r="D9859" i="23"/>
  <c r="D11911" i="23"/>
  <c r="D6781" i="23"/>
  <c r="D1651" i="23"/>
  <c r="D8833" i="23"/>
  <c r="D5755" i="23"/>
  <c r="D7807" i="23"/>
  <c r="D2677" i="23"/>
  <c r="D625" i="23"/>
  <c r="D3703" i="23"/>
  <c r="D11203" i="23"/>
  <c r="D10177" i="23"/>
  <c r="D9151" i="23"/>
  <c r="D12229" i="23"/>
  <c r="D6073" i="23"/>
  <c r="D4021" i="23"/>
  <c r="D8125" i="23"/>
  <c r="D1969" i="23"/>
  <c r="D7099" i="23"/>
  <c r="D2995" i="23"/>
  <c r="D943" i="23"/>
  <c r="D11929" i="23"/>
  <c r="D10903" i="23"/>
  <c r="D9877" i="23"/>
  <c r="D6799" i="23"/>
  <c r="D7825" i="23"/>
  <c r="D2695" i="23"/>
  <c r="D1669" i="23"/>
  <c r="D8851" i="23"/>
  <c r="D3721" i="23"/>
  <c r="D5773" i="23"/>
  <c r="D643" i="23"/>
  <c r="D10153" i="23"/>
  <c r="D11179" i="23"/>
  <c r="D9127" i="23"/>
  <c r="D12205" i="23"/>
  <c r="D6049" i="23"/>
  <c r="D7075" i="23"/>
  <c r="D8101" i="23"/>
  <c r="D3997" i="23"/>
  <c r="D1945" i="23"/>
  <c r="D919" i="23"/>
  <c r="D2971" i="23"/>
  <c r="D10146" i="23"/>
  <c r="D12198" i="23"/>
  <c r="D8094" i="23"/>
  <c r="D6042" i="23"/>
  <c r="D9120" i="23"/>
  <c r="D3990" i="23"/>
  <c r="D11172" i="23"/>
  <c r="D7068" i="23"/>
  <c r="D912" i="23"/>
  <c r="D2964" i="23"/>
  <c r="D1938" i="23"/>
  <c r="D11174" i="23"/>
  <c r="D10148" i="23"/>
  <c r="D9122" i="23"/>
  <c r="D12200" i="23"/>
  <c r="D8096" i="23"/>
  <c r="D1940" i="23"/>
  <c r="D6044" i="23"/>
  <c r="D914" i="23"/>
  <c r="D3992" i="23"/>
  <c r="D2966" i="23"/>
  <c r="D7070" i="23"/>
  <c r="D11180" i="23"/>
  <c r="D10154" i="23"/>
  <c r="D12206" i="23"/>
  <c r="D9128" i="23"/>
  <c r="D8102" i="23"/>
  <c r="D6050" i="23"/>
  <c r="D7076" i="23"/>
  <c r="D3998" i="23"/>
  <c r="D1946" i="23"/>
  <c r="D920" i="23"/>
  <c r="D2972" i="23"/>
  <c r="D9881" i="23"/>
  <c r="D10907" i="23"/>
  <c r="D11933" i="23"/>
  <c r="D8855" i="23"/>
  <c r="D5777" i="23"/>
  <c r="D3725" i="23"/>
  <c r="D7829" i="23"/>
  <c r="D1673" i="23"/>
  <c r="D2699" i="23"/>
  <c r="D6803" i="23"/>
  <c r="D647" i="23"/>
  <c r="D9986" i="23"/>
  <c r="D12038" i="23"/>
  <c r="D11012" i="23"/>
  <c r="D8960" i="23"/>
  <c r="D7934" i="23"/>
  <c r="D5882" i="23"/>
  <c r="D6908" i="23"/>
  <c r="D3830" i="23"/>
  <c r="D752" i="23"/>
  <c r="D2804" i="23"/>
  <c r="D1778" i="23"/>
  <c r="D9801" i="23"/>
  <c r="D10827" i="23"/>
  <c r="D11853" i="23"/>
  <c r="D8775" i="23"/>
  <c r="D5697" i="23"/>
  <c r="D6723" i="23"/>
  <c r="D3645" i="23"/>
  <c r="D7749" i="23"/>
  <c r="D1593" i="23"/>
  <c r="D2619" i="23"/>
  <c r="D567" i="23"/>
  <c r="D9985" i="23"/>
  <c r="D11011" i="23"/>
  <c r="D8959" i="23"/>
  <c r="D5881" i="23"/>
  <c r="D12037" i="23"/>
  <c r="D6907" i="23"/>
  <c r="D3829" i="23"/>
  <c r="D7933" i="23"/>
  <c r="D1777" i="23"/>
  <c r="D2803" i="23"/>
  <c r="D751" i="23"/>
  <c r="D10998" i="23"/>
  <c r="D9972" i="23"/>
  <c r="D12024" i="23"/>
  <c r="D8946" i="23"/>
  <c r="D1764" i="23"/>
  <c r="D5868" i="23"/>
  <c r="D738" i="23"/>
  <c r="D7920" i="23"/>
  <c r="D2790" i="23"/>
  <c r="D6894" i="23"/>
  <c r="D3816" i="23"/>
  <c r="D10813" i="23"/>
  <c r="D9787" i="23"/>
  <c r="D11839" i="23"/>
  <c r="D6709" i="23"/>
  <c r="D1579" i="23"/>
  <c r="D5683" i="23"/>
  <c r="D8761" i="23"/>
  <c r="D2605" i="23"/>
  <c r="D553" i="23"/>
  <c r="D7735" i="23"/>
  <c r="D3631" i="23"/>
  <c r="D12036" i="23"/>
  <c r="D11010" i="23"/>
  <c r="D9984" i="23"/>
  <c r="D7932" i="23"/>
  <c r="D6906" i="23"/>
  <c r="D3828" i="23"/>
  <c r="D2802" i="23"/>
  <c r="D1776" i="23"/>
  <c r="D8958" i="23"/>
  <c r="D750" i="23"/>
  <c r="D5880" i="23"/>
  <c r="D11851" i="23"/>
  <c r="D9799" i="23"/>
  <c r="D10825" i="23"/>
  <c r="D8773" i="23"/>
  <c r="D7747" i="23"/>
  <c r="D3643" i="23"/>
  <c r="D6721" i="23"/>
  <c r="D2617" i="23"/>
  <c r="D5695" i="23"/>
  <c r="D1591" i="23"/>
  <c r="D565" i="23"/>
  <c r="D9778" i="23"/>
  <c r="D11830" i="23"/>
  <c r="D10804" i="23"/>
  <c r="D7726" i="23"/>
  <c r="D5674" i="23"/>
  <c r="D3622" i="23"/>
  <c r="D8752" i="23"/>
  <c r="D2596" i="23"/>
  <c r="D544" i="23"/>
  <c r="D1570" i="23"/>
  <c r="D6700" i="23"/>
  <c r="D12226" i="23"/>
  <c r="D11200" i="23"/>
  <c r="D9148" i="23"/>
  <c r="D10174" i="23"/>
  <c r="D7096" i="23"/>
  <c r="D2992" i="23"/>
  <c r="D1966" i="23"/>
  <c r="D6070" i="23"/>
  <c r="D940" i="23"/>
  <c r="D4018" i="23"/>
  <c r="D8122" i="23"/>
  <c r="D12233" i="23"/>
  <c r="D11207" i="23"/>
  <c r="D10181" i="23"/>
  <c r="D7103" i="23"/>
  <c r="D9155" i="23"/>
  <c r="D8129" i="23"/>
  <c r="D2999" i="23"/>
  <c r="D1973" i="23"/>
  <c r="D4025" i="23"/>
  <c r="D6077" i="23"/>
  <c r="D947" i="23"/>
  <c r="D11204" i="23"/>
  <c r="D8126" i="23"/>
  <c r="D10178" i="23"/>
  <c r="D6074" i="23"/>
  <c r="D9152" i="23"/>
  <c r="D4022" i="23"/>
  <c r="D12230" i="23"/>
  <c r="D7100" i="23"/>
  <c r="D944" i="23"/>
  <c r="D1970" i="23"/>
  <c r="D2996" i="23"/>
  <c r="H4" i="5"/>
  <c r="AB7" i="5"/>
  <c r="Z3" i="5"/>
  <c r="AB3" i="5" s="1"/>
  <c r="Z6" i="5"/>
  <c r="AA6" i="5" s="1"/>
  <c r="Q129" i="9"/>
  <c r="Q279" i="9"/>
  <c r="Q40" i="9"/>
  <c r="Q225" i="9"/>
  <c r="Q124" i="9"/>
  <c r="Q336" i="9"/>
  <c r="Q236" i="9"/>
  <c r="Q292" i="9"/>
  <c r="Q135" i="9"/>
  <c r="Q34" i="9"/>
  <c r="Q139" i="9"/>
  <c r="Q52" i="9"/>
  <c r="Q355" i="9"/>
  <c r="Q267" i="9"/>
  <c r="Q254" i="9"/>
  <c r="Q389" i="9"/>
  <c r="Q390" i="9"/>
  <c r="Q87" i="9"/>
  <c r="Q324" i="9"/>
  <c r="Q291" i="9"/>
  <c r="Q249" i="9"/>
  <c r="Q128" i="9"/>
  <c r="Q318" i="9"/>
  <c r="Q29" i="9"/>
  <c r="Q130" i="9"/>
  <c r="Q122" i="9"/>
  <c r="Q97" i="9"/>
  <c r="Q330" i="9"/>
  <c r="Q349" i="9"/>
  <c r="Q223" i="9"/>
  <c r="Q27" i="9"/>
  <c r="Q231" i="9"/>
  <c r="Q46" i="9"/>
  <c r="Q217" i="9"/>
  <c r="Q33" i="9"/>
  <c r="Q147" i="9"/>
  <c r="Q15" i="9"/>
  <c r="Q235" i="9"/>
  <c r="Q198" i="9"/>
  <c r="Q386" i="9"/>
  <c r="Q103" i="9"/>
  <c r="Q285" i="9"/>
  <c r="Q120" i="9"/>
  <c r="Q166" i="9"/>
  <c r="Q398" i="9"/>
  <c r="Q406" i="9"/>
  <c r="Q184" i="9"/>
  <c r="Q65" i="9"/>
  <c r="Q204" i="9"/>
  <c r="Q256" i="9"/>
  <c r="Q340" i="9"/>
  <c r="Q54" i="9"/>
  <c r="Q155" i="9"/>
  <c r="Q289" i="9"/>
  <c r="Q196" i="9"/>
  <c r="Q288" i="9"/>
  <c r="O12" i="8"/>
  <c r="P12" i="8" s="1"/>
  <c r="E164" i="8" s="1"/>
  <c r="D4527" i="23"/>
  <c r="Q342" i="9"/>
  <c r="Q66" i="9"/>
  <c r="O13" i="8"/>
  <c r="P13" i="8" s="1"/>
  <c r="E165" i="8" s="1"/>
  <c r="D4528" i="23"/>
  <c r="Q328" i="9"/>
  <c r="Q343" i="9"/>
  <c r="Q241" i="9"/>
  <c r="Q86" i="9"/>
  <c r="Q140" i="9"/>
  <c r="O20" i="8"/>
  <c r="P20" i="8" s="1"/>
  <c r="E19" i="8" s="1"/>
  <c r="D4535" i="23"/>
  <c r="O19" i="8"/>
  <c r="P19" i="8" s="1"/>
  <c r="E171" i="8" s="1"/>
  <c r="D4534" i="23"/>
  <c r="O15" i="8"/>
  <c r="P15" i="8" s="1"/>
  <c r="E116" i="8" s="1"/>
  <c r="D4530" i="23"/>
  <c r="O14" i="8"/>
  <c r="P14" i="8" s="1"/>
  <c r="E166" i="8" s="1"/>
  <c r="D4529" i="23"/>
  <c r="O17" i="8"/>
  <c r="P17" i="8" s="1"/>
  <c r="E16" i="8" s="1"/>
  <c r="D4532" i="23"/>
  <c r="Q287" i="9"/>
  <c r="Q268" i="9"/>
  <c r="Q371" i="9"/>
  <c r="O21" i="8"/>
  <c r="P21" i="8" s="1"/>
  <c r="E173" i="8" s="1"/>
  <c r="D4536" i="23"/>
  <c r="O22" i="8"/>
  <c r="P22" i="8" s="1"/>
  <c r="E174" i="8" s="1"/>
  <c r="D4537" i="23"/>
  <c r="O23" i="8"/>
  <c r="D4538" i="23"/>
  <c r="Q23" i="9"/>
  <c r="Q25" i="9"/>
  <c r="Q126" i="9"/>
  <c r="Q141" i="9"/>
  <c r="Q392" i="9"/>
  <c r="Q181" i="9"/>
  <c r="O18" i="8"/>
  <c r="P18" i="8" s="1"/>
  <c r="E17" i="8" s="1"/>
  <c r="D4533" i="23"/>
  <c r="O16" i="8"/>
  <c r="P16" i="8" s="1"/>
  <c r="E66" i="8" s="1"/>
  <c r="D4531" i="23"/>
  <c r="Q383" i="9"/>
  <c r="Q190" i="9"/>
  <c r="Q369" i="9"/>
  <c r="Q297" i="9"/>
  <c r="Q38" i="9"/>
  <c r="Q48" i="9"/>
  <c r="Q59" i="9"/>
  <c r="Q321" i="9"/>
  <c r="Q119" i="9"/>
  <c r="Q350" i="9"/>
  <c r="Q47" i="9"/>
  <c r="Q335" i="9"/>
  <c r="Q32" i="9"/>
  <c r="Q259" i="9"/>
  <c r="Q160" i="9"/>
  <c r="Q218" i="9"/>
  <c r="Q44" i="9"/>
  <c r="Q158" i="9"/>
  <c r="Q57" i="9"/>
  <c r="Q341" i="9"/>
  <c r="Q91" i="9"/>
  <c r="Q234" i="9"/>
  <c r="Q246" i="9"/>
  <c r="Q261" i="9"/>
  <c r="Q16" i="9"/>
  <c r="Q149" i="9"/>
  <c r="Q192" i="9"/>
  <c r="Q293" i="9"/>
  <c r="Q319" i="9"/>
  <c r="Q145" i="9"/>
  <c r="Q250" i="9"/>
  <c r="Q290" i="9"/>
  <c r="Q63" i="9"/>
  <c r="Q88" i="9"/>
  <c r="Q247" i="9"/>
  <c r="Q28" i="9"/>
  <c r="Q348" i="9"/>
  <c r="Q391" i="9"/>
  <c r="Q174" i="9"/>
  <c r="Q224" i="9"/>
  <c r="Q41" i="9"/>
  <c r="Q275" i="9"/>
  <c r="Q376" i="9"/>
  <c r="Q127" i="9"/>
  <c r="Q123" i="9"/>
  <c r="Q45" i="9"/>
  <c r="Q325" i="9"/>
  <c r="Q344" i="9"/>
  <c r="Q26" i="9"/>
  <c r="Q329" i="9"/>
  <c r="Q331" i="9"/>
  <c r="Q243" i="9"/>
  <c r="O10" i="8"/>
  <c r="P10" i="8" s="1"/>
  <c r="E9" i="8" s="1"/>
  <c r="O9" i="8"/>
  <c r="P9" i="8" s="1"/>
  <c r="E59" i="8" s="1"/>
  <c r="O11" i="8"/>
  <c r="P11" i="8" s="1"/>
  <c r="E163" i="8" s="1"/>
  <c r="Q346" i="9"/>
  <c r="Q144" i="9"/>
  <c r="Q251" i="9"/>
  <c r="Q150" i="9"/>
  <c r="Q138" i="9"/>
  <c r="Q397" i="9"/>
  <c r="Q380" i="9"/>
  <c r="Q68" i="9"/>
  <c r="Q37" i="9"/>
  <c r="Q178" i="9"/>
  <c r="Q94" i="9"/>
  <c r="Q260" i="9"/>
  <c r="Q43" i="9"/>
  <c r="Q49" i="9"/>
  <c r="Q159" i="9"/>
  <c r="Q169" i="9"/>
  <c r="Q296" i="9"/>
  <c r="Q58" i="9"/>
  <c r="Q79" i="9"/>
  <c r="Q281" i="9"/>
  <c r="Q232" i="9"/>
  <c r="Q222" i="9"/>
  <c r="Q121" i="9"/>
  <c r="Q30" i="9"/>
  <c r="Q18" i="9"/>
  <c r="Q253" i="9"/>
  <c r="Q20" i="9"/>
  <c r="Q51" i="9"/>
  <c r="Q382" i="9"/>
  <c r="Q264" i="9"/>
  <c r="Q163" i="9"/>
  <c r="Q152" i="9"/>
  <c r="Q333" i="9"/>
  <c r="Q62" i="9"/>
  <c r="Q322" i="9"/>
  <c r="Q118" i="9"/>
  <c r="Q31" i="9"/>
  <c r="Q69" i="9"/>
  <c r="Q200" i="9"/>
  <c r="O5" i="8"/>
  <c r="P5" i="8" s="1"/>
  <c r="E157" i="8" s="1"/>
  <c r="Q320" i="9"/>
  <c r="Q50" i="9"/>
  <c r="Q99" i="9"/>
  <c r="Q388" i="9"/>
  <c r="O4" i="8"/>
  <c r="P4" i="8" s="1"/>
  <c r="E3" i="8" s="1"/>
  <c r="O7" i="8"/>
  <c r="P7" i="8" s="1"/>
  <c r="E108" i="8" s="1"/>
  <c r="O6" i="8"/>
  <c r="P6" i="8" s="1"/>
  <c r="E56" i="8" s="1"/>
  <c r="Q80" i="9"/>
  <c r="Q338" i="9"/>
  <c r="Q132" i="9"/>
  <c r="Q151" i="9"/>
  <c r="Q186" i="9"/>
  <c r="O8" i="8"/>
  <c r="P8" i="8" s="1"/>
  <c r="E160" i="8" s="1"/>
  <c r="Q221" i="9"/>
  <c r="Q17" i="9"/>
  <c r="Q233" i="9"/>
  <c r="Q372" i="9"/>
  <c r="Q271" i="9"/>
  <c r="Q353" i="9"/>
  <c r="Q299" i="9"/>
  <c r="Q402" i="9"/>
  <c r="Q366" i="9"/>
  <c r="Q24" i="9"/>
  <c r="Q154" i="9"/>
  <c r="Q137" i="9"/>
  <c r="Q385" i="9"/>
  <c r="Q284" i="9"/>
  <c r="Q266" i="9"/>
  <c r="Q317" i="9"/>
  <c r="Q53" i="9"/>
  <c r="Q265" i="9"/>
  <c r="Q191" i="9"/>
  <c r="Q125" i="9"/>
  <c r="Q14" i="9"/>
  <c r="Q165" i="9"/>
  <c r="Q136" i="9"/>
  <c r="Q35" i="9"/>
  <c r="Q356" i="9"/>
  <c r="Q82" i="9"/>
  <c r="Q216" i="9"/>
  <c r="Q90" i="9"/>
  <c r="Q226" i="9"/>
  <c r="Q238" i="9"/>
  <c r="Q36" i="9"/>
  <c r="Q64" i="9"/>
  <c r="AC81" i="9"/>
  <c r="Q182" i="9" s="1"/>
  <c r="AC102" i="9"/>
  <c r="Q203" i="9" s="1"/>
  <c r="AC12" i="9"/>
  <c r="Q113" i="9" s="1"/>
  <c r="AC6" i="9"/>
  <c r="Q208" i="9" s="1"/>
  <c r="AC74" i="9"/>
  <c r="Q175" i="9" s="1"/>
  <c r="AC101" i="9"/>
  <c r="Q303" i="9" s="1"/>
  <c r="AC55" i="9"/>
  <c r="Q156" i="9" s="1"/>
  <c r="AC4" i="9"/>
  <c r="Q307" i="9" s="1"/>
  <c r="AC98" i="9"/>
  <c r="Q401" i="9" s="1"/>
  <c r="AC100" i="9"/>
  <c r="Q403" i="9" s="1"/>
  <c r="AC84" i="9"/>
  <c r="Q387" i="9" s="1"/>
  <c r="AC11" i="9"/>
  <c r="Q11" i="9" s="1"/>
  <c r="AC78" i="9"/>
  <c r="Q179" i="9" s="1"/>
  <c r="AC61" i="9"/>
  <c r="Q263" i="9" s="1"/>
  <c r="AC10" i="9"/>
  <c r="Q111" i="9" s="1"/>
  <c r="AC60" i="9"/>
  <c r="Q161" i="9" s="1"/>
  <c r="AC93" i="9"/>
  <c r="Q295" i="9" s="1"/>
  <c r="AC70" i="9"/>
  <c r="Q171" i="9" s="1"/>
  <c r="AC72" i="9"/>
  <c r="Q375" i="9" s="1"/>
  <c r="AC9" i="9"/>
  <c r="Q110" i="9" s="1"/>
  <c r="AC76" i="9"/>
  <c r="Q278" i="9" s="1"/>
  <c r="AC96" i="9"/>
  <c r="Q399" i="9" s="1"/>
  <c r="AC71" i="9"/>
  <c r="Q273" i="9" s="1"/>
  <c r="AC8" i="9"/>
  <c r="Q8" i="9" s="1"/>
  <c r="AC92" i="9"/>
  <c r="Q294" i="9" s="1"/>
  <c r="AC13" i="9"/>
  <c r="Q316" i="9" s="1"/>
  <c r="AC42" i="9"/>
  <c r="Q244" i="9" s="1"/>
  <c r="AC75" i="9"/>
  <c r="Q378" i="9" s="1"/>
  <c r="AC56" i="9"/>
  <c r="AC67" i="9"/>
  <c r="Q168" i="9" s="1"/>
  <c r="AC5" i="9"/>
  <c r="Q5" i="9" s="1"/>
  <c r="AC7" i="9"/>
  <c r="Q209" i="9" s="1"/>
  <c r="R18" i="19"/>
  <c r="D4121" i="23" s="1"/>
  <c r="S26" i="19"/>
  <c r="AE19" i="6" s="1"/>
  <c r="R27" i="19"/>
  <c r="D4130" i="23" s="1"/>
  <c r="S27" i="19"/>
  <c r="AE20" i="6" s="1"/>
  <c r="S30" i="19"/>
  <c r="S16" i="19"/>
  <c r="S21" i="19"/>
  <c r="AE14" i="6" s="1"/>
  <c r="R29" i="19"/>
  <c r="D4132" i="23" s="1"/>
  <c r="R8" i="19"/>
  <c r="D4111" i="23" s="1"/>
  <c r="S24" i="19"/>
  <c r="AE17" i="6" s="1"/>
  <c r="S6" i="19"/>
  <c r="R7" i="19"/>
  <c r="D4110" i="23" s="1"/>
  <c r="R12" i="19"/>
  <c r="D4115" i="23" s="1"/>
  <c r="S28" i="19"/>
  <c r="AE21" i="6" s="1"/>
  <c r="S10" i="19"/>
  <c r="S11" i="19"/>
  <c r="R16" i="19"/>
  <c r="D4119" i="23" s="1"/>
  <c r="R22" i="19"/>
  <c r="D4125" i="23" s="1"/>
  <c r="R30" i="19"/>
  <c r="D4133" i="23" s="1"/>
  <c r="R5" i="19"/>
  <c r="D4108" i="23" s="1"/>
  <c r="R4" i="19"/>
  <c r="D4107" i="23" s="1"/>
  <c r="R9" i="19"/>
  <c r="D4112" i="23" s="1"/>
  <c r="S20" i="19"/>
  <c r="AE12" i="6" s="1"/>
  <c r="S25" i="19"/>
  <c r="AE18" i="6" s="1"/>
  <c r="R26" i="19"/>
  <c r="D4129" i="23" s="1"/>
  <c r="R17" i="19"/>
  <c r="D4120" i="23" s="1"/>
  <c r="R13" i="19"/>
  <c r="D4116" i="23" s="1"/>
  <c r="S29" i="19"/>
  <c r="AE22" i="6" s="1"/>
  <c r="S7" i="19"/>
  <c r="R21" i="19"/>
  <c r="D4124" i="23" s="1"/>
  <c r="R11" i="19"/>
  <c r="D4114" i="23" s="1"/>
  <c r="R25" i="19"/>
  <c r="D4128" i="23" s="1"/>
  <c r="R6" i="19"/>
  <c r="D4109" i="23" s="1"/>
  <c r="S14" i="19"/>
  <c r="R15" i="19"/>
  <c r="D4118" i="23" s="1"/>
  <c r="S15" i="19"/>
  <c r="R20" i="19"/>
  <c r="D4123" i="23" s="1"/>
  <c r="S4" i="19"/>
  <c r="S9" i="19"/>
  <c r="R14" i="19"/>
  <c r="D4117" i="23" s="1"/>
  <c r="S22" i="19"/>
  <c r="AE15" i="6" s="1"/>
  <c r="R23" i="19"/>
  <c r="D4126" i="23" s="1"/>
  <c r="S23" i="19"/>
  <c r="AE16" i="6" s="1"/>
  <c r="S12" i="19"/>
  <c r="S17" i="19"/>
  <c r="R10" i="19"/>
  <c r="D4113" i="23" s="1"/>
  <c r="S18" i="19"/>
  <c r="R19" i="19"/>
  <c r="D4122" i="23" s="1"/>
  <c r="S19" i="19"/>
  <c r="R24" i="19"/>
  <c r="D4127" i="23" s="1"/>
  <c r="S8" i="19"/>
  <c r="S13" i="19"/>
  <c r="R28" i="19"/>
  <c r="D4131" i="23" s="1"/>
  <c r="S5" i="19"/>
  <c r="AA5" i="5"/>
  <c r="AB5" i="5"/>
  <c r="AA4" i="5"/>
  <c r="AB4" i="5"/>
  <c r="AA3" i="5"/>
  <c r="Q20" i="19"/>
  <c r="Q8" i="19"/>
  <c r="Q23" i="19"/>
  <c r="P4" i="19"/>
  <c r="P24" i="19"/>
  <c r="P29" i="19"/>
  <c r="P17" i="19"/>
  <c r="Q6" i="19"/>
  <c r="Q14" i="19"/>
  <c r="Q21" i="19"/>
  <c r="Q30" i="19"/>
  <c r="Q11" i="19"/>
  <c r="Q9" i="19"/>
  <c r="P12" i="19"/>
  <c r="P5" i="19"/>
  <c r="P16" i="19"/>
  <c r="Q25" i="19"/>
  <c r="Q5" i="19"/>
  <c r="Q19" i="19"/>
  <c r="P20" i="19"/>
  <c r="P13" i="19"/>
  <c r="P6" i="19"/>
  <c r="P8" i="19"/>
  <c r="P11" i="19"/>
  <c r="P19" i="19"/>
  <c r="Q28" i="19"/>
  <c r="P15" i="19"/>
  <c r="P10" i="19"/>
  <c r="Q26" i="19"/>
  <c r="Q7" i="19"/>
  <c r="Q13" i="19"/>
  <c r="Q27" i="19"/>
  <c r="P28" i="19"/>
  <c r="P21" i="19"/>
  <c r="P14" i="19"/>
  <c r="P7" i="19"/>
  <c r="P9" i="19"/>
  <c r="P27" i="19"/>
  <c r="Q15" i="19"/>
  <c r="P22" i="19"/>
  <c r="Q10" i="19"/>
  <c r="Q17" i="19"/>
  <c r="Q22" i="19"/>
  <c r="Q4" i="19"/>
  <c r="P30" i="19"/>
  <c r="P23" i="19"/>
  <c r="P25" i="19"/>
  <c r="P18" i="19"/>
  <c r="Q29" i="19"/>
  <c r="Q24" i="19"/>
  <c r="Q16" i="19"/>
  <c r="Q12" i="19"/>
  <c r="P26" i="19"/>
  <c r="Q18" i="19"/>
  <c r="E33" i="13"/>
  <c r="E401" i="13"/>
  <c r="E355" i="13"/>
  <c r="X31" i="13"/>
  <c r="D11719" i="23" l="1"/>
  <c r="D10693" i="23"/>
  <c r="D9667" i="23"/>
  <c r="D8641" i="23"/>
  <c r="D7615" i="23"/>
  <c r="D6589" i="23"/>
  <c r="D5563" i="23"/>
  <c r="D3511" i="23"/>
  <c r="D2485" i="23"/>
  <c r="D1459" i="23"/>
  <c r="D433" i="23"/>
  <c r="D11711" i="23"/>
  <c r="D10685" i="23"/>
  <c r="D9659" i="23"/>
  <c r="D8633" i="23"/>
  <c r="D7607" i="23"/>
  <c r="D6581" i="23"/>
  <c r="D5555" i="23"/>
  <c r="D3503" i="23"/>
  <c r="D2477" i="23"/>
  <c r="D1451" i="23"/>
  <c r="D425" i="23"/>
  <c r="D11718" i="23"/>
  <c r="D10692" i="23"/>
  <c r="D9666" i="23"/>
  <c r="D8640" i="23"/>
  <c r="D7614" i="23"/>
  <c r="D6588" i="23"/>
  <c r="D5562" i="23"/>
  <c r="D3510" i="23"/>
  <c r="D2484" i="23"/>
  <c r="D1458" i="23"/>
  <c r="D432" i="23"/>
  <c r="D11709" i="23"/>
  <c r="D10683" i="23"/>
  <c r="D9657" i="23"/>
  <c r="D8631" i="23"/>
  <c r="D7605" i="23"/>
  <c r="D6579" i="23"/>
  <c r="D5553" i="23"/>
  <c r="D3501" i="23"/>
  <c r="D2475" i="23"/>
  <c r="D1449" i="23"/>
  <c r="D423" i="23"/>
  <c r="D10686" i="23"/>
  <c r="D9660" i="23"/>
  <c r="D6582" i="23"/>
  <c r="D8634" i="23"/>
  <c r="D5556" i="23"/>
  <c r="D3504" i="23"/>
  <c r="D2478" i="23"/>
  <c r="D1452" i="23"/>
  <c r="D426" i="23"/>
  <c r="D11712" i="23"/>
  <c r="D7608" i="23"/>
  <c r="D11713" i="23"/>
  <c r="D10687" i="23"/>
  <c r="D9661" i="23"/>
  <c r="D8635" i="23"/>
  <c r="D7609" i="23"/>
  <c r="D6583" i="23"/>
  <c r="D5557" i="23"/>
  <c r="D3505" i="23"/>
  <c r="D2479" i="23"/>
  <c r="D1453" i="23"/>
  <c r="D427" i="23"/>
  <c r="D11716" i="23"/>
  <c r="D10690" i="23"/>
  <c r="D9664" i="23"/>
  <c r="D8638" i="23"/>
  <c r="D7612" i="23"/>
  <c r="D6586" i="23"/>
  <c r="D5560" i="23"/>
  <c r="D3508" i="23"/>
  <c r="D2482" i="23"/>
  <c r="D1456" i="23"/>
  <c r="D430" i="23"/>
  <c r="D11715" i="23"/>
  <c r="D10689" i="23"/>
  <c r="D9663" i="23"/>
  <c r="D8637" i="23"/>
  <c r="D7611" i="23"/>
  <c r="D6585" i="23"/>
  <c r="D5559" i="23"/>
  <c r="D3507" i="23"/>
  <c r="D2481" i="23"/>
  <c r="D1455" i="23"/>
  <c r="D429" i="23"/>
  <c r="D11720" i="23"/>
  <c r="D7616" i="23"/>
  <c r="D10694" i="23"/>
  <c r="D9668" i="23"/>
  <c r="D6590" i="23"/>
  <c r="D8642" i="23"/>
  <c r="D5564" i="23"/>
  <c r="D3512" i="23"/>
  <c r="D2486" i="23"/>
  <c r="D1460" i="23"/>
  <c r="D434" i="23"/>
  <c r="D11710" i="23"/>
  <c r="D10684" i="23"/>
  <c r="D9658" i="23"/>
  <c r="D8632" i="23"/>
  <c r="D7606" i="23"/>
  <c r="D6580" i="23"/>
  <c r="D5554" i="23"/>
  <c r="D3502" i="23"/>
  <c r="D2476" i="23"/>
  <c r="D1450" i="23"/>
  <c r="D424" i="23"/>
  <c r="D11714" i="23"/>
  <c r="D10688" i="23"/>
  <c r="D9662" i="23"/>
  <c r="D8636" i="23"/>
  <c r="D7610" i="23"/>
  <c r="D6584" i="23"/>
  <c r="D5558" i="23"/>
  <c r="D3506" i="23"/>
  <c r="D2480" i="23"/>
  <c r="D1454" i="23"/>
  <c r="D428" i="23"/>
  <c r="D11717" i="23"/>
  <c r="D10691" i="23"/>
  <c r="D9665" i="23"/>
  <c r="D8639" i="23"/>
  <c r="D7613" i="23"/>
  <c r="D5561" i="23"/>
  <c r="D3509" i="23"/>
  <c r="D2483" i="23"/>
  <c r="D1457" i="23"/>
  <c r="D431" i="23"/>
  <c r="D6587" i="23"/>
  <c r="D11313" i="23"/>
  <c r="D2079" i="23"/>
  <c r="D8235" i="23"/>
  <c r="D5157" i="23"/>
  <c r="D10287" i="23"/>
  <c r="D1053" i="23"/>
  <c r="D7209" i="23"/>
  <c r="D3105" i="23"/>
  <c r="D9261" i="23"/>
  <c r="D27" i="23"/>
  <c r="D6183" i="23"/>
  <c r="D11305" i="23"/>
  <c r="D2071" i="23"/>
  <c r="D8227" i="23"/>
  <c r="D5149" i="23"/>
  <c r="D10279" i="23"/>
  <c r="D1045" i="23"/>
  <c r="D7201" i="23"/>
  <c r="D3097" i="23"/>
  <c r="D9253" i="23"/>
  <c r="D19" i="23"/>
  <c r="D6175" i="23"/>
  <c r="D3081" i="23"/>
  <c r="D9237" i="23"/>
  <c r="D3" i="23"/>
  <c r="D6159" i="23"/>
  <c r="D11289" i="23"/>
  <c r="D2055" i="23"/>
  <c r="D8211" i="23"/>
  <c r="D5133" i="23"/>
  <c r="D10263" i="23"/>
  <c r="D1029" i="23"/>
  <c r="D7185" i="23"/>
  <c r="D11297" i="23"/>
  <c r="D2063" i="23"/>
  <c r="D8219" i="23"/>
  <c r="D5141" i="23"/>
  <c r="D10271" i="23"/>
  <c r="D1037" i="23"/>
  <c r="D7193" i="23"/>
  <c r="D3089" i="23"/>
  <c r="D9245" i="23"/>
  <c r="D11" i="23"/>
  <c r="D6167" i="23"/>
  <c r="D6176" i="23"/>
  <c r="D11306" i="23"/>
  <c r="D2072" i="23"/>
  <c r="D8228" i="23"/>
  <c r="D5150" i="23"/>
  <c r="D10280" i="23"/>
  <c r="D1046" i="23"/>
  <c r="D7202" i="23"/>
  <c r="D3098" i="23"/>
  <c r="D9254" i="23"/>
  <c r="D20" i="23"/>
  <c r="D6160" i="23"/>
  <c r="D11290" i="23"/>
  <c r="D2056" i="23"/>
  <c r="D8212" i="23"/>
  <c r="D5134" i="23"/>
  <c r="D10264" i="23"/>
  <c r="D1030" i="23"/>
  <c r="D7186" i="23"/>
  <c r="D3082" i="23"/>
  <c r="D9238" i="23"/>
  <c r="D4" i="23"/>
  <c r="D3084" i="23"/>
  <c r="D9240" i="23"/>
  <c r="D6" i="23"/>
  <c r="D6162" i="23"/>
  <c r="D11292" i="23"/>
  <c r="D2058" i="23"/>
  <c r="D8214" i="23"/>
  <c r="D5136" i="23"/>
  <c r="D10266" i="23"/>
  <c r="D1032" i="23"/>
  <c r="D7188" i="23"/>
  <c r="D8234" i="23"/>
  <c r="D5156" i="23"/>
  <c r="D10286" i="23"/>
  <c r="D1052" i="23"/>
  <c r="D7208" i="23"/>
  <c r="D3104" i="23"/>
  <c r="D9260" i="23"/>
  <c r="D26" i="23"/>
  <c r="D6182" i="23"/>
  <c r="D11312" i="23"/>
  <c r="D2078" i="23"/>
  <c r="D3092" i="23"/>
  <c r="D9248" i="23"/>
  <c r="D14" i="23"/>
  <c r="D6170" i="23"/>
  <c r="D11300" i="23"/>
  <c r="D2066" i="23"/>
  <c r="D8222" i="23"/>
  <c r="D5144" i="23"/>
  <c r="D10274" i="23"/>
  <c r="D1040" i="23"/>
  <c r="D7196" i="23"/>
  <c r="D7205" i="23"/>
  <c r="D3101" i="23"/>
  <c r="D9257" i="23"/>
  <c r="D23" i="23"/>
  <c r="D6179" i="23"/>
  <c r="D11309" i="23"/>
  <c r="D2075" i="23"/>
  <c r="D8231" i="23"/>
  <c r="D5153" i="23"/>
  <c r="D10283" i="23"/>
  <c r="D1049" i="23"/>
  <c r="D3100" i="23"/>
  <c r="D9256" i="23"/>
  <c r="D22" i="23"/>
  <c r="D6178" i="23"/>
  <c r="D11308" i="23"/>
  <c r="D2074" i="23"/>
  <c r="D8230" i="23"/>
  <c r="D5152" i="23"/>
  <c r="D10282" i="23"/>
  <c r="D1048" i="23"/>
  <c r="D7204" i="23"/>
  <c r="D10276" i="23"/>
  <c r="D1042" i="23"/>
  <c r="D7198" i="23"/>
  <c r="D3094" i="23"/>
  <c r="D9250" i="23"/>
  <c r="D16" i="23"/>
  <c r="D6172" i="23"/>
  <c r="D11302" i="23"/>
  <c r="D2068" i="23"/>
  <c r="D8224" i="23"/>
  <c r="D5146" i="23"/>
  <c r="D9255" i="23"/>
  <c r="D21" i="23"/>
  <c r="D6177" i="23"/>
  <c r="D11307" i="23"/>
  <c r="D2073" i="23"/>
  <c r="D8229" i="23"/>
  <c r="D5151" i="23"/>
  <c r="D10281" i="23"/>
  <c r="D1047" i="23"/>
  <c r="D7203" i="23"/>
  <c r="D3099" i="23"/>
  <c r="D5139" i="23"/>
  <c r="D10269" i="23"/>
  <c r="D1035" i="23"/>
  <c r="D7191" i="23"/>
  <c r="D3087" i="23"/>
  <c r="D9243" i="23"/>
  <c r="D9" i="23"/>
  <c r="D6165" i="23"/>
  <c r="D11295" i="23"/>
  <c r="D2061" i="23"/>
  <c r="D8217" i="23"/>
  <c r="D9239" i="23"/>
  <c r="D5" i="23"/>
  <c r="D6161" i="23"/>
  <c r="D11291" i="23"/>
  <c r="D2057" i="23"/>
  <c r="D8213" i="23"/>
  <c r="D5135" i="23"/>
  <c r="D10265" i="23"/>
  <c r="D1031" i="23"/>
  <c r="D7187" i="23"/>
  <c r="D3083" i="23"/>
  <c r="D5155" i="23"/>
  <c r="D10285" i="23"/>
  <c r="D1051" i="23"/>
  <c r="D7207" i="23"/>
  <c r="D3103" i="23"/>
  <c r="D9259" i="23"/>
  <c r="D25" i="23"/>
  <c r="D6181" i="23"/>
  <c r="D11311" i="23"/>
  <c r="D2077" i="23"/>
  <c r="D8233" i="23"/>
  <c r="D7197" i="23"/>
  <c r="D3093" i="23"/>
  <c r="D9249" i="23"/>
  <c r="D15" i="23"/>
  <c r="D6171" i="23"/>
  <c r="D11301" i="23"/>
  <c r="D2067" i="23"/>
  <c r="D8223" i="23"/>
  <c r="D5145" i="23"/>
  <c r="D10275" i="23"/>
  <c r="D1041" i="23"/>
  <c r="D7189" i="23"/>
  <c r="D3085" i="23"/>
  <c r="D9241" i="23"/>
  <c r="D7" i="23"/>
  <c r="D6163" i="23"/>
  <c r="D11293" i="23"/>
  <c r="D2059" i="23"/>
  <c r="D8215" i="23"/>
  <c r="D5137" i="23"/>
  <c r="D10267" i="23"/>
  <c r="D1033" i="23"/>
  <c r="D5147" i="23"/>
  <c r="D10277" i="23"/>
  <c r="D1043" i="23"/>
  <c r="D7199" i="23"/>
  <c r="D3095" i="23"/>
  <c r="D9251" i="23"/>
  <c r="D17" i="23"/>
  <c r="D6173" i="23"/>
  <c r="D11303" i="23"/>
  <c r="D2069" i="23"/>
  <c r="D8225" i="23"/>
  <c r="D9263" i="23"/>
  <c r="D29" i="23"/>
  <c r="D6185" i="23"/>
  <c r="D11315" i="23"/>
  <c r="D2081" i="23"/>
  <c r="D8237" i="23"/>
  <c r="D5159" i="23"/>
  <c r="D10289" i="23"/>
  <c r="D1055" i="23"/>
  <c r="D7211" i="23"/>
  <c r="D3107" i="23"/>
  <c r="D8226" i="23"/>
  <c r="D5148" i="23"/>
  <c r="D10278" i="23"/>
  <c r="D1044" i="23"/>
  <c r="D7200" i="23"/>
  <c r="D3096" i="23"/>
  <c r="D9252" i="23"/>
  <c r="D18" i="23"/>
  <c r="D6174" i="23"/>
  <c r="D11304" i="23"/>
  <c r="D2070" i="23"/>
  <c r="D9247" i="23"/>
  <c r="D13" i="23"/>
  <c r="D6169" i="23"/>
  <c r="D11299" i="23"/>
  <c r="D2065" i="23"/>
  <c r="D8221" i="23"/>
  <c r="D5143" i="23"/>
  <c r="D10273" i="23"/>
  <c r="D1039" i="23"/>
  <c r="D7195" i="23"/>
  <c r="D3091" i="23"/>
  <c r="D10284" i="23"/>
  <c r="D1050" i="23"/>
  <c r="D7206" i="23"/>
  <c r="D3102" i="23"/>
  <c r="D9258" i="23"/>
  <c r="D24" i="23"/>
  <c r="D6180" i="23"/>
  <c r="D11310" i="23"/>
  <c r="D2076" i="23"/>
  <c r="D8232" i="23"/>
  <c r="D5154" i="23"/>
  <c r="D6184" i="23"/>
  <c r="D11314" i="23"/>
  <c r="D2080" i="23"/>
  <c r="D8236" i="23"/>
  <c r="D5158" i="23"/>
  <c r="D10288" i="23"/>
  <c r="D1054" i="23"/>
  <c r="D7210" i="23"/>
  <c r="D3106" i="23"/>
  <c r="D9262" i="23"/>
  <c r="D28" i="23"/>
  <c r="D10268" i="23"/>
  <c r="D1034" i="23"/>
  <c r="D7190" i="23"/>
  <c r="D3086" i="23"/>
  <c r="D9242" i="23"/>
  <c r="D8" i="23"/>
  <c r="D6164" i="23"/>
  <c r="D11294" i="23"/>
  <c r="D2060" i="23"/>
  <c r="D8216" i="23"/>
  <c r="D5138" i="23"/>
  <c r="D6168" i="23"/>
  <c r="D11298" i="23"/>
  <c r="D2064" i="23"/>
  <c r="D8220" i="23"/>
  <c r="D5142" i="23"/>
  <c r="D10272" i="23"/>
  <c r="D1038" i="23"/>
  <c r="D7194" i="23"/>
  <c r="D3090" i="23"/>
  <c r="D9246" i="23"/>
  <c r="D12" i="23"/>
  <c r="D8218" i="23"/>
  <c r="D5140" i="23"/>
  <c r="D10270" i="23"/>
  <c r="D1036" i="23"/>
  <c r="D7192" i="23"/>
  <c r="D3088" i="23"/>
  <c r="D9244" i="23"/>
  <c r="D10" i="23"/>
  <c r="D6166" i="23"/>
  <c r="D11296" i="23"/>
  <c r="D2062" i="23"/>
  <c r="AB6" i="5"/>
  <c r="E64" i="8"/>
  <c r="E13" i="8"/>
  <c r="E115" i="8"/>
  <c r="Q114" i="9"/>
  <c r="Q93" i="9"/>
  <c r="Q309" i="9"/>
  <c r="Q379" i="9"/>
  <c r="Q215" i="9"/>
  <c r="Q210" i="9"/>
  <c r="E54" i="8"/>
  <c r="E156" i="8"/>
  <c r="Q109" i="9"/>
  <c r="E105" i="8"/>
  <c r="Q311" i="9"/>
  <c r="Q257" i="9"/>
  <c r="Q310" i="9"/>
  <c r="Q211" i="9"/>
  <c r="Q101" i="9"/>
  <c r="Q112" i="9"/>
  <c r="Q185" i="9"/>
  <c r="Q84" i="9"/>
  <c r="Q286" i="9"/>
  <c r="Q313" i="9"/>
  <c r="Q106" i="9"/>
  <c r="Q298" i="9"/>
  <c r="Q4" i="9"/>
  <c r="Q283" i="9"/>
  <c r="Q207" i="9"/>
  <c r="Q197" i="9"/>
  <c r="Q10" i="9"/>
  <c r="Q206" i="9"/>
  <c r="Q6" i="9"/>
  <c r="Q308" i="9"/>
  <c r="Q107" i="9"/>
  <c r="Q213" i="9"/>
  <c r="Q98" i="9"/>
  <c r="Q300" i="9"/>
  <c r="Q76" i="9"/>
  <c r="Q312" i="9"/>
  <c r="Q199" i="9"/>
  <c r="Q177" i="9"/>
  <c r="Q9" i="9"/>
  <c r="Q12" i="9"/>
  <c r="Q96" i="9"/>
  <c r="Q214" i="9"/>
  <c r="Q7" i="9"/>
  <c r="Q258" i="9"/>
  <c r="Q359" i="9"/>
  <c r="Q56" i="9"/>
  <c r="Q173" i="9"/>
  <c r="Q274" i="9"/>
  <c r="Q363" i="9"/>
  <c r="Q262" i="9"/>
  <c r="Q404" i="9"/>
  <c r="Q202" i="9"/>
  <c r="Q108" i="9"/>
  <c r="Q157" i="9"/>
  <c r="Q345" i="9"/>
  <c r="Q143" i="9"/>
  <c r="Q42" i="9"/>
  <c r="Q212" i="9"/>
  <c r="Q314" i="9"/>
  <c r="Q384" i="9"/>
  <c r="Q81" i="9"/>
  <c r="Q395" i="9"/>
  <c r="Q92" i="9"/>
  <c r="Q193" i="9"/>
  <c r="Q70" i="9"/>
  <c r="Q373" i="9"/>
  <c r="Q272" i="9"/>
  <c r="Q78" i="9"/>
  <c r="Q280" i="9"/>
  <c r="Q381" i="9"/>
  <c r="Q377" i="9"/>
  <c r="Q74" i="9"/>
  <c r="Q276" i="9"/>
  <c r="Q67" i="9"/>
  <c r="Q370" i="9"/>
  <c r="Q269" i="9"/>
  <c r="Q75" i="9"/>
  <c r="Q277" i="9"/>
  <c r="Q176" i="9"/>
  <c r="Q71" i="9"/>
  <c r="Q172" i="9"/>
  <c r="Q374" i="9"/>
  <c r="Q105" i="9"/>
  <c r="Q302" i="9"/>
  <c r="Q201" i="9"/>
  <c r="Q100" i="9"/>
  <c r="Q315" i="9"/>
  <c r="Q13" i="9"/>
  <c r="Q194" i="9"/>
  <c r="Q396" i="9"/>
  <c r="Q55" i="9"/>
  <c r="Q358" i="9"/>
  <c r="Q364" i="9"/>
  <c r="Q61" i="9"/>
  <c r="Q304" i="9"/>
  <c r="Q102" i="9"/>
  <c r="Q405" i="9"/>
  <c r="Q72" i="9"/>
  <c r="Q60" i="9"/>
  <c r="Q162" i="9"/>
  <c r="AD89" i="5"/>
  <c r="AD90" i="5"/>
  <c r="AD91" i="5"/>
  <c r="AD88" i="5"/>
  <c r="AD92" i="5"/>
  <c r="AD93" i="5"/>
  <c r="AD86" i="5"/>
  <c r="AD85" i="5"/>
  <c r="AD87" i="5"/>
  <c r="AD100" i="5"/>
  <c r="AD99" i="5"/>
  <c r="AD101" i="5"/>
  <c r="AD102" i="5"/>
  <c r="AD103" i="5"/>
  <c r="AD96" i="5"/>
  <c r="AD95" i="5"/>
  <c r="AD97" i="5"/>
  <c r="AD98" i="5"/>
  <c r="AD48" i="5"/>
  <c r="AD47" i="5"/>
  <c r="AD49" i="5"/>
  <c r="AD50" i="5"/>
  <c r="AD51" i="5"/>
  <c r="AD44" i="5"/>
  <c r="AD43" i="5"/>
  <c r="AD45" i="5"/>
  <c r="AD46" i="5"/>
  <c r="AD76" i="5"/>
  <c r="AD75" i="5"/>
  <c r="AD83" i="5"/>
  <c r="AD77" i="5"/>
  <c r="AD78" i="5"/>
  <c r="AD79" i="5"/>
  <c r="AD80" i="5"/>
  <c r="AD81" i="5"/>
  <c r="AD82" i="5"/>
  <c r="AD37" i="5"/>
  <c r="AD38" i="5"/>
  <c r="AD39" i="5"/>
  <c r="AD36" i="5"/>
  <c r="AD40" i="5"/>
  <c r="AD41" i="5"/>
  <c r="AD34" i="5"/>
  <c r="AD33" i="5"/>
  <c r="AD35" i="5"/>
  <c r="AD72" i="5"/>
  <c r="AD71" i="5"/>
  <c r="AD73" i="5"/>
  <c r="AD66" i="5"/>
  <c r="AD65" i="5"/>
  <c r="AD67" i="5"/>
  <c r="AD68" i="5"/>
  <c r="AD69" i="5"/>
  <c r="AD70" i="5"/>
  <c r="AD15" i="5"/>
  <c r="AD14" i="5"/>
  <c r="AD16" i="5"/>
  <c r="AD17" i="5"/>
  <c r="AD18" i="5"/>
  <c r="AD13" i="5"/>
  <c r="AD19" i="5"/>
  <c r="AD20" i="5"/>
  <c r="AD21" i="5"/>
  <c r="AD26" i="5"/>
  <c r="AD27" i="5"/>
  <c r="AD25" i="5"/>
  <c r="AD28" i="5"/>
  <c r="AD29" i="5"/>
  <c r="AD30" i="5"/>
  <c r="AD31" i="5"/>
  <c r="AD24" i="5"/>
  <c r="AD23" i="5"/>
  <c r="AD4" i="5"/>
  <c r="AD3" i="5"/>
  <c r="AD5" i="5"/>
  <c r="AD6" i="5"/>
  <c r="AD11" i="5"/>
  <c r="AD7" i="5"/>
  <c r="AD8" i="5"/>
  <c r="AD9" i="5"/>
  <c r="AD10" i="5"/>
  <c r="AD59" i="5"/>
  <c r="AD60" i="5"/>
  <c r="AD61" i="5"/>
  <c r="AD54" i="5"/>
  <c r="AD53" i="5"/>
  <c r="AD55" i="5"/>
  <c r="AD56" i="5"/>
  <c r="AD57" i="5"/>
  <c r="AD58" i="5"/>
  <c r="E21" i="8"/>
  <c r="E123" i="8"/>
  <c r="E72" i="8"/>
  <c r="E4" i="8"/>
  <c r="E55" i="8"/>
  <c r="E161" i="8"/>
  <c r="E167" i="8"/>
  <c r="E10" i="8"/>
  <c r="E117" i="8"/>
  <c r="E112" i="8"/>
  <c r="E106" i="8"/>
  <c r="E57" i="8"/>
  <c r="E159" i="8"/>
  <c r="E11" i="8"/>
  <c r="E65" i="8"/>
  <c r="E61" i="8"/>
  <c r="E8" i="8"/>
  <c r="E113" i="8"/>
  <c r="E110" i="8"/>
  <c r="E62" i="8"/>
  <c r="E15" i="8"/>
  <c r="E18" i="8"/>
  <c r="E168" i="8"/>
  <c r="E120" i="8"/>
  <c r="E69" i="8"/>
  <c r="E71" i="8"/>
  <c r="E121" i="8"/>
  <c r="E20" i="8"/>
  <c r="E122" i="8"/>
  <c r="E119" i="8"/>
  <c r="E109" i="8"/>
  <c r="E111" i="8"/>
  <c r="E158" i="8"/>
  <c r="E14" i="8"/>
  <c r="E6" i="8"/>
  <c r="E70" i="8"/>
  <c r="E172" i="8"/>
  <c r="E7" i="8"/>
  <c r="E118" i="8"/>
  <c r="E12" i="8"/>
  <c r="E60" i="8"/>
  <c r="E68" i="8"/>
  <c r="E5" i="8"/>
  <c r="E67" i="8"/>
  <c r="E114" i="8"/>
  <c r="E162" i="8"/>
  <c r="E107" i="8"/>
  <c r="E169" i="8"/>
  <c r="E63" i="8"/>
  <c r="E58" i="8"/>
  <c r="E170" i="8"/>
  <c r="X29" i="13"/>
  <c r="E31" i="13"/>
  <c r="E353" i="13"/>
  <c r="E399" i="13"/>
  <c r="E397" i="13" l="1"/>
  <c r="E351" i="13"/>
  <c r="E29" i="13"/>
  <c r="X27" i="13"/>
  <c r="X25" i="13" l="1"/>
  <c r="E349" i="13"/>
  <c r="E27" i="13"/>
  <c r="E395" i="13"/>
  <c r="E25" i="13" l="1"/>
  <c r="E393" i="13"/>
  <c r="E347" i="13"/>
  <c r="X23" i="13"/>
  <c r="E23" i="13" l="1"/>
  <c r="E391" i="13"/>
  <c r="E345" i="13"/>
  <c r="X21" i="13"/>
  <c r="E389" i="13" l="1"/>
  <c r="E343" i="13"/>
  <c r="E21" i="13"/>
  <c r="X19" i="13"/>
  <c r="X17" i="13" l="1"/>
  <c r="E341" i="13"/>
  <c r="E19" i="13"/>
  <c r="E387" i="13"/>
  <c r="E17" i="13" l="1"/>
  <c r="E385" i="13"/>
  <c r="E339" i="13"/>
  <c r="X15" i="13"/>
  <c r="X13" i="13" l="1"/>
  <c r="E15" i="13"/>
  <c r="E337" i="13"/>
  <c r="E383" i="13"/>
  <c r="E381" i="13" l="1"/>
  <c r="E335" i="13"/>
  <c r="E13" i="13"/>
  <c r="X11" i="13"/>
  <c r="X9" i="13" l="1"/>
  <c r="E333" i="13"/>
  <c r="E11" i="13"/>
  <c r="E379" i="13"/>
  <c r="E9" i="13" l="1"/>
  <c r="E377" i="13"/>
  <c r="E331" i="13"/>
  <c r="X5" i="13"/>
  <c r="X7" i="13"/>
  <c r="E373" i="13" l="1"/>
  <c r="E327" i="13"/>
  <c r="E5" i="13"/>
  <c r="E7" i="13"/>
  <c r="E329" i="13"/>
  <c r="E375" i="13"/>
  <c r="F128" i="18"/>
  <c r="F55" i="18"/>
  <c r="F67" i="18"/>
  <c r="F72" i="18"/>
  <c r="F101" i="18"/>
  <c r="F68" i="18"/>
  <c r="F119" i="18"/>
  <c r="F90" i="18"/>
  <c r="F51" i="18"/>
  <c r="F63" i="18"/>
  <c r="F123" i="18"/>
  <c r="P23" i="8"/>
  <c r="E124" i="8" l="1"/>
  <c r="E73" i="8"/>
  <c r="E22" i="8"/>
  <c r="E175" i="8"/>
  <c r="M31" i="2"/>
  <c r="R251" i="3" s="1"/>
  <c r="R140" i="3" s="1"/>
  <c r="M30" i="2"/>
  <c r="R27" i="3" l="1"/>
  <c r="R429" i="3"/>
  <c r="R370" i="3"/>
  <c r="R486" i="3"/>
  <c r="R489" i="3"/>
  <c r="R65" i="3"/>
  <c r="R262" i="3"/>
  <c r="R269" i="3"/>
  <c r="R426" i="3"/>
  <c r="R312" i="3"/>
  <c r="N251" i="3"/>
  <c r="M251" i="3" s="1"/>
  <c r="M310" i="3" s="1"/>
  <c r="R5" i="3"/>
  <c r="R122" i="3"/>
  <c r="R58" i="3"/>
  <c r="R17" i="3"/>
  <c r="R432" i="3"/>
  <c r="R152" i="3"/>
  <c r="R280" i="3"/>
  <c r="R165" i="3"/>
  <c r="R182" i="3"/>
  <c r="R79" i="3"/>
  <c r="R480" i="3"/>
  <c r="R179" i="3"/>
  <c r="R180" i="3"/>
  <c r="R61" i="3"/>
  <c r="R399" i="3"/>
  <c r="R51" i="3"/>
  <c r="R189" i="3"/>
  <c r="R242" i="3"/>
  <c r="R114" i="3"/>
  <c r="R11" i="3"/>
  <c r="R314" i="3"/>
  <c r="R215" i="3"/>
  <c r="R185" i="3"/>
  <c r="R208" i="3"/>
  <c r="R105" i="3"/>
  <c r="R461" i="3"/>
  <c r="R62" i="3"/>
  <c r="R167" i="3"/>
  <c r="R147" i="3"/>
  <c r="R190" i="3"/>
  <c r="R87" i="3"/>
  <c r="R3" i="3"/>
  <c r="R96" i="3"/>
  <c r="R135" i="3"/>
  <c r="R70" i="3"/>
  <c r="R124" i="3"/>
  <c r="R21" i="3"/>
  <c r="R358" i="3"/>
  <c r="R453" i="3"/>
  <c r="R452" i="3"/>
  <c r="R388" i="3"/>
  <c r="R302" i="3"/>
  <c r="R499" i="3"/>
  <c r="R498" i="3"/>
  <c r="R311" i="3"/>
  <c r="R348" i="3"/>
  <c r="R32" i="3"/>
  <c r="R413" i="3"/>
  <c r="R409" i="3"/>
  <c r="R309" i="3"/>
  <c r="R270" i="3"/>
  <c r="R443" i="3"/>
  <c r="R442" i="3"/>
  <c r="R377" i="3"/>
  <c r="R292" i="3"/>
  <c r="R473" i="3"/>
  <c r="R472" i="3"/>
  <c r="R276" i="3"/>
  <c r="R322" i="3"/>
  <c r="R254" i="3"/>
  <c r="R253" i="3"/>
  <c r="R285" i="3"/>
  <c r="R352" i="3"/>
  <c r="R67" i="3"/>
  <c r="R232" i="3"/>
  <c r="R428" i="3"/>
  <c r="R191" i="3"/>
  <c r="R120" i="3"/>
  <c r="R141" i="3"/>
  <c r="R123" i="3"/>
  <c r="R166" i="3"/>
  <c r="R63" i="3"/>
  <c r="R416" i="3"/>
  <c r="R217" i="3"/>
  <c r="R148" i="3"/>
  <c r="R45" i="3"/>
  <c r="R305" i="3"/>
  <c r="R278" i="3"/>
  <c r="R161" i="3"/>
  <c r="R226" i="3"/>
  <c r="R98" i="3"/>
  <c r="R18" i="3"/>
  <c r="R127" i="3"/>
  <c r="R205" i="3"/>
  <c r="R155" i="3"/>
  <c r="R192" i="3"/>
  <c r="R89" i="3"/>
  <c r="R411" i="3"/>
  <c r="R202" i="3"/>
  <c r="R212" i="3"/>
  <c r="R197" i="3"/>
  <c r="R174" i="3"/>
  <c r="R71" i="3"/>
  <c r="R448" i="3"/>
  <c r="R496" i="3"/>
  <c r="R219" i="3"/>
  <c r="R236" i="3"/>
  <c r="R108" i="3"/>
  <c r="R6" i="3"/>
  <c r="R294" i="3"/>
  <c r="R437" i="3"/>
  <c r="R436" i="3"/>
  <c r="R299" i="3"/>
  <c r="R286" i="3"/>
  <c r="R483" i="3"/>
  <c r="R482" i="3"/>
  <c r="R331" i="3"/>
  <c r="R332" i="3"/>
  <c r="R16" i="3"/>
  <c r="R252" i="3"/>
  <c r="R327" i="3"/>
  <c r="R259" i="3"/>
  <c r="R497" i="3"/>
  <c r="R200" i="3"/>
  <c r="R342" i="3"/>
  <c r="R187" i="3"/>
  <c r="R80" i="3"/>
  <c r="R227" i="3"/>
  <c r="R107" i="3"/>
  <c r="R150" i="3"/>
  <c r="R47" i="3"/>
  <c r="R323" i="3"/>
  <c r="R183" i="3"/>
  <c r="R132" i="3"/>
  <c r="R29" i="3"/>
  <c r="R293" i="3"/>
  <c r="R46" i="3"/>
  <c r="R201" i="3"/>
  <c r="R210" i="3"/>
  <c r="R8" i="3"/>
  <c r="R465" i="3"/>
  <c r="R74" i="3"/>
  <c r="R196" i="3"/>
  <c r="R213" i="3"/>
  <c r="R176" i="3"/>
  <c r="R73" i="3"/>
  <c r="R460" i="3"/>
  <c r="R138" i="3"/>
  <c r="R209" i="3"/>
  <c r="R115" i="3"/>
  <c r="R158" i="3"/>
  <c r="R55" i="3"/>
  <c r="R345" i="3"/>
  <c r="R33" i="3"/>
  <c r="R137" i="3"/>
  <c r="R220" i="3"/>
  <c r="R102" i="3"/>
  <c r="R397" i="3"/>
  <c r="R38" i="3"/>
  <c r="R421" i="3"/>
  <c r="R420" i="3"/>
  <c r="R333" i="3"/>
  <c r="R275" i="3"/>
  <c r="R467" i="3"/>
  <c r="R466" i="3"/>
  <c r="R402" i="3"/>
  <c r="R316" i="3"/>
  <c r="R414" i="3"/>
  <c r="R410" i="3"/>
  <c r="R337" i="3"/>
  <c r="R360" i="3"/>
  <c r="R28" i="3"/>
  <c r="R291" i="3"/>
  <c r="R383" i="3"/>
  <c r="R375" i="3"/>
  <c r="R266" i="3"/>
  <c r="R441" i="3"/>
  <c r="R440" i="3"/>
  <c r="R369" i="3"/>
  <c r="R290" i="3"/>
  <c r="R471" i="3"/>
  <c r="R470" i="3"/>
  <c r="R406" i="3"/>
  <c r="R320" i="3"/>
  <c r="Q251" i="3"/>
  <c r="R376" i="3"/>
  <c r="R168" i="3"/>
  <c r="R203" i="3"/>
  <c r="R78" i="3"/>
  <c r="R81" i="3"/>
  <c r="R175" i="3"/>
  <c r="R88" i="3"/>
  <c r="R134" i="3"/>
  <c r="R31" i="3"/>
  <c r="R317" i="3"/>
  <c r="R245" i="3"/>
  <c r="R116" i="3"/>
  <c r="R13" i="3"/>
  <c r="R326" i="3"/>
  <c r="R250" i="3"/>
  <c r="R163" i="3"/>
  <c r="R194" i="3"/>
  <c r="R91" i="3"/>
  <c r="R373" i="3"/>
  <c r="R186" i="3"/>
  <c r="R225" i="3"/>
  <c r="R117" i="3"/>
  <c r="R160" i="3"/>
  <c r="R57" i="3"/>
  <c r="R319" i="3"/>
  <c r="R83" i="3"/>
  <c r="R239" i="3"/>
  <c r="R104" i="3"/>
  <c r="R142" i="3"/>
  <c r="R39" i="3"/>
  <c r="R384" i="3"/>
  <c r="R169" i="3"/>
  <c r="R247" i="3"/>
  <c r="R204" i="3"/>
  <c r="R101" i="3"/>
  <c r="R445" i="3"/>
  <c r="R22" i="3"/>
  <c r="R401" i="3"/>
  <c r="R351" i="3"/>
  <c r="R273" i="3"/>
  <c r="R260" i="3"/>
  <c r="R451" i="3"/>
  <c r="R450" i="3"/>
  <c r="R386" i="3"/>
  <c r="R300" i="3"/>
  <c r="R495" i="3"/>
  <c r="R494" i="3"/>
  <c r="R378" i="3"/>
  <c r="R344" i="3"/>
  <c r="R12" i="3"/>
  <c r="R395" i="3"/>
  <c r="R313" i="3"/>
  <c r="R282" i="3"/>
  <c r="R42" i="3"/>
  <c r="R425" i="3"/>
  <c r="R424" i="3"/>
  <c r="R349" i="3"/>
  <c r="R263" i="3"/>
  <c r="R455" i="3"/>
  <c r="R454" i="3"/>
  <c r="R390" i="3"/>
  <c r="R304" i="3"/>
  <c r="R157" i="3"/>
  <c r="R136" i="3"/>
  <c r="R54" i="3"/>
  <c r="R109" i="3"/>
  <c r="R49" i="3"/>
  <c r="R221" i="3"/>
  <c r="R246" i="3"/>
  <c r="R118" i="3"/>
  <c r="R15" i="3"/>
  <c r="R330" i="3"/>
  <c r="R121" i="3"/>
  <c r="R52" i="3"/>
  <c r="R30" i="3"/>
  <c r="R268" i="3"/>
  <c r="R164" i="3"/>
  <c r="R229" i="3"/>
  <c r="R178" i="3"/>
  <c r="R75" i="3"/>
  <c r="R464" i="3"/>
  <c r="R106" i="3"/>
  <c r="R133" i="3"/>
  <c r="R60" i="3"/>
  <c r="R144" i="3"/>
  <c r="R41" i="3"/>
  <c r="R396" i="3"/>
  <c r="R50" i="3"/>
  <c r="R143" i="3"/>
  <c r="R86" i="3"/>
  <c r="R126" i="3"/>
  <c r="R23" i="3"/>
  <c r="R362" i="3"/>
  <c r="R228" i="3"/>
  <c r="R139" i="3"/>
  <c r="R188" i="3"/>
  <c r="R85" i="3"/>
  <c r="R389" i="3"/>
  <c r="R407" i="3"/>
  <c r="R7" i="3"/>
  <c r="R361" i="3"/>
  <c r="R366" i="3"/>
  <c r="R403" i="3"/>
  <c r="R435" i="3"/>
  <c r="R434" i="3"/>
  <c r="R283" i="3"/>
  <c r="R284" i="3"/>
  <c r="R479" i="3"/>
  <c r="R478" i="3"/>
  <c r="R315" i="3"/>
  <c r="R328" i="3"/>
  <c r="R381" i="3"/>
  <c r="R257" i="3"/>
  <c r="R321" i="3"/>
  <c r="R356" i="3"/>
  <c r="R26" i="3"/>
  <c r="R412" i="3"/>
  <c r="R374" i="3"/>
  <c r="R303" i="3"/>
  <c r="R264" i="3"/>
  <c r="R439" i="3"/>
  <c r="R438" i="3"/>
  <c r="R367" i="3"/>
  <c r="R288" i="3"/>
  <c r="R195" i="3"/>
  <c r="R237" i="3"/>
  <c r="R84" i="3"/>
  <c r="R154" i="3"/>
  <c r="R248" i="3"/>
  <c r="R493" i="3"/>
  <c r="R171" i="3"/>
  <c r="R230" i="3"/>
  <c r="R68" i="3"/>
  <c r="R34" i="3"/>
  <c r="R272" i="3"/>
  <c r="R92" i="3"/>
  <c r="R387" i="3"/>
  <c r="R477" i="3"/>
  <c r="R177" i="3"/>
  <c r="R241" i="3"/>
  <c r="R119" i="3"/>
  <c r="R162" i="3"/>
  <c r="R59" i="3"/>
  <c r="R335" i="3"/>
  <c r="R35" i="3"/>
  <c r="R151" i="3"/>
  <c r="R100" i="3"/>
  <c r="R128" i="3"/>
  <c r="R25" i="3"/>
  <c r="R277" i="3"/>
  <c r="R295" i="3"/>
  <c r="R235" i="3"/>
  <c r="R238" i="3"/>
  <c r="R110" i="3"/>
  <c r="R4" i="3"/>
  <c r="R298" i="3"/>
  <c r="R211" i="3"/>
  <c r="R181" i="3"/>
  <c r="R172" i="3"/>
  <c r="R69" i="3"/>
  <c r="R444" i="3"/>
  <c r="R501" i="3"/>
  <c r="R500" i="3"/>
  <c r="R371" i="3"/>
  <c r="R350" i="3"/>
  <c r="R36" i="3"/>
  <c r="R419" i="3"/>
  <c r="R418" i="3"/>
  <c r="R325" i="3"/>
  <c r="R274" i="3"/>
  <c r="R463" i="3"/>
  <c r="R462" i="3"/>
  <c r="R231" i="3"/>
  <c r="R249" i="3"/>
  <c r="R97" i="3"/>
  <c r="R99" i="3"/>
  <c r="R216" i="3"/>
  <c r="R492" i="3"/>
  <c r="R233" i="3"/>
  <c r="R214" i="3"/>
  <c r="R64" i="3"/>
  <c r="R481" i="3"/>
  <c r="R111" i="3"/>
  <c r="R72" i="3"/>
  <c r="R93" i="3"/>
  <c r="R391" i="3"/>
  <c r="R131" i="3"/>
  <c r="R149" i="3"/>
  <c r="R76" i="3"/>
  <c r="R146" i="3"/>
  <c r="R43" i="3"/>
  <c r="R400" i="3"/>
  <c r="R433" i="3"/>
  <c r="R173" i="3"/>
  <c r="R240" i="3"/>
  <c r="R112" i="3"/>
  <c r="R415" i="3"/>
  <c r="R310" i="3"/>
  <c r="R243" i="3"/>
  <c r="R145" i="3"/>
  <c r="R222" i="3"/>
  <c r="R66" i="3"/>
  <c r="R307" i="3"/>
  <c r="R129" i="3"/>
  <c r="R193" i="3"/>
  <c r="R113" i="3"/>
  <c r="R156" i="3"/>
  <c r="R53" i="3"/>
  <c r="R329" i="3"/>
  <c r="R485" i="3"/>
  <c r="R484" i="3"/>
  <c r="R339" i="3"/>
  <c r="R334" i="3"/>
  <c r="R20" i="3"/>
  <c r="R385" i="3"/>
  <c r="R343" i="3"/>
  <c r="R265" i="3"/>
  <c r="R258" i="3"/>
  <c r="R447" i="3"/>
  <c r="R446" i="3"/>
  <c r="R382" i="3"/>
  <c r="R296" i="3"/>
  <c r="R475" i="3"/>
  <c r="R474" i="3"/>
  <c r="R289" i="3"/>
  <c r="R324" i="3"/>
  <c r="R256" i="3"/>
  <c r="R255" i="3"/>
  <c r="R301" i="3"/>
  <c r="R354" i="3"/>
  <c r="R24" i="3"/>
  <c r="R405" i="3"/>
  <c r="R359" i="3"/>
  <c r="R287" i="3"/>
  <c r="N47" i="3"/>
  <c r="N404" i="3"/>
  <c r="R279" i="3"/>
  <c r="R9" i="3"/>
  <c r="R392" i="3"/>
  <c r="R10" i="3"/>
  <c r="R458" i="3"/>
  <c r="R368" i="3"/>
  <c r="R393" i="3"/>
  <c r="R90" i="3"/>
  <c r="R207" i="3"/>
  <c r="R130" i="3"/>
  <c r="R417" i="3"/>
  <c r="R125" i="3"/>
  <c r="M40" i="3"/>
  <c r="N260" i="3"/>
  <c r="N156" i="3"/>
  <c r="N187" i="3"/>
  <c r="N10" i="3"/>
  <c r="N283" i="3"/>
  <c r="N93" i="3"/>
  <c r="N225" i="3"/>
  <c r="N317" i="3"/>
  <c r="N131" i="3"/>
  <c r="N67" i="3"/>
  <c r="N351" i="3"/>
  <c r="N165" i="3"/>
  <c r="N122" i="3"/>
  <c r="N272" i="3"/>
  <c r="N183" i="3"/>
  <c r="N134" i="3"/>
  <c r="N298" i="3"/>
  <c r="N201" i="3"/>
  <c r="N242" i="3"/>
  <c r="N344" i="3"/>
  <c r="N219" i="3"/>
  <c r="N238" i="3"/>
  <c r="N381" i="3"/>
  <c r="N109" i="3"/>
  <c r="N237" i="3"/>
  <c r="N230" i="3"/>
  <c r="N82" i="3"/>
  <c r="N191" i="3"/>
  <c r="N207" i="3"/>
  <c r="N223" i="3"/>
  <c r="N239" i="3"/>
  <c r="N85" i="3"/>
  <c r="N116" i="3"/>
  <c r="N34" i="3"/>
  <c r="R336" i="3"/>
  <c r="R423" i="3"/>
  <c r="R355" i="3"/>
  <c r="R271" i="3"/>
  <c r="R490" i="3"/>
  <c r="R398" i="3"/>
  <c r="R318" i="3"/>
  <c r="R223" i="3"/>
  <c r="R14" i="3"/>
  <c r="R56" i="3"/>
  <c r="R95" i="3"/>
  <c r="R218" i="3"/>
  <c r="M275" i="3"/>
  <c r="M59" i="3"/>
  <c r="N19" i="3"/>
  <c r="N9" i="3"/>
  <c r="N40" i="3"/>
  <c r="N58" i="3"/>
  <c r="N392" i="3"/>
  <c r="N390" i="3"/>
  <c r="N416" i="3"/>
  <c r="N33" i="3"/>
  <c r="N299" i="3"/>
  <c r="N385" i="3"/>
  <c r="N445" i="3"/>
  <c r="N452" i="3"/>
  <c r="N20" i="3"/>
  <c r="N113" i="3"/>
  <c r="N241" i="3"/>
  <c r="N89" i="3"/>
  <c r="N333" i="3"/>
  <c r="N342" i="3"/>
  <c r="N479" i="3"/>
  <c r="N486" i="3"/>
  <c r="N54" i="3"/>
  <c r="N147" i="3"/>
  <c r="N71" i="3"/>
  <c r="N128" i="3"/>
  <c r="N264" i="3"/>
  <c r="N364" i="3"/>
  <c r="N4" i="3"/>
  <c r="N302" i="3"/>
  <c r="N88" i="3"/>
  <c r="N181" i="3"/>
  <c r="N103" i="3"/>
  <c r="N259" i="3"/>
  <c r="N282" i="3"/>
  <c r="N362" i="3"/>
  <c r="N386" i="3"/>
  <c r="N25" i="3"/>
  <c r="N106" i="3"/>
  <c r="N199" i="3"/>
  <c r="N226" i="3"/>
  <c r="N258" i="3"/>
  <c r="N336" i="3"/>
  <c r="N421" i="3"/>
  <c r="N428" i="3"/>
  <c r="N43" i="3"/>
  <c r="N250" i="3"/>
  <c r="N217" i="3"/>
  <c r="N244" i="3"/>
  <c r="N293" i="3"/>
  <c r="N379" i="3"/>
  <c r="N439" i="3"/>
  <c r="N446" i="3"/>
  <c r="N14" i="3"/>
  <c r="N107" i="3"/>
  <c r="N235" i="3"/>
  <c r="N214" i="3"/>
  <c r="N311" i="3"/>
  <c r="N397" i="3"/>
  <c r="N457" i="3"/>
  <c r="N464" i="3"/>
  <c r="N32" i="3"/>
  <c r="N125" i="3"/>
  <c r="N81" i="3"/>
  <c r="N57" i="3"/>
  <c r="N175" i="3"/>
  <c r="N166" i="3"/>
  <c r="N222" i="3"/>
  <c r="N140" i="3"/>
  <c r="N246" i="3"/>
  <c r="N218" i="3"/>
  <c r="N188" i="3"/>
  <c r="N127" i="3"/>
  <c r="R261" i="3"/>
  <c r="R487" i="3"/>
  <c r="R297" i="3"/>
  <c r="R308" i="3"/>
  <c r="R427" i="3"/>
  <c r="R430" i="3"/>
  <c r="R404" i="3"/>
  <c r="R234" i="3"/>
  <c r="R82" i="3"/>
  <c r="R159" i="3"/>
  <c r="R198" i="3"/>
  <c r="M355" i="3"/>
  <c r="M169" i="3"/>
  <c r="M43" i="3"/>
  <c r="M87" i="3"/>
  <c r="N338" i="3"/>
  <c r="N275" i="3"/>
  <c r="N319" i="3"/>
  <c r="N337" i="3"/>
  <c r="N316" i="3"/>
  <c r="N308" i="3"/>
  <c r="N370" i="3"/>
  <c r="N384" i="3"/>
  <c r="N315" i="3"/>
  <c r="N401" i="3"/>
  <c r="N461" i="3"/>
  <c r="N468" i="3"/>
  <c r="N36" i="3"/>
  <c r="N129" i="3"/>
  <c r="N2" i="3"/>
  <c r="N138" i="3"/>
  <c r="N349" i="3"/>
  <c r="N279" i="3"/>
  <c r="N495" i="3"/>
  <c r="N253" i="3"/>
  <c r="N70" i="3"/>
  <c r="N163" i="3"/>
  <c r="N120" i="3"/>
  <c r="N220" i="3"/>
  <c r="N281" i="3"/>
  <c r="N354" i="3"/>
  <c r="N415" i="3"/>
  <c r="N23" i="3"/>
  <c r="N104" i="3"/>
  <c r="N197" i="3"/>
  <c r="N210" i="3"/>
  <c r="N278" i="3"/>
  <c r="N328" i="3"/>
  <c r="N419" i="3"/>
  <c r="N426" i="3"/>
  <c r="N41" i="3"/>
  <c r="N91" i="3"/>
  <c r="N215" i="3"/>
  <c r="N228" i="3"/>
  <c r="N291" i="3"/>
  <c r="N372" i="3"/>
  <c r="N437" i="3"/>
  <c r="N444" i="3"/>
  <c r="N12" i="3"/>
  <c r="N101" i="3"/>
  <c r="N233" i="3"/>
  <c r="N198" i="3"/>
  <c r="N309" i="3"/>
  <c r="N395" i="3"/>
  <c r="N455" i="3"/>
  <c r="N462" i="3"/>
  <c r="N30" i="3"/>
  <c r="N123" i="3"/>
  <c r="N65" i="3"/>
  <c r="N248" i="3"/>
  <c r="N327" i="3"/>
  <c r="N318" i="3"/>
  <c r="N473" i="3"/>
  <c r="N480" i="3"/>
  <c r="N48" i="3"/>
  <c r="N141" i="3"/>
  <c r="N69" i="3"/>
  <c r="N202" i="3"/>
  <c r="N208" i="3"/>
  <c r="N267" i="3"/>
  <c r="N277" i="3"/>
  <c r="N297" i="3"/>
  <c r="N329" i="3"/>
  <c r="N345" i="3"/>
  <c r="N97" i="3"/>
  <c r="R341" i="3"/>
  <c r="R408" i="3"/>
  <c r="R456" i="3"/>
  <c r="R340" i="3"/>
  <c r="R459" i="3"/>
  <c r="R431" i="3"/>
  <c r="R468" i="3"/>
  <c r="R449" i="3"/>
  <c r="R224" i="3"/>
  <c r="R170" i="3"/>
  <c r="R199" i="3"/>
  <c r="M245" i="3"/>
  <c r="M365" i="3"/>
  <c r="N100" i="3"/>
  <c r="N438" i="3"/>
  <c r="N465" i="3"/>
  <c r="N490" i="3"/>
  <c r="N501" i="3"/>
  <c r="N262" i="3"/>
  <c r="N265" i="3"/>
  <c r="N206" i="3"/>
  <c r="N66" i="3"/>
  <c r="M453" i="3"/>
  <c r="M457" i="3"/>
  <c r="M35" i="3"/>
  <c r="N331" i="3"/>
  <c r="N334" i="3"/>
  <c r="N477" i="3"/>
  <c r="N484" i="3"/>
  <c r="N52" i="3"/>
  <c r="N145" i="3"/>
  <c r="N55" i="3"/>
  <c r="N234" i="3"/>
  <c r="N365" i="3"/>
  <c r="N356" i="3"/>
  <c r="N413" i="3"/>
  <c r="N411" i="3"/>
  <c r="N86" i="3"/>
  <c r="N179" i="3"/>
  <c r="N240" i="3"/>
  <c r="N273" i="3"/>
  <c r="N320" i="3"/>
  <c r="N417" i="3"/>
  <c r="N424" i="3"/>
  <c r="N39" i="3"/>
  <c r="N75" i="3"/>
  <c r="N213" i="3"/>
  <c r="N212" i="3"/>
  <c r="N289" i="3"/>
  <c r="N310" i="3"/>
  <c r="D310" i="3" s="1"/>
  <c r="N435" i="3"/>
  <c r="N442" i="3"/>
  <c r="N376" i="3"/>
  <c r="N95" i="3"/>
  <c r="N231" i="3"/>
  <c r="N182" i="3"/>
  <c r="N307" i="3"/>
  <c r="N393" i="3"/>
  <c r="N453" i="3"/>
  <c r="N460" i="3"/>
  <c r="N28" i="3"/>
  <c r="N121" i="3"/>
  <c r="N249" i="3"/>
  <c r="N232" i="3"/>
  <c r="N325" i="3"/>
  <c r="N300" i="3"/>
  <c r="N471" i="3"/>
  <c r="N478" i="3"/>
  <c r="N46" i="3"/>
  <c r="N139" i="3"/>
  <c r="N53" i="3"/>
  <c r="N186" i="3"/>
  <c r="N343" i="3"/>
  <c r="N290" i="3"/>
  <c r="N489" i="3"/>
  <c r="N496" i="3"/>
  <c r="N64" i="3"/>
  <c r="N157" i="3"/>
  <c r="N114" i="3"/>
  <c r="N172" i="3"/>
  <c r="N280" i="3"/>
  <c r="N378" i="3"/>
  <c r="N360" i="3"/>
  <c r="N383" i="3"/>
  <c r="N326" i="3"/>
  <c r="N306" i="3"/>
  <c r="N130" i="3"/>
  <c r="P251" i="3"/>
  <c r="R347" i="3"/>
  <c r="R40" i="3"/>
  <c r="R488" i="3"/>
  <c r="R357" i="3"/>
  <c r="R491" i="3"/>
  <c r="R48" i="3"/>
  <c r="R469" i="3"/>
  <c r="R103" i="3"/>
  <c r="R153" i="3"/>
  <c r="R476" i="3"/>
  <c r="R365" i="3"/>
  <c r="M2" i="3"/>
  <c r="M4" i="3"/>
  <c r="M3" i="3"/>
  <c r="M44" i="3"/>
  <c r="M255" i="3"/>
  <c r="M163" i="3"/>
  <c r="M412" i="3"/>
  <c r="M209" i="3"/>
  <c r="M62" i="3"/>
  <c r="M227" i="3"/>
  <c r="M168" i="3"/>
  <c r="M103" i="3"/>
  <c r="M33" i="3"/>
  <c r="M140" i="3"/>
  <c r="M482" i="3"/>
  <c r="M97" i="3"/>
  <c r="M204" i="3"/>
  <c r="M370" i="3"/>
  <c r="M145" i="3"/>
  <c r="M431" i="3"/>
  <c r="M338" i="3"/>
  <c r="M481" i="3"/>
  <c r="M246" i="3"/>
  <c r="M468" i="3"/>
  <c r="M486" i="3"/>
  <c r="M42" i="3"/>
  <c r="M207" i="3"/>
  <c r="M398" i="3"/>
  <c r="M61" i="3"/>
  <c r="M191" i="3"/>
  <c r="M186" i="3"/>
  <c r="M13" i="3"/>
  <c r="M120" i="3"/>
  <c r="M105" i="3"/>
  <c r="M384" i="3"/>
  <c r="M304" i="3"/>
  <c r="M270" i="3"/>
  <c r="M302" i="3"/>
  <c r="M166" i="3"/>
  <c r="M420" i="3"/>
  <c r="M77" i="3"/>
  <c r="M184" i="3"/>
  <c r="M253" i="3"/>
  <c r="M161" i="3"/>
  <c r="M484" i="3"/>
  <c r="M438" i="3"/>
  <c r="M274" i="3"/>
  <c r="M243" i="3"/>
  <c r="M26" i="3"/>
  <c r="M320" i="3"/>
  <c r="M353" i="3"/>
  <c r="M295" i="3"/>
  <c r="M223" i="3"/>
  <c r="M47" i="3"/>
  <c r="M218" i="3"/>
  <c r="M30" i="3"/>
  <c r="M195" i="3"/>
  <c r="M499" i="3"/>
  <c r="M452" i="3"/>
  <c r="M111" i="3"/>
  <c r="M216" i="3"/>
  <c r="M214" i="3"/>
  <c r="M470" i="3"/>
  <c r="M129" i="3"/>
  <c r="M234" i="3"/>
  <c r="M308" i="3"/>
  <c r="M46" i="3"/>
  <c r="M211" i="3"/>
  <c r="M373" i="3"/>
  <c r="M82" i="3"/>
  <c r="M247" i="3"/>
  <c r="M432" i="3"/>
  <c r="M341" i="3"/>
  <c r="M143" i="3"/>
  <c r="M60" i="3"/>
  <c r="M456" i="3"/>
  <c r="M156" i="3"/>
  <c r="M232" i="3"/>
  <c r="M380" i="3"/>
  <c r="M292" i="3"/>
  <c r="M259" i="3"/>
  <c r="M136" i="3"/>
  <c r="M378" i="3"/>
  <c r="M113" i="3"/>
  <c r="M400" i="3"/>
  <c r="M248" i="3"/>
  <c r="M31" i="3"/>
  <c r="M9" i="3"/>
  <c r="M220" i="3"/>
  <c r="M334" i="3"/>
  <c r="M358" i="3"/>
  <c r="M342" i="3"/>
  <c r="M436" i="3"/>
  <c r="M200" i="3"/>
  <c r="M454" i="3"/>
  <c r="M94" i="3"/>
  <c r="M108" i="3"/>
  <c r="M258" i="3"/>
  <c r="M5" i="3"/>
  <c r="M175" i="3"/>
  <c r="M306" i="3"/>
  <c r="M28" i="3"/>
  <c r="M193" i="3"/>
  <c r="M340" i="3"/>
  <c r="M17" i="3"/>
  <c r="M124" i="3"/>
  <c r="M418" i="3"/>
  <c r="M6" i="3"/>
  <c r="M53" i="3"/>
  <c r="M160" i="3"/>
  <c r="M498" i="3"/>
  <c r="M496" i="3"/>
  <c r="M397" i="3"/>
  <c r="M463" i="3"/>
  <c r="M125" i="3"/>
  <c r="M95" i="3"/>
  <c r="M14" i="3"/>
  <c r="M449" i="3"/>
  <c r="M127" i="3"/>
  <c r="M500" i="3"/>
  <c r="M7" i="3"/>
  <c r="M177" i="3"/>
  <c r="D251" i="3"/>
  <c r="M324" i="3"/>
  <c r="M225" i="3"/>
  <c r="M78" i="3"/>
  <c r="M336" i="3"/>
  <c r="M382" i="3"/>
  <c r="M466" i="3"/>
  <c r="M483" i="3"/>
  <c r="M325" i="3"/>
  <c r="M58" i="3"/>
  <c r="M12" i="3"/>
  <c r="M362" i="3"/>
  <c r="M65" i="3"/>
  <c r="M172" i="3"/>
  <c r="M399" i="3"/>
  <c r="M288" i="3"/>
  <c r="M422" i="3"/>
  <c r="M276" i="3"/>
  <c r="M74" i="3"/>
  <c r="M239" i="3"/>
  <c r="M332" i="3"/>
  <c r="M92" i="3"/>
  <c r="M102" i="3"/>
  <c r="M424" i="3"/>
  <c r="M81" i="3"/>
  <c r="M188" i="3"/>
  <c r="M118" i="3"/>
  <c r="M402" i="3"/>
  <c r="M407" i="3"/>
  <c r="M385" i="3"/>
  <c r="M460" i="3"/>
  <c r="M119" i="3"/>
  <c r="M224" i="3"/>
  <c r="M298" i="3"/>
  <c r="M371" i="3"/>
  <c r="M491" i="3"/>
  <c r="M291" i="3"/>
  <c r="M479" i="3"/>
  <c r="M474" i="3"/>
  <c r="M133" i="3"/>
  <c r="M238" i="3"/>
  <c r="M182" i="3"/>
  <c r="M138" i="3"/>
  <c r="M49" i="3"/>
  <c r="M403" i="3"/>
  <c r="M79" i="3"/>
  <c r="M266" i="3"/>
  <c r="M316" i="3"/>
  <c r="M29" i="3"/>
  <c r="M429" i="3"/>
  <c r="M241" i="3"/>
  <c r="M202" i="3"/>
  <c r="M115" i="3"/>
  <c r="M351" i="3"/>
  <c r="M205" i="3"/>
  <c r="M280" i="3"/>
  <c r="M328" i="3"/>
  <c r="M93" i="3"/>
  <c r="M290" i="3"/>
  <c r="M76" i="3"/>
  <c r="M472" i="3"/>
  <c r="M131" i="3"/>
  <c r="M236" i="3"/>
  <c r="M90" i="3"/>
  <c r="M122" i="3"/>
  <c r="M396" i="3"/>
  <c r="M45" i="3"/>
  <c r="M152" i="3"/>
  <c r="M286" i="3"/>
  <c r="M414" i="3"/>
  <c r="M63" i="3"/>
  <c r="M170" i="3"/>
  <c r="M189" i="3"/>
  <c r="M488" i="3"/>
  <c r="M147" i="3"/>
  <c r="M106" i="3"/>
  <c r="M18" i="3"/>
  <c r="M183" i="3"/>
  <c r="M410" i="3"/>
  <c r="M392" i="3"/>
  <c r="M54" i="3"/>
  <c r="M401" i="3"/>
  <c r="M447" i="3"/>
  <c r="M154" i="3"/>
  <c r="M413" i="3"/>
  <c r="M67" i="3"/>
  <c r="M296" i="3"/>
  <c r="M8" i="3"/>
  <c r="M249" i="3"/>
  <c r="M173" i="3"/>
  <c r="M235" i="3"/>
  <c r="M281" i="3"/>
  <c r="M176" i="3"/>
  <c r="M314" i="3"/>
  <c r="M348" i="3"/>
  <c r="M83" i="3"/>
  <c r="M250" i="3"/>
  <c r="M178" i="3"/>
  <c r="M262" i="3"/>
  <c r="M440" i="3"/>
  <c r="M297" i="3"/>
  <c r="M197" i="3"/>
  <c r="M462" i="3"/>
  <c r="M164" i="3"/>
  <c r="M345" i="3"/>
  <c r="M357" i="3"/>
  <c r="M34" i="3"/>
  <c r="M240" i="3"/>
  <c r="M448" i="3"/>
  <c r="M359" i="3"/>
  <c r="M426" i="3"/>
  <c r="M149" i="3"/>
  <c r="M364" i="3"/>
  <c r="M71" i="3"/>
  <c r="M242" i="3"/>
  <c r="M237" i="3"/>
  <c r="M354" i="3"/>
  <c r="M116" i="3"/>
  <c r="M339" i="3"/>
  <c r="M388" i="3"/>
  <c r="M50" i="3"/>
  <c r="M215" i="3"/>
  <c r="M360" i="3"/>
  <c r="M427" i="3"/>
  <c r="M15" i="3"/>
  <c r="M20" i="3"/>
  <c r="M162" i="3"/>
  <c r="M264" i="3"/>
  <c r="M269" i="3"/>
  <c r="M307" i="3"/>
  <c r="M439" i="3"/>
  <c r="M299" i="3"/>
  <c r="M98" i="3"/>
  <c r="M475" i="3"/>
  <c r="M252" i="3"/>
  <c r="M497" i="3"/>
  <c r="M213" i="3"/>
  <c r="M330" i="3"/>
  <c r="M408" i="3"/>
  <c r="M137" i="3"/>
  <c r="M294" i="3"/>
  <c r="M110" i="3"/>
  <c r="M72" i="3"/>
  <c r="M84" i="3"/>
  <c r="M226" i="3"/>
  <c r="M391" i="3"/>
  <c r="M228" i="3"/>
  <c r="M465" i="3"/>
  <c r="M437" i="3"/>
  <c r="M343" i="3"/>
  <c r="M69" i="3"/>
  <c r="M70" i="3"/>
  <c r="M490" i="3"/>
  <c r="M126" i="3"/>
  <c r="M88" i="3"/>
  <c r="M478" i="3"/>
  <c r="M287" i="3"/>
  <c r="M57" i="3"/>
  <c r="M180" i="3"/>
  <c r="M377" i="3"/>
  <c r="M317" i="3"/>
  <c r="M428" i="3"/>
  <c r="M21" i="3"/>
  <c r="M128" i="3"/>
  <c r="M473" i="3"/>
  <c r="M303" i="3"/>
  <c r="M22" i="3"/>
  <c r="M179" i="3"/>
  <c r="M159" i="3"/>
  <c r="M366" i="3"/>
  <c r="M174" i="3"/>
  <c r="M91" i="3"/>
  <c r="M41" i="3"/>
  <c r="M356" i="3"/>
  <c r="M135" i="3"/>
  <c r="M301" i="3"/>
  <c r="M469" i="3"/>
  <c r="M315" i="3"/>
  <c r="M141" i="3"/>
  <c r="M201" i="3"/>
  <c r="M32" i="3"/>
  <c r="M55" i="3"/>
  <c r="M495" i="3"/>
  <c r="M322" i="3"/>
  <c r="M282" i="3"/>
  <c r="M419" i="3"/>
  <c r="M379" i="3"/>
  <c r="M48" i="3"/>
  <c r="M190" i="3"/>
  <c r="M312" i="3"/>
  <c r="M36" i="3"/>
  <c r="M393" i="3"/>
  <c r="M284" i="3"/>
  <c r="M123" i="3"/>
  <c r="M244" i="3"/>
  <c r="M395" i="3"/>
  <c r="M329" i="3"/>
  <c r="M433" i="3"/>
  <c r="M492" i="3"/>
  <c r="M85" i="3"/>
  <c r="M192" i="3"/>
  <c r="M271" i="3"/>
  <c r="M10" i="3"/>
  <c r="M86" i="3"/>
  <c r="M405" i="3"/>
  <c r="M435" i="3"/>
  <c r="M350" i="3"/>
  <c r="M423" i="3"/>
  <c r="M311" i="3"/>
  <c r="M374" i="3"/>
  <c r="M121" i="3"/>
  <c r="M107" i="3"/>
  <c r="M285" i="3"/>
  <c r="M476" i="3"/>
  <c r="M199" i="3"/>
  <c r="M19" i="3"/>
  <c r="M471" i="3"/>
  <c r="M114" i="3"/>
  <c r="M327" i="3"/>
  <c r="M112" i="3"/>
  <c r="M323" i="3"/>
  <c r="M11" i="3"/>
  <c r="M487" i="3"/>
  <c r="M369" i="3"/>
  <c r="M361" i="3"/>
  <c r="M99" i="3"/>
  <c r="M347" i="3"/>
  <c r="M389" i="3"/>
  <c r="M153" i="3"/>
  <c r="M150" i="3"/>
  <c r="M203" i="3"/>
  <c r="M409" i="3"/>
  <c r="M16" i="3"/>
  <c r="M167" i="3"/>
  <c r="M367" i="3"/>
  <c r="M372" i="3"/>
  <c r="M459" i="3"/>
  <c r="M96" i="3"/>
  <c r="M171" i="3"/>
  <c r="M394" i="3"/>
  <c r="M415" i="3"/>
  <c r="M151" i="3"/>
  <c r="M464" i="3"/>
  <c r="M425" i="3"/>
  <c r="M344" i="3"/>
  <c r="M165" i="3"/>
  <c r="M352" i="3"/>
  <c r="M390" i="3"/>
  <c r="M217" i="3"/>
  <c r="M319" i="3"/>
  <c r="M132" i="3"/>
  <c r="M80" i="3"/>
  <c r="M158" i="3"/>
  <c r="M346" i="3"/>
  <c r="M434" i="3"/>
  <c r="M256" i="3"/>
  <c r="M233" i="3"/>
  <c r="M335" i="3"/>
  <c r="M219" i="3"/>
  <c r="M387" i="3"/>
  <c r="M157" i="3"/>
  <c r="M421" i="3"/>
  <c r="M493" i="3"/>
  <c r="M386" i="3"/>
  <c r="M229" i="3"/>
  <c r="M430" i="3"/>
  <c r="M130" i="3"/>
  <c r="M300" i="3"/>
  <c r="M196" i="3"/>
  <c r="M321" i="3"/>
  <c r="M381" i="3"/>
  <c r="M485" i="3"/>
  <c r="M222" i="3"/>
  <c r="M254" i="3"/>
  <c r="M231" i="3"/>
  <c r="M279" i="3"/>
  <c r="M146" i="3"/>
  <c r="M109" i="3"/>
  <c r="M278" i="3"/>
  <c r="M38" i="3"/>
  <c r="W251" i="3"/>
  <c r="M283" i="3"/>
  <c r="M326" i="3"/>
  <c r="M376" i="3"/>
  <c r="M442" i="3"/>
  <c r="M142" i="3"/>
  <c r="M494" i="3"/>
  <c r="M194" i="3"/>
  <c r="M260" i="3"/>
  <c r="M461" i="3"/>
  <c r="M349" i="3"/>
  <c r="M51" i="3"/>
  <c r="M144" i="3"/>
  <c r="M56" i="3"/>
  <c r="M318" i="3"/>
  <c r="M68" i="3"/>
  <c r="M230" i="3"/>
  <c r="M25" i="3"/>
  <c r="M148" i="3"/>
  <c r="M289" i="3"/>
  <c r="M337" i="3"/>
  <c r="M277" i="3"/>
  <c r="M383" i="3"/>
  <c r="M268" i="3"/>
  <c r="M187" i="3"/>
  <c r="M257" i="3"/>
  <c r="M206" i="3"/>
  <c r="M24" i="3"/>
  <c r="M489" i="3"/>
  <c r="M443" i="3"/>
  <c r="M451" i="3"/>
  <c r="M265" i="3"/>
  <c r="M293" i="3"/>
  <c r="M445" i="3"/>
  <c r="M117" i="3"/>
  <c r="M363" i="3"/>
  <c r="M66" i="3"/>
  <c r="M75" i="3"/>
  <c r="M39" i="3"/>
  <c r="M210" i="3"/>
  <c r="M375" i="3"/>
  <c r="M313" i="3"/>
  <c r="M261" i="3"/>
  <c r="M333" i="3"/>
  <c r="M501" i="3"/>
  <c r="M27" i="3"/>
  <c r="M52" i="3"/>
  <c r="M411" i="3"/>
  <c r="M441" i="3"/>
  <c r="M458" i="3"/>
  <c r="M37" i="3"/>
  <c r="M208" i="3"/>
  <c r="M406" i="3"/>
  <c r="M416" i="3"/>
  <c r="M89" i="3"/>
  <c r="M212" i="3"/>
  <c r="M477" i="3"/>
  <c r="M417" i="3"/>
  <c r="M309" i="3"/>
  <c r="M185" i="3"/>
  <c r="M100" i="3"/>
  <c r="M263" i="3"/>
  <c r="M64" i="3"/>
  <c r="M450" i="3"/>
  <c r="M221" i="3"/>
  <c r="M23" i="3"/>
  <c r="M273" i="3"/>
  <c r="M73" i="3"/>
  <c r="M272" i="3"/>
  <c r="M267" i="3"/>
  <c r="M368" i="3"/>
  <c r="M181" i="3"/>
  <c r="M404" i="3"/>
  <c r="M134" i="3"/>
  <c r="M446" i="3"/>
  <c r="M104" i="3"/>
  <c r="N178" i="3"/>
  <c r="N63" i="3"/>
  <c r="N472" i="3"/>
  <c r="N358" i="3"/>
  <c r="N108" i="3"/>
  <c r="N169" i="3"/>
  <c r="N13" i="3"/>
  <c r="N369" i="3"/>
  <c r="N17" i="3"/>
  <c r="N459" i="3"/>
  <c r="M101" i="3"/>
  <c r="N347" i="3"/>
  <c r="N374" i="3"/>
  <c r="N493" i="3"/>
  <c r="N500" i="3"/>
  <c r="N68" i="3"/>
  <c r="N161" i="3"/>
  <c r="N118" i="3"/>
  <c r="N204" i="3"/>
  <c r="N268" i="3"/>
  <c r="N346" i="3"/>
  <c r="N396" i="3"/>
  <c r="N21" i="3"/>
  <c r="N102" i="3"/>
  <c r="N195" i="3"/>
  <c r="N194" i="3"/>
  <c r="N287" i="3"/>
  <c r="N294" i="3"/>
  <c r="N433" i="3"/>
  <c r="N440" i="3"/>
  <c r="N7" i="3"/>
  <c r="N79" i="3"/>
  <c r="N229" i="3"/>
  <c r="N164" i="3"/>
  <c r="N305" i="3"/>
  <c r="N391" i="3"/>
  <c r="N451" i="3"/>
  <c r="N458" i="3"/>
  <c r="N26" i="3"/>
  <c r="N119" i="3"/>
  <c r="N247" i="3"/>
  <c r="N216" i="3"/>
  <c r="N323" i="3"/>
  <c r="N284" i="3"/>
  <c r="N469" i="3"/>
  <c r="N476" i="3"/>
  <c r="N44" i="3"/>
  <c r="N137" i="3"/>
  <c r="N105" i="3"/>
  <c r="N170" i="3"/>
  <c r="N341" i="3"/>
  <c r="N373" i="3"/>
  <c r="N487" i="3"/>
  <c r="N494" i="3"/>
  <c r="N62" i="3"/>
  <c r="N155" i="3"/>
  <c r="N112" i="3"/>
  <c r="N73" i="3"/>
  <c r="N359" i="3"/>
  <c r="N332" i="3"/>
  <c r="N256" i="3"/>
  <c r="N388" i="3"/>
  <c r="N80" i="3"/>
  <c r="N173" i="3"/>
  <c r="N192" i="3"/>
  <c r="N361" i="3"/>
  <c r="N330" i="3"/>
  <c r="N377" i="3"/>
  <c r="N427" i="3"/>
  <c r="N443" i="3"/>
  <c r="N475" i="3"/>
  <c r="N491" i="3"/>
  <c r="N313" i="3"/>
  <c r="R372" i="3"/>
  <c r="R306" i="3"/>
  <c r="R379" i="3"/>
  <c r="R394" i="3"/>
  <c r="R44" i="3"/>
  <c r="R364" i="3"/>
  <c r="R380" i="3"/>
  <c r="R206" i="3"/>
  <c r="R346" i="3"/>
  <c r="R77" i="3"/>
  <c r="R184" i="3"/>
  <c r="M155" i="3"/>
  <c r="N193" i="3"/>
  <c r="N227" i="3"/>
  <c r="N83" i="3"/>
  <c r="N151" i="3"/>
  <c r="N76" i="3"/>
  <c r="N94" i="3"/>
  <c r="N31" i="3"/>
  <c r="N49" i="3"/>
  <c r="M139" i="3"/>
  <c r="N269" i="3"/>
  <c r="N363" i="3"/>
  <c r="N348" i="3"/>
  <c r="N400" i="3"/>
  <c r="N406" i="3"/>
  <c r="N84" i="3"/>
  <c r="N177" i="3"/>
  <c r="N224" i="3"/>
  <c r="N271" i="3"/>
  <c r="N304" i="3"/>
  <c r="N412" i="3"/>
  <c r="N422" i="3"/>
  <c r="N37" i="3"/>
  <c r="N59" i="3"/>
  <c r="N211" i="3"/>
  <c r="N196" i="3"/>
  <c r="N303" i="3"/>
  <c r="N389" i="3"/>
  <c r="N449" i="3"/>
  <c r="N456" i="3"/>
  <c r="N24" i="3"/>
  <c r="N117" i="3"/>
  <c r="N245" i="3"/>
  <c r="N200" i="3"/>
  <c r="N321" i="3"/>
  <c r="N407" i="3"/>
  <c r="N467" i="3"/>
  <c r="N474" i="3"/>
  <c r="N42" i="3"/>
  <c r="N135" i="3"/>
  <c r="N99" i="3"/>
  <c r="N162" i="3"/>
  <c r="N339" i="3"/>
  <c r="N366" i="3"/>
  <c r="N485" i="3"/>
  <c r="N492" i="3"/>
  <c r="N60" i="3"/>
  <c r="N153" i="3"/>
  <c r="N110" i="3"/>
  <c r="N190" i="3"/>
  <c r="N357" i="3"/>
  <c r="N324" i="3"/>
  <c r="N254" i="3"/>
  <c r="N409" i="3"/>
  <c r="N78" i="3"/>
  <c r="N171" i="3"/>
  <c r="N176" i="3"/>
  <c r="N168" i="3"/>
  <c r="N270" i="3"/>
  <c r="N322" i="3"/>
  <c r="N414" i="3"/>
  <c r="N15" i="3"/>
  <c r="N96" i="3"/>
  <c r="N189" i="3"/>
  <c r="N158" i="3"/>
  <c r="N340" i="3"/>
  <c r="N286" i="3"/>
  <c r="N418" i="3"/>
  <c r="N434" i="3"/>
  <c r="N450" i="3"/>
  <c r="N482" i="3"/>
  <c r="N498" i="3"/>
  <c r="N399" i="3"/>
  <c r="R422" i="3"/>
  <c r="R338" i="3"/>
  <c r="R457" i="3"/>
  <c r="R363" i="3"/>
  <c r="R281" i="3"/>
  <c r="R353" i="3"/>
  <c r="R37" i="3"/>
  <c r="R94" i="3"/>
  <c r="R267" i="3"/>
  <c r="R244" i="3"/>
  <c r="R19" i="3"/>
  <c r="M331" i="3"/>
  <c r="M467" i="3"/>
  <c r="M480" i="3"/>
  <c r="M198" i="3"/>
  <c r="M305" i="3"/>
  <c r="M455" i="3"/>
  <c r="N410" i="3" l="1"/>
  <c r="N382" i="3"/>
  <c r="N90" i="3"/>
  <c r="N72" i="3"/>
  <c r="W72" i="3" s="1"/>
  <c r="N38" i="3"/>
  <c r="W38" i="3" s="1"/>
  <c r="N51" i="3"/>
  <c r="N126" i="3"/>
  <c r="D126" i="3" s="1"/>
  <c r="M444" i="3"/>
  <c r="D444" i="3" s="1"/>
  <c r="N174" i="3"/>
  <c r="N16" i="3"/>
  <c r="N45" i="3"/>
  <c r="N27" i="3"/>
  <c r="D27" i="3" s="1"/>
  <c r="N398" i="3"/>
  <c r="N255" i="3"/>
  <c r="N470" i="3"/>
  <c r="W470" i="3" s="1"/>
  <c r="N436" i="3"/>
  <c r="D436" i="3" s="1"/>
  <c r="N160" i="3"/>
  <c r="N142" i="3"/>
  <c r="N448" i="3"/>
  <c r="N430" i="3"/>
  <c r="D430" i="3" s="1"/>
  <c r="N402" i="3"/>
  <c r="D402" i="3" s="1"/>
  <c r="N6" i="3"/>
  <c r="N497" i="3"/>
  <c r="W497" i="3" s="1"/>
  <c r="N463" i="3"/>
  <c r="D463" i="3" s="1"/>
  <c r="N429" i="3"/>
  <c r="N483" i="3"/>
  <c r="N454" i="3"/>
  <c r="N441" i="3"/>
  <c r="D441" i="3" s="1"/>
  <c r="N423" i="3"/>
  <c r="W423" i="3" s="1"/>
  <c r="N367" i="3"/>
  <c r="N375" i="3"/>
  <c r="D375" i="3" s="1"/>
  <c r="N296" i="3"/>
  <c r="D296" i="3" s="1"/>
  <c r="N403" i="3"/>
  <c r="N371" i="3"/>
  <c r="N133" i="3"/>
  <c r="N295" i="3"/>
  <c r="W295" i="3" s="1"/>
  <c r="N266" i="3"/>
  <c r="W266" i="3" s="1"/>
  <c r="N261" i="3"/>
  <c r="N236" i="3"/>
  <c r="D236" i="3" s="1"/>
  <c r="N146" i="3"/>
  <c r="D146" i="3" s="1"/>
  <c r="N148" i="3"/>
  <c r="N18" i="3"/>
  <c r="N285" i="3"/>
  <c r="N111" i="3"/>
  <c r="D111" i="3" s="1"/>
  <c r="N257" i="3"/>
  <c r="N143" i="3"/>
  <c r="D143" i="3" s="1"/>
  <c r="N61" i="3"/>
  <c r="W61" i="3" s="1"/>
  <c r="N314" i="3"/>
  <c r="D314" i="3" s="1"/>
  <c r="N115" i="3"/>
  <c r="N77" i="3"/>
  <c r="N432" i="3"/>
  <c r="N92" i="3"/>
  <c r="N252" i="3"/>
  <c r="D252" i="3" s="1"/>
  <c r="N3" i="3"/>
  <c r="D3" i="3" s="1"/>
  <c r="N425" i="3"/>
  <c r="D425" i="3" s="1"/>
  <c r="N8" i="3"/>
  <c r="D8" i="3" s="1"/>
  <c r="N420" i="3"/>
  <c r="N98" i="3"/>
  <c r="N352" i="3"/>
  <c r="W352" i="3" s="1"/>
  <c r="N167" i="3"/>
  <c r="D167" i="3" s="1"/>
  <c r="N466" i="3"/>
  <c r="W466" i="3" s="1"/>
  <c r="N132" i="3"/>
  <c r="N5" i="3"/>
  <c r="W5" i="3" s="1"/>
  <c r="N149" i="3"/>
  <c r="D149" i="3" s="1"/>
  <c r="N159" i="3"/>
  <c r="N221" i="3"/>
  <c r="N408" i="3"/>
  <c r="N488" i="3"/>
  <c r="D488" i="3" s="1"/>
  <c r="N203" i="3"/>
  <c r="N185" i="3"/>
  <c r="D185" i="3" s="1"/>
  <c r="N144" i="3"/>
  <c r="D144" i="3" s="1"/>
  <c r="N180" i="3"/>
  <c r="D180" i="3" s="1"/>
  <c r="N29" i="3"/>
  <c r="N11" i="3"/>
  <c r="N56" i="3"/>
  <c r="N35" i="3"/>
  <c r="D35" i="3" s="1"/>
  <c r="N368" i="3"/>
  <c r="N136" i="3"/>
  <c r="W136" i="3" s="1"/>
  <c r="N184" i="3"/>
  <c r="W184" i="3" s="1"/>
  <c r="N274" i="3"/>
  <c r="D274" i="3" s="1"/>
  <c r="N263" i="3"/>
  <c r="N74" i="3"/>
  <c r="N22" i="3"/>
  <c r="N499" i="3"/>
  <c r="D499" i="3" s="1"/>
  <c r="N481" i="3"/>
  <c r="D481" i="3" s="1"/>
  <c r="N447" i="3"/>
  <c r="D447" i="3" s="1"/>
  <c r="N394" i="3"/>
  <c r="D394" i="3" s="1"/>
  <c r="N292" i="3"/>
  <c r="D292" i="3" s="1"/>
  <c r="N312" i="3"/>
  <c r="N350" i="3"/>
  <c r="W350" i="3" s="1"/>
  <c r="N387" i="3"/>
  <c r="N288" i="3"/>
  <c r="D288" i="3" s="1"/>
  <c r="N276" i="3"/>
  <c r="N353" i="3"/>
  <c r="D353" i="3" s="1"/>
  <c r="N335" i="3"/>
  <c r="D335" i="3" s="1"/>
  <c r="N301" i="3"/>
  <c r="W301" i="3" s="1"/>
  <c r="N124" i="3"/>
  <c r="N87" i="3"/>
  <c r="N243" i="3"/>
  <c r="W243" i="3" s="1"/>
  <c r="N209" i="3"/>
  <c r="W209" i="3" s="1"/>
  <c r="D2" i="3"/>
  <c r="G2" i="3" s="1"/>
  <c r="D4" i="3"/>
  <c r="N150" i="3"/>
  <c r="W150" i="3" s="1"/>
  <c r="N154" i="3"/>
  <c r="W154" i="3" s="1"/>
  <c r="N405" i="3"/>
  <c r="D405" i="3" s="1"/>
  <c r="N431" i="3"/>
  <c r="N50" i="3"/>
  <c r="W50" i="3" s="1"/>
  <c r="N380" i="3"/>
  <c r="D380" i="3" s="1"/>
  <c r="N205" i="3"/>
  <c r="W205" i="3" s="1"/>
  <c r="N152" i="3"/>
  <c r="D152" i="3" s="1"/>
  <c r="N355" i="3"/>
  <c r="W355" i="3" s="1"/>
  <c r="D305" i="3"/>
  <c r="W305" i="3"/>
  <c r="D477" i="3"/>
  <c r="W477" i="3"/>
  <c r="D230" i="3"/>
  <c r="W230" i="3"/>
  <c r="D217" i="3"/>
  <c r="W217" i="3"/>
  <c r="D192" i="3"/>
  <c r="W192" i="3"/>
  <c r="D317" i="3"/>
  <c r="W317" i="3"/>
  <c r="D54" i="3"/>
  <c r="W54" i="3"/>
  <c r="D238" i="3"/>
  <c r="W238" i="3"/>
  <c r="D125" i="3"/>
  <c r="W125" i="3"/>
  <c r="D60" i="3"/>
  <c r="W60" i="3"/>
  <c r="D207" i="3"/>
  <c r="W207" i="3"/>
  <c r="D181" i="3"/>
  <c r="W181" i="3"/>
  <c r="D450" i="3"/>
  <c r="W450" i="3"/>
  <c r="D212" i="3"/>
  <c r="W212" i="3"/>
  <c r="D411" i="3"/>
  <c r="W411" i="3"/>
  <c r="D210" i="3"/>
  <c r="W210" i="3"/>
  <c r="D265" i="3"/>
  <c r="W265" i="3"/>
  <c r="D268" i="3"/>
  <c r="W268" i="3"/>
  <c r="D68" i="3"/>
  <c r="W68" i="3"/>
  <c r="D194" i="3"/>
  <c r="W194" i="3"/>
  <c r="D38" i="3"/>
  <c r="D485" i="3"/>
  <c r="W485" i="3"/>
  <c r="D386" i="3"/>
  <c r="W386" i="3"/>
  <c r="D256" i="3"/>
  <c r="W256" i="3"/>
  <c r="D390" i="3"/>
  <c r="W390" i="3"/>
  <c r="D409" i="3"/>
  <c r="W409" i="3"/>
  <c r="D369" i="3"/>
  <c r="W369" i="3"/>
  <c r="D19" i="3"/>
  <c r="W19" i="3"/>
  <c r="D423" i="3"/>
  <c r="D85" i="3"/>
  <c r="W85" i="3"/>
  <c r="D393" i="3"/>
  <c r="W393" i="3"/>
  <c r="D322" i="3"/>
  <c r="W322" i="3"/>
  <c r="D179" i="3"/>
  <c r="W179" i="3"/>
  <c r="D377" i="3"/>
  <c r="W377" i="3"/>
  <c r="D70" i="3"/>
  <c r="W70" i="3"/>
  <c r="D84" i="3"/>
  <c r="W84" i="3"/>
  <c r="D264" i="3"/>
  <c r="W264" i="3"/>
  <c r="D388" i="3"/>
  <c r="W388" i="3"/>
  <c r="D164" i="3"/>
  <c r="W164" i="3"/>
  <c r="D83" i="3"/>
  <c r="W83" i="3"/>
  <c r="D392" i="3"/>
  <c r="W392" i="3"/>
  <c r="D170" i="3"/>
  <c r="W170" i="3"/>
  <c r="D90" i="3"/>
  <c r="W90" i="3"/>
  <c r="D280" i="3"/>
  <c r="W280" i="3"/>
  <c r="D316" i="3"/>
  <c r="W316" i="3"/>
  <c r="D133" i="3"/>
  <c r="W133" i="3"/>
  <c r="D119" i="3"/>
  <c r="W119" i="3"/>
  <c r="D424" i="3"/>
  <c r="W424" i="3"/>
  <c r="D483" i="3"/>
  <c r="W483" i="3"/>
  <c r="D177" i="3"/>
  <c r="W177" i="3"/>
  <c r="D124" i="3"/>
  <c r="W124" i="3"/>
  <c r="D258" i="3"/>
  <c r="W258" i="3"/>
  <c r="D334" i="3"/>
  <c r="W334" i="3"/>
  <c r="D136" i="3"/>
  <c r="D308" i="3"/>
  <c r="W308" i="3"/>
  <c r="D320" i="3"/>
  <c r="W320" i="3"/>
  <c r="D105" i="3"/>
  <c r="W105" i="3"/>
  <c r="D42" i="3"/>
  <c r="W42" i="3"/>
  <c r="D370" i="3"/>
  <c r="W370" i="3"/>
  <c r="W227" i="3"/>
  <c r="D227" i="3"/>
  <c r="D365" i="3"/>
  <c r="W365" i="3"/>
  <c r="D40" i="3"/>
  <c r="W40" i="3"/>
  <c r="D229" i="3"/>
  <c r="W229" i="3"/>
  <c r="D361" i="3"/>
  <c r="W361" i="3"/>
  <c r="D282" i="3"/>
  <c r="W282" i="3"/>
  <c r="D226" i="3"/>
  <c r="W226" i="3"/>
  <c r="D345" i="3"/>
  <c r="W345" i="3"/>
  <c r="D328" i="3"/>
  <c r="W328" i="3"/>
  <c r="D325" i="3"/>
  <c r="W325" i="3"/>
  <c r="D46" i="3"/>
  <c r="W46" i="3"/>
  <c r="D168" i="3"/>
  <c r="W168" i="3"/>
  <c r="D101" i="3"/>
  <c r="W101" i="3"/>
  <c r="D368" i="3"/>
  <c r="W368" i="3"/>
  <c r="D64" i="3"/>
  <c r="W64" i="3"/>
  <c r="D89" i="3"/>
  <c r="W89" i="3"/>
  <c r="D52" i="3"/>
  <c r="W52" i="3"/>
  <c r="D39" i="3"/>
  <c r="W39" i="3"/>
  <c r="D451" i="3"/>
  <c r="W451" i="3"/>
  <c r="D383" i="3"/>
  <c r="W383" i="3"/>
  <c r="D318" i="3"/>
  <c r="W318" i="3"/>
  <c r="D494" i="3"/>
  <c r="W494" i="3"/>
  <c r="D278" i="3"/>
  <c r="W278" i="3"/>
  <c r="D381" i="3"/>
  <c r="W381" i="3"/>
  <c r="D493" i="3"/>
  <c r="W493" i="3"/>
  <c r="D434" i="3"/>
  <c r="W434" i="3"/>
  <c r="D352" i="3"/>
  <c r="D171" i="3"/>
  <c r="W171" i="3"/>
  <c r="D203" i="3"/>
  <c r="W203" i="3"/>
  <c r="D487" i="3"/>
  <c r="W487" i="3"/>
  <c r="D199" i="3"/>
  <c r="W199" i="3"/>
  <c r="D350" i="3"/>
  <c r="D492" i="3"/>
  <c r="W492" i="3"/>
  <c r="D36" i="3"/>
  <c r="W36" i="3"/>
  <c r="D495" i="3"/>
  <c r="W495" i="3"/>
  <c r="D135" i="3"/>
  <c r="W135" i="3"/>
  <c r="D22" i="3"/>
  <c r="W22" i="3"/>
  <c r="D69" i="3"/>
  <c r="W69" i="3"/>
  <c r="D72" i="3"/>
  <c r="D162" i="3"/>
  <c r="W162" i="3"/>
  <c r="D339" i="3"/>
  <c r="W339" i="3"/>
  <c r="D426" i="3"/>
  <c r="W426" i="3"/>
  <c r="D462" i="3"/>
  <c r="W462" i="3"/>
  <c r="D348" i="3"/>
  <c r="W348" i="3"/>
  <c r="D410" i="3"/>
  <c r="W410" i="3"/>
  <c r="D63" i="3"/>
  <c r="W63" i="3"/>
  <c r="D266" i="3"/>
  <c r="D474" i="3"/>
  <c r="W474" i="3"/>
  <c r="D460" i="3"/>
  <c r="W460" i="3"/>
  <c r="D102" i="3"/>
  <c r="W102" i="3"/>
  <c r="D399" i="3"/>
  <c r="W399" i="3"/>
  <c r="D7" i="3"/>
  <c r="W7" i="3"/>
  <c r="D397" i="3"/>
  <c r="W397" i="3"/>
  <c r="D17" i="3"/>
  <c r="W17" i="3"/>
  <c r="D108" i="3"/>
  <c r="W108" i="3"/>
  <c r="D220" i="3"/>
  <c r="W220" i="3"/>
  <c r="D259" i="3"/>
  <c r="W259" i="3"/>
  <c r="D341" i="3"/>
  <c r="W341" i="3"/>
  <c r="D234" i="3"/>
  <c r="W234" i="3"/>
  <c r="D195" i="3"/>
  <c r="W195" i="3"/>
  <c r="D26" i="3"/>
  <c r="W26" i="3"/>
  <c r="D77" i="3"/>
  <c r="W77" i="3"/>
  <c r="D120" i="3"/>
  <c r="W120" i="3"/>
  <c r="D486" i="3"/>
  <c r="W486" i="3"/>
  <c r="D204" i="3"/>
  <c r="W204" i="3"/>
  <c r="W62" i="3"/>
  <c r="D62" i="3"/>
  <c r="D245" i="3"/>
  <c r="W245" i="3"/>
  <c r="D59" i="3"/>
  <c r="W59" i="3"/>
  <c r="D155" i="3"/>
  <c r="W155" i="3"/>
  <c r="D404" i="3"/>
  <c r="W404" i="3"/>
  <c r="D293" i="3"/>
  <c r="W293" i="3"/>
  <c r="D260" i="3"/>
  <c r="W260" i="3"/>
  <c r="D233" i="3"/>
  <c r="W233" i="3"/>
  <c r="D471" i="3"/>
  <c r="W471" i="3"/>
  <c r="D469" i="3"/>
  <c r="W469" i="3"/>
  <c r="D213" i="3"/>
  <c r="W213" i="3"/>
  <c r="D250" i="3"/>
  <c r="W250" i="3"/>
  <c r="D122" i="3"/>
  <c r="W122" i="3"/>
  <c r="D81" i="3"/>
  <c r="W81" i="3"/>
  <c r="D418" i="3"/>
  <c r="W418" i="3"/>
  <c r="D452" i="3"/>
  <c r="W452" i="3"/>
  <c r="D145" i="3"/>
  <c r="W145" i="3"/>
  <c r="D198" i="3"/>
  <c r="W198" i="3"/>
  <c r="D480" i="3"/>
  <c r="W480" i="3"/>
  <c r="D467" i="3"/>
  <c r="W467" i="3"/>
  <c r="D267" i="3"/>
  <c r="W267" i="3"/>
  <c r="D263" i="3"/>
  <c r="W263" i="3"/>
  <c r="D416" i="3"/>
  <c r="W416" i="3"/>
  <c r="D75" i="3"/>
  <c r="W75" i="3"/>
  <c r="D443" i="3"/>
  <c r="W443" i="3"/>
  <c r="D277" i="3"/>
  <c r="W277" i="3"/>
  <c r="D56" i="3"/>
  <c r="W56" i="3"/>
  <c r="D142" i="3"/>
  <c r="W142" i="3"/>
  <c r="D109" i="3"/>
  <c r="W109" i="3"/>
  <c r="D321" i="3"/>
  <c r="W321" i="3"/>
  <c r="D421" i="3"/>
  <c r="W421" i="3"/>
  <c r="D346" i="3"/>
  <c r="W346" i="3"/>
  <c r="D165" i="3"/>
  <c r="W165" i="3"/>
  <c r="D96" i="3"/>
  <c r="W96" i="3"/>
  <c r="D11" i="3"/>
  <c r="W11" i="3"/>
  <c r="D476" i="3"/>
  <c r="W476" i="3"/>
  <c r="D435" i="3"/>
  <c r="W435" i="3"/>
  <c r="D433" i="3"/>
  <c r="W433" i="3"/>
  <c r="D312" i="3"/>
  <c r="W312" i="3"/>
  <c r="D55" i="3"/>
  <c r="W55" i="3"/>
  <c r="D356" i="3"/>
  <c r="W356" i="3"/>
  <c r="D303" i="3"/>
  <c r="W303" i="3"/>
  <c r="D57" i="3"/>
  <c r="W57" i="3"/>
  <c r="D343" i="3"/>
  <c r="W343" i="3"/>
  <c r="D110" i="3"/>
  <c r="W110" i="3"/>
  <c r="D475" i="3"/>
  <c r="W475" i="3"/>
  <c r="D20" i="3"/>
  <c r="W20" i="3"/>
  <c r="D116" i="3"/>
  <c r="W116" i="3"/>
  <c r="D359" i="3"/>
  <c r="W359" i="3"/>
  <c r="D197" i="3"/>
  <c r="W197" i="3"/>
  <c r="D67" i="3"/>
  <c r="W67" i="3"/>
  <c r="D183" i="3"/>
  <c r="W183" i="3"/>
  <c r="D414" i="3"/>
  <c r="W414" i="3"/>
  <c r="D131" i="3"/>
  <c r="W131" i="3"/>
  <c r="D351" i="3"/>
  <c r="W351" i="3"/>
  <c r="D79" i="3"/>
  <c r="W79" i="3"/>
  <c r="D479" i="3"/>
  <c r="W479" i="3"/>
  <c r="D385" i="3"/>
  <c r="W385" i="3"/>
  <c r="D92" i="3"/>
  <c r="W92" i="3"/>
  <c r="D172" i="3"/>
  <c r="W172" i="3"/>
  <c r="D382" i="3"/>
  <c r="W382" i="3"/>
  <c r="D500" i="3"/>
  <c r="W500" i="3"/>
  <c r="D496" i="3"/>
  <c r="W496" i="3"/>
  <c r="D340" i="3"/>
  <c r="W340" i="3"/>
  <c r="D94" i="3"/>
  <c r="W94" i="3"/>
  <c r="D9" i="3"/>
  <c r="W9" i="3"/>
  <c r="D432" i="3"/>
  <c r="W432" i="3"/>
  <c r="D129" i="3"/>
  <c r="W129" i="3"/>
  <c r="D30" i="3"/>
  <c r="W30" i="3"/>
  <c r="D420" i="3"/>
  <c r="W420" i="3"/>
  <c r="D13" i="3"/>
  <c r="W13" i="3"/>
  <c r="D468" i="3"/>
  <c r="W468" i="3"/>
  <c r="D97" i="3"/>
  <c r="W97" i="3"/>
  <c r="D275" i="3"/>
  <c r="W275" i="3"/>
  <c r="D16" i="3"/>
  <c r="W16" i="3"/>
  <c r="D284" i="3"/>
  <c r="W284" i="3"/>
  <c r="D490" i="3"/>
  <c r="W490" i="3"/>
  <c r="D364" i="3"/>
  <c r="W364" i="3"/>
  <c r="D189" i="3"/>
  <c r="W189" i="3"/>
  <c r="D224" i="3"/>
  <c r="W224" i="3"/>
  <c r="D253" i="3"/>
  <c r="W253" i="3"/>
  <c r="D272" i="3"/>
  <c r="W272" i="3"/>
  <c r="D100" i="3"/>
  <c r="W100" i="3"/>
  <c r="D406" i="3"/>
  <c r="W406" i="3"/>
  <c r="D501" i="3"/>
  <c r="W501" i="3"/>
  <c r="D66" i="3"/>
  <c r="W66" i="3"/>
  <c r="D489" i="3"/>
  <c r="W489" i="3"/>
  <c r="D337" i="3"/>
  <c r="W337" i="3"/>
  <c r="D442" i="3"/>
  <c r="W442" i="3"/>
  <c r="D196" i="3"/>
  <c r="W196" i="3"/>
  <c r="D157" i="3"/>
  <c r="W157" i="3"/>
  <c r="D158" i="3"/>
  <c r="W158" i="3"/>
  <c r="D344" i="3"/>
  <c r="W344" i="3"/>
  <c r="D459" i="3"/>
  <c r="W459" i="3"/>
  <c r="D153" i="3"/>
  <c r="W153" i="3"/>
  <c r="D323" i="3"/>
  <c r="W323" i="3"/>
  <c r="D285" i="3"/>
  <c r="W285" i="3"/>
  <c r="W405" i="3"/>
  <c r="D329" i="3"/>
  <c r="W329" i="3"/>
  <c r="D190" i="3"/>
  <c r="W190" i="3"/>
  <c r="D32" i="3"/>
  <c r="W32" i="3"/>
  <c r="D41" i="3"/>
  <c r="W41" i="3"/>
  <c r="D473" i="3"/>
  <c r="W473" i="3"/>
  <c r="D287" i="3"/>
  <c r="W287" i="3"/>
  <c r="D437" i="3"/>
  <c r="W437" i="3"/>
  <c r="D294" i="3"/>
  <c r="W294" i="3"/>
  <c r="D98" i="3"/>
  <c r="W98" i="3"/>
  <c r="D15" i="3"/>
  <c r="W15" i="3"/>
  <c r="D354" i="3"/>
  <c r="W354" i="3"/>
  <c r="D448" i="3"/>
  <c r="W448" i="3"/>
  <c r="D297" i="3"/>
  <c r="W297" i="3"/>
  <c r="D176" i="3"/>
  <c r="W176" i="3"/>
  <c r="D413" i="3"/>
  <c r="W413" i="3"/>
  <c r="D18" i="3"/>
  <c r="W18" i="3"/>
  <c r="D286" i="3"/>
  <c r="W286" i="3"/>
  <c r="D472" i="3"/>
  <c r="W472" i="3"/>
  <c r="D115" i="3"/>
  <c r="W115" i="3"/>
  <c r="D403" i="3"/>
  <c r="W403" i="3"/>
  <c r="D291" i="3"/>
  <c r="W291" i="3"/>
  <c r="D407" i="3"/>
  <c r="W407" i="3"/>
  <c r="D332" i="3"/>
  <c r="W332" i="3"/>
  <c r="D65" i="3"/>
  <c r="W65" i="3"/>
  <c r="W336" i="3"/>
  <c r="D336" i="3"/>
  <c r="D127" i="3"/>
  <c r="W127" i="3"/>
  <c r="D498" i="3"/>
  <c r="W498" i="3"/>
  <c r="D193" i="3"/>
  <c r="W193" i="3"/>
  <c r="D454" i="3"/>
  <c r="W454" i="3"/>
  <c r="D31" i="3"/>
  <c r="W31" i="3"/>
  <c r="D247" i="3"/>
  <c r="W247" i="3"/>
  <c r="D218" i="3"/>
  <c r="W218" i="3"/>
  <c r="D166" i="3"/>
  <c r="W166" i="3"/>
  <c r="D186" i="3"/>
  <c r="W186" i="3"/>
  <c r="D246" i="3"/>
  <c r="W246" i="3"/>
  <c r="W482" i="3"/>
  <c r="D482" i="3"/>
  <c r="D412" i="3"/>
  <c r="W412" i="3"/>
  <c r="D87" i="3"/>
  <c r="W87" i="3"/>
  <c r="D378" i="3"/>
  <c r="W378" i="3"/>
  <c r="D384" i="3"/>
  <c r="W384" i="3"/>
  <c r="D104" i="3"/>
  <c r="W104" i="3"/>
  <c r="D73" i="3"/>
  <c r="W73" i="3"/>
  <c r="D208" i="3"/>
  <c r="W208" i="3"/>
  <c r="D333" i="3"/>
  <c r="W333" i="3"/>
  <c r="D363" i="3"/>
  <c r="W363" i="3"/>
  <c r="D24" i="3"/>
  <c r="W24" i="3"/>
  <c r="D289" i="3"/>
  <c r="W289" i="3"/>
  <c r="D51" i="3"/>
  <c r="W51" i="3"/>
  <c r="D376" i="3"/>
  <c r="W376" i="3"/>
  <c r="D279" i="3"/>
  <c r="W279" i="3"/>
  <c r="D300" i="3"/>
  <c r="W300" i="3"/>
  <c r="D387" i="3"/>
  <c r="W387" i="3"/>
  <c r="D80" i="3"/>
  <c r="W80" i="3"/>
  <c r="D372" i="3"/>
  <c r="W372" i="3"/>
  <c r="D389" i="3"/>
  <c r="W389" i="3"/>
  <c r="D112" i="3"/>
  <c r="W112" i="3"/>
  <c r="D107" i="3"/>
  <c r="W107" i="3"/>
  <c r="D86" i="3"/>
  <c r="W86" i="3"/>
  <c r="D395" i="3"/>
  <c r="W395" i="3"/>
  <c r="D48" i="3"/>
  <c r="W48" i="3"/>
  <c r="D201" i="3"/>
  <c r="W201" i="3"/>
  <c r="D91" i="3"/>
  <c r="W91" i="3"/>
  <c r="D128" i="3"/>
  <c r="W128" i="3"/>
  <c r="D478" i="3"/>
  <c r="W478" i="3"/>
  <c r="D465" i="3"/>
  <c r="W465" i="3"/>
  <c r="D137" i="3"/>
  <c r="W137" i="3"/>
  <c r="D299" i="3"/>
  <c r="W299" i="3"/>
  <c r="D427" i="3"/>
  <c r="W427" i="3"/>
  <c r="D237" i="3"/>
  <c r="W237" i="3"/>
  <c r="D240" i="3"/>
  <c r="W240" i="3"/>
  <c r="D440" i="3"/>
  <c r="W440" i="3"/>
  <c r="D281" i="3"/>
  <c r="W281" i="3"/>
  <c r="D106" i="3"/>
  <c r="W106" i="3"/>
  <c r="D76" i="3"/>
  <c r="W76" i="3"/>
  <c r="D202" i="3"/>
  <c r="W202" i="3"/>
  <c r="D49" i="3"/>
  <c r="W49" i="3"/>
  <c r="D491" i="3"/>
  <c r="W491" i="3"/>
  <c r="D239" i="3"/>
  <c r="W239" i="3"/>
  <c r="D362" i="3"/>
  <c r="W362" i="3"/>
  <c r="D78" i="3"/>
  <c r="W78" i="3"/>
  <c r="D449" i="3"/>
  <c r="W449" i="3"/>
  <c r="D160" i="3"/>
  <c r="W160" i="3"/>
  <c r="D28" i="3"/>
  <c r="W28" i="3"/>
  <c r="D200" i="3"/>
  <c r="W200" i="3"/>
  <c r="D248" i="3"/>
  <c r="W248" i="3"/>
  <c r="D232" i="3"/>
  <c r="W232" i="3"/>
  <c r="D82" i="3"/>
  <c r="W82" i="3"/>
  <c r="D214" i="3"/>
  <c r="W214" i="3"/>
  <c r="D47" i="3"/>
  <c r="W47" i="3"/>
  <c r="W438" i="3"/>
  <c r="D438" i="3"/>
  <c r="D302" i="3"/>
  <c r="W302" i="3"/>
  <c r="W191" i="3"/>
  <c r="D191" i="3"/>
  <c r="W140" i="3"/>
  <c r="D140" i="3"/>
  <c r="D163" i="3"/>
  <c r="W163" i="3"/>
  <c r="D43" i="3"/>
  <c r="W43" i="3"/>
  <c r="D331" i="3"/>
  <c r="W331" i="3"/>
  <c r="D446" i="3"/>
  <c r="W446" i="3"/>
  <c r="D273" i="3"/>
  <c r="W273" i="3"/>
  <c r="D309" i="3"/>
  <c r="W309" i="3"/>
  <c r="D37" i="3"/>
  <c r="W37" i="3"/>
  <c r="D261" i="3"/>
  <c r="W261" i="3"/>
  <c r="D117" i="3"/>
  <c r="W117" i="3"/>
  <c r="D206" i="3"/>
  <c r="W206" i="3"/>
  <c r="D148" i="3"/>
  <c r="W148" i="3"/>
  <c r="D349" i="3"/>
  <c r="W349" i="3"/>
  <c r="D326" i="3"/>
  <c r="W326" i="3"/>
  <c r="D231" i="3"/>
  <c r="W231" i="3"/>
  <c r="D130" i="3"/>
  <c r="W130" i="3"/>
  <c r="D219" i="3"/>
  <c r="W219" i="3"/>
  <c r="D132" i="3"/>
  <c r="W132" i="3"/>
  <c r="D464" i="3"/>
  <c r="W464" i="3"/>
  <c r="D367" i="3"/>
  <c r="W367" i="3"/>
  <c r="D347" i="3"/>
  <c r="W347" i="3"/>
  <c r="D327" i="3"/>
  <c r="W327" i="3"/>
  <c r="D121" i="3"/>
  <c r="W121" i="3"/>
  <c r="D10" i="3"/>
  <c r="W10" i="3"/>
  <c r="D244" i="3"/>
  <c r="W244" i="3"/>
  <c r="D379" i="3"/>
  <c r="W379" i="3"/>
  <c r="D141" i="3"/>
  <c r="W141" i="3"/>
  <c r="D174" i="3"/>
  <c r="W174" i="3"/>
  <c r="D21" i="3"/>
  <c r="W21" i="3"/>
  <c r="D88" i="3"/>
  <c r="W88" i="3"/>
  <c r="D228" i="3"/>
  <c r="W228" i="3"/>
  <c r="D408" i="3"/>
  <c r="W408" i="3"/>
  <c r="D439" i="3"/>
  <c r="W439" i="3"/>
  <c r="D360" i="3"/>
  <c r="W360" i="3"/>
  <c r="D242" i="3"/>
  <c r="W242" i="3"/>
  <c r="D34" i="3"/>
  <c r="W34" i="3"/>
  <c r="D262" i="3"/>
  <c r="W262" i="3"/>
  <c r="D235" i="3"/>
  <c r="W235" i="3"/>
  <c r="D147" i="3"/>
  <c r="W147" i="3"/>
  <c r="D45" i="3"/>
  <c r="W45" i="3"/>
  <c r="D290" i="3"/>
  <c r="W290" i="3"/>
  <c r="D241" i="3"/>
  <c r="W241" i="3"/>
  <c r="D138" i="3"/>
  <c r="W138" i="3"/>
  <c r="D371" i="3"/>
  <c r="W371" i="3"/>
  <c r="D118" i="3"/>
  <c r="W118" i="3"/>
  <c r="D74" i="3"/>
  <c r="W74" i="3"/>
  <c r="D12" i="3"/>
  <c r="W12" i="3"/>
  <c r="D225" i="3"/>
  <c r="W225" i="3"/>
  <c r="D14" i="3"/>
  <c r="W14" i="3"/>
  <c r="D53" i="3"/>
  <c r="W53" i="3"/>
  <c r="D306" i="3"/>
  <c r="W306" i="3"/>
  <c r="D400" i="3"/>
  <c r="W400" i="3"/>
  <c r="D156" i="3"/>
  <c r="W156" i="3"/>
  <c r="D373" i="3"/>
  <c r="W373" i="3"/>
  <c r="D216" i="3"/>
  <c r="W216" i="3"/>
  <c r="D223" i="3"/>
  <c r="W223" i="3"/>
  <c r="D484" i="3"/>
  <c r="W484" i="3"/>
  <c r="D270" i="3"/>
  <c r="W270" i="3"/>
  <c r="D338" i="3"/>
  <c r="W338" i="3"/>
  <c r="D33" i="3"/>
  <c r="W33" i="3"/>
  <c r="W255" i="3"/>
  <c r="D255" i="3"/>
  <c r="P182" i="3"/>
  <c r="P159" i="3"/>
  <c r="P134" i="3"/>
  <c r="P34" i="3"/>
  <c r="P102" i="3"/>
  <c r="P198" i="3"/>
  <c r="P64" i="3"/>
  <c r="P115" i="3"/>
  <c r="P234" i="3"/>
  <c r="P106" i="3"/>
  <c r="P256" i="3"/>
  <c r="P207" i="3"/>
  <c r="P161" i="3"/>
  <c r="P23" i="3"/>
  <c r="P152" i="3"/>
  <c r="P450" i="3"/>
  <c r="P296" i="3"/>
  <c r="P35" i="3"/>
  <c r="P88" i="3"/>
  <c r="P196" i="3"/>
  <c r="P496" i="3"/>
  <c r="P465" i="3"/>
  <c r="P233" i="3"/>
  <c r="P123" i="3"/>
  <c r="P242" i="3"/>
  <c r="P114" i="3"/>
  <c r="P415" i="3"/>
  <c r="P71" i="3"/>
  <c r="P169" i="3"/>
  <c r="P54" i="3"/>
  <c r="P160" i="3"/>
  <c r="P482" i="3"/>
  <c r="P360" i="3"/>
  <c r="P69" i="3"/>
  <c r="P29" i="3"/>
  <c r="P399" i="3"/>
  <c r="P150" i="3"/>
  <c r="P211" i="3"/>
  <c r="P111" i="3"/>
  <c r="P214" i="3"/>
  <c r="P469" i="3"/>
  <c r="P53" i="3"/>
  <c r="P454" i="3"/>
  <c r="P202" i="3"/>
  <c r="P416" i="3"/>
  <c r="P473" i="3"/>
  <c r="P80" i="3"/>
  <c r="P129" i="3"/>
  <c r="P248" i="3"/>
  <c r="P120" i="3"/>
  <c r="P5" i="3"/>
  <c r="P193" i="3"/>
  <c r="P16" i="3"/>
  <c r="P70" i="3"/>
  <c r="P164" i="3"/>
  <c r="P498" i="3"/>
  <c r="P293" i="3"/>
  <c r="P85" i="3"/>
  <c r="P45" i="3"/>
  <c r="P210" i="3"/>
  <c r="P486" i="3"/>
  <c r="P481" i="3"/>
  <c r="P219" i="3"/>
  <c r="P137" i="3"/>
  <c r="P28" i="3"/>
  <c r="P128" i="3"/>
  <c r="P434" i="3"/>
  <c r="P213" i="3"/>
  <c r="P60" i="3"/>
  <c r="P422" i="3"/>
  <c r="P174" i="3"/>
  <c r="P209" i="3"/>
  <c r="P442" i="3"/>
  <c r="P24" i="3"/>
  <c r="P279" i="3"/>
  <c r="P127" i="3"/>
  <c r="P89" i="3"/>
  <c r="P485" i="3"/>
  <c r="P241" i="3"/>
  <c r="P40" i="3"/>
  <c r="P93" i="3"/>
  <c r="P170" i="3"/>
  <c r="P13" i="3"/>
  <c r="P341" i="3"/>
  <c r="P105" i="3"/>
  <c r="P74" i="3"/>
  <c r="P216" i="3"/>
  <c r="P33" i="3"/>
  <c r="P487" i="3"/>
  <c r="P96" i="3"/>
  <c r="P141" i="3"/>
  <c r="P44" i="3"/>
  <c r="P132" i="3"/>
  <c r="P452" i="3"/>
  <c r="P179" i="3"/>
  <c r="P76" i="3"/>
  <c r="P18" i="3"/>
  <c r="P178" i="3"/>
  <c r="P436" i="3"/>
  <c r="P404" i="3"/>
  <c r="P215" i="3"/>
  <c r="P101" i="3"/>
  <c r="P224" i="3"/>
  <c r="P66" i="3"/>
  <c r="P495" i="3"/>
  <c r="P237" i="3"/>
  <c r="P151" i="3"/>
  <c r="P166" i="3"/>
  <c r="P143" i="3"/>
  <c r="P118" i="3"/>
  <c r="P92" i="3"/>
  <c r="P43" i="3"/>
  <c r="P205" i="3"/>
  <c r="P147" i="3"/>
  <c r="P68" i="3"/>
  <c r="P138" i="3"/>
  <c r="P476" i="3"/>
  <c r="P227" i="3"/>
  <c r="P99" i="3"/>
  <c r="P42" i="3"/>
  <c r="P184" i="3"/>
  <c r="P448" i="3"/>
  <c r="P421" i="3"/>
  <c r="P247" i="3"/>
  <c r="P109" i="3"/>
  <c r="P228" i="3"/>
  <c r="P82" i="3"/>
  <c r="P499" i="3"/>
  <c r="P55" i="3"/>
  <c r="P155" i="3"/>
  <c r="P103" i="3"/>
  <c r="P146" i="3"/>
  <c r="P424" i="3"/>
  <c r="P268" i="3"/>
  <c r="P19" i="3"/>
  <c r="P72" i="3"/>
  <c r="P192" i="3"/>
  <c r="P480" i="3"/>
  <c r="P461" i="3"/>
  <c r="P201" i="3"/>
  <c r="P119" i="3"/>
  <c r="P238" i="3"/>
  <c r="P110" i="3"/>
  <c r="P309" i="3"/>
  <c r="P246" i="3"/>
  <c r="P440" i="3"/>
  <c r="P163" i="3"/>
  <c r="P154" i="3"/>
  <c r="P312" i="3"/>
  <c r="P104" i="3"/>
  <c r="P409" i="3"/>
  <c r="P249" i="3"/>
  <c r="P244" i="3"/>
  <c r="P252" i="3"/>
  <c r="P478" i="3"/>
  <c r="P162" i="3"/>
  <c r="P376" i="3"/>
  <c r="P37" i="3"/>
  <c r="P10" i="3"/>
  <c r="P203" i="3"/>
  <c r="P84" i="3"/>
  <c r="P57" i="3"/>
  <c r="P493" i="3"/>
  <c r="P221" i="3"/>
  <c r="P149" i="3"/>
  <c r="P75" i="3"/>
  <c r="P140" i="3"/>
  <c r="P484" i="3"/>
  <c r="P467" i="3"/>
  <c r="P371" i="3"/>
  <c r="P342" i="3"/>
  <c r="P433" i="3"/>
  <c r="P337" i="3"/>
  <c r="P308" i="3"/>
  <c r="P393" i="3"/>
  <c r="P303" i="3"/>
  <c r="P273" i="3"/>
  <c r="P396" i="3"/>
  <c r="P368" i="3"/>
  <c r="P260" i="3"/>
  <c r="P363" i="3"/>
  <c r="P334" i="3"/>
  <c r="P441" i="3"/>
  <c r="P345" i="3"/>
  <c r="P316" i="3"/>
  <c r="P401" i="3"/>
  <c r="P311" i="3"/>
  <c r="P281" i="3"/>
  <c r="P113" i="3"/>
  <c r="P112" i="3"/>
  <c r="P39" i="3"/>
  <c r="P353" i="3"/>
  <c r="P276" i="3"/>
  <c r="P423" i="3"/>
  <c r="P77" i="3"/>
  <c r="P3" i="3"/>
  <c r="P95" i="3"/>
  <c r="P131" i="3"/>
  <c r="P122" i="3"/>
  <c r="P225" i="3"/>
  <c r="P86" i="3"/>
  <c r="P11" i="3"/>
  <c r="P94" i="3"/>
  <c r="P212" i="3"/>
  <c r="P483" i="3"/>
  <c r="P139" i="3"/>
  <c r="P130" i="3"/>
  <c r="P87" i="3"/>
  <c r="P494" i="3"/>
  <c r="P420" i="3"/>
  <c r="P199" i="3"/>
  <c r="P20" i="3"/>
  <c r="P428" i="3"/>
  <c r="P477" i="3"/>
  <c r="P187" i="3"/>
  <c r="P133" i="3"/>
  <c r="P14" i="3"/>
  <c r="P124" i="3"/>
  <c r="P9" i="3"/>
  <c r="P451" i="3"/>
  <c r="P355" i="3"/>
  <c r="P326" i="3"/>
  <c r="P417" i="3"/>
  <c r="P321" i="3"/>
  <c r="P292" i="3"/>
  <c r="P414" i="3"/>
  <c r="P287" i="3"/>
  <c r="P278" i="3"/>
  <c r="P380" i="3"/>
  <c r="P352" i="3"/>
  <c r="P443" i="3"/>
  <c r="P347" i="3"/>
  <c r="P318" i="3"/>
  <c r="P425" i="3"/>
  <c r="P329" i="3"/>
  <c r="P300" i="3"/>
  <c r="P385" i="3"/>
  <c r="P295" i="3"/>
  <c r="P265" i="3"/>
  <c r="P25" i="3"/>
  <c r="P430" i="3"/>
  <c r="P38" i="3"/>
  <c r="P156" i="3"/>
  <c r="P413" i="3"/>
  <c r="P350" i="3"/>
  <c r="P191" i="3"/>
  <c r="P229" i="3"/>
  <c r="P255" i="3"/>
  <c r="P81" i="3"/>
  <c r="P41" i="3"/>
  <c r="P189" i="3"/>
  <c r="P59" i="3"/>
  <c r="P468" i="3"/>
  <c r="P83" i="3"/>
  <c r="P180" i="3"/>
  <c r="P383" i="3"/>
  <c r="P107" i="3"/>
  <c r="P73" i="3"/>
  <c r="P245" i="3"/>
  <c r="P91" i="3"/>
  <c r="P500" i="3"/>
  <c r="P12" i="3"/>
  <c r="P222" i="3"/>
  <c r="P472" i="3"/>
  <c r="P459" i="3"/>
  <c r="P185" i="3"/>
  <c r="P117" i="3"/>
  <c r="P236" i="3"/>
  <c r="P108" i="3"/>
  <c r="P4" i="3"/>
  <c r="P435" i="3"/>
  <c r="P339" i="3"/>
  <c r="P310" i="3"/>
  <c r="P395" i="3"/>
  <c r="P305" i="3"/>
  <c r="P275" i="3"/>
  <c r="P398" i="3"/>
  <c r="P370" i="3"/>
  <c r="P262" i="3"/>
  <c r="P365" i="3"/>
  <c r="P336" i="3"/>
  <c r="P427" i="3"/>
  <c r="P331" i="3"/>
  <c r="P302" i="3"/>
  <c r="P403" i="3"/>
  <c r="P313" i="3"/>
  <c r="P284" i="3"/>
  <c r="P406" i="3"/>
  <c r="P378" i="3"/>
  <c r="P186" i="3"/>
  <c r="P250" i="3"/>
  <c r="P121" i="3"/>
  <c r="P165" i="3"/>
  <c r="P358" i="3"/>
  <c r="P290" i="3"/>
  <c r="P457" i="3"/>
  <c r="P470" i="3"/>
  <c r="P230" i="3"/>
  <c r="P243" i="3"/>
  <c r="P50" i="3"/>
  <c r="P456" i="3"/>
  <c r="P462" i="3"/>
  <c r="P232" i="3"/>
  <c r="P254" i="3"/>
  <c r="P157" i="3"/>
  <c r="P148" i="3"/>
  <c r="P263" i="3"/>
  <c r="P79" i="3"/>
  <c r="P488" i="3"/>
  <c r="P217" i="3"/>
  <c r="P240" i="3"/>
  <c r="P8" i="3"/>
  <c r="P167" i="3"/>
  <c r="P206" i="3"/>
  <c r="P407" i="3"/>
  <c r="P373" i="3"/>
  <c r="P183" i="3"/>
  <c r="P90" i="3"/>
  <c r="P220" i="3"/>
  <c r="P49" i="3"/>
  <c r="P491" i="3"/>
  <c r="P419" i="3"/>
  <c r="P323" i="3"/>
  <c r="P294" i="3"/>
  <c r="P379" i="3"/>
  <c r="P289" i="3"/>
  <c r="P259" i="3"/>
  <c r="P382" i="3"/>
  <c r="P354" i="3"/>
  <c r="P445" i="3"/>
  <c r="P349" i="3"/>
  <c r="P320" i="3"/>
  <c r="P411" i="3"/>
  <c r="P315" i="3"/>
  <c r="P286" i="3"/>
  <c r="P387" i="3"/>
  <c r="P297" i="3"/>
  <c r="P267" i="3"/>
  <c r="P390" i="3"/>
  <c r="P362" i="3"/>
  <c r="P270" i="3"/>
  <c r="P30" i="3"/>
  <c r="P27" i="3"/>
  <c r="P47" i="3"/>
  <c r="P466" i="3"/>
  <c r="P324" i="3"/>
  <c r="P280" i="3"/>
  <c r="P298" i="3"/>
  <c r="O251" i="3"/>
  <c r="P173" i="3"/>
  <c r="P501" i="3"/>
  <c r="P223" i="3"/>
  <c r="P31" i="3"/>
  <c r="P458" i="3"/>
  <c r="P51" i="3"/>
  <c r="P200" i="3"/>
  <c r="P471" i="3"/>
  <c r="P125" i="3"/>
  <c r="P116" i="3"/>
  <c r="P177" i="3"/>
  <c r="P61" i="3"/>
  <c r="P490" i="3"/>
  <c r="P78" i="3"/>
  <c r="P208" i="3"/>
  <c r="P479" i="3"/>
  <c r="P135" i="3"/>
  <c r="P190" i="3"/>
  <c r="P474" i="3"/>
  <c r="P344" i="3"/>
  <c r="P62" i="3"/>
  <c r="P21" i="3"/>
  <c r="P204" i="3"/>
  <c r="P432" i="3"/>
  <c r="P475" i="3"/>
  <c r="P397" i="3"/>
  <c r="P307" i="3"/>
  <c r="P277" i="3"/>
  <c r="P400" i="3"/>
  <c r="P372" i="3"/>
  <c r="P264" i="3"/>
  <c r="P367" i="3"/>
  <c r="P338" i="3"/>
  <c r="P429" i="3"/>
  <c r="P333" i="3"/>
  <c r="P304" i="3"/>
  <c r="P389" i="3"/>
  <c r="P299" i="3"/>
  <c r="P269" i="3"/>
  <c r="P408" i="3"/>
  <c r="P282" i="3"/>
  <c r="P272" i="3"/>
  <c r="P375" i="3"/>
  <c r="P346" i="3"/>
  <c r="P98" i="3"/>
  <c r="P463" i="3"/>
  <c r="P239" i="3"/>
  <c r="P449" i="3"/>
  <c r="P285" i="3"/>
  <c r="P327" i="3"/>
  <c r="P52" i="3"/>
  <c r="P257" i="3"/>
  <c r="P171" i="3"/>
  <c r="P446" i="3"/>
  <c r="P7" i="3"/>
  <c r="P32" i="3"/>
  <c r="P168" i="3"/>
  <c r="P325" i="3"/>
  <c r="P58" i="3"/>
  <c r="P17" i="3"/>
  <c r="P235" i="3"/>
  <c r="P36" i="3"/>
  <c r="P444" i="3"/>
  <c r="P67" i="3"/>
  <c r="P176" i="3"/>
  <c r="P388" i="3"/>
  <c r="P97" i="3"/>
  <c r="P158" i="3"/>
  <c r="P492" i="3"/>
  <c r="P22" i="3"/>
  <c r="P253" i="3"/>
  <c r="P56" i="3"/>
  <c r="P188" i="3"/>
  <c r="P464" i="3"/>
  <c r="P453" i="3"/>
  <c r="P381" i="3"/>
  <c r="P291" i="3"/>
  <c r="P261" i="3"/>
  <c r="P384" i="3"/>
  <c r="P356" i="3"/>
  <c r="P447" i="3"/>
  <c r="P351" i="3"/>
  <c r="P322" i="3"/>
  <c r="P405" i="3"/>
  <c r="P317" i="3"/>
  <c r="P288" i="3"/>
  <c r="P410" i="3"/>
  <c r="P283" i="3"/>
  <c r="P274" i="3"/>
  <c r="P392" i="3"/>
  <c r="P364" i="3"/>
  <c r="P455" i="3"/>
  <c r="P359" i="3"/>
  <c r="P330" i="3"/>
  <c r="P437" i="3"/>
  <c r="P126" i="3"/>
  <c r="P386" i="3"/>
  <c r="P412" i="3"/>
  <c r="P332" i="3"/>
  <c r="P460" i="3"/>
  <c r="P65" i="3"/>
  <c r="P46" i="3"/>
  <c r="P218" i="3"/>
  <c r="P489" i="3"/>
  <c r="P145" i="3"/>
  <c r="P136" i="3"/>
  <c r="P195" i="3"/>
  <c r="P26" i="3"/>
  <c r="P426" i="3"/>
  <c r="P231" i="3"/>
  <c r="P226" i="3"/>
  <c r="P497" i="3"/>
  <c r="P153" i="3"/>
  <c r="P144" i="3"/>
  <c r="P181" i="3"/>
  <c r="P63" i="3"/>
  <c r="P142" i="3"/>
  <c r="P418" i="3"/>
  <c r="P197" i="3"/>
  <c r="P48" i="3"/>
  <c r="P100" i="3"/>
  <c r="P172" i="3"/>
  <c r="P15" i="3"/>
  <c r="P357" i="3"/>
  <c r="P402" i="3"/>
  <c r="P374" i="3"/>
  <c r="P266" i="3"/>
  <c r="P369" i="3"/>
  <c r="P340" i="3"/>
  <c r="P431" i="3"/>
  <c r="P335" i="3"/>
  <c r="P306" i="3"/>
  <c r="P391" i="3"/>
  <c r="P301" i="3"/>
  <c r="P271" i="3"/>
  <c r="P394" i="3"/>
  <c r="P366" i="3"/>
  <c r="P258" i="3"/>
  <c r="P377" i="3"/>
  <c r="P348" i="3"/>
  <c r="P439" i="3"/>
  <c r="P343" i="3"/>
  <c r="P314" i="3"/>
  <c r="P438" i="3"/>
  <c r="P175" i="3"/>
  <c r="P194" i="3"/>
  <c r="P6" i="3"/>
  <c r="P328" i="3"/>
  <c r="P319" i="3"/>
  <c r="P361" i="3"/>
  <c r="D457" i="3"/>
  <c r="W457" i="3"/>
  <c r="D169" i="3"/>
  <c r="W169" i="3"/>
  <c r="W310" i="3"/>
  <c r="D221" i="3"/>
  <c r="W221" i="3"/>
  <c r="D187" i="3"/>
  <c r="W187" i="3"/>
  <c r="D222" i="3"/>
  <c r="W222" i="3"/>
  <c r="D415" i="3"/>
  <c r="W415" i="3"/>
  <c r="D311" i="3"/>
  <c r="W311" i="3"/>
  <c r="W159" i="3"/>
  <c r="D159" i="3"/>
  <c r="D269" i="3"/>
  <c r="W269" i="3"/>
  <c r="D249" i="3"/>
  <c r="W249" i="3"/>
  <c r="D29" i="3"/>
  <c r="W29" i="3"/>
  <c r="D422" i="3"/>
  <c r="W422" i="3"/>
  <c r="D358" i="3"/>
  <c r="W358" i="3"/>
  <c r="D455" i="3"/>
  <c r="W455" i="3"/>
  <c r="D139" i="3"/>
  <c r="W139" i="3"/>
  <c r="D134" i="3"/>
  <c r="W134" i="3"/>
  <c r="D23" i="3"/>
  <c r="W23" i="3"/>
  <c r="D417" i="3"/>
  <c r="W417" i="3"/>
  <c r="D458" i="3"/>
  <c r="W458" i="3"/>
  <c r="D313" i="3"/>
  <c r="W313" i="3"/>
  <c r="D445" i="3"/>
  <c r="W445" i="3"/>
  <c r="D257" i="3"/>
  <c r="W257" i="3"/>
  <c r="D25" i="3"/>
  <c r="W25" i="3"/>
  <c r="D461" i="3"/>
  <c r="W461" i="3"/>
  <c r="D283" i="3"/>
  <c r="W283" i="3"/>
  <c r="D254" i="3"/>
  <c r="W254" i="3"/>
  <c r="D319" i="3"/>
  <c r="W319" i="3"/>
  <c r="D151" i="3"/>
  <c r="W151" i="3"/>
  <c r="D99" i="3"/>
  <c r="W99" i="3"/>
  <c r="D114" i="3"/>
  <c r="W114" i="3"/>
  <c r="D374" i="3"/>
  <c r="W374" i="3"/>
  <c r="D271" i="3"/>
  <c r="W271" i="3"/>
  <c r="D123" i="3"/>
  <c r="W123" i="3"/>
  <c r="D419" i="3"/>
  <c r="W419" i="3"/>
  <c r="D315" i="3"/>
  <c r="W315" i="3"/>
  <c r="D366" i="3"/>
  <c r="W366" i="3"/>
  <c r="D428" i="3"/>
  <c r="W428" i="3"/>
  <c r="D391" i="3"/>
  <c r="W391" i="3"/>
  <c r="D330" i="3"/>
  <c r="W330" i="3"/>
  <c r="D307" i="3"/>
  <c r="W307" i="3"/>
  <c r="D215" i="3"/>
  <c r="W215" i="3"/>
  <c r="D71" i="3"/>
  <c r="W71" i="3"/>
  <c r="D357" i="3"/>
  <c r="W357" i="3"/>
  <c r="D178" i="3"/>
  <c r="W178" i="3"/>
  <c r="D173" i="3"/>
  <c r="W173" i="3"/>
  <c r="D401" i="3"/>
  <c r="W401" i="3"/>
  <c r="D396" i="3"/>
  <c r="W396" i="3"/>
  <c r="D93" i="3"/>
  <c r="W93" i="3"/>
  <c r="D429" i="3"/>
  <c r="W429" i="3"/>
  <c r="D182" i="3"/>
  <c r="W182" i="3"/>
  <c r="D298" i="3"/>
  <c r="W298" i="3"/>
  <c r="D188" i="3"/>
  <c r="W188" i="3"/>
  <c r="D276" i="3"/>
  <c r="W276" i="3"/>
  <c r="D58" i="3"/>
  <c r="W58" i="3"/>
  <c r="D324" i="3"/>
  <c r="W324" i="3"/>
  <c r="D95" i="3"/>
  <c r="W95" i="3"/>
  <c r="D6" i="3"/>
  <c r="W6" i="3"/>
  <c r="D175" i="3"/>
  <c r="W175" i="3"/>
  <c r="D342" i="3"/>
  <c r="W342" i="3"/>
  <c r="D113" i="3"/>
  <c r="W113" i="3"/>
  <c r="D456" i="3"/>
  <c r="W456" i="3"/>
  <c r="D211" i="3"/>
  <c r="W211" i="3"/>
  <c r="W111" i="3"/>
  <c r="D295" i="3"/>
  <c r="D161" i="3"/>
  <c r="W161" i="3"/>
  <c r="D304" i="3"/>
  <c r="W304" i="3"/>
  <c r="D398" i="3"/>
  <c r="W398" i="3"/>
  <c r="D431" i="3"/>
  <c r="W431" i="3"/>
  <c r="W103" i="3"/>
  <c r="D103" i="3"/>
  <c r="D44" i="3"/>
  <c r="W44" i="3"/>
  <c r="D453" i="3"/>
  <c r="W453" i="3"/>
  <c r="D355" i="3"/>
  <c r="Q392" i="3"/>
  <c r="F392" i="3" s="1"/>
  <c r="Q284" i="3"/>
  <c r="F284" i="3" s="1"/>
  <c r="Q35" i="3"/>
  <c r="F35" i="3" s="1"/>
  <c r="Q119" i="3"/>
  <c r="F119" i="3" s="1"/>
  <c r="Q450" i="3"/>
  <c r="F450" i="3" s="1"/>
  <c r="Q56" i="3"/>
  <c r="F56" i="3" s="1"/>
  <c r="Q449" i="3"/>
  <c r="F449" i="3" s="1"/>
  <c r="Q416" i="3"/>
  <c r="F416" i="3" s="1"/>
  <c r="Q191" i="3"/>
  <c r="F191" i="3" s="1"/>
  <c r="Q482" i="3"/>
  <c r="F482" i="3" s="1"/>
  <c r="Q484" i="3"/>
  <c r="F484" i="3" s="1"/>
  <c r="Q422" i="3"/>
  <c r="F422" i="3" s="1"/>
  <c r="Q329" i="3"/>
  <c r="F329" i="3" s="1"/>
  <c r="Q400" i="3"/>
  <c r="F400" i="3" s="1"/>
  <c r="Q91" i="3"/>
  <c r="F91" i="3" s="1"/>
  <c r="Q13" i="3"/>
  <c r="F13" i="3" s="1"/>
  <c r="Q227" i="3"/>
  <c r="F227" i="3" s="1"/>
  <c r="Q311" i="3"/>
  <c r="F311" i="3" s="1"/>
  <c r="Q72" i="3"/>
  <c r="F72" i="3" s="1"/>
  <c r="Q257" i="3"/>
  <c r="F257" i="3" s="1"/>
  <c r="Q235" i="3"/>
  <c r="F235" i="3" s="1"/>
  <c r="Q97" i="3"/>
  <c r="F97" i="3" s="1"/>
  <c r="Q45" i="3"/>
  <c r="F45" i="3" s="1"/>
  <c r="Q360" i="3"/>
  <c r="F360" i="3" s="1"/>
  <c r="Q20" i="3"/>
  <c r="F20" i="3" s="1"/>
  <c r="Q362" i="3"/>
  <c r="F362" i="3" s="1"/>
  <c r="Q22" i="3"/>
  <c r="F22" i="3" s="1"/>
  <c r="Q300" i="3"/>
  <c r="F300" i="3" s="1"/>
  <c r="Q51" i="3"/>
  <c r="F51" i="3" s="1"/>
  <c r="Q247" i="3"/>
  <c r="F247" i="3" s="1"/>
  <c r="Q50" i="3"/>
  <c r="F50" i="3" s="1"/>
  <c r="Q268" i="3"/>
  <c r="F268" i="3" s="1"/>
  <c r="Q335" i="3"/>
  <c r="F335" i="3" s="1"/>
  <c r="Q103" i="3"/>
  <c r="F103" i="3" s="1"/>
  <c r="Q338" i="3"/>
  <c r="F338" i="3" s="1"/>
  <c r="Q389" i="3"/>
  <c r="F389" i="3" s="1"/>
  <c r="Q81" i="3"/>
  <c r="F81" i="3" s="1"/>
  <c r="Q305" i="3"/>
  <c r="F305" i="3" s="1"/>
  <c r="Q325" i="3"/>
  <c r="F325" i="3" s="1"/>
  <c r="Q82" i="3"/>
  <c r="F82" i="3" s="1"/>
  <c r="Q378" i="3"/>
  <c r="F378" i="3" s="1"/>
  <c r="Q150" i="3"/>
  <c r="F150" i="3" s="1"/>
  <c r="Q371" i="3"/>
  <c r="F371" i="3" s="1"/>
  <c r="Q152" i="3"/>
  <c r="F152" i="3" s="1"/>
  <c r="Q349" i="3"/>
  <c r="F349" i="3" s="1"/>
  <c r="Q106" i="3"/>
  <c r="F106" i="3" s="1"/>
  <c r="Q44" i="3"/>
  <c r="F44" i="3" s="1"/>
  <c r="Q32" i="3"/>
  <c r="F32" i="3" s="1"/>
  <c r="Q79" i="3"/>
  <c r="F79" i="3" s="1"/>
  <c r="Q19" i="3"/>
  <c r="F19" i="3" s="1"/>
  <c r="Q246" i="3"/>
  <c r="F246" i="3" s="1"/>
  <c r="Q467" i="3"/>
  <c r="F467" i="3" s="1"/>
  <c r="Q241" i="3"/>
  <c r="F241" i="3" s="1"/>
  <c r="Q310" i="3"/>
  <c r="F310" i="3" s="1"/>
  <c r="Q98" i="3"/>
  <c r="F98" i="3" s="1"/>
  <c r="Q481" i="3"/>
  <c r="F481" i="3" s="1"/>
  <c r="Q145" i="3"/>
  <c r="F145" i="3" s="1"/>
  <c r="Q259" i="3"/>
  <c r="F259" i="3" s="1"/>
  <c r="Q38" i="3"/>
  <c r="F38" i="3" s="1"/>
  <c r="Q421" i="3"/>
  <c r="F421" i="3" s="1"/>
  <c r="Q133" i="3"/>
  <c r="F133" i="3" s="1"/>
  <c r="Q433" i="3"/>
  <c r="F433" i="3" s="1"/>
  <c r="Q234" i="3"/>
  <c r="F234" i="3" s="1"/>
  <c r="Q66" i="3"/>
  <c r="F66" i="3" s="1"/>
  <c r="Q134" i="3"/>
  <c r="F134" i="3" s="1"/>
  <c r="Q115" i="3"/>
  <c r="F115" i="3" s="1"/>
  <c r="Q388" i="3"/>
  <c r="F388" i="3" s="1"/>
  <c r="Q116" i="3"/>
  <c r="F116" i="3" s="1"/>
  <c r="Q264" i="3"/>
  <c r="F264" i="3" s="1"/>
  <c r="Q15" i="3"/>
  <c r="F15" i="3" s="1"/>
  <c r="Q499" i="3"/>
  <c r="F499" i="3" s="1"/>
  <c r="Q163" i="3"/>
  <c r="F163" i="3" s="1"/>
  <c r="Q437" i="3"/>
  <c r="F437" i="3" s="1"/>
  <c r="Q149" i="3"/>
  <c r="F149" i="3" s="1"/>
  <c r="Q460" i="3"/>
  <c r="F460" i="3" s="1"/>
  <c r="Q435" i="3"/>
  <c r="F435" i="3" s="1"/>
  <c r="Q196" i="3"/>
  <c r="F196" i="3" s="1"/>
  <c r="Q95" i="3"/>
  <c r="F95" i="3" s="1"/>
  <c r="Q464" i="3"/>
  <c r="F464" i="3" s="1"/>
  <c r="Q239" i="3"/>
  <c r="F239" i="3" s="1"/>
  <c r="Q407" i="3"/>
  <c r="F407" i="3" s="1"/>
  <c r="Q198" i="3"/>
  <c r="F198" i="3" s="1"/>
  <c r="Q375" i="3"/>
  <c r="F375" i="3" s="1"/>
  <c r="Q200" i="3"/>
  <c r="F200" i="3" s="1"/>
  <c r="Q348" i="3"/>
  <c r="F348" i="3" s="1"/>
  <c r="Q99" i="3"/>
  <c r="F99" i="3" s="1"/>
  <c r="Q390" i="3"/>
  <c r="F390" i="3" s="1"/>
  <c r="Q370" i="3"/>
  <c r="F370" i="3" s="1"/>
  <c r="Q148" i="3"/>
  <c r="F148" i="3" s="1"/>
  <c r="Q333" i="3"/>
  <c r="F333" i="3" s="1"/>
  <c r="Q84" i="3"/>
  <c r="F84" i="3" s="1"/>
  <c r="Q366" i="3"/>
  <c r="F366" i="3" s="1"/>
  <c r="Q175" i="3"/>
  <c r="F175" i="3" s="1"/>
  <c r="Q131" i="3"/>
  <c r="F131" i="3" s="1"/>
  <c r="Q205" i="3"/>
  <c r="F205" i="3" s="1"/>
  <c r="Q9" i="3"/>
  <c r="F9" i="3" s="1"/>
  <c r="Q489" i="3"/>
  <c r="F489" i="3" s="1"/>
  <c r="Q413" i="3"/>
  <c r="F413" i="3" s="1"/>
  <c r="Q228" i="3"/>
  <c r="F228" i="3" s="1"/>
  <c r="Q498" i="3"/>
  <c r="F498" i="3" s="1"/>
  <c r="Q373" i="3"/>
  <c r="F373" i="3" s="1"/>
  <c r="Q168" i="3"/>
  <c r="F168" i="3" s="1"/>
  <c r="Q438" i="3"/>
  <c r="F438" i="3" s="1"/>
  <c r="Q455" i="3"/>
  <c r="F455" i="3" s="1"/>
  <c r="Q443" i="3"/>
  <c r="F443" i="3" s="1"/>
  <c r="Q210" i="3"/>
  <c r="F210" i="3" s="1"/>
  <c r="Q461" i="3"/>
  <c r="F461" i="3" s="1"/>
  <c r="Q294" i="3"/>
  <c r="F294" i="3" s="1"/>
  <c r="Q431" i="3"/>
  <c r="F431" i="3" s="1"/>
  <c r="Q244" i="3"/>
  <c r="F244" i="3" s="1"/>
  <c r="Q291" i="3"/>
  <c r="F291" i="3" s="1"/>
  <c r="Q52" i="3"/>
  <c r="F52" i="3" s="1"/>
  <c r="Q266" i="3"/>
  <c r="F266" i="3" s="1"/>
  <c r="Q17" i="3"/>
  <c r="F17" i="3" s="1"/>
  <c r="Q454" i="3"/>
  <c r="F454" i="3" s="1"/>
  <c r="Q471" i="3"/>
  <c r="F471" i="3" s="1"/>
  <c r="Q324" i="3"/>
  <c r="F324" i="3" s="1"/>
  <c r="Q342" i="3"/>
  <c r="F342" i="3" s="1"/>
  <c r="Q93" i="3"/>
  <c r="F93" i="3" s="1"/>
  <c r="Q4" i="3"/>
  <c r="F4" i="3" s="1"/>
  <c r="Q177" i="3"/>
  <c r="F177" i="3" s="1"/>
  <c r="Q6" i="3"/>
  <c r="F6" i="3" s="1"/>
  <c r="Q179" i="3"/>
  <c r="F179" i="3" s="1"/>
  <c r="Q331" i="3"/>
  <c r="F331" i="3" s="1"/>
  <c r="Q154" i="3"/>
  <c r="F154" i="3" s="1"/>
  <c r="Q472" i="3"/>
  <c r="F472" i="3" s="1"/>
  <c r="Q463" i="3"/>
  <c r="F463" i="3" s="1"/>
  <c r="Q127" i="3"/>
  <c r="F127" i="3" s="1"/>
  <c r="Q265" i="3"/>
  <c r="F265" i="3" s="1"/>
  <c r="Q214" i="3"/>
  <c r="F214" i="3" s="1"/>
  <c r="Q8" i="3"/>
  <c r="F8" i="3" s="1"/>
  <c r="Q212" i="3"/>
  <c r="F212" i="3" s="1"/>
  <c r="Q339" i="3"/>
  <c r="F339" i="3" s="1"/>
  <c r="Q406" i="3"/>
  <c r="F406" i="3" s="1"/>
  <c r="Q452" i="3"/>
  <c r="F452" i="3" s="1"/>
  <c r="Q343" i="3"/>
  <c r="F343" i="3" s="1"/>
  <c r="Q346" i="3"/>
  <c r="F346" i="3" s="1"/>
  <c r="Q432" i="3"/>
  <c r="F432" i="3" s="1"/>
  <c r="Q207" i="3"/>
  <c r="F207" i="3" s="1"/>
  <c r="Q277" i="3"/>
  <c r="F277" i="3" s="1"/>
  <c r="Q36" i="3"/>
  <c r="F36" i="3" s="1"/>
  <c r="Q483" i="3"/>
  <c r="F483" i="3" s="1"/>
  <c r="Q147" i="3"/>
  <c r="F147" i="3" s="1"/>
  <c r="Q316" i="3"/>
  <c r="F316" i="3" s="1"/>
  <c r="Q67" i="3"/>
  <c r="F67" i="3" s="1"/>
  <c r="Q353" i="3"/>
  <c r="F353" i="3" s="1"/>
  <c r="Q120" i="3"/>
  <c r="F120" i="3" s="1"/>
  <c r="Q273" i="3"/>
  <c r="F273" i="3" s="1"/>
  <c r="Q448" i="3"/>
  <c r="F448" i="3" s="1"/>
  <c r="Q223" i="3"/>
  <c r="F223" i="3" s="1"/>
  <c r="Q391" i="3"/>
  <c r="F391" i="3" s="1"/>
  <c r="Q182" i="3"/>
  <c r="F182" i="3" s="1"/>
  <c r="Q293" i="3"/>
  <c r="F293" i="3" s="1"/>
  <c r="Q54" i="3"/>
  <c r="F54" i="3" s="1"/>
  <c r="Q332" i="3"/>
  <c r="F332" i="3" s="1"/>
  <c r="Q83" i="3"/>
  <c r="F83" i="3" s="1"/>
  <c r="Q159" i="3"/>
  <c r="F159" i="3" s="1"/>
  <c r="Q395" i="3"/>
  <c r="F395" i="3" s="1"/>
  <c r="Q404" i="3"/>
  <c r="F404" i="3" s="1"/>
  <c r="Q132" i="3"/>
  <c r="F132" i="3" s="1"/>
  <c r="Q281" i="3"/>
  <c r="F281" i="3" s="1"/>
  <c r="Q31" i="3"/>
  <c r="F31" i="3" s="1"/>
  <c r="Q278" i="3"/>
  <c r="F278" i="3" s="1"/>
  <c r="Q33" i="3"/>
  <c r="F33" i="3" s="1"/>
  <c r="Q453" i="3"/>
  <c r="F453" i="3" s="1"/>
  <c r="Q181" i="3"/>
  <c r="F181" i="3" s="1"/>
  <c r="Q89" i="3"/>
  <c r="F89" i="3" s="1"/>
  <c r="Q262" i="3"/>
  <c r="F262" i="3" s="1"/>
  <c r="Q330" i="3"/>
  <c r="F330" i="3" s="1"/>
  <c r="Q405" i="3"/>
  <c r="F405" i="3" s="1"/>
  <c r="Q466" i="3"/>
  <c r="F466" i="3" s="1"/>
  <c r="Q468" i="3"/>
  <c r="F468" i="3" s="1"/>
  <c r="Q480" i="3"/>
  <c r="F480" i="3" s="1"/>
  <c r="Q418" i="3"/>
  <c r="F418" i="3" s="1"/>
  <c r="Q193" i="3"/>
  <c r="F193" i="3" s="1"/>
  <c r="Q478" i="3"/>
  <c r="F478" i="3" s="1"/>
  <c r="Q465" i="3"/>
  <c r="F465" i="3" s="1"/>
  <c r="Q117" i="3"/>
  <c r="F117" i="3" s="1"/>
  <c r="Q129" i="3"/>
  <c r="F129" i="3" s="1"/>
  <c r="Q315" i="3"/>
  <c r="F315" i="3" s="1"/>
  <c r="Q136" i="3"/>
  <c r="F136" i="3" s="1"/>
  <c r="Q61" i="3"/>
  <c r="F61" i="3" s="1"/>
  <c r="Q372" i="3"/>
  <c r="F372" i="3" s="1"/>
  <c r="Q166" i="3"/>
  <c r="F166" i="3" s="1"/>
  <c r="Q500" i="3"/>
  <c r="F500" i="3" s="1"/>
  <c r="Q377" i="3"/>
  <c r="F377" i="3" s="1"/>
  <c r="Q122" i="3"/>
  <c r="F122" i="3" s="1"/>
  <c r="Q174" i="3"/>
  <c r="F174" i="3" s="1"/>
  <c r="Q495" i="3"/>
  <c r="F495" i="3" s="1"/>
  <c r="Q280" i="3"/>
  <c r="F280" i="3" s="1"/>
  <c r="Q344" i="3"/>
  <c r="F344" i="3" s="1"/>
  <c r="Q323" i="3"/>
  <c r="F323" i="3" s="1"/>
  <c r="Q326" i="3"/>
  <c r="F326" i="3" s="1"/>
  <c r="Q77" i="3"/>
  <c r="F77" i="3" s="1"/>
  <c r="Q497" i="3"/>
  <c r="F497" i="3" s="1"/>
  <c r="Q161" i="3"/>
  <c r="F161" i="3" s="1"/>
  <c r="Q393" i="3"/>
  <c r="F393" i="3" s="1"/>
  <c r="Q184" i="3"/>
  <c r="F184" i="3" s="1"/>
  <c r="Q394" i="3"/>
  <c r="F394" i="3" s="1"/>
  <c r="Q138" i="3"/>
  <c r="F138" i="3" s="1"/>
  <c r="Q153" i="3"/>
  <c r="F153" i="3" s="1"/>
  <c r="Q118" i="3"/>
  <c r="F118" i="3" s="1"/>
  <c r="Q140" i="3"/>
  <c r="F140" i="3" s="1"/>
  <c r="Q447" i="3"/>
  <c r="F447" i="3" s="1"/>
  <c r="Q111" i="3"/>
  <c r="F111" i="3" s="1"/>
  <c r="Q307" i="3"/>
  <c r="F307" i="3" s="1"/>
  <c r="Q68" i="3"/>
  <c r="F68" i="3" s="1"/>
  <c r="Q309" i="3"/>
  <c r="F309" i="3" s="1"/>
  <c r="Q70" i="3"/>
  <c r="F70" i="3" s="1"/>
  <c r="Q470" i="3"/>
  <c r="F470" i="3" s="1"/>
  <c r="Q180" i="3"/>
  <c r="F180" i="3" s="1"/>
  <c r="Q501" i="3"/>
  <c r="F501" i="3" s="1"/>
  <c r="Q358" i="3"/>
  <c r="F358" i="3" s="1"/>
  <c r="Q18" i="3"/>
  <c r="F18" i="3" s="1"/>
  <c r="Q296" i="3"/>
  <c r="F296" i="3" s="1"/>
  <c r="Q47" i="3"/>
  <c r="F47" i="3" s="1"/>
  <c r="Q29" i="3"/>
  <c r="F29" i="3" s="1"/>
  <c r="Q359" i="3"/>
  <c r="F359" i="3" s="1"/>
  <c r="Q216" i="3"/>
  <c r="F216" i="3" s="1"/>
  <c r="Q469" i="3"/>
  <c r="F469" i="3" s="1"/>
  <c r="Q213" i="3"/>
  <c r="F213" i="3" s="1"/>
  <c r="Q128" i="3"/>
  <c r="F128" i="3" s="1"/>
  <c r="Q451" i="3"/>
  <c r="F451" i="3" s="1"/>
  <c r="Q479" i="3"/>
  <c r="F479" i="3" s="1"/>
  <c r="Q143" i="3"/>
  <c r="F143" i="3" s="1"/>
  <c r="Q434" i="3"/>
  <c r="F434" i="3" s="1"/>
  <c r="Q209" i="3"/>
  <c r="F209" i="3" s="1"/>
  <c r="Q314" i="3"/>
  <c r="F314" i="3" s="1"/>
  <c r="Q65" i="3"/>
  <c r="F65" i="3" s="1"/>
  <c r="Q379" i="3"/>
  <c r="F379" i="3" s="1"/>
  <c r="Q202" i="3"/>
  <c r="F202" i="3" s="1"/>
  <c r="Q350" i="3"/>
  <c r="F350" i="3" s="1"/>
  <c r="Q383" i="3"/>
  <c r="F383" i="3" s="1"/>
  <c r="Q399" i="3"/>
  <c r="F399" i="3" s="1"/>
  <c r="Q190" i="3"/>
  <c r="F190" i="3" s="1"/>
  <c r="Q459" i="3"/>
  <c r="F459" i="3" s="1"/>
  <c r="Q123" i="3"/>
  <c r="F123" i="3" s="1"/>
  <c r="Q260" i="3"/>
  <c r="F260" i="3" s="1"/>
  <c r="Q48" i="3"/>
  <c r="F48" i="3" s="1"/>
  <c r="Q255" i="3"/>
  <c r="F255" i="3" s="1"/>
  <c r="Q275" i="3"/>
  <c r="F275" i="3" s="1"/>
  <c r="Q76" i="3"/>
  <c r="F76" i="3" s="1"/>
  <c r="Q475" i="3"/>
  <c r="F475" i="3" s="1"/>
  <c r="Q139" i="3"/>
  <c r="F139" i="3" s="1"/>
  <c r="Q429" i="3"/>
  <c r="F429" i="3" s="1"/>
  <c r="Q11" i="3"/>
  <c r="F11" i="3" s="1"/>
  <c r="Q297" i="3"/>
  <c r="F297" i="3" s="1"/>
  <c r="Q58" i="3"/>
  <c r="F58" i="3" s="1"/>
  <c r="Q365" i="3"/>
  <c r="F365" i="3" s="1"/>
  <c r="Q92" i="3"/>
  <c r="F92" i="3" s="1"/>
  <c r="Q285" i="3"/>
  <c r="F285" i="3" s="1"/>
  <c r="Q46" i="3"/>
  <c r="F46" i="3" s="1"/>
  <c r="Q376" i="3"/>
  <c r="F376" i="3" s="1"/>
  <c r="Q197" i="3"/>
  <c r="F197" i="3" s="1"/>
  <c r="Q286" i="3"/>
  <c r="F286" i="3" s="1"/>
  <c r="Q37" i="3"/>
  <c r="F37" i="3" s="1"/>
  <c r="Q320" i="3"/>
  <c r="F320" i="3" s="1"/>
  <c r="Q71" i="3"/>
  <c r="F71" i="3" s="1"/>
  <c r="Q420" i="3"/>
  <c r="F420" i="3" s="1"/>
  <c r="Q195" i="3"/>
  <c r="F195" i="3" s="1"/>
  <c r="Q486" i="3"/>
  <c r="F486" i="3" s="1"/>
  <c r="Q289" i="3"/>
  <c r="F289" i="3" s="1"/>
  <c r="Q248" i="3"/>
  <c r="F248" i="3" s="1"/>
  <c r="Q414" i="3"/>
  <c r="F414" i="3" s="1"/>
  <c r="Q113" i="3"/>
  <c r="F113" i="3" s="1"/>
  <c r="Q243" i="3"/>
  <c r="F243" i="3" s="1"/>
  <c r="Q496" i="3"/>
  <c r="F496" i="3" s="1"/>
  <c r="Q312" i="3"/>
  <c r="F312" i="3" s="1"/>
  <c r="Q63" i="3"/>
  <c r="F63" i="3" s="1"/>
  <c r="Q369" i="3"/>
  <c r="F369" i="3" s="1"/>
  <c r="Q250" i="3"/>
  <c r="F250" i="3" s="1"/>
  <c r="Q485" i="3"/>
  <c r="F485" i="3" s="1"/>
  <c r="Q245" i="3"/>
  <c r="F245" i="3" s="1"/>
  <c r="Q408" i="3"/>
  <c r="F408" i="3" s="1"/>
  <c r="Q107" i="3"/>
  <c r="F107" i="3" s="1"/>
  <c r="Q26" i="3"/>
  <c r="F26" i="3" s="1"/>
  <c r="Q256" i="3"/>
  <c r="F256" i="3" s="1"/>
  <c r="Q169" i="3"/>
  <c r="F169" i="3" s="1"/>
  <c r="Q476" i="3"/>
  <c r="F476" i="3" s="1"/>
  <c r="Q102" i="3"/>
  <c r="F102" i="3" s="1"/>
  <c r="Q303" i="3"/>
  <c r="F303" i="3" s="1"/>
  <c r="Q96" i="3"/>
  <c r="F96" i="3" s="1"/>
  <c r="Q186" i="3"/>
  <c r="F186" i="3" s="1"/>
  <c r="Q276" i="3"/>
  <c r="F276" i="3" s="1"/>
  <c r="Q42" i="3"/>
  <c r="F42" i="3" s="1"/>
  <c r="Q3" i="3"/>
  <c r="F3" i="3" s="1"/>
  <c r="Q206" i="3"/>
  <c r="F206" i="3" s="1"/>
  <c r="Q492" i="3"/>
  <c r="F492" i="3" s="1"/>
  <c r="Q271" i="3"/>
  <c r="F271" i="3" s="1"/>
  <c r="Q64" i="3"/>
  <c r="F64" i="3" s="1"/>
  <c r="Q397" i="3"/>
  <c r="F397" i="3" s="1"/>
  <c r="Q188" i="3"/>
  <c r="F188" i="3" s="1"/>
  <c r="Q319" i="3"/>
  <c r="F319" i="3" s="1"/>
  <c r="Q222" i="3"/>
  <c r="F222" i="3" s="1"/>
  <c r="Q385" i="3"/>
  <c r="F385" i="3" s="1"/>
  <c r="Q176" i="3"/>
  <c r="F176" i="3" s="1"/>
  <c r="Q493" i="3"/>
  <c r="F493" i="3" s="1"/>
  <c r="Q130" i="3"/>
  <c r="F130" i="3" s="1"/>
  <c r="Q313" i="3"/>
  <c r="F313" i="3" s="1"/>
  <c r="Q74" i="3"/>
  <c r="F74" i="3" s="1"/>
  <c r="Q382" i="3"/>
  <c r="F382" i="3" s="1"/>
  <c r="Q110" i="3"/>
  <c r="F110" i="3" s="1"/>
  <c r="Q298" i="3"/>
  <c r="F298" i="3" s="1"/>
  <c r="Q49" i="3"/>
  <c r="F49" i="3" s="1"/>
  <c r="Q364" i="3"/>
  <c r="F364" i="3" s="1"/>
  <c r="Q24" i="3"/>
  <c r="F24" i="3" s="1"/>
  <c r="Q488" i="3"/>
  <c r="F488" i="3" s="1"/>
  <c r="Q328" i="3"/>
  <c r="F328" i="3" s="1"/>
  <c r="Q295" i="3"/>
  <c r="F295" i="3" s="1"/>
  <c r="Q282" i="3"/>
  <c r="F282" i="3" s="1"/>
  <c r="Q34" i="3"/>
  <c r="F34" i="3" s="1"/>
  <c r="Q367" i="3"/>
  <c r="F367" i="3" s="1"/>
  <c r="Q100" i="3"/>
  <c r="F100" i="3" s="1"/>
  <c r="Q419" i="3"/>
  <c r="F419" i="3" s="1"/>
  <c r="Q232" i="3"/>
  <c r="F232" i="3" s="1"/>
  <c r="Q253" i="3"/>
  <c r="F253" i="3" s="1"/>
  <c r="Q287" i="3"/>
  <c r="F287" i="3" s="1"/>
  <c r="Q156" i="3"/>
  <c r="F156" i="3" s="1"/>
  <c r="Q272" i="3"/>
  <c r="F272" i="3" s="1"/>
  <c r="Q23" i="3"/>
  <c r="F23" i="3" s="1"/>
  <c r="Q354" i="3"/>
  <c r="F354" i="3" s="1"/>
  <c r="Q14" i="3"/>
  <c r="F14" i="3" s="1"/>
  <c r="Q445" i="3"/>
  <c r="F445" i="3" s="1"/>
  <c r="Q226" i="3"/>
  <c r="F226" i="3" s="1"/>
  <c r="Q165" i="3"/>
  <c r="F165" i="3" s="1"/>
  <c r="Q381" i="3"/>
  <c r="F381" i="3" s="1"/>
  <c r="Q172" i="3"/>
  <c r="F172" i="3" s="1"/>
  <c r="Q327" i="3"/>
  <c r="F327" i="3" s="1"/>
  <c r="Q185" i="3"/>
  <c r="F185" i="3" s="1"/>
  <c r="Q269" i="3"/>
  <c r="F269" i="3" s="1"/>
  <c r="Q30" i="3"/>
  <c r="F30" i="3" s="1"/>
  <c r="Q317" i="3"/>
  <c r="F317" i="3" s="1"/>
  <c r="Q114" i="3"/>
  <c r="F114" i="3" s="1"/>
  <c r="Q254" i="3"/>
  <c r="F254" i="3" s="1"/>
  <c r="Q167" i="3"/>
  <c r="F167" i="3" s="1"/>
  <c r="Q426" i="3"/>
  <c r="F426" i="3" s="1"/>
  <c r="Q201" i="3"/>
  <c r="F201" i="3" s="1"/>
  <c r="Q491" i="3"/>
  <c r="F491" i="3" s="1"/>
  <c r="Q155" i="3"/>
  <c r="F155" i="3" s="1"/>
  <c r="Q374" i="3"/>
  <c r="F374" i="3" s="1"/>
  <c r="Q27" i="3"/>
  <c r="F27" i="3" s="1"/>
  <c r="Q125" i="3"/>
  <c r="F125" i="3" s="1"/>
  <c r="Q88" i="3"/>
  <c r="F88" i="3" s="1"/>
  <c r="Q410" i="3"/>
  <c r="F410" i="3" s="1"/>
  <c r="Q204" i="3"/>
  <c r="F204" i="3" s="1"/>
  <c r="Q425" i="3"/>
  <c r="F425" i="3" s="1"/>
  <c r="Q283" i="3"/>
  <c r="F283" i="3" s="1"/>
  <c r="Q164" i="3"/>
  <c r="F164" i="3" s="1"/>
  <c r="Q267" i="3"/>
  <c r="F267" i="3" s="1"/>
  <c r="Q160" i="3"/>
  <c r="F160" i="3" s="1"/>
  <c r="Q217" i="3"/>
  <c r="F217" i="3" s="1"/>
  <c r="Q401" i="3"/>
  <c r="F401" i="3" s="1"/>
  <c r="Q192" i="3"/>
  <c r="F192" i="3" s="1"/>
  <c r="Q386" i="3"/>
  <c r="F386" i="3" s="1"/>
  <c r="Q424" i="3"/>
  <c r="F424" i="3" s="1"/>
  <c r="Q199" i="3"/>
  <c r="F199" i="3" s="1"/>
  <c r="Q458" i="3"/>
  <c r="F458" i="3" s="1"/>
  <c r="Q233" i="3"/>
  <c r="F233" i="3" s="1"/>
  <c r="Q5" i="3"/>
  <c r="F5" i="3" s="1"/>
  <c r="Q208" i="3"/>
  <c r="F208" i="3" s="1"/>
  <c r="Q402" i="3"/>
  <c r="F402" i="3" s="1"/>
  <c r="Q162" i="3"/>
  <c r="F162" i="3" s="1"/>
  <c r="Q318" i="3"/>
  <c r="F318" i="3" s="1"/>
  <c r="Q69" i="3"/>
  <c r="F69" i="3" s="1"/>
  <c r="Q347" i="3"/>
  <c r="F347" i="3" s="1"/>
  <c r="Q142" i="3"/>
  <c r="F142" i="3" s="1"/>
  <c r="Q428" i="3"/>
  <c r="F428" i="3" s="1"/>
  <c r="Q203" i="3"/>
  <c r="F203" i="3" s="1"/>
  <c r="Q363" i="3"/>
  <c r="F363" i="3" s="1"/>
  <c r="Q178" i="3"/>
  <c r="F178" i="3" s="1"/>
  <c r="Q341" i="3"/>
  <c r="F341" i="3" s="1"/>
  <c r="Q40" i="3"/>
  <c r="F40" i="3" s="1"/>
  <c r="Q387" i="3"/>
  <c r="F387" i="3" s="1"/>
  <c r="Q270" i="3"/>
  <c r="F270" i="3" s="1"/>
  <c r="Q86" i="3"/>
  <c r="F86" i="3" s="1"/>
  <c r="Q299" i="3"/>
  <c r="F299" i="3" s="1"/>
  <c r="Q494" i="3"/>
  <c r="F494" i="3" s="1"/>
  <c r="Q487" i="3"/>
  <c r="F487" i="3" s="1"/>
  <c r="Q39" i="3"/>
  <c r="F39" i="3" s="1"/>
  <c r="Q292" i="3"/>
  <c r="F292" i="3" s="1"/>
  <c r="Q442" i="3"/>
  <c r="F442" i="3" s="1"/>
  <c r="Q252" i="3"/>
  <c r="F252" i="3" s="1"/>
  <c r="Q171" i="3"/>
  <c r="F171" i="3" s="1"/>
  <c r="Q409" i="3"/>
  <c r="F409" i="3" s="1"/>
  <c r="Q146" i="3"/>
  <c r="F146" i="3" s="1"/>
  <c r="Q302" i="3"/>
  <c r="F302" i="3" s="1"/>
  <c r="Q53" i="3"/>
  <c r="F53" i="3" s="1"/>
  <c r="Q336" i="3"/>
  <c r="F336" i="3" s="1"/>
  <c r="Q87" i="3"/>
  <c r="F87" i="3" s="1"/>
  <c r="Q403" i="3"/>
  <c r="F403" i="3" s="1"/>
  <c r="Q415" i="3"/>
  <c r="F415" i="3" s="1"/>
  <c r="Q187" i="3"/>
  <c r="F187" i="3" s="1"/>
  <c r="Q430" i="3"/>
  <c r="F430" i="3" s="1"/>
  <c r="Q157" i="3"/>
  <c r="F157" i="3" s="1"/>
  <c r="Q380" i="3"/>
  <c r="F380" i="3" s="1"/>
  <c r="Q108" i="3"/>
  <c r="F108" i="3" s="1"/>
  <c r="Q457" i="3"/>
  <c r="F457" i="3" s="1"/>
  <c r="Q121" i="3"/>
  <c r="F121" i="3" s="1"/>
  <c r="Q306" i="3"/>
  <c r="F306" i="3" s="1"/>
  <c r="Q57" i="3"/>
  <c r="F57" i="3" s="1"/>
  <c r="Q446" i="3"/>
  <c r="F446" i="3" s="1"/>
  <c r="Q189" i="3"/>
  <c r="F189" i="3" s="1"/>
  <c r="Q396" i="3"/>
  <c r="F396" i="3" s="1"/>
  <c r="Q124" i="3"/>
  <c r="F124" i="3" s="1"/>
  <c r="Q490" i="3"/>
  <c r="F490" i="3" s="1"/>
  <c r="Q427" i="3"/>
  <c r="F427" i="3" s="1"/>
  <c r="Q240" i="3"/>
  <c r="F240" i="3" s="1"/>
  <c r="Q225" i="3"/>
  <c r="F225" i="3" s="1"/>
  <c r="Q436" i="3"/>
  <c r="F436" i="3" s="1"/>
  <c r="Q60" i="3"/>
  <c r="F60" i="3" s="1"/>
  <c r="Q345" i="3"/>
  <c r="F345" i="3" s="1"/>
  <c r="Q351" i="3"/>
  <c r="F351" i="3" s="1"/>
  <c r="Q183" i="3"/>
  <c r="F183" i="3" s="1"/>
  <c r="Q211" i="3"/>
  <c r="F211" i="3" s="1"/>
  <c r="Q477" i="3"/>
  <c r="F477" i="3" s="1"/>
  <c r="Q242" i="3"/>
  <c r="F242" i="3" s="1"/>
  <c r="Q55" i="3"/>
  <c r="F55" i="3" s="1"/>
  <c r="Q263" i="3"/>
  <c r="F263" i="3" s="1"/>
  <c r="Q25" i="3"/>
  <c r="F25" i="3" s="1"/>
  <c r="Q43" i="3"/>
  <c r="F43" i="3" s="1"/>
  <c r="Q141" i="3"/>
  <c r="F141" i="3" s="1"/>
  <c r="Q357" i="3"/>
  <c r="F357" i="3" s="1"/>
  <c r="Q90" i="3"/>
  <c r="F90" i="3" s="1"/>
  <c r="Q398" i="3"/>
  <c r="F398" i="3" s="1"/>
  <c r="Q126" i="3"/>
  <c r="F126" i="3" s="1"/>
  <c r="Q290" i="3"/>
  <c r="F290" i="3" s="1"/>
  <c r="Q41" i="3"/>
  <c r="F41" i="3" s="1"/>
  <c r="Q59" i="3"/>
  <c r="F59" i="3" s="1"/>
  <c r="Q423" i="3"/>
  <c r="F423" i="3" s="1"/>
  <c r="Q236" i="3"/>
  <c r="F236" i="3" s="1"/>
  <c r="Q474" i="3"/>
  <c r="F474" i="3" s="1"/>
  <c r="Q249" i="3"/>
  <c r="F249" i="3" s="1"/>
  <c r="Q368" i="3"/>
  <c r="F368" i="3" s="1"/>
  <c r="Q94" i="3"/>
  <c r="F94" i="3" s="1"/>
  <c r="Q75" i="3"/>
  <c r="F75" i="3" s="1"/>
  <c r="Q417" i="3"/>
  <c r="F417" i="3" s="1"/>
  <c r="Q355" i="3"/>
  <c r="F355" i="3" s="1"/>
  <c r="Q218" i="3"/>
  <c r="F218" i="3" s="1"/>
  <c r="Q321" i="3"/>
  <c r="F321" i="3" s="1"/>
  <c r="Q230" i="3"/>
  <c r="F230" i="3" s="1"/>
  <c r="Q135" i="3"/>
  <c r="F135" i="3" s="1"/>
  <c r="Q144" i="3"/>
  <c r="F144" i="3" s="1"/>
  <c r="Q151" i="3"/>
  <c r="F151" i="3" s="1"/>
  <c r="Q288" i="3"/>
  <c r="F288" i="3" s="1"/>
  <c r="Q21" i="3"/>
  <c r="F21" i="3" s="1"/>
  <c r="Q258" i="3"/>
  <c r="F258" i="3" s="1"/>
  <c r="Q10" i="3"/>
  <c r="F10" i="3" s="1"/>
  <c r="Q238" i="3"/>
  <c r="F238" i="3" s="1"/>
  <c r="Q301" i="3"/>
  <c r="F301" i="3" s="1"/>
  <c r="Q62" i="3"/>
  <c r="F62" i="3" s="1"/>
  <c r="Q308" i="3"/>
  <c r="F308" i="3" s="1"/>
  <c r="Q109" i="3"/>
  <c r="F109" i="3" s="1"/>
  <c r="Q411" i="3"/>
  <c r="F411" i="3" s="1"/>
  <c r="Q220" i="3"/>
  <c r="F220" i="3" s="1"/>
  <c r="Q441" i="3"/>
  <c r="F441" i="3" s="1"/>
  <c r="Q101" i="3"/>
  <c r="F101" i="3" s="1"/>
  <c r="Q279" i="3"/>
  <c r="F279" i="3" s="1"/>
  <c r="Q78" i="3"/>
  <c r="F78" i="3" s="1"/>
  <c r="Q340" i="3"/>
  <c r="F340" i="3" s="1"/>
  <c r="Q173" i="3"/>
  <c r="F173" i="3" s="1"/>
  <c r="Q229" i="3"/>
  <c r="F229" i="3" s="1"/>
  <c r="Q440" i="3"/>
  <c r="F440" i="3" s="1"/>
  <c r="Q215" i="3"/>
  <c r="F215" i="3" s="1"/>
  <c r="Q352" i="3"/>
  <c r="F352" i="3" s="1"/>
  <c r="Q12" i="3"/>
  <c r="F12" i="3" s="1"/>
  <c r="Q412" i="3"/>
  <c r="F412" i="3" s="1"/>
  <c r="Q224" i="3"/>
  <c r="F224" i="3" s="1"/>
  <c r="Q356" i="3"/>
  <c r="F356" i="3" s="1"/>
  <c r="Q221" i="3"/>
  <c r="F221" i="3" s="1"/>
  <c r="Q456" i="3"/>
  <c r="F456" i="3" s="1"/>
  <c r="Q231" i="3"/>
  <c r="F231" i="3" s="1"/>
  <c r="Q337" i="3"/>
  <c r="F337" i="3" s="1"/>
  <c r="Q158" i="3"/>
  <c r="F158" i="3" s="1"/>
  <c r="Q322" i="3"/>
  <c r="F322" i="3" s="1"/>
  <c r="Q73" i="3"/>
  <c r="F73" i="3" s="1"/>
  <c r="Q170" i="3"/>
  <c r="F170" i="3" s="1"/>
  <c r="Q261" i="3"/>
  <c r="F261" i="3" s="1"/>
  <c r="Q219" i="3"/>
  <c r="F219" i="3" s="1"/>
  <c r="Q7" i="3"/>
  <c r="F7" i="3" s="1"/>
  <c r="Q194" i="3"/>
  <c r="F194" i="3" s="1"/>
  <c r="Q361" i="3"/>
  <c r="F361" i="3" s="1"/>
  <c r="Q304" i="3"/>
  <c r="F304" i="3" s="1"/>
  <c r="Q334" i="3"/>
  <c r="F334" i="3" s="1"/>
  <c r="Q137" i="3"/>
  <c r="F137" i="3" s="1"/>
  <c r="Q104" i="3"/>
  <c r="F104" i="3" s="1"/>
  <c r="Q444" i="3"/>
  <c r="F444" i="3" s="1"/>
  <c r="Q462" i="3"/>
  <c r="F462" i="3" s="1"/>
  <c r="Q105" i="3"/>
  <c r="F105" i="3" s="1"/>
  <c r="Q473" i="3"/>
  <c r="F473" i="3" s="1"/>
  <c r="Q439" i="3"/>
  <c r="F439" i="3" s="1"/>
  <c r="Q16" i="3"/>
  <c r="F16" i="3" s="1"/>
  <c r="F251" i="3"/>
  <c r="Q112" i="3"/>
  <c r="F112" i="3" s="1"/>
  <c r="Q80" i="3"/>
  <c r="F80" i="3" s="1"/>
  <c r="Q28" i="3"/>
  <c r="F28" i="3" s="1"/>
  <c r="Q274" i="3"/>
  <c r="F274" i="3" s="1"/>
  <c r="Q237" i="3"/>
  <c r="F237" i="3" s="1"/>
  <c r="Q85" i="3"/>
  <c r="F85" i="3" s="1"/>
  <c r="Q384" i="3"/>
  <c r="F384" i="3" s="1"/>
  <c r="D470" i="3" l="1"/>
  <c r="W146" i="3"/>
  <c r="W126" i="3"/>
  <c r="W335" i="3"/>
  <c r="W425" i="3"/>
  <c r="W144" i="3"/>
  <c r="W27" i="3"/>
  <c r="D154" i="3"/>
  <c r="D150" i="3"/>
  <c r="W444" i="3"/>
  <c r="D5" i="3"/>
  <c r="W488" i="3"/>
  <c r="W167" i="3"/>
  <c r="W430" i="3"/>
  <c r="D61" i="3"/>
  <c r="W441" i="3"/>
  <c r="W481" i="3"/>
  <c r="W402" i="3"/>
  <c r="D466" i="3"/>
  <c r="W375" i="3"/>
  <c r="W463" i="3"/>
  <c r="W436" i="3"/>
  <c r="W274" i="3"/>
  <c r="W292" i="3"/>
  <c r="W296" i="3"/>
  <c r="W180" i="3"/>
  <c r="W149" i="3"/>
  <c r="W314" i="3"/>
  <c r="W8" i="3"/>
  <c r="W143" i="3"/>
  <c r="D184" i="3"/>
  <c r="D497" i="3"/>
  <c r="W236" i="3"/>
  <c r="W499" i="3"/>
  <c r="W35" i="3"/>
  <c r="D209" i="3"/>
  <c r="W252" i="3"/>
  <c r="W288" i="3"/>
  <c r="W394" i="3"/>
  <c r="W353" i="3"/>
  <c r="W185" i="3"/>
  <c r="W447" i="3"/>
  <c r="D301" i="3"/>
  <c r="D243" i="3"/>
  <c r="D50" i="3"/>
  <c r="W380" i="3"/>
  <c r="D205" i="3"/>
  <c r="W152" i="3"/>
  <c r="O85" i="3"/>
  <c r="E85" i="3" s="1"/>
  <c r="G85" i="3" s="1"/>
  <c r="O172" i="3"/>
  <c r="E172" i="3" s="1"/>
  <c r="G172" i="3" s="1"/>
  <c r="O299" i="3"/>
  <c r="E299" i="3" s="1"/>
  <c r="G299" i="3" s="1"/>
  <c r="O131" i="3"/>
  <c r="E131" i="3" s="1"/>
  <c r="G131" i="3" s="1"/>
  <c r="O136" i="3"/>
  <c r="E136" i="3" s="1"/>
  <c r="G136" i="3" s="1"/>
  <c r="O10" i="3"/>
  <c r="E10" i="3" s="1"/>
  <c r="G10" i="3" s="1"/>
  <c r="O254" i="3"/>
  <c r="E254" i="3" s="1"/>
  <c r="G254" i="3" s="1"/>
  <c r="O245" i="3"/>
  <c r="E245" i="3" s="1"/>
  <c r="G245" i="3" s="1"/>
  <c r="O367" i="3"/>
  <c r="E367" i="3" s="1"/>
  <c r="G367" i="3" s="1"/>
  <c r="O458" i="3"/>
  <c r="E458" i="3" s="1"/>
  <c r="O38" i="3"/>
  <c r="E38" i="3" s="1"/>
  <c r="G38" i="3" s="1"/>
  <c r="O395" i="3"/>
  <c r="E395" i="3" s="1"/>
  <c r="G395" i="3" s="1"/>
  <c r="O74" i="3"/>
  <c r="E74" i="3" s="1"/>
  <c r="G74" i="3" s="1"/>
  <c r="O475" i="3"/>
  <c r="E475" i="3" s="1"/>
  <c r="G475" i="3" s="1"/>
  <c r="O177" i="3"/>
  <c r="E177" i="3" s="1"/>
  <c r="G177" i="3" s="1"/>
  <c r="O491" i="3"/>
  <c r="E491" i="3" s="1"/>
  <c r="G491" i="3" s="1"/>
  <c r="O329" i="3"/>
  <c r="E329" i="3" s="1"/>
  <c r="G329" i="3" s="1"/>
  <c r="O445" i="3"/>
  <c r="E445" i="3" s="1"/>
  <c r="G445" i="3" s="1"/>
  <c r="O303" i="3"/>
  <c r="E303" i="3" s="1"/>
  <c r="G303" i="3" s="1"/>
  <c r="O106" i="3"/>
  <c r="E106" i="3" s="1"/>
  <c r="G106" i="3" s="1"/>
  <c r="O103" i="3"/>
  <c r="E103" i="3" s="1"/>
  <c r="G103" i="3" s="1"/>
  <c r="O383" i="3"/>
  <c r="E383" i="3" s="1"/>
  <c r="G383" i="3" s="1"/>
  <c r="O153" i="3"/>
  <c r="E153" i="3" s="1"/>
  <c r="G153" i="3" s="1"/>
  <c r="O186" i="3"/>
  <c r="E186" i="3" s="1"/>
  <c r="G186" i="3" s="1"/>
  <c r="O324" i="3"/>
  <c r="E324" i="3" s="1"/>
  <c r="G324" i="3" s="1"/>
  <c r="O112" i="3"/>
  <c r="E112" i="3" s="1"/>
  <c r="G112" i="3" s="1"/>
  <c r="O26" i="3"/>
  <c r="E26" i="3" s="1"/>
  <c r="G26" i="3" s="1"/>
  <c r="O77" i="3"/>
  <c r="E77" i="3" s="1"/>
  <c r="G77" i="3" s="1"/>
  <c r="O427" i="3"/>
  <c r="E427" i="3" s="1"/>
  <c r="G427" i="3" s="1"/>
  <c r="O282" i="3"/>
  <c r="E282" i="3" s="1"/>
  <c r="G282" i="3" s="1"/>
  <c r="O435" i="3"/>
  <c r="E435" i="3" s="1"/>
  <c r="G435" i="3" s="1"/>
  <c r="O182" i="3"/>
  <c r="E182" i="3" s="1"/>
  <c r="G182" i="3" s="1"/>
  <c r="O447" i="3"/>
  <c r="E447" i="3" s="1"/>
  <c r="O339" i="3"/>
  <c r="E339" i="3" s="1"/>
  <c r="G339" i="3" s="1"/>
  <c r="O271" i="3"/>
  <c r="E271" i="3" s="1"/>
  <c r="O104" i="3"/>
  <c r="E104" i="3" s="1"/>
  <c r="G104" i="3" s="1"/>
  <c r="O165" i="3"/>
  <c r="E165" i="3" s="1"/>
  <c r="G165" i="3" s="1"/>
  <c r="O307" i="3"/>
  <c r="E307" i="3" s="1"/>
  <c r="G307" i="3" s="1"/>
  <c r="O120" i="3"/>
  <c r="E120" i="3" s="1"/>
  <c r="G120" i="3" s="1"/>
  <c r="O31" i="3"/>
  <c r="E31" i="3" s="1"/>
  <c r="G31" i="3" s="1"/>
  <c r="O256" i="3"/>
  <c r="E256" i="3" s="1"/>
  <c r="O184" i="3"/>
  <c r="E184" i="3" s="1"/>
  <c r="O183" i="3"/>
  <c r="E183" i="3" s="1"/>
  <c r="G183" i="3" s="1"/>
  <c r="O90" i="3"/>
  <c r="E90" i="3" s="1"/>
  <c r="G90" i="3" s="1"/>
  <c r="O13" i="3"/>
  <c r="E13" i="3" s="1"/>
  <c r="G13" i="3" s="1"/>
  <c r="O42" i="3"/>
  <c r="E42" i="3" s="1"/>
  <c r="O384" i="3"/>
  <c r="E384" i="3" s="1"/>
  <c r="G384" i="3" s="1"/>
  <c r="O291" i="3"/>
  <c r="E291" i="3" s="1"/>
  <c r="G291" i="3" s="1"/>
  <c r="O45" i="3"/>
  <c r="E45" i="3" s="1"/>
  <c r="G45" i="3" s="1"/>
  <c r="O231" i="3"/>
  <c r="E231" i="3" s="1"/>
  <c r="O175" i="3"/>
  <c r="E175" i="3" s="1"/>
  <c r="G175" i="3" s="1"/>
  <c r="O163" i="3"/>
  <c r="E163" i="3" s="1"/>
  <c r="G163" i="3" s="1"/>
  <c r="O353" i="3"/>
  <c r="E353" i="3" s="1"/>
  <c r="G353" i="3" s="1"/>
  <c r="O76" i="3"/>
  <c r="E76" i="3" s="1"/>
  <c r="G76" i="3" s="1"/>
  <c r="O252" i="3"/>
  <c r="E252" i="3" s="1"/>
  <c r="G252" i="3" s="1"/>
  <c r="O19" i="3"/>
  <c r="E19" i="3" s="1"/>
  <c r="G19" i="3" s="1"/>
  <c r="O240" i="3"/>
  <c r="E240" i="3" s="1"/>
  <c r="G240" i="3" s="1"/>
  <c r="O46" i="3"/>
  <c r="E46" i="3" s="1"/>
  <c r="G46" i="3" s="1"/>
  <c r="O141" i="3"/>
  <c r="E141" i="3" s="1"/>
  <c r="G141" i="3" s="1"/>
  <c r="O268" i="3"/>
  <c r="E268" i="3" s="1"/>
  <c r="G268" i="3" s="1"/>
  <c r="O400" i="3"/>
  <c r="E400" i="3" s="1"/>
  <c r="G400" i="3" s="1"/>
  <c r="O122" i="3"/>
  <c r="E122" i="3" s="1"/>
  <c r="G122" i="3" s="1"/>
  <c r="O41" i="3"/>
  <c r="E41" i="3" s="1"/>
  <c r="G41" i="3" s="1"/>
  <c r="O81" i="3"/>
  <c r="E81" i="3" s="1"/>
  <c r="G81" i="3" s="1"/>
  <c r="O170" i="3"/>
  <c r="E170" i="3" s="1"/>
  <c r="G170" i="3" s="1"/>
  <c r="O61" i="3"/>
  <c r="E61" i="3" s="1"/>
  <c r="O332" i="3"/>
  <c r="E332" i="3" s="1"/>
  <c r="G332" i="3" s="1"/>
  <c r="O80" i="3"/>
  <c r="E80" i="3" s="1"/>
  <c r="G80" i="3" s="1"/>
  <c r="O181" i="3"/>
  <c r="E181" i="3" s="1"/>
  <c r="G181" i="3" s="1"/>
  <c r="O323" i="3"/>
  <c r="E323" i="3" s="1"/>
  <c r="G323" i="3" s="1"/>
  <c r="O203" i="3"/>
  <c r="E203" i="3" s="1"/>
  <c r="G203" i="3" s="1"/>
  <c r="O501" i="3"/>
  <c r="E501" i="3" s="1"/>
  <c r="G501" i="3" s="1"/>
  <c r="O443" i="3"/>
  <c r="E443" i="3" s="1"/>
  <c r="O167" i="3"/>
  <c r="E167" i="3" s="1"/>
  <c r="O219" i="3"/>
  <c r="E219" i="3" s="1"/>
  <c r="G219" i="3" s="1"/>
  <c r="O192" i="3"/>
  <c r="E192" i="3" s="1"/>
  <c r="G192" i="3" s="1"/>
  <c r="O368" i="3"/>
  <c r="E368" i="3" s="1"/>
  <c r="G368" i="3" s="1"/>
  <c r="O459" i="3"/>
  <c r="E459" i="3" s="1"/>
  <c r="G459" i="3" s="1"/>
  <c r="O126" i="3"/>
  <c r="E126" i="3" s="1"/>
  <c r="G126" i="3" s="1"/>
  <c r="O18" i="3"/>
  <c r="E18" i="3" s="1"/>
  <c r="G18" i="3" s="1"/>
  <c r="O6" i="3"/>
  <c r="E6" i="3" s="1"/>
  <c r="G6" i="3" s="1"/>
  <c r="O298" i="3"/>
  <c r="E298" i="3" s="1"/>
  <c r="G298" i="3" s="1"/>
  <c r="O263" i="3"/>
  <c r="E263" i="3" s="1"/>
  <c r="G263" i="3" s="1"/>
  <c r="O365" i="3"/>
  <c r="E365" i="3" s="1"/>
  <c r="G365" i="3" s="1"/>
  <c r="O348" i="3"/>
  <c r="E348" i="3" s="1"/>
  <c r="G348" i="3" s="1"/>
  <c r="O366" i="3"/>
  <c r="E366" i="3" s="1"/>
  <c r="O457" i="3"/>
  <c r="E457" i="3" s="1"/>
  <c r="G457" i="3" s="1"/>
  <c r="O47" i="3"/>
  <c r="E47" i="3" s="1"/>
  <c r="G47" i="3" s="1"/>
  <c r="O452" i="3"/>
  <c r="E452" i="3" s="1"/>
  <c r="G452" i="3" s="1"/>
  <c r="O448" i="3"/>
  <c r="E448" i="3" s="1"/>
  <c r="G448" i="3" s="1"/>
  <c r="O180" i="3"/>
  <c r="E180" i="3" s="1"/>
  <c r="G180" i="3" s="1"/>
  <c r="O345" i="3"/>
  <c r="E345" i="3" s="1"/>
  <c r="G345" i="3" s="1"/>
  <c r="O194" i="3"/>
  <c r="E194" i="3" s="1"/>
  <c r="G194" i="3" s="1"/>
  <c r="O105" i="3"/>
  <c r="E105" i="3" s="1"/>
  <c r="G105" i="3" s="1"/>
  <c r="O11" i="3"/>
  <c r="E11" i="3" s="1"/>
  <c r="G11" i="3" s="1"/>
  <c r="O34" i="3"/>
  <c r="E34" i="3" s="1"/>
  <c r="G34" i="3" s="1"/>
  <c r="O235" i="3"/>
  <c r="E235" i="3" s="1"/>
  <c r="O188" i="3"/>
  <c r="E188" i="3" s="1"/>
  <c r="G188" i="3" s="1"/>
  <c r="O483" i="3"/>
  <c r="E483" i="3" s="1"/>
  <c r="G483" i="3" s="1"/>
  <c r="O73" i="3"/>
  <c r="E73" i="3" s="1"/>
  <c r="G73" i="3" s="1"/>
  <c r="O489" i="3"/>
  <c r="E489" i="3" s="1"/>
  <c r="G489" i="3" s="1"/>
  <c r="O388" i="3"/>
  <c r="E388" i="3" s="1"/>
  <c r="G388" i="3" s="1"/>
  <c r="O414" i="3"/>
  <c r="E414" i="3" s="1"/>
  <c r="G414" i="3" s="1"/>
  <c r="O286" i="3"/>
  <c r="E286" i="3" s="1"/>
  <c r="G286" i="3" s="1"/>
  <c r="O195" i="3"/>
  <c r="E195" i="3" s="1"/>
  <c r="O361" i="3"/>
  <c r="E361" i="3" s="1"/>
  <c r="O198" i="3"/>
  <c r="E198" i="3" s="1"/>
  <c r="G198" i="3" s="1"/>
  <c r="O116" i="3"/>
  <c r="E116" i="3" s="1"/>
  <c r="G116" i="3" s="1"/>
  <c r="O27" i="3"/>
  <c r="E27" i="3" s="1"/>
  <c r="G27" i="3" s="1"/>
  <c r="O398" i="3"/>
  <c r="E398" i="3" s="1"/>
  <c r="G398" i="3" s="1"/>
  <c r="O370" i="3"/>
  <c r="E370" i="3" s="1"/>
  <c r="G370" i="3" s="1"/>
  <c r="O86" i="3"/>
  <c r="E86" i="3" s="1"/>
  <c r="G86" i="3" s="1"/>
  <c r="O431" i="3"/>
  <c r="E431" i="3" s="1"/>
  <c r="G431" i="3" s="1"/>
  <c r="O8" i="3"/>
  <c r="E8" i="3" s="1"/>
  <c r="G8" i="3" s="1"/>
  <c r="O499" i="3"/>
  <c r="E499" i="3" s="1"/>
  <c r="G499" i="3" s="1"/>
  <c r="O133" i="3"/>
  <c r="E133" i="3" s="1"/>
  <c r="G133" i="3" s="1"/>
  <c r="O79" i="3"/>
  <c r="E79" i="3" s="1"/>
  <c r="G79" i="3" s="1"/>
  <c r="O132" i="3"/>
  <c r="E132" i="3" s="1"/>
  <c r="G132" i="3" s="1"/>
  <c r="O113" i="3"/>
  <c r="E113" i="3" s="1"/>
  <c r="G113" i="3" s="1"/>
  <c r="O211" i="3"/>
  <c r="E211" i="3" s="1"/>
  <c r="G211" i="3" s="1"/>
  <c r="O185" i="3"/>
  <c r="E185" i="3" s="1"/>
  <c r="O43" i="3"/>
  <c r="E43" i="3" s="1"/>
  <c r="O138" i="3"/>
  <c r="E138" i="3" s="1"/>
  <c r="G138" i="3" s="1"/>
  <c r="O93" i="3"/>
  <c r="E93" i="3" s="1"/>
  <c r="G93" i="3" s="1"/>
  <c r="O202" i="3"/>
  <c r="E202" i="3" s="1"/>
  <c r="G202" i="3" s="1"/>
  <c r="O429" i="3"/>
  <c r="E429" i="3" s="1"/>
  <c r="G429" i="3" s="1"/>
  <c r="O349" i="3"/>
  <c r="E349" i="3" s="1"/>
  <c r="G349" i="3" s="1"/>
  <c r="O224" i="3"/>
  <c r="E224" i="3" s="1"/>
  <c r="G224" i="3" s="1"/>
  <c r="O355" i="3"/>
  <c r="E355" i="3" s="1"/>
  <c r="G355" i="3" s="1"/>
  <c r="O473" i="3"/>
  <c r="E473" i="3" s="1"/>
  <c r="G473" i="3" s="1"/>
  <c r="O425" i="3"/>
  <c r="E425" i="3" s="1"/>
  <c r="G425" i="3" s="1"/>
  <c r="O205" i="3"/>
  <c r="E205" i="3" s="1"/>
  <c r="O54" i="3"/>
  <c r="E54" i="3" s="1"/>
  <c r="G54" i="3" s="1"/>
  <c r="O259" i="3"/>
  <c r="E259" i="3" s="1"/>
  <c r="G259" i="3" s="1"/>
  <c r="O481" i="3"/>
  <c r="E481" i="3" s="1"/>
  <c r="G481" i="3" s="1"/>
  <c r="O467" i="3"/>
  <c r="E467" i="3" s="1"/>
  <c r="G467" i="3" s="1"/>
  <c r="O57" i="3"/>
  <c r="E57" i="3" s="1"/>
  <c r="G57" i="3" s="1"/>
  <c r="O92" i="3"/>
  <c r="E92" i="3" s="1"/>
  <c r="O62" i="3"/>
  <c r="E62" i="3" s="1"/>
  <c r="G62" i="3" s="1"/>
  <c r="O4" i="3"/>
  <c r="E4" i="3" s="1"/>
  <c r="G4" i="3" s="1"/>
  <c r="O201" i="3"/>
  <c r="E201" i="3" s="1"/>
  <c r="G201" i="3" s="1"/>
  <c r="O392" i="3"/>
  <c r="E392" i="3" s="1"/>
  <c r="G392" i="3" s="1"/>
  <c r="O82" i="3"/>
  <c r="E82" i="3" s="1"/>
  <c r="G82" i="3" s="1"/>
  <c r="O279" i="3"/>
  <c r="E279" i="3" s="1"/>
  <c r="G279" i="3" s="1"/>
  <c r="O330" i="3"/>
  <c r="E330" i="3" s="1"/>
  <c r="O110" i="3"/>
  <c r="E110" i="3" s="1"/>
  <c r="G110" i="3" s="1"/>
  <c r="O117" i="3"/>
  <c r="E117" i="3" s="1"/>
  <c r="O63" i="3"/>
  <c r="E63" i="3" s="1"/>
  <c r="G63" i="3" s="1"/>
  <c r="O208" i="3"/>
  <c r="E208" i="3" s="1"/>
  <c r="G208" i="3" s="1"/>
  <c r="O7" i="3"/>
  <c r="E7" i="3" s="1"/>
  <c r="G7" i="3" s="1"/>
  <c r="O148" i="3"/>
  <c r="E148" i="3" s="1"/>
  <c r="G148" i="3" s="1"/>
  <c r="O420" i="3"/>
  <c r="E420" i="3" s="1"/>
  <c r="G420" i="3" s="1"/>
  <c r="O249" i="3"/>
  <c r="E249" i="3" s="1"/>
  <c r="G249" i="3" s="1"/>
  <c r="O24" i="3"/>
  <c r="E24" i="3" s="1"/>
  <c r="O176" i="3"/>
  <c r="E176" i="3" s="1"/>
  <c r="G176" i="3" s="1"/>
  <c r="O98" i="3"/>
  <c r="E98" i="3" s="1"/>
  <c r="G98" i="3" s="1"/>
  <c r="O216" i="3"/>
  <c r="E216" i="3" s="1"/>
  <c r="G216" i="3" s="1"/>
  <c r="O362" i="3"/>
  <c r="E362" i="3" s="1"/>
  <c r="G362" i="3" s="1"/>
  <c r="O223" i="3"/>
  <c r="E223" i="3" s="1"/>
  <c r="G223" i="3" s="1"/>
  <c r="O67" i="3"/>
  <c r="E67" i="3" s="1"/>
  <c r="G67" i="3" s="1"/>
  <c r="O109" i="3"/>
  <c r="E109" i="3" s="1"/>
  <c r="O230" i="3"/>
  <c r="E230" i="3" s="1"/>
  <c r="G230" i="3" s="1"/>
  <c r="O293" i="3"/>
  <c r="E293" i="3" s="1"/>
  <c r="G293" i="3" s="1"/>
  <c r="O156" i="3"/>
  <c r="E156" i="3" s="1"/>
  <c r="G156" i="3" s="1"/>
  <c r="O94" i="3"/>
  <c r="E94" i="3" s="1"/>
  <c r="G94" i="3" s="1"/>
  <c r="O311" i="3"/>
  <c r="E311" i="3" s="1"/>
  <c r="G311" i="3" s="1"/>
  <c r="O204" i="3"/>
  <c r="E204" i="3" s="1"/>
  <c r="G204" i="3" s="1"/>
  <c r="O326" i="3"/>
  <c r="E326" i="3" s="1"/>
  <c r="G326" i="3" s="1"/>
  <c r="O114" i="3"/>
  <c r="E114" i="3" s="1"/>
  <c r="G114" i="3" s="1"/>
  <c r="O20" i="3"/>
  <c r="E20" i="3" s="1"/>
  <c r="O421" i="3"/>
  <c r="E421" i="3" s="1"/>
  <c r="G421" i="3" s="1"/>
  <c r="O496" i="3"/>
  <c r="E496" i="3" s="1"/>
  <c r="G496" i="3" s="1"/>
  <c r="O492" i="3"/>
  <c r="E492" i="3" s="1"/>
  <c r="G492" i="3" s="1"/>
  <c r="O320" i="3"/>
  <c r="E320" i="3" s="1"/>
  <c r="G320" i="3" s="1"/>
  <c r="O29" i="3"/>
  <c r="E29" i="3" s="1"/>
  <c r="G29" i="3" s="1"/>
  <c r="O174" i="3"/>
  <c r="E174" i="3" s="1"/>
  <c r="G174" i="3" s="1"/>
  <c r="O58" i="3"/>
  <c r="E58" i="3" s="1"/>
  <c r="G58" i="3" s="1"/>
  <c r="O476" i="3"/>
  <c r="E476" i="3" s="1"/>
  <c r="O191" i="3"/>
  <c r="E191" i="3" s="1"/>
  <c r="G191" i="3" s="1"/>
  <c r="O35" i="3"/>
  <c r="E35" i="3" s="1"/>
  <c r="G35" i="3" s="1"/>
  <c r="O9" i="3"/>
  <c r="E9" i="3" s="1"/>
  <c r="G9" i="3" s="1"/>
  <c r="O158" i="3"/>
  <c r="E158" i="3" s="1"/>
  <c r="G158" i="3" s="1"/>
  <c r="O222" i="3"/>
  <c r="E222" i="3" s="1"/>
  <c r="G222" i="3" s="1"/>
  <c r="O199" i="3"/>
  <c r="E199" i="3" s="1"/>
  <c r="G199" i="3" s="1"/>
  <c r="O423" i="3"/>
  <c r="E423" i="3" s="1"/>
  <c r="G423" i="3" s="1"/>
  <c r="O432" i="3"/>
  <c r="E432" i="3" s="1"/>
  <c r="G432" i="3" s="1"/>
  <c r="O97" i="3"/>
  <c r="E97" i="3" s="1"/>
  <c r="G97" i="3" s="1"/>
  <c r="O178" i="3"/>
  <c r="E178" i="3" s="1"/>
  <c r="G178" i="3" s="1"/>
  <c r="O209" i="3"/>
  <c r="E209" i="3" s="1"/>
  <c r="G209" i="3" s="1"/>
  <c r="O477" i="3"/>
  <c r="E477" i="3" s="1"/>
  <c r="G477" i="3" s="1"/>
  <c r="O319" i="3"/>
  <c r="E319" i="3" s="1"/>
  <c r="G319" i="3" s="1"/>
  <c r="O360" i="3"/>
  <c r="E360" i="3" s="1"/>
  <c r="G360" i="3" s="1"/>
  <c r="O314" i="3"/>
  <c r="E314" i="3" s="1"/>
  <c r="O70" i="3"/>
  <c r="E70" i="3" s="1"/>
  <c r="G70" i="3" s="1"/>
  <c r="O275" i="3"/>
  <c r="E275" i="3" s="1"/>
  <c r="G275" i="3" s="1"/>
  <c r="O497" i="3"/>
  <c r="E497" i="3" s="1"/>
  <c r="O118" i="3"/>
  <c r="E118" i="3" s="1"/>
  <c r="G118" i="3" s="1"/>
  <c r="O236" i="3"/>
  <c r="E236" i="3" s="1"/>
  <c r="G236" i="3" s="1"/>
  <c r="O78" i="3"/>
  <c r="E78" i="3" s="1"/>
  <c r="G78" i="3" s="1"/>
  <c r="O464" i="3"/>
  <c r="E464" i="3" s="1"/>
  <c r="G464" i="3" s="1"/>
  <c r="O480" i="3"/>
  <c r="E480" i="3" s="1"/>
  <c r="G480" i="3" s="1"/>
  <c r="O369" i="3"/>
  <c r="E369" i="3" s="1"/>
  <c r="O160" i="3"/>
  <c r="E160" i="3" s="1"/>
  <c r="G160" i="3" s="1"/>
  <c r="O335" i="3"/>
  <c r="E335" i="3" s="1"/>
  <c r="G335" i="3" s="1"/>
  <c r="O474" i="3"/>
  <c r="E474" i="3" s="1"/>
  <c r="G474" i="3" s="1"/>
  <c r="O232" i="3"/>
  <c r="E232" i="3" s="1"/>
  <c r="G232" i="3" s="1"/>
  <c r="O246" i="3"/>
  <c r="E246" i="3" s="1"/>
  <c r="G246" i="3" s="1"/>
  <c r="O409" i="3"/>
  <c r="E409" i="3" s="1"/>
  <c r="G409" i="3" s="1"/>
  <c r="O381" i="3"/>
  <c r="E381" i="3" s="1"/>
  <c r="G381" i="3" s="1"/>
  <c r="O278" i="3"/>
  <c r="E278" i="3" s="1"/>
  <c r="G278" i="3" s="1"/>
  <c r="O238" i="3"/>
  <c r="E238" i="3" s="1"/>
  <c r="G238" i="3" s="1"/>
  <c r="O274" i="3"/>
  <c r="E274" i="3" s="1"/>
  <c r="G274" i="3" s="1"/>
  <c r="O269" i="3"/>
  <c r="E269" i="3" s="1"/>
  <c r="G269" i="3" s="1"/>
  <c r="O436" i="3"/>
  <c r="E436" i="3" s="1"/>
  <c r="G436" i="3" s="1"/>
  <c r="O40" i="3"/>
  <c r="E40" i="3" s="1"/>
  <c r="G40" i="3" s="1"/>
  <c r="O66" i="3"/>
  <c r="E66" i="3" s="1"/>
  <c r="G66" i="3" s="1"/>
  <c r="O334" i="3"/>
  <c r="E334" i="3" s="1"/>
  <c r="G334" i="3" s="1"/>
  <c r="O372" i="3"/>
  <c r="E372" i="3" s="1"/>
  <c r="G372" i="3" s="1"/>
  <c r="O404" i="3"/>
  <c r="E404" i="3" s="1"/>
  <c r="G404" i="3" s="1"/>
  <c r="O351" i="3"/>
  <c r="E351" i="3" s="1"/>
  <c r="G351" i="3" s="1"/>
  <c r="O387" i="3"/>
  <c r="E387" i="3" s="1"/>
  <c r="G387" i="3" s="1"/>
  <c r="O364" i="3"/>
  <c r="E364" i="3" s="1"/>
  <c r="G364" i="3" s="1"/>
  <c r="O495" i="3"/>
  <c r="E495" i="3" s="1"/>
  <c r="G495" i="3" s="1"/>
  <c r="O21" i="3"/>
  <c r="E21" i="3" s="1"/>
  <c r="G21" i="3" s="1"/>
  <c r="O407" i="3"/>
  <c r="E407" i="3" s="1"/>
  <c r="G407" i="3" s="1"/>
  <c r="O253" i="3"/>
  <c r="E253" i="3" s="1"/>
  <c r="G253" i="3" s="1"/>
  <c r="O12" i="3"/>
  <c r="E12" i="3" s="1"/>
  <c r="G12" i="3" s="1"/>
  <c r="O418" i="3"/>
  <c r="E418" i="3" s="1"/>
  <c r="G418" i="3" s="1"/>
  <c r="O327" i="3"/>
  <c r="E327" i="3" s="1"/>
  <c r="G327" i="3" s="1"/>
  <c r="O145" i="3"/>
  <c r="E145" i="3" s="1"/>
  <c r="G145" i="3" s="1"/>
  <c r="O295" i="3"/>
  <c r="E295" i="3" s="1"/>
  <c r="G295" i="3" s="1"/>
  <c r="O377" i="3"/>
  <c r="E377" i="3" s="1"/>
  <c r="G377" i="3" s="1"/>
  <c r="O36" i="3"/>
  <c r="E36" i="3" s="1"/>
  <c r="O59" i="3"/>
  <c r="E59" i="3" s="1"/>
  <c r="O437" i="3"/>
  <c r="E437" i="3" s="1"/>
  <c r="G437" i="3" s="1"/>
  <c r="O121" i="3"/>
  <c r="E121" i="3" s="1"/>
  <c r="G121" i="3" s="1"/>
  <c r="O405" i="3"/>
  <c r="E405" i="3" s="1"/>
  <c r="G405" i="3" s="1"/>
  <c r="O451" i="3"/>
  <c r="E451" i="3" s="1"/>
  <c r="G451" i="3" s="1"/>
  <c r="O422" i="3"/>
  <c r="E422" i="3" s="1"/>
  <c r="G422" i="3" s="1"/>
  <c r="O37" i="3"/>
  <c r="E37" i="3" s="1"/>
  <c r="G37" i="3" s="1"/>
  <c r="O380" i="3"/>
  <c r="E380" i="3" s="1"/>
  <c r="O265" i="3"/>
  <c r="E265" i="3" s="1"/>
  <c r="G265" i="3" s="1"/>
  <c r="O325" i="3"/>
  <c r="E325" i="3" s="1"/>
  <c r="G325" i="3" s="1"/>
  <c r="O119" i="3"/>
  <c r="E119" i="3" s="1"/>
  <c r="G119" i="3" s="1"/>
  <c r="O304" i="3"/>
  <c r="E304" i="3" s="1"/>
  <c r="G304" i="3" s="1"/>
  <c r="O276" i="3"/>
  <c r="E276" i="3" s="1"/>
  <c r="G276" i="3" s="1"/>
  <c r="O33" i="3"/>
  <c r="E33" i="3" s="1"/>
  <c r="G33" i="3" s="1"/>
  <c r="O130" i="3"/>
  <c r="E130" i="3" s="1"/>
  <c r="G130" i="3" s="1"/>
  <c r="O52" i="3"/>
  <c r="E52" i="3" s="1"/>
  <c r="G52" i="3" s="1"/>
  <c r="O75" i="3"/>
  <c r="E75" i="3" s="1"/>
  <c r="G75" i="3" s="1"/>
  <c r="O107" i="3"/>
  <c r="E107" i="3" s="1"/>
  <c r="G107" i="3" s="1"/>
  <c r="O261" i="3"/>
  <c r="E261" i="3" s="1"/>
  <c r="G261" i="3" s="1"/>
  <c r="O143" i="3"/>
  <c r="E143" i="3" s="1"/>
  <c r="G143" i="3" s="1"/>
  <c r="O438" i="3"/>
  <c r="E438" i="3" s="1"/>
  <c r="G438" i="3" s="1"/>
  <c r="O53" i="3"/>
  <c r="E53" i="3" s="1"/>
  <c r="G53" i="3" s="1"/>
  <c r="O300" i="3"/>
  <c r="E300" i="3" s="1"/>
  <c r="G300" i="3" s="1"/>
  <c r="O213" i="3"/>
  <c r="E213" i="3" s="1"/>
  <c r="G213" i="3" s="1"/>
  <c r="O135" i="3"/>
  <c r="E135" i="3" s="1"/>
  <c r="G135" i="3" s="1"/>
  <c r="O415" i="3"/>
  <c r="E415" i="3" s="1"/>
  <c r="G415" i="3" s="1"/>
  <c r="O390" i="3"/>
  <c r="E390" i="3" s="1"/>
  <c r="G390" i="3" s="1"/>
  <c r="O210" i="3"/>
  <c r="E210" i="3" s="1"/>
  <c r="G210" i="3" s="1"/>
  <c r="O68" i="3"/>
  <c r="E68" i="3" s="1"/>
  <c r="G68" i="3" s="1"/>
  <c r="O500" i="3"/>
  <c r="E500" i="3" s="1"/>
  <c r="G500" i="3" s="1"/>
  <c r="O290" i="3"/>
  <c r="E290" i="3" s="1"/>
  <c r="G290" i="3" s="1"/>
  <c r="O344" i="3"/>
  <c r="E344" i="3" s="1"/>
  <c r="O315" i="3"/>
  <c r="E315" i="3" s="1"/>
  <c r="G315" i="3" s="1"/>
  <c r="O51" i="3"/>
  <c r="E51" i="3" s="1"/>
  <c r="G51" i="3" s="1"/>
  <c r="O471" i="3"/>
  <c r="E471" i="3" s="1"/>
  <c r="G471" i="3" s="1"/>
  <c r="O391" i="3"/>
  <c r="E391" i="3" s="1"/>
  <c r="G391" i="3" s="1"/>
  <c r="O470" i="3"/>
  <c r="E470" i="3" s="1"/>
  <c r="G470" i="3" s="1"/>
  <c r="O401" i="3"/>
  <c r="E401" i="3" s="1"/>
  <c r="G401" i="3" s="1"/>
  <c r="O218" i="3"/>
  <c r="E218" i="3" s="1"/>
  <c r="G218" i="3" s="1"/>
  <c r="O179" i="3"/>
  <c r="E179" i="3" s="1"/>
  <c r="G179" i="3" s="1"/>
  <c r="O187" i="3"/>
  <c r="E187" i="3" s="1"/>
  <c r="G187" i="3" s="1"/>
  <c r="O262" i="3"/>
  <c r="E262" i="3" s="1"/>
  <c r="G262" i="3" s="1"/>
  <c r="O331" i="3"/>
  <c r="E331" i="3" s="1"/>
  <c r="G331" i="3" s="1"/>
  <c r="O302" i="3"/>
  <c r="E302" i="3" s="1"/>
  <c r="G302" i="3" s="1"/>
  <c r="O111" i="3"/>
  <c r="E111" i="3" s="1"/>
  <c r="G111" i="3" s="1"/>
  <c r="O83" i="3"/>
  <c r="E83" i="3" s="1"/>
  <c r="G83" i="3" s="1"/>
  <c r="O173" i="3"/>
  <c r="E173" i="3" s="1"/>
  <c r="G173" i="3" s="1"/>
  <c r="O498" i="3"/>
  <c r="E498" i="3" s="1"/>
  <c r="G498" i="3" s="1"/>
  <c r="O149" i="3"/>
  <c r="E149" i="3" s="1"/>
  <c r="G149" i="3" s="1"/>
  <c r="O95" i="3"/>
  <c r="E95" i="3" s="1"/>
  <c r="G95" i="3" s="1"/>
  <c r="O288" i="3"/>
  <c r="E288" i="3" s="1"/>
  <c r="G288" i="3" s="1"/>
  <c r="O260" i="3"/>
  <c r="E260" i="3" s="1"/>
  <c r="G260" i="3" s="1"/>
  <c r="O17" i="3"/>
  <c r="E17" i="3" s="1"/>
  <c r="G17" i="3" s="1"/>
  <c r="O226" i="3"/>
  <c r="E226" i="3" s="1"/>
  <c r="G226" i="3" s="1"/>
  <c r="O56" i="3"/>
  <c r="E56" i="3" s="1"/>
  <c r="G56" i="3" s="1"/>
  <c r="O294" i="3"/>
  <c r="E294" i="3" s="1"/>
  <c r="G294" i="3" s="1"/>
  <c r="O50" i="3"/>
  <c r="E50" i="3" s="1"/>
  <c r="O266" i="3"/>
  <c r="E266" i="3" s="1"/>
  <c r="G266" i="3" s="1"/>
  <c r="O127" i="3"/>
  <c r="E127" i="3" s="1"/>
  <c r="G127" i="3" s="1"/>
  <c r="O99" i="3"/>
  <c r="E99" i="3" s="1"/>
  <c r="G99" i="3" s="1"/>
  <c r="O221" i="3"/>
  <c r="E221" i="3" s="1"/>
  <c r="G221" i="3" s="1"/>
  <c r="O494" i="3"/>
  <c r="E494" i="3" s="1"/>
  <c r="G494" i="3" s="1"/>
  <c r="O375" i="3"/>
  <c r="E375" i="3" s="1"/>
  <c r="G375" i="3" s="1"/>
  <c r="O413" i="3"/>
  <c r="E413" i="3" s="1"/>
  <c r="O308" i="3"/>
  <c r="E308" i="3" s="1"/>
  <c r="G308" i="3" s="1"/>
  <c r="O468" i="3"/>
  <c r="E468" i="3" s="1"/>
  <c r="G468" i="3" s="1"/>
  <c r="O32" i="3"/>
  <c r="E32" i="3" s="1"/>
  <c r="G32" i="3" s="1"/>
  <c r="O72" i="3"/>
  <c r="E72" i="3" s="1"/>
  <c r="G72" i="3" s="1"/>
  <c r="O472" i="3"/>
  <c r="E472" i="3" s="1"/>
  <c r="G472" i="3" s="1"/>
  <c r="O305" i="3"/>
  <c r="E305" i="3" s="1"/>
  <c r="G305" i="3" s="1"/>
  <c r="O255" i="3"/>
  <c r="E255" i="3" s="1"/>
  <c r="G255" i="3" s="1"/>
  <c r="O152" i="3"/>
  <c r="E152" i="3" s="1"/>
  <c r="G152" i="3" s="1"/>
  <c r="O490" i="3"/>
  <c r="E490" i="3" s="1"/>
  <c r="G490" i="3" s="1"/>
  <c r="O154" i="3"/>
  <c r="E154" i="3" s="1"/>
  <c r="O123" i="3"/>
  <c r="E123" i="3" s="1"/>
  <c r="G123" i="3" s="1"/>
  <c r="O237" i="3"/>
  <c r="E237" i="3" s="1"/>
  <c r="G237" i="3" s="1"/>
  <c r="O396" i="3"/>
  <c r="E396" i="3" s="1"/>
  <c r="G396" i="3" s="1"/>
  <c r="O281" i="3"/>
  <c r="E281" i="3" s="1"/>
  <c r="G281" i="3" s="1"/>
  <c r="O341" i="3"/>
  <c r="E341" i="3" s="1"/>
  <c r="G341" i="3" s="1"/>
  <c r="O340" i="3"/>
  <c r="E340" i="3" s="1"/>
  <c r="G340" i="3" s="1"/>
  <c r="O336" i="3"/>
  <c r="E336" i="3" s="1"/>
  <c r="G336" i="3" s="1"/>
  <c r="O338" i="3"/>
  <c r="E338" i="3" s="1"/>
  <c r="G338" i="3" s="1"/>
  <c r="O49" i="3"/>
  <c r="E49" i="3" s="1"/>
  <c r="G49" i="3" s="1"/>
  <c r="O101" i="3"/>
  <c r="E101" i="3" s="1"/>
  <c r="G101" i="3" s="1"/>
  <c r="O146" i="3"/>
  <c r="E146" i="3" s="1"/>
  <c r="G146" i="3" s="1"/>
  <c r="O88" i="3"/>
  <c r="E88" i="3" s="1"/>
  <c r="G88" i="3" s="1"/>
  <c r="O352" i="3"/>
  <c r="E352" i="3" s="1"/>
  <c r="G352" i="3" s="1"/>
  <c r="O157" i="3"/>
  <c r="E157" i="3" s="1"/>
  <c r="G157" i="3" s="1"/>
  <c r="O155" i="3"/>
  <c r="E155" i="3" s="1"/>
  <c r="G155" i="3" s="1"/>
  <c r="O273" i="3"/>
  <c r="E273" i="3" s="1"/>
  <c r="G273" i="3" s="1"/>
  <c r="O412" i="3"/>
  <c r="E412" i="3" s="1"/>
  <c r="G412" i="3" s="1"/>
  <c r="O328" i="3"/>
  <c r="E328" i="3" s="1"/>
  <c r="G328" i="3" s="1"/>
  <c r="O102" i="3"/>
  <c r="E102" i="3" s="1"/>
  <c r="G102" i="3" s="1"/>
  <c r="O212" i="3"/>
  <c r="E212" i="3" s="1"/>
  <c r="G212" i="3" s="1"/>
  <c r="O371" i="3"/>
  <c r="E371" i="3" s="1"/>
  <c r="G371" i="3" s="1"/>
  <c r="O169" i="3"/>
  <c r="E169" i="3" s="1"/>
  <c r="G169" i="3" s="1"/>
  <c r="O454" i="3"/>
  <c r="E454" i="3" s="1"/>
  <c r="G454" i="3" s="1"/>
  <c r="O347" i="3"/>
  <c r="E347" i="3" s="1"/>
  <c r="G347" i="3" s="1"/>
  <c r="O87" i="3"/>
  <c r="E87" i="3" s="1"/>
  <c r="G87" i="3" s="1"/>
  <c r="O465" i="3"/>
  <c r="E465" i="3" s="1"/>
  <c r="G465" i="3" s="1"/>
  <c r="O214" i="3"/>
  <c r="E214" i="3" s="1"/>
  <c r="G214" i="3" s="1"/>
  <c r="O96" i="3"/>
  <c r="E96" i="3" s="1"/>
  <c r="G96" i="3" s="1"/>
  <c r="O382" i="3"/>
  <c r="E382" i="3" s="1"/>
  <c r="G382" i="3" s="1"/>
  <c r="O346" i="3"/>
  <c r="E346" i="3" s="1"/>
  <c r="G346" i="3" s="1"/>
  <c r="O250" i="3"/>
  <c r="E250" i="3" s="1"/>
  <c r="G250" i="3" s="1"/>
  <c r="O389" i="3"/>
  <c r="E389" i="3" s="1"/>
  <c r="G389" i="3" s="1"/>
  <c r="O239" i="3"/>
  <c r="E239" i="3" s="1"/>
  <c r="G239" i="3" s="1"/>
  <c r="O285" i="3"/>
  <c r="E285" i="3" s="1"/>
  <c r="G285" i="3" s="1"/>
  <c r="O241" i="3"/>
  <c r="E241" i="3" s="1"/>
  <c r="G241" i="3" s="1"/>
  <c r="O309" i="3"/>
  <c r="E309" i="3" s="1"/>
  <c r="G309" i="3" s="1"/>
  <c r="O220" i="3"/>
  <c r="E220" i="3" s="1"/>
  <c r="G220" i="3" s="1"/>
  <c r="O484" i="3"/>
  <c r="E484" i="3" s="1"/>
  <c r="G484" i="3" s="1"/>
  <c r="O450" i="3"/>
  <c r="E450" i="3" s="1"/>
  <c r="G450" i="3" s="1"/>
  <c r="O196" i="3"/>
  <c r="E196" i="3" s="1"/>
  <c r="G196" i="3" s="1"/>
  <c r="O16" i="3"/>
  <c r="E16" i="3" s="1"/>
  <c r="G16" i="3" s="1"/>
  <c r="O411" i="3"/>
  <c r="E411" i="3" s="1"/>
  <c r="G411" i="3" s="1"/>
  <c r="O424" i="3"/>
  <c r="E424" i="3" s="1"/>
  <c r="G424" i="3" s="1"/>
  <c r="O440" i="3"/>
  <c r="E440" i="3" s="1"/>
  <c r="G440" i="3" s="1"/>
  <c r="O403" i="3"/>
  <c r="E403" i="3" s="1"/>
  <c r="G403" i="3" s="1"/>
  <c r="O248" i="3"/>
  <c r="E248" i="3" s="1"/>
  <c r="G248" i="3" s="1"/>
  <c r="O301" i="3"/>
  <c r="E301" i="3" s="1"/>
  <c r="G301" i="3" s="1"/>
  <c r="O124" i="3"/>
  <c r="E124" i="3" s="1"/>
  <c r="G124" i="3" s="1"/>
  <c r="O460" i="3"/>
  <c r="E460" i="3" s="1"/>
  <c r="G460" i="3" s="1"/>
  <c r="O28" i="3"/>
  <c r="E28" i="3" s="1"/>
  <c r="G28" i="3" s="1"/>
  <c r="O434" i="3"/>
  <c r="E434" i="3" s="1"/>
  <c r="G434" i="3" s="1"/>
  <c r="O39" i="3"/>
  <c r="E39" i="3" s="1"/>
  <c r="G39" i="3" s="1"/>
  <c r="O350" i="3"/>
  <c r="E350" i="3" s="1"/>
  <c r="G350" i="3" s="1"/>
  <c r="O243" i="3"/>
  <c r="E243" i="3" s="1"/>
  <c r="G243" i="3" s="1"/>
  <c r="O264" i="3"/>
  <c r="E264" i="3" s="1"/>
  <c r="G264" i="3" s="1"/>
  <c r="O233" i="3"/>
  <c r="E233" i="3" s="1"/>
  <c r="G233" i="3" s="1"/>
  <c r="O394" i="3"/>
  <c r="E394" i="3" s="1"/>
  <c r="G394" i="3" s="1"/>
  <c r="O430" i="3"/>
  <c r="E430" i="3" s="1"/>
  <c r="G430" i="3" s="1"/>
  <c r="O310" i="3"/>
  <c r="E310" i="3" s="1"/>
  <c r="G310" i="3" s="1"/>
  <c r="O442" i="3"/>
  <c r="E442" i="3" s="1"/>
  <c r="G442" i="3" s="1"/>
  <c r="O488" i="3"/>
  <c r="E488" i="3" s="1"/>
  <c r="G488" i="3" s="1"/>
  <c r="O296" i="3"/>
  <c r="E296" i="3" s="1"/>
  <c r="G296" i="3" s="1"/>
  <c r="O317" i="3"/>
  <c r="E317" i="3" s="1"/>
  <c r="G317" i="3" s="1"/>
  <c r="O5" i="3"/>
  <c r="E5" i="3" s="1"/>
  <c r="G5" i="3" s="1"/>
  <c r="O428" i="3"/>
  <c r="E428" i="3" s="1"/>
  <c r="G428" i="3" s="1"/>
  <c r="O386" i="3"/>
  <c r="E386" i="3" s="1"/>
  <c r="G386" i="3" s="1"/>
  <c r="O466" i="3"/>
  <c r="E466" i="3" s="1"/>
  <c r="G466" i="3" s="1"/>
  <c r="O55" i="3"/>
  <c r="E55" i="3" s="1"/>
  <c r="G55" i="3" s="1"/>
  <c r="O393" i="3"/>
  <c r="E393" i="3" s="1"/>
  <c r="G393" i="3" s="1"/>
  <c r="O115" i="3"/>
  <c r="E115" i="3" s="1"/>
  <c r="G115" i="3" s="1"/>
  <c r="O48" i="3"/>
  <c r="E48" i="3" s="1"/>
  <c r="G48" i="3" s="1"/>
  <c r="O416" i="3"/>
  <c r="E416" i="3" s="1"/>
  <c r="G416" i="3" s="1"/>
  <c r="O140" i="3"/>
  <c r="E140" i="3" s="1"/>
  <c r="G140" i="3" s="1"/>
  <c r="O242" i="3"/>
  <c r="E242" i="3" s="1"/>
  <c r="G242" i="3" s="1"/>
  <c r="O322" i="3"/>
  <c r="E322" i="3" s="1"/>
  <c r="G322" i="3" s="1"/>
  <c r="O410" i="3"/>
  <c r="E410" i="3" s="1"/>
  <c r="G410" i="3" s="1"/>
  <c r="O270" i="3"/>
  <c r="E270" i="3" s="1"/>
  <c r="G270" i="3" s="1"/>
  <c r="O3" i="3"/>
  <c r="E3" i="3" s="1"/>
  <c r="G3" i="3" s="1"/>
  <c r="O306" i="3"/>
  <c r="E306" i="3" s="1"/>
  <c r="G306" i="3" s="1"/>
  <c r="O461" i="3"/>
  <c r="E461" i="3" s="1"/>
  <c r="G461" i="3" s="1"/>
  <c r="O168" i="3"/>
  <c r="E168" i="3" s="1"/>
  <c r="G168" i="3" s="1"/>
  <c r="O486" i="3"/>
  <c r="E486" i="3" s="1"/>
  <c r="G486" i="3" s="1"/>
  <c r="O142" i="3"/>
  <c r="E142" i="3" s="1"/>
  <c r="G142" i="3" s="1"/>
  <c r="O89" i="3"/>
  <c r="E89" i="3" s="1"/>
  <c r="G89" i="3" s="1"/>
  <c r="O378" i="3"/>
  <c r="E378" i="3" s="1"/>
  <c r="G378" i="3" s="1"/>
  <c r="O469" i="3"/>
  <c r="E469" i="3" s="1"/>
  <c r="G469" i="3" s="1"/>
  <c r="O397" i="3"/>
  <c r="E397" i="3" s="1"/>
  <c r="G397" i="3" s="1"/>
  <c r="O292" i="3"/>
  <c r="E292" i="3" s="1"/>
  <c r="G292" i="3" s="1"/>
  <c r="O23" i="3"/>
  <c r="E23" i="3" s="1"/>
  <c r="G23" i="3" s="1"/>
  <c r="O318" i="3"/>
  <c r="E318" i="3" s="1"/>
  <c r="G318" i="3" s="1"/>
  <c r="O227" i="3"/>
  <c r="E227" i="3" s="1"/>
  <c r="G227" i="3" s="1"/>
  <c r="O217" i="3"/>
  <c r="E217" i="3" s="1"/>
  <c r="G217" i="3" s="1"/>
  <c r="O363" i="3"/>
  <c r="E363" i="3" s="1"/>
  <c r="G363" i="3" s="1"/>
  <c r="O289" i="3"/>
  <c r="E289" i="3" s="1"/>
  <c r="G289" i="3" s="1"/>
  <c r="O463" i="3"/>
  <c r="E463" i="3" s="1"/>
  <c r="G463" i="3" s="1"/>
  <c r="O234" i="3"/>
  <c r="E234" i="3" s="1"/>
  <c r="G234" i="3" s="1"/>
  <c r="O417" i="3"/>
  <c r="E417" i="3" s="1"/>
  <c r="G417" i="3" s="1"/>
  <c r="O284" i="3"/>
  <c r="E284" i="3" s="1"/>
  <c r="G284" i="3" s="1"/>
  <c r="O197" i="3"/>
  <c r="E197" i="3" s="1"/>
  <c r="G197" i="3" s="1"/>
  <c r="O462" i="3"/>
  <c r="E462" i="3" s="1"/>
  <c r="G462" i="3" s="1"/>
  <c r="O280" i="3"/>
  <c r="E280" i="3" s="1"/>
  <c r="G280" i="3" s="1"/>
  <c r="O161" i="3"/>
  <c r="E161" i="3" s="1"/>
  <c r="G161" i="3" s="1"/>
  <c r="O359" i="3"/>
  <c r="E359" i="3" s="1"/>
  <c r="G359" i="3" s="1"/>
  <c r="O373" i="3"/>
  <c r="E373" i="3" s="1"/>
  <c r="G373" i="3" s="1"/>
  <c r="O342" i="3"/>
  <c r="E342" i="3" s="1"/>
  <c r="G342" i="3" s="1"/>
  <c r="O267" i="3"/>
  <c r="E267" i="3" s="1"/>
  <c r="G267" i="3" s="1"/>
  <c r="O478" i="3"/>
  <c r="E478" i="3" s="1"/>
  <c r="G478" i="3" s="1"/>
  <c r="O125" i="3"/>
  <c r="E125" i="3" s="1"/>
  <c r="G125" i="3" s="1"/>
  <c r="O258" i="3"/>
  <c r="E258" i="3" s="1"/>
  <c r="G258" i="3" s="1"/>
  <c r="O374" i="3"/>
  <c r="E374" i="3" s="1"/>
  <c r="G374" i="3" s="1"/>
  <c r="O426" i="3"/>
  <c r="E426" i="3" s="1"/>
  <c r="G426" i="3" s="1"/>
  <c r="O433" i="3"/>
  <c r="E433" i="3" s="1"/>
  <c r="G433" i="3" s="1"/>
  <c r="O190" i="3"/>
  <c r="E190" i="3" s="1"/>
  <c r="G190" i="3" s="1"/>
  <c r="O129" i="3"/>
  <c r="E129" i="3" s="1"/>
  <c r="G129" i="3" s="1"/>
  <c r="O44" i="3"/>
  <c r="E44" i="3" s="1"/>
  <c r="G44" i="3" s="1"/>
  <c r="O14" i="3"/>
  <c r="E14" i="3" s="1"/>
  <c r="G14" i="3" s="1"/>
  <c r="O164" i="3"/>
  <c r="E164" i="3" s="1"/>
  <c r="G164" i="3" s="1"/>
  <c r="O193" i="3"/>
  <c r="E193" i="3" s="1"/>
  <c r="G193" i="3" s="1"/>
  <c r="O128" i="3"/>
  <c r="E128" i="3" s="1"/>
  <c r="G128" i="3" s="1"/>
  <c r="O297" i="3"/>
  <c r="E297" i="3" s="1"/>
  <c r="G297" i="3" s="1"/>
  <c r="O134" i="3"/>
  <c r="E134" i="3" s="1"/>
  <c r="G134" i="3" s="1"/>
  <c r="O455" i="3"/>
  <c r="E455" i="3" s="1"/>
  <c r="G455" i="3" s="1"/>
  <c r="O215" i="3"/>
  <c r="E215" i="3" s="1"/>
  <c r="G215" i="3" s="1"/>
  <c r="O257" i="3"/>
  <c r="E257" i="3" s="1"/>
  <c r="G257" i="3" s="1"/>
  <c r="O444" i="3"/>
  <c r="E444" i="3" s="1"/>
  <c r="G444" i="3" s="1"/>
  <c r="O91" i="3"/>
  <c r="E91" i="3" s="1"/>
  <c r="G91" i="3" s="1"/>
  <c r="O22" i="3"/>
  <c r="E22" i="3" s="1"/>
  <c r="G22" i="3" s="1"/>
  <c r="O482" i="3"/>
  <c r="E482" i="3" s="1"/>
  <c r="G482" i="3" s="1"/>
  <c r="O69" i="3"/>
  <c r="E69" i="3" s="1"/>
  <c r="G69" i="3" s="1"/>
  <c r="O316" i="3"/>
  <c r="E316" i="3" s="1"/>
  <c r="G316" i="3" s="1"/>
  <c r="O229" i="3"/>
  <c r="E229" i="3" s="1"/>
  <c r="G229" i="3" s="1"/>
  <c r="O30" i="3"/>
  <c r="E30" i="3" s="1"/>
  <c r="G30" i="3" s="1"/>
  <c r="O406" i="3"/>
  <c r="E406" i="3" s="1"/>
  <c r="G406" i="3" s="1"/>
  <c r="O283" i="3"/>
  <c r="E283" i="3" s="1"/>
  <c r="G283" i="3" s="1"/>
  <c r="O144" i="3"/>
  <c r="E144" i="3" s="1"/>
  <c r="G144" i="3" s="1"/>
  <c r="O162" i="3"/>
  <c r="E162" i="3" s="1"/>
  <c r="G162" i="3" s="1"/>
  <c r="E251" i="3"/>
  <c r="G251" i="3" s="1"/>
  <c r="O441" i="3"/>
  <c r="E441" i="3" s="1"/>
  <c r="G441" i="3" s="1"/>
  <c r="O207" i="3"/>
  <c r="E207" i="3" s="1"/>
  <c r="G207" i="3" s="1"/>
  <c r="O159" i="3"/>
  <c r="E159" i="3" s="1"/>
  <c r="G159" i="3" s="1"/>
  <c r="O139" i="3"/>
  <c r="E139" i="3" s="1"/>
  <c r="G139" i="3" s="1"/>
  <c r="O150" i="3"/>
  <c r="E150" i="3" s="1"/>
  <c r="G150" i="3" s="1"/>
  <c r="O419" i="3"/>
  <c r="E419" i="3" s="1"/>
  <c r="G419" i="3" s="1"/>
  <c r="O272" i="3"/>
  <c r="E272" i="3" s="1"/>
  <c r="G272" i="3" s="1"/>
  <c r="O357" i="3"/>
  <c r="E357" i="3" s="1"/>
  <c r="G357" i="3" s="1"/>
  <c r="O151" i="3"/>
  <c r="E151" i="3" s="1"/>
  <c r="G151" i="3" s="1"/>
  <c r="O379" i="3"/>
  <c r="E379" i="3" s="1"/>
  <c r="G379" i="3" s="1"/>
  <c r="O354" i="3"/>
  <c r="E354" i="3" s="1"/>
  <c r="G354" i="3" s="1"/>
  <c r="O65" i="3"/>
  <c r="E65" i="3" s="1"/>
  <c r="G65" i="3" s="1"/>
  <c r="O137" i="3"/>
  <c r="E137" i="3" s="1"/>
  <c r="G137" i="3" s="1"/>
  <c r="O408" i="3"/>
  <c r="E408" i="3" s="1"/>
  <c r="G408" i="3" s="1"/>
  <c r="O244" i="3"/>
  <c r="E244" i="3" s="1"/>
  <c r="G244" i="3" s="1"/>
  <c r="O385" i="3"/>
  <c r="E385" i="3" s="1"/>
  <c r="G385" i="3" s="1"/>
  <c r="O479" i="3"/>
  <c r="E479" i="3" s="1"/>
  <c r="G479" i="3" s="1"/>
  <c r="O487" i="3"/>
  <c r="E487" i="3" s="1"/>
  <c r="G487" i="3" s="1"/>
  <c r="O446" i="3"/>
  <c r="E446" i="3" s="1"/>
  <c r="G446" i="3" s="1"/>
  <c r="O358" i="3"/>
  <c r="E358" i="3" s="1"/>
  <c r="G358" i="3" s="1"/>
  <c r="O493" i="3"/>
  <c r="E493" i="3" s="1"/>
  <c r="G493" i="3" s="1"/>
  <c r="O453" i="3"/>
  <c r="E453" i="3" s="1"/>
  <c r="G453" i="3" s="1"/>
  <c r="O333" i="3"/>
  <c r="E333" i="3" s="1"/>
  <c r="G333" i="3" s="1"/>
  <c r="O108" i="3"/>
  <c r="E108" i="3" s="1"/>
  <c r="G108" i="3" s="1"/>
  <c r="O25" i="3"/>
  <c r="E25" i="3" s="1"/>
  <c r="G25" i="3" s="1"/>
  <c r="O402" i="3"/>
  <c r="E402" i="3" s="1"/>
  <c r="G402" i="3" s="1"/>
  <c r="O356" i="3"/>
  <c r="E356" i="3" s="1"/>
  <c r="G356" i="3" s="1"/>
  <c r="O485" i="3"/>
  <c r="E485" i="3" s="1"/>
  <c r="G485" i="3" s="1"/>
  <c r="O147" i="3"/>
  <c r="E147" i="3" s="1"/>
  <c r="G147" i="3" s="1"/>
  <c r="O343" i="3"/>
  <c r="E343" i="3" s="1"/>
  <c r="G343" i="3" s="1"/>
  <c r="O64" i="3"/>
  <c r="E64" i="3" s="1"/>
  <c r="G64" i="3" s="1"/>
  <c r="O84" i="3"/>
  <c r="E84" i="3" s="1"/>
  <c r="G84" i="3" s="1"/>
  <c r="O439" i="3"/>
  <c r="E439" i="3" s="1"/>
  <c r="G439" i="3" s="1"/>
  <c r="O189" i="3"/>
  <c r="E189" i="3" s="1"/>
  <c r="G189" i="3" s="1"/>
  <c r="O287" i="3"/>
  <c r="E287" i="3" s="1"/>
  <c r="G287" i="3" s="1"/>
  <c r="O399" i="3"/>
  <c r="E399" i="3" s="1"/>
  <c r="G399" i="3" s="1"/>
  <c r="O321" i="3"/>
  <c r="E321" i="3" s="1"/>
  <c r="G321" i="3" s="1"/>
  <c r="O200" i="3"/>
  <c r="E200" i="3" s="1"/>
  <c r="G200" i="3" s="1"/>
  <c r="O277" i="3"/>
  <c r="E277" i="3" s="1"/>
  <c r="G277" i="3" s="1"/>
  <c r="O449" i="3"/>
  <c r="E449" i="3" s="1"/>
  <c r="G449" i="3" s="1"/>
  <c r="O166" i="3"/>
  <c r="E166" i="3" s="1"/>
  <c r="G166" i="3" s="1"/>
  <c r="O60" i="3"/>
  <c r="E60" i="3" s="1"/>
  <c r="G60" i="3" s="1"/>
  <c r="O15" i="3"/>
  <c r="E15" i="3" s="1"/>
  <c r="G15" i="3" s="1"/>
  <c r="O71" i="3"/>
  <c r="E71" i="3" s="1"/>
  <c r="G71" i="3" s="1"/>
  <c r="O225" i="3"/>
  <c r="E225" i="3" s="1"/>
  <c r="G225" i="3" s="1"/>
  <c r="O206" i="3"/>
  <c r="E206" i="3" s="1"/>
  <c r="G206" i="3" s="1"/>
  <c r="O313" i="3"/>
  <c r="E313" i="3" s="1"/>
  <c r="G313" i="3" s="1"/>
  <c r="O228" i="3"/>
  <c r="E228" i="3" s="1"/>
  <c r="G228" i="3" s="1"/>
  <c r="O100" i="3"/>
  <c r="E100" i="3" s="1"/>
  <c r="G100" i="3" s="1"/>
  <c r="O456" i="3"/>
  <c r="E456" i="3" s="1"/>
  <c r="G456" i="3" s="1"/>
  <c r="O337" i="3"/>
  <c r="E337" i="3" s="1"/>
  <c r="G337" i="3" s="1"/>
  <c r="O171" i="3"/>
  <c r="E171" i="3" s="1"/>
  <c r="G171" i="3" s="1"/>
  <c r="O312" i="3"/>
  <c r="E312" i="3" s="1"/>
  <c r="G312" i="3" s="1"/>
  <c r="O247" i="3"/>
  <c r="E247" i="3" s="1"/>
  <c r="G247" i="3" s="1"/>
  <c r="O376" i="3"/>
  <c r="E376" i="3" s="1"/>
  <c r="G376" i="3" s="1"/>
  <c r="G447" i="3"/>
  <c r="G231" i="3"/>
  <c r="G380" i="3"/>
  <c r="G413" i="3"/>
  <c r="G344" i="3"/>
  <c r="G92" i="3"/>
  <c r="G476" i="3"/>
  <c r="G109" i="3"/>
  <c r="G443" i="3"/>
  <c r="G59" i="3"/>
  <c r="G195" i="3"/>
  <c r="G36" i="3"/>
  <c r="G43" i="3"/>
  <c r="G24" i="3"/>
  <c r="G185" i="3"/>
  <c r="G42" i="3"/>
  <c r="G369" i="3"/>
  <c r="G256" i="3"/>
  <c r="G330" i="3"/>
  <c r="G366" i="3"/>
  <c r="G271" i="3"/>
  <c r="G167" i="3"/>
  <c r="G458" i="3"/>
  <c r="G235" i="3"/>
  <c r="G117" i="3"/>
  <c r="G314" i="3"/>
  <c r="G20" i="3"/>
  <c r="G361" i="3"/>
  <c r="O31" i="2"/>
  <c r="T17" i="4" s="1"/>
  <c r="I24" i="2"/>
  <c r="I22" i="2"/>
  <c r="I18" i="2"/>
  <c r="I5" i="2"/>
  <c r="I6" i="2"/>
  <c r="I25" i="2"/>
  <c r="I31" i="2"/>
  <c r="I8" i="2"/>
  <c r="I26" i="2"/>
  <c r="I9" i="2"/>
  <c r="I12" i="2"/>
  <c r="I30" i="2"/>
  <c r="I11" i="2"/>
  <c r="I13" i="2"/>
  <c r="I19" i="2"/>
  <c r="I15" i="2"/>
  <c r="I29" i="2"/>
  <c r="I16" i="2"/>
  <c r="I14" i="2"/>
  <c r="I10" i="2"/>
  <c r="I28" i="2"/>
  <c r="I4" i="2"/>
  <c r="I17" i="2"/>
  <c r="I20" i="2"/>
  <c r="I7" i="2"/>
  <c r="I21" i="2"/>
  <c r="I27" i="2"/>
  <c r="I23" i="2"/>
  <c r="G497" i="3" l="1"/>
  <c r="G154" i="3"/>
  <c r="G205" i="3"/>
  <c r="G50" i="3"/>
  <c r="G61" i="3"/>
  <c r="G184" i="3"/>
  <c r="R17" i="4"/>
  <c r="R3" i="4" s="1"/>
  <c r="Q3" i="4" s="1"/>
  <c r="AA3" i="4" s="1"/>
  <c r="V17" i="4"/>
  <c r="V16" i="4" s="1"/>
  <c r="U16" i="4" s="1"/>
  <c r="T3" i="4"/>
  <c r="S3" i="4" s="1"/>
  <c r="T7" i="4"/>
  <c r="S7" i="4" s="1"/>
  <c r="T4" i="4"/>
  <c r="S4" i="4" s="1"/>
  <c r="T12" i="4"/>
  <c r="S12" i="4" s="1"/>
  <c r="T16" i="4"/>
  <c r="S16" i="4" s="1"/>
  <c r="T6" i="4"/>
  <c r="S6" i="4" s="1"/>
  <c r="T13" i="4"/>
  <c r="S13" i="4" s="1"/>
  <c r="S17" i="4"/>
  <c r="T8" i="4"/>
  <c r="S8" i="4" s="1"/>
  <c r="T11" i="4"/>
  <c r="S11" i="4" s="1"/>
  <c r="T10" i="4"/>
  <c r="S10" i="4" s="1"/>
  <c r="T5" i="4"/>
  <c r="S5" i="4" s="1"/>
  <c r="T14" i="4"/>
  <c r="S14" i="4" s="1"/>
  <c r="T15" i="4"/>
  <c r="S15" i="4" s="1"/>
  <c r="T9" i="4"/>
  <c r="S9" i="4" s="1"/>
  <c r="R4" i="4" l="1"/>
  <c r="Q4" i="4" s="1"/>
  <c r="AA4" i="4" s="1"/>
  <c r="R9" i="4"/>
  <c r="Q9" i="4" s="1"/>
  <c r="U17" i="4"/>
  <c r="V14" i="4"/>
  <c r="U14" i="4" s="1"/>
  <c r="R8" i="4"/>
  <c r="Q8" i="4" s="1"/>
  <c r="AA8" i="4" s="1"/>
  <c r="R11" i="4"/>
  <c r="Q11" i="4" s="1"/>
  <c r="R16" i="4"/>
  <c r="Q16" i="4" s="1"/>
  <c r="AA16" i="4" s="1"/>
  <c r="R13" i="4"/>
  <c r="Q13" i="4" s="1"/>
  <c r="AA13" i="4" s="1"/>
  <c r="R6" i="4"/>
  <c r="Q6" i="4" s="1"/>
  <c r="AA6" i="4" s="1"/>
  <c r="R5" i="4"/>
  <c r="Q5" i="4" s="1"/>
  <c r="AA5" i="4" s="1"/>
  <c r="R10" i="4"/>
  <c r="Q10" i="4" s="1"/>
  <c r="AA10" i="4" s="1"/>
  <c r="R14" i="4"/>
  <c r="Q14" i="4" s="1"/>
  <c r="J14" i="4" s="1"/>
  <c r="V3" i="4"/>
  <c r="U3" i="4" s="1"/>
  <c r="J3" i="4" s="1"/>
  <c r="V11" i="4"/>
  <c r="U11" i="4" s="1"/>
  <c r="V6" i="4"/>
  <c r="U6" i="4" s="1"/>
  <c r="V12" i="4"/>
  <c r="U12" i="4" s="1"/>
  <c r="V5" i="4"/>
  <c r="U5" i="4" s="1"/>
  <c r="V10" i="4"/>
  <c r="U10" i="4" s="1"/>
  <c r="V15" i="4"/>
  <c r="U15" i="4" s="1"/>
  <c r="R12" i="4"/>
  <c r="Q12" i="4" s="1"/>
  <c r="AA12" i="4" s="1"/>
  <c r="V13" i="4"/>
  <c r="U13" i="4" s="1"/>
  <c r="V8" i="4"/>
  <c r="U8" i="4" s="1"/>
  <c r="V9" i="4"/>
  <c r="U9" i="4" s="1"/>
  <c r="R7" i="4"/>
  <c r="Q7" i="4" s="1"/>
  <c r="AA7" i="4" s="1"/>
  <c r="V4" i="4"/>
  <c r="U4" i="4" s="1"/>
  <c r="V7" i="4"/>
  <c r="U7" i="4" s="1"/>
  <c r="R15" i="4"/>
  <c r="Q15" i="4" s="1"/>
  <c r="AA15" i="4" s="1"/>
  <c r="Q17" i="4"/>
  <c r="AA17" i="4" s="1"/>
  <c r="AA9" i="4"/>
  <c r="AD2" i="4"/>
  <c r="AC2" i="4"/>
  <c r="J11" i="4" l="1"/>
  <c r="AA14" i="4"/>
  <c r="AC13" i="4" s="1"/>
  <c r="AA11" i="4"/>
  <c r="AD10" i="4" s="1"/>
  <c r="J4" i="4"/>
  <c r="J16" i="4"/>
  <c r="J9" i="4"/>
  <c r="J5" i="4"/>
  <c r="J8" i="4"/>
  <c r="J6" i="4"/>
  <c r="J17" i="4"/>
  <c r="J12" i="4"/>
  <c r="J13" i="4"/>
  <c r="J7" i="4"/>
  <c r="J10" i="4"/>
  <c r="J15" i="4"/>
  <c r="AD16" i="4"/>
  <c r="AC16" i="4"/>
  <c r="K31" i="19" s="1"/>
  <c r="AD5" i="4"/>
  <c r="AC5" i="4"/>
  <c r="AC6" i="4"/>
  <c r="AD6" i="4"/>
  <c r="AD11" i="4"/>
  <c r="AC11" i="4"/>
  <c r="AC3" i="4"/>
  <c r="AD3" i="4"/>
  <c r="AC14" i="4"/>
  <c r="AD14" i="4"/>
  <c r="AD15" i="4"/>
  <c r="AC15" i="4"/>
  <c r="AD4" i="4"/>
  <c r="AC4" i="4"/>
  <c r="AD9" i="4"/>
  <c r="AC9" i="4"/>
  <c r="AD13" i="4"/>
  <c r="AD7" i="4"/>
  <c r="AC7" i="4"/>
  <c r="AC8" i="4"/>
  <c r="AD8" i="4"/>
  <c r="AD12" i="4"/>
  <c r="AC12" i="4"/>
  <c r="K30" i="19" l="1"/>
  <c r="J30" i="19"/>
  <c r="AC10" i="4"/>
  <c r="O31" i="19"/>
  <c r="J24" i="19" l="1"/>
  <c r="D4181" i="23" s="1"/>
  <c r="J28" i="19"/>
  <c r="D4185" i="23" s="1"/>
  <c r="J26" i="19"/>
  <c r="D4183" i="23" s="1"/>
  <c r="J22" i="19"/>
  <c r="D4179" i="23" s="1"/>
  <c r="J19" i="19"/>
  <c r="D4176" i="23" s="1"/>
  <c r="J21" i="19"/>
  <c r="D4178" i="23" s="1"/>
  <c r="J20" i="19"/>
  <c r="D4177" i="23" s="1"/>
  <c r="J23" i="19"/>
  <c r="D4180" i="23" s="1"/>
  <c r="J25" i="19"/>
  <c r="D4182" i="23" s="1"/>
  <c r="J11" i="19"/>
  <c r="D4168" i="23" s="1"/>
  <c r="J10" i="19"/>
  <c r="D4167" i="23" s="1"/>
  <c r="J8" i="19"/>
  <c r="D4165" i="23" s="1"/>
  <c r="J7" i="19"/>
  <c r="D4164" i="23" s="1"/>
  <c r="J27" i="19"/>
  <c r="D4184" i="23" s="1"/>
  <c r="J4" i="19"/>
  <c r="D4161" i="23" s="1"/>
  <c r="J18" i="19"/>
  <c r="D4175" i="23" s="1"/>
  <c r="J13" i="19"/>
  <c r="D4170" i="23" s="1"/>
  <c r="J9" i="19"/>
  <c r="D4166" i="23" s="1"/>
  <c r="D4187" i="23"/>
  <c r="J15" i="19"/>
  <c r="D4172" i="23" s="1"/>
  <c r="J16" i="19"/>
  <c r="D4173" i="23" s="1"/>
  <c r="J17" i="19"/>
  <c r="D4174" i="23" s="1"/>
  <c r="J14" i="19"/>
  <c r="D4171" i="23" s="1"/>
  <c r="K13" i="19"/>
  <c r="K15" i="19"/>
  <c r="AE5" i="4" s="1"/>
  <c r="K9" i="19"/>
  <c r="AE3" i="4" s="1"/>
  <c r="K27" i="19"/>
  <c r="J6" i="19"/>
  <c r="D4163" i="23" s="1"/>
  <c r="K7" i="19"/>
  <c r="K19" i="19"/>
  <c r="AE7" i="4" s="1"/>
  <c r="K29" i="19"/>
  <c r="K14" i="19"/>
  <c r="K28" i="19"/>
  <c r="AE15" i="4" s="1"/>
  <c r="K6" i="19"/>
  <c r="AE2" i="4" s="1"/>
  <c r="K18" i="19"/>
  <c r="K16" i="19"/>
  <c r="K4" i="19"/>
  <c r="J5" i="19"/>
  <c r="D4162" i="23" s="1"/>
  <c r="K23" i="19"/>
  <c r="AE10" i="4" s="1"/>
  <c r="K20" i="19"/>
  <c r="K12" i="19"/>
  <c r="AE4" i="4" s="1"/>
  <c r="K21" i="19"/>
  <c r="AE8" i="4" s="1"/>
  <c r="K5" i="19"/>
  <c r="J29" i="19"/>
  <c r="D4186" i="23" s="1"/>
  <c r="K17" i="19"/>
  <c r="AE6" i="4" s="1"/>
  <c r="K11" i="19"/>
  <c r="K10" i="19"/>
  <c r="K8" i="19"/>
  <c r="J12" i="19"/>
  <c r="D4169" i="23" s="1"/>
  <c r="K26" i="19"/>
  <c r="AE13" i="4" s="1"/>
  <c r="K22" i="19"/>
  <c r="K24" i="19"/>
  <c r="AE11" i="4" s="1"/>
  <c r="K25" i="19"/>
  <c r="N9" i="19"/>
  <c r="N30" i="19"/>
  <c r="N10" i="19"/>
  <c r="N11" i="19"/>
  <c r="N5" i="19"/>
  <c r="N17" i="19"/>
  <c r="AD9" i="6" s="1"/>
  <c r="N12" i="19"/>
  <c r="AD4" i="6" s="1"/>
  <c r="N4" i="19"/>
  <c r="N27" i="19"/>
  <c r="AD20" i="6" s="1"/>
  <c r="N24" i="19"/>
  <c r="N6" i="19"/>
  <c r="N21" i="19"/>
  <c r="AD14" i="6" s="1"/>
  <c r="N18" i="19"/>
  <c r="AD10" i="6" s="1"/>
  <c r="N28" i="19"/>
  <c r="AD21" i="6" s="1"/>
  <c r="N8" i="19"/>
  <c r="N14" i="19"/>
  <c r="AD6" i="6" s="1"/>
  <c r="N26" i="19"/>
  <c r="N25" i="19"/>
  <c r="AD18" i="6" s="1"/>
  <c r="N16" i="19"/>
  <c r="AD8" i="6" s="1"/>
  <c r="N20" i="19"/>
  <c r="AD12" i="6" s="1"/>
  <c r="N19" i="19"/>
  <c r="AD11" i="6" s="1"/>
  <c r="N13" i="19"/>
  <c r="AD5" i="6" s="1"/>
  <c r="N29" i="19"/>
  <c r="AD22" i="6" s="1"/>
  <c r="O30" i="19"/>
  <c r="O22" i="19"/>
  <c r="AF9" i="4" s="1"/>
  <c r="O26" i="19"/>
  <c r="AF13" i="4" s="1"/>
  <c r="O9" i="19"/>
  <c r="AF3" i="4" s="1"/>
  <c r="O5" i="19"/>
  <c r="O4" i="19"/>
  <c r="O21" i="19"/>
  <c r="AF8" i="4" s="1"/>
  <c r="O8" i="19"/>
  <c r="O10" i="19"/>
  <c r="O16" i="19"/>
  <c r="O24" i="19"/>
  <c r="AF11" i="4" s="1"/>
  <c r="O12" i="19"/>
  <c r="AF4" i="4" s="1"/>
  <c r="O25" i="19"/>
  <c r="AF12" i="4" s="1"/>
  <c r="O14" i="19"/>
  <c r="O11" i="19"/>
  <c r="O29" i="19"/>
  <c r="AF16" i="4" s="1"/>
  <c r="O27" i="19"/>
  <c r="AF14" i="4" s="1"/>
  <c r="O20" i="19"/>
  <c r="N23" i="19"/>
  <c r="AD16" i="6" s="1"/>
  <c r="O7" i="19"/>
  <c r="N7" i="19"/>
  <c r="N22" i="19"/>
  <c r="AD15" i="6" s="1"/>
  <c r="O15" i="19"/>
  <c r="AF5" i="4" s="1"/>
  <c r="O6" i="19"/>
  <c r="AF2" i="4" s="1"/>
  <c r="O19" i="19"/>
  <c r="AF7" i="4" s="1"/>
  <c r="N15" i="19"/>
  <c r="O28" i="19"/>
  <c r="AF15" i="4" s="1"/>
  <c r="O13" i="19"/>
  <c r="O17" i="19"/>
  <c r="AF6" i="4" s="1"/>
  <c r="O18" i="19"/>
  <c r="O23" i="19"/>
  <c r="AF10" i="4" s="1"/>
  <c r="AC17" i="6" l="1"/>
  <c r="AC15" i="6"/>
  <c r="J15" i="6" s="1"/>
  <c r="AC21" i="6"/>
  <c r="J21" i="6" s="1"/>
  <c r="AC3" i="6"/>
  <c r="L3" i="4"/>
  <c r="AC18" i="6"/>
  <c r="J18" i="6" s="1"/>
  <c r="AC5" i="6"/>
  <c r="J5" i="6" s="1"/>
  <c r="AC31" i="5"/>
  <c r="I31" i="5" s="1"/>
  <c r="AC6" i="6"/>
  <c r="J6" i="6" s="1"/>
  <c r="L4" i="4"/>
  <c r="AC20" i="6"/>
  <c r="J20" i="6" s="1"/>
  <c r="AC101" i="5"/>
  <c r="I101" i="5" s="1"/>
  <c r="L7" i="4"/>
  <c r="AC71" i="5"/>
  <c r="I71" i="5" s="1"/>
  <c r="AC14" i="6"/>
  <c r="J14" i="6" s="1"/>
  <c r="L15" i="4"/>
  <c r="L11" i="4"/>
  <c r="AC8" i="6"/>
  <c r="J8" i="6" s="1"/>
  <c r="AC10" i="6"/>
  <c r="J10" i="6" s="1"/>
  <c r="AC10" i="5"/>
  <c r="I10" i="5" s="1"/>
  <c r="AC11" i="5"/>
  <c r="AC7" i="6"/>
  <c r="AC37" i="5"/>
  <c r="I37" i="5" s="1"/>
  <c r="AC82" i="5"/>
  <c r="I82" i="5" s="1"/>
  <c r="AC14" i="5"/>
  <c r="I14" i="5" s="1"/>
  <c r="AC11" i="6"/>
  <c r="J11" i="6" s="1"/>
  <c r="AC50" i="5"/>
  <c r="I50" i="5" s="1"/>
  <c r="AC56" i="5"/>
  <c r="I56" i="5" s="1"/>
  <c r="AC33" i="5"/>
  <c r="I33" i="5" s="1"/>
  <c r="AC49" i="5"/>
  <c r="I49" i="5" s="1"/>
  <c r="AC44" i="5"/>
  <c r="I44" i="5" s="1"/>
  <c r="AC53" i="5"/>
  <c r="I53" i="5" s="1"/>
  <c r="AC12" i="6"/>
  <c r="J12" i="6" s="1"/>
  <c r="L13" i="4"/>
  <c r="AC19" i="6"/>
  <c r="AC80" i="5"/>
  <c r="I80" i="5" s="1"/>
  <c r="AC83" i="5"/>
  <c r="I83" i="5" s="1"/>
  <c r="AC8" i="5"/>
  <c r="I8" i="5" s="1"/>
  <c r="AC19" i="5"/>
  <c r="I19" i="5" s="1"/>
  <c r="AC28" i="5"/>
  <c r="I28" i="5" s="1"/>
  <c r="AC55" i="5"/>
  <c r="I55" i="5" s="1"/>
  <c r="AC4" i="5"/>
  <c r="I4" i="5" s="1"/>
  <c r="AC103" i="5"/>
  <c r="I103" i="5" s="1"/>
  <c r="AC16" i="6"/>
  <c r="J16" i="6" s="1"/>
  <c r="AC102" i="5"/>
  <c r="I102" i="5" s="1"/>
  <c r="AC60" i="5"/>
  <c r="I60" i="5" s="1"/>
  <c r="AC46" i="5"/>
  <c r="I46" i="5" s="1"/>
  <c r="AC27" i="5"/>
  <c r="I27" i="5" s="1"/>
  <c r="L5" i="4"/>
  <c r="L6" i="4"/>
  <c r="AC70" i="5"/>
  <c r="I70" i="5" s="1"/>
  <c r="AC2" i="6"/>
  <c r="AC90" i="5"/>
  <c r="I90" i="5" s="1"/>
  <c r="AC73" i="5"/>
  <c r="I73" i="5" s="1"/>
  <c r="AC61" i="5"/>
  <c r="I61" i="5" s="1"/>
  <c r="AC54" i="5"/>
  <c r="I54" i="5" s="1"/>
  <c r="L10" i="4"/>
  <c r="D2109" i="23"/>
  <c r="D7239" i="23"/>
  <c r="D5187" i="23"/>
  <c r="D3135" i="23"/>
  <c r="D11343" i="23"/>
  <c r="D10317" i="23"/>
  <c r="D57" i="23"/>
  <c r="D6213" i="23"/>
  <c r="D9291" i="23"/>
  <c r="D1083" i="23"/>
  <c r="D8265" i="23"/>
  <c r="D1107" i="23"/>
  <c r="D7263" i="23"/>
  <c r="D3159" i="23"/>
  <c r="D9315" i="23"/>
  <c r="D6237" i="23"/>
  <c r="D2133" i="23"/>
  <c r="D5211" i="23"/>
  <c r="D10341" i="23"/>
  <c r="D11367" i="23"/>
  <c r="D8289" i="23"/>
  <c r="D81" i="23"/>
  <c r="AC76" i="5"/>
  <c r="I76" i="5" s="1"/>
  <c r="D7251" i="23"/>
  <c r="D69" i="23"/>
  <c r="D2121" i="23"/>
  <c r="D5199" i="23"/>
  <c r="D11355" i="23"/>
  <c r="D9303" i="23"/>
  <c r="D1095" i="23"/>
  <c r="D10329" i="23"/>
  <c r="D6225" i="23"/>
  <c r="D3147" i="23"/>
  <c r="D8277" i="23"/>
  <c r="AC15" i="5"/>
  <c r="I15" i="5" s="1"/>
  <c r="AC16" i="5"/>
  <c r="I16" i="5" s="1"/>
  <c r="AE14" i="4"/>
  <c r="L14" i="4" s="1"/>
  <c r="D4642" i="23"/>
  <c r="D4993" i="23"/>
  <c r="D4643" i="23"/>
  <c r="D4994" i="23"/>
  <c r="AC66" i="5"/>
  <c r="I66" i="5" s="1"/>
  <c r="D9302" i="23"/>
  <c r="D1094" i="23"/>
  <c r="D5198" i="23"/>
  <c r="D8276" i="23"/>
  <c r="D3146" i="23"/>
  <c r="D10328" i="23"/>
  <c r="D2120" i="23"/>
  <c r="D11354" i="23"/>
  <c r="D6224" i="23"/>
  <c r="D68" i="23"/>
  <c r="D7250" i="23"/>
  <c r="D6219" i="23"/>
  <c r="D8271" i="23"/>
  <c r="D5193" i="23"/>
  <c r="D63" i="23"/>
  <c r="D7245" i="23"/>
  <c r="D2115" i="23"/>
  <c r="D11349" i="23"/>
  <c r="D3141" i="23"/>
  <c r="D9297" i="23"/>
  <c r="D1089" i="23"/>
  <c r="D10323" i="23"/>
  <c r="AC100" i="5"/>
  <c r="I100" i="5" s="1"/>
  <c r="D76" i="23"/>
  <c r="D11362" i="23"/>
  <c r="D9310" i="23"/>
  <c r="D6232" i="23"/>
  <c r="D1102" i="23"/>
  <c r="D7258" i="23"/>
  <c r="D8284" i="23"/>
  <c r="D5206" i="23"/>
  <c r="D3154" i="23"/>
  <c r="D2128" i="23"/>
  <c r="D10336" i="23"/>
  <c r="AC81" i="5"/>
  <c r="I81" i="5" s="1"/>
  <c r="AC51" i="5"/>
  <c r="I51" i="5" s="1"/>
  <c r="AC25" i="5"/>
  <c r="I25" i="5" s="1"/>
  <c r="AC40" i="5"/>
  <c r="I40" i="5" s="1"/>
  <c r="AC29" i="5"/>
  <c r="I29" i="5" s="1"/>
  <c r="AC57" i="5"/>
  <c r="I57" i="5" s="1"/>
  <c r="AC30" i="5"/>
  <c r="I30" i="5" s="1"/>
  <c r="AC26" i="5"/>
  <c r="I26" i="5" s="1"/>
  <c r="AC23" i="5"/>
  <c r="I23" i="5" s="1"/>
  <c r="AE16" i="4"/>
  <c r="L16" i="4" s="1"/>
  <c r="D4631" i="23"/>
  <c r="D4982" i="23"/>
  <c r="D2134" i="23"/>
  <c r="D8290" i="23"/>
  <c r="D5212" i="23"/>
  <c r="D11368" i="23"/>
  <c r="D3160" i="23"/>
  <c r="D9316" i="23"/>
  <c r="D1108" i="23"/>
  <c r="D7264" i="23"/>
  <c r="D10342" i="23"/>
  <c r="D82" i="23"/>
  <c r="D6238" i="23"/>
  <c r="AC93" i="5"/>
  <c r="I93" i="5" s="1"/>
  <c r="D8285" i="23"/>
  <c r="D10337" i="23"/>
  <c r="D7259" i="23"/>
  <c r="D2129" i="23"/>
  <c r="D77" i="23"/>
  <c r="D5207" i="23"/>
  <c r="D9311" i="23"/>
  <c r="D11363" i="23"/>
  <c r="D6233" i="23"/>
  <c r="D1103" i="23"/>
  <c r="D3155" i="23"/>
  <c r="D4645" i="23"/>
  <c r="D4996" i="23"/>
  <c r="D4630" i="23"/>
  <c r="D4981" i="23"/>
  <c r="D4971" i="23"/>
  <c r="D4620" i="23"/>
  <c r="D4626" i="23"/>
  <c r="D4977" i="23"/>
  <c r="D2110" i="23"/>
  <c r="D5188" i="23"/>
  <c r="D8266" i="23"/>
  <c r="D11344" i="23"/>
  <c r="D3136" i="23"/>
  <c r="D1084" i="23"/>
  <c r="D7240" i="23"/>
  <c r="D10318" i="23"/>
  <c r="D58" i="23"/>
  <c r="D6214" i="23"/>
  <c r="D9292" i="23"/>
  <c r="D10343" i="23"/>
  <c r="D9317" i="23"/>
  <c r="D2135" i="23"/>
  <c r="D7265" i="23"/>
  <c r="D83" i="23"/>
  <c r="D6239" i="23"/>
  <c r="D5213" i="23"/>
  <c r="D3161" i="23"/>
  <c r="D11369" i="23"/>
  <c r="D1109" i="23"/>
  <c r="D8291" i="23"/>
  <c r="AC59" i="5"/>
  <c r="I59" i="5" s="1"/>
  <c r="D5194" i="23"/>
  <c r="D7246" i="23"/>
  <c r="D3142" i="23"/>
  <c r="D8272" i="23"/>
  <c r="D6220" i="23"/>
  <c r="D1090" i="23"/>
  <c r="D10324" i="23"/>
  <c r="D2116" i="23"/>
  <c r="D11350" i="23"/>
  <c r="D64" i="23"/>
  <c r="D9298" i="23"/>
  <c r="AC77" i="5"/>
  <c r="I77" i="5" s="1"/>
  <c r="D1099" i="23"/>
  <c r="D6229" i="23"/>
  <c r="D3151" i="23"/>
  <c r="D11359" i="23"/>
  <c r="D10333" i="23"/>
  <c r="D73" i="23"/>
  <c r="D2125" i="23"/>
  <c r="D9307" i="23"/>
  <c r="D8281" i="23"/>
  <c r="D5203" i="23"/>
  <c r="D7255" i="23"/>
  <c r="AC79" i="5"/>
  <c r="I79" i="5" s="1"/>
  <c r="AC9" i="5"/>
  <c r="I9" i="5" s="1"/>
  <c r="AC5" i="5"/>
  <c r="I5" i="5" s="1"/>
  <c r="AC99" i="5"/>
  <c r="I99" i="5" s="1"/>
  <c r="AC3" i="5"/>
  <c r="I3" i="5" s="1"/>
  <c r="AC6" i="5"/>
  <c r="I6" i="5" s="1"/>
  <c r="AC86" i="5"/>
  <c r="I86" i="5" s="1"/>
  <c r="AC78" i="5"/>
  <c r="I78" i="5" s="1"/>
  <c r="AC87" i="5"/>
  <c r="I87" i="5" s="1"/>
  <c r="D4973" i="23"/>
  <c r="D4622" i="23"/>
  <c r="D4976" i="23"/>
  <c r="D4625" i="23"/>
  <c r="D4624" i="23"/>
  <c r="D4975" i="23"/>
  <c r="D7244" i="23"/>
  <c r="D3140" i="23"/>
  <c r="D9296" i="23"/>
  <c r="D2114" i="23"/>
  <c r="D6218" i="23"/>
  <c r="D11348" i="23"/>
  <c r="D1088" i="23"/>
  <c r="D10322" i="23"/>
  <c r="D8270" i="23"/>
  <c r="D62" i="23"/>
  <c r="D5192" i="23"/>
  <c r="AC65" i="5"/>
  <c r="I65" i="5" s="1"/>
  <c r="AC34" i="5"/>
  <c r="I34" i="5" s="1"/>
  <c r="AC7" i="5"/>
  <c r="I7" i="5" s="1"/>
  <c r="AC72" i="5"/>
  <c r="I72" i="5" s="1"/>
  <c r="AC92" i="5"/>
  <c r="I92" i="5" s="1"/>
  <c r="D72" i="23"/>
  <c r="D5202" i="23"/>
  <c r="D9306" i="23"/>
  <c r="D7254" i="23"/>
  <c r="D2124" i="23"/>
  <c r="D3150" i="23"/>
  <c r="D6228" i="23"/>
  <c r="D11358" i="23"/>
  <c r="D8280" i="23"/>
  <c r="D1098" i="23"/>
  <c r="D10332" i="23"/>
  <c r="AC35" i="5"/>
  <c r="I35" i="5" s="1"/>
  <c r="AC17" i="5"/>
  <c r="I17" i="5" s="1"/>
  <c r="AC21" i="5"/>
  <c r="I21" i="5" s="1"/>
  <c r="AC68" i="5"/>
  <c r="I68" i="5" s="1"/>
  <c r="AC36" i="5"/>
  <c r="I36" i="5" s="1"/>
  <c r="AC38" i="5"/>
  <c r="I38" i="5" s="1"/>
  <c r="AE9" i="4"/>
  <c r="L9" i="4" s="1"/>
  <c r="L8" i="4"/>
  <c r="D3143" i="23"/>
  <c r="D6221" i="23"/>
  <c r="D8273" i="23"/>
  <c r="D2117" i="23"/>
  <c r="D5195" i="23"/>
  <c r="D11351" i="23"/>
  <c r="D7247" i="23"/>
  <c r="D65" i="23"/>
  <c r="D1091" i="23"/>
  <c r="D10325" i="23"/>
  <c r="D9299" i="23"/>
  <c r="D4640" i="23"/>
  <c r="D4991" i="23"/>
  <c r="D2132" i="23"/>
  <c r="D8288" i="23"/>
  <c r="D10340" i="23"/>
  <c r="D5210" i="23"/>
  <c r="D7262" i="23"/>
  <c r="D3158" i="23"/>
  <c r="D11366" i="23"/>
  <c r="D6236" i="23"/>
  <c r="D80" i="23"/>
  <c r="D1106" i="23"/>
  <c r="D9314" i="23"/>
  <c r="D4638" i="23"/>
  <c r="D4989" i="23"/>
  <c r="D4628" i="23"/>
  <c r="D4979" i="23"/>
  <c r="AC67" i="5"/>
  <c r="I67" i="5" s="1"/>
  <c r="AC4" i="6"/>
  <c r="J4" i="6" s="1"/>
  <c r="D4623" i="23"/>
  <c r="D4974" i="23"/>
  <c r="D4986" i="23"/>
  <c r="D4635" i="23"/>
  <c r="D4644" i="23"/>
  <c r="D4995" i="23"/>
  <c r="D4997" i="23"/>
  <c r="D4646" i="23"/>
  <c r="AC9" i="6"/>
  <c r="J9" i="6" s="1"/>
  <c r="AC85" i="5"/>
  <c r="I85" i="5" s="1"/>
  <c r="D1086" i="23"/>
  <c r="D60" i="23"/>
  <c r="D8268" i="23"/>
  <c r="D10320" i="23"/>
  <c r="D7242" i="23"/>
  <c r="D11346" i="23"/>
  <c r="D6216" i="23"/>
  <c r="D5190" i="23"/>
  <c r="D9294" i="23"/>
  <c r="D3138" i="23"/>
  <c r="D2112" i="23"/>
  <c r="AC47" i="5"/>
  <c r="I47" i="5" s="1"/>
  <c r="AC39" i="5"/>
  <c r="I39" i="5" s="1"/>
  <c r="AC69" i="5"/>
  <c r="I69" i="5" s="1"/>
  <c r="AC88" i="5"/>
  <c r="I88" i="5" s="1"/>
  <c r="AC41" i="5"/>
  <c r="I41" i="5" s="1"/>
  <c r="AC96" i="5"/>
  <c r="I96" i="5" s="1"/>
  <c r="D3157" i="23"/>
  <c r="D1105" i="23"/>
  <c r="D9313" i="23"/>
  <c r="D6235" i="23"/>
  <c r="D8287" i="23"/>
  <c r="D10339" i="23"/>
  <c r="D5209" i="23"/>
  <c r="D7261" i="23"/>
  <c r="D2131" i="23"/>
  <c r="D79" i="23"/>
  <c r="D11365" i="23"/>
  <c r="AC95" i="5"/>
  <c r="I95" i="5" s="1"/>
  <c r="AC45" i="5"/>
  <c r="I45" i="5" s="1"/>
  <c r="AD7" i="6"/>
  <c r="D4980" i="23"/>
  <c r="D4629" i="23"/>
  <c r="D4621" i="23"/>
  <c r="D4972" i="23"/>
  <c r="D4636" i="23"/>
  <c r="D4987" i="23"/>
  <c r="D4985" i="23"/>
  <c r="D4634" i="23"/>
  <c r="AD19" i="6"/>
  <c r="AD2" i="6"/>
  <c r="J2" i="6" s="1"/>
  <c r="D10327" i="23"/>
  <c r="D2119" i="23"/>
  <c r="D67" i="23"/>
  <c r="D6223" i="23"/>
  <c r="D11353" i="23"/>
  <c r="D5197" i="23"/>
  <c r="D9301" i="23"/>
  <c r="D8275" i="23"/>
  <c r="D3145" i="23"/>
  <c r="D7249" i="23"/>
  <c r="D1093" i="23"/>
  <c r="D11352" i="23"/>
  <c r="D9300" i="23"/>
  <c r="D3144" i="23"/>
  <c r="D2118" i="23"/>
  <c r="D1092" i="23"/>
  <c r="D10326" i="23"/>
  <c r="D8274" i="23"/>
  <c r="D5196" i="23"/>
  <c r="D7248" i="23"/>
  <c r="D6222" i="23"/>
  <c r="D66" i="23"/>
  <c r="D61" i="23"/>
  <c r="D8269" i="23"/>
  <c r="D5191" i="23"/>
  <c r="D9295" i="23"/>
  <c r="D3139" i="23"/>
  <c r="D10321" i="23"/>
  <c r="D2113" i="23"/>
  <c r="D11347" i="23"/>
  <c r="D7243" i="23"/>
  <c r="D6217" i="23"/>
  <c r="D1087" i="23"/>
  <c r="D5208" i="23"/>
  <c r="D3156" i="23"/>
  <c r="D78" i="23"/>
  <c r="D7260" i="23"/>
  <c r="D9312" i="23"/>
  <c r="D2130" i="23"/>
  <c r="D6234" i="23"/>
  <c r="D11364" i="23"/>
  <c r="D8286" i="23"/>
  <c r="D1104" i="23"/>
  <c r="D10338" i="23"/>
  <c r="AC43" i="5"/>
  <c r="I43" i="5" s="1"/>
  <c r="AC58" i="5"/>
  <c r="I58" i="5" s="1"/>
  <c r="AC48" i="5"/>
  <c r="I48" i="5" s="1"/>
  <c r="AC75" i="5"/>
  <c r="I75" i="5" s="1"/>
  <c r="AC24" i="5"/>
  <c r="I24" i="5" s="1"/>
  <c r="AC98" i="5"/>
  <c r="I98" i="5" s="1"/>
  <c r="AC91" i="5"/>
  <c r="I91" i="5" s="1"/>
  <c r="AC89" i="5"/>
  <c r="I89" i="5" s="1"/>
  <c r="AE12" i="4"/>
  <c r="L12" i="4" s="1"/>
  <c r="D4633" i="23"/>
  <c r="D4984" i="23"/>
  <c r="D4641" i="23"/>
  <c r="D4992" i="23"/>
  <c r="L2" i="4"/>
  <c r="D4990" i="23"/>
  <c r="D4639" i="23"/>
  <c r="D4632" i="23"/>
  <c r="D4983" i="23"/>
  <c r="D4637" i="23"/>
  <c r="D4988" i="23"/>
  <c r="AD17" i="6"/>
  <c r="J17" i="6" s="1"/>
  <c r="D4627" i="23"/>
  <c r="D4978" i="23"/>
  <c r="AD3" i="6"/>
  <c r="J3" i="6" s="1"/>
  <c r="AC22" i="6"/>
  <c r="J22" i="6" s="1"/>
  <c r="D10319" i="23"/>
  <c r="D8267" i="23"/>
  <c r="D2111" i="23"/>
  <c r="D59" i="23"/>
  <c r="D11345" i="23"/>
  <c r="D6215" i="23"/>
  <c r="D9293" i="23"/>
  <c r="D5189" i="23"/>
  <c r="D7241" i="23"/>
  <c r="D1085" i="23"/>
  <c r="D3137" i="23"/>
  <c r="D7252" i="23"/>
  <c r="D9304" i="23"/>
  <c r="D6226" i="23"/>
  <c r="D11356" i="23"/>
  <c r="D8278" i="23"/>
  <c r="D1096" i="23"/>
  <c r="D3148" i="23"/>
  <c r="D10330" i="23"/>
  <c r="D2122" i="23"/>
  <c r="D5200" i="23"/>
  <c r="D70" i="23"/>
  <c r="D5201" i="23"/>
  <c r="D9305" i="23"/>
  <c r="D7253" i="23"/>
  <c r="D6227" i="23"/>
  <c r="D2123" i="23"/>
  <c r="D11357" i="23"/>
  <c r="D1097" i="23"/>
  <c r="D8279" i="23"/>
  <c r="D10331" i="23"/>
  <c r="D71" i="23"/>
  <c r="D3149" i="23"/>
  <c r="AC18" i="5"/>
  <c r="I18" i="5" s="1"/>
  <c r="AC97" i="5"/>
  <c r="I97" i="5" s="1"/>
  <c r="D6230" i="23"/>
  <c r="D74" i="23"/>
  <c r="D11360" i="23"/>
  <c r="D5204" i="23"/>
  <c r="D3152" i="23"/>
  <c r="D2126" i="23"/>
  <c r="D1100" i="23"/>
  <c r="D10334" i="23"/>
  <c r="D8282" i="23"/>
  <c r="D9308" i="23"/>
  <c r="D7256" i="23"/>
  <c r="AC13" i="5"/>
  <c r="I13" i="5" s="1"/>
  <c r="D1101" i="23"/>
  <c r="D7257" i="23"/>
  <c r="D3153" i="23"/>
  <c r="D6231" i="23"/>
  <c r="D10335" i="23"/>
  <c r="D2127" i="23"/>
  <c r="D75" i="23"/>
  <c r="D5205" i="23"/>
  <c r="D11361" i="23"/>
  <c r="D9309" i="23"/>
  <c r="D8283" i="23"/>
  <c r="AC20" i="5"/>
  <c r="I20" i="5" s="1"/>
  <c r="J7" i="6" l="1"/>
  <c r="J19" i="6"/>
  <c r="D11804" i="23"/>
  <c r="D6674" i="23"/>
  <c r="D2570" i="23"/>
  <c r="D7700" i="23"/>
  <c r="D9752" i="23"/>
  <c r="D8726" i="23"/>
  <c r="D3596" i="23"/>
  <c r="D1544" i="23"/>
  <c r="D518" i="23"/>
  <c r="D5648" i="23"/>
  <c r="D10778" i="23"/>
  <c r="D8060" i="23"/>
  <c r="D2930" i="23"/>
  <c r="D6008" i="23"/>
  <c r="D878" i="23"/>
  <c r="D7034" i="23"/>
  <c r="D10112" i="23"/>
  <c r="D12164" i="23"/>
  <c r="D1904" i="23"/>
  <c r="D11138" i="23"/>
  <c r="D9086" i="23"/>
  <c r="D3956" i="23"/>
  <c r="D5665" i="23"/>
  <c r="D9769" i="23"/>
  <c r="D2587" i="23"/>
  <c r="D6691" i="23"/>
  <c r="D11821" i="23"/>
  <c r="D7717" i="23"/>
  <c r="D1561" i="23"/>
  <c r="D8743" i="23"/>
  <c r="D3613" i="23"/>
  <c r="D10795" i="23"/>
  <c r="D535" i="23"/>
  <c r="D2935" i="23"/>
  <c r="D7039" i="23"/>
  <c r="D883" i="23"/>
  <c r="D10117" i="23"/>
  <c r="D8065" i="23"/>
  <c r="D1909" i="23"/>
  <c r="D3961" i="23"/>
  <c r="D11143" i="23"/>
  <c r="D6013" i="23"/>
  <c r="D12169" i="23"/>
  <c r="D9091" i="23"/>
  <c r="D1568" i="23"/>
  <c r="D5672" i="23"/>
  <c r="D10802" i="23"/>
  <c r="D11828" i="23"/>
  <c r="D542" i="23"/>
  <c r="D6698" i="23"/>
  <c r="D2594" i="23"/>
  <c r="D7724" i="23"/>
  <c r="D9776" i="23"/>
  <c r="D3620" i="23"/>
  <c r="D8750" i="23"/>
  <c r="D3947" i="23"/>
  <c r="D7025" i="23"/>
  <c r="D9077" i="23"/>
  <c r="D5999" i="23"/>
  <c r="D869" i="23"/>
  <c r="D12155" i="23"/>
  <c r="D10103" i="23"/>
  <c r="D1895" i="23"/>
  <c r="D8051" i="23"/>
  <c r="D11129" i="23"/>
  <c r="D2921" i="23"/>
  <c r="D7029" i="23"/>
  <c r="D3951" i="23"/>
  <c r="D8055" i="23"/>
  <c r="D11133" i="23"/>
  <c r="D1899" i="23"/>
  <c r="D9081" i="23"/>
  <c r="D2925" i="23"/>
  <c r="D6003" i="23"/>
  <c r="D873" i="23"/>
  <c r="D12159" i="23"/>
  <c r="D10107" i="23"/>
  <c r="D2579" i="23"/>
  <c r="D6683" i="23"/>
  <c r="D1553" i="23"/>
  <c r="D7709" i="23"/>
  <c r="D3605" i="23"/>
  <c r="D527" i="23"/>
  <c r="D10787" i="23"/>
  <c r="D5657" i="23"/>
  <c r="D11813" i="23"/>
  <c r="D8735" i="23"/>
  <c r="D9761" i="23"/>
  <c r="D889" i="23"/>
  <c r="D3967" i="23"/>
  <c r="D2941" i="23"/>
  <c r="D6019" i="23"/>
  <c r="D10123" i="23"/>
  <c r="D7045" i="23"/>
  <c r="D8071" i="23"/>
  <c r="D1915" i="23"/>
  <c r="D12175" i="23"/>
  <c r="D9097" i="23"/>
  <c r="D11149" i="23"/>
  <c r="D3950" i="23"/>
  <c r="D6002" i="23"/>
  <c r="D872" i="23"/>
  <c r="D11132" i="23"/>
  <c r="D7028" i="23"/>
  <c r="D10106" i="23"/>
  <c r="D8054" i="23"/>
  <c r="D2924" i="23"/>
  <c r="D1898" i="23"/>
  <c r="D12158" i="23"/>
  <c r="D9080" i="23"/>
  <c r="D12178" i="23"/>
  <c r="D8074" i="23"/>
  <c r="D11152" i="23"/>
  <c r="D3970" i="23"/>
  <c r="D9100" i="23"/>
  <c r="D892" i="23"/>
  <c r="D6022" i="23"/>
  <c r="D10126" i="23"/>
  <c r="D1918" i="23"/>
  <c r="D2944" i="23"/>
  <c r="D7048" i="23"/>
  <c r="D10801" i="23"/>
  <c r="D3619" i="23"/>
  <c r="D5671" i="23"/>
  <c r="D6697" i="23"/>
  <c r="D2593" i="23"/>
  <c r="D7723" i="23"/>
  <c r="D541" i="23"/>
  <c r="D1567" i="23"/>
  <c r="D11827" i="23"/>
  <c r="D9775" i="23"/>
  <c r="D8749" i="23"/>
  <c r="D3617" i="23"/>
  <c r="D8747" i="23"/>
  <c r="D539" i="23"/>
  <c r="D2591" i="23"/>
  <c r="D5669" i="23"/>
  <c r="D9773" i="23"/>
  <c r="D11825" i="23"/>
  <c r="D6695" i="23"/>
  <c r="D1565" i="23"/>
  <c r="D7721" i="23"/>
  <c r="D10799" i="23"/>
  <c r="D6004" i="23"/>
  <c r="D874" i="23"/>
  <c r="D7030" i="23"/>
  <c r="D2926" i="23"/>
  <c r="D8056" i="23"/>
  <c r="D10108" i="23"/>
  <c r="D3952" i="23"/>
  <c r="D1900" i="23"/>
  <c r="D9082" i="23"/>
  <c r="D12160" i="23"/>
  <c r="D11134" i="23"/>
  <c r="D10120" i="23"/>
  <c r="D6016" i="23"/>
  <c r="D1912" i="23"/>
  <c r="D886" i="23"/>
  <c r="D2938" i="23"/>
  <c r="D8068" i="23"/>
  <c r="D7042" i="23"/>
  <c r="D11146" i="23"/>
  <c r="D12172" i="23"/>
  <c r="D3964" i="23"/>
  <c r="D9094" i="23"/>
  <c r="D2584" i="23"/>
  <c r="D10792" i="23"/>
  <c r="D11818" i="23"/>
  <c r="D8740" i="23"/>
  <c r="D3610" i="23"/>
  <c r="D5662" i="23"/>
  <c r="D9766" i="23"/>
  <c r="D532" i="23"/>
  <c r="D6688" i="23"/>
  <c r="D1558" i="23"/>
  <c r="D7714" i="23"/>
  <c r="D11153" i="23"/>
  <c r="D893" i="23"/>
  <c r="D2945" i="23"/>
  <c r="D7049" i="23"/>
  <c r="D12179" i="23"/>
  <c r="D10127" i="23"/>
  <c r="D8075" i="23"/>
  <c r="D3971" i="23"/>
  <c r="D9101" i="23"/>
  <c r="D1919" i="23"/>
  <c r="D6023" i="23"/>
  <c r="D8730" i="23"/>
  <c r="D10782" i="23"/>
  <c r="D3600" i="23"/>
  <c r="D2574" i="23"/>
  <c r="D522" i="23"/>
  <c r="D5652" i="23"/>
  <c r="D11808" i="23"/>
  <c r="D9756" i="23"/>
  <c r="D6678" i="23"/>
  <c r="D7704" i="23"/>
  <c r="D1548" i="23"/>
  <c r="D538" i="23"/>
  <c r="D6694" i="23"/>
  <c r="D9772" i="23"/>
  <c r="D1564" i="23"/>
  <c r="D7720" i="23"/>
  <c r="D10798" i="23"/>
  <c r="D3616" i="23"/>
  <c r="D2590" i="23"/>
  <c r="D8746" i="23"/>
  <c r="D5668" i="23"/>
  <c r="D11824" i="23"/>
  <c r="D529" i="23"/>
  <c r="D3607" i="23"/>
  <c r="D9763" i="23"/>
  <c r="D8737" i="23"/>
  <c r="D1555" i="23"/>
  <c r="D10789" i="23"/>
  <c r="D5659" i="23"/>
  <c r="D2581" i="23"/>
  <c r="D6685" i="23"/>
  <c r="D11815" i="23"/>
  <c r="D7711" i="23"/>
  <c r="D9076" i="23"/>
  <c r="D868" i="23"/>
  <c r="D5998" i="23"/>
  <c r="D10102" i="23"/>
  <c r="D2920" i="23"/>
  <c r="D1894" i="23"/>
  <c r="D7024" i="23"/>
  <c r="D12154" i="23"/>
  <c r="D8050" i="23"/>
  <c r="D11128" i="23"/>
  <c r="D3946" i="23"/>
  <c r="D8073" i="23"/>
  <c r="D2943" i="23"/>
  <c r="D9099" i="23"/>
  <c r="D7047" i="23"/>
  <c r="D891" i="23"/>
  <c r="D10125" i="23"/>
  <c r="D1917" i="23"/>
  <c r="D12177" i="23"/>
  <c r="D3969" i="23"/>
  <c r="D11151" i="23"/>
  <c r="D6021" i="23"/>
  <c r="D10121" i="23"/>
  <c r="D8069" i="23"/>
  <c r="D11147" i="23"/>
  <c r="D12173" i="23"/>
  <c r="D2939" i="23"/>
  <c r="D3965" i="23"/>
  <c r="D9095" i="23"/>
  <c r="D1913" i="23"/>
  <c r="D6017" i="23"/>
  <c r="D887" i="23"/>
  <c r="D7043" i="23"/>
  <c r="D6672" i="23"/>
  <c r="D1542" i="23"/>
  <c r="D7698" i="23"/>
  <c r="D10776" i="23"/>
  <c r="D9750" i="23"/>
  <c r="D8724" i="23"/>
  <c r="D3594" i="23"/>
  <c r="D2568" i="23"/>
  <c r="D5646" i="23"/>
  <c r="D516" i="23"/>
  <c r="D11802" i="23"/>
  <c r="D870" i="23"/>
  <c r="D11130" i="23"/>
  <c r="D6000" i="23"/>
  <c r="D10104" i="23"/>
  <c r="D7026" i="23"/>
  <c r="D2922" i="23"/>
  <c r="D8052" i="23"/>
  <c r="D12156" i="23"/>
  <c r="D1896" i="23"/>
  <c r="D9078" i="23"/>
  <c r="D3948" i="23"/>
  <c r="D1560" i="23"/>
  <c r="D6690" i="23"/>
  <c r="D11820" i="23"/>
  <c r="D7716" i="23"/>
  <c r="D10794" i="23"/>
  <c r="D8742" i="23"/>
  <c r="D534" i="23"/>
  <c r="D5664" i="23"/>
  <c r="D2586" i="23"/>
  <c r="D9768" i="23"/>
  <c r="D3612" i="23"/>
  <c r="D6020" i="23"/>
  <c r="D11150" i="23"/>
  <c r="D12176" i="23"/>
  <c r="D10124" i="23"/>
  <c r="D7046" i="23"/>
  <c r="D8072" i="23"/>
  <c r="D9098" i="23"/>
  <c r="D3968" i="23"/>
  <c r="D1916" i="23"/>
  <c r="D890" i="23"/>
  <c r="D2942" i="23"/>
  <c r="D1545" i="23"/>
  <c r="D3597" i="23"/>
  <c r="D8727" i="23"/>
  <c r="D10779" i="23"/>
  <c r="D5649" i="23"/>
  <c r="D2571" i="23"/>
  <c r="D6675" i="23"/>
  <c r="D519" i="23"/>
  <c r="D9753" i="23"/>
  <c r="D11805" i="23"/>
  <c r="D7701" i="23"/>
  <c r="D8070" i="23"/>
  <c r="D12174" i="23"/>
  <c r="D11148" i="23"/>
  <c r="D3966" i="23"/>
  <c r="D888" i="23"/>
  <c r="D2940" i="23"/>
  <c r="D6018" i="23"/>
  <c r="D7044" i="23"/>
  <c r="D10122" i="23"/>
  <c r="D1914" i="23"/>
  <c r="D9096" i="23"/>
  <c r="D2569" i="23"/>
  <c r="D8725" i="23"/>
  <c r="D9751" i="23"/>
  <c r="D10777" i="23"/>
  <c r="D11803" i="23"/>
  <c r="D3595" i="23"/>
  <c r="D517" i="23"/>
  <c r="D5647" i="23"/>
  <c r="D6673" i="23"/>
  <c r="D7699" i="23"/>
  <c r="D1543" i="23"/>
  <c r="D11826" i="23"/>
  <c r="D8748" i="23"/>
  <c r="D3618" i="23"/>
  <c r="D9774" i="23"/>
  <c r="D5670" i="23"/>
  <c r="D540" i="23"/>
  <c r="D2592" i="23"/>
  <c r="D6696" i="23"/>
  <c r="D1566" i="23"/>
  <c r="D7722" i="23"/>
  <c r="D10800" i="23"/>
  <c r="D875" i="23"/>
  <c r="D2927" i="23"/>
  <c r="D10109" i="23"/>
  <c r="D1901" i="23"/>
  <c r="D3953" i="23"/>
  <c r="D7031" i="23"/>
  <c r="D11135" i="23"/>
  <c r="D12161" i="23"/>
  <c r="D6005" i="23"/>
  <c r="D8057" i="23"/>
  <c r="D9083" i="23"/>
  <c r="D1562" i="23"/>
  <c r="D8744" i="23"/>
  <c r="D10796" i="23"/>
  <c r="D536" i="23"/>
  <c r="D5666" i="23"/>
  <c r="D2588" i="23"/>
  <c r="D9770" i="23"/>
  <c r="D11822" i="23"/>
  <c r="D7718" i="23"/>
  <c r="D6692" i="23"/>
  <c r="D3614" i="23"/>
  <c r="D8053" i="23"/>
  <c r="D12157" i="23"/>
  <c r="D1897" i="23"/>
  <c r="D3949" i="23"/>
  <c r="D11131" i="23"/>
  <c r="D871" i="23"/>
  <c r="D6001" i="23"/>
  <c r="D10105" i="23"/>
  <c r="D2923" i="23"/>
  <c r="D7027" i="23"/>
  <c r="D9079" i="23"/>
  <c r="D10101" i="23"/>
  <c r="D1893" i="23"/>
  <c r="D12153" i="23"/>
  <c r="D3945" i="23"/>
  <c r="D11127" i="23"/>
  <c r="D5997" i="23"/>
  <c r="D8049" i="23"/>
  <c r="D2919" i="23"/>
  <c r="D9075" i="23"/>
  <c r="D7023" i="23"/>
  <c r="D867" i="23"/>
  <c r="D530" i="23"/>
  <c r="D3608" i="23"/>
  <c r="D6686" i="23"/>
  <c r="D9764" i="23"/>
  <c r="D1556" i="23"/>
  <c r="D8738" i="23"/>
  <c r="D7712" i="23"/>
  <c r="D5660" i="23"/>
  <c r="D10790" i="23"/>
  <c r="D11816" i="23"/>
  <c r="D2582" i="23"/>
  <c r="D8063" i="23"/>
  <c r="D1907" i="23"/>
  <c r="D9089" i="23"/>
  <c r="D2933" i="23"/>
  <c r="D3959" i="23"/>
  <c r="D12167" i="23"/>
  <c r="D6011" i="23"/>
  <c r="D11141" i="23"/>
  <c r="D7037" i="23"/>
  <c r="D881" i="23"/>
  <c r="D10115" i="23"/>
  <c r="D9757" i="23"/>
  <c r="D3601" i="23"/>
  <c r="D6679" i="23"/>
  <c r="D523" i="23"/>
  <c r="D8731" i="23"/>
  <c r="D7705" i="23"/>
  <c r="D5653" i="23"/>
  <c r="D1549" i="23"/>
  <c r="D10783" i="23"/>
  <c r="D2575" i="23"/>
  <c r="D11809" i="23"/>
  <c r="D3962" i="23"/>
  <c r="D7040" i="23"/>
  <c r="D9092" i="23"/>
  <c r="D10118" i="23"/>
  <c r="D12170" i="23"/>
  <c r="D1910" i="23"/>
  <c r="D11144" i="23"/>
  <c r="D2936" i="23"/>
  <c r="D8066" i="23"/>
  <c r="D6014" i="23"/>
  <c r="D884" i="23"/>
  <c r="D1563" i="23"/>
  <c r="D10797" i="23"/>
  <c r="D2589" i="23"/>
  <c r="D6693" i="23"/>
  <c r="D8745" i="23"/>
  <c r="D11823" i="23"/>
  <c r="D5667" i="23"/>
  <c r="D7719" i="23"/>
  <c r="D537" i="23"/>
  <c r="D9771" i="23"/>
  <c r="D3615" i="23"/>
  <c r="D525" i="23"/>
  <c r="D11811" i="23"/>
  <c r="D6681" i="23"/>
  <c r="D10785" i="23"/>
  <c r="D1551" i="23"/>
  <c r="D3603" i="23"/>
  <c r="D9759" i="23"/>
  <c r="D5655" i="23"/>
  <c r="D7707" i="23"/>
  <c r="D8733" i="23"/>
  <c r="D2577" i="23"/>
  <c r="D7713" i="23"/>
  <c r="D5661" i="23"/>
  <c r="D1557" i="23"/>
  <c r="D10791" i="23"/>
  <c r="D2583" i="23"/>
  <c r="D11817" i="23"/>
  <c r="D531" i="23"/>
  <c r="D3609" i="23"/>
  <c r="D9765" i="23"/>
  <c r="D6687" i="23"/>
  <c r="D8739" i="23"/>
  <c r="D524" i="23"/>
  <c r="D6680" i="23"/>
  <c r="D9758" i="23"/>
  <c r="D7706" i="23"/>
  <c r="D2576" i="23"/>
  <c r="D1550" i="23"/>
  <c r="D11810" i="23"/>
  <c r="D8732" i="23"/>
  <c r="D3602" i="23"/>
  <c r="D10784" i="23"/>
  <c r="D5654" i="23"/>
  <c r="D5650" i="23"/>
  <c r="D9754" i="23"/>
  <c r="D2572" i="23"/>
  <c r="D1546" i="23"/>
  <c r="D6676" i="23"/>
  <c r="D11806" i="23"/>
  <c r="D10780" i="23"/>
  <c r="D3598" i="23"/>
  <c r="D8728" i="23"/>
  <c r="D520" i="23"/>
  <c r="D7702" i="23"/>
  <c r="D8059" i="23"/>
  <c r="D877" i="23"/>
  <c r="D3955" i="23"/>
  <c r="D10111" i="23"/>
  <c r="D9085" i="23"/>
  <c r="D1903" i="23"/>
  <c r="D11137" i="23"/>
  <c r="D2929" i="23"/>
  <c r="D6007" i="23"/>
  <c r="D12163" i="23"/>
  <c r="D7033" i="23"/>
  <c r="D10113" i="23"/>
  <c r="D7035" i="23"/>
  <c r="D9087" i="23"/>
  <c r="D1905" i="23"/>
  <c r="D2931" i="23"/>
  <c r="D8061" i="23"/>
  <c r="D12165" i="23"/>
  <c r="D3957" i="23"/>
  <c r="D11139" i="23"/>
  <c r="D879" i="23"/>
  <c r="D6009" i="23"/>
  <c r="D9762" i="23"/>
  <c r="D1554" i="23"/>
  <c r="D3606" i="23"/>
  <c r="D10788" i="23"/>
  <c r="D5658" i="23"/>
  <c r="D2580" i="23"/>
  <c r="D6684" i="23"/>
  <c r="D7710" i="23"/>
  <c r="D8736" i="23"/>
  <c r="D11814" i="23"/>
  <c r="D528" i="23"/>
  <c r="D7715" i="23"/>
  <c r="D1559" i="23"/>
  <c r="D11819" i="23"/>
  <c r="D8741" i="23"/>
  <c r="D9767" i="23"/>
  <c r="D2585" i="23"/>
  <c r="D3611" i="23"/>
  <c r="D10793" i="23"/>
  <c r="D533" i="23"/>
  <c r="D6689" i="23"/>
  <c r="D5663" i="23"/>
  <c r="D2932" i="23"/>
  <c r="D12166" i="23"/>
  <c r="D3958" i="23"/>
  <c r="D1906" i="23"/>
  <c r="D6010" i="23"/>
  <c r="D11140" i="23"/>
  <c r="D9088" i="23"/>
  <c r="D7036" i="23"/>
  <c r="D8062" i="23"/>
  <c r="D10114" i="23"/>
  <c r="D880" i="23"/>
  <c r="D2928" i="23"/>
  <c r="D7032" i="23"/>
  <c r="D1902" i="23"/>
  <c r="D12162" i="23"/>
  <c r="D8058" i="23"/>
  <c r="D3954" i="23"/>
  <c r="D9084" i="23"/>
  <c r="D11136" i="23"/>
  <c r="D6006" i="23"/>
  <c r="D876" i="23"/>
  <c r="D10110" i="23"/>
  <c r="D1908" i="23"/>
  <c r="D3960" i="23"/>
  <c r="D11142" i="23"/>
  <c r="D9090" i="23"/>
  <c r="D6012" i="23"/>
  <c r="D882" i="23"/>
  <c r="D7038" i="23"/>
  <c r="D2934" i="23"/>
  <c r="D12168" i="23"/>
  <c r="D8064" i="23"/>
  <c r="D10116" i="23"/>
  <c r="D3963" i="23"/>
  <c r="D11145" i="23"/>
  <c r="D9093" i="23"/>
  <c r="D885" i="23"/>
  <c r="D2937" i="23"/>
  <c r="D10119" i="23"/>
  <c r="D7041" i="23"/>
  <c r="D1911" i="23"/>
  <c r="D12171" i="23"/>
  <c r="D8067" i="23"/>
  <c r="D6015" i="23"/>
  <c r="D7703" i="23"/>
  <c r="D3599" i="23"/>
  <c r="D8729" i="23"/>
  <c r="D5651" i="23"/>
  <c r="D10781" i="23"/>
  <c r="D521" i="23"/>
  <c r="D2573" i="23"/>
  <c r="D9755" i="23"/>
  <c r="D6677" i="23"/>
  <c r="D11807" i="23"/>
  <c r="D1547" i="23"/>
  <c r="D9760" i="23"/>
  <c r="D11812" i="23"/>
  <c r="D1552" i="23"/>
  <c r="D3604" i="23"/>
  <c r="D8734" i="23"/>
  <c r="D5656" i="23"/>
  <c r="D526" i="23"/>
  <c r="D7708" i="23"/>
  <c r="D2578" i="23"/>
  <c r="D10786" i="23"/>
  <c r="D6682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M1" authorId="0" shapeId="0" xr:uid="{91AFDD99-90A1-410D-AB43-4A318A18746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设定各养成线的基础属性值，通过右表检查属性分配情况。</t>
        </r>
      </text>
    </comment>
    <comment ref="AS1" authorId="0" shapeId="0" xr:uid="{913046EB-EC49-437E-8940-FDE20508934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修正部分养成线的属性比例。建议最终养成阶段比例为1，按养成阶段比例递增</t>
        </r>
      </text>
    </comment>
    <comment ref="A2" authorId="0" shapeId="0" xr:uid="{0263BDBE-C129-4E04-9F2D-41D5E847CE3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如果需要扩充阶段，需要在各表内添加相应阶段的内容</t>
        </r>
      </text>
    </comment>
    <comment ref="AJ2" authorId="0" shapeId="0" xr:uid="{212B844D-B3B3-4665-B74A-C10BEC7EF369}">
      <text>
        <r>
          <rPr>
            <b/>
            <sz val="9"/>
            <color indexed="81"/>
            <rFont val="宋体"/>
            <family val="3"/>
            <charset val="134"/>
          </rPr>
          <t>hs:
万分比属性</t>
        </r>
      </text>
    </comment>
    <comment ref="AK2" authorId="0" shapeId="0" xr:uid="{25970A3C-3071-4095-A218-1AE61F04B6B9}">
      <text>
        <r>
          <rPr>
            <b/>
            <sz val="9"/>
            <color indexed="81"/>
            <rFont val="宋体"/>
            <family val="3"/>
            <charset val="134"/>
          </rPr>
          <t>hs:
万分比属性</t>
        </r>
      </text>
    </comment>
    <comment ref="AL2" authorId="0" shapeId="0" xr:uid="{935E88FD-0965-4D7C-8EAA-892557D9334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万分比属性</t>
        </r>
      </text>
    </comment>
    <comment ref="AM2" authorId="0" shapeId="0" xr:uid="{4A013A9E-B3F2-40D2-B00A-A8CE395B96BC}">
      <text>
        <r>
          <rPr>
            <b/>
            <sz val="9"/>
            <color indexed="81"/>
            <rFont val="宋体"/>
            <family val="3"/>
            <charset val="134"/>
          </rPr>
          <t>hs:
万分比属性</t>
        </r>
      </text>
    </comment>
    <comment ref="B3" authorId="0" shapeId="0" xr:uid="{97D092A2-5D72-4876-873B-522080FAC57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设定每个阶段的持续时间。该时间为实际游戏时间的参考</t>
        </r>
      </text>
    </comment>
    <comment ref="E3" authorId="0" shapeId="0" xr:uid="{23A592C3-661E-4805-B67D-DBB51DA4BDC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设定各阶段的攻击力。该攻击力为未计算任何百分比的基础攻击力</t>
        </r>
      </text>
    </comment>
    <comment ref="F3" authorId="0" shapeId="0" xr:uid="{A15DCC49-E43B-4AD3-BD15-57E7D57E467C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阶段消耗按比例调整，建议按阶段递增</t>
        </r>
      </text>
    </comment>
    <comment ref="G3" authorId="0" shapeId="0" xr:uid="{51227B0D-A31E-4258-B36D-DBE2C14989CF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阶段产出按比例调整。建议前期产出高于消耗，后期产出低于消耗</t>
        </r>
      </text>
    </comment>
    <comment ref="H3" authorId="0" shapeId="0" xr:uid="{32CD2646-FAF7-4F3F-AE4D-4ADD5D05539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该参数修正特殊属性在各阶段投放值。建议最终为1，随着养成阶段递增</t>
        </r>
      </text>
    </comment>
    <comment ref="K3" authorId="0" shapeId="0" xr:uid="{26E14BBA-677E-4DD3-B36E-4CF8057D4B2F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设定怪物的攻防比例，建议为0.5-1.0，不超过1，该比例越高防御越高。</t>
        </r>
      </text>
    </comment>
    <comment ref="K4" authorId="0" shapeId="0" xr:uid="{36EAEBB8-D048-4091-A26D-35F9D0E50EA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设定各类型怪物的攻击防御属性与人物的比例。该比例越大，该种怪物属性相对于人物属性越大。建议范围0.5-1.5</t>
        </r>
      </text>
    </comment>
    <comment ref="M11" authorId="0" shapeId="0" xr:uid="{1B2041B7-2AF0-4065-9095-56B11EE8430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※该项为可重复选择两条特殊属性。单条属性值为11/2*表内属性值</t>
        </r>
      </text>
    </comment>
    <comment ref="K17" authorId="0" shapeId="0" xr:uid="{B16E76B2-97B9-4982-965F-76E496F70BB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人物的输出效率。如果对技能数值，基础攻速等做了调整，需要重新测试输出效率并填写。
测试方式：各养成达到1阶段后，与同等级怪物战斗得出
实际战斗时间=设定战斗时间/输出效率</t>
        </r>
      </text>
    </comment>
    <comment ref="K31" authorId="0" shapeId="0" xr:uid="{9BCA34F2-335D-498A-92E0-C0481899A57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各种类怪物的掉落数量比例。以小怪掉落= 1 为标准，其他的按倍率乘算</t>
        </r>
      </text>
    </comment>
    <comment ref="N40" authorId="0" shapeId="0" xr:uid="{A4FC6995-8208-40ED-A87F-B739E0D8F4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该表建议全部达到100%。如果后续扩线没有全部投放4种属性，建议不要超过100%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Q2" authorId="0" shapeId="0" xr:uid="{26EFDD6A-9DF3-4090-B70D-7CE0B3394267}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1：免麻痹
2：免中毒
4：免暴击
8：免吸血
16：强制物理伤害
例如：免麻痹和免中毒属性同时生效就是1+2=3
32：中毒会回血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3" authorId="0" shapeId="0" xr:uid="{49951DB5-9B31-435E-A01D-682DA5BB669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  <comment ref="BR3" authorId="0" shapeId="0" xr:uid="{14329220-8301-4701-9675-9B04189878A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 (攻击-对方防御)*输出效率 后，需要乘以该项得到实际输出值</t>
        </r>
      </text>
    </comment>
    <comment ref="BS3" authorId="0" shapeId="0" xr:uid="{DB7DC96E-C8D8-48C2-B640-94160F30E94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在计算(对方攻击-防御)*对方输出效率
后，需要乘以该项得到实际受伤值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3" authorId="0" shapeId="0" xr:uid="{D21E610E-0208-4418-B42F-F0DCBC93442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C2" authorId="0" shapeId="0" xr:uid="{01F41978-7DA1-44C3-8FEF-B4DF8EAB7A0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戒指手镯魔防，其他物防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N2" authorId="0" shapeId="0" xr:uid="{2649A6DA-34B7-4694-A303-37BE8DC41A7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为了便于分配数值，对总属性做了调整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B226655-C5F9-4369-B588-B011BCC161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CF2E215E-785E-4BB2-8772-C92A36EF7FE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BE51E44-BE10-4809-B7D5-27B6A4473963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78B847B6-2C63-4C63-937F-2D3A2518041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1248AE41-104F-4851-AB8C-FDA94ACAEB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1E47DBB-B11F-4D52-840F-2B506153BE6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7D694F8-9506-47A0-8ACE-0E87C60E5A4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E7C362D-0ED3-4F89-85D8-6E9ABEA4A0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FCC42A5F-5D34-48ED-A9A3-DC3EDA60802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EDC4B43-DF03-4933-8BC1-B7FE858494C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917159F-37D0-409B-ADBD-92F78217039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A75C79F-9264-45D0-BF0B-EDDD1992A28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9E1EAAC-8FB1-421D-B51F-CCCA363BC8B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sharedStrings.xml><?xml version="1.0" encoding="utf-8"?>
<sst xmlns="http://schemas.openxmlformats.org/spreadsheetml/2006/main" count="16890" uniqueCount="3798">
  <si>
    <t>等级</t>
    <phoneticPr fontId="1" type="noConversion"/>
  </si>
  <si>
    <t>转生等级·</t>
    <phoneticPr fontId="1" type="noConversion"/>
  </si>
  <si>
    <t>防御</t>
    <phoneticPr fontId="1" type="noConversion"/>
  </si>
  <si>
    <t>攻击</t>
    <phoneticPr fontId="1" type="noConversion"/>
  </si>
  <si>
    <t>小怪攻击</t>
    <phoneticPr fontId="1" type="noConversion"/>
  </si>
  <si>
    <t>小怪防御</t>
    <phoneticPr fontId="1" type="noConversion"/>
  </si>
  <si>
    <t>精英攻击</t>
    <phoneticPr fontId="1" type="noConversion"/>
  </si>
  <si>
    <t>精英防御</t>
    <phoneticPr fontId="1" type="noConversion"/>
  </si>
  <si>
    <t>统领攻击</t>
    <phoneticPr fontId="1" type="noConversion"/>
  </si>
  <si>
    <t>统领防御</t>
    <phoneticPr fontId="1" type="noConversion"/>
  </si>
  <si>
    <t>首领攻击</t>
    <phoneticPr fontId="1" type="noConversion"/>
  </si>
  <si>
    <t>首领防御</t>
    <phoneticPr fontId="1" type="noConversion"/>
  </si>
  <si>
    <t>BOSS攻击</t>
    <phoneticPr fontId="1" type="noConversion"/>
  </si>
  <si>
    <t>BOSS防御</t>
    <phoneticPr fontId="1" type="noConversion"/>
  </si>
  <si>
    <t>小怪战时/s</t>
    <phoneticPr fontId="1" type="noConversion"/>
  </si>
  <si>
    <t>精英战时/s</t>
    <phoneticPr fontId="1" type="noConversion"/>
  </si>
  <si>
    <t>统领战时/s</t>
    <phoneticPr fontId="1" type="noConversion"/>
  </si>
  <si>
    <t>首领战时/s</t>
    <phoneticPr fontId="1" type="noConversion"/>
  </si>
  <si>
    <t>BOSS战时/s</t>
    <phoneticPr fontId="1" type="noConversion"/>
  </si>
  <si>
    <t>输出效率/s</t>
    <phoneticPr fontId="1" type="noConversion"/>
  </si>
  <si>
    <t>小怪血量</t>
    <phoneticPr fontId="1" type="noConversion"/>
  </si>
  <si>
    <t>精英血量</t>
    <phoneticPr fontId="1" type="noConversion"/>
  </si>
  <si>
    <t>统领血量</t>
    <phoneticPr fontId="1" type="noConversion"/>
  </si>
  <si>
    <t>首领血量</t>
    <phoneticPr fontId="1" type="noConversion"/>
  </si>
  <si>
    <t>BOSS血量</t>
    <phoneticPr fontId="1" type="noConversion"/>
  </si>
  <si>
    <t>基础属性</t>
    <phoneticPr fontId="1" type="noConversion"/>
  </si>
  <si>
    <t>输出效率</t>
    <phoneticPr fontId="1" type="noConversion"/>
  </si>
  <si>
    <t>血量计算</t>
    <phoneticPr fontId="1" type="noConversion"/>
  </si>
  <si>
    <t>升级</t>
    <phoneticPr fontId="1" type="noConversion"/>
  </si>
  <si>
    <t>官职</t>
    <phoneticPr fontId="1" type="noConversion"/>
  </si>
  <si>
    <t>官印</t>
    <phoneticPr fontId="1" type="noConversion"/>
  </si>
  <si>
    <t>转生</t>
    <phoneticPr fontId="1" type="noConversion"/>
  </si>
  <si>
    <t>基本装备</t>
    <phoneticPr fontId="1" type="noConversion"/>
  </si>
  <si>
    <t>装备强化</t>
    <phoneticPr fontId="1" type="noConversion"/>
  </si>
  <si>
    <t>幸运强化</t>
    <phoneticPr fontId="1" type="noConversion"/>
  </si>
  <si>
    <t>火龙元神</t>
    <phoneticPr fontId="1" type="noConversion"/>
  </si>
  <si>
    <t>生命</t>
    <phoneticPr fontId="1" type="noConversion"/>
  </si>
  <si>
    <t>生命值</t>
    <phoneticPr fontId="1" type="noConversion"/>
  </si>
  <si>
    <t>魔法值</t>
    <phoneticPr fontId="1" type="noConversion"/>
  </si>
  <si>
    <t>养成属性分配</t>
    <phoneticPr fontId="1" type="noConversion"/>
  </si>
  <si>
    <t>装备注灵</t>
    <phoneticPr fontId="1" type="noConversion"/>
  </si>
  <si>
    <t>天尊洗练</t>
    <phoneticPr fontId="1" type="noConversion"/>
  </si>
  <si>
    <t>称号</t>
    <phoneticPr fontId="1" type="noConversion"/>
  </si>
  <si>
    <t>技能等级</t>
    <phoneticPr fontId="1" type="noConversion"/>
  </si>
  <si>
    <t>宝石镶嵌</t>
    <phoneticPr fontId="1" type="noConversion"/>
  </si>
  <si>
    <t>龙魂炼体(10转毕业）</t>
    <phoneticPr fontId="1" type="noConversion"/>
  </si>
  <si>
    <t>附件合成（15转毕业）</t>
    <phoneticPr fontId="1" type="noConversion"/>
  </si>
  <si>
    <t>特戒（10转毕业）</t>
    <phoneticPr fontId="1" type="noConversion"/>
  </si>
  <si>
    <t>星座装备（10转毕业）</t>
    <phoneticPr fontId="1" type="noConversion"/>
  </si>
  <si>
    <t>养成线</t>
    <phoneticPr fontId="1" type="noConversion"/>
  </si>
  <si>
    <t>成长大类</t>
    <phoneticPr fontId="1" type="noConversion"/>
  </si>
  <si>
    <t>成长子类1</t>
    <phoneticPr fontId="1" type="noConversion"/>
  </si>
  <si>
    <t>成长子类2</t>
    <phoneticPr fontId="1" type="noConversion"/>
  </si>
  <si>
    <t>成长子类3</t>
    <phoneticPr fontId="1" type="noConversion"/>
  </si>
  <si>
    <t>养成名称</t>
    <phoneticPr fontId="1" type="noConversion"/>
  </si>
  <si>
    <t>养成等级</t>
    <phoneticPr fontId="1" type="noConversion"/>
  </si>
  <si>
    <t>等级要求</t>
    <phoneticPr fontId="1" type="noConversion"/>
  </si>
  <si>
    <t>转生等级要求</t>
    <phoneticPr fontId="1" type="noConversion"/>
  </si>
  <si>
    <t>战士属性投放</t>
    <phoneticPr fontId="1" type="noConversion"/>
  </si>
  <si>
    <t>法师属性投放</t>
    <phoneticPr fontId="1" type="noConversion"/>
  </si>
  <si>
    <t>道士属性投放</t>
    <phoneticPr fontId="1" type="noConversion"/>
  </si>
  <si>
    <t>特殊效果</t>
    <phoneticPr fontId="1" type="noConversion"/>
  </si>
  <si>
    <r>
      <t>升到下一级所需</t>
    </r>
    <r>
      <rPr>
        <b/>
        <sz val="12"/>
        <color theme="4" tint="-0.249977111117893"/>
        <rFont val="微软雅黑"/>
        <family val="2"/>
        <charset val="134"/>
      </rPr>
      <t>等级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FF0000"/>
        <rFont val="微软雅黑"/>
        <family val="2"/>
        <charset val="134"/>
      </rPr>
      <t>经验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</si>
  <si>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通用</t>
    <phoneticPr fontId="1" type="noConversion"/>
  </si>
  <si>
    <t>战士属性</t>
    <phoneticPr fontId="1" type="noConversion"/>
  </si>
  <si>
    <t>法师属性</t>
    <phoneticPr fontId="1" type="noConversion"/>
  </si>
  <si>
    <t>道士属性</t>
    <phoneticPr fontId="1" type="noConversion"/>
  </si>
  <si>
    <t>下道术</t>
    <phoneticPr fontId="1" type="noConversion"/>
  </si>
  <si>
    <t>下攻击</t>
    <phoneticPr fontId="1" type="noConversion"/>
  </si>
  <si>
    <t>上攻击</t>
    <phoneticPr fontId="1" type="noConversion"/>
  </si>
  <si>
    <t>下魔法</t>
    <phoneticPr fontId="1" type="noConversion"/>
  </si>
  <si>
    <t>上魔法</t>
    <phoneticPr fontId="1" type="noConversion"/>
  </si>
  <si>
    <t>上道术</t>
    <phoneticPr fontId="1" type="noConversion"/>
  </si>
  <si>
    <t>下物防</t>
    <phoneticPr fontId="1" type="noConversion"/>
  </si>
  <si>
    <t>上物防</t>
    <phoneticPr fontId="1" type="noConversion"/>
  </si>
  <si>
    <t>下魔防</t>
    <phoneticPr fontId="1" type="noConversion"/>
  </si>
  <si>
    <t>上魔防</t>
    <phoneticPr fontId="1" type="noConversion"/>
  </si>
  <si>
    <t>属性投放</t>
    <phoneticPr fontId="1" type="noConversion"/>
  </si>
  <si>
    <t>无</t>
    <phoneticPr fontId="1" type="noConversion"/>
  </si>
  <si>
    <t>九品将侍郎</t>
    <phoneticPr fontId="1" type="noConversion"/>
  </si>
  <si>
    <t>八品骑士</t>
    <phoneticPr fontId="1" type="noConversion"/>
  </si>
  <si>
    <t>七品前锋</t>
    <phoneticPr fontId="1" type="noConversion"/>
  </si>
  <si>
    <t>六品护卫</t>
    <phoneticPr fontId="1" type="noConversion"/>
  </si>
  <si>
    <t>战士</t>
    <phoneticPr fontId="1" type="noConversion"/>
  </si>
  <si>
    <t>五品佐领</t>
    <phoneticPr fontId="1" type="noConversion"/>
  </si>
  <si>
    <t>法师</t>
    <phoneticPr fontId="1" type="noConversion"/>
  </si>
  <si>
    <t>四品参将</t>
    <phoneticPr fontId="1" type="noConversion"/>
  </si>
  <si>
    <t>道士</t>
    <phoneticPr fontId="1" type="noConversion"/>
  </si>
  <si>
    <t>三品大将</t>
    <phoneticPr fontId="1" type="noConversion"/>
  </si>
  <si>
    <t>二品将军</t>
    <phoneticPr fontId="1" type="noConversion"/>
  </si>
  <si>
    <t>一品统帅</t>
    <phoneticPr fontId="1" type="noConversion"/>
  </si>
  <si>
    <t>辅国公</t>
    <phoneticPr fontId="1" type="noConversion"/>
  </si>
  <si>
    <t>大都督</t>
    <phoneticPr fontId="1" type="noConversion"/>
  </si>
  <si>
    <t>高级官职</t>
    <phoneticPr fontId="1" type="noConversion"/>
  </si>
  <si>
    <t>亲王</t>
    <phoneticPr fontId="1" type="noConversion"/>
  </si>
  <si>
    <t>冠绝一世</t>
    <phoneticPr fontId="1" type="noConversion"/>
  </si>
  <si>
    <t>逐鹿群雄</t>
    <phoneticPr fontId="1" type="noConversion"/>
  </si>
  <si>
    <t>雄霸天下</t>
    <phoneticPr fontId="1" type="noConversion"/>
  </si>
  <si>
    <t>官职等级要求</t>
    <phoneticPr fontId="1" type="noConversion"/>
  </si>
  <si>
    <t>天武之印（未激活）</t>
    <phoneticPr fontId="1" type="noConversion"/>
  </si>
  <si>
    <t>天武之印</t>
    <phoneticPr fontId="1" type="noConversion"/>
  </si>
  <si>
    <t>五品</t>
    <phoneticPr fontId="1" type="noConversion"/>
  </si>
  <si>
    <t>灵武之印（未激活）</t>
    <phoneticPr fontId="1" type="noConversion"/>
  </si>
  <si>
    <t>灵武之印</t>
    <phoneticPr fontId="1" type="noConversion"/>
  </si>
  <si>
    <t>四品</t>
    <phoneticPr fontId="1" type="noConversion"/>
  </si>
  <si>
    <t>灵武之印</t>
  </si>
  <si>
    <t>神武之印（未激活）</t>
    <phoneticPr fontId="1" type="noConversion"/>
  </si>
  <si>
    <t>神武之印</t>
    <phoneticPr fontId="1" type="noConversion"/>
  </si>
  <si>
    <t>三品</t>
    <phoneticPr fontId="1" type="noConversion"/>
  </si>
  <si>
    <t>圣武之印（未激活）</t>
    <phoneticPr fontId="1" type="noConversion"/>
  </si>
  <si>
    <t>圣武之印</t>
  </si>
  <si>
    <t>二品</t>
    <phoneticPr fontId="1" type="noConversion"/>
  </si>
  <si>
    <t>圣武之印</t>
    <phoneticPr fontId="1" type="noConversion"/>
  </si>
  <si>
    <t>威武极天之印（未激活）</t>
    <phoneticPr fontId="1" type="noConversion"/>
  </si>
  <si>
    <t>威武极天之印</t>
  </si>
  <si>
    <t>一品</t>
    <phoneticPr fontId="1" type="noConversion"/>
  </si>
  <si>
    <t>威武极天之印</t>
    <phoneticPr fontId="1" type="noConversion"/>
  </si>
  <si>
    <t>洪武行天之印（未激活）</t>
    <phoneticPr fontId="1" type="noConversion"/>
  </si>
  <si>
    <t>洪武行天之印</t>
  </si>
  <si>
    <t>辅国公</t>
  </si>
  <si>
    <t>洪武行天之印</t>
    <phoneticPr fontId="1" type="noConversion"/>
  </si>
  <si>
    <t>高级官印</t>
    <phoneticPr fontId="1" type="noConversion"/>
  </si>
  <si>
    <t>尊武凌天之印（未激活）</t>
    <phoneticPr fontId="1" type="noConversion"/>
  </si>
  <si>
    <t>尊武凌天之印</t>
    <phoneticPr fontId="1" type="noConversion"/>
  </si>
  <si>
    <t>玄傲齐天之印（未激活）</t>
    <phoneticPr fontId="1" type="noConversion"/>
  </si>
  <si>
    <t>玄傲齐天之印</t>
  </si>
  <si>
    <t>玄傲齐天之印</t>
    <phoneticPr fontId="1" type="noConversion"/>
  </si>
  <si>
    <t>神威亢天之印（未激活）</t>
    <phoneticPr fontId="1" type="noConversion"/>
  </si>
  <si>
    <t>神威亢天之印</t>
    <phoneticPr fontId="1" type="noConversion"/>
  </si>
  <si>
    <t>混元镇天之印</t>
  </si>
  <si>
    <t>至尊傲天之印</t>
    <phoneticPr fontId="1" type="noConversion"/>
  </si>
  <si>
    <t>转生等级0</t>
    <phoneticPr fontId="1" type="noConversion"/>
  </si>
  <si>
    <t>转生等级1</t>
    <phoneticPr fontId="1" type="noConversion"/>
  </si>
  <si>
    <t>转生等级2</t>
    <phoneticPr fontId="1" type="noConversion"/>
  </si>
  <si>
    <t>转生等级3</t>
    <phoneticPr fontId="1" type="noConversion"/>
  </si>
  <si>
    <t>转生等级4</t>
    <phoneticPr fontId="1" type="noConversion"/>
  </si>
  <si>
    <t>转生等级5</t>
    <phoneticPr fontId="1" type="noConversion"/>
  </si>
  <si>
    <t>转生等级6</t>
  </si>
  <si>
    <t>转生等级7</t>
  </si>
  <si>
    <t>转生等级8</t>
  </si>
  <si>
    <t>转生等级9</t>
  </si>
  <si>
    <t>转生等级10</t>
  </si>
  <si>
    <t>高级转生</t>
    <phoneticPr fontId="1" type="noConversion"/>
  </si>
  <si>
    <t>转生等级11</t>
  </si>
  <si>
    <t>转生等级12</t>
    <phoneticPr fontId="1" type="noConversion"/>
  </si>
  <si>
    <t>转生等级13</t>
  </si>
  <si>
    <t>转生等级14</t>
  </si>
  <si>
    <t>转生等级15</t>
  </si>
  <si>
    <t>转生等级16</t>
  </si>
  <si>
    <t>转生等级17</t>
  </si>
  <si>
    <t>转生等级18</t>
  </si>
  <si>
    <t>转生等级19</t>
  </si>
  <si>
    <t>转生等级20</t>
    <phoneticPr fontId="1" type="noConversion"/>
  </si>
  <si>
    <t>养成线</t>
  </si>
  <si>
    <t>成长大类</t>
  </si>
  <si>
    <t>成长子类1</t>
  </si>
  <si>
    <t>成长子类2</t>
  </si>
  <si>
    <t>养成名称</t>
  </si>
  <si>
    <t>养成等级</t>
  </si>
  <si>
    <t>等级要求</t>
  </si>
  <si>
    <t>转生等级要求</t>
  </si>
  <si>
    <t>属性投放</t>
  </si>
  <si>
    <t>特殊效果</t>
  </si>
  <si>
    <t>装备</t>
  </si>
  <si>
    <t>武器</t>
  </si>
  <si>
    <t>通用</t>
  </si>
  <si>
    <t>乌木剑</t>
  </si>
  <si>
    <t>准确5|下攻2|上攻5</t>
  </si>
  <si>
    <t>木剑</t>
  </si>
  <si>
    <t>罗刹</t>
  </si>
  <si>
    <t>下攻15|魔下2|道下2</t>
  </si>
  <si>
    <t>青铜剑</t>
  </si>
  <si>
    <t>下攻3|上攻7</t>
  </si>
  <si>
    <t>井中月</t>
  </si>
  <si>
    <t>下攻0|上攻15|魔下2|魔上9|道下2|道上9</t>
  </si>
  <si>
    <t>铁剑</t>
  </si>
  <si>
    <t>下攻5|上攻9</t>
  </si>
  <si>
    <t>短剑</t>
  </si>
  <si>
    <t>下攻3|上攻11</t>
  </si>
  <si>
    <t>青铜斧</t>
  </si>
  <si>
    <t>上攻15</t>
  </si>
  <si>
    <t>八荒</t>
  </si>
  <si>
    <t>下攻4|上攻12</t>
  </si>
  <si>
    <t>凌风</t>
  </si>
  <si>
    <t>下攻6|上攻12</t>
  </si>
  <si>
    <t>破魂</t>
  </si>
  <si>
    <t>准确2|下攻8|上攻10</t>
  </si>
  <si>
    <t>斩马刀</t>
  </si>
  <si>
    <t>下攻5|上攻15</t>
  </si>
  <si>
    <t>祈祷之刃</t>
  </si>
  <si>
    <t>准确3|攻速1|下攻8|上攻20</t>
  </si>
  <si>
    <t>怒斩</t>
  </si>
  <si>
    <t>准确3|下攻12|上攻26</t>
  </si>
  <si>
    <t>霸者之刃</t>
  </si>
  <si>
    <t>准确2|下攻6|上攻32|魔下2|魔上7|道下3|道上8</t>
  </si>
  <si>
    <t>修罗</t>
  </si>
  <si>
    <t>上攻20</t>
  </si>
  <si>
    <t>凝霜</t>
  </si>
  <si>
    <t>下攻10|上攻13</t>
  </si>
  <si>
    <t>苍茫刃</t>
  </si>
  <si>
    <t>下攻0|上攻18|魔下3|魔上7|道下3|道上7</t>
  </si>
  <si>
    <t/>
  </si>
  <si>
    <t>战士</t>
  </si>
  <si>
    <t>裁决之杖</t>
  </si>
  <si>
    <t>下攻0|上攻30|准确1</t>
  </si>
  <si>
    <t>攻击上限 +1</t>
  </si>
  <si>
    <t>法师</t>
  </si>
  <si>
    <t>骨玉权杖</t>
  </si>
  <si>
    <t>下攻6|上攻14|魔下3|魔上9|准确1</t>
  </si>
  <si>
    <t>魔法上限 +1</t>
  </si>
  <si>
    <t>道士</t>
  </si>
  <si>
    <t>龙纹剑</t>
  </si>
  <si>
    <t>下攻8|上攻22|道下3|道上9|准确1</t>
  </si>
  <si>
    <t>道术上限 +1</t>
  </si>
  <si>
    <t>纵横战剑</t>
  </si>
  <si>
    <t>下攻5|上攻35|准确2</t>
  </si>
  <si>
    <t>攻击上限 +2</t>
  </si>
  <si>
    <t>纵横魔刃</t>
  </si>
  <si>
    <t>下攻5|上攻17|魔下3|魔上17|准确2</t>
    <phoneticPr fontId="1" type="noConversion"/>
  </si>
  <si>
    <t>魔法上限 +2</t>
  </si>
  <si>
    <t>纵横道扇</t>
  </si>
  <si>
    <t>下攻5|上攻17|道下4|道上16|准确2</t>
  </si>
  <si>
    <t>道术上限 +2</t>
  </si>
  <si>
    <t>王者战剑</t>
  </si>
  <si>
    <t>下攻8|上攻45|准确2</t>
  </si>
  <si>
    <t>攻击上限 +3</t>
  </si>
  <si>
    <t>王者魔剑</t>
  </si>
  <si>
    <t>下攻5|上攻14|魔下6|魔上19|准确2</t>
  </si>
  <si>
    <t>物防上限 +3</t>
  </si>
  <si>
    <t>王者道剑</t>
  </si>
  <si>
    <t>下攻5|上攻14|道下6|道上19|准确2</t>
  </si>
  <si>
    <t>道术上限 +3</t>
  </si>
  <si>
    <t>赤焰战刃</t>
  </si>
  <si>
    <t>下攻30|上攻50|准确3</t>
  </si>
  <si>
    <t>攻击上限 +4</t>
  </si>
  <si>
    <t>赤焰魔刃</t>
  </si>
  <si>
    <t>下攻5|上攻20|魔下6|魔上23|准确3</t>
  </si>
  <si>
    <t>物防上限 +4</t>
  </si>
  <si>
    <t>赤焰道刃</t>
  </si>
  <si>
    <t>下攻5|上攻20|道下6|道上23|准确3</t>
  </si>
  <si>
    <t>道术上限 +4</t>
  </si>
  <si>
    <t>下攻35|上攻55|准确5</t>
  </si>
  <si>
    <t>攻击上限 +5</t>
  </si>
  <si>
    <t>传说魔刃</t>
  </si>
  <si>
    <t>下攻6|上攻20|魔下8|魔上26|准确5</t>
  </si>
  <si>
    <t>物防上限 +5</t>
  </si>
  <si>
    <t>传说道刃</t>
  </si>
  <si>
    <t>下攻6|上攻20|道下8|道上26|准确5</t>
  </si>
  <si>
    <t>道术上限 +5</t>
  </si>
  <si>
    <t>雄霸战剑</t>
  </si>
  <si>
    <t>下攻40|上攻60|准确8</t>
  </si>
  <si>
    <t>攻击上限 +6</t>
  </si>
  <si>
    <t>雄霸法杖</t>
  </si>
  <si>
    <t>下攻7|上攻22|魔下9|魔上32|准确8</t>
  </si>
  <si>
    <t>物防上限 +6</t>
  </si>
  <si>
    <t>雄霸道扇</t>
  </si>
  <si>
    <t>下攻8|上攻22|道下9|道上32|准确8</t>
  </si>
  <si>
    <t>道术上限 +6</t>
  </si>
  <si>
    <t>苍穹战剑</t>
  </si>
  <si>
    <t>下攻45|上攻65|准确12</t>
  </si>
  <si>
    <t>攻击上限 +7</t>
  </si>
  <si>
    <t>苍穹魔刃</t>
  </si>
  <si>
    <t>下攻10|上攻28|魔下12|魔上35|准确12</t>
  </si>
  <si>
    <t>物防上限 +7</t>
  </si>
  <si>
    <t>苍穹道剑</t>
  </si>
  <si>
    <t>下攻10|上攻28|道下12|道上35|准确12</t>
  </si>
  <si>
    <t>道术上限 +7</t>
  </si>
  <si>
    <t>乾坤战斧</t>
  </si>
  <si>
    <t>下攻50|上攻70|准确15</t>
  </si>
  <si>
    <t>攻击上限 +8</t>
  </si>
  <si>
    <t>乾坤魔杖</t>
  </si>
  <si>
    <t>下攻12|上攻32|魔下15|魔上40|准确15</t>
  </si>
  <si>
    <t>物防上限 +8</t>
  </si>
  <si>
    <t>乾坤道刃</t>
  </si>
  <si>
    <t>下攻12|上攻32|道下15|道上40|准确15</t>
  </si>
  <si>
    <t>道术上限 +8</t>
  </si>
  <si>
    <t>屠龙</t>
  </si>
  <si>
    <t>下攻60|上攻80|准确18</t>
  </si>
  <si>
    <t>攻击 +1%</t>
  </si>
  <si>
    <t>嗜魂法杖</t>
  </si>
  <si>
    <t>下攻11|上攻36|魔下25|魔上45|准确18</t>
  </si>
  <si>
    <t>魔法 +1%</t>
  </si>
  <si>
    <t>逍遥扇</t>
  </si>
  <si>
    <t>下攻11|上攻36|道下25|道上45|准确18</t>
  </si>
  <si>
    <t>道术 +1%</t>
  </si>
  <si>
    <t>黄金屠龙</t>
  </si>
  <si>
    <t>下攻65|上攻85|准确20</t>
  </si>
  <si>
    <t>攻击 +2%</t>
  </si>
  <si>
    <t>黄金嗜魂法杖</t>
  </si>
  <si>
    <t>下攻15|上攻40|魔下30|魔上50|准确20</t>
  </si>
  <si>
    <t>魔法 +2%</t>
  </si>
  <si>
    <t>黄金逍遥扇</t>
    <phoneticPr fontId="1" type="noConversion"/>
  </si>
  <si>
    <t>下攻18|上攻45|道下30|道上50|准确20</t>
  </si>
  <si>
    <t>道术 +2%</t>
  </si>
  <si>
    <t>开天</t>
  </si>
  <si>
    <t>下攻68|上攻88|准确25</t>
  </si>
  <si>
    <t>攻击 +3%</t>
  </si>
  <si>
    <t>镇天</t>
  </si>
  <si>
    <t>下攻38|上攻58|魔下38|魔上58|准确25</t>
  </si>
  <si>
    <t>魔法 +3%</t>
  </si>
  <si>
    <t>玄天</t>
    <phoneticPr fontId="1" type="noConversion"/>
  </si>
  <si>
    <t>下攻38|上攻58|道下38|道上58|准确25</t>
  </si>
  <si>
    <t>道术 +3%</t>
  </si>
  <si>
    <t>风暴の剑</t>
  </si>
  <si>
    <t>下攻10|上攻40|魔下5|魔上20|道下5|道上20|准确8</t>
  </si>
  <si>
    <t>攻魔道 +3</t>
  </si>
  <si>
    <t>九耀の剑</t>
  </si>
  <si>
    <t>下攻16|上攻50|魔下7|魔上24|道下7|道上24|准确10</t>
  </si>
  <si>
    <t>攻魔道 +5</t>
  </si>
  <si>
    <t>湮灭の刃</t>
  </si>
  <si>
    <t>下攻22|上攻60|魔下10|魔上28|道下10|道上28|准确12</t>
  </si>
  <si>
    <t>攻魔道 +7</t>
  </si>
  <si>
    <t>混元の剑</t>
  </si>
  <si>
    <t>下攻28|上攻70|魔下14|魔上32|道下14|道上32|准确14|攻速1</t>
  </si>
  <si>
    <t>攻魔道 +9</t>
  </si>
  <si>
    <t>审判の剑</t>
    <phoneticPr fontId="1" type="noConversion"/>
  </si>
  <si>
    <t>下攻34|上攻85|魔下25|魔上50|道下25|道上50|准确16|攻速1</t>
    <phoneticPr fontId="1" type="noConversion"/>
  </si>
  <si>
    <t>攻魔道 +5%</t>
  </si>
  <si>
    <t>逐月の剑</t>
    <phoneticPr fontId="1" type="noConversion"/>
  </si>
  <si>
    <t>下攻40|上攻93|魔下35|魔上60|道下35|道上60|准确18|攻速1</t>
  </si>
  <si>
    <t>攻魔道 +6%</t>
  </si>
  <si>
    <t>大地の剑</t>
    <phoneticPr fontId="1" type="noConversion"/>
  </si>
  <si>
    <t>下攻46|上攻102|魔下45|魔上70|道下45|道上70|准确20|攻速1</t>
  </si>
  <si>
    <t>攻魔道 +7%</t>
  </si>
  <si>
    <t>主宰の剑</t>
    <phoneticPr fontId="1" type="noConversion"/>
  </si>
  <si>
    <t>下攻85|上攻110|魔下55|魔上80|道下55|道上80|准确35|攻速2</t>
  </si>
  <si>
    <t>攻魔道 +8%</t>
  </si>
  <si>
    <t>太虚の剑</t>
    <phoneticPr fontId="1" type="noConversion"/>
  </si>
  <si>
    <t>下攻85|上攻115|魔下55|魔上85|道下55|道上85|准确35|攻速2</t>
  </si>
  <si>
    <t>攻魔道 +9%</t>
  </si>
  <si>
    <t>龙吟の剑</t>
    <phoneticPr fontId="1" type="noConversion"/>
  </si>
  <si>
    <t>下攻85|上攻120|魔下55|魔上90|道下55|道上90|准确35|攻速2</t>
  </si>
  <si>
    <t>攻魔道 +10%</t>
    <phoneticPr fontId="1" type="noConversion"/>
  </si>
  <si>
    <t>荣耀圣刃</t>
  </si>
  <si>
    <t>下攻103|上攻123|魔下78|魔上98|道下78|道上98|准确40|攻速3</t>
  </si>
  <si>
    <t>攻魔道 +16%</t>
  </si>
  <si>
    <t>永恒圣剑</t>
  </si>
  <si>
    <t>下攻108|上攻133|魔下83|魔上108|道下83|道上108|准确40|攻速3</t>
  </si>
  <si>
    <t>攻魔道 +18%</t>
  </si>
  <si>
    <t>龙腾圣剑</t>
  </si>
  <si>
    <t>下攻113|上攻143|魔下88|魔上118|道下88|道上118|准确45|攻速3</t>
  </si>
  <si>
    <t>攻魔道 +20%</t>
  </si>
  <si>
    <t>盛世圣剑</t>
  </si>
  <si>
    <t>下攻118|上攻153|魔下93|魔上128|道下93|道上128|准确50|攻速4</t>
  </si>
  <si>
    <t>攻魔道 +22%</t>
  </si>
  <si>
    <t>辉煌圣剑</t>
  </si>
  <si>
    <t>下攻123|上攻163|魔下98|魔上138|道下98|道上138|准确55|攻速4</t>
  </si>
  <si>
    <t>攻魔道 +24%</t>
  </si>
  <si>
    <t>火龙神斩</t>
  </si>
  <si>
    <t>下攻128|上攻173|魔下103|魔上148|道下103|道上148|准确60|攻速4</t>
  </si>
  <si>
    <t>攻魔道 +26%</t>
  </si>
  <si>
    <t>鬼の血光摄魂·剑</t>
    <phoneticPr fontId="1" type="noConversion"/>
  </si>
  <si>
    <t>下攻133|上攻183|魔下108|魔上158|道下108|道上158|准确65|攻速5</t>
    <phoneticPr fontId="1" type="noConversion"/>
  </si>
  <si>
    <t>攻魔道 +28%</t>
  </si>
  <si>
    <t>魔の嗜血狂杀·斩</t>
    <phoneticPr fontId="1" type="noConversion"/>
  </si>
  <si>
    <t>下攻138|上攻193|魔下113|魔上168|道下113|道上168|准确70|攻速5</t>
  </si>
  <si>
    <t>攻魔道 +30%</t>
  </si>
  <si>
    <t>狂の纵横天下·斩</t>
    <phoneticPr fontId="1" type="noConversion"/>
  </si>
  <si>
    <t>下攻143|上攻203|魔下118|魔上178|道下118|道上178|准确70|攻速5|伤害加成%5</t>
  </si>
  <si>
    <t>攻魔道 +32%</t>
  </si>
  <si>
    <t>怒の战无不胜·刃</t>
    <phoneticPr fontId="1" type="noConversion"/>
  </si>
  <si>
    <t>下攻148|上攻213|魔下123|魔上188|道下123|道上188|准确70|攻速5|伤害加成%7</t>
  </si>
  <si>
    <t>攻魔道 +34%</t>
  </si>
  <si>
    <t>神の永恒霸主·剑</t>
  </si>
  <si>
    <t>下攻153|上攻223|魔下128|魔上198|道下128|道上198|准确70|攻速5|伤害加成%10</t>
  </si>
  <si>
    <t>攻魔道 +37%</t>
  </si>
  <si>
    <t>扭转乾坤㊣绝杀·剑</t>
  </si>
  <si>
    <t>下攻158|上攻233|魔下133|魔上208|道下133|道上208|准确80|攻速6|伤害加成%15</t>
  </si>
  <si>
    <t>攻魔道 +40%</t>
  </si>
  <si>
    <t>独孤求败㊣弑神·剑</t>
  </si>
  <si>
    <t>下攻163|上攻243|魔下138|魔上218|道下138|道上218|准确80|攻速6|伤害加成%15|暴击率%3</t>
  </si>
  <si>
    <t>攻魔道 +43%</t>
  </si>
  <si>
    <t>鬼嚎神啸㊣无敌·斩</t>
  </si>
  <si>
    <t>下攻168|上攻248|魔下143|魔上228|道下143|道上228|准确80|攻速6|伤害加成%15|暴击率%5</t>
  </si>
  <si>
    <t>攻魔道 +46%</t>
  </si>
  <si>
    <t>斩尽杀绝㊣帝陨·锤</t>
  </si>
  <si>
    <t>下攻173|上攻258|魔下148|魔上238|道下148|道上238|准确80|攻速6|伤害加成%15|暴击率%8</t>
  </si>
  <si>
    <t>攻魔道 +49%</t>
  </si>
  <si>
    <t>无极㊣唯我独尊·斩</t>
  </si>
  <si>
    <t>下攻178|上攻268|魔下153|魔上248|道下153|道上248|准确80|攻速7|伤害加成%18|暴击率%10</t>
  </si>
  <si>
    <t>攻魔道 +52%</t>
  </si>
  <si>
    <t>承影剑</t>
  </si>
  <si>
    <t>下攻50|上攻60|魔下15|魔上32|道下15|道上32|幸运9|准确8|对怪增伤500</t>
  </si>
  <si>
    <t>火龙神斩·地</t>
  </si>
  <si>
    <t>下攻8|上攻33|魔下5|魔上9|道下4|道上12|准确5|幸运5</t>
  </si>
  <si>
    <t>火龙神斩·天</t>
  </si>
  <si>
    <t>下攻11|上攻38|魔下5|魔上12|道下4|道上14|准确7|幸运7</t>
  </si>
  <si>
    <t>万古至尊の剑</t>
  </si>
  <si>
    <t>下攻80|上攻105|魔下20|魔上40|道下20|道上40</t>
  </si>
  <si>
    <t>永恒主宰¢剑</t>
  </si>
  <si>
    <t>下攻85|上攻110|魔下25|魔上45|道下25|道上45</t>
  </si>
  <si>
    <t>大地之怒ぃ圣剑</t>
  </si>
  <si>
    <t>下攻90|上攻115|魔下30|魔上50|道下30|道上50</t>
  </si>
  <si>
    <t>龙游星界※魔剑</t>
  </si>
  <si>
    <t>下攻95|上攻120|魔下35|魔上55|道下35|道上55</t>
  </si>
  <si>
    <t>天使降临☆灵剑</t>
  </si>
  <si>
    <t>正义之神★帝剑</t>
  </si>
  <si>
    <t>#修罗</t>
  </si>
  <si>
    <t>下攻115|上攻135|魔下50|魔上70|道下50|道上70</t>
  </si>
  <si>
    <t>诛仙</t>
  </si>
  <si>
    <t>轩辕</t>
  </si>
  <si>
    <t>流光</t>
  </si>
  <si>
    <t>刑天</t>
  </si>
  <si>
    <t>曜日</t>
  </si>
  <si>
    <t>曜月</t>
  </si>
  <si>
    <t>热血·修罗</t>
  </si>
  <si>
    <t>下攻130|上攻150|魔下60|魔上85|道下60|道上85</t>
  </si>
  <si>
    <t>热血·诛仙</t>
  </si>
  <si>
    <t>热血·轩辕</t>
  </si>
  <si>
    <t>热血·流光</t>
  </si>
  <si>
    <t>热血·刑天</t>
  </si>
  <si>
    <t>热血·曜日</t>
  </si>
  <si>
    <t>热血·曜月</t>
  </si>
  <si>
    <t>荣耀·修罗</t>
  </si>
  <si>
    <t>下攻145|上攻170|魔下75|魔上100|道下75|道上100</t>
  </si>
  <si>
    <t>荣耀·诛仙</t>
  </si>
  <si>
    <t>荣耀·轩辕</t>
  </si>
  <si>
    <t>荣耀·流光</t>
  </si>
  <si>
    <t>荣耀·刑天</t>
  </si>
  <si>
    <t>荣耀·曜日</t>
  </si>
  <si>
    <t>荣耀·曜月</t>
  </si>
  <si>
    <t>辉煌·修罗</t>
  </si>
  <si>
    <t>辉煌·诛仙</t>
  </si>
  <si>
    <t>辉煌·轩辕</t>
  </si>
  <si>
    <t>辉煌·流光</t>
  </si>
  <si>
    <t>辉煌·刑天</t>
  </si>
  <si>
    <t>辉煌·曜日</t>
  </si>
  <si>
    <t>辉煌·曜月</t>
  </si>
  <si>
    <t>盛世·修罗</t>
    <phoneticPr fontId="1" type="noConversion"/>
  </si>
  <si>
    <t>盛世·诛仙</t>
  </si>
  <si>
    <t>盛世·轩辕</t>
  </si>
  <si>
    <t>盛世·流光</t>
  </si>
  <si>
    <t>盛世·刑天</t>
  </si>
  <si>
    <t>盛世·曜日</t>
  </si>
  <si>
    <t>盛世·曜月</t>
  </si>
  <si>
    <t>【残】修罗</t>
  </si>
  <si>
    <t>下攻93|上攻113|魔下30|魔上50|道下30|道上50</t>
  </si>
  <si>
    <t>【残】诛仙</t>
  </si>
  <si>
    <t>【残】轩辕</t>
  </si>
  <si>
    <t>【残】流光</t>
  </si>
  <si>
    <t>【残】刑天</t>
  </si>
  <si>
    <t>【残】曜日</t>
  </si>
  <si>
    <t>【残】曜月</t>
  </si>
  <si>
    <t>【残】热血·修罗</t>
  </si>
  <si>
    <t>下攻103|上攻125|魔下35|魔上60|道下35|道上60</t>
  </si>
  <si>
    <t>【残】热血·诛仙</t>
  </si>
  <si>
    <t>【残】热血·轩辕</t>
  </si>
  <si>
    <t>【残】热血·流光</t>
  </si>
  <si>
    <t>【残】热血·刑天</t>
  </si>
  <si>
    <t>【残】热血·曜日</t>
  </si>
  <si>
    <t>【残】热血·曜月</t>
  </si>
  <si>
    <t>【残】荣耀·修罗</t>
  </si>
  <si>
    <t>下攻116|上攻141|魔下40|魔上70|道下40|道上70</t>
  </si>
  <si>
    <t>【残】荣耀·诛仙</t>
  </si>
  <si>
    <t>【残】荣耀·轩辕</t>
  </si>
  <si>
    <t>【残】荣耀·流光</t>
  </si>
  <si>
    <t>【残】荣耀·刑天</t>
  </si>
  <si>
    <t>【残】荣耀·曜日</t>
  </si>
  <si>
    <t>【残】荣耀·曜月</t>
  </si>
  <si>
    <t>【残】辉煌·修罗</t>
  </si>
  <si>
    <t>【残】辉煌·诛仙</t>
  </si>
  <si>
    <t>【残】辉煌·轩辕</t>
  </si>
  <si>
    <t>【残】辉煌·流光</t>
  </si>
  <si>
    <t>【残】辉煌·刑天</t>
  </si>
  <si>
    <t>【残】辉煌·曜日</t>
  </si>
  <si>
    <t>【残】辉煌·曜月</t>
  </si>
  <si>
    <t>【残】盛世·修罗</t>
  </si>
  <si>
    <t>【残】盛世·诛仙</t>
  </si>
  <si>
    <t>【残】盛世·轩辕</t>
  </si>
  <si>
    <t>【残】盛世·流光</t>
  </si>
  <si>
    <t>【残】盛世·刑天</t>
  </si>
  <si>
    <t>【残】盛世·曜日</t>
  </si>
  <si>
    <t>【残】盛世·曜月</t>
  </si>
  <si>
    <t>开天辟日</t>
  </si>
  <si>
    <t>下攻10|上攻10|魔下10|魔上10|道下10|道上10</t>
  </si>
  <si>
    <t>逐日之星</t>
  </si>
  <si>
    <t>清风月影</t>
  </si>
  <si>
    <t>下攻20|上攻20|魔下20|魔上20|道下20|道上20</t>
  </si>
  <si>
    <t>天下无双</t>
  </si>
  <si>
    <t>逐风破浪</t>
  </si>
  <si>
    <t>下攻30|上攻30|魔下30|魔上30|道下30|道上30</t>
  </si>
  <si>
    <t>凤翥龙翔</t>
  </si>
  <si>
    <t>风华流砂</t>
  </si>
  <si>
    <t>#苍茫刃</t>
  </si>
  <si>
    <t>新手剑</t>
  </si>
  <si>
    <t>游龙ぃ至尊战剑</t>
  </si>
  <si>
    <t>下攻65|上攻132|准确26|攻速3</t>
  </si>
  <si>
    <t>攻击 +19%</t>
  </si>
  <si>
    <t>游龙ぃ至尊道刃</t>
  </si>
  <si>
    <t>下攻52|上攻65|道下38|道上62|准确26</t>
  </si>
  <si>
    <t>道术 +19%</t>
  </si>
  <si>
    <t>游龙ぃ至尊魔杖</t>
  </si>
  <si>
    <t>下攻52|上攻65|魔下38|魔上62|准确26</t>
  </si>
  <si>
    <t>魔法 +19%</t>
  </si>
  <si>
    <t>诛仙ぃ焚天战剑</t>
  </si>
  <si>
    <t>下攻67|上攻134|准确26|攻速3</t>
  </si>
  <si>
    <t>攻击 +21%</t>
  </si>
  <si>
    <t>诛仙ぃ焚天道剑</t>
  </si>
  <si>
    <t>下攻50|上攻63|道下30|道上54|准确26</t>
  </si>
  <si>
    <t>道术 +21%</t>
  </si>
  <si>
    <t>诛仙ぃ焚天魔剑</t>
  </si>
  <si>
    <t>下攻50|上攻63|魔下30|魔上54|准确26</t>
  </si>
  <si>
    <t>魔法 +21%</t>
  </si>
  <si>
    <t>武神ぃ噬魂战剑</t>
  </si>
  <si>
    <t>下攻69|上攻138|准确27|攻速3</t>
  </si>
  <si>
    <t>攻击 +23%</t>
  </si>
  <si>
    <t>武神ぃ噬魂道剑</t>
  </si>
  <si>
    <t>下攻50|上攻63|道下30|道上54|准确27</t>
  </si>
  <si>
    <t>道术 +23%</t>
  </si>
  <si>
    <t>武神ぃ噬魂魔剑</t>
  </si>
  <si>
    <t>下攻50|上攻63|魔下30|魔上54|准确27</t>
  </si>
  <si>
    <t>魔法 +23%</t>
  </si>
  <si>
    <t>鹤嘴锄</t>
  </si>
  <si>
    <t>上攻8</t>
  </si>
  <si>
    <t>炼狱</t>
  </si>
  <si>
    <t>上攻25</t>
  </si>
  <si>
    <t>宝珠</t>
  </si>
  <si>
    <t>魔血石</t>
  </si>
  <si>
    <t>HPMP每秒回复10点，治疗量\用完，道具消失。\</t>
  </si>
  <si>
    <t>衣服</t>
  </si>
  <si>
    <t>男性</t>
  </si>
  <si>
    <t>布衣(男)</t>
  </si>
  <si>
    <t>轻型盔甲(男)</t>
  </si>
  <si>
    <t>下防3|上防3|下魔防1|上魔防2</t>
  </si>
  <si>
    <t>战神盔甲(男)</t>
  </si>
  <si>
    <t>下防5|上防9|下魔防3|上魔防5</t>
  </si>
  <si>
    <t>重盔甲(男)</t>
  </si>
  <si>
    <t>下防3|上防6|下魔防2|上魔防5</t>
  </si>
  <si>
    <t>苍茫甲(男)</t>
  </si>
  <si>
    <t>下攻0|上攻2|魔下0|魔上2|道下0|道上2|下防2|上防5|下魔防2|上魔防5</t>
  </si>
  <si>
    <t>天魔神甲</t>
  </si>
  <si>
    <t>下攻1|上攻3|下防5|上防10|下魔防4|上魔防7</t>
  </si>
  <si>
    <t>HP +10</t>
  </si>
  <si>
    <t>天尊道袍</t>
  </si>
  <si>
    <t>道下1|道上3|下防4|上防10|下魔防4|上魔防7</t>
  </si>
  <si>
    <t>法神披风</t>
  </si>
  <si>
    <t>魔下1|魔上3|下防4|上防10|下魔防4|上魔防7</t>
  </si>
  <si>
    <t>纵横战甲</t>
  </si>
  <si>
    <t>下攻2|上攻5|下防6|上防12|下魔防5|上魔防8</t>
  </si>
  <si>
    <t>HP +20</t>
  </si>
  <si>
    <t>纵横道甲</t>
  </si>
  <si>
    <t>道下2|道上5|下防6|上防12|下魔防5|上魔防8</t>
  </si>
  <si>
    <t>纵横魔甲</t>
    <phoneticPr fontId="1" type="noConversion"/>
  </si>
  <si>
    <t>魔下2|魔上5|下防6|上防12|下魔防5|上魔防8</t>
  </si>
  <si>
    <t>王者战甲</t>
  </si>
  <si>
    <t>下防8|上防13|下魔防8|上魔防9|下攻6|上攻7</t>
  </si>
  <si>
    <t>HP +30</t>
  </si>
  <si>
    <t>王者道甲</t>
  </si>
  <si>
    <t>下防8|上防13|下魔防8|上魔防9|道下6|道上7</t>
  </si>
  <si>
    <t>王者魔甲</t>
  </si>
  <si>
    <t>下防8|上防13|下魔防8|上魔防9|魔下6|魔上7</t>
  </si>
  <si>
    <t>赤焰战甲</t>
  </si>
  <si>
    <t>下防8|上防15|下魔防8|上魔防11|下攻8|上攻9</t>
    <phoneticPr fontId="1" type="noConversion"/>
  </si>
  <si>
    <t>HP +40</t>
  </si>
  <si>
    <t>赤焰道甲</t>
  </si>
  <si>
    <t>下防8|上防15|下魔防8|上魔防11|道下8|道上9</t>
  </si>
  <si>
    <t>赤焰魔甲</t>
  </si>
  <si>
    <t>下防8|上防15|下魔防8|上魔防11|魔下8|魔上9</t>
  </si>
  <si>
    <t>传说战甲</t>
  </si>
  <si>
    <t>下防8|上防18|下魔防8|上魔防14|下攻10|上攻11</t>
  </si>
  <si>
    <t>HP +50</t>
  </si>
  <si>
    <t>传说道甲</t>
  </si>
  <si>
    <t>下防8|上防18|下魔防8|上魔防14|道下10|道上11</t>
  </si>
  <si>
    <t>传说魔甲</t>
  </si>
  <si>
    <t>下防8|上防18|下魔防8|上魔防14|魔下10|魔上11</t>
    <phoneticPr fontId="1" type="noConversion"/>
  </si>
  <si>
    <t>雄霸战甲</t>
  </si>
  <si>
    <t>下防9|上防20|下魔防9|上魔防15|下攻12|上攻13</t>
  </si>
  <si>
    <t>HP +60</t>
  </si>
  <si>
    <t>雄霸道甲</t>
  </si>
  <si>
    <t>下防9|上防20|下魔防9|上魔防15|道下12|道上13</t>
  </si>
  <si>
    <t>雄霸魔甲</t>
  </si>
  <si>
    <t>下防9|上防20|下魔防9|上魔防15|魔下12|魔上13</t>
  </si>
  <si>
    <t>苍穹战甲</t>
  </si>
  <si>
    <t>下防11|上防21|下魔防11|上魔防21|下攻14|上攻14</t>
  </si>
  <si>
    <t>HP +70</t>
  </si>
  <si>
    <t>苍穹道甲</t>
  </si>
  <si>
    <t>下防11|上防21|下魔防11|上魔防21|道下14|道上14</t>
  </si>
  <si>
    <t>苍穹魔甲</t>
  </si>
  <si>
    <t>下防11|上防21|下魔防11|上魔防21|魔下14|魔上14</t>
  </si>
  <si>
    <t>乾坤战甲</t>
  </si>
  <si>
    <t>下防12|上防23|下魔防12|上魔防19|下攻17|上攻17</t>
  </si>
  <si>
    <t>HP +80</t>
  </si>
  <si>
    <t>乾坤道甲</t>
  </si>
  <si>
    <t>下防12|上防23|下魔防12|上魔防19|道下17|道上17</t>
  </si>
  <si>
    <t>乾坤魔甲</t>
    <phoneticPr fontId="1" type="noConversion"/>
  </si>
  <si>
    <t>下防12|上防23|下魔防12|上魔防19|魔下17|魔上17</t>
  </si>
  <si>
    <t>雷霆战甲（男）</t>
  </si>
  <si>
    <t>下防13|上防25|下魔防13|上魔防21|下攻18|上攻19</t>
  </si>
  <si>
    <t>HP +3% MP +3%</t>
  </si>
  <si>
    <t>光芒道袍（男）</t>
  </si>
  <si>
    <t>下防13|上防25|下魔防13|上魔防21|道下18|道上19</t>
  </si>
  <si>
    <t>烈焰魔衣（男）</t>
  </si>
  <si>
    <t>下防13|上防25|下魔防13|上魔防21|魔下18|魔上19</t>
  </si>
  <si>
    <t>强化雷霆战甲（男）</t>
  </si>
  <si>
    <t>下防15|上防30|下魔防15|上魔防25|下攻20|上攻21</t>
  </si>
  <si>
    <t>HP +5% MP +5%</t>
  </si>
  <si>
    <t>强化光芒道袍（男）</t>
  </si>
  <si>
    <t>下防15|上防30|下魔防15|上魔防25|道下20|道上21</t>
  </si>
  <si>
    <t>强化烈焰魔衣（男）</t>
  </si>
  <si>
    <t>下防15|上防30|下魔防15|上魔防25|魔下20|魔上21</t>
  </si>
  <si>
    <t>凤天战甲</t>
  </si>
  <si>
    <t>下防16|上防33|下魔防15|上魔防28|下攻21|上攻24</t>
  </si>
  <si>
    <t>HP +7% MP +7%</t>
  </si>
  <si>
    <t>凤天道甲</t>
  </si>
  <si>
    <t>下防16|上防33|下魔防15|上魔防28|道下21|道上24</t>
  </si>
  <si>
    <t>凤天魔甲</t>
  </si>
  <si>
    <t>下防16|上防33|下魔防15|上魔防28|魔下21|魔上24</t>
  </si>
  <si>
    <t>风暴の甲</t>
  </si>
  <si>
    <t>下攻3|上攻6|魔下3|魔上6|道下3|道上6|下防7|上防13|下魔防7|上魔防13</t>
  </si>
  <si>
    <t>HP +30 MP +30</t>
  </si>
  <si>
    <t>九耀の甲</t>
  </si>
  <si>
    <t>下攻5|上攻8|魔下5|魔上8|道下5|道上8|下防9|上防15|下魔防9|上魔防15</t>
  </si>
  <si>
    <t>HP +50 MP +50</t>
  </si>
  <si>
    <t>湮灭の甲</t>
  </si>
  <si>
    <t>下攻7|上攻10|魔下7|魔上10|道下7|道上10|下防11|上防17|下魔防11|上魔防17</t>
  </si>
  <si>
    <t>HP +70 MP +70</t>
  </si>
  <si>
    <t>混元の甲</t>
  </si>
  <si>
    <t>下攻9|上攻12|魔下9|魔上12|道下9|道上12|下防13|上防19|下魔防13|上魔防19</t>
  </si>
  <si>
    <t>HP +90 MP +90</t>
  </si>
  <si>
    <t>审判の甲</t>
  </si>
  <si>
    <t>下攻11|上攻20|魔下11|魔上20|道下11|道上20|下防15|上防25|下魔防15|上魔防18|战士血量300|战士魔法值30|法师血量75|法师魔法值405|道士血量168|道士魔法值231</t>
  </si>
  <si>
    <t>HP +10% MP +10%</t>
  </si>
  <si>
    <t>逐月の甲</t>
  </si>
  <si>
    <t>下攻13|上攻22|魔下13|魔上22|道下13|道上22|下防15|上防30|下魔防15|上魔防20|战士血量500|战士魔法值50|法师血量125|法师魔法值675|道士血量280|道士魔法值385</t>
  </si>
  <si>
    <t>HP +12% MP +12%</t>
  </si>
  <si>
    <t>大地の甲</t>
  </si>
  <si>
    <t>下攻15|上攻25|魔下15|魔上25|道下15|道上25|下防19|上防35|下魔防15|上魔防22|战士血量700|战士魔法值70|法师血量175|法师魔法值945|道士血量392|道士魔法值539</t>
  </si>
  <si>
    <t>HP +15% MP +15%</t>
  </si>
  <si>
    <t>主宰の甲</t>
  </si>
  <si>
    <t>下防20|上防40|下魔防15|上魔防25|下攻15|上攻30|魔下15|魔上30|道下15|道上30|战士血量900|战士魔法值90|法师血量225|法师魔法值1215|道士血量504|道士魔法值693</t>
  </si>
  <si>
    <t>HP +18% MP +18%</t>
  </si>
  <si>
    <t>太虚の甲</t>
  </si>
  <si>
    <t>下防20|上防40|下魔防15|上魔防25|下攻15|上攻32|魔下15|魔上32|道下15|道上32|战士血量1100|战士魔法值110|法师血量275|法师魔法值1485|道士血量616|道士魔法值847</t>
  </si>
  <si>
    <t>HP +20% MP +20%</t>
  </si>
  <si>
    <t>龙吟の甲</t>
  </si>
  <si>
    <t>下防20|上防40|下魔防15|上魔防25|下攻15|上攻34|魔下15|魔上34|道下15|道上34|战士血量1300|战士魔法值130|法师血量325|法师魔法值1755|道士血量728|道士魔法值1001</t>
  </si>
  <si>
    <t>HP +25% MP +25%</t>
  </si>
  <si>
    <t>荣耀圣甲</t>
  </si>
  <si>
    <t>下防30|上防55|下魔防30|上魔防38|下攻18|上攻35|魔下18|魔上35|道下18|道上35|战士血量1600|战士魔法值160|法师血量400|法师魔法值2160|道士血量896|道士魔法值1232</t>
  </si>
  <si>
    <t>HP +30% MP +30%</t>
  </si>
  <si>
    <t>永恒圣甲</t>
  </si>
  <si>
    <t>下防35|上防60|下魔防35|上魔防40|下攻25|上攻40|魔下25|魔上40|道下25|道上40|战士血量1900|战士魔法值190|法师血量475|法师魔法值2565|道士血量1064|道士魔法值1463</t>
  </si>
  <si>
    <t>HP +35% MP +35%</t>
  </si>
  <si>
    <t>龙腾圣甲</t>
  </si>
  <si>
    <t>下防40|上防65|下魔防40|上魔防50|下攻30|上攻45|魔下30|魔上45|道下30|道上45|战士血量2400|战士魔法值240|法师血量600|法师魔法值3240|道士血量1344|道士魔法值1848</t>
  </si>
  <si>
    <t>HP +40% MP +40%</t>
  </si>
  <si>
    <t>盛世圣甲</t>
  </si>
  <si>
    <t>下防45|上防70|下魔防45|上魔防70|下攻35|上攻50|魔下35|魔上50|道下35|道上50|战士血量2800|战士魔法值280|法师血量700|法师魔法值3780|道士血量1568|道士魔法值2156</t>
  </si>
  <si>
    <t>HP +45% MP +45%</t>
  </si>
  <si>
    <t>辉煌圣甲</t>
  </si>
  <si>
    <t>下防50|上防75|下魔防50|上魔防75|下攻40|上攻55|魔下40|魔上55|道下40|道上55|战士血量3200|战士魔法值320|法师血量800|法师魔法值4320|道士血量1792|道士魔法值2464</t>
  </si>
  <si>
    <t>HP +50% MP +50%</t>
  </si>
  <si>
    <t>火龙神甲</t>
  </si>
  <si>
    <t>下防55|上防80|下魔防55|上魔防80|下攻45|上攻60|魔下45|魔上60|道下45|道上60|战士血量4000|战士魔法值400|法师血量1000|法师魔法值5400|道士血量2240|道士魔法值3080</t>
  </si>
  <si>
    <t>HP +55% MP +55%</t>
  </si>
  <si>
    <t>鬼の血光摄魂·甲</t>
    <phoneticPr fontId="1" type="noConversion"/>
  </si>
  <si>
    <t>下防60|上防85|下魔防60|上魔防85|下攻50|上攻65|魔下50|魔上65|道下50|道上65|战士血量5000|战士魔法值500|法师血量1250|法师魔法值6750|道士血量2800|道士魔法值3850</t>
  </si>
  <si>
    <t>HP +60% MP +60%</t>
  </si>
  <si>
    <t>魔の嗜血狂杀·甲</t>
    <phoneticPr fontId="1" type="noConversion"/>
  </si>
  <si>
    <t>下防65|上防90|下魔防65|上魔防90|下攻55|上攻70|魔下55|魔上70|道下55|道上70|战士血量6000|战士魔法值600|法师血量1500|法师魔法值8100|道士血量3360|道士魔法值4620</t>
  </si>
  <si>
    <t>HP +65% MP +65%</t>
  </si>
  <si>
    <t>狂の纵横天下·甲</t>
  </si>
  <si>
    <t>下防70|上防95|下魔防70|上魔防95|下攻60|上攻75|魔下60|魔上75|道下60|道上75|战士血量7000|战士魔法值700|法师血量1750|法师魔法值9450|道士血量3920|道士魔法值5390</t>
  </si>
  <si>
    <t>HP +70% MP +70%</t>
  </si>
  <si>
    <t>怒の战无不胜·甲</t>
  </si>
  <si>
    <t>下防75|上防100|下魔防75|上魔防100|下攻65|上攻80|魔下65|魔上80|道下65|道上80|战士血量8000|战士魔法值800|法师血量2000|法师魔法值10800|道士血量4480|道士魔法值6160</t>
  </si>
  <si>
    <t>HP +75% MP +75%</t>
  </si>
  <si>
    <t>神の永恒霸主·甲</t>
  </si>
  <si>
    <t>下防80|上防110|下魔防80|上魔防110|下攻70|上攻85|魔下70|魔上85|道下70|道上85|战士血量9000|战士魔法值900|法师血量2250|法师魔法值12150|道士血量5040|道士魔法值6930|物伤减免1|魔伤减免1</t>
  </si>
  <si>
    <t>HP +80% MP +80%</t>
  </si>
  <si>
    <t>扭转乾坤㊣绝杀·甲</t>
  </si>
  <si>
    <t>下防85|上防115|下魔防85|上魔防115|下攻75|上攻85|魔下75|魔上85|道下75|道上85|战士血量10000|战士魔法值1000|法师血量2500|法师魔法值13500|道士血量5600|道士魔法值7700|物伤减免2|魔伤减免2</t>
  </si>
  <si>
    <t>HP +85% MP +85%</t>
  </si>
  <si>
    <t>独孤求败㊣弑神·甲</t>
  </si>
  <si>
    <t>下防90|上防120|下魔防90|上魔防120|下攻80|上攻90|魔下80|魔上90|道下80|道上90|战士血量11000|战士魔法值1100|法师血量2750|法师魔法值14850|道士血量6160|道士魔法值8470|物伤减免3|魔伤减免3</t>
  </si>
  <si>
    <t>HP +90% MP +90%</t>
  </si>
  <si>
    <t>鬼嚎神啸㊣无敌·甲</t>
  </si>
  <si>
    <t>下防95|上防125|下魔防95|上魔防125|下攻85|上攻95|魔下85|魔上95|道下85|道上95|战士血量12000|战士魔法值1200|法师血量3000|法师魔法值16200|道士血量6720|道士魔法值9240|物伤减免4|魔伤减免4</t>
  </si>
  <si>
    <t>HP +95% MP +95%</t>
  </si>
  <si>
    <t>斩尽杀绝㊣帝陨·甲</t>
  </si>
  <si>
    <t>下防100|上防130|下魔防100|上魔防130|下攻90|上攻100|魔下90|魔上100|道下90|道上100|战士血量13000|战士魔法值1300|法师血量3250|法师魔法值17550|道士血量7280|道士魔法值10010|物伤减免5|魔伤减免5</t>
  </si>
  <si>
    <t>HP +100% MP +100%</t>
  </si>
  <si>
    <t>无极㊣唯我独尊·甲</t>
  </si>
  <si>
    <t>下防105|上防140|下魔防105|上魔防140|下攻95|上攻105|魔下95|魔上105|道下95|道上105|战士血量14000|战士魔法值1400|法师血量3500|法师魔法值18900|道士血量7840|道士魔法值10780|物伤减免6|魔伤减免6</t>
    <phoneticPr fontId="1" type="noConversion"/>
  </si>
  <si>
    <t>HP +110% MP +110%</t>
  </si>
  <si>
    <t>万古至尊の甲</t>
  </si>
  <si>
    <t>下攻20|上攻25|魔下20|魔上25|道下20|道上25|下防20|上防40|下魔防20|上魔防40</t>
  </si>
  <si>
    <t>永恒主宰¢甲</t>
  </si>
  <si>
    <t>下攻22|上攻27|魔下22|魔上27|道下22|道上27|下防25|上防45|下魔防25|上魔防45</t>
  </si>
  <si>
    <t>大地之怒ぃ圣甲</t>
  </si>
  <si>
    <t>下攻24|上攻29|魔下24|魔上29|道下24|道上29|下防30|上防50|下魔防30|上魔防50</t>
  </si>
  <si>
    <t>龙游星界※魔甲</t>
    <phoneticPr fontId="1" type="noConversion"/>
  </si>
  <si>
    <t>下攻26|上攻31|魔下26|魔上31|道下26|道上31|下防35|上防55|下魔防35|上魔防55</t>
  </si>
  <si>
    <t>天使降临☆灵甲</t>
    <phoneticPr fontId="1" type="noConversion"/>
  </si>
  <si>
    <t>下攻28|上攻33|魔下28|魔上33|道下28|道上33|下防40|上防60|下魔防40|上魔防60</t>
  </si>
  <si>
    <t>正义之神★帝甲</t>
  </si>
  <si>
    <t>龙吟（男）</t>
  </si>
  <si>
    <t>下攻30|上攻55|魔下30|魔上55|道下30|道上55|下防45|上防65|下魔防45|上魔防65</t>
  </si>
  <si>
    <t>热血·龙吟（男）</t>
    <phoneticPr fontId="1" type="noConversion"/>
  </si>
  <si>
    <t>下攻40|上攻65|魔下40|魔上65|道下40|道上65|下防70|上防100|下魔防70|上魔防100</t>
  </si>
  <si>
    <t>荣耀·龙吟（男）</t>
  </si>
  <si>
    <t>下攻55|上攻80|魔下55|魔上80|道下55|道上80|下防110|上防135|下魔防110|上魔防135</t>
  </si>
  <si>
    <t>辉煌·龙吟（男）</t>
  </si>
  <si>
    <t>盛世·龙吟（男）</t>
  </si>
  <si>
    <t>【残】龙吟（男）</t>
  </si>
  <si>
    <t>下攻16|上攻32|魔下16|魔上32|道下16|道上32|下防22|上防48|下魔防22|上魔防48</t>
  </si>
  <si>
    <t>【残】热血·龙吟（男）</t>
  </si>
  <si>
    <t>下攻26|上攻45|魔下26|魔上45|道下26|道上45|下防27|上防58|下魔防27|上魔防58</t>
  </si>
  <si>
    <t>【残】荣耀·龙吟（男）</t>
  </si>
  <si>
    <t>下攻39|上攻62|魔下39|魔上62|道下39|道上62|下防32|上防68|下魔防32|上魔防68</t>
  </si>
  <si>
    <t>【残】辉煌·龙吟（男）</t>
  </si>
  <si>
    <t>【残】盛世·龙吟（男）</t>
  </si>
  <si>
    <t>岁月鎏金（男）</t>
  </si>
  <si>
    <t>血量150|下防10|上防10|下魔防10|上魔防10</t>
  </si>
  <si>
    <t>锦绣年华（男）</t>
  </si>
  <si>
    <t>风华正茂（男）</t>
  </si>
  <si>
    <t>大道无极（男）</t>
  </si>
  <si>
    <t>血量300|下防20|上防20|下魔防20|上魔防20</t>
  </si>
  <si>
    <t>十方俱灭（男）</t>
  </si>
  <si>
    <t>恶魔之祸（男）</t>
  </si>
  <si>
    <t>血量500|下防30|上防30|下魔防30|上魔防30</t>
  </si>
  <si>
    <t>#苍茫甲(男)</t>
  </si>
  <si>
    <t>新手甲(男)</t>
  </si>
  <si>
    <t>游龙ぃ至尊战甲</t>
  </si>
  <si>
    <t>下攻20|上攻23|下防24|上防30|下魔防24|上魔防30|血量1700|魔法值170</t>
  </si>
  <si>
    <t>游龙ぃ至尊道甲</t>
  </si>
  <si>
    <t>道下20|道上23|下防24|上防30|下魔防24|上魔防30|血量952|魔法值1309</t>
  </si>
  <si>
    <t>HP +30% MP +35%</t>
  </si>
  <si>
    <t>游龙ぃ至尊魔甲</t>
  </si>
  <si>
    <t>魔下20|魔上23|下防24|上防30|下魔防24|上魔防30|血量425|魔法值2295</t>
  </si>
  <si>
    <t>诛仙ぃ焚天战甲</t>
  </si>
  <si>
    <t>下攻20|上攻25|下防24|上防35|下魔防24|上魔防35|血量1900|魔法值190</t>
  </si>
  <si>
    <t>诛仙ぃ焚天道甲</t>
  </si>
  <si>
    <t>道下20|道上23|下防24|上防30|下魔防24|上魔防30|血量1064|魔法值1463</t>
  </si>
  <si>
    <t>诛仙ぃ焚天魔甲</t>
  </si>
  <si>
    <t>魔下20|魔上23|下防24|上防30|下魔防24|上魔防30|血量475|魔法值2565</t>
  </si>
  <si>
    <t>武神ぃ噬魂战甲</t>
  </si>
  <si>
    <t>下攻20|上攻23|下防24|上防30|下魔防24|上魔防30|血量2200|魔法值220</t>
  </si>
  <si>
    <t>武神ぃ噬魂道甲</t>
  </si>
  <si>
    <t>道下20|道上23|下防24|上防30|下魔防24|上魔防30|血量1232|魔法值1694</t>
  </si>
  <si>
    <t>武神ぃ噬魂魔甲</t>
  </si>
  <si>
    <t>魔下20|魔上23|下防24|上防30|下魔防24|上魔防30|血量550|魔法值2970</t>
  </si>
  <si>
    <t>头盔</t>
  </si>
  <si>
    <t>黑铁头盔</t>
  </si>
  <si>
    <t>下防4|上防5|下魔防2|上魔防3</t>
  </si>
  <si>
    <t>青铜头盔</t>
  </si>
  <si>
    <t>上防1</t>
  </si>
  <si>
    <t>魔法头盔</t>
  </si>
  <si>
    <t>上防1|下魔防1|上魔防1</t>
  </si>
  <si>
    <t>祈祷头盔</t>
  </si>
  <si>
    <t>下防3|上防4|下魔防1|上魔防2</t>
  </si>
  <si>
    <t>道士头盔</t>
    <phoneticPr fontId="1" type="noConversion"/>
  </si>
  <si>
    <t>下防1|上防2|下魔防2|上魔防3</t>
  </si>
  <si>
    <t>记忆头盔</t>
  </si>
  <si>
    <t>下防3|上防3</t>
  </si>
  <si>
    <t>骷髅头盔</t>
  </si>
  <si>
    <t>下防2|上防3</t>
  </si>
  <si>
    <t>苍茫头盔</t>
  </si>
  <si>
    <t>下攻0|上攻1|魔下0|魔上1|道下0|道上1|下防0|上防2|下魔防0|上魔防2</t>
  </si>
  <si>
    <t>圣战头盔</t>
  </si>
  <si>
    <t>下攻0|上攻2|下防3|上防4|下魔防2|上魔防3</t>
  </si>
  <si>
    <t>物防上限 +1</t>
  </si>
  <si>
    <t>天尊头盔</t>
  </si>
  <si>
    <t>道下0|道上2|下防3|上防4|下魔防2|上魔防3</t>
  </si>
  <si>
    <t>法神头盔</t>
  </si>
  <si>
    <t>魔下0|魔上2|下防3|上防4|下魔防2|上魔防3</t>
  </si>
  <si>
    <t>纵横战盔</t>
  </si>
  <si>
    <t>下攻1|上攻3|下防4|上防5|下魔防4|上魔防5</t>
  </si>
  <si>
    <t>物防上限 +2</t>
  </si>
  <si>
    <t>纵横道盔</t>
  </si>
  <si>
    <t>道下1|道上3|下防4|上防5|下魔防4|上魔防5</t>
  </si>
  <si>
    <t>纵横魔盔</t>
  </si>
  <si>
    <t>魔下1|魔上3|下防4|上防5|下魔防4|上魔防5</t>
  </si>
  <si>
    <t>王者战盔</t>
  </si>
  <si>
    <t>下防4|上防6|下魔防4|上魔防5|下攻3|上攻4</t>
  </si>
  <si>
    <t>王者道盔</t>
  </si>
  <si>
    <t>下防4|上防6|下魔防4|上魔防5|道下3|道上4</t>
  </si>
  <si>
    <t>王者魔盔</t>
  </si>
  <si>
    <t>下防4|上防6|下魔防4|上魔防5|魔下3|魔上4</t>
  </si>
  <si>
    <t>赤焰战盔</t>
  </si>
  <si>
    <t>下防4|上防6|下魔防4|上魔防5|下攻5|上攻6</t>
  </si>
  <si>
    <t>赤焰道盔</t>
  </si>
  <si>
    <t>下防4|上防6|下魔防4|上魔防5|道下5|道上6</t>
  </si>
  <si>
    <t>赤焰魔盔</t>
  </si>
  <si>
    <t>下防4|上防6|下魔防4|上魔防5|魔下5|魔上6</t>
  </si>
  <si>
    <t>传说战盔</t>
  </si>
  <si>
    <t>下防4|上防6|下魔防4|上魔防5|下攻7|上攻8</t>
  </si>
  <si>
    <t>传说道盔</t>
  </si>
  <si>
    <t>下防4|上防6|下魔防4|上魔防5|道下7|道上8</t>
  </si>
  <si>
    <t>传说魔盔</t>
  </si>
  <si>
    <t>下防4|上防6|下魔防4|上魔防5|魔下7|魔上8</t>
  </si>
  <si>
    <t>雄霸战盔</t>
  </si>
  <si>
    <t>下防5|上防7|下魔防5|上魔防6|下攻8|上攻10</t>
  </si>
  <si>
    <t>雄霸道盔</t>
  </si>
  <si>
    <t>下防5|上防7|下魔防5|上魔防6|道下8|道上10</t>
  </si>
  <si>
    <t>雄霸魔盔</t>
  </si>
  <si>
    <t>下防5|上防7|下魔防5|上魔防6|魔下8|魔上10</t>
  </si>
  <si>
    <t>苍穹战盔</t>
  </si>
  <si>
    <t>下防6|上防8|下魔防6|上魔防8|下攻10|上攻12</t>
  </si>
  <si>
    <t>苍穹道盔</t>
  </si>
  <si>
    <t>下防6|上防8|下魔防6|上魔防8|道下10|道上12</t>
  </si>
  <si>
    <t>苍穹魔盔</t>
  </si>
  <si>
    <t>下防6|上防8|下魔防6|上魔防8|魔下10|魔上12</t>
  </si>
  <si>
    <t>乾坤战盔</t>
  </si>
  <si>
    <t>下防8|上防10|下魔防8|上魔防9|下攻12|上攻14</t>
  </si>
  <si>
    <t>乾坤道盔</t>
  </si>
  <si>
    <t>下防8|上防10|下魔防8|上魔防9|道下12|道上14</t>
  </si>
  <si>
    <t>乾坤魔盔</t>
  </si>
  <si>
    <t>下防8|上防10|下魔防8|上魔防9|魔下12|魔上14</t>
  </si>
  <si>
    <t>雷霆战盔</t>
  </si>
  <si>
    <t>下防8|上防12|下魔防8|上魔防12|下攻14|上攻16</t>
  </si>
  <si>
    <t>物防上限 +9</t>
  </si>
  <si>
    <t>光芒道盔</t>
  </si>
  <si>
    <t>下防8|上防12|下魔防8|上魔防12|道下14|道上16</t>
  </si>
  <si>
    <t>烈焰魔盔</t>
  </si>
  <si>
    <t>下防8|上防12|下魔防8|上魔防12|魔下14|魔上16</t>
  </si>
  <si>
    <t>强化雷霆战盔</t>
  </si>
  <si>
    <t>下防9|上防13|下魔防9|上魔防13|下攻16|上攻18</t>
  </si>
  <si>
    <t>物防上限 +10</t>
  </si>
  <si>
    <t>强化光芒道盔</t>
  </si>
  <si>
    <t>下防9|上防13|下魔防9|上魔防13|道下16|道上18</t>
  </si>
  <si>
    <t>强化烈焰魔盔</t>
  </si>
  <si>
    <t>下防9|上防13|下魔防9|上魔防13|魔下16|魔上18</t>
  </si>
  <si>
    <t>战神头盔</t>
  </si>
  <si>
    <t>下防10|上防16|下魔防10|上魔防16|下攻20|上攻22</t>
  </si>
  <si>
    <t>物防上限 +12</t>
  </si>
  <si>
    <t>真魂头盔</t>
  </si>
  <si>
    <t>下防10|上防16|下魔防10|上魔防16|道下20|道上22</t>
  </si>
  <si>
    <t>圣魔头盔</t>
  </si>
  <si>
    <t>下防10|上防16|下魔防10|上魔防16|魔下20|魔上22</t>
  </si>
  <si>
    <t>风暴の盔</t>
  </si>
  <si>
    <t>下攻2|上攻4|魔下2|魔上4|道下2|道上4|下防6|上防8|下魔防6|上魔防8</t>
  </si>
  <si>
    <t>九耀の盔</t>
  </si>
  <si>
    <t>下攻4|上攻6|魔下4|魔上6|道下4|道上6|下防6|上防9|下魔防6|上魔防9</t>
  </si>
  <si>
    <t>湮灭の盔</t>
  </si>
  <si>
    <t>下攻6|上攻8|魔下6|魔上8|道下6|道上8|下防7|上防10|下魔防7|上魔防10</t>
  </si>
  <si>
    <t>混元の盔</t>
  </si>
  <si>
    <t>下攻8|上攻10|魔下8|魔上10|道下8|道上10|下防7|上防11|下魔防7|上魔防11</t>
  </si>
  <si>
    <t>审判の盔</t>
  </si>
  <si>
    <t>下攻10|上攻12|魔下10|魔上12|道下10|道上12|下防8|上防12|下魔防8|上魔防12|战士生命值100|魔法值10|法师血量25|法师魔法值135|道士生命值56|道士魔法值77</t>
  </si>
  <si>
    <t>物防上限 +14</t>
    <phoneticPr fontId="1" type="noConversion"/>
  </si>
  <si>
    <t>逐月の盔</t>
  </si>
  <si>
    <t>下攻12|上攻14|魔下12|魔上14|道下12|道上14|下防9|上防13|下魔防9|上魔防13|战士生命值180|魔法值18|法师血量45|法师魔法值243|道士生命值100|道士魔法值139</t>
  </si>
  <si>
    <t>物防上限 +16</t>
    <phoneticPr fontId="1" type="noConversion"/>
  </si>
  <si>
    <t>大地の盔</t>
  </si>
  <si>
    <t>下攻14|上攻16|魔下14|魔上16|道下14|道上16|下防10|上防15|下魔防10|上魔防15|战士生命值220|魔法值22|法师血量55|法师魔法值297|道士生命值123|道士魔法值170</t>
  </si>
  <si>
    <t>物防上限 +18</t>
    <phoneticPr fontId="1" type="noConversion"/>
  </si>
  <si>
    <t>主宰の盔</t>
  </si>
  <si>
    <t>下防10|上防17|下魔防10|上魔防17|下攻10|上攻20|魔下10|魔上20|道下10|道上20|战士生命值260|魔法值26|法师血量65|法师魔法值351|道士生命值146|道士魔法值200</t>
  </si>
  <si>
    <t>物防上限 +20</t>
    <phoneticPr fontId="1" type="noConversion"/>
  </si>
  <si>
    <t>太虚の盔</t>
  </si>
  <si>
    <t>下防10|上防19|下魔防10|上魔防19|下攻12|上攻22|魔下12|魔上22|道下12|道上22|战士生命值280|魔法值28|法师血量70|法师魔法值378|道士生命值157|道士魔法值216</t>
  </si>
  <si>
    <t>物防上限 +22</t>
    <phoneticPr fontId="1" type="noConversion"/>
  </si>
  <si>
    <t>龙吟の盔</t>
  </si>
  <si>
    <t>下防11|上防21|下魔防11|上魔防21|下攻15|上攻25|魔下15|魔上25|道下15|道上25|战士生命值320|魔法值32|法师血量80|法师魔法值432|道士生命值179|道士魔法值246</t>
  </si>
  <si>
    <t>物防上限 +25</t>
    <phoneticPr fontId="1" type="noConversion"/>
  </si>
  <si>
    <t>荣耀圣盔</t>
    <phoneticPr fontId="1" type="noConversion"/>
  </si>
  <si>
    <t>下防13|上防23|下魔防13|上魔防23|下攻18|上攻28|魔下18|魔上28|道下18|道上28|战士生命值400|魔法值40|法师血量100|法师魔法值540|道士生命值224|道士魔法值308</t>
  </si>
  <si>
    <t>攻魔道 +1%</t>
  </si>
  <si>
    <t>永恒圣盔</t>
  </si>
  <si>
    <t>下防15|上防25|下魔防15|上魔防25|下攻20|上攻38|魔下20|魔上38|道下20|道上38|战士生命值500|魔法值50|法师血量125|法师魔法值675|道士生命值280|道士魔法值385</t>
  </si>
  <si>
    <t>攻魔道 +2%</t>
  </si>
  <si>
    <t>龙腾圣盔</t>
  </si>
  <si>
    <t>下防18|上防28|下魔防18|上魔防28|下攻25|上攻40|魔下25|魔上40|道下25|道上40|战士生命值600|魔法值60|法师血量150|法师魔法值810|道士生命值336|道士魔法值462</t>
  </si>
  <si>
    <t>攻魔道 +3%</t>
  </si>
  <si>
    <t>盛世圣盔</t>
  </si>
  <si>
    <t>下防20|上防30|下魔防20|上魔防30|下攻30|上攻45|魔下30|魔上45|道下30|道上45|战士生命值700|魔法值70|法师血量175|法师魔法值945|道士生命值392|道士魔法值539</t>
  </si>
  <si>
    <t>攻魔道 +4%</t>
  </si>
  <si>
    <t>辉煌圣盔</t>
  </si>
  <si>
    <t>下防28|上防33|下魔防28|上魔防33|下攻38|上攻53|魔下38|魔上53|道下38|道上53|战士生命值800|魔法值80|法师血量200|法师魔法值1080|道士生命值448|道士魔法值616</t>
  </si>
  <si>
    <t>火龙神盔</t>
  </si>
  <si>
    <t>下防36|上防41|下魔防36|上魔防41|下攻46|上攻61|魔下46|魔上61|道下46|道上61|战士生命值1000|魔法值100|法师血量250|法师魔法值1350|道士生命值560|道士魔法值770</t>
  </si>
  <si>
    <t>鬼の血光摄魂·盔</t>
    <phoneticPr fontId="1" type="noConversion"/>
  </si>
  <si>
    <t>下防41|上防46|下魔防41|上魔防46|下攻51|上攻66|魔下51|魔上66|道下51|道上66|战士生命值1200|魔法值120|法师血量300|法师魔法值1620|道士生命值672|道士魔法值924</t>
  </si>
  <si>
    <t>攻魔道 +7% 物防 +1%</t>
  </si>
  <si>
    <t>魔の嗜血狂杀·盔</t>
  </si>
  <si>
    <t>下防46|上防51|下魔防46|上魔防51|下攻56|上攻71|魔下56|魔上71|道下56|道上71|战士生命值1400|魔法值140|法师血量350|法师魔法值1890|道士生命值784|道士魔法值1078</t>
  </si>
  <si>
    <t>攻魔道 +8% 物防 +2%</t>
  </si>
  <si>
    <t>狂の纵横天下·盔</t>
  </si>
  <si>
    <t>下防51|上防56|下魔防51|上魔防56|下攻61|上攻76|魔下61|魔上76|道下61|道上76|战士生命值1600|魔法值160|法师血量400|法师魔法值2160|道士生命值896|道士魔法值1232</t>
  </si>
  <si>
    <t>攻魔道 +9% 物防 +3%</t>
  </si>
  <si>
    <t>怒の战无不胜·盔</t>
  </si>
  <si>
    <t>下防56|上防61|下魔防56|上魔防61|下攻61|上攻81|魔下61|魔上81|道下61|道上81|战士生命值1800|魔法值180|法师血量450|法师魔法值2430|道士生命值1008|道士魔法值1386</t>
  </si>
  <si>
    <t>攻魔道 +10% 物防 +4%</t>
  </si>
  <si>
    <t>神の永恒霸主·盔</t>
  </si>
  <si>
    <t>下防61|上防66|下魔防61|上魔防66|下攻66|上攻86|魔下66|魔上86|道下66|道上86|战士生命值2000|魔法值200|法师血量500|法师魔法值2700|道士生命值1120|道士魔法值1540</t>
  </si>
  <si>
    <t>攻魔道 +11% 物防 +5%</t>
  </si>
  <si>
    <t>扭转乾坤㊣绝杀·盔</t>
  </si>
  <si>
    <t>下防66|上防71|下魔防66|上魔防71|下攻71|上攻91|魔下71|魔上91|道下71|道上91|战士生命值2200|魔法值220|法师血量550|法师魔法值2970|道士生命值1232|道士魔法值1694</t>
  </si>
  <si>
    <t>攻魔道 +12% 物防 +6%</t>
  </si>
  <si>
    <t>独孤求败㊣弑神·盔</t>
  </si>
  <si>
    <t>下防71|上防76|下魔防71|上魔防76|下攻76|上攻96|魔下76|魔上96|道下76|道上96|战士生命值2400|魔法值240|法师血量600|法师魔法值3240|道士生命值1344|道士魔法值1848</t>
  </si>
  <si>
    <t>攻魔道 +13% 物防 +7%</t>
  </si>
  <si>
    <t>鬼嚎神啸㊣无敌·盔</t>
  </si>
  <si>
    <t>下防76|上防81|下魔防76|上魔防81|下攻81|上攻101|魔下81|魔上101|道下81|道上101|战士生命值2600|魔法值260|法师血量650|法师魔法值3510|道士生命值1456|道士魔法值2002</t>
  </si>
  <si>
    <t>攻魔道 +14% 物防 +8%</t>
  </si>
  <si>
    <t>斩尽杀绝㊣帝陨·盔</t>
  </si>
  <si>
    <t>下防81|上防86|下魔防81|上魔防86|下攻86|上攻106|魔下86|魔上106|道下86|道上106|战士生命值2800|魔法值280|法师血量700|法师魔法值3780|道士生命值1568|道士魔法值2156</t>
  </si>
  <si>
    <t>攻魔道 +15% 物防 +9%</t>
  </si>
  <si>
    <t>无极㊣唯我独尊·盔</t>
  </si>
  <si>
    <t>下防86|上防91|下魔防86|上魔防91|下攻91|上攻111|魔下91|魔上111|道下91|道上111|战士生命值3000|魔法值300|法师血量750|法师魔法值4050|道士生命值1680|道士魔法值2310</t>
  </si>
  <si>
    <t>攻魔道 +16% 物防 +10%</t>
  </si>
  <si>
    <t>万古至尊の盔</t>
    <phoneticPr fontId="1" type="noConversion"/>
  </si>
  <si>
    <t>下攻10|上攻13|魔下10|魔上13|道下10|道上13|下防13|上防15|下魔防13|上魔防15</t>
  </si>
  <si>
    <t>永恒主宰¢盔</t>
  </si>
  <si>
    <t>下攻12|上攻15|魔下12|魔上13|道下12|道上13|下防15|上防17|下魔防15|上魔防17</t>
  </si>
  <si>
    <t>大地之怒ぃ圣盔</t>
  </si>
  <si>
    <t>下攻14|上攻17|魔下14|魔上13|道下14|道上17|下防17|上防19|下魔防17|上魔防19</t>
  </si>
  <si>
    <t>龙游星界※魔盔</t>
  </si>
  <si>
    <t>下攻16|上攻19|魔下16|魔上13|道下16|道上19|下防19|上防21|下魔防19|上魔防21</t>
  </si>
  <si>
    <t>天使降临☆灵盔</t>
  </si>
  <si>
    <t>下攻18|上攻21|魔下18|魔上13|道下18|道上21|下防21|上防23|下魔防21|上魔防23</t>
  </si>
  <si>
    <t>正义之神★帝盔</t>
    <phoneticPr fontId="1" type="noConversion"/>
  </si>
  <si>
    <t>下攻20|上攻23|魔下20|魔上13|道下20|道上23|下防23|上防25|下魔防23|上魔防25</t>
  </si>
  <si>
    <t>#苍茫头盔</t>
  </si>
  <si>
    <t>新手头盔</t>
  </si>
  <si>
    <t>游龙ぃ至尊战盔</t>
  </si>
  <si>
    <t>下攻19|上攻21|下防23|上防25|下魔防23|上魔防25</t>
  </si>
  <si>
    <t>物防上限 +22</t>
  </si>
  <si>
    <t>游龙ぃ至尊道盔</t>
  </si>
  <si>
    <t>道下19|道上21|下防23|上防25|下魔防23|上魔防25</t>
  </si>
  <si>
    <t>游龙ぃ至尊魔盔</t>
  </si>
  <si>
    <t>魔下19|魔上21|下防23|上防25|下魔防23|上魔防25</t>
  </si>
  <si>
    <t>诛仙ぃ焚天战盔</t>
  </si>
  <si>
    <t>物防上限 +23</t>
  </si>
  <si>
    <t>诛仙ぃ焚天道盔</t>
    <phoneticPr fontId="1" type="noConversion"/>
  </si>
  <si>
    <t>诛仙ぃ焚天魔盔</t>
  </si>
  <si>
    <t>武神ぃ噬魂战盔</t>
  </si>
  <si>
    <t>物防上限 +24</t>
  </si>
  <si>
    <t>武神ぃ噬魂道盔</t>
  </si>
  <si>
    <t>武神ぃ噬魂魔盔</t>
    <phoneticPr fontId="1" type="noConversion"/>
  </si>
  <si>
    <t>项链</t>
  </si>
  <si>
    <t>白色虎齿项链</t>
  </si>
  <si>
    <t>10精神力</t>
    <phoneticPr fontId="1" type="noConversion"/>
  </si>
  <si>
    <t>魔法闪避（10%）2|道下1|道上1</t>
  </si>
  <si>
    <t>灯笼项链</t>
  </si>
  <si>
    <t>魔法闪避（10%）1|下攻1</t>
  </si>
  <si>
    <t>记忆项链</t>
  </si>
  <si>
    <t>下攻2|上攻4</t>
  </si>
  <si>
    <t>法神项链</t>
    <phoneticPr fontId="1" type="noConversion"/>
  </si>
  <si>
    <t>魔下3|魔上7|下防1|上防3</t>
  </si>
  <si>
    <t>纵横战链</t>
  </si>
  <si>
    <t>下攻3|上攻9</t>
  </si>
  <si>
    <t>纵横道链</t>
  </si>
  <si>
    <t>道下3|道上9</t>
  </si>
  <si>
    <t>纵横魔链</t>
  </si>
  <si>
    <t>魔下3|魔上9</t>
  </si>
  <si>
    <t>王者战链</t>
  </si>
  <si>
    <t>下攻4|上攻10</t>
  </si>
  <si>
    <t>王者道链</t>
  </si>
  <si>
    <t>道下4|道上10</t>
  </si>
  <si>
    <t>王者魔链</t>
  </si>
  <si>
    <t>魔下4|魔上10</t>
  </si>
  <si>
    <t>魔法上限 +3</t>
  </si>
  <si>
    <t>赤焰战链</t>
  </si>
  <si>
    <t>下攻4|上攻11</t>
  </si>
  <si>
    <t>赤焰道链</t>
  </si>
  <si>
    <t>道下4|道上11</t>
  </si>
  <si>
    <t>赤焰魔链</t>
  </si>
  <si>
    <t>魔下4|魔上11</t>
  </si>
  <si>
    <t>魔法上限 +4</t>
  </si>
  <si>
    <t>传说战链</t>
  </si>
  <si>
    <t>下攻5|上攻12</t>
  </si>
  <si>
    <t>传说道链</t>
  </si>
  <si>
    <t>道下5|道上12</t>
  </si>
  <si>
    <t>传说魔链</t>
  </si>
  <si>
    <t>魔下5|魔上12</t>
  </si>
  <si>
    <t>魔法上限 +5</t>
  </si>
  <si>
    <t>雄霸战链</t>
  </si>
  <si>
    <t>下攻5|上攻13</t>
  </si>
  <si>
    <t>雄霸道链</t>
  </si>
  <si>
    <t>道下5|道上13</t>
  </si>
  <si>
    <t>雄霸魔链</t>
  </si>
  <si>
    <t>魔下5|魔上13</t>
  </si>
  <si>
    <t>魔法上限 +6</t>
  </si>
  <si>
    <t>苍穹战链</t>
  </si>
  <si>
    <t>下攻6|上攻14</t>
  </si>
  <si>
    <t>苍穹道链</t>
  </si>
  <si>
    <t>道下6|道上14</t>
  </si>
  <si>
    <t>苍穹魔链</t>
  </si>
  <si>
    <t>魔下6|魔上14</t>
  </si>
  <si>
    <t>魔法上限 +7</t>
  </si>
  <si>
    <t>乾坤战链</t>
  </si>
  <si>
    <t>下攻7|上攻15</t>
  </si>
  <si>
    <t>乾坤道链</t>
  </si>
  <si>
    <t>道下7|道上15</t>
  </si>
  <si>
    <t>乾坤魔链</t>
  </si>
  <si>
    <t>魔下7|魔上15</t>
  </si>
  <si>
    <t>魔法上限 +8</t>
  </si>
  <si>
    <t>烈焰项链</t>
    <phoneticPr fontId="1" type="noConversion"/>
  </si>
  <si>
    <t>魔下8|魔上16</t>
  </si>
  <si>
    <t>魔法上限 +9</t>
  </si>
  <si>
    <t>强化烈焰项链</t>
    <phoneticPr fontId="1" type="noConversion"/>
  </si>
  <si>
    <t>魔下10|魔上17</t>
  </si>
  <si>
    <t>魔法上限 +10</t>
  </si>
  <si>
    <t>战神项链</t>
    <phoneticPr fontId="1" type="noConversion"/>
  </si>
  <si>
    <t>下攻12|上攻18</t>
  </si>
  <si>
    <t>攻击上限 +12</t>
  </si>
  <si>
    <t>真魂项链</t>
    <phoneticPr fontId="1" type="noConversion"/>
  </si>
  <si>
    <t>道下12|道上18</t>
  </si>
  <si>
    <t>道术上限 +12</t>
  </si>
  <si>
    <t>圣魔项链</t>
    <phoneticPr fontId="1" type="noConversion"/>
  </si>
  <si>
    <t>魔下12|魔上18</t>
  </si>
  <si>
    <t>魔法上限 +12</t>
  </si>
  <si>
    <t>风暴の链</t>
  </si>
  <si>
    <t>下攻4|上攻10|魔下4|魔上10|道下4|道上10</t>
  </si>
  <si>
    <t>攻魔道上限 +3</t>
  </si>
  <si>
    <t>九耀の链</t>
  </si>
  <si>
    <t>下攻5|上攻12|魔下5|魔上12|道下5|道上12</t>
  </si>
  <si>
    <t>攻魔道上限 +5</t>
  </si>
  <si>
    <t>湮灭の链</t>
  </si>
  <si>
    <t>下攻6|上攻14|魔下6|魔上14|道下6|道上14</t>
  </si>
  <si>
    <t>攻魔道上限 +7</t>
  </si>
  <si>
    <t>混元の链</t>
  </si>
  <si>
    <t>下攻8|上攻16|魔下8|魔上16|道下8|道上16</t>
  </si>
  <si>
    <t>攻魔道上限 +9</t>
  </si>
  <si>
    <t>审判の链</t>
  </si>
  <si>
    <t>下攻13|上攻18|魔下13|魔上18|道下13|道上18|战士生命值100|魔法值10|法师血量25|法师魔法值135|道士生命值56|道士魔法值77</t>
  </si>
  <si>
    <t>攻魔道上限 +14</t>
  </si>
  <si>
    <t>逐月の链</t>
  </si>
  <si>
    <t>下攻15|上攻20|魔下15|魔上20|道下15|道上20|战士生命值180|魔法值18|法师血量45|法师魔法值243|道士生命值100|道士魔法值139</t>
  </si>
  <si>
    <t>攻魔道上限 +16</t>
  </si>
  <si>
    <t>大地の链</t>
  </si>
  <si>
    <t>下攻17|上攻22|魔下17|魔上22|道下17|道上22|战士生命值220|魔法值22|法师血量55|法师魔法值297|道士生命值123|道士魔法值170</t>
  </si>
  <si>
    <t>攻魔道上限 +18</t>
  </si>
  <si>
    <t>主宰の链</t>
  </si>
  <si>
    <t>下攻9|上攻28|魔下9|魔上28|道下9|道上28|战士生命值260|魔法值26|法师血量65|法师魔法值351|道士生命值146|道士魔法值200</t>
  </si>
  <si>
    <t>攻魔道上限 +20</t>
  </si>
  <si>
    <t>太虚の链</t>
  </si>
  <si>
    <t>下攻9|上攻30|魔下9|魔上30|道下9|道上30|战士生命值280|魔法值28|法师血量70|法师魔法值378|道士生命值157|道士魔法值216</t>
  </si>
  <si>
    <t>攻魔道上限 +22</t>
  </si>
  <si>
    <t>龙吟の链</t>
  </si>
  <si>
    <t>下攻9|上攻32|魔下9|魔上32|道下9|道上32|战士生命值320|魔法值32|法师血量80|法师魔法值432|道士生命值179|道士魔法值246</t>
  </si>
  <si>
    <t>攻魔道上限 +25</t>
  </si>
  <si>
    <t>荣耀圣链</t>
  </si>
  <si>
    <t>下攻12|上攻35|魔下12|魔上35|道下12|道上35|战士生命值400|魔法值40|法师血量100|法师魔法值540|道士生命值224|道士魔法值308</t>
  </si>
  <si>
    <t>永恒圣链</t>
  </si>
  <si>
    <t>下攻18|上攻38|魔下18|魔上38|道下18|道上38|战士生命值500|魔法值50|法师血量125|法师魔法值675|道士生命值280|道士魔法值385</t>
  </si>
  <si>
    <t>龙腾圣链</t>
  </si>
  <si>
    <t>下攻25|上攻40|魔下25|魔上40|道下25|道上40|战士生命值600|魔法值60|法师血量150|法师魔法值810|道士生命值336|道士魔法值462</t>
  </si>
  <si>
    <t>盛世圣链</t>
  </si>
  <si>
    <t>下攻30|上攻45|魔下30|魔上45|道下30|道上45|战士生命值700|魔法值70|法师血量175|法师魔法值945|道士生命值392|道士魔法值539</t>
  </si>
  <si>
    <t>辉煌圣链</t>
  </si>
  <si>
    <t>下攻38|上攻53|魔下38|魔上53|道下38|道上53|战士生命值3200|魔法值320|战士生命值800|魔法值80|法师血量200|法师魔法值1080|道士生命值448|道士魔法值616</t>
  </si>
  <si>
    <t>火龙神链</t>
  </si>
  <si>
    <t>下攻46|上攻61|魔下46|魔上61|道下46|道上61|战士生命值1000|魔法值100|法师血量250|法师魔法值1350|道士生命值560|道士魔法值770</t>
  </si>
  <si>
    <t>鬼の血光摄魂·链</t>
    <phoneticPr fontId="1" type="noConversion"/>
  </si>
  <si>
    <t>下攻51|上攻66|魔下51|魔上66|道下51|道上66|战士生命值1200|魔法值120|法师血量300|法师魔法值1620|道士生命值672|道士魔法值924</t>
  </si>
  <si>
    <t>魔の嗜血狂杀·链</t>
  </si>
  <si>
    <t>下攻56|上攻71|魔下56|魔上71|道下56|道上71|战士生命值1400|魔法值140|法师生命值350|法师魔法值1890|道士生命值784|道士魔法值1078</t>
  </si>
  <si>
    <t>狂の纵横天下·链</t>
  </si>
  <si>
    <t>下攻56|上攻76|魔下56|魔上76|道下56|道上76|战士生命值1600|魔法值160|法师血量400|法师魔法值2160|道士生命值896|道士魔法值1232</t>
  </si>
  <si>
    <t>怒の战无不胜·链</t>
  </si>
  <si>
    <t>下攻61|上攻81|魔下61|魔上81|道下61|道上81|战士生命值1800|魔法值180|法师血量450|法师魔法值2430|道士生命值1008|道士魔法值1386</t>
  </si>
  <si>
    <t>神の永恒霸主·链</t>
  </si>
  <si>
    <t>下攻66|上攻86|魔下66|魔上86|道下66|道上86|战士生命值2000|魔法值200|法师血量500|法师魔法值2700|道士生命值1120|道士魔法值1540</t>
  </si>
  <si>
    <t>扭转乾坤㊣绝杀·链</t>
  </si>
  <si>
    <t>下攻71|上攻91|魔下71|魔上91|道下71|道上91|战士生命值2200|魔法值220|法师血量550|法师魔法值2970|道士生命值1232|道士魔法值1694</t>
  </si>
  <si>
    <t>独孤求败㊣弑神·链</t>
  </si>
  <si>
    <t>下攻76|上攻96|魔下76|魔上96|道下76|道上96|战士生命值2400|魔法值240|法师血量600|法师魔法值3240|道士生命值1344|道士魔法值1848</t>
  </si>
  <si>
    <t>鬼嚎神啸㊣无敌·链</t>
  </si>
  <si>
    <t>下攻81|上攻101|魔下81|魔上101|道下81|道上101|战士生命值2600|魔法值260|法师血量650|法师魔法值3510|道士生命值1456|道士魔法值2002</t>
  </si>
  <si>
    <t>斩尽杀绝㊣帝陨·链</t>
  </si>
  <si>
    <t>下攻86|上攻106|魔下86|魔上106|道下86|道上106|战士生命值2800|魔法值280|法师血量700|法师魔法值3780|道士生命值1568|道士魔法值2156</t>
  </si>
  <si>
    <t>无极㊣唯我独尊·链</t>
  </si>
  <si>
    <t>下攻91|上攻111|魔下91|魔上111|道下91|道上111|战士生命值3000|魔法值300|法师血量750|法师魔法值4050|道士生命值1680|道士魔法值2310</t>
  </si>
  <si>
    <t>万古至尊の链</t>
  </si>
  <si>
    <t>下攻18|上攻26|魔下18|魔上26|道下18|道上26</t>
  </si>
  <si>
    <t>永恒主宰¢链</t>
  </si>
  <si>
    <t>下攻20|上攻28|魔下20|魔上28|道下20|道上28</t>
  </si>
  <si>
    <t>大地之怒ぃ圣链</t>
  </si>
  <si>
    <t>下攻22|上攻30|魔下22|魔上30|道下22|道上30</t>
  </si>
  <si>
    <t>龙游星界※魔链</t>
  </si>
  <si>
    <t>下攻24|上攻32|魔下24|魔上32|道下24|道上32</t>
  </si>
  <si>
    <t>天使降临☆灵链</t>
  </si>
  <si>
    <t>下攻26|上攻34|魔下26|魔上34|道下26|道上34</t>
  </si>
  <si>
    <t>正义之神★帝链</t>
  </si>
  <si>
    <t>下攻28|上攻36|魔下28|魔上36|道下28|道上36</t>
  </si>
  <si>
    <t>#苍茫项链</t>
  </si>
  <si>
    <t>下攻1|上攻3|魔下1|魔上3|道下1|道上3</t>
  </si>
  <si>
    <t>新手项链</t>
  </si>
  <si>
    <t>游龙ぃ至尊战链</t>
    <phoneticPr fontId="1" type="noConversion"/>
  </si>
  <si>
    <t>下攻22|上攻27</t>
  </si>
  <si>
    <t>攻击上限 +22</t>
  </si>
  <si>
    <t>游龙ぃ至尊道链</t>
  </si>
  <si>
    <t>道下22|道上27</t>
  </si>
  <si>
    <t>道术上限 +22</t>
  </si>
  <si>
    <t>游龙ぃ至尊魔链</t>
  </si>
  <si>
    <t>魔下22|魔上27</t>
  </si>
  <si>
    <t>魔法上限 +22</t>
  </si>
  <si>
    <t>诛仙ぃ焚天战链</t>
  </si>
  <si>
    <t>攻击上限 +23</t>
  </si>
  <si>
    <t>诛仙ぃ焚天道链</t>
  </si>
  <si>
    <t>道术上限 +23</t>
  </si>
  <si>
    <t>诛仙ぃ焚天魔链</t>
  </si>
  <si>
    <t>魔法上限 +23</t>
  </si>
  <si>
    <t>武神ぃ噬魂战链</t>
  </si>
  <si>
    <t>攻击上限 +24</t>
  </si>
  <si>
    <t>武神ぃ噬魂道链</t>
  </si>
  <si>
    <t>道术上限 +24</t>
  </si>
  <si>
    <t>武神ぃ噬魂魔链</t>
  </si>
  <si>
    <t>魔法上限 +24</t>
  </si>
  <si>
    <t>绿色项链</t>
  </si>
  <si>
    <t>下攻2|上攻5</t>
  </si>
  <si>
    <t>金项链</t>
  </si>
  <si>
    <t>闪避1|上攻1</t>
  </si>
  <si>
    <t>传统项链</t>
  </si>
  <si>
    <t>准确1</t>
  </si>
  <si>
    <t>躲避手链</t>
  </si>
  <si>
    <t>闪避3</t>
  </si>
  <si>
    <t>黑色水晶项链</t>
  </si>
  <si>
    <t>下攻1</t>
  </si>
  <si>
    <t>魔鬼项链</t>
  </si>
  <si>
    <t>下攻2</t>
  </si>
  <si>
    <t>蓝翡翠项链</t>
  </si>
  <si>
    <t>下攻2|上攻2</t>
  </si>
  <si>
    <t>幽灵项链</t>
  </si>
  <si>
    <t>上攻5</t>
  </si>
  <si>
    <t>魔血项链</t>
  </si>
  <si>
    <t>下攻2|上攻2|魔下1|魔上3</t>
  </si>
  <si>
    <t>虹魔项链</t>
  </si>
  <si>
    <t>魔上4</t>
  </si>
  <si>
    <t>苍茫项链</t>
    <phoneticPr fontId="1" type="noConversion"/>
  </si>
  <si>
    <t>圣战项链</t>
    <phoneticPr fontId="1" type="noConversion"/>
  </si>
  <si>
    <t>天尊项链</t>
  </si>
  <si>
    <t>道下3|道上7|下防1|上防3</t>
  </si>
  <si>
    <t>雷霆项链</t>
  </si>
  <si>
    <t>下攻8|上攻16</t>
  </si>
  <si>
    <t>攻击上限 +9</t>
  </si>
  <si>
    <t>光芒项链</t>
    <phoneticPr fontId="1" type="noConversion"/>
  </si>
  <si>
    <t>道下8|道上16</t>
  </si>
  <si>
    <t>道术上限 +9</t>
  </si>
  <si>
    <t>强化雷霆项链</t>
    <phoneticPr fontId="1" type="noConversion"/>
  </si>
  <si>
    <t>下攻10|上攻17</t>
  </si>
  <si>
    <t>攻击上限 +10</t>
  </si>
  <si>
    <t>强化光芒项链</t>
  </si>
  <si>
    <t>道下10|道上17</t>
  </si>
  <si>
    <t>道术上限 +10</t>
  </si>
  <si>
    <t>祈祷项链</t>
    <phoneticPr fontId="1" type="noConversion"/>
  </si>
  <si>
    <t>道上4</t>
  </si>
  <si>
    <t>戒指</t>
  </si>
  <si>
    <t>力量戒指</t>
  </si>
  <si>
    <t>上攻6</t>
  </si>
  <si>
    <t>古铜戒指</t>
  </si>
  <si>
    <t>上攻1</t>
  </si>
  <si>
    <t>玻璃戒指</t>
  </si>
  <si>
    <t>道上1</t>
  </si>
  <si>
    <t>牛角戒指</t>
  </si>
  <si>
    <t>上魔防1|上攻1</t>
  </si>
  <si>
    <t>金戒指</t>
  </si>
  <si>
    <t>上魔防3|下攻1|上攻1|魔下1|魔上1|道下1|道上1</t>
  </si>
  <si>
    <t>黑色水晶戒指</t>
  </si>
  <si>
    <t>上攻2</t>
  </si>
  <si>
    <t>降妖除魔戒指</t>
  </si>
  <si>
    <t>上魔防4|下攻1|上攻2|魔下1|魔上2|道下1|道上2</t>
  </si>
  <si>
    <t>珊瑚戒指</t>
  </si>
  <si>
    <t>上攻4</t>
  </si>
  <si>
    <t>魔血戒指</t>
  </si>
  <si>
    <t>下攻1|上攻3|道下1</t>
  </si>
  <si>
    <t>虹魔戒指</t>
  </si>
  <si>
    <t>记忆戒指</t>
  </si>
  <si>
    <t>道下1|道上3</t>
  </si>
  <si>
    <t>骷髅戒指</t>
    <phoneticPr fontId="1" type="noConversion"/>
  </si>
  <si>
    <t>25攻击力</t>
    <phoneticPr fontId="1" type="noConversion"/>
  </si>
  <si>
    <t>上攻3</t>
  </si>
  <si>
    <t>龙之戒指</t>
  </si>
  <si>
    <t>苍茫戒指</t>
  </si>
  <si>
    <t>下攻0|上攻4|魔下0|魔上4|道下0|道上4|下防0|上防1</t>
  </si>
  <si>
    <t>圣战戒指</t>
    <phoneticPr fontId="1" type="noConversion"/>
  </si>
  <si>
    <t>下攻0|上攻8</t>
  </si>
  <si>
    <t>天尊戒指</t>
  </si>
  <si>
    <t>道下2|道上8</t>
  </si>
  <si>
    <t>法神戒指</t>
  </si>
  <si>
    <t>魔下1|魔上8</t>
  </si>
  <si>
    <t>纵横战戒</t>
  </si>
  <si>
    <t>下攻1|上攻9|下防0|上防1</t>
  </si>
  <si>
    <t>纵横道戒</t>
  </si>
  <si>
    <t>道下1|道上9|下防0|上防1</t>
  </si>
  <si>
    <t>纵横魔戒</t>
  </si>
  <si>
    <t>魔下1|魔上9|下防0|上防1</t>
  </si>
  <si>
    <t>王者战戒</t>
  </si>
  <si>
    <t>下魔防0|上魔防1|下攻9|上攻10</t>
  </si>
  <si>
    <t>王者道戒</t>
  </si>
  <si>
    <t>下魔防0|上魔防1|道下9|道上10</t>
  </si>
  <si>
    <t>王者魔戒</t>
  </si>
  <si>
    <t>下魔防0|上魔防1|魔下9|魔上10</t>
  </si>
  <si>
    <t>赤焰战戒</t>
  </si>
  <si>
    <t>下魔防0|上魔防1|下攻10|上攻11</t>
  </si>
  <si>
    <t>赤焰道戒</t>
  </si>
  <si>
    <t>下魔防0|上魔防1|道下10|道上11</t>
  </si>
  <si>
    <t>赤焰魔戒</t>
  </si>
  <si>
    <t>下魔防0|上魔防1|魔下10|魔上11</t>
  </si>
  <si>
    <t>传说战戒</t>
  </si>
  <si>
    <t>下魔防0|上魔防2|下攻11|上攻12</t>
  </si>
  <si>
    <t>传说道戒</t>
  </si>
  <si>
    <t>下魔防0|上魔防2|道下11|道上12</t>
  </si>
  <si>
    <t>传说魔戒</t>
  </si>
  <si>
    <t>下魔防0|上魔防2|魔下11|魔上12</t>
  </si>
  <si>
    <t>雄霸战戒</t>
  </si>
  <si>
    <t>下魔防0|上魔防4|下攻13|上攻14</t>
  </si>
  <si>
    <t>雄霸道戒</t>
  </si>
  <si>
    <t>下魔防0|上魔防4|道下13|道上14</t>
  </si>
  <si>
    <t>雄霸魔戒</t>
  </si>
  <si>
    <t>下魔防0|上魔防4|魔下13|魔上14</t>
  </si>
  <si>
    <t>苍穹战戒</t>
  </si>
  <si>
    <t>下防1|上防1|下魔防0|上魔防3|下攻15|上攻16</t>
  </si>
  <si>
    <t>苍穹道戒</t>
  </si>
  <si>
    <t>下防1|上防1|下魔防0|上魔防3|道下15|道上16</t>
  </si>
  <si>
    <t>苍穹魔戒</t>
  </si>
  <si>
    <t>下防1|上防1|下魔防0|上魔防3|魔下15|魔上16</t>
  </si>
  <si>
    <t>乾坤战戒</t>
  </si>
  <si>
    <t>下防1|上防2|下魔防0|上魔防4|下攻17|上攻18</t>
  </si>
  <si>
    <t>乾坤道戒</t>
  </si>
  <si>
    <t>下防1|上防2|下魔防0|上魔防4|道下17|道上18</t>
  </si>
  <si>
    <t>乾坤魔戒</t>
  </si>
  <si>
    <t>下防1|上防2|下魔防0|上魔防4|魔下17|魔上18</t>
  </si>
  <si>
    <t>雷霆战戒</t>
  </si>
  <si>
    <t>下防3|上防4|下魔防4|上魔防7|下攻19|上攻19</t>
  </si>
  <si>
    <t>光芒道戒</t>
  </si>
  <si>
    <t>下防3|上防4|下魔防4|上魔防7|道下19|道上19</t>
  </si>
  <si>
    <t>烈焰魔戒</t>
  </si>
  <si>
    <t>下防3|上防4|下魔防4|上魔防7|魔下19|魔上19</t>
  </si>
  <si>
    <t>强化雷霆战戒</t>
  </si>
  <si>
    <t>强化光芒道戒</t>
  </si>
  <si>
    <t>强化烈焰魔戒</t>
  </si>
  <si>
    <t>战神戒指</t>
  </si>
  <si>
    <t>下防4|上防5|下魔防6|上魔防8|下攻20|上攻21</t>
  </si>
  <si>
    <t>真魂戒指</t>
  </si>
  <si>
    <t>下防4|上防5|下魔防6|上魔防8|道下20|道上21</t>
  </si>
  <si>
    <t>圣魔戒指</t>
  </si>
  <si>
    <t>下防4|上防5|下魔防6|上魔防8|魔下20|魔上21</t>
  </si>
  <si>
    <t>风暴の指</t>
  </si>
  <si>
    <t>下攻2|上攻10|魔下2|魔上10|道下2|道上10|下防2|上防4</t>
  </si>
  <si>
    <t>九耀の指</t>
  </si>
  <si>
    <t>下攻4|上攻12|魔下4|魔上12|道下4|道上12|下防4|上防6</t>
  </si>
  <si>
    <t>湮灭の指</t>
  </si>
  <si>
    <t>下攻6|上攻14|魔下6|魔上14|道下6|道上14|下防6|上防8</t>
  </si>
  <si>
    <t>混元の指</t>
  </si>
  <si>
    <t>下攻8|上攻16|魔下8|魔上16|道下8|道上16|下防8|上防10</t>
  </si>
  <si>
    <t>审判の指</t>
  </si>
  <si>
    <t>下攻10|上攻18|魔下10|魔上18|道下10|道上18|下防10|上防12|战士生命值100|魔法值10|法师血量25|法师魔法值135|道士生命值56|道士魔法值77</t>
  </si>
  <si>
    <t>逐月の指</t>
  </si>
  <si>
    <t>下攻12|上攻20|魔下12|魔上20|道下12|道上20|下防12|上防14|战士生命值180|魔法值18|法师血量45|法师魔法值243|道士生命值100|道士魔法值139</t>
  </si>
  <si>
    <t>大地の指</t>
  </si>
  <si>
    <t>下攻14|上攻22|魔下14|魔上22|道下14|道上22|下防14|上防16|战士生命值220|魔法值22|法师血量55|法师魔法值297|道士生命值123|道士魔法值170</t>
  </si>
  <si>
    <t>主宰の戒</t>
  </si>
  <si>
    <t>下防6|上防7|下魔防8|上魔防10|下攻24|上攻25|魔下24|魔上25|道下24|道上25|战士生命值260|魔法值26|法师血量65|法师魔法值351|道士生命值146|道士魔法值200</t>
  </si>
  <si>
    <t>太虚の指</t>
  </si>
  <si>
    <t>下防7|上防8|下魔防9|上魔防11|下攻26|上攻27|魔下26|魔上27|道下26|道上27|战士生命值280|魔法值28|法师血量70|法师魔法值378|道士生命值157|道士魔法值216</t>
  </si>
  <si>
    <t>龙吟の指</t>
  </si>
  <si>
    <t>下防8|上防9|下魔防10|上魔防12|下攻28|上攻29|魔下28|魔上29|道下28|道上29|战士生命值320|魔法值32|法师血量80|法师魔法值432|道士生命值179|道士魔法值246</t>
  </si>
  <si>
    <t>荣耀圣戒</t>
  </si>
  <si>
    <t>下防12|上防15|下魔防12|上魔防15|下攻12|上攻35|魔下12|魔上35|道下12|道上35|战士生命值400|魔法值40|法师血量100|法师魔法值540|道士生命值224|道士魔法值308</t>
  </si>
  <si>
    <t>永恒圣戒</t>
  </si>
  <si>
    <t>下防15|上防18|下魔防15|上魔防18|下攻20|上攻38|魔下20|魔上38|道下20|道上38|战士生命值500|魔法值50|法师血量125|法师魔法值675|道士生命值280|道士魔法值385</t>
  </si>
  <si>
    <t>龙腾圣戒</t>
  </si>
  <si>
    <t>下防18|上防22|下魔防18|上魔防22|下攻25|上攻40|魔下25|魔上40|道下25|道上40|战士生命值600|魔法值60|法师血量150|法师魔法值810|道士生命值336|道士魔法值462</t>
  </si>
  <si>
    <t>盛世圣戒</t>
  </si>
  <si>
    <t>下防20|上防25|下魔防20|上魔防25|下攻30|上攻45|魔下30|魔上45|道下30|道上45|战士生命值700|魔法值70|法师血量175|法师魔法值945|道士生命值392|道士魔法值539</t>
  </si>
  <si>
    <t>辉煌圣戒</t>
  </si>
  <si>
    <t>下防28|上防33|下魔防28|上魔防33|下攻48|上攻53|魔下48|魔上53|道下48|道上53|战士生命值800|魔法值80|法师血量200|法师魔法值1080|道士生命值448|道士魔法值616</t>
  </si>
  <si>
    <t>火龙神戒</t>
  </si>
  <si>
    <t>下防36|上防41|下魔防36|上魔防41|下攻56|上攻61|魔下56|魔上61|道下56|道上61|战士生命值1000|魔法值100|法师血量250|法师魔法值1350|道士生命值560|道士魔法值770</t>
  </si>
  <si>
    <t>鬼の血光摄魂·戒</t>
  </si>
  <si>
    <t>下防41|上防46|下魔防41|上魔防46|下攻61|上攻66|魔下61|魔上66|道下61|道上66|战士生命值1200|魔法值120|法师血量300|法师魔法值1620|道士生命值672|道士魔法值924</t>
  </si>
  <si>
    <t>攻魔道 +7% 魔防 +1%</t>
  </si>
  <si>
    <t>魔の嗜血狂杀·戒</t>
  </si>
  <si>
    <t>下防46|上防51|下魔防46|上魔防51|下攻66|上攻71|魔下66|魔上71|道下66|道上71|战士生命值1400|魔法值140|法师血量350|法师魔法值1890|道士生命值784|道士魔法值1078</t>
  </si>
  <si>
    <t>攻魔道 +8% 魔防 +2%</t>
  </si>
  <si>
    <t>狂の纵横天下·戒</t>
  </si>
  <si>
    <t>下防51|上防56|下魔防51|上魔防56|下攻71|上攻76|魔下71|魔上76|道下71|道上76|战士生命值1600|魔法值160|法师血量400|法师魔法值2160|道士生命值896|道士魔法值1232</t>
  </si>
  <si>
    <t>攻魔道 +9% 魔防 +3%</t>
  </si>
  <si>
    <t>怒の战无不胜·戒</t>
  </si>
  <si>
    <t>下防56|上防61|下魔防56|上魔防61|下攻76|上攻81|魔下76|魔上81|道下76|道上81|战士生命值1800|魔法值180|法师血量450|法师魔法值2430|道士生命值1008|道士魔法值1386</t>
  </si>
  <si>
    <t>攻魔道 +10% 魔防 +4%</t>
  </si>
  <si>
    <t>神の永恒霸主·戒</t>
  </si>
  <si>
    <t>下防61|上防66|下魔防61|上魔防66|下攻81|上攻86|魔下81|魔上86|道下81|道上86|战士生命值2000|魔法值200|法师血量500|法师魔法值2700|道士生命值1120|道士魔法值1540</t>
  </si>
  <si>
    <t>攻魔道 +11% 魔防 +5%</t>
  </si>
  <si>
    <t>扭转乾坤㊣绝杀·戒</t>
  </si>
  <si>
    <t>下防66|上防71|下魔防66|上魔防71|下攻86|上攻91|魔下86|魔上91|道下86|道上91|战士生命值2200|魔法值220|法师血量550|法师魔法值2970|道士生命值1232|道士魔法值1694</t>
  </si>
  <si>
    <t>攻魔道 +12% 魔防 +6%</t>
  </si>
  <si>
    <t>独孤求败㊣弑神·戒</t>
  </si>
  <si>
    <t>下防71|上防76|下魔防71|上魔防76|下攻91|上攻96|魔下91|魔上96|道下91|道上96|战士生命值2400|魔法值240|法师血量600|法师魔法值3240|道士生命值1344|道士魔法值1848</t>
  </si>
  <si>
    <t>攻魔道 +13% 魔防 +7%</t>
  </si>
  <si>
    <t>鬼嚎神啸㊣无敌·戒</t>
  </si>
  <si>
    <t>下防76|上防81|下魔防76|上魔防81|下攻96|上攻101|魔下96|魔上101|道下96|道上101|战士生命值2600|魔法值260|法师血量650|法师魔法值3510|道士生命值1456|道士魔法值2002</t>
  </si>
  <si>
    <t>攻魔道 +14% 魔防 +8%</t>
  </si>
  <si>
    <t>斩尽杀绝㊣帝陨·戒</t>
  </si>
  <si>
    <t>下防81|上防86|下魔防81|上魔防86|下攻101|上攻106|魔下101|魔上106|道下101|道上106|战士生命值2800|魔法值280|法师血量700|法师魔法值3780|道士生命值1568|道士魔法值2156</t>
  </si>
  <si>
    <t>攻魔道 +15% 魔防 +9%</t>
  </si>
  <si>
    <t>无极㊣唯我独尊·戒</t>
  </si>
  <si>
    <t>下防86|上防91|下魔防86|上魔防91|下攻106|上攻111|魔下106|魔上111|道下106|道上111|战士生命值3000|魔法值300|法师血量750|法师魔法值4050|道士生命值1680|道士魔法值2310</t>
    <phoneticPr fontId="1" type="noConversion"/>
  </si>
  <si>
    <t>攻魔道 +16% 魔防 +10%</t>
  </si>
  <si>
    <t>万古至尊の戒</t>
  </si>
  <si>
    <t>下攻16|上攻24|魔下16|魔上24|道下16|道上24|下防7|上防11</t>
  </si>
  <si>
    <t>永恒主宰¢戒</t>
  </si>
  <si>
    <t>下攻18|上攻26|魔下18|魔上26|道下18|道上26|下防9|上防13</t>
  </si>
  <si>
    <t>大地之怒ぃ圣戒</t>
  </si>
  <si>
    <t>下攻20|上攻28|魔下20|魔上28|道下20|道上28|下防11|上防15</t>
  </si>
  <si>
    <t>龙游星界※魔戒</t>
  </si>
  <si>
    <t>下攻22|上攻30|魔下22|魔上30|道下22|道上30|下防13|上防17</t>
  </si>
  <si>
    <t>天使降临☆灵戒</t>
  </si>
  <si>
    <t>下攻24|上攻32|魔下24|魔上32|道下24|道上32|下防15|上防19</t>
  </si>
  <si>
    <t>正义之神★帝戒</t>
  </si>
  <si>
    <t>下攻26|上攻34|魔下26|魔上34|道下26|道上34|下防17|上防21</t>
  </si>
  <si>
    <t>#苍茫戒指</t>
  </si>
  <si>
    <t>新手戒指</t>
  </si>
  <si>
    <t>游龙ぃ至尊战戒</t>
  </si>
  <si>
    <t>下攻19|上攻27|下防19|上防21</t>
  </si>
  <si>
    <t>游龙ぃ至尊道戒</t>
  </si>
  <si>
    <t>道下19|道上27|下防19|上防21</t>
  </si>
  <si>
    <t>游龙ぃ至尊魔戒</t>
  </si>
  <si>
    <t>魔下19|魔上27|下防19|上防21</t>
  </si>
  <si>
    <t>诛仙ぃ焚天战戒</t>
  </si>
  <si>
    <t>诛仙ぃ焚天道戒</t>
  </si>
  <si>
    <t>诛仙ぃ焚天魔戒</t>
  </si>
  <si>
    <t>武神ぃ噬魂战戒</t>
  </si>
  <si>
    <t>武神ぃ噬魂道戒</t>
  </si>
  <si>
    <t>武神ぃ噬魂魔戒</t>
  </si>
  <si>
    <t>祈祷戒指</t>
  </si>
  <si>
    <t>魔下1|魔上5</t>
  </si>
  <si>
    <t>手镯</t>
  </si>
  <si>
    <t>铁手镯</t>
  </si>
  <si>
    <t>银手镯</t>
  </si>
  <si>
    <t>闪避1</t>
  </si>
  <si>
    <t>避邪手镯</t>
  </si>
  <si>
    <t>闪避2</t>
  </si>
  <si>
    <t>记忆手镯</t>
  </si>
  <si>
    <t>魔下1|魔上1</t>
  </si>
  <si>
    <t>骑士手镯</t>
  </si>
  <si>
    <t>龙之手镯</t>
  </si>
  <si>
    <t>魔上3</t>
  </si>
  <si>
    <t>小手镯</t>
  </si>
  <si>
    <t>上魔防1</t>
  </si>
  <si>
    <t>皮制手套</t>
  </si>
  <si>
    <t>钢手镯</t>
  </si>
  <si>
    <t>上防1|上魔防1</t>
  </si>
  <si>
    <t>大手镯</t>
  </si>
  <si>
    <t>下防1|上防1</t>
  </si>
  <si>
    <t>祈祷手镯</t>
  </si>
  <si>
    <t>坚固手套</t>
  </si>
  <si>
    <t>上防2</t>
  </si>
  <si>
    <t>魔法手镯</t>
  </si>
  <si>
    <t>上防1|下魔防1|上魔防2</t>
  </si>
  <si>
    <t>魔力手镯</t>
  </si>
  <si>
    <t>死神手套</t>
  </si>
  <si>
    <t>下攻1|上攻2</t>
  </si>
  <si>
    <t>金手镯</t>
  </si>
  <si>
    <t>下魔防2|上魔防3|上攻1</t>
  </si>
  <si>
    <t>幽灵手套</t>
  </si>
  <si>
    <t>上防3</t>
  </si>
  <si>
    <t>魔血手镯</t>
  </si>
  <si>
    <t>虹魔手镯</t>
  </si>
  <si>
    <t>道上2</t>
  </si>
  <si>
    <t>阎罗手套</t>
  </si>
  <si>
    <t>上防4</t>
  </si>
  <si>
    <t>苍茫手镯</t>
  </si>
  <si>
    <t>下攻0|上攻2|魔下0|魔上2|道下0|道上2|下魔防0|上魔防1</t>
  </si>
  <si>
    <t>圣战手镯</t>
  </si>
  <si>
    <t>下攻2|上攻4|下防0|上防2</t>
  </si>
  <si>
    <t>天尊手镯</t>
  </si>
  <si>
    <t>道下1|道上5|下防1|上防3</t>
  </si>
  <si>
    <t>法神手镯</t>
  </si>
  <si>
    <t>魔下0|魔上5|下防0|上防2</t>
  </si>
  <si>
    <t>纵横战镯</t>
  </si>
  <si>
    <t>下攻2|上攻6|下魔防0|上魔防1</t>
  </si>
  <si>
    <t>纵横道镯</t>
  </si>
  <si>
    <t>道下2|道上6|下魔防0|上魔防1</t>
  </si>
  <si>
    <t>纵横魔镯</t>
  </si>
  <si>
    <t>魔下2|魔上6|下魔防0|上魔防1</t>
  </si>
  <si>
    <t>王者战镯</t>
  </si>
  <si>
    <t>下防2|上防2|下魔防2|上魔防2|下攻5|上攻7</t>
  </si>
  <si>
    <t>王者道镯</t>
  </si>
  <si>
    <t>下防2|上防2|下魔防2|上魔防2|道下5|道上7</t>
  </si>
  <si>
    <t>王者魔镯</t>
  </si>
  <si>
    <t>下防2|上防2|下魔防2|上魔防2|魔下5|魔上7</t>
  </si>
  <si>
    <t>赤焰战镯</t>
  </si>
  <si>
    <t>下魔防0|上魔防2|下攻7|上攻9</t>
  </si>
  <si>
    <t>赤焰道镯</t>
  </si>
  <si>
    <t>下魔防0|上魔防2|道下7|道上9</t>
  </si>
  <si>
    <t>赤焰魔镯</t>
  </si>
  <si>
    <t>下魔防0|上魔防2|魔下7|魔上9</t>
  </si>
  <si>
    <t>传说战镯</t>
  </si>
  <si>
    <t>下防0|上防2|下魔防1|上魔防2|下攻9|上攻11</t>
  </si>
  <si>
    <t>传说道镯</t>
  </si>
  <si>
    <t>下防0|上防2|下魔防1|上魔防2|道下9|道上11</t>
  </si>
  <si>
    <t>传说魔镯</t>
  </si>
  <si>
    <t>下防0|上防2|下魔防1|上魔防2|魔下9|魔上11</t>
  </si>
  <si>
    <t>雄霸战镯</t>
  </si>
  <si>
    <t>下防0|上防4|下魔防0|上魔防4|下攻11|上攻13</t>
  </si>
  <si>
    <t>雄霸道镯</t>
  </si>
  <si>
    <t>下防0|上防4|下魔防0|上魔防4|道下11|道上13</t>
  </si>
  <si>
    <t>雄霸魔镯</t>
  </si>
  <si>
    <t>下防0|上防4|下魔防0|上魔防4|魔下11|魔上13</t>
  </si>
  <si>
    <t>苍穹战镯</t>
  </si>
  <si>
    <t>下防1|上防5|下魔防1|上魔防2|下攻13|上攻15</t>
  </si>
  <si>
    <t>苍穹道镯</t>
  </si>
  <si>
    <t>下防1|上防5|下魔防1|上魔防2|道下13|道上15</t>
  </si>
  <si>
    <t>苍穹魔镯</t>
  </si>
  <si>
    <t>下防1|上防5|下魔防1|上魔防2|魔下13|魔上15</t>
  </si>
  <si>
    <t>乾坤战镯</t>
  </si>
  <si>
    <t>下防2|上防6|下魔防2|上魔防3|下攻15|上攻17</t>
  </si>
  <si>
    <t>乾坤道镯</t>
  </si>
  <si>
    <t>下防2|上防6|下魔防2|上魔防3|道下15|道上17</t>
  </si>
  <si>
    <t>乾坤魔镯</t>
  </si>
  <si>
    <t>下防2|上防6|下魔防2|上魔防3|魔下15|魔上17</t>
  </si>
  <si>
    <t>雷霆护腕</t>
  </si>
  <si>
    <t>下防0|上防6|下魔防0|上魔防3|下攻17|上攻19</t>
  </si>
  <si>
    <t>光芒护腕</t>
  </si>
  <si>
    <t>下防0|上防6|下魔防0|上魔防3|道下17|道上19</t>
  </si>
  <si>
    <t>烈焰护腕</t>
  </si>
  <si>
    <t>下防0|上防6|下魔防0|上魔防3|魔下17|魔上19</t>
  </si>
  <si>
    <t>强化雷霆护腕</t>
  </si>
  <si>
    <t>下防0|上防7|下魔防0|上魔防5|下攻19|上攻21</t>
  </si>
  <si>
    <t>强化光芒护腕</t>
    <phoneticPr fontId="1" type="noConversion"/>
  </si>
  <si>
    <t>下防0|上防7|下魔防0|上魔防5|道下19|道上17</t>
  </si>
  <si>
    <t>强化烈焰护腕</t>
  </si>
  <si>
    <t>下防0|上防7|下魔防0|上魔防5|魔下19|魔上21</t>
  </si>
  <si>
    <t>战神手镯</t>
  </si>
  <si>
    <t>下防0|上防15|下攻10|上攻25</t>
  </si>
  <si>
    <t>真魂手镯</t>
  </si>
  <si>
    <t>下防0|上防15|道下10|道上25</t>
  </si>
  <si>
    <t>圣魔手镯</t>
  </si>
  <si>
    <t>下防0|上防15|魔下10|魔上25</t>
  </si>
  <si>
    <t>风暴の镯</t>
  </si>
  <si>
    <t>下攻3|上攻7|魔下3|魔上7|道下3|道上7|下魔防2|上魔防4</t>
  </si>
  <si>
    <t>九耀の镯</t>
  </si>
  <si>
    <t>下攻5|上攻9|魔下5|魔上9|道下5|道上9|下魔防4|上魔防6</t>
  </si>
  <si>
    <t>湮灭の镯</t>
  </si>
  <si>
    <t>下攻7|上攻11|魔下7|魔上11|道下7|道上11|下魔防6|上魔防8</t>
  </si>
  <si>
    <t>混元の镯</t>
  </si>
  <si>
    <t>下攻9|上攻13|魔下9|魔上13|道下9|道上13|下魔防8|上魔防10</t>
  </si>
  <si>
    <t>审判の镯</t>
  </si>
  <si>
    <t>下攻11|上攻15|魔下11|魔上15|道下11|道上15|下魔防10|上魔防12|战士生命值100|魔法值10|法师血量25|法师魔法值135|道士生命值56|道士魔法值77</t>
  </si>
  <si>
    <t>逐月の镯</t>
  </si>
  <si>
    <t>下攻13|上攻17|魔下13|魔上17|道下13|道上17|下魔防12|上魔防14|战士生命值180|魔法值18|法师血量45|法师魔法值243|道士生命值100|道士魔法值139</t>
  </si>
  <si>
    <t>大地の镯</t>
  </si>
  <si>
    <t>下攻15|上攻19|魔下15|魔上19|道下15|道上19|下魔防14|上魔防16|战士生命值220|魔法值22|法师血量55|法师魔法值297|道士生命值123|道士魔法值170</t>
  </si>
  <si>
    <t>主宰の镯</t>
  </si>
  <si>
    <t>下防9|上防10|下魔防9|上魔防11|下攻9|上攻28|魔下9|魔上28|道下9|道上28|战士生命值260|魔法值26|法师血量65|法师魔法值351|道士生命值146|道士魔法值200</t>
  </si>
  <si>
    <t>太虚の镯</t>
  </si>
  <si>
    <t>下防11|上防12|下魔防10|上魔防12|下攻9|上攻30|魔下9|魔上30|道下9|道上30|战士生命值280|魔法值28|法师血量70|法师魔法值378|道士生命值157|道士魔法值216</t>
  </si>
  <si>
    <t>龙吟の镯</t>
  </si>
  <si>
    <t>下防7|上防8|下魔防8|上魔防10|下攻9|上攻32|魔下9|魔上32|道下9|道上32|战士生命值320|魔法值32|法师血量80|法师魔法值432|道士生命值179|道士魔法值246</t>
  </si>
  <si>
    <t>荣耀圣镯</t>
  </si>
  <si>
    <t>永恒圣镯</t>
  </si>
  <si>
    <t>龙腾圣镯</t>
  </si>
  <si>
    <t>盛世圣镯</t>
  </si>
  <si>
    <t>辉煌圣镯</t>
  </si>
  <si>
    <t>火龙神镯</t>
  </si>
  <si>
    <t>鬼の血光摄魂·镯</t>
    <phoneticPr fontId="1" type="noConversion"/>
  </si>
  <si>
    <t>魔の嗜血狂杀·镯</t>
  </si>
  <si>
    <t>下防46|上防51|下魔防46|上魔防51|下攻66|上攻71|魔下66|魔上71|道下66|道上71|战士生命值1400|魔法值140|法师生命值350|法师魔法值1890|道士生命值784|道士魔法值1078</t>
  </si>
  <si>
    <t>狂の纵横天下·镯</t>
  </si>
  <si>
    <t>怒の战无不胜·镯</t>
  </si>
  <si>
    <t>神の永恒霸主·镯</t>
  </si>
  <si>
    <t>扭转乾坤㊣绝杀·镯</t>
  </si>
  <si>
    <t>独孤求败㊣弑神·镯</t>
  </si>
  <si>
    <t>鬼嚎神啸㊣无敌·镯</t>
  </si>
  <si>
    <t>斩尽杀绝㊣帝陨·镯</t>
  </si>
  <si>
    <t>无极㊣唯我独尊·镯</t>
  </si>
  <si>
    <t>万古至尊の镯</t>
  </si>
  <si>
    <t>下攻16|上攻20|魔下16|魔上20|道下16|道上20|下魔防7|上魔防11</t>
  </si>
  <si>
    <t>永恒主宰¢镯</t>
  </si>
  <si>
    <t>下攻18|上攻22|魔下18|魔上22|道下18|道上22|下魔防9|上魔防13</t>
  </si>
  <si>
    <t>大地之怒ぃ圣镯</t>
  </si>
  <si>
    <t>下攻20|上攻24|魔下20|魔上24|道下20|道上24|下魔防11|上魔防15</t>
  </si>
  <si>
    <t>龙游星界※魔镯</t>
  </si>
  <si>
    <t>下攻22|上攻26|魔下22|魔上26|道下22|道上26|下魔防13|上魔防17</t>
  </si>
  <si>
    <t>天使降临☆灵镯</t>
  </si>
  <si>
    <t>下攻24|上攻28|魔下24|魔上28|道下24|道上28|下魔防15|上魔防19</t>
  </si>
  <si>
    <t>正义之神★帝镯</t>
  </si>
  <si>
    <t>下攻26|上攻30|魔下26|魔上30|道下26|道上30|下魔防17|上魔防21</t>
  </si>
  <si>
    <t>#苍茫手镯</t>
  </si>
  <si>
    <t>新手手镯</t>
  </si>
  <si>
    <t>游龙ぃ至尊战镯</t>
  </si>
  <si>
    <t>下攻20|上攻24|下魔防19|上魔防21</t>
  </si>
  <si>
    <t>游龙ぃ至尊道镯</t>
  </si>
  <si>
    <t>道下20|道上24|下魔防19|上魔防21</t>
  </si>
  <si>
    <t>游龙ぃ至尊魔镯</t>
  </si>
  <si>
    <t>魔下20|魔上24|下魔防19|上魔防21</t>
  </si>
  <si>
    <t>诛仙ぃ焚天战镯</t>
  </si>
  <si>
    <t>诛仙ぃ焚天道镯</t>
  </si>
  <si>
    <t>诛仙ぃ焚天魔镯</t>
  </si>
  <si>
    <t>武神ぃ噬魂战镯</t>
  </si>
  <si>
    <t>武神ぃ噬魂道镯</t>
  </si>
  <si>
    <t>武神ぃ噬魂魔镯</t>
  </si>
  <si>
    <t>勋章</t>
  </si>
  <si>
    <t>苍茫勋章</t>
  </si>
  <si>
    <t>下攻0|上攻1|魔下0|魔上1|道下0|道上1|下防0|上防1</t>
  </si>
  <si>
    <t>圣战勋章</t>
  </si>
  <si>
    <t>下攻0|上攻2|魔下0|魔上2|道下0|道上2</t>
  </si>
  <si>
    <t>HP +5</t>
  </si>
  <si>
    <t>纵横勋章</t>
  </si>
  <si>
    <t>下攻0|上攻3|魔下0|魔上3|道下0|道上3</t>
  </si>
  <si>
    <t>王者勋章</t>
  </si>
  <si>
    <t>下攻0|上攻4|魔下0|魔上4|道下0|道上4</t>
  </si>
  <si>
    <t>HP +15</t>
  </si>
  <si>
    <t>赤焰勋章</t>
  </si>
  <si>
    <t>下魔防1|上魔防2|下攻1|上攻5|魔下1|魔上5|道下1|道上5</t>
  </si>
  <si>
    <t>传说勋章</t>
  </si>
  <si>
    <t>下魔防1|上魔防2|下攻2|上攻6|魔下2|魔上6|道下2|道上6</t>
  </si>
  <si>
    <t>HP +25</t>
  </si>
  <si>
    <t>雄霸勋章</t>
  </si>
  <si>
    <t>下魔防2|上魔防3|下攻2|上攻7|魔下2|魔上7|道下2|道上7</t>
  </si>
  <si>
    <t>苍穹勋章</t>
  </si>
  <si>
    <t>下魔防4|上魔防4|下攻2|上攻8|魔下2|魔上8|道下2|道上8</t>
  </si>
  <si>
    <t>HP +35</t>
  </si>
  <si>
    <t>乾坤勋章</t>
  </si>
  <si>
    <t>下魔防3|上魔防5|下攻4|上攻9|魔下4|魔上9|道下4|道上9</t>
  </si>
  <si>
    <t>雷霆勋章</t>
  </si>
  <si>
    <t>下防1|上防2|下魔防4|上魔防6|下攻5|上攻10|魔下5|魔上10|道下5|道上10</t>
  </si>
  <si>
    <t>黄金勋章</t>
  </si>
  <si>
    <t>下防2|上防3|下魔防5|上魔防8|下攻6|上攻13|魔下6|魔上13|道下6|道上13</t>
  </si>
  <si>
    <t>天之勋章</t>
  </si>
  <si>
    <t>下防3|上防4|下魔防5|上魔防10|下攻7|上攻14|魔下7|魔上14|道下7|道上14</t>
  </si>
  <si>
    <t>风暴の勋</t>
  </si>
  <si>
    <t>下攻1|上攻4|魔下1|魔上4|道下1|道上4|下防1|上防4|下魔防1|上魔防4</t>
  </si>
  <si>
    <t>九耀の勋</t>
  </si>
  <si>
    <t>下攻2|上攻6|魔下2|魔上6|道下2|道上6|下防2|上防6|下魔防2|上魔防6</t>
  </si>
  <si>
    <t>湮灭の勋</t>
  </si>
  <si>
    <t>下攻3|上攻8|魔下3|魔上8|道下3|道上8|下防3|上防8|下魔防3|上魔防8</t>
  </si>
  <si>
    <t>混元の勋</t>
  </si>
  <si>
    <t>下攻4|上攻10|魔下4|魔上10|道下4|道上10|下防4|上防10|下魔防4|上魔防10</t>
  </si>
  <si>
    <t>HP +45</t>
  </si>
  <si>
    <t>审判の勋</t>
  </si>
  <si>
    <t>下攻5|上攻12|魔下5|魔上12|道下5|道上12|下防5|上防12|下魔防5|上魔防12|战士生命值200|魔法值20|法师血量50|法师魔法值270|道士生命值112|道士魔法值154</t>
  </si>
  <si>
    <t>HP +100</t>
  </si>
  <si>
    <t>逐月の勋</t>
  </si>
  <si>
    <t>下攻6|上攻14|魔下6|魔上14|道下6|道上14|下防6|上防14|下魔防6|上魔防14|战士生命值300|魔法值30|法师血量75|法师魔法值405|道士生命值168|道士魔法值231</t>
  </si>
  <si>
    <t>HP +120</t>
  </si>
  <si>
    <t>大地勋章</t>
  </si>
  <si>
    <t>下攻7|上攻16|魔下7|魔上16|道下7|道上16|下防7|上防16|下魔防7|上魔防16|战士生命值350|魔法值35|法师血量88|法师魔法值472|道士生命值196|道士魔法值270</t>
  </si>
  <si>
    <t>HP +140</t>
  </si>
  <si>
    <t>主宰勋章</t>
  </si>
  <si>
    <t>下防8|上防13|下魔防7|上魔防12|下攻8|上攻18|魔下8|魔上18|道下8|道上18|战士生命值400|魔法值40|法师血量100|法师魔法值540|道士生命值224|道士魔法值308</t>
  </si>
  <si>
    <t>HP +160</t>
  </si>
  <si>
    <t>太虚の勋</t>
  </si>
  <si>
    <t>下防10|上防15|下魔防9|上魔防13|下攻10|上攻20|魔下10|魔上20|道下10|道上20|战士生命值450|魔法值45|法师血量113|法师魔法值608|道士生命值252|道士魔法值347</t>
  </si>
  <si>
    <t>HP +180</t>
  </si>
  <si>
    <t>龙吟の勋</t>
  </si>
  <si>
    <t>下防13|上防18|下魔防11|上魔防14|下攻13|上攻23|魔下13|魔上23|道下13|道上23|战士生命值550|魔法值55|法师血量138|法师魔法值732|道士生命值308|道士魔法值424</t>
  </si>
  <si>
    <t>荣耀勋章</t>
  </si>
  <si>
    <t>下防15|上防20|下魔防13|上魔防15|下攻15|上攻25|魔下15|魔上25|道下15|道上25|战士生命值700|魔法值70|法师血量175|法师魔法值945|道士生命值392|道士魔法值539</t>
  </si>
  <si>
    <t>HP +14% MP +14%</t>
  </si>
  <si>
    <t>永恒勋章</t>
  </si>
  <si>
    <t>下防30|上防30|下魔防30|上魔防30|下攻30|上攻30|魔下30|魔上30|道下30|道上30|战士生命值900|魔法值90|法师血量225|法师魔法值1215|道士生命值504|道士魔法值693</t>
  </si>
  <si>
    <t>HP +16% MP +16%</t>
  </si>
  <si>
    <t>龙腾勋章</t>
  </si>
  <si>
    <t>下防35|上防35|下魔防35|上魔防35|下攻35|上攻35|魔下35|魔上35|道下35|道上35|战士生命值1100|魔法值110|法师血量275|法师魔法值1485|道士生命值616|道士魔法值847</t>
  </si>
  <si>
    <t>盛世勋章</t>
  </si>
  <si>
    <t>下防40|上防40|下魔防40|上魔防40|下攻40|上攻40|魔下40|魔上40|道下40|道上40|战士生命值1300|魔法值130|法师血量325|法师魔法值1755|道士生命值728|道士魔法值1001</t>
  </si>
  <si>
    <t>辉煌勋章</t>
  </si>
  <si>
    <t>下防48|上防48|下魔防48|上魔防48|下攻48|上攻48|魔下48|魔上48|道下48|道上48|战士生命值1500|魔法值150|法师血量375|法师魔法值2025|道士生命值840|道士魔法值1155</t>
  </si>
  <si>
    <t>HP +22% MP +22%</t>
  </si>
  <si>
    <t>火龙勋章</t>
  </si>
  <si>
    <t>下防56|上防56|下魔防56|上魔防56|下攻56|上攻56|魔下56|魔上56|道下56|道上56|战士生命值1800|魔法值180|法师血量450|法师魔法值2430|道士生命值1008|道士魔法值1386</t>
  </si>
  <si>
    <t>HP +24% MP +24%</t>
  </si>
  <si>
    <t>鬼の血光摄魂·勋</t>
    <phoneticPr fontId="1" type="noConversion"/>
  </si>
  <si>
    <t>下防61|上防61|下魔防61|上魔防61|下攻61|上攻61|魔下61|魔上61|道下61|道上61|战士生命值2100|魔法值210|法师血量525|法师魔法值2835|道士生命值1176|道士魔法值1617</t>
  </si>
  <si>
    <t>HP +26% MP +26%</t>
  </si>
  <si>
    <t>魔の嗜血狂杀·勋</t>
  </si>
  <si>
    <t>下防66|上防66|下魔防66|上魔防66|下攻66|上攻66|魔下66|魔上66|道下66|道上66|战士生命值2400|魔法值240|法师生命值600|法师魔法值3240|道士生命值1344|道士魔法值1848</t>
  </si>
  <si>
    <t>HP +28% MP +28%</t>
  </si>
  <si>
    <t>狂の纵横天下·勋</t>
  </si>
  <si>
    <t>下防71|上防71|下魔防71|上魔防71|下攻71|上攻71|魔下71|魔上71|道下71|道上71|战士生命值2700|魔法值270|法师血量675|法师魔法值3645|道士生命值1512|道士魔法值2079</t>
  </si>
  <si>
    <t>怒の战无不胜·勋</t>
  </si>
  <si>
    <t>下防76|上防76|下魔防76|上魔防76|下攻76|上攻76|魔下76|魔上76|道下76|道上76|战士生命值3000|魔法值300|法师血量750|法师魔法值4050|道士生命值1680|道士魔法值2310</t>
  </si>
  <si>
    <t>HP +32% MP +32%</t>
  </si>
  <si>
    <t>神の永恒霸主·勋</t>
  </si>
  <si>
    <t>下防81|上防81|下魔防81|上魔防81|下攻81|上攻81|魔下81|魔上81|道下81|道上81|战士生命值3300|魔法值330|法师血量825|法师魔法值4455|道士生命值1848|道士魔法值2541</t>
  </si>
  <si>
    <t>HP +34% MP +34%</t>
  </si>
  <si>
    <t>扭转乾坤㊣绝杀·勋</t>
  </si>
  <si>
    <t>下防86|上防86|下魔防86|上魔防86|下攻86|上攻86|魔下86|魔上86|道下86|道上86|战士生命值3600|魔法值360|法师血量900|法师魔法值4860|道士生命值2016|道士魔法值2772</t>
  </si>
  <si>
    <t>HP +36% MP +36%</t>
  </si>
  <si>
    <t>独孤求败㊣弑神·勋</t>
  </si>
  <si>
    <t>下防91|上防91|下魔防91|上魔防91|下攻91|上攻91|魔下91|魔上91|道下91|道上91|战士生命值3900|魔法值390|法师血量975|法师魔法值5265|道士生命值2184|道士魔法值3003</t>
  </si>
  <si>
    <t>HP +38% MP +38%</t>
  </si>
  <si>
    <t>鬼嚎神啸㊣无敌·勋</t>
  </si>
  <si>
    <t>下防96|上防96|下魔防96|上魔防96|下攻96|上攻96|魔下96|魔上96|道下96|道上96|战士生命值4200|魔法值420|法师血量1050|法师魔法值5670|道士生命值2352|道士魔法值3234</t>
  </si>
  <si>
    <t>斩尽杀绝㊣帝陨·勋</t>
  </si>
  <si>
    <t>下防101|上防101|下魔防101|上魔防101|下攻101|上攻101|魔下101|魔上101|道下101|道上101|战士生命值4500|魔法值450|法师血量1125|法师魔法值6075|道士生命值2520|道士魔法值3465</t>
  </si>
  <si>
    <t>HP +42% MP +42%</t>
  </si>
  <si>
    <t>无极㊣唯我独尊·勋</t>
  </si>
  <si>
    <t>下防110|上防110|下魔防110|上魔防110|下攻110|上攻110|魔下110|魔上110|道下110|道上110|战士生命值4800|魔法值480|法师血量1200|法师魔法值6480|道士生命值2688|道士魔法值3696</t>
  </si>
  <si>
    <t>HP +44% MP +44%</t>
  </si>
  <si>
    <t>万古至尊の勋</t>
  </si>
  <si>
    <t>下攻10|上攻12|魔下10|魔上12|道下10|道上12|下防10|上防12</t>
  </si>
  <si>
    <t>永恒主宰¢勋</t>
  </si>
  <si>
    <t>下攻12|上攻14|魔下12|魔上14|道下12|道上14|下防12|上防14</t>
  </si>
  <si>
    <t>大地之怒ぃ圣勋</t>
  </si>
  <si>
    <t>下攻14|上攻16|魔下14|魔上16|道下14|道上16|下防14|上防16</t>
  </si>
  <si>
    <t>龙游星界※魔勋</t>
    <phoneticPr fontId="1" type="noConversion"/>
  </si>
  <si>
    <t>下攻16|上攻18|魔下16|魔上18|道下16|道上18|下防16|上防18</t>
  </si>
  <si>
    <t>天使降临☆灵勋</t>
  </si>
  <si>
    <t>下攻18|上攻20|魔下18|魔上20|道下18|道上20|下防18|上防20</t>
  </si>
  <si>
    <t>正义之神★帝勋</t>
  </si>
  <si>
    <t>#苍茫勋章</t>
  </si>
  <si>
    <t>新手勋章</t>
  </si>
  <si>
    <t>游龙ぃ至尊勋章</t>
    <phoneticPr fontId="1" type="noConversion"/>
  </si>
  <si>
    <t>下攻10|上攻23|魔下10|魔上23|道下10|道上23|下防10|上防23|下魔防10|上魔防23</t>
  </si>
  <si>
    <t>诛仙ぃ焚天勋章</t>
  </si>
  <si>
    <t>下攻10|上攻24|魔下10|魔上24|道下10|道上24|下防10|上防24|下魔防10|上魔防24</t>
  </si>
  <si>
    <t>HP +130</t>
  </si>
  <si>
    <t>武神ぃ噬魂勋章</t>
  </si>
  <si>
    <t>下攻11|上攻25|魔下11|魔上25|道下11|道上25|下防11|上防25|下魔防11|上魔防25</t>
  </si>
  <si>
    <t>靴子</t>
  </si>
  <si>
    <t>圣战战靴</t>
  </si>
  <si>
    <t>下攻0|上攻2|下防2|上防5</t>
  </si>
  <si>
    <t>天尊道靴</t>
  </si>
  <si>
    <t>道下0|道上2|下防2|上防5</t>
  </si>
  <si>
    <t>法神魔靴</t>
    <phoneticPr fontId="1" type="noConversion"/>
  </si>
  <si>
    <t>魔下0|魔上2|下防2|上防5</t>
  </si>
  <si>
    <t>纵横战靴</t>
  </si>
  <si>
    <t>下攻0|上攻2|下防2|上防3</t>
  </si>
  <si>
    <t>纵横道靴</t>
  </si>
  <si>
    <t>道下0|道上2|下防2|上防3</t>
  </si>
  <si>
    <t>纵横魔靴</t>
  </si>
  <si>
    <t>魔下0|魔上2|下防2|上防3</t>
  </si>
  <si>
    <t>王者战靴</t>
  </si>
  <si>
    <t>下防3|上防4|下魔防3|上魔防4|下攻0|上攻3</t>
  </si>
  <si>
    <t>王者道靴</t>
  </si>
  <si>
    <t>下防3|上防4|下魔防3|上魔防4|道下0|道上3</t>
  </si>
  <si>
    <t>王者魔靴</t>
  </si>
  <si>
    <t>下防3|上防4|下魔防3|上魔防4|魔下0|魔上3</t>
  </si>
  <si>
    <t>赤焰战靴</t>
  </si>
  <si>
    <t>下防3|上防4|下魔防3|上魔防4|下攻1|上攻4</t>
  </si>
  <si>
    <t>赤焰道靴</t>
  </si>
  <si>
    <t>下防3|上防4|下魔防3|上魔防4|道下1|道上4</t>
  </si>
  <si>
    <t>赤焰魔靴</t>
  </si>
  <si>
    <t>下防3|上防4|下魔防3|上魔防4|魔下1|魔上4</t>
  </si>
  <si>
    <t>传说战靴</t>
  </si>
  <si>
    <t>下防3|上防4|下魔防3|上魔防4|下攻1|上攻6</t>
  </si>
  <si>
    <t>传说道靴</t>
  </si>
  <si>
    <t>下防3|上防4|下魔防3|上魔防4|道下1|道上6</t>
  </si>
  <si>
    <t>传说魔靴</t>
  </si>
  <si>
    <t>下防3|上防4|下魔防3|上魔防4|魔下1|魔上6</t>
  </si>
  <si>
    <t>雄霸战靴</t>
  </si>
  <si>
    <t>下防5|上防6|下魔防5|上魔防6|下攻2|上攻7</t>
  </si>
  <si>
    <t>雄霸道靴</t>
  </si>
  <si>
    <t>下防5|上防6|下魔防5|上魔防6|道下2|道上7</t>
  </si>
  <si>
    <t>雄霸魔靴</t>
  </si>
  <si>
    <t>下防5|上防6|下魔防5|上魔防6|魔下2|魔上7</t>
  </si>
  <si>
    <t>苍穹战靴</t>
  </si>
  <si>
    <t>下防5|上防8|下魔防5|上魔防8|下攻3|上攻8</t>
  </si>
  <si>
    <t>苍穹道靴</t>
  </si>
  <si>
    <t>下防5|上防8|下魔防5|上魔防8|道下3|道上8</t>
  </si>
  <si>
    <t>苍穹魔靴</t>
  </si>
  <si>
    <t>下防5|上防8|下魔防5|上魔防8|魔下3|魔上8</t>
  </si>
  <si>
    <t>乾坤战靴</t>
  </si>
  <si>
    <t>下防6|上防10|下魔防6|上魔防10|下攻4|上攻11</t>
  </si>
  <si>
    <t>乾坤道靴</t>
  </si>
  <si>
    <t>下防6|上防10|下魔防6|上魔防10|道下4|道上11</t>
  </si>
  <si>
    <t>乾坤魔靴</t>
  </si>
  <si>
    <t>下防6|上防10|下魔防6|上魔防10|魔下4|魔上11</t>
  </si>
  <si>
    <t>雷霆战靴</t>
  </si>
  <si>
    <t>下防7|上防11|下魔防7|上魔防11|下攻5|上攻12</t>
  </si>
  <si>
    <t>光芒道靴</t>
  </si>
  <si>
    <t>下防7|上防11|下魔防7|上魔防11|道下5|道上12</t>
  </si>
  <si>
    <t>烈焰魔靴</t>
  </si>
  <si>
    <t>下防7|上防11|下魔防7|上魔防11|魔下5|魔上12</t>
  </si>
  <si>
    <t>强化雷霆战靴</t>
  </si>
  <si>
    <t>下防8|上防12|下魔防8|上魔防13|下攻6|上攻13</t>
  </si>
  <si>
    <t>强化光芒道靴</t>
  </si>
  <si>
    <t>下防8|上防12|下魔防8|上魔防13|道下6|道上13</t>
  </si>
  <si>
    <t>强化烈焰魔靴</t>
  </si>
  <si>
    <t>下防8|上防12|下魔防8|上魔防13|魔下6|魔上13</t>
  </si>
  <si>
    <t>战神战靴</t>
  </si>
  <si>
    <t>下防10|上防14|下魔防10|上魔防14|下攻8|上攻15</t>
  </si>
  <si>
    <t>真魂道靴</t>
  </si>
  <si>
    <t>下防10|上防14|下魔防10|上魔防14|道下8|道上15</t>
  </si>
  <si>
    <t>圣魔法靴</t>
  </si>
  <si>
    <t>下防10|上防14|下魔防10|上魔防14|魔下8|魔上15</t>
  </si>
  <si>
    <t>风暴の靴</t>
  </si>
  <si>
    <t>下攻2|上攻5|魔下2|魔上5|道下2|道上5|下防3|上防7</t>
  </si>
  <si>
    <t>九耀の靴</t>
  </si>
  <si>
    <t>下攻4|上攻7|魔下4|魔上7|道下4|道上7|下防5|上防9</t>
  </si>
  <si>
    <t>湮灭の靴</t>
  </si>
  <si>
    <t>下攻6|上攻9|魔下6|魔上9|道下6|道上9|下防7|上防11</t>
  </si>
  <si>
    <t>混元の靴</t>
  </si>
  <si>
    <t>下攻8|上攻11|魔下8|魔上11|道下8|道上11|下防9|上防13</t>
  </si>
  <si>
    <t>审判の靴</t>
  </si>
  <si>
    <t>下攻10|上攻13|魔下10|魔上13|道下10|道上13|下防11|上防15|战士生命值100|魔法值10|法师血量25|法师魔法值135|道士生命值56|道士魔法值77</t>
  </si>
  <si>
    <t>物防上限 +14</t>
  </si>
  <si>
    <t>逐月の靴</t>
  </si>
  <si>
    <t>下攻12|上攻15|魔下12|魔上15|道下12|道上15|下防13|上防17|战士生命值180|魔法值18|法师血量45|法师魔法值243|道士生命值100|道士魔法值139</t>
  </si>
  <si>
    <t>物防上限 +16</t>
  </si>
  <si>
    <t>大地の靴</t>
  </si>
  <si>
    <t>下攻14|上攻17|魔下14|魔上17|道下14|道上17|下防15|上防19|战士生命值220|魔法值22|法师血量55|法师魔法值297|道士生命值123|道士魔法值170</t>
  </si>
  <si>
    <t>物防上限 +18</t>
  </si>
  <si>
    <t>主宰の靴</t>
  </si>
  <si>
    <t>下防16|上防16|下魔防16|上魔防16|下攻16|上攻16|魔下15|魔上16|道下15|道上15|战士生命值260|魔法值26|法师血量65|法师魔法值351|道士生命值146|道士魔法值200</t>
  </si>
  <si>
    <t>物防上限 +20</t>
  </si>
  <si>
    <t>太虚の靴</t>
  </si>
  <si>
    <t>下防17|上防17|下魔防17|上魔防17|下攻17|上攻17|魔下15|魔上17|道下15|道上15|战士生命值280|魔法值28|法师血量70|法师魔法值378|道士生命值157|道士魔法值216</t>
  </si>
  <si>
    <t>龙吟の靴</t>
  </si>
  <si>
    <t>下防18|上防18|下魔防18|上魔防18|下攻18|上攻18|魔下15|魔上18|道下15|道上18|战士生命值320|魔法值32|法师血量80|法师魔法值432|道士生命值179|道士魔法值246</t>
  </si>
  <si>
    <t>物防上限 +25</t>
  </si>
  <si>
    <t>荣耀圣靴</t>
  </si>
  <si>
    <t>下防20|上防20|下魔防20|上魔防20|下攻20|上攻20|魔下20|魔上20|道下20|道上20|战士生命值400|魔法值40|法师血量100|法师魔法值540|道士生命值224|道士魔法值308</t>
  </si>
  <si>
    <t>永恒圣靴</t>
  </si>
  <si>
    <t>下防26|上防26|下魔防26|上魔防26|下攻26|上攻26|魔下26|魔上26|道下26|道上26|战士生命值500|魔法值50|法师血量125|法师魔法值675|道士生命值280|道士魔法值385</t>
  </si>
  <si>
    <t>龙腾圣靴</t>
  </si>
  <si>
    <t>下防27|上防27|下魔防27|上魔防27|下攻27|上攻27|魔下27|魔上27|道下27|道上27|战士生命值600|魔法值60|法师血量150|法师魔法值810|道士生命值336|道士魔法值462</t>
  </si>
  <si>
    <t>盛世圣靴</t>
  </si>
  <si>
    <t>下防28|上防28|下魔防28|上魔防28|下攻28|上攻28|魔下28|魔上28|道下28|道上28|战士生命值700|魔法值70|法师血量175|法师魔法值945|道士生命值392|道士魔法值539</t>
  </si>
  <si>
    <t>辉煌圣靴</t>
  </si>
  <si>
    <t>下防36|上防36|下魔防36|上魔防36|下攻36|上攻36|魔下36|魔上36|道下36|道上36|战士生命值800|魔法值80|法师血量200|法师魔法值1080|道士生命值448|道士魔法值616</t>
  </si>
  <si>
    <t>火龙神靴</t>
  </si>
  <si>
    <t>下防44|上防44|下魔防44|上魔防44|下攻44|上攻44|魔下44|魔上44|道下44|道上44|战士生命值1000|魔法值100|法师血量250|法师魔法值1350|道士生命值560|道士魔法值770</t>
  </si>
  <si>
    <t>鬼の血光摄魂·靴</t>
    <phoneticPr fontId="1" type="noConversion"/>
  </si>
  <si>
    <t>下防49|上防49|下魔防49|上魔防49|下攻49|上攻49|魔下49|魔上49|道下49|道上49|战士生命值1200|魔法值120|法师血量300|法师魔法值1620|道士生命值672|道士魔法值924</t>
  </si>
  <si>
    <t>魔の嗜血狂杀·靴</t>
  </si>
  <si>
    <t>下防54|上防54|下魔防54|上魔防54|下攻54|上攻54|魔下54|魔上54|道下54|道上54|战士生命值1400|魔法值140|法师血量350|法师魔法值1890|道士生命值784|道士魔法值1078</t>
  </si>
  <si>
    <t>狂の纵横天下·靴</t>
  </si>
  <si>
    <t>下防59|上防59|下魔防59|上魔防59|下攻59|上攻59|魔下59|魔上59|道下59|道上59|战士生命值1600|魔法值160|法师血量400|法师魔法值2160|道士生命值896|道士魔法值1232</t>
  </si>
  <si>
    <t>怒の战无不胜·靴</t>
  </si>
  <si>
    <t>下防64|上防64|下魔防64|上魔防64|下攻64|上攻64|魔下64|魔上64|道下64|道上64|战士生命值1800|魔法值180|法师血量450|法师魔法值2430|道士生命值1008|道士魔法值1386</t>
  </si>
  <si>
    <t>神の永恒霸主·靴</t>
  </si>
  <si>
    <t>下防69|上防69|下魔防69|上魔防69|下攻69|上攻69|魔下69|魔上69|道下69|道上69|战士生命值2000|魔法值200|法师血量500|法师魔法值2700|道士生命值1120|道士魔法值1540</t>
  </si>
  <si>
    <t>扭转乾坤㊣绝杀·靴</t>
  </si>
  <si>
    <t>下防74|上防74|下魔防74|上魔防74|下攻74|上攻74|魔下74|魔上74|道下74|道上74|战士生命值2200|魔法值220|法师血量550|法师魔法值2970|道士生命值1232|道士魔法值1694</t>
  </si>
  <si>
    <t>独孤求败㊣弑神·靴</t>
  </si>
  <si>
    <t>下防79|上防79|下魔防79|上魔防79|下攻79|上攻79|魔下79|魔上79|道下79|道上79|战士生命值2400|魔法值240|法师血量600|法师魔法值3240|道士生命值1344|道士魔法值1848</t>
  </si>
  <si>
    <t>鬼嚎神啸㊣无敌·靴</t>
  </si>
  <si>
    <t>下防84|上防84|下魔防84|上魔防84|下攻84|上攻84|魔下84|魔上84|道下84|道上84|战士生命值2600|魔法值260|法师血量650|法师魔法值3510|道士生命值1456|道士魔法值2002</t>
  </si>
  <si>
    <t>斩尽杀绝㊣帝陨·靴</t>
  </si>
  <si>
    <t>下防90|上防90|下魔防90|上魔防90|下攻90|上攻90|魔下90|魔上90|道下90|道上90|战士生命值2800|魔法值280|法师血量700|法师魔法值3780|道士生命值1568|道士魔法值2156</t>
  </si>
  <si>
    <t>无极㊣唯我独尊·靴</t>
  </si>
  <si>
    <t>下防95|上防95|下魔防95|上魔防95|下攻95|上攻95|魔下95|魔上95|道下95|道上95|战士生命值3000|魔法值300|法师血量750|法师魔法值4050|道士生命值1680|道士魔法值2310</t>
  </si>
  <si>
    <t>万古至尊の靴</t>
  </si>
  <si>
    <t>下攻11|上攻14|魔下11|魔上14|道下11|道上14|下防11|上防14</t>
  </si>
  <si>
    <t>永恒主宰¢靴</t>
  </si>
  <si>
    <t>下攻12|上攻15|魔下12|魔上15|道下12|道上15|下防12|上防15</t>
  </si>
  <si>
    <t>大地之怒ぃ圣靴</t>
  </si>
  <si>
    <t>下攻13|上攻16|魔下13|魔上16|道下13|道上16|下防13|上防16</t>
  </si>
  <si>
    <t>龙游星界※魔靴</t>
    <phoneticPr fontId="1" type="noConversion"/>
  </si>
  <si>
    <t>下攻14|上攻17|魔下14|魔上17|道下14|道上17|下防14|上防17</t>
  </si>
  <si>
    <t>天使降临☆灵靴</t>
  </si>
  <si>
    <t>下攻15|上攻18|魔下15|魔上18|道下15|道上18|下防15|上防18</t>
  </si>
  <si>
    <t>正义之神★帝靴</t>
  </si>
  <si>
    <t>下攻16|上攻19|魔下16|魔上19|道下16|道上19|下魔防16|上魔防19</t>
  </si>
  <si>
    <t>布鞋</t>
  </si>
  <si>
    <t>鹿皮靴</t>
  </si>
  <si>
    <t>紫绸靴</t>
  </si>
  <si>
    <t>避魂靴</t>
  </si>
  <si>
    <t>下防1|上防3</t>
  </si>
  <si>
    <t>苍茫靴子</t>
  </si>
  <si>
    <t>下攻0|上攻1|魔下0|魔上1|道下0|道上1|下防0|上防2</t>
  </si>
  <si>
    <t>#苍茫靴子</t>
  </si>
  <si>
    <t>新手靴子</t>
  </si>
  <si>
    <t>腰带</t>
  </si>
  <si>
    <t>圣战腰带</t>
  </si>
  <si>
    <t>下攻0|上攻2|下魔防2|上魔防5</t>
  </si>
  <si>
    <t>魔防上限 +1</t>
  </si>
  <si>
    <t>天尊腰带</t>
  </si>
  <si>
    <t>道下0|道上2|下魔防2|上魔防5</t>
  </si>
  <si>
    <t>法神腰带</t>
  </si>
  <si>
    <t>魔下0|魔上2|下魔防2|上魔防5</t>
  </si>
  <si>
    <t>纵横战带</t>
  </si>
  <si>
    <t>下攻0|上攻2|下魔防2|上魔防3</t>
  </si>
  <si>
    <t>魔防上限 +2</t>
  </si>
  <si>
    <t>纵横道带</t>
  </si>
  <si>
    <t>道下0|道上2|下魔防2|上魔防3</t>
  </si>
  <si>
    <t>纵横魔带</t>
  </si>
  <si>
    <t>魔下0|魔上2|下魔防2|上魔防3</t>
  </si>
  <si>
    <t>王者战带</t>
  </si>
  <si>
    <t>魔防上限 +3</t>
  </si>
  <si>
    <t>王者道带</t>
  </si>
  <si>
    <t>王者魔带</t>
  </si>
  <si>
    <t>赤焰战带</t>
  </si>
  <si>
    <t>魔防上限 +4</t>
  </si>
  <si>
    <t>赤焰道带</t>
  </si>
  <si>
    <t>赤焰魔带</t>
  </si>
  <si>
    <t>传说战带</t>
  </si>
  <si>
    <t>下防3|上防4|下魔防3|上魔防4|下攻1|上攻5</t>
  </si>
  <si>
    <t>魔防上限 +5</t>
  </si>
  <si>
    <t>传说道带</t>
  </si>
  <si>
    <t>传说魔带</t>
  </si>
  <si>
    <t>下防3|上防4|下魔防3|上魔防4|魔下1|魔上5</t>
  </si>
  <si>
    <t>雄霸战带</t>
  </si>
  <si>
    <t>下防5|上防6|下魔防5|上魔防6|下攻2|上攻6</t>
  </si>
  <si>
    <t>魔防上限 +6</t>
  </si>
  <si>
    <t>雄霸道带</t>
  </si>
  <si>
    <t>下防5|上防6|下魔防5|上魔防6|道下2|道上6</t>
  </si>
  <si>
    <t>雄霸魔带</t>
  </si>
  <si>
    <t>下防5|上防6|下魔防5|上魔防6|魔下2|魔上6</t>
  </si>
  <si>
    <t>苍穹战带</t>
  </si>
  <si>
    <t>下防6|上防6|下魔防6|上魔防6|下攻4|上攻8</t>
  </si>
  <si>
    <t>魔防上限 +7</t>
  </si>
  <si>
    <t>苍穹道带</t>
  </si>
  <si>
    <t>下防6|上防6|下魔防6|上魔防6|道下4|道上8</t>
  </si>
  <si>
    <t>苍穹魔带</t>
  </si>
  <si>
    <t>下防6|上防6|下魔防6|上魔防6|魔下4|魔上8</t>
  </si>
  <si>
    <t>乾坤战带</t>
  </si>
  <si>
    <t>下防7|上防7|下魔防7|上魔防7|下攻5|上攻10</t>
  </si>
  <si>
    <t>魔防上限 +8</t>
  </si>
  <si>
    <t>乾坤道带</t>
  </si>
  <si>
    <t>下防7|上防7|下魔防7|上魔防7|道下5|道上10</t>
  </si>
  <si>
    <t>乾坤魔带</t>
  </si>
  <si>
    <t>下防7|上防7|下魔防7|上魔防7|魔下5|魔上10</t>
  </si>
  <si>
    <t>雷霆腰带</t>
  </si>
  <si>
    <t>下防8|上防8|下魔防8|上魔防8|下攻5|上攻12</t>
  </si>
  <si>
    <t>魔防上限 +9</t>
  </si>
  <si>
    <t>光芒腰带</t>
  </si>
  <si>
    <t>下防8|上防8|下魔防8|上魔防8|道下5|道上12</t>
  </si>
  <si>
    <t>烈焰腰带</t>
  </si>
  <si>
    <t>下防8|上防8|下魔防8|上魔防8|魔下5|魔上12</t>
  </si>
  <si>
    <t>强化雷霆腰带</t>
  </si>
  <si>
    <t>下防9|上防10|下魔防9|上魔防10|下攻6|上攻13</t>
  </si>
  <si>
    <t>魔防上限 +10</t>
  </si>
  <si>
    <t>强化光芒腰带</t>
  </si>
  <si>
    <t>下防9|上防10|下魔防9|上魔防10|道下6|道上13</t>
  </si>
  <si>
    <t>强化烈焰腰带</t>
  </si>
  <si>
    <t>下防9|上防10|下魔防9|上魔防10|魔下6|魔上13</t>
  </si>
  <si>
    <t>战神腰带</t>
  </si>
  <si>
    <t>下防11|上防12|下魔防11|上魔防12|下攻8|上攻15</t>
  </si>
  <si>
    <t>魔防上限 +12</t>
  </si>
  <si>
    <t>真魂腰带</t>
  </si>
  <si>
    <t>下防11|上防12|下魔防11|上魔防12|道下8|道上15</t>
  </si>
  <si>
    <t>圣魔腰带</t>
  </si>
  <si>
    <t>下防11|上防12|下魔防11|上魔防12|魔下8|魔上15</t>
  </si>
  <si>
    <t>风暴の带</t>
  </si>
  <si>
    <t>下攻2|上攻5|魔下2|魔上5|道下2|道上5|下魔防3|上魔防7</t>
  </si>
  <si>
    <t>九耀の带</t>
  </si>
  <si>
    <t>下攻4|上攻7|魔下4|魔上7|道下4|道上7|下魔防5|上魔防9</t>
  </si>
  <si>
    <t>湮灭の带</t>
  </si>
  <si>
    <t>下攻6|上攻9|魔下6|魔上9|道下6|道上9|下魔防7|上魔防11</t>
  </si>
  <si>
    <t>混元の带</t>
  </si>
  <si>
    <t>下攻8|上攻11|魔下8|魔上11|道下8|道上11|下魔防9|上魔防13</t>
  </si>
  <si>
    <t>审判の带</t>
  </si>
  <si>
    <t>下攻10|上攻13|魔下10|魔上13|道下10|道上13|下魔防11|上魔防15|战士生命值100|魔法值10|法师血量25|法师魔法值135|道士生命值56|道士魔法值77</t>
  </si>
  <si>
    <t>魔防上限 +14</t>
  </si>
  <si>
    <t>逐月の带</t>
  </si>
  <si>
    <t>下攻12|上攻15|魔下12|魔上15|道下12|道上15|下魔防13|上魔防17|战士生命值180|魔法值18|法师血量45|法师魔法值243|道士生命值100|道士魔法值139</t>
  </si>
  <si>
    <t>魔防上限 +16</t>
  </si>
  <si>
    <t>大地の带</t>
  </si>
  <si>
    <t>下攻14|上攻17|魔下14|魔上17|道下14|道上17|下魔防15|上魔防19|战士生命值220|魔法值22|法师血量55|法师魔法值297|道士生命值123|道士魔法值170</t>
  </si>
  <si>
    <t>魔防上限 +18</t>
  </si>
  <si>
    <t>主宰の带</t>
  </si>
  <si>
    <t>下防16|上防16|下魔防16|上魔防16|下攻16|上攻16|魔下16|魔上16|道下16|道上16|战士生命值260|魔法值26|法师血量65|法师魔法值351|道士生命值146|道士魔法值200</t>
  </si>
  <si>
    <t>魔防上限 +20</t>
  </si>
  <si>
    <t>太虚の带</t>
  </si>
  <si>
    <t>下防17|上防17|下魔防17|上魔防17|下攻17|上攻17|魔下17|魔上17|道下17|道上17|战士生命值280|魔法值28|法师血量70|法师魔法值378|道士生命值157|道士魔法值216</t>
  </si>
  <si>
    <t>魔防上限 +22</t>
  </si>
  <si>
    <t>龙吟の带</t>
  </si>
  <si>
    <t>下防18|上防18|下魔防18|上魔防18|下攻18|上攻18|魔下16|魔上18|道下16|道上18|战士生命值320|魔法值32|法师血量80|法师魔法值432|道士生命值179|道士魔法值246</t>
  </si>
  <si>
    <t>魔防上限 +25</t>
  </si>
  <si>
    <t>荣耀圣带</t>
  </si>
  <si>
    <t>永恒圣带</t>
  </si>
  <si>
    <t>龙腾圣带</t>
  </si>
  <si>
    <t>盛世圣带</t>
  </si>
  <si>
    <t>辉煌圣带</t>
  </si>
  <si>
    <t>火龙神带</t>
  </si>
  <si>
    <t>鬼の血光摄魂·带</t>
    <phoneticPr fontId="1" type="noConversion"/>
  </si>
  <si>
    <t>魔の嗜血狂杀·带</t>
  </si>
  <si>
    <t>狂の纵横天下·带</t>
  </si>
  <si>
    <t>怒の战无不胜·带</t>
  </si>
  <si>
    <t>神の永恒霸主·带</t>
  </si>
  <si>
    <t>扭转乾坤㊣绝杀·带</t>
  </si>
  <si>
    <t>独孤求败㊣弑神·带</t>
  </si>
  <si>
    <t>鬼嚎神啸㊣无敌·带</t>
  </si>
  <si>
    <t>斩尽杀绝㊣帝陨·带</t>
  </si>
  <si>
    <t>无极㊣唯我独尊·带</t>
  </si>
  <si>
    <t>万古至尊の带</t>
  </si>
  <si>
    <t>下攻11|上攻14|魔下11|魔上14|道下11|道上14|下魔防11|上魔防14</t>
  </si>
  <si>
    <t>永恒主宰¢带</t>
  </si>
  <si>
    <t>下攻12|上攻15|魔下12|魔上15|道下12|道上15|下魔防12|上魔防15</t>
  </si>
  <si>
    <t>大地之怒ぃ圣带</t>
  </si>
  <si>
    <t>下攻13|上攻16|魔下13|魔上16|道下13|道上16|下魔防13|上魔防16</t>
  </si>
  <si>
    <t>龙游星界※魔带</t>
  </si>
  <si>
    <t>下攻14|上攻17|魔下14|魔上17|道下14|道上17|下魔防14|上魔防17</t>
  </si>
  <si>
    <t>天使降临☆灵带</t>
  </si>
  <si>
    <t>下攻15|上攻18|魔下15|魔上18|道下15|道上18|下魔防15|上魔防18</t>
  </si>
  <si>
    <t>正义之神★帝带</t>
  </si>
  <si>
    <t>下攻16|上攻19|魔下16|魔上19|道下16|道上19|下防16|上防19</t>
  </si>
  <si>
    <t>游龙ぃ至尊战带</t>
    <phoneticPr fontId="1" type="noConversion"/>
  </si>
  <si>
    <t>下攻19|上攻22|下魔防20|上魔防24</t>
  </si>
  <si>
    <t>游龙ぃ至尊道带</t>
  </si>
  <si>
    <t>道下19|道上22|下魔防20|上魔防24</t>
  </si>
  <si>
    <t>游龙ぃ至尊魔带</t>
  </si>
  <si>
    <t>魔下19|魔上22|下魔防20|上魔防24</t>
  </si>
  <si>
    <t>诛仙ぃ焚天战带</t>
  </si>
  <si>
    <t>魔防上限 +23</t>
  </si>
  <si>
    <t>诛仙ぃ焚天道带</t>
  </si>
  <si>
    <t>诛仙ぃ焚天魔带</t>
  </si>
  <si>
    <t>武神ぃ噬魂战带</t>
    <phoneticPr fontId="1" type="noConversion"/>
  </si>
  <si>
    <t>魔防上限 +24</t>
  </si>
  <si>
    <t>武神ぃ噬魂道带</t>
    <phoneticPr fontId="1" type="noConversion"/>
  </si>
  <si>
    <t>武神ぃ噬魂魔带</t>
  </si>
  <si>
    <t>兽皮腰带</t>
  </si>
  <si>
    <t>铁腰带</t>
  </si>
  <si>
    <t>青铜腰带</t>
  </si>
  <si>
    <t>钢铁腰带</t>
  </si>
  <si>
    <t>上防3|上魔防1</t>
  </si>
  <si>
    <t>苍茫腰带</t>
  </si>
  <si>
    <t>下攻0|上攻1|魔下0|魔上1|道下0|道上1</t>
  </si>
  <si>
    <t>#苍茫腰带</t>
  </si>
  <si>
    <t>新手腰带</t>
  </si>
  <si>
    <t>传说战刃</t>
    <phoneticPr fontId="1" type="noConversion"/>
  </si>
  <si>
    <t>武器</t>
    <phoneticPr fontId="1" type="noConversion"/>
  </si>
  <si>
    <t>养成属性累计</t>
    <phoneticPr fontId="1" type="noConversion"/>
  </si>
  <si>
    <t>衣服</t>
    <phoneticPr fontId="1" type="noConversion"/>
  </si>
  <si>
    <t>魔法</t>
    <phoneticPr fontId="1" type="noConversion"/>
  </si>
  <si>
    <t>勋章</t>
    <phoneticPr fontId="1" type="noConversion"/>
  </si>
  <si>
    <t>其他</t>
    <phoneticPr fontId="1" type="noConversion"/>
  </si>
  <si>
    <t>头盔</t>
    <phoneticPr fontId="1" type="noConversion"/>
  </si>
  <si>
    <t>项链</t>
    <phoneticPr fontId="1" type="noConversion"/>
  </si>
  <si>
    <t>手镯</t>
    <phoneticPr fontId="1" type="noConversion"/>
  </si>
  <si>
    <t>戒指</t>
    <phoneticPr fontId="1" type="noConversion"/>
  </si>
  <si>
    <t>腰带</t>
    <phoneticPr fontId="1" type="noConversion"/>
  </si>
  <si>
    <t>靴子</t>
    <phoneticPr fontId="1" type="noConversion"/>
  </si>
  <si>
    <t>戒指*2</t>
    <phoneticPr fontId="1" type="noConversion"/>
  </si>
  <si>
    <t>手镯*2</t>
    <phoneticPr fontId="1" type="noConversion"/>
  </si>
  <si>
    <t>参考属性（可以直接复制到equip表）</t>
    <phoneticPr fontId="1" type="noConversion"/>
  </si>
  <si>
    <t>衣服（男）</t>
    <phoneticPr fontId="1" type="noConversion"/>
  </si>
  <si>
    <t>衣服（女）</t>
    <phoneticPr fontId="1" type="noConversion"/>
  </si>
  <si>
    <t>种类\养成等级</t>
    <phoneticPr fontId="1" type="noConversion"/>
  </si>
  <si>
    <t>参考属性（中间表不要动）</t>
    <phoneticPr fontId="1" type="noConversion"/>
  </si>
  <si>
    <t>准确</t>
    <phoneticPr fontId="1" type="noConversion"/>
  </si>
  <si>
    <t>攻速</t>
    <phoneticPr fontId="1" type="noConversion"/>
  </si>
  <si>
    <t>伤害加成</t>
    <phoneticPr fontId="1" type="noConversion"/>
  </si>
  <si>
    <t>暴击率</t>
    <phoneticPr fontId="1" type="noConversion"/>
  </si>
  <si>
    <t>物伤减免</t>
    <phoneticPr fontId="1" type="noConversion"/>
  </si>
  <si>
    <t>魔伤减免</t>
    <phoneticPr fontId="1" type="noConversion"/>
  </si>
  <si>
    <t>已分配属性（修改右侧表格后验证数值）</t>
    <phoneticPr fontId="1" type="noConversion"/>
  </si>
  <si>
    <t>\等级</t>
    <phoneticPr fontId="1" type="noConversion"/>
  </si>
  <si>
    <t>1转</t>
    <phoneticPr fontId="1" type="noConversion"/>
  </si>
  <si>
    <t>2转</t>
    <phoneticPr fontId="1" type="noConversion"/>
  </si>
  <si>
    <t>3转</t>
  </si>
  <si>
    <t>4转</t>
  </si>
  <si>
    <t>5转</t>
  </si>
  <si>
    <t>6转</t>
  </si>
  <si>
    <t>7转</t>
  </si>
  <si>
    <t>8转</t>
  </si>
  <si>
    <t>9转</t>
  </si>
  <si>
    <t>10转</t>
  </si>
  <si>
    <t>11转</t>
  </si>
  <si>
    <t>12转</t>
  </si>
  <si>
    <t>13转</t>
  </si>
  <si>
    <t>14转</t>
  </si>
  <si>
    <t>15转</t>
  </si>
  <si>
    <t>16转</t>
  </si>
  <si>
    <t>17转</t>
  </si>
  <si>
    <t>18转</t>
  </si>
  <si>
    <t>19转</t>
  </si>
  <si>
    <t>20转</t>
  </si>
  <si>
    <t>备注</t>
    <phoneticPr fontId="1" type="noConversion"/>
  </si>
  <si>
    <t>套装（攻魔道%）</t>
    <phoneticPr fontId="1" type="noConversion"/>
  </si>
  <si>
    <t>套装（HPMP%）</t>
    <phoneticPr fontId="1" type="noConversion"/>
  </si>
  <si>
    <t>套装（双防%）</t>
    <phoneticPr fontId="1" type="noConversion"/>
  </si>
  <si>
    <t>勋章套装属性</t>
    <phoneticPr fontId="1" type="noConversion"/>
  </si>
  <si>
    <t>靴子套装属性</t>
    <phoneticPr fontId="1" type="noConversion"/>
  </si>
  <si>
    <t>武器套装属性</t>
    <phoneticPr fontId="1" type="noConversion"/>
  </si>
  <si>
    <t>衣服套装属性</t>
    <phoneticPr fontId="1" type="noConversion"/>
  </si>
  <si>
    <t>头盔套装属性</t>
    <phoneticPr fontId="1" type="noConversion"/>
  </si>
  <si>
    <t>项链套装属性</t>
    <phoneticPr fontId="1" type="noConversion"/>
  </si>
  <si>
    <t>手镯套装属性</t>
    <phoneticPr fontId="1" type="noConversion"/>
  </si>
  <si>
    <t>戒指套装属性</t>
    <phoneticPr fontId="1" type="noConversion"/>
  </si>
  <si>
    <t>腰带套装属性</t>
    <phoneticPr fontId="1" type="noConversion"/>
  </si>
  <si>
    <r>
      <rPr>
        <sz val="11"/>
        <color rgb="FFFF0000"/>
        <rFont val="微软雅黑"/>
        <family val="2"/>
        <charset val="134"/>
      </rPr>
      <t>本表须知（必看）</t>
    </r>
    <r>
      <rPr>
        <sz val="11"/>
        <color theme="1"/>
        <rFont val="微软雅黑"/>
        <family val="2"/>
        <charset val="134"/>
      </rPr>
      <t xml:space="preserve">：本表红字标记部分需要手动修改
表1养成属性累计：参考养成基本属性数值
表2已分配属性：与养成属性累计对比验证数值分配是否正确
表3分部位属性表：红色部分特殊属性需要手动配置
表4参考属性：完成前面表格配置后可以复制本表内容粘贴到equip表
            套装效果需要复制对应部位套装属性的内容粘贴到suit表
</t>
    </r>
    <phoneticPr fontId="1" type="noConversion"/>
  </si>
  <si>
    <t>配置属性</t>
    <phoneticPr fontId="1" type="noConversion"/>
  </si>
  <si>
    <t>本表须知：需要手动配置红色部分字段
，属性参考基本属性
复制配置属性到cfg_level表即可</t>
    <phoneticPr fontId="1" type="noConversion"/>
  </si>
  <si>
    <t>龙魂炼体</t>
    <phoneticPr fontId="1" type="noConversion"/>
  </si>
  <si>
    <t>龙头</t>
    <phoneticPr fontId="1" type="noConversion"/>
  </si>
  <si>
    <t>龙头·未修炼</t>
  </si>
  <si>
    <t>龙头·一阶</t>
  </si>
  <si>
    <t>龙头·二阶</t>
  </si>
  <si>
    <t>龙头·三阶</t>
  </si>
  <si>
    <t>龙头·四阶</t>
  </si>
  <si>
    <t>龙头·五阶</t>
  </si>
  <si>
    <t>龙头·六阶</t>
  </si>
  <si>
    <t>龙头·七阶</t>
  </si>
  <si>
    <t>龙头·八阶</t>
  </si>
  <si>
    <t>龙头·九阶</t>
  </si>
  <si>
    <t>龙头·十阶</t>
  </si>
  <si>
    <t>龙头·十一阶</t>
  </si>
  <si>
    <t>龙头·十二阶</t>
  </si>
  <si>
    <t>龙头·十三阶</t>
  </si>
  <si>
    <t>龙头·十四阶</t>
  </si>
  <si>
    <t>龙头·十五阶</t>
  </si>
  <si>
    <t>龙头·十六阶</t>
  </si>
  <si>
    <t>龙头·十七阶</t>
  </si>
  <si>
    <t>龙头·十八阶</t>
  </si>
  <si>
    <t>龙头·十九阶</t>
  </si>
  <si>
    <t>龙头·二十阶</t>
  </si>
  <si>
    <t>龙头·二十一阶</t>
  </si>
  <si>
    <t>生命值1050|吸血0.01%1050</t>
  </si>
  <si>
    <t>龙头·二十二阶</t>
  </si>
  <si>
    <t>生命值1100|吸血0.01%1100</t>
  </si>
  <si>
    <t>龙头·二十三阶</t>
  </si>
  <si>
    <t>生命值1150|吸血0.01%1150</t>
  </si>
  <si>
    <t>龙头·二十四阶</t>
  </si>
  <si>
    <t>生命值1200|吸血0.01%1200</t>
  </si>
  <si>
    <t>龙头·二十五阶</t>
  </si>
  <si>
    <t>生命值1250|吸血0.01%1250</t>
  </si>
  <si>
    <t>龙头·二十六阶</t>
  </si>
  <si>
    <t>生命值1300|吸血0.01%1300</t>
  </si>
  <si>
    <t>龙头·二十七阶</t>
  </si>
  <si>
    <t>生命值1350|吸血0.01%1350</t>
  </si>
  <si>
    <t>龙头·二十八阶</t>
  </si>
  <si>
    <t>生命值1400|吸血0.01%1400</t>
  </si>
  <si>
    <t>龙头·二十九阶</t>
  </si>
  <si>
    <t>生命值1450|吸血0.01%1450</t>
  </si>
  <si>
    <t>龙头·三十阶</t>
  </si>
  <si>
    <t>生命值1500|吸血0.01%1500</t>
  </si>
  <si>
    <t>龙头·三十一阶</t>
  </si>
  <si>
    <t>生命值1550|吸血0.01%1500|吸血0.01%抵抗50</t>
  </si>
  <si>
    <t>龙头·三十二阶</t>
  </si>
  <si>
    <t>生命值1600|吸血0.01%1500|吸血0.01%抵抗100</t>
  </si>
  <si>
    <t>龙头·三十三阶</t>
  </si>
  <si>
    <t>生命值1650|吸血0.01%1500|吸血0.01%抵抗150</t>
  </si>
  <si>
    <t>龙头·三十四阶</t>
  </si>
  <si>
    <t>生命值1700|吸血0.01%1500|吸血0.01%抵抗200</t>
  </si>
  <si>
    <t>龙头·三十五阶</t>
  </si>
  <si>
    <t>生命值1750|吸血0.01%1500|吸血0.01%抵抗250</t>
  </si>
  <si>
    <t>龙头·三十六阶</t>
  </si>
  <si>
    <t>生命值1800|吸血0.01%1500|吸血0.01%抵抗300</t>
  </si>
  <si>
    <t>龙头·三十七阶</t>
  </si>
  <si>
    <t>生命值1850|吸血0.01%1500|吸血0.01%抵抗350</t>
  </si>
  <si>
    <t>龙头·三十八阶</t>
  </si>
  <si>
    <t>生命值1900|吸血0.01%1500|吸血0.01%抵抗400</t>
  </si>
  <si>
    <t>龙头·三十九阶</t>
  </si>
  <si>
    <t>生命值1950|吸血0.01%1500|吸血0.01%抵抗450</t>
  </si>
  <si>
    <t>龙头·四十阶</t>
  </si>
  <si>
    <t>生命值2000|吸血0.01%1500|吸血0.01%抵抗500</t>
  </si>
  <si>
    <t>龙头·四十一阶</t>
  </si>
  <si>
    <t>生命值2050|吸血0.01%1500|吸血0.01%抵抗550</t>
  </si>
  <si>
    <t>龙头·四十二阶</t>
  </si>
  <si>
    <t>生命值2100|吸血0.01%1500|吸血0.01%抵抗600</t>
  </si>
  <si>
    <t>龙头·四十三阶</t>
  </si>
  <si>
    <t>生命值2150|吸血0.01%1500|吸血0.01%抵抗650</t>
  </si>
  <si>
    <t>龙头·四十四阶</t>
  </si>
  <si>
    <t>生命值2200|吸血0.01%1500|吸血0.01%抵抗700</t>
  </si>
  <si>
    <t>龙头·四十五阶</t>
  </si>
  <si>
    <t>生命值2250|吸血0.01%1500|吸血0.01%抵抗750</t>
  </si>
  <si>
    <t>龙头·四十六阶</t>
  </si>
  <si>
    <t>生命值2300|吸血0.01%1500|吸血0.01%抵抗800</t>
  </si>
  <si>
    <t>龙头·四十七阶</t>
  </si>
  <si>
    <t>生命值2350|吸血0.01%1500|吸血0.01%抵抗850</t>
  </si>
  <si>
    <t>龙头·四十八阶</t>
  </si>
  <si>
    <t>生命值2400|吸血0.01%1500|吸血0.01%抵抗900</t>
  </si>
  <si>
    <t>龙头·四十九阶</t>
  </si>
  <si>
    <t>生命值2450|吸血0.01%1500|吸血0.01%抵抗950</t>
  </si>
  <si>
    <t>龙头·五十阶</t>
    <phoneticPr fontId="1" type="noConversion"/>
  </si>
  <si>
    <t>生命值2500|吸血0.01%1500|吸血0.01%抵抗1000</t>
  </si>
  <si>
    <t>龙骨</t>
    <phoneticPr fontId="1" type="noConversion"/>
  </si>
  <si>
    <t>龙骨·未修炼</t>
  </si>
  <si>
    <t>龙骨·一阶</t>
  </si>
  <si>
    <t>龙骨·二阶</t>
  </si>
  <si>
    <t>龙骨·三阶</t>
  </si>
  <si>
    <t>龙骨·四阶</t>
  </si>
  <si>
    <t>龙骨·五阶</t>
  </si>
  <si>
    <t>龙骨·六阶</t>
  </si>
  <si>
    <t>龙骨·七阶</t>
  </si>
  <si>
    <t>龙骨·八阶</t>
  </si>
  <si>
    <t>龙骨·九阶</t>
  </si>
  <si>
    <t>龙骨·十阶</t>
  </si>
  <si>
    <t>龙骨·十一阶</t>
  </si>
  <si>
    <t>龙骨·十二阶</t>
  </si>
  <si>
    <t>龙骨·十三阶</t>
  </si>
  <si>
    <t>龙骨·十四阶</t>
  </si>
  <si>
    <t>龙骨·十五阶</t>
  </si>
  <si>
    <t>龙骨·十六阶</t>
  </si>
  <si>
    <t>龙骨·十七阶</t>
  </si>
  <si>
    <t>龙骨·十八阶</t>
  </si>
  <si>
    <t>龙骨·十九阶</t>
  </si>
  <si>
    <t>龙骨·二十阶</t>
  </si>
  <si>
    <t>龙骨·二十一阶</t>
  </si>
  <si>
    <t>下防42|上防42|下魔防42|上魔防42|忽视防御20|暴伤1</t>
  </si>
  <si>
    <t>龙骨·二十二阶</t>
  </si>
  <si>
    <t>下防44|上防44|下魔防44|上魔防44|忽视防御20|暴伤2</t>
  </si>
  <si>
    <t>龙骨·二十三阶</t>
  </si>
  <si>
    <t>下防46|上防46|下魔防46|上魔防46|忽视防御20|暴伤3</t>
  </si>
  <si>
    <t>龙骨·二十四阶</t>
  </si>
  <si>
    <t>下防48|上防48|下魔防48|上魔防48|忽视防御20|暴伤4</t>
  </si>
  <si>
    <t>龙骨·二十五阶</t>
  </si>
  <si>
    <t>下防50|上防50|下魔防50|上魔防50|忽视防御20|暴伤5</t>
  </si>
  <si>
    <t>龙骨·二十六阶</t>
  </si>
  <si>
    <t>下防52|上防52|下魔防52|上魔防52|忽视防御20|暴伤6</t>
  </si>
  <si>
    <t>龙骨·二十七阶</t>
  </si>
  <si>
    <t>下防54|上防54|下魔防54|上魔防54|忽视防御20|暴伤7</t>
  </si>
  <si>
    <t>龙骨·二十八阶</t>
  </si>
  <si>
    <t>下防56|上防56|下魔防56|上魔防56|忽视防御20|暴伤8</t>
  </si>
  <si>
    <t>龙骨·二十九阶</t>
  </si>
  <si>
    <t>下防58|上防58|下魔防58|上魔防58|忽视防御20|暴伤9</t>
  </si>
  <si>
    <t>龙骨·三十阶</t>
  </si>
  <si>
    <t>下防60|上防60|下魔防60|上魔防60|忽视防御20|暴伤10</t>
  </si>
  <si>
    <t>龙骨·三十一阶</t>
  </si>
  <si>
    <t>下防62|上防62|下魔防62|上魔防62|忽视防御20|暴伤11</t>
  </si>
  <si>
    <t>龙骨·三十二阶</t>
  </si>
  <si>
    <t>下防64|上防64|下魔防64|上魔防64|忽视防御20|暴伤12</t>
  </si>
  <si>
    <t>龙骨·三十三阶</t>
  </si>
  <si>
    <t>下防66|上防66|下魔防66|上魔防66|忽视防御20|暴伤13</t>
  </si>
  <si>
    <t>龙骨·三十四阶</t>
  </si>
  <si>
    <t>下防68|上防68|下魔防68|上魔防68|忽视防御20|暴伤14</t>
  </si>
  <si>
    <t>龙骨·三十五阶</t>
  </si>
  <si>
    <t>下防70|上防70|下魔防70|上魔防70|忽视防御20|暴伤15</t>
  </si>
  <si>
    <t>龙骨·三十六阶</t>
  </si>
  <si>
    <t>下防72|上防72|下魔防72|上魔防72|忽视防御20|暴伤16</t>
  </si>
  <si>
    <t>龙骨·三十七阶</t>
  </si>
  <si>
    <t>下防74|上防74|下魔防74|上魔防74|忽视防御20|暴伤17</t>
  </si>
  <si>
    <t>龙骨·三十八阶</t>
  </si>
  <si>
    <t>下防76|上防76|下魔防76|上魔防76|忽视防御20|暴伤18</t>
  </si>
  <si>
    <t>龙骨·三十九阶</t>
  </si>
  <si>
    <t>下防78|上防78|下魔防78|上魔防78|忽视防御20|暴伤19</t>
  </si>
  <si>
    <t>龙骨·四十阶</t>
  </si>
  <si>
    <t>下防80|上防80|下魔防80|上魔防80|忽视防御20|暴伤20</t>
  </si>
  <si>
    <t>龙骨·四十一阶</t>
  </si>
  <si>
    <t>下防82|上防82|下魔防82|上魔防82|忽视防御20|暴伤21</t>
  </si>
  <si>
    <t>龙骨·四十二阶</t>
  </si>
  <si>
    <t>下防84|上防84|下魔防84|上魔防84|忽视防御20|暴伤22</t>
  </si>
  <si>
    <t>龙骨·四十三阶</t>
  </si>
  <si>
    <t>下防86|上防86|下魔防86|上魔防86|忽视防御20|暴伤23</t>
  </si>
  <si>
    <t>龙骨·四十四阶</t>
  </si>
  <si>
    <t>下防88|上防88|下魔防88|上魔防88|忽视防御20|暴伤24</t>
  </si>
  <si>
    <t>龙骨·四十五阶</t>
  </si>
  <si>
    <t>下防90|上防90|下魔防90|上魔防90|忽视防御20|暴伤25</t>
  </si>
  <si>
    <t>龙骨·四十六阶</t>
  </si>
  <si>
    <t>下防92|上防92|下魔防92|上魔防92|忽视防御20|暴伤26</t>
  </si>
  <si>
    <t>龙骨·四十七阶</t>
  </si>
  <si>
    <t>下防94|上防94|下魔防94|上魔防94|忽视防御20|暴伤27</t>
  </si>
  <si>
    <t>龙骨·四十八阶</t>
  </si>
  <si>
    <t>下防96|上防96|下魔防96|上魔防96|忽视防御20|暴伤28</t>
  </si>
  <si>
    <t>龙骨·四十九阶</t>
  </si>
  <si>
    <t>下防98|上防98|下魔防98|上魔防98|忽视防御20|暴伤29</t>
  </si>
  <si>
    <t>龙骨·五十阶</t>
  </si>
  <si>
    <t>下防100|上防100|下魔防100|上魔防100|忽视防御20|暴伤30</t>
  </si>
  <si>
    <t>龙尾</t>
    <phoneticPr fontId="1" type="noConversion"/>
  </si>
  <si>
    <t>龙尾·未修炼</t>
  </si>
  <si>
    <t>龙尾·一阶</t>
  </si>
  <si>
    <t>龙尾·二阶</t>
  </si>
  <si>
    <t>龙尾·三阶</t>
  </si>
  <si>
    <t>龙尾·四阶</t>
  </si>
  <si>
    <t>龙尾·五阶</t>
  </si>
  <si>
    <t>龙尾·六阶</t>
  </si>
  <si>
    <t>龙尾·七阶</t>
  </si>
  <si>
    <t>龙尾·八阶</t>
  </si>
  <si>
    <t>龙尾·九阶</t>
  </si>
  <si>
    <t>龙尾·十阶</t>
  </si>
  <si>
    <t>龙尾·十一阶</t>
  </si>
  <si>
    <t>龙尾·十二阶</t>
  </si>
  <si>
    <t>龙尾·十三阶</t>
  </si>
  <si>
    <t>龙尾·十四阶</t>
  </si>
  <si>
    <t>龙尾·十五阶</t>
  </si>
  <si>
    <t>龙尾·十六阶</t>
  </si>
  <si>
    <t>龙尾·十七阶</t>
  </si>
  <si>
    <t>龙尾·十八阶</t>
  </si>
  <si>
    <t>龙尾·十九阶</t>
  </si>
  <si>
    <t>龙尾·二十阶</t>
  </si>
  <si>
    <t>龙尾·二十一阶</t>
  </si>
  <si>
    <t>龙尾·二十二阶</t>
  </si>
  <si>
    <t>龙尾·二十三阶</t>
  </si>
  <si>
    <t>龙尾·二十四阶</t>
  </si>
  <si>
    <t>龙尾·二十五阶</t>
  </si>
  <si>
    <t>龙尾·二十六阶</t>
  </si>
  <si>
    <t>龙尾·二十七阶</t>
  </si>
  <si>
    <t>龙尾·二十八阶</t>
  </si>
  <si>
    <t>龙尾·二十九阶</t>
  </si>
  <si>
    <t>龙尾·三十阶</t>
  </si>
  <si>
    <t>龙尾·三十一阶</t>
  </si>
  <si>
    <t>龙尾·三十二阶</t>
  </si>
  <si>
    <t>龙尾·三十三阶</t>
  </si>
  <si>
    <t>龙尾·三十四阶</t>
  </si>
  <si>
    <t>龙尾·三十五阶</t>
  </si>
  <si>
    <t>龙尾·三十六阶</t>
  </si>
  <si>
    <t>龙尾·三十七阶</t>
  </si>
  <si>
    <t>龙尾·三十八阶</t>
  </si>
  <si>
    <t>龙尾·三十九阶</t>
  </si>
  <si>
    <t>龙尾·四十阶</t>
  </si>
  <si>
    <t>龙尾·四十一阶</t>
  </si>
  <si>
    <t>龙尾·四十二阶</t>
  </si>
  <si>
    <t>龙尾·四十三阶</t>
  </si>
  <si>
    <t>龙尾·四十四阶</t>
  </si>
  <si>
    <t>龙尾·四十五阶</t>
  </si>
  <si>
    <t>龙尾·四十六阶</t>
  </si>
  <si>
    <t>龙尾·四十七阶</t>
  </si>
  <si>
    <t>龙尾·四十八阶</t>
  </si>
  <si>
    <t>龙尾·四十九阶</t>
  </si>
  <si>
    <t>龙尾·五十阶</t>
  </si>
  <si>
    <t>龙躯</t>
    <phoneticPr fontId="1" type="noConversion"/>
  </si>
  <si>
    <t>龙躯·未修炼</t>
  </si>
  <si>
    <t>龙躯·一阶</t>
  </si>
  <si>
    <t>龙躯·二阶</t>
  </si>
  <si>
    <t>龙躯·三阶</t>
  </si>
  <si>
    <t>龙躯·四阶</t>
  </si>
  <si>
    <t>龙躯·五阶</t>
  </si>
  <si>
    <t>龙躯·六阶</t>
  </si>
  <si>
    <t>龙躯·七阶</t>
  </si>
  <si>
    <t>龙躯·八阶</t>
  </si>
  <si>
    <t>龙躯·九阶</t>
  </si>
  <si>
    <t>龙躯·十阶</t>
  </si>
  <si>
    <t>龙躯·十一阶</t>
  </si>
  <si>
    <t>龙躯·十二阶</t>
  </si>
  <si>
    <t>龙躯·十三阶</t>
  </si>
  <si>
    <t>龙躯·十四阶</t>
  </si>
  <si>
    <t>龙躯·十五阶</t>
  </si>
  <si>
    <t>龙躯·十六阶</t>
  </si>
  <si>
    <t>龙躯·十七阶</t>
  </si>
  <si>
    <t>龙躯·十八阶</t>
  </si>
  <si>
    <t>龙躯·十九阶</t>
  </si>
  <si>
    <t>龙躯·二十阶</t>
  </si>
  <si>
    <t>龙躯·二十一阶</t>
  </si>
  <si>
    <t>准确42|受怪减伤2000|对怪增伤100</t>
  </si>
  <si>
    <t>龙躯·二十二阶</t>
  </si>
  <si>
    <t>准确44|受怪减伤2000|对怪增伤200</t>
  </si>
  <si>
    <t>龙躯·二十三阶</t>
  </si>
  <si>
    <t>准确46|受怪减伤2000|对怪增伤300</t>
  </si>
  <si>
    <t>龙躯·二十四阶</t>
  </si>
  <si>
    <t>准确48|受怪减伤2000|对怪增伤400</t>
  </si>
  <si>
    <t>龙躯·二十五阶</t>
  </si>
  <si>
    <t>准确50|受怪减伤2000|对怪增伤500</t>
  </si>
  <si>
    <t>龙躯·二十六阶</t>
  </si>
  <si>
    <t>准确52|受怪减伤2000|对怪增伤600</t>
  </si>
  <si>
    <t>龙躯·二十七阶</t>
  </si>
  <si>
    <t>准确54|受怪减伤2000|对怪增伤700</t>
  </si>
  <si>
    <t>龙躯·二十八阶</t>
  </si>
  <si>
    <t>准确56|受怪减伤2000|对怪增伤800</t>
  </si>
  <si>
    <t>龙躯·二十九阶</t>
  </si>
  <si>
    <t>准确58|受怪减伤2000|对怪增伤900</t>
  </si>
  <si>
    <t>龙躯·三十阶</t>
  </si>
  <si>
    <t>准确60|受怪减伤2000|对怪增伤1000</t>
  </si>
  <si>
    <t>龙躯·三十一阶</t>
  </si>
  <si>
    <t>准确62|受怪减伤2000|对怪增伤1100</t>
  </si>
  <si>
    <t>龙躯·三十二阶</t>
  </si>
  <si>
    <t>准确64|受怪减伤2000|对怪增伤1200</t>
  </si>
  <si>
    <t>龙躯·三十三阶</t>
  </si>
  <si>
    <t>准确66|受怪减伤2000|对怪增伤1300</t>
  </si>
  <si>
    <t>龙躯·三十四阶</t>
  </si>
  <si>
    <t>准确68|受怪减伤2000|对怪增伤1400</t>
  </si>
  <si>
    <t>龙躯·三十五阶</t>
  </si>
  <si>
    <t>准确70|受怪减伤2000|对怪增伤1500</t>
  </si>
  <si>
    <t>龙躯·三十六阶</t>
  </si>
  <si>
    <t>准确72|受怪减伤2000|对怪增伤1600</t>
  </si>
  <si>
    <t>龙躯·三十七阶</t>
  </si>
  <si>
    <t>准确74|受怪减伤2000|对怪增伤1700</t>
  </si>
  <si>
    <t>龙躯·三十八阶</t>
  </si>
  <si>
    <t>准确76|受怪减伤2000|对怪增伤1800</t>
  </si>
  <si>
    <t>龙躯·三十九阶</t>
  </si>
  <si>
    <t>准确78|受怪减伤2000|对怪增伤1900</t>
  </si>
  <si>
    <t>龙躯·四十阶</t>
  </si>
  <si>
    <t>准确80|受怪减伤2000|对怪增伤2000</t>
  </si>
  <si>
    <t>龙躯·四十一阶</t>
  </si>
  <si>
    <t>准确82|受怪减伤2000|对怪增伤2100</t>
  </si>
  <si>
    <t>龙躯·四十二阶</t>
  </si>
  <si>
    <t>准确84|受怪减伤2000|对怪增伤2200</t>
  </si>
  <si>
    <t>龙躯·四十三阶</t>
  </si>
  <si>
    <t>准确86|受怪减伤2000|对怪增伤2300</t>
  </si>
  <si>
    <t>龙躯·四十四阶</t>
  </si>
  <si>
    <t>准确88|受怪减伤2000|对怪增伤2400</t>
  </si>
  <si>
    <t>龙躯·四十五阶</t>
  </si>
  <si>
    <t>准确90|受怪减伤2000|对怪增伤2500</t>
  </si>
  <si>
    <t>龙躯·四十六阶</t>
  </si>
  <si>
    <t>准确92|受怪减伤2000|对怪增伤2600</t>
  </si>
  <si>
    <t>龙躯·四十七阶</t>
  </si>
  <si>
    <t>准确94|受怪减伤2000|对怪增伤2700</t>
  </si>
  <si>
    <t>龙躯·四十八阶</t>
  </si>
  <si>
    <t>准确96|受怪减伤2000|对怪增伤2800</t>
  </si>
  <si>
    <t>龙躯·四十九阶</t>
  </si>
  <si>
    <t>准确98|受怪减伤2000|对怪增伤2900</t>
  </si>
  <si>
    <t>龙躯·五十阶</t>
  </si>
  <si>
    <t>准确100|受怪减伤2000|对怪增伤3000</t>
    <phoneticPr fontId="1" type="noConversion"/>
  </si>
  <si>
    <t>防御</t>
  </si>
  <si>
    <t>本表须知：红字部分需要手动配置</t>
    <phoneticPr fontId="1" type="noConversion"/>
  </si>
  <si>
    <t>吸血</t>
    <phoneticPr fontId="1" type="noConversion"/>
  </si>
  <si>
    <t>受怪减伤</t>
    <phoneticPr fontId="1" type="noConversion"/>
  </si>
  <si>
    <t>对怪增伤</t>
    <phoneticPr fontId="1" type="noConversion"/>
  </si>
  <si>
    <t>伤害加成%</t>
    <phoneticPr fontId="1" type="noConversion"/>
  </si>
  <si>
    <t>爆伤%</t>
    <phoneticPr fontId="1" type="noConversion"/>
  </si>
  <si>
    <t>忽视防御%</t>
    <phoneticPr fontId="1" type="noConversion"/>
  </si>
  <si>
    <t>吸血抵抗%</t>
    <phoneticPr fontId="1" type="noConversion"/>
  </si>
  <si>
    <t>吸血%</t>
    <phoneticPr fontId="1" type="noConversion"/>
  </si>
  <si>
    <t>下攻</t>
    <phoneticPr fontId="1" type="noConversion"/>
  </si>
  <si>
    <t>上攻</t>
    <phoneticPr fontId="1" type="noConversion"/>
  </si>
  <si>
    <t>下魔攻</t>
    <phoneticPr fontId="1" type="noConversion"/>
  </si>
  <si>
    <t>上魔攻</t>
    <phoneticPr fontId="1" type="noConversion"/>
  </si>
  <si>
    <t>下防</t>
    <phoneticPr fontId="1" type="noConversion"/>
  </si>
  <si>
    <t>上防</t>
    <phoneticPr fontId="1" type="noConversion"/>
  </si>
  <si>
    <t>斗笠</t>
    <phoneticPr fontId="1" type="noConversion"/>
  </si>
  <si>
    <t>火龙斗笠（无）</t>
    <phoneticPr fontId="1" type="noConversion"/>
  </si>
  <si>
    <t>火龙斗笠Lv.1(0星)</t>
    <phoneticPr fontId="1" type="noConversion"/>
  </si>
  <si>
    <t>火龙斗笠Lv.1(1星)</t>
  </si>
  <si>
    <t>火龙斗笠Lv.1(2星)</t>
  </si>
  <si>
    <t>火龙斗笠Lv.1(3星)</t>
  </si>
  <si>
    <t>火龙斗笠Lv.1(4星)</t>
  </si>
  <si>
    <t>火龙斗笠Lv.1(5星)</t>
  </si>
  <si>
    <t>火龙斗笠Lv.1(6星)</t>
  </si>
  <si>
    <t>火龙斗笠Lv.1(7星)</t>
  </si>
  <si>
    <t>火龙斗笠Lv.1(8星)</t>
  </si>
  <si>
    <t>火龙斗笠Lv.1(9星)</t>
  </si>
  <si>
    <t>火龙斗笠Lv.2(0星)</t>
    <phoneticPr fontId="1" type="noConversion"/>
  </si>
  <si>
    <t>火龙斗笠Lv.2(1星)</t>
    <phoneticPr fontId="1" type="noConversion"/>
  </si>
  <si>
    <t>火龙斗笠Lv.2(2星)</t>
  </si>
  <si>
    <t>火龙斗笠Lv.2(3星)</t>
  </si>
  <si>
    <t>火龙斗笠Lv.2(4星)</t>
  </si>
  <si>
    <t>火龙斗笠Lv.2(5星)</t>
  </si>
  <si>
    <t>火龙斗笠Lv.2(6星)</t>
  </si>
  <si>
    <t>火龙斗笠Lv.2(7星)</t>
  </si>
  <si>
    <t>火龙斗笠Lv.2(8星)</t>
  </si>
  <si>
    <t>火龙斗笠Lv.2(9星)</t>
  </si>
  <si>
    <t>火龙斗笠Lv.3(0星)</t>
  </si>
  <si>
    <t>火龙斗笠Lv.3(1星)</t>
  </si>
  <si>
    <t>火龙斗笠Lv.3(2星)</t>
  </si>
  <si>
    <t>火龙斗笠Lv.3(3星)</t>
  </si>
  <si>
    <t>火龙斗笠Lv.3(4星)</t>
  </si>
  <si>
    <t>火龙斗笠Lv.3(5星)</t>
  </si>
  <si>
    <t>火龙斗笠Lv.3(6星)</t>
  </si>
  <si>
    <t>火龙斗笠Lv.3(7星)</t>
  </si>
  <si>
    <t>火龙斗笠Lv.3(8星)</t>
    <phoneticPr fontId="1" type="noConversion"/>
  </si>
  <si>
    <t>火龙斗笠Lv.3(9星)</t>
  </si>
  <si>
    <t>火龙斗笠Lv.4(0星)</t>
  </si>
  <si>
    <t>火龙斗笠Lv.4(1星)</t>
  </si>
  <si>
    <t>火龙斗笠Lv.4(2星)</t>
  </si>
  <si>
    <t>火龙斗笠Lv.4(3星)</t>
  </si>
  <si>
    <t>火龙斗笠Lv.4(4星)</t>
  </si>
  <si>
    <t>火龙斗笠Lv.4(5星)</t>
    <phoneticPr fontId="1" type="noConversion"/>
  </si>
  <si>
    <t>火龙斗笠Lv.4(6星)</t>
  </si>
  <si>
    <t>火龙斗笠Lv.4(7星)</t>
  </si>
  <si>
    <t>火龙斗笠Lv.4(8星)</t>
  </si>
  <si>
    <t>火龙斗笠Lv.4(9星)</t>
  </si>
  <si>
    <t>火龙斗笠Lv.5(0星)</t>
  </si>
  <si>
    <t>火龙斗笠Lv.5(1星)</t>
  </si>
  <si>
    <t>火龙斗笠Lv.5(2星)</t>
  </si>
  <si>
    <t>火龙斗笠Lv.5(3星)</t>
  </si>
  <si>
    <t>火龙斗笠Lv.5(4星)</t>
  </si>
  <si>
    <t>火龙斗笠Lv.5(5星)</t>
  </si>
  <si>
    <t>火龙斗笠Lv.5(6星)</t>
  </si>
  <si>
    <t>火龙斗笠Lv.5(7星)</t>
  </si>
  <si>
    <t>火龙斗笠Lv.5(8星)</t>
  </si>
  <si>
    <t>火龙斗笠Lv.5(9星)</t>
  </si>
  <si>
    <t>火龙斗笠Lv.6(0星)</t>
  </si>
  <si>
    <t>火龙斗笠Lv.6(1星)</t>
  </si>
  <si>
    <t>火龙斗笠Lv.6(2星)</t>
  </si>
  <si>
    <t>火龙斗笠Lv.6(3星)</t>
  </si>
  <si>
    <t>火龙斗笠Lv.6(4星)</t>
  </si>
  <si>
    <t>火龙斗笠Lv.6(5星)</t>
  </si>
  <si>
    <t>火龙斗笠Lv.6(6星)</t>
  </si>
  <si>
    <t>火龙斗笠Lv.6(7星)</t>
  </si>
  <si>
    <t>火龙斗笠Lv.6(8星)</t>
  </si>
  <si>
    <t>火龙斗笠Lv.6(9星)</t>
  </si>
  <si>
    <t>火龙斗笠Lv.7(0星)</t>
  </si>
  <si>
    <t>火龙斗笠Lv.7(1星)</t>
    <phoneticPr fontId="1" type="noConversion"/>
  </si>
  <si>
    <t>火龙斗笠Lv.7(2星)</t>
  </si>
  <si>
    <t>火龙斗笠Lv.7(3星)</t>
  </si>
  <si>
    <t>火龙斗笠Lv.7(4星)</t>
  </si>
  <si>
    <t>火龙斗笠Lv.7(5星)</t>
  </si>
  <si>
    <t>火龙斗笠Lv.7(6星)</t>
  </si>
  <si>
    <t>火龙斗笠Lv.7(7星)</t>
  </si>
  <si>
    <t>火龙斗笠Lv.7(8星)</t>
  </si>
  <si>
    <t>火龙斗笠Lv.7(9星)</t>
  </si>
  <si>
    <t>火龙斗笠Lv.8(0星)</t>
  </si>
  <si>
    <t>火龙斗笠Lv.8(1星)</t>
  </si>
  <si>
    <t>火龙斗笠Lv.8(2星)</t>
  </si>
  <si>
    <t>火龙斗笠Lv.8(3星)</t>
  </si>
  <si>
    <t>火龙斗笠Lv.8(4星)</t>
    <phoneticPr fontId="1" type="noConversion"/>
  </si>
  <si>
    <t>火龙斗笠Lv.8(5星)</t>
  </si>
  <si>
    <t>火龙斗笠Lv.8(6星)</t>
  </si>
  <si>
    <t>火龙斗笠Lv.8(7星)</t>
  </si>
  <si>
    <t>火龙斗笠Lv.8(8星)</t>
  </si>
  <si>
    <t>火龙斗笠Lv.8(9星)</t>
  </si>
  <si>
    <t>火龙斗笠Lv.9(0星)</t>
  </si>
  <si>
    <t>火龙斗笠Lv.9(1星)</t>
  </si>
  <si>
    <t>火龙斗笠Lv.9(2星)</t>
  </si>
  <si>
    <t>火龙斗笠Lv.9(3星)</t>
  </si>
  <si>
    <t>火龙斗笠Lv.9(4星)</t>
  </si>
  <si>
    <t>火龙斗笠Lv.9(5星)</t>
  </si>
  <si>
    <t>火龙斗笠Lv.9(6星)</t>
  </si>
  <si>
    <t>火龙斗笠Lv.9(7星)</t>
  </si>
  <si>
    <t>火龙斗笠Lv.9(8星)</t>
  </si>
  <si>
    <t>火龙斗笠Lv.9(9星)</t>
  </si>
  <si>
    <t>火龙斗笠Lv.10(0星)</t>
  </si>
  <si>
    <t>火龙斗笠Lv.10(1星)</t>
  </si>
  <si>
    <t>火龙斗笠Lv.10(2星)</t>
  </si>
  <si>
    <t>火龙斗笠Lv.10(3星)</t>
  </si>
  <si>
    <t>火龙斗笠Lv.10(4星)</t>
  </si>
  <si>
    <t>火龙斗笠Lv.10(5星)</t>
  </si>
  <si>
    <t>火龙斗笠Lv.10(6星)</t>
  </si>
  <si>
    <t>火龙斗笠Lv.10(7星)</t>
    <phoneticPr fontId="1" type="noConversion"/>
  </si>
  <si>
    <t>火龙斗笠Lv.10(8星)</t>
    <phoneticPr fontId="1" type="noConversion"/>
  </si>
  <si>
    <t>火龙斗笠Lv.10(9星)</t>
  </si>
  <si>
    <t>灵玉</t>
    <phoneticPr fontId="1" type="noConversion"/>
  </si>
  <si>
    <t>灵藻·玉（无）</t>
    <phoneticPr fontId="1" type="noConversion"/>
  </si>
  <si>
    <t>灵藻·玉(0星)</t>
  </si>
  <si>
    <t>灵藻·玉(1星)</t>
  </si>
  <si>
    <t>灵藻·玉(2星)</t>
  </si>
  <si>
    <t>灵藻·玉(3星)</t>
  </si>
  <si>
    <t>灵藻·玉(4星)</t>
  </si>
  <si>
    <t>灵藻·玉(5星)</t>
  </si>
  <si>
    <t>灵藻·玉(6星)</t>
  </si>
  <si>
    <t>灵藻·玉(7星)</t>
  </si>
  <si>
    <t>灵藻·玉(8星)</t>
  </si>
  <si>
    <t>灵藻·玉(9星)</t>
  </si>
  <si>
    <t>青龙·玉(0星)</t>
  </si>
  <si>
    <t>青龙·玉(1星)</t>
  </si>
  <si>
    <t>青龙·玉(2星)</t>
  </si>
  <si>
    <t>青龙·玉(3星)</t>
  </si>
  <si>
    <t>青龙·玉(4星)</t>
  </si>
  <si>
    <t>青龙·玉(5星)</t>
  </si>
  <si>
    <t>青龙·玉(6星)</t>
  </si>
  <si>
    <t>青龙·玉(7星)</t>
  </si>
  <si>
    <t>青龙·玉(8星)</t>
  </si>
  <si>
    <t>青龙·玉(9星)</t>
  </si>
  <si>
    <t>玲珑·玉(0星)</t>
  </si>
  <si>
    <t>玲珑·玉(1星)</t>
  </si>
  <si>
    <t>玲珑·玉(2星)</t>
  </si>
  <si>
    <t>玲珑·玉(3星)</t>
  </si>
  <si>
    <t>玲珑·玉(4星)</t>
  </si>
  <si>
    <t>玲珑·玉(5星)</t>
  </si>
  <si>
    <t>玲珑·玉(6星)</t>
  </si>
  <si>
    <t>玲珑·玉(7星)</t>
  </si>
  <si>
    <t>玲珑·玉(8星)</t>
  </si>
  <si>
    <t>玲珑·玉(9星)</t>
  </si>
  <si>
    <t>通灵·玉(0星)</t>
  </si>
  <si>
    <t>通灵·玉(1星)</t>
  </si>
  <si>
    <t>通灵·玉(2星)</t>
  </si>
  <si>
    <t>通灵·玉(3星)</t>
  </si>
  <si>
    <t>通灵·玉(4星)</t>
  </si>
  <si>
    <t>通灵·玉(5星)</t>
  </si>
  <si>
    <t>通灵·玉(6星)</t>
  </si>
  <si>
    <t>通灵·玉(7星)</t>
  </si>
  <si>
    <t>通灵·玉(8星)</t>
  </si>
  <si>
    <t>通灵·玉(9星)</t>
  </si>
  <si>
    <t>七彩·玉(0星)</t>
  </si>
  <si>
    <t>七彩·玉(1星)</t>
  </si>
  <si>
    <t>七彩·玉(2星)</t>
  </si>
  <si>
    <t>七彩·玉(3星)</t>
  </si>
  <si>
    <t>七彩·玉(4星)</t>
  </si>
  <si>
    <t>七彩·玉(5星)</t>
  </si>
  <si>
    <t>七彩·玉(6星)</t>
  </si>
  <si>
    <t>七彩·玉(7星)</t>
  </si>
  <si>
    <t>七彩·玉(8星)</t>
  </si>
  <si>
    <t>七彩·玉(9星)</t>
  </si>
  <si>
    <t>九天霜华·玉(0星)</t>
  </si>
  <si>
    <t>九天霜华·玉(1星)</t>
  </si>
  <si>
    <t>九天霜华·玉(2星)</t>
  </si>
  <si>
    <t>九天霜华·玉(3星)</t>
  </si>
  <si>
    <t>九天霜华·玉(4星)</t>
  </si>
  <si>
    <t>九天霜华·玉(5星)</t>
  </si>
  <si>
    <t>九天霜华·玉(6星)</t>
  </si>
  <si>
    <t>九天霜华·玉(7星)</t>
  </si>
  <si>
    <t>九天霜华·玉(8星)</t>
  </si>
  <si>
    <t>九天霜华·玉(9星)</t>
  </si>
  <si>
    <t>凤舞凌烟·玉(0星)</t>
  </si>
  <si>
    <t>凤舞凌烟·玉(1星)</t>
  </si>
  <si>
    <t>凤舞凌烟·玉(2星)</t>
  </si>
  <si>
    <t>凤舞凌烟·玉(3星)</t>
  </si>
  <si>
    <t>凤舞凌烟·玉(4星)</t>
  </si>
  <si>
    <t>凤舞凌烟·玉(5星)</t>
  </si>
  <si>
    <t>凤舞凌烟·玉(6星)</t>
  </si>
  <si>
    <t>凤舞凌烟·玉(7星)</t>
  </si>
  <si>
    <t>凤舞凌烟·玉(8星)</t>
  </si>
  <si>
    <t>凤舞凌烟·玉(9星)</t>
  </si>
  <si>
    <t>流光绝影·玉(0星)</t>
  </si>
  <si>
    <t>流光绝影·玉(1星)</t>
  </si>
  <si>
    <t>流光绝影·玉(2星)</t>
  </si>
  <si>
    <t>流光绝影·玉(3星)</t>
  </si>
  <si>
    <t>流光绝影·玉(4星)</t>
  </si>
  <si>
    <t>流光绝影·玉(5星)</t>
  </si>
  <si>
    <t>流光绝影·玉(6星)</t>
  </si>
  <si>
    <t>流光绝影·玉(7星)</t>
  </si>
  <si>
    <t>流光绝影·玉(8星)</t>
  </si>
  <si>
    <t>流光绝影·玉(9星)</t>
  </si>
  <si>
    <t>碎梦传说·玉(0星)</t>
  </si>
  <si>
    <t>碎梦传说·玉(1星)</t>
  </si>
  <si>
    <t>碎梦传说·玉(2星)</t>
  </si>
  <si>
    <t>碎梦传说·玉(3星)</t>
  </si>
  <si>
    <t>碎梦传说·玉(4星)</t>
  </si>
  <si>
    <t>碎梦传说·玉(5星)</t>
  </si>
  <si>
    <t>碎梦传说·玉(6星)</t>
  </si>
  <si>
    <t>碎梦传说·玉(7星)</t>
  </si>
  <si>
    <t>碎梦传说·玉(8星)</t>
  </si>
  <si>
    <t>碎梦传说·玉(9星)</t>
  </si>
  <si>
    <t>千彩流光·玉(0星)</t>
  </si>
  <si>
    <t>千彩流光·玉(1星)</t>
  </si>
  <si>
    <t>千彩流光·玉(2星)</t>
  </si>
  <si>
    <t>千彩流光·玉(3星)</t>
  </si>
  <si>
    <t>千彩流光·玉(4星)</t>
  </si>
  <si>
    <t>千彩流光·玉(5星)</t>
  </si>
  <si>
    <t>千彩流光·玉(6星)</t>
  </si>
  <si>
    <t>千彩流光·玉(7星)</t>
  </si>
  <si>
    <t>千彩流光·玉(8星)</t>
  </si>
  <si>
    <t>千彩流光·玉(9星)</t>
  </si>
  <si>
    <t>盾牌</t>
    <phoneticPr fontId="1" type="noConversion"/>
  </si>
  <si>
    <t>火龙盾牌（无）</t>
    <phoneticPr fontId="1" type="noConversion"/>
  </si>
  <si>
    <t>火龙盾牌Lv.1(0星)</t>
  </si>
  <si>
    <t>火龙盾牌Lv.1(1星)</t>
  </si>
  <si>
    <t>火龙盾牌Lv.1(2星)</t>
  </si>
  <si>
    <t>火龙盾牌Lv.1(3星)</t>
  </si>
  <si>
    <t>火龙盾牌Lv.1(4星)</t>
  </si>
  <si>
    <t>火龙盾牌Lv.1(5星)</t>
  </si>
  <si>
    <t>火龙盾牌Lv.1(6星)</t>
  </si>
  <si>
    <t>火龙盾牌Lv.1(7星)</t>
  </si>
  <si>
    <t>火龙盾牌Lv.1(8星)</t>
  </si>
  <si>
    <t>火龙盾牌Lv.1(9星)</t>
  </si>
  <si>
    <t>火龙盾牌Lv.2(0星)</t>
  </si>
  <si>
    <t>火龙盾牌Lv.2(1星)</t>
  </si>
  <si>
    <t>火龙盾牌Lv.2(2星)</t>
  </si>
  <si>
    <t>火龙盾牌Lv.2(3星)</t>
  </si>
  <si>
    <t>火龙盾牌Lv.2(4星)</t>
  </si>
  <si>
    <t>火龙盾牌Lv.2(5星)</t>
  </si>
  <si>
    <t>火龙盾牌Lv.2(6星)</t>
  </si>
  <si>
    <t>火龙盾牌Lv.2(7星)</t>
  </si>
  <si>
    <t>火龙盾牌Lv.2(8星)</t>
  </si>
  <si>
    <t>火龙盾牌Lv.2(9星)</t>
  </si>
  <si>
    <t>火龙盾牌Lv.3(0星)</t>
  </si>
  <si>
    <t>火龙盾牌Lv.3(1星)</t>
  </si>
  <si>
    <t>火龙盾牌Lv.3(2星)</t>
  </si>
  <si>
    <t>火龙盾牌Lv.3(3星)</t>
  </si>
  <si>
    <t>火龙盾牌Lv.3(4星)</t>
  </si>
  <si>
    <t>火龙盾牌Lv.3(5星)</t>
  </si>
  <si>
    <t>火龙盾牌Lv.3(6星)</t>
  </si>
  <si>
    <t>火龙盾牌Lv.3(7星)</t>
  </si>
  <si>
    <t>火龙盾牌Lv.3(8星)</t>
  </si>
  <si>
    <t>火龙盾牌Lv.3(9星)</t>
  </si>
  <si>
    <t>火龙盾牌Lv.4(0星)</t>
  </si>
  <si>
    <t>火龙盾牌Lv.4(1星)</t>
  </si>
  <si>
    <t>火龙盾牌Lv.4(2星)</t>
  </si>
  <si>
    <t>火龙盾牌Lv.4(3星)</t>
  </si>
  <si>
    <t>火龙盾牌Lv.4(4星)</t>
  </si>
  <si>
    <t>火龙盾牌Lv.4(5星)</t>
  </si>
  <si>
    <t>火龙盾牌Lv.4(6星)</t>
  </si>
  <si>
    <t>火龙盾牌Lv.4(7星)</t>
  </si>
  <si>
    <t>火龙盾牌Lv.4(8星)</t>
  </si>
  <si>
    <t>火龙盾牌Lv.4(9星)</t>
  </si>
  <si>
    <t>火龙盾牌Lv.5(0星)</t>
  </si>
  <si>
    <t>火龙盾牌Lv.5(1星)</t>
  </si>
  <si>
    <t>火龙盾牌Lv.5(2星)</t>
  </si>
  <si>
    <t>火龙盾牌Lv.5(3星)</t>
  </si>
  <si>
    <t>火龙盾牌Lv.5(4星)</t>
  </si>
  <si>
    <t>火龙盾牌Lv.5(5星)</t>
  </si>
  <si>
    <t>火龙盾牌Lv.5(6星)</t>
  </si>
  <si>
    <t>火龙盾牌Lv.5(7星)</t>
  </si>
  <si>
    <t>火龙盾牌Lv.5(8星)</t>
  </si>
  <si>
    <t>火龙盾牌Lv.5(9星)</t>
  </si>
  <si>
    <t>火龙盾牌Lv.6(0星)</t>
  </si>
  <si>
    <t>火龙盾牌Lv.6(1星)</t>
  </si>
  <si>
    <t>火龙盾牌Lv.6(2星)</t>
  </si>
  <si>
    <t>火龙盾牌Lv.6(3星)</t>
  </si>
  <si>
    <t>火龙盾牌Lv.6(4星)</t>
  </si>
  <si>
    <t>火龙盾牌Lv.6(5星)</t>
  </si>
  <si>
    <t>火龙盾牌Lv.6(6星)</t>
  </si>
  <si>
    <t>火龙盾牌Lv.6(7星)</t>
  </si>
  <si>
    <t>火龙盾牌Lv.6(8星)</t>
  </si>
  <si>
    <t>火龙盾牌Lv.6(9星)</t>
  </si>
  <si>
    <t>火龙盾牌Lv.7(0星)</t>
  </si>
  <si>
    <t>火龙盾牌Lv.7(1星)</t>
  </si>
  <si>
    <t>火龙盾牌Lv.7(2星)</t>
  </si>
  <si>
    <t>火龙盾牌Lv.7(3星)</t>
  </si>
  <si>
    <t>火龙盾牌Lv.7(4星)</t>
  </si>
  <si>
    <t>火龙盾牌Lv.7(5星)</t>
  </si>
  <si>
    <t>火龙盾牌Lv.7(6星)</t>
  </si>
  <si>
    <t>火龙盾牌Lv.7(7星)</t>
  </si>
  <si>
    <t>火龙盾牌Lv.7(8星)</t>
  </si>
  <si>
    <t>火龙盾牌Lv.7(9星)</t>
  </si>
  <si>
    <t>火龙盾牌Lv.8(0星)</t>
  </si>
  <si>
    <t>火龙盾牌Lv.8(1星)</t>
  </si>
  <si>
    <t>火龙盾牌Lv.8(2星)</t>
  </si>
  <si>
    <t>火龙盾牌Lv.8(3星)</t>
  </si>
  <si>
    <t>火龙盾牌Lv.8(4星)</t>
  </si>
  <si>
    <t>火龙盾牌Lv.8(5星)</t>
  </si>
  <si>
    <t>火龙盾牌Lv.8(6星)</t>
  </si>
  <si>
    <t>火龙盾牌Lv.8(7星)</t>
  </si>
  <si>
    <t>火龙盾牌Lv.8(8星)</t>
  </si>
  <si>
    <t>火龙盾牌Lv.8(9星)</t>
  </si>
  <si>
    <t>火龙盾牌Lv.9(0星)</t>
  </si>
  <si>
    <t>火龙盾牌Lv.9(1星)</t>
  </si>
  <si>
    <t>火龙盾牌Lv.9(2星)</t>
  </si>
  <si>
    <t>火龙盾牌Lv.9(3星)</t>
  </si>
  <si>
    <t>火龙盾牌Lv.9(4星)</t>
  </si>
  <si>
    <t>火龙盾牌Lv.9(5星)</t>
  </si>
  <si>
    <t>火龙盾牌Lv.9(6星)</t>
  </si>
  <si>
    <t>火龙盾牌Lv.9(7星)</t>
  </si>
  <si>
    <t>火龙盾牌Lv.9(8星)</t>
  </si>
  <si>
    <t>火龙盾牌Lv.9(9星)</t>
  </si>
  <si>
    <t>火龙盾牌Lv.10(0星)</t>
  </si>
  <si>
    <t>火龙盾牌Lv.10(1星)</t>
  </si>
  <si>
    <t>火龙盾牌Lv.10(2星)</t>
  </si>
  <si>
    <t>火龙盾牌Lv.10(3星)</t>
  </si>
  <si>
    <t>火龙盾牌Lv.10(4星)</t>
  </si>
  <si>
    <t>火龙盾牌Lv.10(5星)</t>
  </si>
  <si>
    <t>火龙盾牌Lv.10(6星)</t>
  </si>
  <si>
    <t>火龙盾牌Lv.10(7星)</t>
  </si>
  <si>
    <t>火龙盾牌Lv.10(8星)</t>
  </si>
  <si>
    <t>火龙盾牌Lv.10(9星)</t>
  </si>
  <si>
    <t>宝珠</t>
    <phoneticPr fontId="1" type="noConversion"/>
  </si>
  <si>
    <t>裁决宝珠（无)</t>
    <phoneticPr fontId="1" type="noConversion"/>
  </si>
  <si>
    <t>裁决宝珠(0星)</t>
  </si>
  <si>
    <t>裁决宝珠(1星)</t>
  </si>
  <si>
    <t>裁决宝珠(2星)</t>
  </si>
  <si>
    <t>裁决宝珠(3星)</t>
  </si>
  <si>
    <t>裁决宝珠(4星)</t>
  </si>
  <si>
    <t>裁决宝珠(5星)</t>
  </si>
  <si>
    <t>裁决宝珠(6星)</t>
  </si>
  <si>
    <t>裁决宝珠(7星)</t>
  </si>
  <si>
    <t>裁决宝珠(8星)</t>
  </si>
  <si>
    <t>裁决宝珠(9星)</t>
  </si>
  <si>
    <t>王者宝珠(0星)</t>
  </si>
  <si>
    <t>王者宝珠(1星)</t>
  </si>
  <si>
    <t>王者宝珠(2星)</t>
  </si>
  <si>
    <t>王者宝珠(3星)</t>
  </si>
  <si>
    <t>王者宝珠(4星)</t>
  </si>
  <si>
    <t>王者宝珠(5星)</t>
  </si>
  <si>
    <t>王者宝珠(6星)</t>
  </si>
  <si>
    <t>王者宝珠(7星)</t>
  </si>
  <si>
    <t>王者宝珠(8星)</t>
  </si>
  <si>
    <t>王者宝珠(9星)</t>
  </si>
  <si>
    <t>狂徒宝珠(0星)</t>
  </si>
  <si>
    <t>狂徒宝珠(1星)</t>
  </si>
  <si>
    <t>狂徒宝珠(2星)</t>
  </si>
  <si>
    <t>狂徒宝珠(3星)</t>
  </si>
  <si>
    <t>狂徒宝珠(4星)</t>
  </si>
  <si>
    <t>狂徒宝珠(5星)</t>
  </si>
  <si>
    <t>狂徒宝珠(6星)</t>
  </si>
  <si>
    <t>狂徒宝珠(7星)</t>
  </si>
  <si>
    <t>狂徒宝珠(8星)</t>
  </si>
  <si>
    <t>狂徒宝珠(9星)</t>
  </si>
  <si>
    <t>赤焰宝珠(0星)</t>
  </si>
  <si>
    <t>赤焰宝珠(1星)</t>
  </si>
  <si>
    <t>赤焰宝珠(2星)</t>
  </si>
  <si>
    <t>赤焰宝珠(3星)</t>
  </si>
  <si>
    <t>赤焰宝珠(4星)</t>
  </si>
  <si>
    <t>赤焰宝珠(5星)</t>
  </si>
  <si>
    <t>赤焰宝珠(6星)</t>
  </si>
  <si>
    <t>赤焰宝珠(7星)</t>
  </si>
  <si>
    <t>赤焰宝珠(8星)</t>
  </si>
  <si>
    <t>赤焰宝珠(9星)</t>
  </si>
  <si>
    <t>传说宝珠(0星)</t>
  </si>
  <si>
    <t>传说宝珠(1星)</t>
  </si>
  <si>
    <t>传说宝珠(2星)</t>
  </si>
  <si>
    <t>传说宝珠(3星)</t>
  </si>
  <si>
    <t>传说宝珠(4星)</t>
  </si>
  <si>
    <t>传说宝珠(5星)</t>
  </si>
  <si>
    <t>传说宝珠(6星)</t>
  </si>
  <si>
    <t>传说宝珠(7星)</t>
  </si>
  <si>
    <t>传说宝珠(8星)</t>
  </si>
  <si>
    <t>传说宝珠(9星)</t>
  </si>
  <si>
    <t>黄金宝珠(0星)</t>
  </si>
  <si>
    <t>黄金宝珠(1星)</t>
  </si>
  <si>
    <t>黄金宝珠(2星)</t>
  </si>
  <si>
    <t>黄金宝珠(3星)</t>
  </si>
  <si>
    <t>黄金宝珠(4星)</t>
  </si>
  <si>
    <t>黄金宝珠(5星)</t>
  </si>
  <si>
    <t>黄金宝珠(6星)</t>
  </si>
  <si>
    <t>黄金宝珠(7星)</t>
  </si>
  <si>
    <t>黄金宝珠(8星)</t>
  </si>
  <si>
    <t>黄金宝珠(9星)</t>
  </si>
  <si>
    <t>雄霸宝珠(0星)</t>
  </si>
  <si>
    <t>雄霸宝珠(1星)</t>
  </si>
  <si>
    <t>雄霸宝珠(2星)</t>
  </si>
  <si>
    <t>雄霸宝珠(3星)</t>
  </si>
  <si>
    <t>雄霸宝珠(4星)</t>
  </si>
  <si>
    <t>雄霸宝珠(5星)</t>
  </si>
  <si>
    <t>雄霸宝珠(6星)</t>
  </si>
  <si>
    <t>雄霸宝珠(7星)</t>
  </si>
  <si>
    <t>雄霸宝珠(8星)</t>
  </si>
  <si>
    <t>雄霸宝珠(9星)</t>
  </si>
  <si>
    <t>天之宝珠(0星)</t>
  </si>
  <si>
    <t>天之宝珠(1星)</t>
  </si>
  <si>
    <t>天之宝珠(2星)</t>
  </si>
  <si>
    <t>天之宝珠(3星)</t>
  </si>
  <si>
    <t>天之宝珠(4星)</t>
  </si>
  <si>
    <t>天之宝珠(5星)</t>
  </si>
  <si>
    <t>天之宝珠(6星)</t>
  </si>
  <si>
    <t>天之宝珠(7星)</t>
  </si>
  <si>
    <t>天之宝珠(8星)</t>
  </si>
  <si>
    <t>天之宝珠(9星)</t>
  </si>
  <si>
    <t>龙腾宝珠(0星)</t>
  </si>
  <si>
    <t>龙腾宝珠(1星)</t>
  </si>
  <si>
    <t>龙腾宝珠(2星)</t>
  </si>
  <si>
    <t>龙腾宝珠(3星)</t>
  </si>
  <si>
    <t>龙腾宝珠(4星)</t>
  </si>
  <si>
    <t>龙腾宝珠(5星)</t>
  </si>
  <si>
    <t>龙腾宝珠(6星)</t>
  </si>
  <si>
    <t>龙腾宝珠(7星)</t>
  </si>
  <si>
    <t>龙腾宝珠(8星)</t>
  </si>
  <si>
    <t>龙腾宝珠(9星)</t>
  </si>
  <si>
    <t>火龙宝珠(0星)</t>
  </si>
  <si>
    <t>火龙宝珠(1星)</t>
  </si>
  <si>
    <t>火龙宝珠(2星)</t>
  </si>
  <si>
    <t>火龙宝珠(3星)</t>
  </si>
  <si>
    <t>火龙宝珠(4星)</t>
  </si>
  <si>
    <t>火龙宝珠(5星)</t>
  </si>
  <si>
    <t>火龙宝珠(6星)</t>
  </si>
  <si>
    <t>火龙宝珠(7星)</t>
  </si>
  <si>
    <t>火龙宝珠(8星)</t>
  </si>
  <si>
    <t>火龙宝珠(9星)</t>
  </si>
  <si>
    <t>属性分配</t>
    <phoneticPr fontId="1" type="noConversion"/>
  </si>
  <si>
    <t>属性总和</t>
    <phoneticPr fontId="1" type="noConversion"/>
  </si>
  <si>
    <t>HPMP%</t>
    <phoneticPr fontId="1" type="noConversion"/>
  </si>
  <si>
    <t>物魔防%</t>
    <phoneticPr fontId="1" type="noConversion"/>
  </si>
  <si>
    <t>攻魔道%</t>
    <phoneticPr fontId="1" type="noConversion"/>
  </si>
  <si>
    <t>回血回蓝</t>
    <phoneticPr fontId="1" type="noConversion"/>
  </si>
  <si>
    <t>成长子类3</t>
  </si>
  <si>
    <t>特戒</t>
  </si>
  <si>
    <t>复活戒指①</t>
  </si>
  <si>
    <t>复活戒指①*3</t>
    <phoneticPr fontId="1" type="noConversion"/>
  </si>
  <si>
    <t>复活戒指②</t>
    <phoneticPr fontId="1" type="noConversion"/>
  </si>
  <si>
    <t>复活戒指②*3</t>
    <phoneticPr fontId="1" type="noConversion"/>
  </si>
  <si>
    <t>复活戒指③</t>
    <phoneticPr fontId="1" type="noConversion"/>
  </si>
  <si>
    <t>复活戒指③*3</t>
    <phoneticPr fontId="1" type="noConversion"/>
  </si>
  <si>
    <t>复活戒指④</t>
    <phoneticPr fontId="1" type="noConversion"/>
  </si>
  <si>
    <t>复活戒指④*3</t>
    <phoneticPr fontId="1" type="noConversion"/>
  </si>
  <si>
    <t>复活戒指⑤</t>
    <phoneticPr fontId="1" type="noConversion"/>
  </si>
  <si>
    <t>复活戒指⑤*3</t>
    <phoneticPr fontId="1" type="noConversion"/>
  </si>
  <si>
    <t>复活戒指⑥</t>
    <phoneticPr fontId="1" type="noConversion"/>
  </si>
  <si>
    <t>复活戒指⑥*3</t>
    <phoneticPr fontId="1" type="noConversion"/>
  </si>
  <si>
    <t>复活戒指⑦</t>
    <phoneticPr fontId="1" type="noConversion"/>
  </si>
  <si>
    <t>复活戒指⑦*3</t>
    <phoneticPr fontId="1" type="noConversion"/>
  </si>
  <si>
    <t>复活戒指⑧</t>
    <phoneticPr fontId="1" type="noConversion"/>
  </si>
  <si>
    <t>复活戒指⑧*3</t>
    <phoneticPr fontId="1" type="noConversion"/>
  </si>
  <si>
    <t>复活戒指⑨</t>
    <phoneticPr fontId="1" type="noConversion"/>
  </si>
  <si>
    <t>复活戒指⑨*3</t>
    <phoneticPr fontId="1" type="noConversion"/>
  </si>
  <si>
    <t>终极复活戒指</t>
  </si>
  <si>
    <t>麻痹戒指①</t>
    <phoneticPr fontId="1" type="noConversion"/>
  </si>
  <si>
    <t>麻痹戒指①*3</t>
    <phoneticPr fontId="1" type="noConversion"/>
  </si>
  <si>
    <t>麻痹戒指②</t>
  </si>
  <si>
    <t>麻痹戒指②*3</t>
    <phoneticPr fontId="1" type="noConversion"/>
  </si>
  <si>
    <t>麻痹戒指③</t>
  </si>
  <si>
    <t>麻痹戒指③*3</t>
    <phoneticPr fontId="1" type="noConversion"/>
  </si>
  <si>
    <t>麻痹戒指④</t>
  </si>
  <si>
    <t>麻痹戒指④*3</t>
    <phoneticPr fontId="1" type="noConversion"/>
  </si>
  <si>
    <t>麻痹戒指⑤</t>
  </si>
  <si>
    <t>麻痹戒指⑤*3</t>
    <phoneticPr fontId="1" type="noConversion"/>
  </si>
  <si>
    <t>麻痹戒指⑥</t>
    <phoneticPr fontId="1" type="noConversion"/>
  </si>
  <si>
    <t>麻痹戒指⑥*3</t>
    <phoneticPr fontId="1" type="noConversion"/>
  </si>
  <si>
    <t>麻痹戒指⑦</t>
  </si>
  <si>
    <t>麻痹戒指⑦*3</t>
    <phoneticPr fontId="1" type="noConversion"/>
  </si>
  <si>
    <t>麻痹戒指⑧</t>
    <phoneticPr fontId="1" type="noConversion"/>
  </si>
  <si>
    <t>麻痹戒指⑧*3</t>
    <phoneticPr fontId="1" type="noConversion"/>
  </si>
  <si>
    <t>麻痹戒指⑨</t>
  </si>
  <si>
    <t>麻痹戒指⑨*3</t>
    <phoneticPr fontId="1" type="noConversion"/>
  </si>
  <si>
    <t>终极麻痹戒指</t>
  </si>
  <si>
    <t>护身戒指①</t>
    <phoneticPr fontId="1" type="noConversion"/>
  </si>
  <si>
    <t>护身戒指①*3</t>
    <phoneticPr fontId="1" type="noConversion"/>
  </si>
  <si>
    <t>护身戒指②</t>
  </si>
  <si>
    <t>护身戒指②*3</t>
    <phoneticPr fontId="1" type="noConversion"/>
  </si>
  <si>
    <t>护身戒指③</t>
  </si>
  <si>
    <t>护身戒指③*3</t>
    <phoneticPr fontId="1" type="noConversion"/>
  </si>
  <si>
    <t>护身戒指④</t>
  </si>
  <si>
    <t>护身戒指④*3</t>
    <phoneticPr fontId="1" type="noConversion"/>
  </si>
  <si>
    <t>护身戒指⑤</t>
  </si>
  <si>
    <t>护身戒指⑤*3</t>
    <phoneticPr fontId="1" type="noConversion"/>
  </si>
  <si>
    <t>护身戒指⑥</t>
  </si>
  <si>
    <t>护身戒指⑥*3</t>
    <phoneticPr fontId="1" type="noConversion"/>
  </si>
  <si>
    <t>护身戒指⑦</t>
  </si>
  <si>
    <t>护身戒指⑦*3</t>
    <phoneticPr fontId="1" type="noConversion"/>
  </si>
  <si>
    <t>护身戒指⑧</t>
  </si>
  <si>
    <t>护身戒指⑧*3</t>
    <phoneticPr fontId="1" type="noConversion"/>
  </si>
  <si>
    <t>护身戒指⑨</t>
  </si>
  <si>
    <t>护身戒指⑨*3</t>
    <phoneticPr fontId="1" type="noConversion"/>
  </si>
  <si>
    <t>终极护身戒指</t>
  </si>
  <si>
    <t>特戒</t>
    <phoneticPr fontId="1" type="noConversion"/>
  </si>
  <si>
    <t>星座装备</t>
    <phoneticPr fontId="1" type="noConversion"/>
  </si>
  <si>
    <t>辅星</t>
    <phoneticPr fontId="1" type="noConversion"/>
  </si>
  <si>
    <t>辅星【白羊座②】</t>
  </si>
  <si>
    <t>辅星【白羊座③】</t>
  </si>
  <si>
    <t>辅星【白羊座④】</t>
    <phoneticPr fontId="1" type="noConversion"/>
  </si>
  <si>
    <t>辅星【白羊座⑤】</t>
    <phoneticPr fontId="1" type="noConversion"/>
  </si>
  <si>
    <t>辅星【白羊座⑥】</t>
    <phoneticPr fontId="1" type="noConversion"/>
  </si>
  <si>
    <t>辅星【白羊座⑦】</t>
    <phoneticPr fontId="1" type="noConversion"/>
  </si>
  <si>
    <t>辅星【白羊座⑧】</t>
    <phoneticPr fontId="1" type="noConversion"/>
  </si>
  <si>
    <t>辅星【白羊座⑨】</t>
    <phoneticPr fontId="1" type="noConversion"/>
  </si>
  <si>
    <t>辅星【白羊座⑩】</t>
    <phoneticPr fontId="1" type="noConversion"/>
  </si>
  <si>
    <t>辅星【金牛座①】</t>
  </si>
  <si>
    <t>辅星【金牛座②】</t>
  </si>
  <si>
    <t>辅星【金牛座③】</t>
  </si>
  <si>
    <t>辅星【金牛座④】</t>
  </si>
  <si>
    <t>辅星【金牛座⑤】</t>
  </si>
  <si>
    <t>辅星【金牛座⑥】</t>
  </si>
  <si>
    <t>辅星【金牛座⑦】</t>
  </si>
  <si>
    <t>辅星【金牛座⑧】</t>
  </si>
  <si>
    <t>辅星【金牛座⑨】</t>
  </si>
  <si>
    <t>辅星【金牛座⑩】</t>
  </si>
  <si>
    <t>辅星【双子座①】</t>
  </si>
  <si>
    <t>辅星【双子座②】</t>
  </si>
  <si>
    <t>辅星【双子座③】</t>
  </si>
  <si>
    <t>辅星【双子座④】</t>
  </si>
  <si>
    <t>辅星【双子座⑤】</t>
  </si>
  <si>
    <t>辅星【双子座⑥】</t>
  </si>
  <si>
    <t>辅星【双子座⑦】</t>
  </si>
  <si>
    <t>辅星【双子座⑧】</t>
  </si>
  <si>
    <t>辅星【双子座⑨】</t>
  </si>
  <si>
    <t>辅星【双子座⑩】</t>
  </si>
  <si>
    <t>辅星【巨蟹座①】</t>
  </si>
  <si>
    <t>辅星【巨蟹座②】</t>
  </si>
  <si>
    <t>辅星【巨蟹座③】</t>
  </si>
  <si>
    <t>辅星【巨蟹座④】</t>
  </si>
  <si>
    <t>辅星【巨蟹座⑤】</t>
  </si>
  <si>
    <t>辅星【巨蟹座⑥】</t>
  </si>
  <si>
    <t>辅星【巨蟹座⑦】</t>
  </si>
  <si>
    <t>辅星【巨蟹座⑧】</t>
  </si>
  <si>
    <t>辅星【巨蟹座⑨】</t>
  </si>
  <si>
    <t>辅星【巨蟹座⑩】</t>
  </si>
  <si>
    <t>辅星【狮子座①】</t>
  </si>
  <si>
    <t>辅星【狮子座②】</t>
  </si>
  <si>
    <t>辅星【狮子座③】</t>
  </si>
  <si>
    <t>辅星【狮子座④】</t>
  </si>
  <si>
    <t>辅星【狮子座⑤】</t>
  </si>
  <si>
    <t>辅星【狮子座⑥】</t>
  </si>
  <si>
    <t>辅星【狮子座⑦】</t>
  </si>
  <si>
    <t>辅星【狮子座⑧】</t>
  </si>
  <si>
    <t>辅星【狮子座⑨】</t>
  </si>
  <si>
    <t>辅星【狮子座⑩】</t>
  </si>
  <si>
    <t>辅星【处女座①】</t>
  </si>
  <si>
    <t>辅星【处女座②】</t>
  </si>
  <si>
    <t>辅星【处女座③】</t>
    <phoneticPr fontId="1" type="noConversion"/>
  </si>
  <si>
    <t>辅星【处女座④】</t>
  </si>
  <si>
    <t>辅星【处女座⑤】</t>
  </si>
  <si>
    <t>辅星【处女座⑥】</t>
  </si>
  <si>
    <t>辅星【处女座⑦】</t>
  </si>
  <si>
    <t>辅星【处女座⑧】</t>
  </si>
  <si>
    <t>辅星【处女座⑨】</t>
  </si>
  <si>
    <t>辅星【处女座⑩】</t>
  </si>
  <si>
    <t>辅星【天秤座①】</t>
  </si>
  <si>
    <t>辅星【天秤座②】</t>
  </si>
  <si>
    <t>辅星【天秤座③】</t>
  </si>
  <si>
    <t>辅星【天秤座④】</t>
  </si>
  <si>
    <t>辅星【天秤座⑤】</t>
  </si>
  <si>
    <t>辅星【天秤座⑥】</t>
  </si>
  <si>
    <t>辅星【天秤座⑦】</t>
  </si>
  <si>
    <t>辅星【天秤座⑧】</t>
  </si>
  <si>
    <t>辅星【天秤座⑨】</t>
  </si>
  <si>
    <t>辅星【天秤座⑩】</t>
  </si>
  <si>
    <t>辅星【天蝎座①】</t>
  </si>
  <si>
    <t>辅星【天蝎座②】</t>
  </si>
  <si>
    <t>辅星【天蝎座③】</t>
  </si>
  <si>
    <t>辅星【天蝎座④】</t>
  </si>
  <si>
    <t>辅星【天蝎座⑤】</t>
  </si>
  <si>
    <t>辅星【天蝎座⑥】</t>
  </si>
  <si>
    <t>辅星【天蝎座⑦】</t>
  </si>
  <si>
    <t>辅星【天蝎座⑧】</t>
  </si>
  <si>
    <t>辅星【天蝎座⑨】</t>
  </si>
  <si>
    <t>辅星【天蝎座⑩】</t>
  </si>
  <si>
    <t>辅星【射手座①】</t>
  </si>
  <si>
    <t>辅星【射手座②】</t>
  </si>
  <si>
    <t>辅星【射手座③】</t>
  </si>
  <si>
    <t>辅星【射手座④】</t>
  </si>
  <si>
    <t>辅星【射手座⑤】</t>
  </si>
  <si>
    <t>辅星【射手座⑥】</t>
  </si>
  <si>
    <t>辅星【射手座⑦】</t>
  </si>
  <si>
    <t>辅星【射手座⑧】</t>
  </si>
  <si>
    <t>辅星【射手座⑨】</t>
  </si>
  <si>
    <t>辅星【射手座⑩】</t>
  </si>
  <si>
    <t>辅星【摩羯座①】</t>
  </si>
  <si>
    <t>辅星【摩羯座②】</t>
  </si>
  <si>
    <t>辅星【摩羯座③】</t>
  </si>
  <si>
    <t>辅星【摩羯座④】</t>
  </si>
  <si>
    <t>辅星【摩羯座⑤】</t>
  </si>
  <si>
    <t>辅星【摩羯座⑥】</t>
  </si>
  <si>
    <t>辅星【摩羯座⑦】</t>
  </si>
  <si>
    <t>辅星【摩羯座⑧】</t>
  </si>
  <si>
    <t>辅星【摩羯座⑨】</t>
  </si>
  <si>
    <t>辅星【摩羯座⑩】</t>
  </si>
  <si>
    <t>辅星【水瓶座①】</t>
  </si>
  <si>
    <t>辅星【水瓶座②】</t>
  </si>
  <si>
    <t>辅星【水瓶座③】</t>
  </si>
  <si>
    <t>辅星【水瓶座④】</t>
  </si>
  <si>
    <t>辅星【水瓶座⑤】</t>
  </si>
  <si>
    <t>辅星【水瓶座⑥】</t>
  </si>
  <si>
    <t>辅星【水瓶座⑦】</t>
  </si>
  <si>
    <t>辅星【水瓶座⑧】</t>
  </si>
  <si>
    <t>辅星【水瓶座⑨】</t>
  </si>
  <si>
    <t>辅星【水瓶座⑩】</t>
  </si>
  <si>
    <t>辅星【双鱼座①】</t>
  </si>
  <si>
    <t>辅星【双鱼座②】</t>
  </si>
  <si>
    <t>辅星【双鱼座③】</t>
  </si>
  <si>
    <t>辅星【双鱼座④】</t>
  </si>
  <si>
    <t>辅星【双鱼座⑤】</t>
  </si>
  <si>
    <t>辅星【双鱼座⑥】</t>
  </si>
  <si>
    <t>辅星【双鱼座⑦】</t>
  </si>
  <si>
    <t>辅星【双鱼座⑧】</t>
  </si>
  <si>
    <t>辅星【双鱼座⑨】</t>
  </si>
  <si>
    <t>辅星【双鱼座⑩】</t>
  </si>
  <si>
    <t>主星</t>
    <phoneticPr fontId="1" type="noConversion"/>
  </si>
  <si>
    <t>主星【白羊座①】</t>
  </si>
  <si>
    <t>主星【白羊座②】</t>
  </si>
  <si>
    <t>主星【白羊座③】</t>
  </si>
  <si>
    <t>主星【白羊座④】</t>
  </si>
  <si>
    <t>主星【白羊座⑤】</t>
  </si>
  <si>
    <t>主星【白羊座⑥】</t>
  </si>
  <si>
    <t>主星【白羊座⑦】</t>
  </si>
  <si>
    <t>主星【白羊座⑧】</t>
  </si>
  <si>
    <t>主星【白羊座⑨】</t>
  </si>
  <si>
    <t>主星【白羊座⑩】</t>
  </si>
  <si>
    <t>主星【金牛座①】</t>
  </si>
  <si>
    <t>主星【金牛座②】</t>
  </si>
  <si>
    <t>主星【金牛座③】</t>
  </si>
  <si>
    <t>主星【金牛座④】</t>
  </si>
  <si>
    <t>主星【金牛座⑤】</t>
  </si>
  <si>
    <t>主星【金牛座⑥】</t>
  </si>
  <si>
    <t>主星【金牛座⑦】</t>
  </si>
  <si>
    <t>主星【金牛座⑧】</t>
  </si>
  <si>
    <t>主星【金牛座⑨】</t>
  </si>
  <si>
    <t>主星【金牛座⑩】</t>
  </si>
  <si>
    <t>主星【双子座①】</t>
  </si>
  <si>
    <t>主星【双子座②】</t>
  </si>
  <si>
    <t>主星【双子座③】</t>
  </si>
  <si>
    <t>主星【双子座④】</t>
  </si>
  <si>
    <t>主星【双子座⑤】</t>
  </si>
  <si>
    <t>主星【双子座⑥】</t>
  </si>
  <si>
    <t>主星【双子座⑦】</t>
  </si>
  <si>
    <t>主星【双子座⑧】</t>
  </si>
  <si>
    <t>主星【双子座⑨】</t>
  </si>
  <si>
    <t>主星【双子座⑩】</t>
  </si>
  <si>
    <t>主星【巨蟹座①】</t>
  </si>
  <si>
    <t>主星【巨蟹座②】</t>
  </si>
  <si>
    <t>主星【巨蟹座③】</t>
  </si>
  <si>
    <t>主星【巨蟹座④】</t>
  </si>
  <si>
    <t>主星【巨蟹座⑤】</t>
  </si>
  <si>
    <t>主星【巨蟹座⑥】</t>
  </si>
  <si>
    <t>主星【巨蟹座⑦】</t>
  </si>
  <si>
    <t>主星【巨蟹座⑧】</t>
  </si>
  <si>
    <t>主星【巨蟹座⑨】</t>
  </si>
  <si>
    <t>主星【巨蟹座⑩】</t>
  </si>
  <si>
    <t>主星【狮子座①】</t>
  </si>
  <si>
    <t>主星【狮子座②】</t>
  </si>
  <si>
    <t>主星【狮子座③】</t>
  </si>
  <si>
    <t>主星【狮子座④】</t>
  </si>
  <si>
    <t>主星【狮子座⑤】</t>
  </si>
  <si>
    <t>主星【狮子座⑥】</t>
  </si>
  <si>
    <t>主星【狮子座⑦】</t>
  </si>
  <si>
    <t>主星【狮子座⑧】</t>
  </si>
  <si>
    <t>主星【狮子座⑨】</t>
  </si>
  <si>
    <t>主星【狮子座⑩】</t>
  </si>
  <si>
    <t>主星【处女座①】</t>
  </si>
  <si>
    <t>主星【处女座②】</t>
  </si>
  <si>
    <t>主星【处女座③】</t>
  </si>
  <si>
    <t>主星【处女座④】</t>
  </si>
  <si>
    <t>主星【处女座⑤】</t>
  </si>
  <si>
    <t>主星【处女座⑥】</t>
  </si>
  <si>
    <t>主星【处女座⑦】</t>
  </si>
  <si>
    <t>主星【处女座⑧】</t>
  </si>
  <si>
    <t>主星【处女座⑨】</t>
  </si>
  <si>
    <t>主星【处女座⑩】</t>
  </si>
  <si>
    <t>主星【天秤座①】</t>
  </si>
  <si>
    <t>主星【天秤座②】</t>
  </si>
  <si>
    <t>主星【天秤座③】</t>
  </si>
  <si>
    <t>主星【天秤座④】</t>
  </si>
  <si>
    <t>主星【天秤座⑤】</t>
  </si>
  <si>
    <t>主星【天秤座⑥】</t>
  </si>
  <si>
    <t>主星【天秤座⑦】</t>
  </si>
  <si>
    <t>主星【天秤座⑧】</t>
  </si>
  <si>
    <t>主星【天秤座⑨】</t>
  </si>
  <si>
    <t>主星【天秤座⑩】</t>
  </si>
  <si>
    <t>主星【天蝎座①】</t>
  </si>
  <si>
    <t>主星【天蝎座②】</t>
  </si>
  <si>
    <t>主星【天蝎座③】</t>
  </si>
  <si>
    <t>主星【天蝎座④】</t>
  </si>
  <si>
    <t>主星【天蝎座⑤】</t>
  </si>
  <si>
    <t>主星【天蝎座⑥】</t>
  </si>
  <si>
    <t>主星【天蝎座⑦】</t>
  </si>
  <si>
    <t>主星【天蝎座⑧】</t>
  </si>
  <si>
    <t>主星【天蝎座⑨】</t>
  </si>
  <si>
    <t>主星【天蝎座⑩】</t>
  </si>
  <si>
    <t>主星【射手座①】</t>
  </si>
  <si>
    <t>主星【射手座②】</t>
  </si>
  <si>
    <t>主星【射手座③】</t>
  </si>
  <si>
    <t>主星【射手座④】</t>
  </si>
  <si>
    <t>主星【射手座⑤】</t>
  </si>
  <si>
    <t>主星【射手座⑥】</t>
  </si>
  <si>
    <t>主星【射手座⑦】</t>
  </si>
  <si>
    <t>主星【射手座⑧】</t>
  </si>
  <si>
    <t>主星【射手座⑨】</t>
  </si>
  <si>
    <t>主星【射手座⑩】</t>
  </si>
  <si>
    <t>主星【摩羯座①】</t>
  </si>
  <si>
    <t>主星【摩羯座②】</t>
  </si>
  <si>
    <t>主星【摩羯座③】</t>
  </si>
  <si>
    <t>主星【摩羯座④】</t>
  </si>
  <si>
    <t>主星【摩羯座⑤】</t>
  </si>
  <si>
    <t>主星【摩羯座⑥】</t>
  </si>
  <si>
    <t>主星【摩羯座⑦】</t>
  </si>
  <si>
    <t>主星【摩羯座⑧】</t>
  </si>
  <si>
    <t>主星【摩羯座⑨】</t>
  </si>
  <si>
    <t>主星【摩羯座⑩】</t>
  </si>
  <si>
    <t>主星【水瓶座①】</t>
  </si>
  <si>
    <t>主星【水瓶座②】</t>
  </si>
  <si>
    <t>主星【水瓶座③】</t>
  </si>
  <si>
    <t>主星【水瓶座④】</t>
  </si>
  <si>
    <t>主星【水瓶座⑤】</t>
  </si>
  <si>
    <t>主星【水瓶座⑥】</t>
  </si>
  <si>
    <t>主星【水瓶座⑦】</t>
  </si>
  <si>
    <t>主星【水瓶座⑧】</t>
  </si>
  <si>
    <t>主星【水瓶座⑨】</t>
  </si>
  <si>
    <t>主星【水瓶座⑩】</t>
  </si>
  <si>
    <t>主星【双鱼座①】</t>
  </si>
  <si>
    <t>主星【双鱼座②】</t>
  </si>
  <si>
    <t>主星【双鱼座③】</t>
  </si>
  <si>
    <t>主星【双鱼座④】</t>
  </si>
  <si>
    <t>主星【双鱼座⑤】</t>
  </si>
  <si>
    <t>主星【双鱼座⑥】</t>
  </si>
  <si>
    <t>主星【双鱼座⑦】</t>
  </si>
  <si>
    <t>主星【双鱼座⑧】</t>
  </si>
  <si>
    <t>主星【双鱼座⑨】</t>
  </si>
  <si>
    <t>主星【双鱼座⑩】</t>
  </si>
  <si>
    <t>辅星【白羊座①】</t>
    <phoneticPr fontId="1" type="noConversion"/>
  </si>
  <si>
    <t>对怪伤害%</t>
    <phoneticPr fontId="1" type="noConversion"/>
  </si>
  <si>
    <t>爆装率%</t>
    <phoneticPr fontId="1" type="noConversion"/>
  </si>
  <si>
    <t>受怪减伤%</t>
    <phoneticPr fontId="1" type="noConversion"/>
  </si>
  <si>
    <t>HP加成%</t>
    <phoneticPr fontId="1" type="noConversion"/>
  </si>
  <si>
    <t>物伤减免%</t>
    <phoneticPr fontId="1" type="noConversion"/>
  </si>
  <si>
    <t>魔伤减免%</t>
    <phoneticPr fontId="1" type="noConversion"/>
  </si>
  <si>
    <t>MP加成%</t>
    <phoneticPr fontId="1" type="noConversion"/>
  </si>
  <si>
    <t>暴击率%</t>
    <phoneticPr fontId="1" type="noConversion"/>
  </si>
  <si>
    <t>伤害反弹%</t>
    <phoneticPr fontId="1" type="noConversion"/>
  </si>
  <si>
    <t>成功概率%</t>
    <phoneticPr fontId="1" type="noConversion"/>
  </si>
  <si>
    <t>0星</t>
    <phoneticPr fontId="1" type="noConversion"/>
  </si>
  <si>
    <t>1星</t>
    <phoneticPr fontId="1" type="noConversion"/>
  </si>
  <si>
    <t>2星</t>
  </si>
  <si>
    <t>3星</t>
  </si>
  <si>
    <t>4星</t>
  </si>
  <si>
    <t>5星</t>
  </si>
  <si>
    <t>6星</t>
  </si>
  <si>
    <t>7星</t>
  </si>
  <si>
    <t>8星</t>
  </si>
  <si>
    <t>9星</t>
  </si>
  <si>
    <t>10星</t>
  </si>
  <si>
    <t>11星</t>
  </si>
  <si>
    <t>12星</t>
  </si>
  <si>
    <t>13星</t>
  </si>
  <si>
    <t>14星</t>
  </si>
  <si>
    <t>15星</t>
  </si>
  <si>
    <t>16星</t>
  </si>
  <si>
    <t>17星</t>
  </si>
  <si>
    <t>18星</t>
  </si>
  <si>
    <t>19星</t>
  </si>
  <si>
    <t>20星</t>
  </si>
  <si>
    <t>21星</t>
  </si>
  <si>
    <t>22星</t>
  </si>
  <si>
    <t>23星</t>
  </si>
  <si>
    <t>24星</t>
  </si>
  <si>
    <t>25星</t>
  </si>
  <si>
    <t>26星</t>
  </si>
  <si>
    <t>27星</t>
  </si>
  <si>
    <t>28星</t>
  </si>
  <si>
    <t>29星</t>
  </si>
  <si>
    <t>30星</t>
  </si>
  <si>
    <t>31星</t>
  </si>
  <si>
    <t>32星</t>
  </si>
  <si>
    <t>33星</t>
  </si>
  <si>
    <t>34星</t>
  </si>
  <si>
    <t>35星</t>
  </si>
  <si>
    <t>36星</t>
  </si>
  <si>
    <t>37星</t>
  </si>
  <si>
    <t>38星</t>
  </si>
  <si>
    <t>39星</t>
  </si>
  <si>
    <t>攻击</t>
  </si>
  <si>
    <t>单件攻击</t>
    <phoneticPr fontId="1" type="noConversion"/>
  </si>
  <si>
    <t>曲线修正</t>
    <phoneticPr fontId="1" type="noConversion"/>
  </si>
  <si>
    <t>结果单件攻击</t>
    <phoneticPr fontId="1" type="noConversion"/>
  </si>
  <si>
    <t>运算结果</t>
    <phoneticPr fontId="1" type="noConversion"/>
  </si>
  <si>
    <t>注：下攻为攻击的一半取整</t>
    <phoneticPr fontId="1" type="noConversion"/>
  </si>
  <si>
    <t>全身装备注灵等级要求</t>
    <phoneticPr fontId="1" type="noConversion"/>
  </si>
  <si>
    <t>武器装备注灵</t>
    <phoneticPr fontId="1" type="noConversion"/>
  </si>
  <si>
    <t>注灵套装</t>
    <phoneticPr fontId="1" type="noConversion"/>
  </si>
  <si>
    <t>注灵套装0</t>
    <phoneticPr fontId="1" type="noConversion"/>
  </si>
  <si>
    <t>1阶</t>
    <phoneticPr fontId="1" type="noConversion"/>
  </si>
  <si>
    <t>注灵套装1</t>
    <phoneticPr fontId="1" type="noConversion"/>
  </si>
  <si>
    <t>2阶</t>
    <phoneticPr fontId="1" type="noConversion"/>
  </si>
  <si>
    <t>注灵套装2</t>
  </si>
  <si>
    <t>3阶</t>
    <phoneticPr fontId="1" type="noConversion"/>
  </si>
  <si>
    <t>注灵套装3</t>
  </si>
  <si>
    <t>4阶</t>
  </si>
  <si>
    <t>注灵套装4</t>
  </si>
  <si>
    <t>5阶</t>
  </si>
  <si>
    <t>注灵套装5</t>
  </si>
  <si>
    <t>6阶</t>
  </si>
  <si>
    <t>注灵套装6</t>
  </si>
  <si>
    <t>7阶</t>
  </si>
  <si>
    <t>注灵套装7</t>
  </si>
  <si>
    <t>8阶</t>
  </si>
  <si>
    <t>注灵套装8</t>
  </si>
  <si>
    <t>9阶</t>
  </si>
  <si>
    <t>10阶</t>
  </si>
  <si>
    <t>11阶</t>
  </si>
  <si>
    <t>12阶</t>
  </si>
  <si>
    <t>13阶</t>
  </si>
  <si>
    <t>14阶</t>
  </si>
  <si>
    <t>15阶</t>
  </si>
  <si>
    <t>武器高级装备注灵</t>
    <phoneticPr fontId="1" type="noConversion"/>
  </si>
  <si>
    <t>16阶</t>
  </si>
  <si>
    <t>17阶</t>
  </si>
  <si>
    <t>18阶</t>
  </si>
  <si>
    <t>19阶</t>
  </si>
  <si>
    <t>20阶</t>
  </si>
  <si>
    <t>21阶</t>
  </si>
  <si>
    <t>22阶</t>
  </si>
  <si>
    <t>23阶</t>
  </si>
  <si>
    <t>24阶</t>
  </si>
  <si>
    <t>25阶</t>
  </si>
  <si>
    <t>26阶</t>
  </si>
  <si>
    <t>27阶</t>
  </si>
  <si>
    <t>28阶</t>
  </si>
  <si>
    <t>29阶</t>
  </si>
  <si>
    <t>30阶</t>
  </si>
  <si>
    <t>31阶</t>
  </si>
  <si>
    <t>32阶</t>
  </si>
  <si>
    <t>33阶</t>
  </si>
  <si>
    <t>34阶</t>
  </si>
  <si>
    <t>35阶</t>
  </si>
  <si>
    <t>36阶</t>
  </si>
  <si>
    <t>37阶</t>
  </si>
  <si>
    <t>38阶</t>
  </si>
  <si>
    <t>39阶</t>
  </si>
  <si>
    <t>40阶</t>
  </si>
  <si>
    <t>41阶</t>
  </si>
  <si>
    <t>42阶</t>
  </si>
  <si>
    <t>43阶</t>
  </si>
  <si>
    <t>44阶</t>
  </si>
  <si>
    <t>45阶</t>
  </si>
  <si>
    <t>衣服装备注灵</t>
  </si>
  <si>
    <t>中品注灵石2/元宝10000</t>
  </si>
  <si>
    <t>中品注灵石8/元宝20000</t>
  </si>
  <si>
    <t>中品注灵石12/元宝40000</t>
  </si>
  <si>
    <t>中品注灵石16/元宝60000</t>
  </si>
  <si>
    <t>中品注灵石30/元宝80000</t>
  </si>
  <si>
    <t>中品注灵石36/元宝100000</t>
  </si>
  <si>
    <t>中品注灵石56/元宝120000</t>
  </si>
  <si>
    <t>中品注灵石80/元宝150000</t>
  </si>
  <si>
    <t>中品注灵石126/元宝180000</t>
  </si>
  <si>
    <t>中品注灵石160/元宝220000</t>
  </si>
  <si>
    <t>中品注灵石220/元宝250000</t>
  </si>
  <si>
    <t>中品注灵石264/元宝300000</t>
  </si>
  <si>
    <t>中品注灵石338/元宝400000</t>
  </si>
  <si>
    <t>中品注灵石420/元宝500000</t>
  </si>
  <si>
    <t>中品注灵石480/元宝600000</t>
  </si>
  <si>
    <t>衣服高级装备注灵</t>
  </si>
  <si>
    <t>头盔装备注灵</t>
  </si>
  <si>
    <t>头盔高级装备注灵</t>
  </si>
  <si>
    <t>项链装备注灵</t>
  </si>
  <si>
    <t>项链高级装备注灵</t>
  </si>
  <si>
    <t>勋章装备注灵</t>
  </si>
  <si>
    <t>勋章高级装备注灵</t>
  </si>
  <si>
    <t>手镯1装备注灵</t>
  </si>
  <si>
    <t>手镯1高级装备注灵</t>
  </si>
  <si>
    <t>手镯2装备注灵</t>
  </si>
  <si>
    <t>手镯2高级装备注灵</t>
  </si>
  <si>
    <t>戒指1装备注灵</t>
  </si>
  <si>
    <t>戒指1高级装备注灵</t>
  </si>
  <si>
    <t>戒指2装备注灵</t>
  </si>
  <si>
    <t>戒指2高级装备注灵</t>
  </si>
  <si>
    <t>腰带装备注灵</t>
  </si>
  <si>
    <t>腰带高级装备注灵</t>
  </si>
  <si>
    <t>靴子装备注灵</t>
  </si>
  <si>
    <t>靴子高级装备注灵</t>
  </si>
  <si>
    <t>注灵生命值</t>
    <phoneticPr fontId="1" type="noConversion"/>
  </si>
  <si>
    <t>注灵攻击</t>
    <phoneticPr fontId="1" type="noConversion"/>
  </si>
  <si>
    <t>注灵防御</t>
    <phoneticPr fontId="1" type="noConversion"/>
  </si>
  <si>
    <t>套装生命值</t>
    <phoneticPr fontId="1" type="noConversion"/>
  </si>
  <si>
    <t>套装攻击</t>
    <phoneticPr fontId="1" type="noConversion"/>
  </si>
  <si>
    <t>套装防御</t>
    <phoneticPr fontId="1" type="noConversion"/>
  </si>
  <si>
    <t>总生命值</t>
    <phoneticPr fontId="1" type="noConversion"/>
  </si>
  <si>
    <t>总攻击</t>
    <phoneticPr fontId="1" type="noConversion"/>
  </si>
  <si>
    <t>总防御</t>
    <phoneticPr fontId="1" type="noConversion"/>
  </si>
  <si>
    <t>修正后</t>
    <phoneticPr fontId="1" type="noConversion"/>
  </si>
  <si>
    <t>元神天赋</t>
    <phoneticPr fontId="1" type="noConversion"/>
  </si>
  <si>
    <t>嗜血</t>
    <phoneticPr fontId="1" type="noConversion"/>
  </si>
  <si>
    <t>火龙气息1/元宝3000</t>
    <phoneticPr fontId="1" type="noConversion"/>
  </si>
  <si>
    <t>火龙气息1/元宝3000</t>
  </si>
  <si>
    <t>穿杨</t>
    <phoneticPr fontId="1" type="noConversion"/>
  </si>
  <si>
    <t>强化</t>
    <phoneticPr fontId="1" type="noConversion"/>
  </si>
  <si>
    <t>精准</t>
    <phoneticPr fontId="1" type="noConversion"/>
  </si>
  <si>
    <t>强身</t>
    <phoneticPr fontId="1" type="noConversion"/>
  </si>
  <si>
    <t>火龙元神点</t>
    <phoneticPr fontId="1" type="noConversion"/>
  </si>
  <si>
    <t>HP</t>
    <phoneticPr fontId="1" type="noConversion"/>
  </si>
  <si>
    <t>MP</t>
    <phoneticPr fontId="1" type="noConversion"/>
  </si>
  <si>
    <t>注：需要修改脚本内文本描述</t>
    <phoneticPr fontId="1" type="noConversion"/>
  </si>
  <si>
    <t>天赋属性</t>
    <phoneticPr fontId="1" type="noConversion"/>
  </si>
  <si>
    <t>总属性</t>
    <phoneticPr fontId="1" type="noConversion"/>
  </si>
  <si>
    <t>套装属性</t>
    <phoneticPr fontId="1" type="noConversion"/>
  </si>
  <si>
    <t>天尊洗炼</t>
    <phoneticPr fontId="1" type="noConversion"/>
  </si>
  <si>
    <t>武器洗炼</t>
    <phoneticPr fontId="1" type="noConversion"/>
  </si>
  <si>
    <t>11转武器</t>
    <phoneticPr fontId="1" type="noConversion"/>
  </si>
  <si>
    <t>12转武器</t>
    <phoneticPr fontId="1" type="noConversion"/>
  </si>
  <si>
    <t>13转武器</t>
    <phoneticPr fontId="1" type="noConversion"/>
  </si>
  <si>
    <t>14转武器</t>
    <phoneticPr fontId="1" type="noConversion"/>
  </si>
  <si>
    <t>15转武器</t>
    <phoneticPr fontId="1" type="noConversion"/>
  </si>
  <si>
    <t>16转武器</t>
    <phoneticPr fontId="1" type="noConversion"/>
  </si>
  <si>
    <t>17转武器</t>
    <phoneticPr fontId="1" type="noConversion"/>
  </si>
  <si>
    <t>18转武器</t>
    <phoneticPr fontId="1" type="noConversion"/>
  </si>
  <si>
    <t>19转武器</t>
    <phoneticPr fontId="1" type="noConversion"/>
  </si>
  <si>
    <t>20转武器</t>
    <phoneticPr fontId="1" type="noConversion"/>
  </si>
  <si>
    <t>衣服洗炼</t>
  </si>
  <si>
    <t>11转衣服</t>
  </si>
  <si>
    <t>12转衣服</t>
  </si>
  <si>
    <t>13转衣服</t>
  </si>
  <si>
    <t>14转衣服</t>
  </si>
  <si>
    <t>15转衣服</t>
  </si>
  <si>
    <t>16转衣服</t>
  </si>
  <si>
    <t>17转衣服</t>
  </si>
  <si>
    <t>18转衣服</t>
  </si>
  <si>
    <t>19转衣服</t>
  </si>
  <si>
    <t>20转衣服</t>
  </si>
  <si>
    <t>头盔洗炼</t>
  </si>
  <si>
    <t>11转头盔</t>
  </si>
  <si>
    <t>12转头盔</t>
  </si>
  <si>
    <t>13转头盔</t>
  </si>
  <si>
    <t>14转头盔</t>
  </si>
  <si>
    <t>15转头盔</t>
  </si>
  <si>
    <t>16转头盔</t>
  </si>
  <si>
    <t>17转头盔</t>
  </si>
  <si>
    <t>18转头盔</t>
  </si>
  <si>
    <t>19转头盔</t>
  </si>
  <si>
    <t>20转头盔</t>
  </si>
  <si>
    <t>项链洗炼</t>
  </si>
  <si>
    <t>11转项链</t>
  </si>
  <si>
    <t>12转项链</t>
  </si>
  <si>
    <t>13转项链</t>
  </si>
  <si>
    <t>14转项链</t>
  </si>
  <si>
    <t>15转项链</t>
  </si>
  <si>
    <t>16转项链</t>
  </si>
  <si>
    <t>17转项链</t>
  </si>
  <si>
    <t>18转项链</t>
  </si>
  <si>
    <t>19转项链</t>
  </si>
  <si>
    <t>20转项链</t>
  </si>
  <si>
    <t>手镯洗炼</t>
  </si>
  <si>
    <t>11转手镯</t>
  </si>
  <si>
    <t>12转手镯</t>
  </si>
  <si>
    <t>13转手镯</t>
  </si>
  <si>
    <t>14转手镯</t>
  </si>
  <si>
    <t>15转手镯</t>
  </si>
  <si>
    <t>16转手镯</t>
  </si>
  <si>
    <t>17转手镯</t>
  </si>
  <si>
    <t>18转手镯</t>
  </si>
  <si>
    <t>19转手镯</t>
  </si>
  <si>
    <t>20转手镯</t>
  </si>
  <si>
    <t>戒指洗炼</t>
  </si>
  <si>
    <t>11转戒指</t>
  </si>
  <si>
    <t>12转戒指</t>
  </si>
  <si>
    <t>13转戒指</t>
  </si>
  <si>
    <t>14转戒指</t>
  </si>
  <si>
    <t>15转戒指</t>
  </si>
  <si>
    <t>16转戒指</t>
  </si>
  <si>
    <t>17转戒指</t>
  </si>
  <si>
    <t>18转戒指</t>
  </si>
  <si>
    <t>19转戒指</t>
  </si>
  <si>
    <t>20转戒指</t>
  </si>
  <si>
    <t>腰带洗炼</t>
  </si>
  <si>
    <t>11转腰带</t>
  </si>
  <si>
    <t>12转腰带</t>
  </si>
  <si>
    <t>13转腰带</t>
  </si>
  <si>
    <t>14转腰带</t>
  </si>
  <si>
    <t>15转腰带</t>
  </si>
  <si>
    <t>16转腰带</t>
  </si>
  <si>
    <t>17转腰带</t>
  </si>
  <si>
    <t>18转腰带</t>
  </si>
  <si>
    <t>19转腰带</t>
  </si>
  <si>
    <t>20转腰带</t>
  </si>
  <si>
    <t>靴子洗炼</t>
  </si>
  <si>
    <t>11转靴子</t>
  </si>
  <si>
    <t>12转靴子</t>
  </si>
  <si>
    <t>13转靴子</t>
  </si>
  <si>
    <t>14转靴子</t>
  </si>
  <si>
    <t>15转靴子</t>
  </si>
  <si>
    <t>16转靴子</t>
  </si>
  <si>
    <t>17转靴子</t>
  </si>
  <si>
    <t>18转靴子</t>
  </si>
  <si>
    <t>19转靴子</t>
  </si>
  <si>
    <t>20转靴子</t>
  </si>
  <si>
    <t>勋章洗炼</t>
  </si>
  <si>
    <t>11转勋章</t>
  </si>
  <si>
    <t>12转勋章</t>
  </si>
  <si>
    <t>13转勋章</t>
  </si>
  <si>
    <t>14转勋章</t>
  </si>
  <si>
    <t>15转勋章</t>
  </si>
  <si>
    <t>16转勋章</t>
  </si>
  <si>
    <t>17转勋章</t>
  </si>
  <si>
    <t>18转勋章</t>
  </si>
  <si>
    <t>19转勋章</t>
  </si>
  <si>
    <t>20转勋章</t>
  </si>
  <si>
    <t>手动调整1</t>
    <phoneticPr fontId="1" type="noConversion"/>
  </si>
  <si>
    <t>手动调整2</t>
    <phoneticPr fontId="1" type="noConversion"/>
  </si>
  <si>
    <t>攻击结果</t>
    <phoneticPr fontId="1" type="noConversion"/>
  </si>
  <si>
    <t>防御结果</t>
    <phoneticPr fontId="1" type="noConversion"/>
  </si>
  <si>
    <t>单件防御</t>
    <phoneticPr fontId="1" type="noConversion"/>
  </si>
  <si>
    <t>火龙真体</t>
  </si>
  <si>
    <t>吸血100|忽视防御1|暴击率1|伤害加成1|爆装率1|防御加成100|魔防加成100|HP加成1</t>
  </si>
  <si>
    <t>傲视群雄</t>
  </si>
  <si>
    <t>HP加成1|MP加成1|上攻18|魔上18|道上18|暴击率1|伤害加成1|忽视防御1|吸血100</t>
  </si>
  <si>
    <t>[傲视群雄]：HPMP + 1%攻魔道上限 + 18暴击几率 + 1%忽视防御 + 1%吸血 + 1%伤害加成 + 1%</t>
  </si>
  <si>
    <t>超凡入圣</t>
  </si>
  <si>
    <t>HP加成1|MP加成1|上攻12|魔上12|道上12|伤害反弹1|吸血100</t>
  </si>
  <si>
    <t>[超凡入圣]：HPMP + 1%攻魔道上限 + 12伤害反弹 + 1%吸血 + 1%</t>
  </si>
  <si>
    <t>登峰造极</t>
  </si>
  <si>
    <t>HP加成1|MP加成1|上攻12|魔上12|道上12|物伤减免1|魔伤减免1</t>
  </si>
  <si>
    <t>[登峰造极]：HPMP + 1%攻魔道上限 + 12物理伤害减免 + 1%魔法伤害减免 + 1%</t>
    <phoneticPr fontId="1" type="noConversion"/>
  </si>
  <si>
    <t>巅峰之人</t>
  </si>
  <si>
    <t>HP加成1|MP加成1|上攻12|魔上12|道上12|暴击率1|忽视防御1</t>
  </si>
  <si>
    <t>[巅峰之人]：HPMP + 1%攻魔道上限 + 12暴击几率 + 1%忽视防御 + 1%</t>
    <phoneticPr fontId="1" type="noConversion"/>
  </si>
  <si>
    <t>唯我独尊</t>
  </si>
  <si>
    <t>HP加成1|MP加成1|上攻18|魔上18|道上18|上防9|上魔防9|伤害加成1</t>
  </si>
  <si>
    <t>[唯我独尊]：HPMP + 1%攻魔道 + 18物防魔防上限 + 9伤害加成 + 1%</t>
    <phoneticPr fontId="1" type="noConversion"/>
  </si>
  <si>
    <t>武林至尊</t>
  </si>
  <si>
    <t>HP加成1|MP加成1|上攻10|魔上10|道上10</t>
  </si>
  <si>
    <t>[武林至尊]：HPMP + 1%\攻魔道上限 + 10</t>
    <phoneticPr fontId="1" type="noConversion"/>
  </si>
  <si>
    <t>最强王者</t>
  </si>
  <si>
    <t>HP加成2|MP加成2|上攻20|魔上20|道上20|吸血100</t>
  </si>
  <si>
    <t>[最强王者]：武林至尊进阶称号\使用后自动替换武林至尊\HPMP + 2%\攻魔道上限 + 20\吸血 + 1%\暴击 + 1%\</t>
    <phoneticPr fontId="1" type="noConversion"/>
  </si>
  <si>
    <t>君临天下</t>
  </si>
  <si>
    <t>[君临天下]：HPMP + 1%\攻魔道上限 + 12\伤害反弹 + 1%\吸血 + 1%</t>
    <phoneticPr fontId="1" type="noConversion"/>
  </si>
  <si>
    <t>修正后攻击</t>
    <phoneticPr fontId="1" type="noConversion"/>
  </si>
  <si>
    <t>火红</t>
    <phoneticPr fontId="1" type="noConversion"/>
  </si>
  <si>
    <t>冰凝</t>
    <phoneticPr fontId="1" type="noConversion"/>
  </si>
  <si>
    <t>暗青</t>
    <phoneticPr fontId="1" type="noConversion"/>
  </si>
  <si>
    <t>苍茫</t>
    <phoneticPr fontId="1" type="noConversion"/>
  </si>
  <si>
    <t>金魄</t>
    <phoneticPr fontId="1" type="noConversion"/>
  </si>
  <si>
    <t>爆伤</t>
    <phoneticPr fontId="1" type="noConversion"/>
  </si>
  <si>
    <t>特殊属性</t>
    <phoneticPr fontId="1" type="noConversion"/>
  </si>
  <si>
    <t>伤害减免</t>
    <phoneticPr fontId="1" type="noConversion"/>
  </si>
  <si>
    <t>伤害反弹</t>
    <phoneticPr fontId="1" type="noConversion"/>
  </si>
  <si>
    <t>暴击几率</t>
    <phoneticPr fontId="1" type="noConversion"/>
  </si>
  <si>
    <t>防御加成%</t>
    <phoneticPr fontId="1" type="noConversion"/>
  </si>
  <si>
    <t>攻击吸血</t>
    <phoneticPr fontId="1" type="noConversion"/>
  </si>
  <si>
    <t>忽视防御</t>
    <phoneticPr fontId="1" type="noConversion"/>
  </si>
  <si>
    <t>血量加成</t>
    <phoneticPr fontId="1" type="noConversion"/>
  </si>
  <si>
    <t>闪避</t>
    <phoneticPr fontId="1" type="noConversion"/>
  </si>
  <si>
    <t>HP%</t>
    <phoneticPr fontId="1" type="noConversion"/>
  </si>
  <si>
    <t>MP%</t>
    <phoneticPr fontId="1" type="noConversion"/>
  </si>
  <si>
    <t>物防%</t>
    <phoneticPr fontId="1" type="noConversion"/>
  </si>
  <si>
    <t>魔防%</t>
    <phoneticPr fontId="1" type="noConversion"/>
  </si>
  <si>
    <t>吸血抵抗</t>
    <phoneticPr fontId="1" type="noConversion"/>
  </si>
  <si>
    <t>回血</t>
    <phoneticPr fontId="1" type="noConversion"/>
  </si>
  <si>
    <t>回蓝</t>
    <phoneticPr fontId="1" type="noConversion"/>
  </si>
  <si>
    <t>爆装率</t>
    <phoneticPr fontId="1" type="noConversion"/>
  </si>
  <si>
    <t>额外投放属性统计</t>
    <phoneticPr fontId="1" type="noConversion"/>
  </si>
  <si>
    <t>等级减伤修正</t>
    <phoneticPr fontId="1" type="noConversion"/>
  </si>
  <si>
    <t>等级输出修正</t>
    <phoneticPr fontId="1" type="noConversion"/>
  </si>
  <si>
    <t>怪物属性（掉落配置小怪1倍，精英10倍，统领50倍，首领100倍，BOSS200倍）</t>
    <phoneticPr fontId="1" type="noConversion"/>
  </si>
  <si>
    <t>//;ver</t>
  </si>
  <si>
    <t>怪物名称</t>
  </si>
  <si>
    <t>行为代码</t>
  </si>
  <si>
    <t>攻击代码</t>
  </si>
  <si>
    <t>怪物形象</t>
  </si>
  <si>
    <t>怪物等级</t>
  </si>
  <si>
    <t>是否为不死系</t>
  </si>
  <si>
    <t>是否主动攻击(百分比反隐形范围,并和等级有关)</t>
  </si>
  <si>
    <t>经验值</t>
  </si>
  <si>
    <t>属性 (参考装备表,或查看说明书)</t>
  </si>
  <si>
    <t>敏捷/躲避</t>
  </si>
  <si>
    <t>攻击命中率/数字越大命中率越高</t>
  </si>
  <si>
    <t>移动速度（数字越小越快）</t>
  </si>
  <si>
    <t>行走步伐（数字越大越快）</t>
  </si>
  <si>
    <t>行走等待时间（数字越小越快）</t>
  </si>
  <si>
    <t>攻击速度间隔（数字越小越快）</t>
  </si>
  <si>
    <t>怪物特殊属性</t>
  </si>
  <si>
    <t>颜色（0~255）</t>
  </si>
  <si>
    <t>回血间隔(毫秒)
填写-1为怪物不回血</t>
  </si>
  <si>
    <t>怪物类型
(1=普通怪物 2=精英 3=BOSS)
用于客户端左上角任务栏-怪物列表
进入视野优先显示怪物在列表中</t>
  </si>
  <si>
    <t>视野范围
0或不填，默认视野</t>
  </si>
  <si>
    <t>掉落类型
0 ：仅判断是否有归属可以捡取
1，自由捡取
2，行会拾取
3，无归属捡取（有捡取时间限制）
4，掉落物品仅归属自己</t>
  </si>
  <si>
    <t>是否可被人物穿 
默认不可以 1=可以</t>
  </si>
  <si>
    <t>是否是boss</t>
  </si>
  <si>
    <t>出生点守护范围</t>
  </si>
  <si>
    <t>自定义字符串 
对应常量：&lt;$CURRMONPARAM(XX)&gt; XX=怪物名称</t>
  </si>
  <si>
    <t>自定义怪物配置(配套自定义怪物攻击表：cfg_monattack.xls) 
格式：参数1|参数2|参数3|参数4
参数1：自定义怪物表ID (多个用#分割)
参数2：怪物走动模式(0=走路怪物 1=不可移动 2=石化 3=瞬移 4=瞬移跟随)
参数3：躲避距离（0=不躲避，&gt;0=与目标在此距离内后退）
参数4：是否无敌(0或空=正常，1=无敌) 
无敌参考配置:12|0|0|1</t>
  </si>
  <si>
    <t>大血条头像ID
空或0，不开启怪物大血条
id:1对应00001.png
路径res\private\main_monster_ui\monster
官方提供5个头像，自定义从id6开始，自行填补头像png</t>
  </si>
  <si>
    <t>隐藏怪物名字和血条
格式：名字#血条 (0=显示,1=隐藏)
只隐藏名字：1#0
只隐藏血条：0#1
隐藏名字和血条：1#1</t>
  </si>
  <si>
    <t>//;IDX</t>
  </si>
  <si>
    <t>Name</t>
  </si>
  <si>
    <t>Race</t>
  </si>
  <si>
    <t>RaceImg</t>
  </si>
  <si>
    <t>Appr</t>
  </si>
  <si>
    <t>Lvl</t>
  </si>
  <si>
    <t>Undead</t>
  </si>
  <si>
    <t>CoolEye</t>
  </si>
  <si>
    <t>Exp</t>
  </si>
  <si>
    <t>Attribute</t>
  </si>
  <si>
    <t>SPEED</t>
  </si>
  <si>
    <t>HIT</t>
  </si>
  <si>
    <t>WALK_SPD</t>
  </si>
  <si>
    <t>WALKSTEP</t>
  </si>
  <si>
    <t>WALKWAIT</t>
  </si>
  <si>
    <t>ATTACK_SPD</t>
  </si>
  <si>
    <t>Color</t>
  </si>
  <si>
    <t>RehealthCd</t>
  </si>
  <si>
    <t>Type</t>
  </si>
  <si>
    <t>ViewRange</t>
  </si>
  <si>
    <t>DropType</t>
  </si>
  <si>
    <t>Through</t>
  </si>
  <si>
    <t>boIsBoss</t>
  </si>
  <si>
    <t>GuardRange</t>
  </si>
  <si>
    <t>zidingyi</t>
  </si>
  <si>
    <t>Custommonster</t>
  </si>
  <si>
    <t>nBigTips</t>
  </si>
  <si>
    <t>Hide</t>
  </si>
  <si>
    <t>//;怪物IDX</t>
    <phoneticPr fontId="1" type="noConversion"/>
  </si>
  <si>
    <t>//小怪属性</t>
    <phoneticPr fontId="1" type="noConversion"/>
  </si>
  <si>
    <t>//精英属性</t>
    <phoneticPr fontId="1" type="noConversion"/>
  </si>
  <si>
    <t>//统领属性</t>
    <phoneticPr fontId="1" type="noConversion"/>
  </si>
  <si>
    <t>//首领属性</t>
    <phoneticPr fontId="1" type="noConversion"/>
  </si>
  <si>
    <t>//BOSS属性</t>
    <phoneticPr fontId="1" type="noConversion"/>
  </si>
  <si>
    <t>附件合成</t>
    <phoneticPr fontId="1" type="noConversion"/>
  </si>
  <si>
    <t>配置系数：</t>
    <phoneticPr fontId="1" type="noConversion"/>
  </si>
  <si>
    <t>已配置数值参考</t>
    <phoneticPr fontId="1" type="noConversion"/>
  </si>
  <si>
    <t>本表全部为100%说明所有属性都已分配</t>
    <phoneticPr fontId="1" type="noConversion"/>
  </si>
  <si>
    <t>养成时间</t>
    <phoneticPr fontId="1" type="noConversion"/>
  </si>
  <si>
    <t>阶段时间/h</t>
    <phoneticPr fontId="1" type="noConversion"/>
  </si>
  <si>
    <t>转生等级</t>
    <phoneticPr fontId="1" type="noConversion"/>
  </si>
  <si>
    <t>产出数量</t>
    <phoneticPr fontId="1" type="noConversion"/>
  </si>
  <si>
    <t>材料名称</t>
    <phoneticPr fontId="1" type="noConversion"/>
  </si>
  <si>
    <t>火龙凭证</t>
    <phoneticPr fontId="1" type="noConversion"/>
  </si>
  <si>
    <t>经验</t>
    <phoneticPr fontId="1" type="noConversion"/>
  </si>
  <si>
    <t>元宝</t>
    <phoneticPr fontId="1" type="noConversion"/>
  </si>
  <si>
    <t>声望</t>
    <phoneticPr fontId="1" type="noConversion"/>
  </si>
  <si>
    <t>转生精华</t>
    <phoneticPr fontId="1" type="noConversion"/>
  </si>
  <si>
    <t>洗髓丹</t>
  </si>
  <si>
    <t>龍の魄</t>
  </si>
  <si>
    <t>龍の心</t>
  </si>
  <si>
    <t>恶魔头颅</t>
  </si>
  <si>
    <t>龙晶碎片</t>
    <phoneticPr fontId="1" type="noConversion"/>
  </si>
  <si>
    <t>特戒装备</t>
    <phoneticPr fontId="1" type="noConversion"/>
  </si>
  <si>
    <t>凡品升星石</t>
  </si>
  <si>
    <t>仙品升星石</t>
    <phoneticPr fontId="1" type="noConversion"/>
  </si>
  <si>
    <t>神品升星石</t>
    <phoneticPr fontId="1" type="noConversion"/>
  </si>
  <si>
    <t>中品注灵石</t>
    <phoneticPr fontId="1" type="noConversion"/>
  </si>
  <si>
    <t>上品注灵石</t>
    <phoneticPr fontId="1" type="noConversion"/>
  </si>
  <si>
    <t>极品注灵石</t>
    <phoneticPr fontId="1" type="noConversion"/>
  </si>
  <si>
    <t>火龙气息</t>
    <phoneticPr fontId="1" type="noConversion"/>
  </si>
  <si>
    <t>火龙精魄</t>
  </si>
  <si>
    <t>烈焰玄铁</t>
  </si>
  <si>
    <t>火龙币</t>
    <phoneticPr fontId="1" type="noConversion"/>
  </si>
  <si>
    <t>武器碎片</t>
    <phoneticPr fontId="1" type="noConversion"/>
  </si>
  <si>
    <t>衣服碎片</t>
    <phoneticPr fontId="1" type="noConversion"/>
  </si>
  <si>
    <t>防具碎片</t>
    <phoneticPr fontId="1" type="noConversion"/>
  </si>
  <si>
    <t>神器图纸</t>
    <phoneticPr fontId="1" type="noConversion"/>
  </si>
  <si>
    <t>首饰碎片</t>
    <phoneticPr fontId="1" type="noConversion"/>
  </si>
  <si>
    <t>养成阶段</t>
    <phoneticPr fontId="1" type="noConversion"/>
  </si>
  <si>
    <t>总和</t>
    <phoneticPr fontId="1" type="noConversion"/>
  </si>
  <si>
    <t>1500000000000</t>
    <phoneticPr fontId="1" type="noConversion"/>
  </si>
  <si>
    <t>属性总价值</t>
    <phoneticPr fontId="1" type="noConversion"/>
  </si>
  <si>
    <t>道士召唤兽</t>
    <phoneticPr fontId="1" type="noConversion"/>
  </si>
  <si>
    <t>属性</t>
    <phoneticPr fontId="1" type="noConversion"/>
  </si>
  <si>
    <t>价值</t>
    <phoneticPr fontId="1" type="noConversion"/>
  </si>
  <si>
    <t>判断伤害属性（物理魔法）</t>
    <phoneticPr fontId="1" type="noConversion"/>
  </si>
  <si>
    <t>判断不暴击</t>
    <phoneticPr fontId="1" type="noConversion"/>
  </si>
  <si>
    <t>{[avg(上攻+下攻)-avg(上防+下防)]*（1+伤害加成/100-伤害减免/100）=伤害值</t>
    <phoneticPr fontId="1" type="noConversion"/>
  </si>
  <si>
    <t>判断暴击</t>
    <phoneticPr fontId="1" type="noConversion"/>
  </si>
  <si>
    <t>{[avg(上攻+下攻)-avg(上防+下防)]*暴击率*（2+爆伤/100）}*（1-爆伤减免/100）*（1+伤害加成/100-伤害减免/100）=伤害值</t>
    <phoneticPr fontId="1" type="noConversion"/>
  </si>
  <si>
    <t>暴击抵抗</t>
    <phoneticPr fontId="1" type="noConversion"/>
  </si>
  <si>
    <t>爆伤减免</t>
    <phoneticPr fontId="1" type="noConversion"/>
  </si>
  <si>
    <t>对怪伤害</t>
    <phoneticPr fontId="1" type="noConversion"/>
  </si>
  <si>
    <t>幸运</t>
    <phoneticPr fontId="1" type="noConversion"/>
  </si>
  <si>
    <t>特殊属性总价值</t>
    <phoneticPr fontId="1" type="noConversion"/>
  </si>
  <si>
    <t>打怪爆率</t>
    <phoneticPr fontId="1" type="noConversion"/>
  </si>
  <si>
    <t>属性价值</t>
    <phoneticPr fontId="1" type="noConversion"/>
  </si>
  <si>
    <t>每秒回血</t>
    <phoneticPr fontId="1" type="noConversion"/>
  </si>
  <si>
    <t>每秒回蓝</t>
    <phoneticPr fontId="1" type="noConversion"/>
  </si>
  <si>
    <t>特殊属性价值</t>
    <phoneticPr fontId="1" type="noConversion"/>
  </si>
  <si>
    <t>元宝消耗</t>
    <phoneticPr fontId="1" type="noConversion"/>
  </si>
  <si>
    <t>火龙凭证消耗</t>
    <phoneticPr fontId="1" type="noConversion"/>
  </si>
  <si>
    <t>声望消耗</t>
    <phoneticPr fontId="1" type="noConversion"/>
  </si>
  <si>
    <t>转生精华消耗</t>
    <phoneticPr fontId="1" type="noConversion"/>
  </si>
  <si>
    <t>洗髓丹/龍の魄/龍の心/恶魔头颅消耗</t>
    <phoneticPr fontId="1" type="noConversion"/>
  </si>
  <si>
    <t>材料消耗</t>
    <phoneticPr fontId="1" type="noConversion"/>
  </si>
  <si>
    <t>材料消耗（4养成线总消耗）</t>
    <phoneticPr fontId="1" type="noConversion"/>
  </si>
  <si>
    <t>龙晶碎片消耗</t>
    <phoneticPr fontId="1" type="noConversion"/>
  </si>
  <si>
    <t>凡品升星石消耗（仙品2倍，神品10倍）</t>
    <phoneticPr fontId="1" type="noConversion"/>
  </si>
  <si>
    <t>中品注灵石消耗（上品2倍，极品10倍）</t>
    <phoneticPr fontId="1" type="noConversion"/>
  </si>
  <si>
    <t>火龙气息消耗</t>
    <phoneticPr fontId="1" type="noConversion"/>
  </si>
  <si>
    <t>火龙精魄/魔龙之心/神器图纸消耗</t>
    <phoneticPr fontId="1" type="noConversion"/>
  </si>
  <si>
    <t>武器碎片/衣服碎片/防具碎片/首饰碎片消耗</t>
    <phoneticPr fontId="1" type="noConversion"/>
  </si>
  <si>
    <t>烈焰玄铁消耗</t>
    <phoneticPr fontId="1" type="noConversion"/>
  </si>
  <si>
    <t>火龙币消耗</t>
    <phoneticPr fontId="1" type="noConversion"/>
  </si>
  <si>
    <t>消耗数量</t>
    <phoneticPr fontId="1" type="noConversion"/>
  </si>
  <si>
    <t>材料价值|投放比例</t>
    <phoneticPr fontId="1" type="noConversion"/>
  </si>
  <si>
    <t>魔龙之心</t>
    <phoneticPr fontId="1" type="noConversion"/>
  </si>
  <si>
    <t>阶段消耗调整</t>
    <phoneticPr fontId="1" type="noConversion"/>
  </si>
  <si>
    <t>阶段产出调整</t>
    <phoneticPr fontId="1" type="noConversion"/>
  </si>
  <si>
    <t>未调参材料消耗</t>
    <phoneticPr fontId="1" type="noConversion"/>
  </si>
  <si>
    <t>消耗参数</t>
    <phoneticPr fontId="1" type="noConversion"/>
  </si>
  <si>
    <t>单阶段元宝消耗</t>
    <phoneticPr fontId="1" type="noConversion"/>
  </si>
  <si>
    <t>单阶段火龙凭证消耗</t>
    <phoneticPr fontId="1" type="noConversion"/>
  </si>
  <si>
    <t>单阶段声望消耗</t>
    <phoneticPr fontId="1" type="noConversion"/>
  </si>
  <si>
    <t>单阶段转生精华消耗</t>
    <phoneticPr fontId="1" type="noConversion"/>
  </si>
  <si>
    <t>单阶段洗髓丹/龍の魄/龍の心/恶魔头颅消耗</t>
    <phoneticPr fontId="1" type="noConversion"/>
  </si>
  <si>
    <t>单阶段龙晶碎片消耗</t>
    <phoneticPr fontId="1" type="noConversion"/>
  </si>
  <si>
    <t>单阶段单线材料消耗</t>
    <phoneticPr fontId="1" type="noConversion"/>
  </si>
  <si>
    <t>单阶段材料消耗</t>
    <phoneticPr fontId="1" type="noConversion"/>
  </si>
  <si>
    <t>单线消耗期望</t>
    <phoneticPr fontId="1" type="noConversion"/>
  </si>
  <si>
    <t>防御/攻击比例</t>
    <phoneticPr fontId="1" type="noConversion"/>
  </si>
  <si>
    <t>基础属性配置</t>
    <phoneticPr fontId="1" type="noConversion"/>
  </si>
  <si>
    <t>小怪攻防比例</t>
    <phoneticPr fontId="1" type="noConversion"/>
  </si>
  <si>
    <t>精英攻防比例</t>
    <phoneticPr fontId="1" type="noConversion"/>
  </si>
  <si>
    <t>统领攻防比例</t>
    <phoneticPr fontId="1" type="noConversion"/>
  </si>
  <si>
    <t>首领攻防比例</t>
    <phoneticPr fontId="1" type="noConversion"/>
  </si>
  <si>
    <t>BOSS攻防比例</t>
    <phoneticPr fontId="1" type="noConversion"/>
  </si>
  <si>
    <t>小怪战斗时间</t>
    <phoneticPr fontId="1" type="noConversion"/>
  </si>
  <si>
    <t>精英战斗时间</t>
    <phoneticPr fontId="1" type="noConversion"/>
  </si>
  <si>
    <t>统领战斗时间</t>
    <phoneticPr fontId="1" type="noConversion"/>
  </si>
  <si>
    <t>首领战斗时间</t>
    <phoneticPr fontId="1" type="noConversion"/>
  </si>
  <si>
    <t>主要影响怪物血量属性</t>
    <phoneticPr fontId="1" type="noConversion"/>
  </si>
  <si>
    <t>各稀有度怪物对应同级角色的攻防属性比例</t>
    <phoneticPr fontId="1" type="noConversion"/>
  </si>
  <si>
    <t>单阶段产销比例</t>
    <phoneticPr fontId="1" type="noConversion"/>
  </si>
  <si>
    <t>特殊属性投放曲线</t>
    <phoneticPr fontId="1" type="noConversion"/>
  </si>
  <si>
    <t>本列修正特殊属性各养成阶段的投放量</t>
    <phoneticPr fontId="1" type="noConversion"/>
  </si>
  <si>
    <t>装备强化曲线修正</t>
    <phoneticPr fontId="1" type="noConversion"/>
  </si>
  <si>
    <t>装备注灵曲线修正</t>
    <phoneticPr fontId="1" type="noConversion"/>
  </si>
  <si>
    <t>天尊洗炼曲线修正</t>
    <phoneticPr fontId="1" type="noConversion"/>
  </si>
  <si>
    <t>宝石镶嵌修正</t>
    <phoneticPr fontId="1" type="noConversion"/>
  </si>
  <si>
    <t>材料/道具</t>
    <phoneticPr fontId="1" type="noConversion"/>
  </si>
  <si>
    <t>数量</t>
    <phoneticPr fontId="1" type="noConversion"/>
  </si>
  <si>
    <t>火龙币价值</t>
    <phoneticPr fontId="1" type="noConversion"/>
  </si>
  <si>
    <t>洗髓丹</t>
    <phoneticPr fontId="1" type="noConversion"/>
  </si>
  <si>
    <t>恶魔头颅</t>
    <phoneticPr fontId="1" type="noConversion"/>
  </si>
  <si>
    <t>龍の魄</t>
    <phoneticPr fontId="1" type="noConversion"/>
  </si>
  <si>
    <t>龍の心</t>
    <phoneticPr fontId="1" type="noConversion"/>
  </si>
  <si>
    <t>附件锻造</t>
    <phoneticPr fontId="1" type="noConversion"/>
  </si>
  <si>
    <t>武器祝福</t>
    <phoneticPr fontId="1" type="noConversion"/>
  </si>
  <si>
    <t>高级祝福油</t>
    <phoneticPr fontId="1" type="noConversion"/>
  </si>
  <si>
    <t>超级祝福油</t>
    <phoneticPr fontId="1" type="noConversion"/>
  </si>
  <si>
    <t>装备保护油</t>
    <phoneticPr fontId="1" type="noConversion"/>
  </si>
  <si>
    <t>声望令</t>
    <phoneticPr fontId="1" type="noConversion"/>
  </si>
  <si>
    <t>高级声望令</t>
    <phoneticPr fontId="1" type="noConversion"/>
  </si>
  <si>
    <t>行会召集令</t>
    <phoneticPr fontId="1" type="noConversion"/>
  </si>
  <si>
    <t>队伍召集令</t>
    <phoneticPr fontId="1" type="noConversion"/>
  </si>
  <si>
    <t>铭文</t>
    <phoneticPr fontId="1" type="noConversion"/>
  </si>
  <si>
    <t>觉醒石</t>
    <phoneticPr fontId="1" type="noConversion"/>
  </si>
  <si>
    <t>强化转移符</t>
    <phoneticPr fontId="1" type="noConversion"/>
  </si>
  <si>
    <t>凡品升星石</t>
    <phoneticPr fontId="1" type="noConversion"/>
  </si>
  <si>
    <t>幸运转移符</t>
    <phoneticPr fontId="1" type="noConversion"/>
  </si>
  <si>
    <t>时装</t>
    <phoneticPr fontId="1" type="noConversion"/>
  </si>
  <si>
    <t>武器（20攻）</t>
    <phoneticPr fontId="1" type="noConversion"/>
  </si>
  <si>
    <t>防具（20双防300生命）</t>
    <phoneticPr fontId="1" type="noConversion"/>
  </si>
  <si>
    <t>技能书</t>
    <phoneticPr fontId="1" type="noConversion"/>
  </si>
  <si>
    <t>逐日剑法</t>
    <phoneticPr fontId="1" type="noConversion"/>
  </si>
  <si>
    <t>开天斩</t>
    <phoneticPr fontId="1" type="noConversion"/>
  </si>
  <si>
    <t>护体神盾</t>
    <phoneticPr fontId="1" type="noConversion"/>
  </si>
  <si>
    <t>灭天火</t>
    <phoneticPr fontId="1" type="noConversion"/>
  </si>
  <si>
    <t>流星火雨</t>
    <phoneticPr fontId="1" type="noConversion"/>
  </si>
  <si>
    <t>召唤月灵</t>
    <phoneticPr fontId="1" type="noConversion"/>
  </si>
  <si>
    <t>气功波</t>
    <phoneticPr fontId="1" type="noConversion"/>
  </si>
  <si>
    <t>无极真气</t>
    <phoneticPr fontId="1" type="noConversion"/>
  </si>
  <si>
    <t>噬血术</t>
    <phoneticPr fontId="1" type="noConversion"/>
  </si>
  <si>
    <t>飓风破</t>
    <phoneticPr fontId="1" type="noConversion"/>
  </si>
  <si>
    <t>天尊洗炼</t>
  </si>
  <si>
    <t>烈焰玄铁</t>
    <phoneticPr fontId="1" type="noConversion"/>
  </si>
  <si>
    <t>火龙精魄</t>
    <phoneticPr fontId="1" type="noConversion"/>
  </si>
  <si>
    <t>天尊进阶</t>
    <phoneticPr fontId="1" type="noConversion"/>
  </si>
  <si>
    <t>灵魂晶石</t>
    <phoneticPr fontId="1" type="noConversion"/>
  </si>
  <si>
    <t>铭文币</t>
    <phoneticPr fontId="1" type="noConversion"/>
  </si>
  <si>
    <t>武器（40攻）</t>
    <phoneticPr fontId="1" type="noConversion"/>
  </si>
  <si>
    <t>武器（60攻）</t>
    <phoneticPr fontId="1" type="noConversion"/>
  </si>
  <si>
    <t>防具（40双防500生命）</t>
    <phoneticPr fontId="1" type="noConversion"/>
  </si>
  <si>
    <t>防具（60双防800生命）</t>
    <phoneticPr fontId="1" type="noConversion"/>
  </si>
  <si>
    <t>天尊洗练（11转开始）</t>
    <phoneticPr fontId="1" type="noConversion"/>
  </si>
  <si>
    <t>基础参数及产销参数</t>
    <phoneticPr fontId="1" type="noConversion"/>
  </si>
  <si>
    <t>等级|转生等级</t>
    <phoneticPr fontId="1" type="noConversion"/>
  </si>
  <si>
    <t>小怪掉落</t>
    <phoneticPr fontId="1" type="noConversion"/>
  </si>
  <si>
    <t>精英掉落</t>
    <phoneticPr fontId="1" type="noConversion"/>
  </si>
  <si>
    <t>统领掉落</t>
    <phoneticPr fontId="1" type="noConversion"/>
  </si>
  <si>
    <t>首领掉落</t>
    <phoneticPr fontId="1" type="noConversion"/>
  </si>
  <si>
    <t>BOSS掉落</t>
    <phoneticPr fontId="1" type="noConversion"/>
  </si>
  <si>
    <t>影响掉落配置中各稀有度怪物的掉率倍率</t>
    <phoneticPr fontId="1" type="noConversion"/>
  </si>
  <si>
    <t>掉落物</t>
    <phoneticPr fontId="1" type="noConversion"/>
  </si>
  <si>
    <t>掉落概率</t>
    <phoneticPr fontId="1" type="noConversion"/>
  </si>
  <si>
    <t>使用说明：筛选等级和怪物种类，复制后面掉落物和掉落概率文本到MonItem配置文本里（分数前的数字为固定数量掉落，需要手动拆分为多行掉落。元宝需要手动修改配置为道具，装备掉落根据需求配置</t>
    <phoneticPr fontId="1" type="noConversion"/>
  </si>
  <si>
    <t>本表主要用于996传奇数值配置，需要配置参数调整表的内容</t>
    <phoneticPr fontId="1" type="noConversion"/>
  </si>
  <si>
    <t>配置完成后生成各养成线的属性配置和消耗配置，以及怪物掉落配置</t>
    <phoneticPr fontId="1" type="noConversion"/>
  </si>
  <si>
    <t>根据配置内容配置相应的脚本文件和表格即可</t>
    <phoneticPr fontId="1" type="noConversion"/>
  </si>
  <si>
    <t>新增材料1</t>
    <phoneticPr fontId="1" type="noConversion"/>
  </si>
  <si>
    <t>新增材料2</t>
    <phoneticPr fontId="1" type="noConversion"/>
  </si>
  <si>
    <t>新增材料3</t>
  </si>
  <si>
    <t>新增材料4</t>
  </si>
  <si>
    <t>新增材料5</t>
  </si>
  <si>
    <t>新增材料6</t>
  </si>
  <si>
    <t>新增材料7</t>
  </si>
  <si>
    <t>新增材料8</t>
  </si>
  <si>
    <t>新增材料9</t>
  </si>
  <si>
    <t>新增材料10</t>
  </si>
  <si>
    <t>新增材料11</t>
  </si>
  <si>
    <t>新增材料12</t>
  </si>
  <si>
    <t>新增材料13</t>
  </si>
  <si>
    <t>新增材料14</t>
  </si>
  <si>
    <t>新增材料15</t>
  </si>
  <si>
    <t>新增材料16</t>
  </si>
  <si>
    <t>新增材料17</t>
  </si>
  <si>
    <t>新增材料18</t>
  </si>
  <si>
    <t>新增材料19</t>
  </si>
  <si>
    <t>新增材料20</t>
  </si>
  <si>
    <t>新增材料21</t>
  </si>
  <si>
    <t>新增材料22</t>
  </si>
  <si>
    <t>新增材料23</t>
  </si>
  <si>
    <t>新增材料24</t>
  </si>
  <si>
    <t>新增材料25</t>
  </si>
  <si>
    <t>新增材料26</t>
  </si>
  <si>
    <t>新增材料27</t>
  </si>
  <si>
    <t>新增材料28</t>
  </si>
  <si>
    <t>新增材料29</t>
  </si>
  <si>
    <t>新增材料30</t>
  </si>
  <si>
    <t>新增材料31</t>
  </si>
  <si>
    <t>新增材料32</t>
  </si>
  <si>
    <t>新增材料33</t>
  </si>
  <si>
    <t>新增材料34</t>
  </si>
  <si>
    <t>新增材料35</t>
  </si>
  <si>
    <t>新增材料36</t>
  </si>
  <si>
    <t>新增材料37</t>
  </si>
  <si>
    <t>新增材料38</t>
  </si>
  <si>
    <t>新增材料39</t>
  </si>
  <si>
    <t>新增材料40</t>
  </si>
  <si>
    <t>新增材料41</t>
  </si>
  <si>
    <t>新增材料42</t>
  </si>
  <si>
    <t>新增材料43</t>
  </si>
  <si>
    <t>新增材料44</t>
  </si>
  <si>
    <t>新增材料45</t>
  </si>
  <si>
    <t>新增材料46</t>
  </si>
  <si>
    <t>新增材料47</t>
  </si>
  <si>
    <t>新增材料48</t>
  </si>
  <si>
    <t>新增材料49</t>
  </si>
  <si>
    <t>新增材料50</t>
  </si>
  <si>
    <t>新增材料51</t>
  </si>
  <si>
    <t>新增材料52</t>
  </si>
  <si>
    <t>新增材料53</t>
  </si>
  <si>
    <t>新增材料54</t>
  </si>
  <si>
    <t>新增材料55</t>
  </si>
  <si>
    <t>新增材料56</t>
  </si>
  <si>
    <t>新增材料57</t>
  </si>
  <si>
    <t>新增材料58</t>
  </si>
  <si>
    <t>新增材料59</t>
  </si>
  <si>
    <t>新增材料60</t>
  </si>
  <si>
    <t>新增材料61</t>
  </si>
  <si>
    <t>新增材料62</t>
  </si>
  <si>
    <t>新增材料63</t>
  </si>
  <si>
    <t>新增材料64</t>
  </si>
  <si>
    <t>新增材料65</t>
  </si>
  <si>
    <t>新增材料66</t>
  </si>
  <si>
    <t>新增材料67</t>
  </si>
  <si>
    <t>新增材料68</t>
  </si>
  <si>
    <t>新增材料69</t>
  </si>
  <si>
    <t>新增材料70</t>
  </si>
  <si>
    <t>新增材料71</t>
  </si>
  <si>
    <t>新增材料72</t>
  </si>
  <si>
    <t>新增材料73</t>
  </si>
  <si>
    <t>新增材料74</t>
  </si>
  <si>
    <t>新增材料75</t>
  </si>
  <si>
    <t>新增材料76</t>
  </si>
  <si>
    <t>新增材料77</t>
  </si>
  <si>
    <t>新增材料78</t>
  </si>
  <si>
    <t>新增材料79</t>
  </si>
  <si>
    <t>新增材料80</t>
  </si>
  <si>
    <t>新增材料81</t>
  </si>
  <si>
    <t>新增材料82</t>
  </si>
  <si>
    <t>新增材料83</t>
  </si>
  <si>
    <t>新增材料84</t>
  </si>
  <si>
    <t>新增材料85</t>
  </si>
  <si>
    <t>新养成线1</t>
    <phoneticPr fontId="1" type="noConversion"/>
  </si>
  <si>
    <t>新养成线2</t>
    <phoneticPr fontId="1" type="noConversion"/>
  </si>
  <si>
    <t>新养成线3</t>
  </si>
  <si>
    <t>新养成线4</t>
  </si>
  <si>
    <t>新养成线5</t>
  </si>
  <si>
    <t>新养成线6</t>
  </si>
  <si>
    <t>新养成线7</t>
  </si>
  <si>
    <t>新养成线8</t>
  </si>
  <si>
    <t>新养成线9</t>
  </si>
  <si>
    <t>新养成线10</t>
  </si>
  <si>
    <t>新养成线11</t>
  </si>
  <si>
    <t>新养成线12</t>
  </si>
  <si>
    <t>新养成线13</t>
  </si>
  <si>
    <t>新养成线14</t>
  </si>
  <si>
    <t>新养成线15</t>
  </si>
  <si>
    <t>新养成线16</t>
  </si>
  <si>
    <t>新养成线17</t>
  </si>
  <si>
    <t>新养成线18</t>
  </si>
  <si>
    <t>新养成线19</t>
  </si>
  <si>
    <t>新养成线20</t>
  </si>
  <si>
    <t>新养成线21</t>
  </si>
  <si>
    <r>
      <t>添加新材料时，</t>
    </r>
    <r>
      <rPr>
        <sz val="11"/>
        <color rgb="FFFF0000"/>
        <rFont val="等线"/>
        <family val="3"/>
        <charset val="134"/>
        <scheme val="minor"/>
      </rPr>
      <t>如果添加了新的养成材料，需要维护材料产出表</t>
    </r>
    <r>
      <rPr>
        <sz val="11"/>
        <color theme="1"/>
        <rFont val="等线"/>
        <family val="2"/>
        <scheme val="minor"/>
      </rPr>
      <t>总和行，添加材料与养成线的关联（参考已有养成线公式）</t>
    </r>
    <phoneticPr fontId="1" type="noConversion"/>
  </si>
  <si>
    <t>新增怪物种类1攻击</t>
    <phoneticPr fontId="1" type="noConversion"/>
  </si>
  <si>
    <t>新增怪物种类1防御</t>
    <phoneticPr fontId="1" type="noConversion"/>
  </si>
  <si>
    <t>新增怪物种类2攻击</t>
    <phoneticPr fontId="1" type="noConversion"/>
  </si>
  <si>
    <t>新增怪物种类2防御</t>
    <phoneticPr fontId="1" type="noConversion"/>
  </si>
  <si>
    <t>新增怪物种类3攻击</t>
    <phoneticPr fontId="1" type="noConversion"/>
  </si>
  <si>
    <t>新增怪物种类3防御</t>
    <phoneticPr fontId="1" type="noConversion"/>
  </si>
  <si>
    <t>新增怪物种类4攻击</t>
    <phoneticPr fontId="1" type="noConversion"/>
  </si>
  <si>
    <t>新增怪物种类4防御</t>
    <phoneticPr fontId="1" type="noConversion"/>
  </si>
  <si>
    <t>新增怪物种类5攻击</t>
    <phoneticPr fontId="1" type="noConversion"/>
  </si>
  <si>
    <t>新增怪物种类5防御</t>
    <phoneticPr fontId="1" type="noConversion"/>
  </si>
  <si>
    <t>新增怪物种类6攻击</t>
    <phoneticPr fontId="1" type="noConversion"/>
  </si>
  <si>
    <t>新增怪物种类6防御</t>
    <phoneticPr fontId="1" type="noConversion"/>
  </si>
  <si>
    <t>新增怪物种类7攻击</t>
    <phoneticPr fontId="1" type="noConversion"/>
  </si>
  <si>
    <t>新增怪物种类7防御</t>
    <phoneticPr fontId="1" type="noConversion"/>
  </si>
  <si>
    <t>新增怪物种类1攻防比例</t>
    <phoneticPr fontId="1" type="noConversion"/>
  </si>
  <si>
    <t>新增怪物种类3攻防比例</t>
  </si>
  <si>
    <t>新增怪物种类4攻防比例</t>
  </si>
  <si>
    <t>新增怪物种类2攻防比例</t>
    <phoneticPr fontId="1" type="noConversion"/>
  </si>
  <si>
    <t>新增怪物种类5攻防比例</t>
  </si>
  <si>
    <t>新增怪物种类6攻防比例</t>
  </si>
  <si>
    <t>新增怪物种类7攻防比例</t>
  </si>
  <si>
    <t>新增怪物种类1战斗时间</t>
    <phoneticPr fontId="1" type="noConversion"/>
  </si>
  <si>
    <t>BOSS战斗时间</t>
    <phoneticPr fontId="1" type="noConversion"/>
  </si>
  <si>
    <t>新增怪物种类2战斗时间</t>
    <phoneticPr fontId="1" type="noConversion"/>
  </si>
  <si>
    <t>新增怪物种类3战斗时间</t>
  </si>
  <si>
    <t>新增怪物种类4战斗时间</t>
  </si>
  <si>
    <t>新增怪物种类5战斗时间</t>
  </si>
  <si>
    <t>新增怪物种类6战斗时间</t>
  </si>
  <si>
    <t>新增怪物种类7战斗时间</t>
  </si>
  <si>
    <t>新增怪物种类1战时/s</t>
    <phoneticPr fontId="1" type="noConversion"/>
  </si>
  <si>
    <t>新增怪物种类2战时/s</t>
    <phoneticPr fontId="1" type="noConversion"/>
  </si>
  <si>
    <t>新增怪物种类3战时/s</t>
  </si>
  <si>
    <t>新增怪物种类4战时/s</t>
  </si>
  <si>
    <t>新增怪物种类5战时/s</t>
  </si>
  <si>
    <t>新增怪物种类6战时/s</t>
  </si>
  <si>
    <t>新增怪物种类7战时/s</t>
  </si>
  <si>
    <t>新增怪物种类1掉落</t>
    <phoneticPr fontId="1" type="noConversion"/>
  </si>
  <si>
    <t>新增怪物种类2掉落</t>
    <phoneticPr fontId="1" type="noConversion"/>
  </si>
  <si>
    <t>新增怪物种类3掉落</t>
  </si>
  <si>
    <t>新增怪物种类4掉落</t>
  </si>
  <si>
    <t>新增怪物种类5掉落</t>
  </si>
  <si>
    <t>新增怪物种类6掉落</t>
  </si>
  <si>
    <t>新增怪物种类7掉落</t>
  </si>
  <si>
    <t>新增怪物种类1血量</t>
    <phoneticPr fontId="1" type="noConversion"/>
  </si>
  <si>
    <t>新增怪物种类2血量</t>
    <phoneticPr fontId="1" type="noConversion"/>
  </si>
  <si>
    <t>新增怪物种类3血量</t>
  </si>
  <si>
    <t>新增怪物种类4血量</t>
  </si>
  <si>
    <t>新增怪物种类5血量</t>
  </si>
  <si>
    <t>新增怪物种类6血量</t>
  </si>
  <si>
    <t>新增怪物种类7血量</t>
  </si>
  <si>
    <t>种类</t>
    <phoneticPr fontId="1" type="noConversion"/>
  </si>
  <si>
    <t>//新增怪物种类1属性</t>
    <phoneticPr fontId="1" type="noConversion"/>
  </si>
  <si>
    <t>//新增怪物种类2属性</t>
  </si>
  <si>
    <t>//新增怪物种类3属性</t>
  </si>
  <si>
    <t>//新增怪物种类4属性</t>
  </si>
  <si>
    <t>//新增怪物种类5属性</t>
  </si>
  <si>
    <t>//新增怪物种类6属性</t>
  </si>
  <si>
    <t>//新增怪物种类7属性</t>
  </si>
  <si>
    <t>基础属性投放</t>
    <phoneticPr fontId="1" type="noConversion"/>
  </si>
  <si>
    <r>
      <t>升到下一级所需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</si>
  <si>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本表与左表数值相同说明所有属性都已分配</t>
    <phoneticPr fontId="1" type="noConversion"/>
  </si>
  <si>
    <t>新养成线3</t>
    <phoneticPr fontId="1" type="noConversion"/>
  </si>
  <si>
    <t>新养成线4</t>
    <phoneticPr fontId="1" type="noConversion"/>
  </si>
  <si>
    <t>新养成线5</t>
    <phoneticPr fontId="1" type="noConversion"/>
  </si>
  <si>
    <t>新养成线6</t>
    <phoneticPr fontId="1" type="noConversion"/>
  </si>
  <si>
    <t>新养成线7</t>
    <phoneticPr fontId="1" type="noConversion"/>
  </si>
  <si>
    <t>新养成线8</t>
    <phoneticPr fontId="1" type="noConversion"/>
  </si>
  <si>
    <t>新养成线9</t>
    <phoneticPr fontId="1" type="noConversion"/>
  </si>
  <si>
    <t>新养成线10</t>
    <phoneticPr fontId="1" type="noConversion"/>
  </si>
  <si>
    <t>新养成线11</t>
    <phoneticPr fontId="1" type="noConversion"/>
  </si>
  <si>
    <t>新养成线12</t>
    <phoneticPr fontId="1" type="noConversion"/>
  </si>
  <si>
    <t>新养成线13</t>
    <phoneticPr fontId="1" type="noConversion"/>
  </si>
  <si>
    <t>新养成线14</t>
    <phoneticPr fontId="1" type="noConversion"/>
  </si>
  <si>
    <t>新养成线15</t>
    <phoneticPr fontId="1" type="noConversion"/>
  </si>
  <si>
    <t>新养成线16</t>
    <phoneticPr fontId="1" type="noConversion"/>
  </si>
  <si>
    <t>新养成线17</t>
    <phoneticPr fontId="1" type="noConversion"/>
  </si>
  <si>
    <t>新养成线18</t>
    <phoneticPr fontId="1" type="noConversion"/>
  </si>
  <si>
    <t>新养成线19</t>
    <phoneticPr fontId="1" type="noConversion"/>
  </si>
  <si>
    <t>新养成线20</t>
    <phoneticPr fontId="1" type="noConversion"/>
  </si>
  <si>
    <t>新养成线21</t>
    <phoneticPr fontId="1" type="noConversion"/>
  </si>
  <si>
    <t>填表须知：本表需要手动计算材料消耗部分并手动填写特殊属性分配。并在材料产出表内，对应材料加上该养成线的消耗</t>
    <phoneticPr fontId="1" type="noConversion"/>
  </si>
  <si>
    <r>
      <t>添加新养成线时，</t>
    </r>
    <r>
      <rPr>
        <sz val="11"/>
        <color rgb="FFFF0000"/>
        <rFont val="等线"/>
        <family val="3"/>
        <charset val="134"/>
        <scheme val="minor"/>
      </rPr>
      <t>如果影响到了攻击力属性时，需要维护参数调整表攻击力属性</t>
    </r>
    <r>
      <rPr>
        <sz val="11"/>
        <color theme="1"/>
        <rFont val="等线"/>
        <family val="2"/>
        <scheme val="minor"/>
      </rPr>
      <t>。如果该养成线未分配所有的属性，建议在其他养成线投放未分配属性，否则可能导致战斗体感变化</t>
    </r>
    <phoneticPr fontId="1" type="noConversion"/>
  </si>
  <si>
    <t>本表按照攻击力为基准属性，按比例得出其他基础属性设定，并计算相关属性等数值</t>
    <phoneticPr fontId="1" type="noConversion"/>
  </si>
  <si>
    <t>填写蓝色部分</t>
    <phoneticPr fontId="1" type="noConversion"/>
  </si>
  <si>
    <t>受击方下防</t>
    <phoneticPr fontId="1" type="noConversion"/>
  </si>
  <si>
    <t>受击方上防</t>
    <phoneticPr fontId="1" type="noConversion"/>
  </si>
  <si>
    <t>受击方幸运</t>
    <phoneticPr fontId="1" type="noConversion"/>
  </si>
  <si>
    <t>爆伤减免%</t>
    <phoneticPr fontId="1" type="noConversion"/>
  </si>
  <si>
    <t>无视防御%</t>
    <phoneticPr fontId="1" type="noConversion"/>
  </si>
  <si>
    <t>忽视防御后最低</t>
    <phoneticPr fontId="1" type="noConversion"/>
  </si>
  <si>
    <t>忽视防御后最高</t>
    <phoneticPr fontId="1" type="noConversion"/>
  </si>
  <si>
    <t>不忽视防御后最低</t>
    <phoneticPr fontId="1" type="noConversion"/>
  </si>
  <si>
    <t>不忽视防御后最高</t>
    <phoneticPr fontId="1" type="noConversion"/>
  </si>
  <si>
    <t>不暴击最低</t>
    <phoneticPr fontId="1" type="noConversion"/>
  </si>
  <si>
    <t>不暴击最高</t>
    <phoneticPr fontId="1" type="noConversion"/>
  </si>
  <si>
    <t>暴击最低</t>
    <phoneticPr fontId="1" type="noConversion"/>
  </si>
  <si>
    <t>暴击最高</t>
    <phoneticPr fontId="1" type="noConversion"/>
  </si>
  <si>
    <t>最低伤害结果</t>
    <phoneticPr fontId="1" type="noConversion"/>
  </si>
  <si>
    <t>最高伤害结果</t>
    <phoneticPr fontId="1" type="noConversion"/>
  </si>
  <si>
    <t>如果是释放技能，该结果还需要乘上技能倍率</t>
    <phoneticPr fontId="1" type="noConversion"/>
  </si>
  <si>
    <t>1、</t>
    <phoneticPr fontId="1" type="noConversion"/>
  </si>
  <si>
    <t>2、计算忽视防御后伤害值</t>
    <phoneticPr fontId="1" type="noConversion"/>
  </si>
  <si>
    <t>不忽视防御</t>
    <phoneticPr fontId="1" type="noConversion"/>
  </si>
  <si>
    <t>最低伤害值1=[攻击方下攻-受击方上防]</t>
    <phoneticPr fontId="1" type="noConversion"/>
  </si>
  <si>
    <t>最高伤害值1=[攻击方上攻-受击方下防]</t>
    <phoneticPr fontId="1" type="noConversion"/>
  </si>
  <si>
    <t>最低伤害值1=[攻击方下攻]</t>
    <phoneticPr fontId="1" type="noConversion"/>
  </si>
  <si>
    <t>最高伤害值1=[攻击方上攻]</t>
    <phoneticPr fontId="1" type="noConversion"/>
  </si>
  <si>
    <t>3、计算暴击后伤害值</t>
    <phoneticPr fontId="1" type="noConversion"/>
  </si>
  <si>
    <t>不暴击</t>
    <phoneticPr fontId="1" type="noConversion"/>
  </si>
  <si>
    <t>最低伤害值2=最低伤害值1</t>
    <phoneticPr fontId="1" type="noConversion"/>
  </si>
  <si>
    <t>最高伤害值2=最高伤害值1</t>
    <phoneticPr fontId="1" type="noConversion"/>
  </si>
  <si>
    <t>暴击</t>
    <phoneticPr fontId="1" type="noConversion"/>
  </si>
  <si>
    <t>最低伤害值2=最低伤害值1*（2+爆伤/100）</t>
    <phoneticPr fontId="1" type="noConversion"/>
  </si>
  <si>
    <t>最高伤害值2=最高伤害值1*（2+爆伤/100）</t>
    <phoneticPr fontId="1" type="noConversion"/>
  </si>
  <si>
    <t>4、</t>
    <phoneticPr fontId="1" type="noConversion"/>
  </si>
  <si>
    <t>增减伤</t>
    <phoneticPr fontId="1" type="noConversion"/>
  </si>
  <si>
    <t>最低伤害值3=最低伤害值2*（1+伤害加成%）（1-伤害减免%）</t>
    <phoneticPr fontId="1" type="noConversion"/>
  </si>
  <si>
    <t>最高伤害值3=最高伤害值2*（1+伤害加成%）（1-伤害减免%）</t>
    <phoneticPr fontId="1" type="noConversion"/>
  </si>
  <si>
    <t>理论伤害计算</t>
    <phoneticPr fontId="1" type="noConversion"/>
  </si>
  <si>
    <t>计算忽视防御</t>
    <phoneticPr fontId="1" type="noConversion"/>
  </si>
  <si>
    <t>计算暴击结果</t>
    <phoneticPr fontId="1" type="noConversion"/>
  </si>
  <si>
    <t>计算增减伤</t>
    <phoneticPr fontId="1" type="noConversion"/>
  </si>
  <si>
    <t>理论伤害值</t>
    <phoneticPr fontId="1" type="noConversion"/>
  </si>
  <si>
    <t>该数值为理论上打出的平均伤害</t>
    <phoneticPr fontId="1" type="noConversion"/>
  </si>
  <si>
    <t>受击方伤害减免%</t>
    <phoneticPr fontId="1" type="noConversion"/>
  </si>
  <si>
    <t>【下攻+幸运/9*（上攻-下攻）】-【受击方下防+幸运/9*（受击方上防-受击方下防）】*（1-无视防御%）</t>
    <phoneticPr fontId="1" type="noConversion"/>
  </si>
  <si>
    <t>伤害值计算增减伤</t>
    <phoneticPr fontId="1" type="noConversion"/>
  </si>
  <si>
    <t>总计</t>
    <phoneticPr fontId="1" type="noConversion"/>
  </si>
  <si>
    <t>养成线属性分配（标红项注意看批注）</t>
    <phoneticPr fontId="1" type="noConversion"/>
  </si>
  <si>
    <t>对怪增伤%</t>
    <phoneticPr fontId="1" type="noConversion"/>
  </si>
  <si>
    <t>部分养成线养成属性曲线修正</t>
    <phoneticPr fontId="1" type="noConversion"/>
  </si>
  <si>
    <t>材料定价</t>
    <phoneticPr fontId="1" type="noConversion"/>
  </si>
  <si>
    <t>占比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</si>
</sst>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\ ??/100"/>
    <numFmt numFmtId="177" formatCode="0.0%"/>
  </numFmts>
  <fonts count="3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indexed="8"/>
      <name val="微软雅黑"/>
      <family val="2"/>
      <charset val="134"/>
    </font>
    <font>
      <b/>
      <sz val="12"/>
      <color theme="4" tint="-0.249977111117893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2"/>
      <color rgb="FF00B05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2"/>
      <color theme="1"/>
      <name val="等线"/>
      <family val="2"/>
      <scheme val="minor"/>
    </font>
    <font>
      <sz val="9"/>
      <color rgb="FF00B050"/>
      <name val="微软雅黑"/>
      <family val="2"/>
      <charset val="134"/>
    </font>
    <font>
      <sz val="9"/>
      <color indexed="10"/>
      <name val="微软雅黑"/>
      <family val="2"/>
      <charset val="134"/>
    </font>
    <font>
      <b/>
      <sz val="12"/>
      <name val="微软雅黑"/>
      <family val="2"/>
      <charset val="134"/>
    </font>
    <font>
      <sz val="11"/>
      <color rgb="FFFF0000"/>
      <name val="等线"/>
      <family val="2"/>
      <scheme val="minor"/>
    </font>
    <font>
      <b/>
      <sz val="11"/>
      <color rgb="FFFF0000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theme="1"/>
      <name val="等线"/>
      <family val="2"/>
      <scheme val="minor"/>
    </font>
    <font>
      <b/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9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b/>
      <sz val="14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sz val="10"/>
      <color indexed="81"/>
      <name val="宋体"/>
      <family val="3"/>
      <charset val="134"/>
    </font>
    <font>
      <b/>
      <sz val="16"/>
      <color theme="1"/>
      <name val="微软雅黑"/>
      <family val="2"/>
      <charset val="134"/>
    </font>
  </fonts>
  <fills count="2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3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3" borderId="1" xfId="0" applyFont="1" applyFill="1" applyBorder="1"/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/>
    </xf>
    <xf numFmtId="0" fontId="8" fillId="0" borderId="0" xfId="0" applyFont="1"/>
    <xf numFmtId="0" fontId="8" fillId="3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4" fillId="0" borderId="1" xfId="0" applyFont="1" applyBorder="1"/>
    <xf numFmtId="0" fontId="14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4" fillId="4" borderId="1" xfId="0" applyFont="1" applyFill="1" applyBorder="1"/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7" borderId="1" xfId="0" applyFont="1" applyFill="1" applyBorder="1"/>
    <xf numFmtId="0" fontId="16" fillId="0" borderId="6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3" fillId="0" borderId="0" xfId="0" applyFont="1"/>
    <xf numFmtId="0" fontId="13" fillId="8" borderId="1" xfId="0" applyFont="1" applyFill="1" applyBorder="1"/>
    <xf numFmtId="0" fontId="14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8" borderId="1" xfId="0" applyFont="1" applyFill="1" applyBorder="1"/>
    <xf numFmtId="0" fontId="13" fillId="8" borderId="1" xfId="0" applyFont="1" applyFill="1" applyBorder="1" applyAlignment="1">
      <alignment horizontal="center"/>
    </xf>
    <xf numFmtId="0" fontId="18" fillId="8" borderId="1" xfId="0" applyFont="1" applyFill="1" applyBorder="1" applyAlignment="1">
      <alignment horizontal="center"/>
    </xf>
    <xf numFmtId="0" fontId="13" fillId="10" borderId="1" xfId="0" applyFont="1" applyFill="1" applyBorder="1"/>
    <xf numFmtId="0" fontId="14" fillId="10" borderId="1" xfId="0" applyFont="1" applyFill="1" applyBorder="1"/>
    <xf numFmtId="0" fontId="18" fillId="10" borderId="1" xfId="0" applyFont="1" applyFill="1" applyBorder="1" applyAlignment="1">
      <alignment horizontal="center"/>
    </xf>
    <xf numFmtId="0" fontId="13" fillId="5" borderId="1" xfId="0" applyFont="1" applyFill="1" applyBorder="1"/>
    <xf numFmtId="0" fontId="14" fillId="5" borderId="1" xfId="0" applyFont="1" applyFill="1" applyBorder="1"/>
    <xf numFmtId="0" fontId="18" fillId="5" borderId="1" xfId="0" applyFont="1" applyFill="1" applyBorder="1" applyAlignment="1">
      <alignment horizontal="center"/>
    </xf>
    <xf numFmtId="0" fontId="13" fillId="11" borderId="1" xfId="0" applyFont="1" applyFill="1" applyBorder="1"/>
    <xf numFmtId="0" fontId="14" fillId="11" borderId="1" xfId="0" applyFont="1" applyFill="1" applyBorder="1"/>
    <xf numFmtId="0" fontId="18" fillId="11" borderId="1" xfId="0" applyFont="1" applyFill="1" applyBorder="1" applyAlignment="1">
      <alignment horizontal="center"/>
    </xf>
    <xf numFmtId="0" fontId="13" fillId="12" borderId="1" xfId="0" applyFont="1" applyFill="1" applyBorder="1"/>
    <xf numFmtId="0" fontId="14" fillId="12" borderId="1" xfId="0" applyFont="1" applyFill="1" applyBorder="1"/>
    <xf numFmtId="0" fontId="13" fillId="12" borderId="1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0" fontId="15" fillId="12" borderId="1" xfId="0" applyFont="1" applyFill="1" applyBorder="1"/>
    <xf numFmtId="0" fontId="15" fillId="11" borderId="1" xfId="0" applyFont="1" applyFill="1" applyBorder="1"/>
    <xf numFmtId="0" fontId="15" fillId="5" borderId="1" xfId="0" applyFont="1" applyFill="1" applyBorder="1"/>
    <xf numFmtId="0" fontId="15" fillId="10" borderId="1" xfId="0" applyFont="1" applyFill="1" applyBorder="1"/>
    <xf numFmtId="0" fontId="15" fillId="8" borderId="1" xfId="0" applyFont="1" applyFill="1" applyBorder="1"/>
    <xf numFmtId="0" fontId="15" fillId="3" borderId="1" xfId="0" applyFont="1" applyFill="1" applyBorder="1"/>
    <xf numFmtId="0" fontId="11" fillId="2" borderId="1" xfId="0" applyFont="1" applyFill="1" applyBorder="1" applyAlignment="1">
      <alignment horizontal="center" vertical="center"/>
    </xf>
    <xf numFmtId="0" fontId="14" fillId="3" borderId="1" xfId="0" applyFont="1" applyFill="1" applyBorder="1"/>
    <xf numFmtId="0" fontId="13" fillId="7" borderId="1" xfId="0" applyFont="1" applyFill="1" applyBorder="1"/>
    <xf numFmtId="0" fontId="13" fillId="4" borderId="1" xfId="0" applyFont="1" applyFill="1" applyBorder="1"/>
    <xf numFmtId="0" fontId="16" fillId="4" borderId="1" xfId="0" applyFont="1" applyFill="1" applyBorder="1"/>
    <xf numFmtId="0" fontId="14" fillId="9" borderId="1" xfId="0" applyFont="1" applyFill="1" applyBorder="1"/>
    <xf numFmtId="0" fontId="14" fillId="13" borderId="1" xfId="0" applyFont="1" applyFill="1" applyBorder="1"/>
    <xf numFmtId="0" fontId="13" fillId="14" borderId="1" xfId="0" applyFont="1" applyFill="1" applyBorder="1"/>
    <xf numFmtId="0" fontId="14" fillId="14" borderId="1" xfId="0" applyFont="1" applyFill="1" applyBorder="1"/>
    <xf numFmtId="0" fontId="19" fillId="0" borderId="1" xfId="0" applyFont="1" applyBorder="1"/>
    <xf numFmtId="0" fontId="15" fillId="3" borderId="0" xfId="0" applyFont="1" applyFill="1"/>
    <xf numFmtId="0" fontId="13" fillId="7" borderId="0" xfId="0" applyFont="1" applyFill="1"/>
    <xf numFmtId="0" fontId="14" fillId="7" borderId="0" xfId="0" applyFont="1" applyFill="1"/>
    <xf numFmtId="0" fontId="13" fillId="14" borderId="0" xfId="0" applyFont="1" applyFill="1"/>
    <xf numFmtId="0" fontId="14" fillId="4" borderId="0" xfId="0" applyFont="1" applyFill="1"/>
    <xf numFmtId="0" fontId="9" fillId="4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4" fillId="4" borderId="1" xfId="0" applyFont="1" applyFill="1" applyBorder="1"/>
    <xf numFmtId="0" fontId="4" fillId="7" borderId="1" xfId="0" applyFont="1" applyFill="1" applyBorder="1"/>
    <xf numFmtId="0" fontId="4" fillId="10" borderId="1" xfId="0" applyFont="1" applyFill="1" applyBorder="1"/>
    <xf numFmtId="0" fontId="11" fillId="7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4" fillId="3" borderId="0" xfId="0" applyFont="1" applyFill="1"/>
    <xf numFmtId="0" fontId="9" fillId="3" borderId="3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4" fillId="7" borderId="0" xfId="0" applyFont="1" applyFill="1"/>
    <xf numFmtId="0" fontId="15" fillId="2" borderId="1" xfId="0" applyFont="1" applyFill="1" applyBorder="1"/>
    <xf numFmtId="0" fontId="7" fillId="2" borderId="1" xfId="0" applyFont="1" applyFill="1" applyBorder="1"/>
    <xf numFmtId="0" fontId="20" fillId="10" borderId="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21" fillId="0" borderId="0" xfId="0" applyFont="1"/>
    <xf numFmtId="0" fontId="9" fillId="2" borderId="5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7" fillId="0" borderId="1" xfId="0" applyFont="1" applyBorder="1"/>
    <xf numFmtId="0" fontId="23" fillId="3" borderId="1" xfId="0" applyFont="1" applyFill="1" applyBorder="1"/>
    <xf numFmtId="0" fontId="24" fillId="3" borderId="1" xfId="0" applyFont="1" applyFill="1" applyBorder="1"/>
    <xf numFmtId="0" fontId="18" fillId="13" borderId="1" xfId="0" applyFont="1" applyFill="1" applyBorder="1"/>
    <xf numFmtId="0" fontId="25" fillId="3" borderId="1" xfId="0" applyFont="1" applyFill="1" applyBorder="1"/>
    <xf numFmtId="0" fontId="26" fillId="3" borderId="1" xfId="0" applyFont="1" applyFill="1" applyBorder="1"/>
    <xf numFmtId="0" fontId="9" fillId="2" borderId="3" xfId="0" applyFont="1" applyFill="1" applyBorder="1" applyAlignment="1">
      <alignment horizontal="center" vertical="center"/>
    </xf>
    <xf numFmtId="0" fontId="4" fillId="11" borderId="1" xfId="0" applyFont="1" applyFill="1" applyBorder="1"/>
    <xf numFmtId="0" fontId="7" fillId="11" borderId="1" xfId="0" applyFont="1" applyFill="1" applyBorder="1"/>
    <xf numFmtId="0" fontId="4" fillId="0" borderId="2" xfId="0" applyFont="1" applyBorder="1" applyAlignment="1">
      <alignment vertical="center"/>
    </xf>
    <xf numFmtId="0" fontId="2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4" fillId="8" borderId="1" xfId="0" applyFont="1" applyFill="1" applyBorder="1" applyAlignment="1">
      <alignment vertical="center"/>
    </xf>
    <xf numFmtId="0" fontId="13" fillId="3" borderId="0" xfId="0" applyFont="1" applyFill="1"/>
    <xf numFmtId="0" fontId="0" fillId="8" borderId="1" xfId="0" applyFill="1" applyBorder="1"/>
    <xf numFmtId="0" fontId="14" fillId="10" borderId="1" xfId="0" applyFont="1" applyFill="1" applyBorder="1" applyAlignment="1">
      <alignment vertical="center"/>
    </xf>
    <xf numFmtId="0" fontId="14" fillId="10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0" fillId="10" borderId="1" xfId="0" applyFill="1" applyBorder="1"/>
    <xf numFmtId="0" fontId="14" fillId="5" borderId="1" xfId="0" applyFont="1" applyFill="1" applyBorder="1" applyAlignment="1">
      <alignment vertical="center"/>
    </xf>
    <xf numFmtId="0" fontId="14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13" fillId="15" borderId="1" xfId="0" applyFont="1" applyFill="1" applyBorder="1"/>
    <xf numFmtId="0" fontId="14" fillId="15" borderId="1" xfId="0" applyFont="1" applyFill="1" applyBorder="1"/>
    <xf numFmtId="0" fontId="14" fillId="15" borderId="1" xfId="0" applyFont="1" applyFill="1" applyBorder="1" applyAlignment="1">
      <alignment vertical="center"/>
    </xf>
    <xf numFmtId="0" fontId="14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center" vertical="center"/>
    </xf>
    <xf numFmtId="0" fontId="0" fillId="15" borderId="1" xfId="0" applyFill="1" applyBorder="1"/>
    <xf numFmtId="0" fontId="14" fillId="11" borderId="1" xfId="0" applyFont="1" applyFill="1" applyBorder="1" applyAlignment="1">
      <alignment vertical="center"/>
    </xf>
    <xf numFmtId="0" fontId="14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horizontal="center" vertical="center"/>
    </xf>
    <xf numFmtId="0" fontId="0" fillId="11" borderId="1" xfId="0" applyFill="1" applyBorder="1"/>
    <xf numFmtId="0" fontId="14" fillId="12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 vertical="center"/>
    </xf>
    <xf numFmtId="0" fontId="0" fillId="12" borderId="1" xfId="0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4" fillId="2" borderId="1" xfId="0" applyFont="1" applyFill="1" applyBorder="1" applyAlignment="1">
      <alignment horizontal="center" vertical="center"/>
    </xf>
    <xf numFmtId="0" fontId="0" fillId="3" borderId="0" xfId="0" applyFill="1"/>
    <xf numFmtId="0" fontId="14" fillId="8" borderId="3" xfId="0" applyFont="1" applyFill="1" applyBorder="1"/>
    <xf numFmtId="0" fontId="21" fillId="0" borderId="1" xfId="0" applyFont="1" applyBorder="1"/>
    <xf numFmtId="0" fontId="7" fillId="0" borderId="6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16" borderId="0" xfId="0" applyFont="1" applyFill="1" applyAlignment="1">
      <alignment horizontal="center"/>
    </xf>
    <xf numFmtId="0" fontId="15" fillId="16" borderId="0" xfId="0" applyFont="1" applyFill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27" fillId="0" borderId="1" xfId="0" applyFont="1" applyBorder="1"/>
    <xf numFmtId="0" fontId="32" fillId="0" borderId="0" xfId="0" applyFont="1"/>
    <xf numFmtId="0" fontId="7" fillId="0" borderId="2" xfId="0" applyFont="1" applyBorder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7" fillId="0" borderId="0" xfId="0" applyFont="1"/>
    <xf numFmtId="0" fontId="4" fillId="0" borderId="0" xfId="0" applyFont="1" applyAlignment="1">
      <alignment horizontal="left" vertical="center"/>
    </xf>
    <xf numFmtId="0" fontId="22" fillId="2" borderId="3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right" vertical="center"/>
    </xf>
    <xf numFmtId="49" fontId="4" fillId="0" borderId="1" xfId="0" quotePrefix="1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7" fillId="3" borderId="1" xfId="0" applyFont="1" applyFill="1" applyBorder="1"/>
    <xf numFmtId="0" fontId="7" fillId="3" borderId="1" xfId="0" applyFont="1" applyFill="1" applyBorder="1" applyAlignment="1">
      <alignment horizontal="center" vertical="center"/>
    </xf>
    <xf numFmtId="0" fontId="27" fillId="0" borderId="0" xfId="0" applyFont="1"/>
    <xf numFmtId="0" fontId="27" fillId="0" borderId="17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9" fillId="2" borderId="7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7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/>
    </xf>
    <xf numFmtId="0" fontId="27" fillId="0" borderId="3" xfId="0" applyFont="1" applyBorder="1"/>
    <xf numFmtId="0" fontId="28" fillId="0" borderId="4" xfId="0" applyFont="1" applyBorder="1" applyAlignment="1">
      <alignment horizontal="center" vertical="center"/>
    </xf>
    <xf numFmtId="0" fontId="29" fillId="0" borderId="1" xfId="0" applyFont="1" applyBorder="1"/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7" fillId="11" borderId="1" xfId="0" applyFont="1" applyFill="1" applyBorder="1"/>
    <xf numFmtId="0" fontId="32" fillId="3" borderId="0" xfId="0" applyFont="1" applyFill="1"/>
    <xf numFmtId="0" fontId="35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8" fillId="2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7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0" fontId="27" fillId="3" borderId="1" xfId="0" applyFont="1" applyFill="1" applyBorder="1"/>
    <xf numFmtId="0" fontId="8" fillId="5" borderId="1" xfId="0" applyFont="1" applyFill="1" applyBorder="1" applyAlignment="1">
      <alignment horizontal="center" vertical="center"/>
    </xf>
    <xf numFmtId="0" fontId="4" fillId="5" borderId="1" xfId="0" applyFont="1" applyFill="1" applyBorder="1"/>
    <xf numFmtId="0" fontId="27" fillId="8" borderId="1" xfId="0" applyFont="1" applyFill="1" applyBorder="1" applyAlignment="1">
      <alignment horizontal="center" vertical="center"/>
    </xf>
    <xf numFmtId="0" fontId="38" fillId="0" borderId="0" xfId="0" applyFont="1"/>
    <xf numFmtId="0" fontId="4" fillId="19" borderId="1" xfId="0" applyFont="1" applyFill="1" applyBorder="1"/>
    <xf numFmtId="0" fontId="7" fillId="0" borderId="10" xfId="0" applyFont="1" applyBorder="1"/>
    <xf numFmtId="0" fontId="8" fillId="18" borderId="1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center" vertical="center"/>
    </xf>
    <xf numFmtId="0" fontId="8" fillId="18" borderId="1" xfId="0" applyFont="1" applyFill="1" applyBorder="1"/>
    <xf numFmtId="0" fontId="27" fillId="18" borderId="1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 wrapText="1"/>
    </xf>
    <xf numFmtId="0" fontId="2" fillId="11" borderId="1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4" borderId="17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4" fillId="0" borderId="1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9" fillId="3" borderId="10" xfId="0" applyFont="1" applyFill="1" applyBorder="1" applyAlignment="1">
      <alignment horizontal="left" vertical="top" wrapText="1"/>
    </xf>
    <xf numFmtId="0" fontId="9" fillId="3" borderId="7" xfId="0" applyFont="1" applyFill="1" applyBorder="1" applyAlignment="1">
      <alignment horizontal="left" vertical="top"/>
    </xf>
    <xf numFmtId="0" fontId="9" fillId="3" borderId="11" xfId="0" applyFont="1" applyFill="1" applyBorder="1" applyAlignment="1">
      <alignment horizontal="left" vertical="top"/>
    </xf>
    <xf numFmtId="0" fontId="9" fillId="2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9" fillId="7" borderId="8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4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3" borderId="0" xfId="0" applyFont="1" applyFill="1" applyBorder="1" applyAlignment="1">
      <alignment horizontal="center" vertical="center"/>
    </xf>
    <xf numFmtId="9" fontId="4" fillId="0" borderId="0" xfId="0" applyNumberFormat="1" applyFont="1" applyBorder="1" applyAlignment="1">
      <alignment horizontal="center" vertical="center"/>
    </xf>
    <xf numFmtId="177" fontId="27" fillId="18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5"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22678-5A4C-420A-B661-8CD637C1EB8A}">
  <dimension ref="B2:B9"/>
  <sheetViews>
    <sheetView workbookViewId="0">
      <selection activeCell="E31" sqref="E31"/>
    </sheetView>
  </sheetViews>
  <sheetFormatPr defaultRowHeight="14.25" x14ac:dyDescent="0.2"/>
  <sheetData>
    <row r="2" spans="2:2" x14ac:dyDescent="0.2">
      <c r="B2" t="s">
        <v>3555</v>
      </c>
    </row>
    <row r="3" spans="2:2" x14ac:dyDescent="0.2">
      <c r="B3" t="s">
        <v>3556</v>
      </c>
    </row>
    <row r="4" spans="2:2" x14ac:dyDescent="0.2">
      <c r="B4" t="s">
        <v>3557</v>
      </c>
    </row>
    <row r="6" spans="2:2" x14ac:dyDescent="0.2">
      <c r="B6" t="s">
        <v>3747</v>
      </c>
    </row>
    <row r="8" spans="2:2" x14ac:dyDescent="0.2">
      <c r="B8" t="s">
        <v>3746</v>
      </c>
    </row>
    <row r="9" spans="2:2" x14ac:dyDescent="0.2">
      <c r="B9" t="s">
        <v>3664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F573-9FF7-420B-8671-EE6BF4584CA4}">
  <dimension ref="A1:BE53"/>
  <sheetViews>
    <sheetView topLeftCell="F2" workbookViewId="0">
      <selection activeCell="L7" sqref="L7"/>
    </sheetView>
  </sheetViews>
  <sheetFormatPr defaultRowHeight="16.5" x14ac:dyDescent="0.3"/>
  <cols>
    <col min="1" max="2" width="11.375" style="12" bestFit="1" customWidth="1"/>
    <col min="3" max="3" width="15.125" style="12" bestFit="1" customWidth="1"/>
    <col min="4" max="5" width="9" style="12"/>
    <col min="6" max="7" width="13.25" style="12" bestFit="1" customWidth="1"/>
    <col min="8" max="8" width="36.125" style="12" bestFit="1" customWidth="1"/>
    <col min="9" max="9" width="9" style="12"/>
    <col min="10" max="10" width="22.875" style="12" bestFit="1" customWidth="1"/>
    <col min="11" max="12" width="9" style="12"/>
    <col min="13" max="13" width="11.625" style="12" bestFit="1" customWidth="1"/>
    <col min="14" max="14" width="8.5" style="12" bestFit="1" customWidth="1"/>
    <col min="15" max="15" width="8.5" style="12" customWidth="1"/>
    <col min="16" max="16" width="8.5" style="12" bestFit="1" customWidth="1"/>
    <col min="17" max="17" width="8.5" style="12" customWidth="1"/>
    <col min="18" max="18" width="7.375" style="12" bestFit="1" customWidth="1"/>
    <col min="19" max="19" width="8.375" style="12" bestFit="1" customWidth="1"/>
    <col min="20" max="20" width="6.75" style="12" bestFit="1" customWidth="1"/>
    <col min="21" max="21" width="8.375" style="12" bestFit="1" customWidth="1"/>
    <col min="22" max="23" width="9" style="12" bestFit="1" customWidth="1"/>
    <col min="24" max="24" width="7.125" style="12" bestFit="1" customWidth="1"/>
    <col min="25" max="26" width="5.5" style="12" bestFit="1" customWidth="1"/>
    <col min="27" max="27" width="5.5" style="13" bestFit="1" customWidth="1"/>
    <col min="28" max="29" width="9.25" style="13" bestFit="1" customWidth="1"/>
    <col min="30" max="30" width="9.25" style="12" bestFit="1" customWidth="1"/>
    <col min="31" max="32" width="9.625" style="12" bestFit="1" customWidth="1"/>
    <col min="33" max="34" width="7.125" style="12" bestFit="1" customWidth="1"/>
    <col min="35" max="35" width="9.25" style="12" bestFit="1" customWidth="1"/>
    <col min="36" max="36" width="8.5" style="12" bestFit="1" customWidth="1"/>
    <col min="37" max="39" width="9.25" style="12" bestFit="1" customWidth="1"/>
    <col min="40" max="41" width="6.25" style="12" bestFit="1" customWidth="1"/>
    <col min="42" max="42" width="9.25" style="12" bestFit="1" customWidth="1"/>
    <col min="43" max="43" width="8.5" style="12" bestFit="1" customWidth="1"/>
    <col min="44" max="44" width="9" style="12"/>
    <col min="45" max="45" width="9.25" style="12" bestFit="1" customWidth="1"/>
    <col min="46" max="46" width="17.5" style="12" bestFit="1" customWidth="1"/>
    <col min="47" max="47" width="9.25" style="12" bestFit="1" customWidth="1"/>
    <col min="48" max="48" width="17.5" style="12" bestFit="1" customWidth="1"/>
    <col min="49" max="49" width="9.25" style="12" bestFit="1" customWidth="1"/>
    <col min="50" max="50" width="17.5" style="12" bestFit="1" customWidth="1"/>
    <col min="51" max="51" width="9.25" style="12" bestFit="1" customWidth="1"/>
    <col min="52" max="52" width="13.25" style="12" bestFit="1" customWidth="1"/>
    <col min="53" max="54" width="9" style="12"/>
    <col min="55" max="55" width="23.75" style="12" bestFit="1" customWidth="1"/>
    <col min="56" max="56" width="9" style="12"/>
    <col min="57" max="57" width="11.25" style="12" bestFit="1" customWidth="1"/>
    <col min="58" max="16384" width="9" style="12"/>
  </cols>
  <sheetData>
    <row r="1" spans="1:57" ht="21" x14ac:dyDescent="0.4">
      <c r="A1" s="243" t="s">
        <v>3544</v>
      </c>
      <c r="B1" s="243"/>
      <c r="C1" s="243"/>
      <c r="D1" s="243"/>
      <c r="E1" s="243"/>
      <c r="F1" s="243"/>
      <c r="G1" s="243"/>
      <c r="H1" s="243"/>
      <c r="M1" s="248" t="s">
        <v>3793</v>
      </c>
      <c r="N1" s="248"/>
      <c r="O1" s="248"/>
      <c r="P1" s="248"/>
      <c r="Q1" s="248"/>
      <c r="R1" s="248"/>
      <c r="S1" s="248"/>
      <c r="T1" s="248"/>
      <c r="U1" s="248"/>
      <c r="V1" s="248"/>
      <c r="W1" s="248"/>
      <c r="X1" s="248"/>
      <c r="Y1" s="248"/>
      <c r="Z1" s="248"/>
      <c r="AA1" s="248"/>
      <c r="AB1" s="248"/>
      <c r="AC1" s="248"/>
      <c r="AD1" s="248"/>
      <c r="AE1" s="248"/>
      <c r="AF1" s="248"/>
      <c r="AG1" s="248"/>
      <c r="AH1" s="248"/>
      <c r="AI1" s="248"/>
      <c r="AJ1" s="248"/>
      <c r="AK1" s="248"/>
      <c r="AL1" s="248"/>
      <c r="AM1" s="248"/>
      <c r="AN1" s="248"/>
      <c r="AO1" s="248"/>
      <c r="AP1" s="248"/>
      <c r="AQ1" s="248"/>
      <c r="AS1" s="243" t="s">
        <v>3795</v>
      </c>
      <c r="AT1" s="243"/>
      <c r="AU1" s="243"/>
      <c r="AV1" s="243"/>
      <c r="AW1" s="243"/>
      <c r="AX1" s="243"/>
      <c r="AY1" s="243"/>
      <c r="AZ1" s="243"/>
      <c r="BB1" s="248" t="s">
        <v>3796</v>
      </c>
      <c r="BC1" s="248"/>
      <c r="BD1" s="248"/>
      <c r="BE1" s="248"/>
    </row>
    <row r="2" spans="1:57" ht="21" x14ac:dyDescent="0.3">
      <c r="A2" s="241" t="s">
        <v>3425</v>
      </c>
      <c r="B2" s="175" t="s">
        <v>3394</v>
      </c>
      <c r="C2" s="245" t="s">
        <v>3479</v>
      </c>
      <c r="D2" s="245"/>
      <c r="E2" s="245"/>
      <c r="F2" s="246" t="s">
        <v>3491</v>
      </c>
      <c r="G2" s="247"/>
      <c r="H2" s="7" t="s">
        <v>3492</v>
      </c>
      <c r="M2" s="8"/>
      <c r="N2" s="20" t="s">
        <v>37</v>
      </c>
      <c r="O2" s="20" t="s">
        <v>3797</v>
      </c>
      <c r="P2" s="20" t="s">
        <v>38</v>
      </c>
      <c r="Q2" s="20" t="s">
        <v>3797</v>
      </c>
      <c r="R2" s="20" t="s">
        <v>3</v>
      </c>
      <c r="S2" s="20" t="s">
        <v>3797</v>
      </c>
      <c r="T2" s="20" t="s">
        <v>2</v>
      </c>
      <c r="U2" s="20" t="s">
        <v>3797</v>
      </c>
      <c r="V2" s="149" t="s">
        <v>2690</v>
      </c>
      <c r="W2" s="149" t="s">
        <v>3002</v>
      </c>
      <c r="X2" s="149" t="s">
        <v>2268</v>
      </c>
      <c r="Y2" s="149" t="s">
        <v>1919</v>
      </c>
      <c r="Z2" s="149" t="s">
        <v>3314</v>
      </c>
      <c r="AA2" s="149" t="s">
        <v>1920</v>
      </c>
      <c r="AB2" s="149" t="s">
        <v>2267</v>
      </c>
      <c r="AC2" s="149" t="s">
        <v>2999</v>
      </c>
      <c r="AD2" s="149" t="s">
        <v>3000</v>
      </c>
      <c r="AE2" s="149" t="s">
        <v>3315</v>
      </c>
      <c r="AF2" s="149" t="s">
        <v>3316</v>
      </c>
      <c r="AG2" s="149" t="s">
        <v>3317</v>
      </c>
      <c r="AH2" s="149" t="s">
        <v>3318</v>
      </c>
      <c r="AI2" s="149" t="s">
        <v>2269</v>
      </c>
      <c r="AJ2" s="149" t="s">
        <v>2271</v>
      </c>
      <c r="AK2" s="149" t="s">
        <v>2270</v>
      </c>
      <c r="AL2" s="149" t="s">
        <v>2997</v>
      </c>
      <c r="AM2" s="149" t="s">
        <v>3794</v>
      </c>
      <c r="AN2" s="149" t="s">
        <v>3320</v>
      </c>
      <c r="AO2" s="149" t="s">
        <v>3321</v>
      </c>
      <c r="AP2" s="149" t="s">
        <v>3003</v>
      </c>
      <c r="AQ2" s="149" t="s">
        <v>2996</v>
      </c>
      <c r="AS2" s="18" t="s">
        <v>55</v>
      </c>
      <c r="AT2" s="18" t="s">
        <v>3494</v>
      </c>
      <c r="AU2" s="18" t="s">
        <v>55</v>
      </c>
      <c r="AV2" s="18" t="s">
        <v>3495</v>
      </c>
      <c r="AW2" s="18" t="s">
        <v>55</v>
      </c>
      <c r="AX2" s="157" t="s">
        <v>3496</v>
      </c>
      <c r="AY2" s="18" t="s">
        <v>55</v>
      </c>
      <c r="AZ2" s="18" t="s">
        <v>3497</v>
      </c>
      <c r="BB2" s="18" t="s">
        <v>49</v>
      </c>
      <c r="BC2" s="18" t="s">
        <v>3498</v>
      </c>
      <c r="BD2" s="18" t="s">
        <v>3499</v>
      </c>
      <c r="BE2" s="18" t="s">
        <v>3500</v>
      </c>
    </row>
    <row r="3" spans="1:57" ht="16.5" customHeight="1" x14ac:dyDescent="0.3">
      <c r="A3" s="242"/>
      <c r="B3" s="170" t="s">
        <v>3395</v>
      </c>
      <c r="C3" s="15" t="s">
        <v>0</v>
      </c>
      <c r="D3" s="15" t="s">
        <v>3396</v>
      </c>
      <c r="E3" s="15" t="s">
        <v>3</v>
      </c>
      <c r="F3" s="177" t="s">
        <v>3465</v>
      </c>
      <c r="G3" s="176" t="s">
        <v>3466</v>
      </c>
      <c r="H3" s="192" t="s">
        <v>3493</v>
      </c>
      <c r="I3" s="244" t="s">
        <v>3490</v>
      </c>
      <c r="J3" s="195" t="s">
        <v>3478</v>
      </c>
      <c r="K3" s="199">
        <v>0.5</v>
      </c>
      <c r="L3" s="194"/>
      <c r="M3" s="233" t="s">
        <v>28</v>
      </c>
      <c r="N3" s="236">
        <v>35000</v>
      </c>
      <c r="O3" s="331">
        <f>N3/$N$39</f>
        <v>0.35</v>
      </c>
      <c r="P3" s="236">
        <v>60000</v>
      </c>
      <c r="Q3" s="331">
        <f>P3/$P$39</f>
        <v>0.3</v>
      </c>
      <c r="R3" s="236">
        <v>500</v>
      </c>
      <c r="S3" s="331">
        <f>R3/$R$39</f>
        <v>0.05</v>
      </c>
      <c r="T3" s="236">
        <v>500</v>
      </c>
      <c r="U3" s="331">
        <f>T3/$T$39</f>
        <v>0.1</v>
      </c>
      <c r="V3" s="181">
        <v>0</v>
      </c>
      <c r="W3" s="181">
        <v>0</v>
      </c>
      <c r="X3" s="181">
        <v>0</v>
      </c>
      <c r="Y3" s="181">
        <v>0</v>
      </c>
      <c r="Z3" s="181">
        <v>0</v>
      </c>
      <c r="AA3" s="181">
        <v>0</v>
      </c>
      <c r="AB3" s="181">
        <v>0</v>
      </c>
      <c r="AC3" s="181">
        <v>0</v>
      </c>
      <c r="AD3" s="181">
        <v>0</v>
      </c>
      <c r="AE3" s="181">
        <v>0</v>
      </c>
      <c r="AF3" s="181">
        <v>0</v>
      </c>
      <c r="AG3" s="181">
        <v>0</v>
      </c>
      <c r="AH3" s="181">
        <v>0</v>
      </c>
      <c r="AI3" s="181">
        <v>0</v>
      </c>
      <c r="AJ3" s="181">
        <v>0</v>
      </c>
      <c r="AK3" s="181">
        <v>0</v>
      </c>
      <c r="AL3" s="181">
        <v>0</v>
      </c>
      <c r="AM3" s="181">
        <v>0</v>
      </c>
      <c r="AN3" s="181">
        <v>0</v>
      </c>
      <c r="AO3" s="181">
        <v>0</v>
      </c>
      <c r="AP3" s="181">
        <v>0</v>
      </c>
      <c r="AQ3" s="181">
        <v>0</v>
      </c>
      <c r="AS3" s="10">
        <v>1</v>
      </c>
      <c r="AT3" s="15">
        <v>0.5</v>
      </c>
      <c r="AU3" s="10">
        <v>1</v>
      </c>
      <c r="AV3" s="15">
        <v>0.6</v>
      </c>
      <c r="AW3" s="10">
        <v>1</v>
      </c>
      <c r="AX3" s="15">
        <v>0.5</v>
      </c>
      <c r="AY3" s="10">
        <v>1</v>
      </c>
      <c r="AZ3" s="15">
        <v>0.5</v>
      </c>
      <c r="BB3" s="10" t="s">
        <v>63</v>
      </c>
      <c r="BC3" s="10" t="s">
        <v>3401</v>
      </c>
      <c r="BD3" s="10">
        <v>1</v>
      </c>
      <c r="BE3" s="10">
        <v>1E-3</v>
      </c>
    </row>
    <row r="4" spans="1:57" x14ac:dyDescent="0.3">
      <c r="A4" s="170">
        <v>1</v>
      </c>
      <c r="B4" s="170">
        <v>1</v>
      </c>
      <c r="C4" s="15">
        <v>35</v>
      </c>
      <c r="D4" s="15">
        <v>0</v>
      </c>
      <c r="E4" s="15">
        <v>200</v>
      </c>
      <c r="F4" s="10">
        <v>0.5</v>
      </c>
      <c r="G4" s="146">
        <v>0.8</v>
      </c>
      <c r="H4" s="192">
        <v>0.62150000000000005</v>
      </c>
      <c r="I4" s="244"/>
      <c r="J4" s="195" t="s">
        <v>3480</v>
      </c>
      <c r="K4" s="199">
        <v>0.6</v>
      </c>
      <c r="L4" s="194"/>
      <c r="M4" s="18" t="s">
        <v>29</v>
      </c>
      <c r="N4" s="237">
        <v>0</v>
      </c>
      <c r="O4" s="331">
        <f t="shared" ref="O4:O38" si="0">N4/$N$39</f>
        <v>0</v>
      </c>
      <c r="P4" s="237">
        <v>0</v>
      </c>
      <c r="Q4" s="331">
        <f t="shared" ref="Q4:Q39" si="1">P4/$P$39</f>
        <v>0</v>
      </c>
      <c r="R4" s="237">
        <v>500</v>
      </c>
      <c r="S4" s="331">
        <f t="shared" ref="S4:S39" si="2">R4/$R$39</f>
        <v>0.05</v>
      </c>
      <c r="T4" s="237">
        <v>0</v>
      </c>
      <c r="U4" s="331">
        <f t="shared" ref="U4:U39" si="3">T4/$T$39</f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20</v>
      </c>
      <c r="AS4" s="10">
        <v>2</v>
      </c>
      <c r="AT4" s="15">
        <v>0.5</v>
      </c>
      <c r="AU4" s="10">
        <v>2</v>
      </c>
      <c r="AV4" s="15">
        <v>0.6</v>
      </c>
      <c r="AW4" s="10">
        <v>2</v>
      </c>
      <c r="AX4" s="15">
        <v>0.55000000000000004</v>
      </c>
      <c r="AY4" s="10">
        <v>2</v>
      </c>
      <c r="AZ4" s="15">
        <v>0.55000000000000004</v>
      </c>
      <c r="BB4" s="10" t="s">
        <v>35</v>
      </c>
      <c r="BC4" s="10" t="s">
        <v>3416</v>
      </c>
      <c r="BD4" s="10">
        <v>1</v>
      </c>
      <c r="BE4" s="10">
        <v>500</v>
      </c>
    </row>
    <row r="5" spans="1:57" x14ac:dyDescent="0.3">
      <c r="A5" s="170">
        <v>2</v>
      </c>
      <c r="B5" s="170">
        <v>2</v>
      </c>
      <c r="C5" s="15">
        <v>40</v>
      </c>
      <c r="D5" s="15">
        <v>0</v>
      </c>
      <c r="E5" s="15">
        <v>300</v>
      </c>
      <c r="F5" s="10">
        <v>0.6</v>
      </c>
      <c r="G5" s="146">
        <v>0.9</v>
      </c>
      <c r="H5" s="192">
        <v>0.63500000000000001</v>
      </c>
      <c r="I5" s="244"/>
      <c r="J5" s="195" t="s">
        <v>3481</v>
      </c>
      <c r="K5" s="199">
        <v>0.65</v>
      </c>
      <c r="L5" s="194"/>
      <c r="M5" s="233" t="s">
        <v>30</v>
      </c>
      <c r="N5" s="236">
        <v>5000</v>
      </c>
      <c r="O5" s="331">
        <f t="shared" si="0"/>
        <v>0.05</v>
      </c>
      <c r="P5" s="236">
        <v>0</v>
      </c>
      <c r="Q5" s="331">
        <f t="shared" si="1"/>
        <v>0</v>
      </c>
      <c r="R5" s="236">
        <v>500</v>
      </c>
      <c r="S5" s="331">
        <f t="shared" si="2"/>
        <v>0.05</v>
      </c>
      <c r="T5" s="236">
        <v>250</v>
      </c>
      <c r="U5" s="331">
        <f t="shared" si="3"/>
        <v>0.05</v>
      </c>
      <c r="V5" s="181">
        <v>0</v>
      </c>
      <c r="W5" s="181">
        <v>0</v>
      </c>
      <c r="X5" s="181">
        <v>0</v>
      </c>
      <c r="Y5" s="181">
        <v>0</v>
      </c>
      <c r="Z5" s="181">
        <v>0</v>
      </c>
      <c r="AA5" s="181">
        <v>0</v>
      </c>
      <c r="AB5" s="181">
        <v>0</v>
      </c>
      <c r="AC5" s="181">
        <v>0</v>
      </c>
      <c r="AD5" s="181">
        <v>0</v>
      </c>
      <c r="AE5" s="181">
        <v>0</v>
      </c>
      <c r="AF5" s="181">
        <v>0</v>
      </c>
      <c r="AG5" s="181">
        <v>0</v>
      </c>
      <c r="AH5" s="181">
        <v>0</v>
      </c>
      <c r="AI5" s="181">
        <v>0</v>
      </c>
      <c r="AJ5" s="181">
        <v>0</v>
      </c>
      <c r="AK5" s="181">
        <v>0</v>
      </c>
      <c r="AL5" s="181">
        <v>0</v>
      </c>
      <c r="AM5" s="181">
        <v>0</v>
      </c>
      <c r="AN5" s="181">
        <v>0</v>
      </c>
      <c r="AO5" s="181">
        <v>0</v>
      </c>
      <c r="AP5" s="181">
        <v>0</v>
      </c>
      <c r="AQ5" s="181">
        <v>0</v>
      </c>
      <c r="AS5" s="10">
        <v>3</v>
      </c>
      <c r="AT5" s="15">
        <v>0.5</v>
      </c>
      <c r="AU5" s="10">
        <v>3</v>
      </c>
      <c r="AV5" s="15">
        <v>0.6</v>
      </c>
      <c r="AW5" s="10">
        <v>3</v>
      </c>
      <c r="AX5" s="15">
        <v>0.6</v>
      </c>
      <c r="AY5" s="10">
        <v>3</v>
      </c>
      <c r="AZ5" s="15">
        <v>0.6</v>
      </c>
      <c r="BB5" s="249" t="s">
        <v>1963</v>
      </c>
      <c r="BC5" s="10" t="s">
        <v>3501</v>
      </c>
      <c r="BD5" s="10">
        <v>1</v>
      </c>
      <c r="BE5" s="10">
        <v>50</v>
      </c>
    </row>
    <row r="6" spans="1:57" x14ac:dyDescent="0.3">
      <c r="A6" s="170">
        <v>3</v>
      </c>
      <c r="B6" s="170">
        <v>1.5</v>
      </c>
      <c r="C6" s="15">
        <v>50</v>
      </c>
      <c r="D6" s="15">
        <v>0</v>
      </c>
      <c r="E6" s="15">
        <v>400</v>
      </c>
      <c r="F6" s="10">
        <v>0.7</v>
      </c>
      <c r="G6" s="146">
        <v>1</v>
      </c>
      <c r="H6" s="192">
        <v>0.64849999999999997</v>
      </c>
      <c r="I6" s="244"/>
      <c r="J6" s="195" t="s">
        <v>3482</v>
      </c>
      <c r="K6" s="199">
        <v>0.7</v>
      </c>
      <c r="L6" s="194"/>
      <c r="M6" s="18" t="s">
        <v>31</v>
      </c>
      <c r="N6" s="237">
        <v>10000</v>
      </c>
      <c r="O6" s="331">
        <f t="shared" si="0"/>
        <v>0.1</v>
      </c>
      <c r="P6" s="237">
        <v>20000</v>
      </c>
      <c r="Q6" s="331">
        <f t="shared" si="1"/>
        <v>0.1</v>
      </c>
      <c r="R6" s="237">
        <v>500</v>
      </c>
      <c r="S6" s="331">
        <f t="shared" si="2"/>
        <v>0.05</v>
      </c>
      <c r="T6" s="237">
        <v>0</v>
      </c>
      <c r="U6" s="331">
        <f t="shared" si="3"/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S6" s="10">
        <v>4</v>
      </c>
      <c r="AT6" s="15">
        <v>0.5</v>
      </c>
      <c r="AU6" s="10">
        <v>4</v>
      </c>
      <c r="AV6" s="15">
        <v>0.6</v>
      </c>
      <c r="AW6" s="10">
        <v>4</v>
      </c>
      <c r="AX6" s="15">
        <v>0.65</v>
      </c>
      <c r="AY6" s="10">
        <v>4</v>
      </c>
      <c r="AZ6" s="15">
        <v>0.65</v>
      </c>
      <c r="BB6" s="249"/>
      <c r="BC6" s="10" t="s">
        <v>3502</v>
      </c>
      <c r="BD6" s="10">
        <v>1</v>
      </c>
      <c r="BE6" s="10">
        <v>50</v>
      </c>
    </row>
    <row r="7" spans="1:57" x14ac:dyDescent="0.3">
      <c r="A7" s="170">
        <v>4</v>
      </c>
      <c r="B7" s="170">
        <v>1</v>
      </c>
      <c r="C7" s="15">
        <v>60</v>
      </c>
      <c r="D7" s="15">
        <v>0</v>
      </c>
      <c r="E7" s="15">
        <v>500</v>
      </c>
      <c r="F7" s="10">
        <v>0.8</v>
      </c>
      <c r="G7" s="146">
        <v>1.1000000000000001</v>
      </c>
      <c r="H7" s="192">
        <v>0.66199999999999903</v>
      </c>
      <c r="I7" s="244"/>
      <c r="J7" s="195" t="s">
        <v>3483</v>
      </c>
      <c r="K7" s="199">
        <v>0.75</v>
      </c>
      <c r="L7" s="194"/>
      <c r="M7" s="233" t="s">
        <v>32</v>
      </c>
      <c r="N7" s="236">
        <v>15000</v>
      </c>
      <c r="O7" s="331">
        <f t="shared" si="0"/>
        <v>0.15</v>
      </c>
      <c r="P7" s="236">
        <v>60000</v>
      </c>
      <c r="Q7" s="331">
        <f t="shared" si="1"/>
        <v>0.3</v>
      </c>
      <c r="R7" s="236">
        <v>2000</v>
      </c>
      <c r="S7" s="331">
        <f t="shared" si="2"/>
        <v>0.2</v>
      </c>
      <c r="T7" s="236">
        <v>1500</v>
      </c>
      <c r="U7" s="331">
        <f t="shared" si="3"/>
        <v>0.3</v>
      </c>
      <c r="V7" s="181">
        <v>180</v>
      </c>
      <c r="W7" s="181">
        <v>10</v>
      </c>
      <c r="X7" s="181">
        <v>0</v>
      </c>
      <c r="Y7" s="181">
        <v>80</v>
      </c>
      <c r="Z7" s="181">
        <v>0</v>
      </c>
      <c r="AA7" s="181">
        <v>7</v>
      </c>
      <c r="AB7" s="181">
        <v>18</v>
      </c>
      <c r="AC7" s="181">
        <v>6</v>
      </c>
      <c r="AD7" s="181">
        <v>6</v>
      </c>
      <c r="AE7" s="181">
        <v>154</v>
      </c>
      <c r="AF7" s="181">
        <v>154</v>
      </c>
      <c r="AG7" s="181">
        <v>80</v>
      </c>
      <c r="AH7" s="181">
        <v>80</v>
      </c>
      <c r="AI7" s="181">
        <v>0</v>
      </c>
      <c r="AJ7" s="181">
        <v>0</v>
      </c>
      <c r="AK7" s="181">
        <v>0</v>
      </c>
      <c r="AL7" s="181">
        <v>0</v>
      </c>
      <c r="AM7" s="181">
        <v>0</v>
      </c>
      <c r="AN7" s="181">
        <v>0</v>
      </c>
      <c r="AO7" s="181">
        <v>0</v>
      </c>
      <c r="AP7" s="181">
        <v>0</v>
      </c>
      <c r="AQ7" s="181">
        <v>0</v>
      </c>
      <c r="AS7" s="10">
        <v>5</v>
      </c>
      <c r="AT7" s="15">
        <v>0.6</v>
      </c>
      <c r="AU7" s="10">
        <v>5</v>
      </c>
      <c r="AV7" s="15">
        <v>0.6</v>
      </c>
      <c r="AW7" s="10">
        <v>5</v>
      </c>
      <c r="AX7" s="15">
        <v>0.7</v>
      </c>
      <c r="AY7" s="10">
        <v>5</v>
      </c>
      <c r="AZ7" s="15">
        <v>0.7</v>
      </c>
      <c r="BB7" s="249"/>
      <c r="BC7" s="10" t="s">
        <v>3503</v>
      </c>
      <c r="BD7" s="10">
        <v>1</v>
      </c>
      <c r="BE7" s="10">
        <v>50</v>
      </c>
    </row>
    <row r="8" spans="1:57" x14ac:dyDescent="0.3">
      <c r="A8" s="170">
        <v>5</v>
      </c>
      <c r="B8" s="170">
        <v>1.25</v>
      </c>
      <c r="C8" s="15">
        <v>65</v>
      </c>
      <c r="D8" s="15">
        <v>0</v>
      </c>
      <c r="E8" s="15">
        <v>650</v>
      </c>
      <c r="F8" s="10">
        <v>0.9</v>
      </c>
      <c r="G8" s="146">
        <v>1.2</v>
      </c>
      <c r="H8" s="192">
        <v>0.67549999999999899</v>
      </c>
      <c r="I8" s="244"/>
      <c r="J8" s="195" t="s">
        <v>3484</v>
      </c>
      <c r="K8" s="199">
        <v>1.1000000000000001</v>
      </c>
      <c r="L8" s="194"/>
      <c r="M8" s="18" t="s">
        <v>1963</v>
      </c>
      <c r="N8" s="237">
        <v>5000</v>
      </c>
      <c r="O8" s="331">
        <f t="shared" si="0"/>
        <v>0.05</v>
      </c>
      <c r="P8" s="237">
        <v>0</v>
      </c>
      <c r="Q8" s="331">
        <f t="shared" si="1"/>
        <v>0</v>
      </c>
      <c r="R8" s="237">
        <v>500</v>
      </c>
      <c r="S8" s="331">
        <f t="shared" si="2"/>
        <v>0.05</v>
      </c>
      <c r="T8" s="237">
        <v>250</v>
      </c>
      <c r="U8" s="331">
        <f t="shared" si="3"/>
        <v>0.05</v>
      </c>
      <c r="V8" s="10">
        <v>0</v>
      </c>
      <c r="W8" s="10">
        <v>0</v>
      </c>
      <c r="X8" s="10">
        <v>0</v>
      </c>
      <c r="Y8" s="10">
        <v>40</v>
      </c>
      <c r="Z8" s="10">
        <v>0</v>
      </c>
      <c r="AA8" s="10">
        <v>0</v>
      </c>
      <c r="AB8" s="10">
        <v>20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20</v>
      </c>
      <c r="AJ8" s="10">
        <v>10</v>
      </c>
      <c r="AK8" s="10">
        <v>0</v>
      </c>
      <c r="AL8" s="10">
        <v>20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S8" s="10">
        <v>6</v>
      </c>
      <c r="AT8" s="15">
        <v>0.6</v>
      </c>
      <c r="AU8" s="10">
        <v>6</v>
      </c>
      <c r="AV8" s="15">
        <v>0.65</v>
      </c>
      <c r="AW8" s="10">
        <v>6</v>
      </c>
      <c r="AX8" s="15">
        <v>0.75</v>
      </c>
      <c r="AY8" s="10">
        <v>6</v>
      </c>
      <c r="AZ8" s="15">
        <v>0.75</v>
      </c>
      <c r="BB8" s="249"/>
      <c r="BC8" s="10" t="s">
        <v>3504</v>
      </c>
      <c r="BD8" s="10">
        <v>1</v>
      </c>
      <c r="BE8" s="10">
        <v>50</v>
      </c>
    </row>
    <row r="9" spans="1:57" x14ac:dyDescent="0.3">
      <c r="A9" s="170">
        <v>6</v>
      </c>
      <c r="B9" s="170">
        <v>1.5</v>
      </c>
      <c r="C9" s="15">
        <v>70</v>
      </c>
      <c r="D9" s="15">
        <v>0</v>
      </c>
      <c r="E9" s="15">
        <v>800</v>
      </c>
      <c r="F9" s="10">
        <v>1</v>
      </c>
      <c r="G9" s="146">
        <v>1.3</v>
      </c>
      <c r="H9" s="192">
        <v>0.68899999999999895</v>
      </c>
      <c r="I9" s="244"/>
      <c r="J9" s="195" t="s">
        <v>3679</v>
      </c>
      <c r="K9" s="195">
        <v>1</v>
      </c>
      <c r="L9" s="194"/>
      <c r="M9" s="233" t="s">
        <v>3390</v>
      </c>
      <c r="N9" s="236">
        <v>10000</v>
      </c>
      <c r="O9" s="331">
        <f t="shared" si="0"/>
        <v>0.1</v>
      </c>
      <c r="P9" s="236">
        <v>40000</v>
      </c>
      <c r="Q9" s="331">
        <f t="shared" si="1"/>
        <v>0.2</v>
      </c>
      <c r="R9" s="236">
        <v>500</v>
      </c>
      <c r="S9" s="331">
        <f t="shared" si="2"/>
        <v>0.05</v>
      </c>
      <c r="T9" s="236">
        <v>500</v>
      </c>
      <c r="U9" s="331">
        <f t="shared" si="3"/>
        <v>0.1</v>
      </c>
      <c r="V9" s="181">
        <v>10</v>
      </c>
      <c r="W9" s="181">
        <v>0</v>
      </c>
      <c r="X9" s="181">
        <v>0</v>
      </c>
      <c r="Y9" s="181">
        <v>0</v>
      </c>
      <c r="Z9" s="181">
        <v>0</v>
      </c>
      <c r="AA9" s="181">
        <v>0</v>
      </c>
      <c r="AB9" s="181">
        <v>0</v>
      </c>
      <c r="AC9" s="181">
        <v>0</v>
      </c>
      <c r="AD9" s="181">
        <v>0</v>
      </c>
      <c r="AE9" s="181">
        <v>70</v>
      </c>
      <c r="AF9" s="181">
        <v>70</v>
      </c>
      <c r="AG9" s="181">
        <v>20</v>
      </c>
      <c r="AH9" s="181">
        <v>20</v>
      </c>
      <c r="AI9" s="181">
        <v>10</v>
      </c>
      <c r="AJ9" s="181">
        <v>0</v>
      </c>
      <c r="AK9" s="181">
        <v>0</v>
      </c>
      <c r="AL9" s="181">
        <v>0</v>
      </c>
      <c r="AM9" s="181">
        <v>0</v>
      </c>
      <c r="AN9" s="181">
        <v>2000</v>
      </c>
      <c r="AO9" s="181">
        <v>2000</v>
      </c>
      <c r="AP9" s="181">
        <v>0</v>
      </c>
      <c r="AQ9" s="181">
        <v>0</v>
      </c>
      <c r="AS9" s="10">
        <v>7</v>
      </c>
      <c r="AT9" s="15">
        <v>0.6</v>
      </c>
      <c r="AU9" s="10">
        <v>7</v>
      </c>
      <c r="AV9" s="15">
        <v>0.65</v>
      </c>
      <c r="AW9" s="10">
        <v>7</v>
      </c>
      <c r="AX9" s="15">
        <v>0.8</v>
      </c>
      <c r="AY9" s="10">
        <v>7</v>
      </c>
      <c r="AZ9" s="15">
        <v>0.8</v>
      </c>
      <c r="BB9" s="10" t="s">
        <v>3505</v>
      </c>
      <c r="BC9" s="10" t="s">
        <v>3408</v>
      </c>
      <c r="BD9" s="10">
        <v>1</v>
      </c>
      <c r="BE9" s="10">
        <v>15</v>
      </c>
    </row>
    <row r="10" spans="1:57" x14ac:dyDescent="0.3">
      <c r="A10" s="170">
        <v>7</v>
      </c>
      <c r="B10" s="170">
        <v>1.7</v>
      </c>
      <c r="C10" s="15">
        <v>75</v>
      </c>
      <c r="D10" s="15">
        <v>0</v>
      </c>
      <c r="E10" s="15">
        <v>950</v>
      </c>
      <c r="F10" s="10">
        <v>1.1000000000000001</v>
      </c>
      <c r="G10" s="146">
        <v>1.4</v>
      </c>
      <c r="H10" s="192">
        <v>0.70249999999999901</v>
      </c>
      <c r="I10" s="244"/>
      <c r="J10" s="195" t="s">
        <v>3682</v>
      </c>
      <c r="K10" s="199">
        <v>1</v>
      </c>
      <c r="L10" s="194"/>
      <c r="M10" s="18" t="s">
        <v>2751</v>
      </c>
      <c r="N10" s="237">
        <v>0</v>
      </c>
      <c r="O10" s="331">
        <f t="shared" si="0"/>
        <v>0</v>
      </c>
      <c r="P10" s="237">
        <v>0</v>
      </c>
      <c r="Q10" s="331">
        <f t="shared" si="1"/>
        <v>0</v>
      </c>
      <c r="R10" s="237">
        <v>500</v>
      </c>
      <c r="S10" s="331">
        <f t="shared" si="2"/>
        <v>0.05</v>
      </c>
      <c r="T10" s="237">
        <v>250</v>
      </c>
      <c r="U10" s="331">
        <f t="shared" si="3"/>
        <v>0.05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S10" s="10">
        <v>8</v>
      </c>
      <c r="AT10" s="15">
        <v>0.6</v>
      </c>
      <c r="AU10" s="10">
        <v>8</v>
      </c>
      <c r="AV10" s="15">
        <v>0.65</v>
      </c>
      <c r="AW10" s="10">
        <v>8</v>
      </c>
      <c r="AX10" s="15">
        <v>0.85</v>
      </c>
      <c r="AY10" s="10">
        <v>8</v>
      </c>
      <c r="AZ10" s="15">
        <v>0.85</v>
      </c>
      <c r="BB10" s="249" t="s">
        <v>31</v>
      </c>
      <c r="BC10" s="10" t="s">
        <v>3399</v>
      </c>
      <c r="BD10" s="10">
        <v>1</v>
      </c>
      <c r="BE10" s="10">
        <v>15</v>
      </c>
    </row>
    <row r="11" spans="1:57" x14ac:dyDescent="0.3">
      <c r="A11" s="170">
        <v>8</v>
      </c>
      <c r="B11" s="170">
        <v>3.1</v>
      </c>
      <c r="C11" s="15">
        <v>80</v>
      </c>
      <c r="D11" s="15">
        <v>1</v>
      </c>
      <c r="E11" s="15">
        <v>1100</v>
      </c>
      <c r="F11" s="10">
        <v>1.2</v>
      </c>
      <c r="G11" s="146">
        <v>1.5</v>
      </c>
      <c r="H11" s="192">
        <v>0.71599999999999897</v>
      </c>
      <c r="I11" s="244"/>
      <c r="J11" s="195" t="s">
        <v>3680</v>
      </c>
      <c r="K11" s="199">
        <v>1</v>
      </c>
      <c r="L11" s="194"/>
      <c r="M11" s="233" t="s">
        <v>2752</v>
      </c>
      <c r="N11" s="234">
        <v>0</v>
      </c>
      <c r="O11" s="331">
        <f t="shared" si="0"/>
        <v>0</v>
      </c>
      <c r="P11" s="234">
        <v>0</v>
      </c>
      <c r="Q11" s="331">
        <f t="shared" si="1"/>
        <v>0</v>
      </c>
      <c r="R11" s="234">
        <v>500</v>
      </c>
      <c r="S11" s="331">
        <f t="shared" si="2"/>
        <v>0.05</v>
      </c>
      <c r="T11" s="234">
        <v>250</v>
      </c>
      <c r="U11" s="331">
        <f t="shared" si="3"/>
        <v>0.05</v>
      </c>
      <c r="V11" s="234">
        <v>0</v>
      </c>
      <c r="W11" s="234">
        <v>1.8180000000000001</v>
      </c>
      <c r="X11" s="234">
        <v>0</v>
      </c>
      <c r="Y11" s="234">
        <v>0</v>
      </c>
      <c r="Z11" s="234">
        <v>0</v>
      </c>
      <c r="AA11" s="234">
        <v>0</v>
      </c>
      <c r="AB11" s="234">
        <v>1.8180000000000001</v>
      </c>
      <c r="AC11" s="234">
        <v>1.8180000000000001</v>
      </c>
      <c r="AD11" s="234">
        <v>1.8180000000000001</v>
      </c>
      <c r="AE11" s="234">
        <v>1.8180000000000001</v>
      </c>
      <c r="AF11" s="234">
        <v>1.8180000000000001</v>
      </c>
      <c r="AG11" s="234">
        <v>0</v>
      </c>
      <c r="AH11" s="234">
        <v>0</v>
      </c>
      <c r="AI11" s="234">
        <v>1.8180000000000001</v>
      </c>
      <c r="AJ11" s="234">
        <v>1.8180000000000001</v>
      </c>
      <c r="AK11" s="234">
        <v>0</v>
      </c>
      <c r="AL11" s="234">
        <v>1.8180000000000001</v>
      </c>
      <c r="AM11" s="234">
        <v>1.8180000000000001</v>
      </c>
      <c r="AN11" s="234">
        <v>0</v>
      </c>
      <c r="AO11" s="234">
        <v>0</v>
      </c>
      <c r="AP11" s="234">
        <v>1.8180000000000001</v>
      </c>
      <c r="AQ11" s="234">
        <v>1.8180000000000001</v>
      </c>
      <c r="AS11" s="10">
        <v>9</v>
      </c>
      <c r="AT11" s="15">
        <v>0.7</v>
      </c>
      <c r="AU11" s="10">
        <v>9</v>
      </c>
      <c r="AV11" s="15">
        <v>0.65</v>
      </c>
      <c r="AW11" s="10">
        <v>9</v>
      </c>
      <c r="AX11" s="15">
        <v>0.9</v>
      </c>
      <c r="AY11" s="10">
        <v>9</v>
      </c>
      <c r="AZ11" s="15">
        <v>0.9</v>
      </c>
      <c r="BB11" s="249"/>
      <c r="BC11" s="189" t="s">
        <v>3403</v>
      </c>
      <c r="BD11" s="189">
        <v>1</v>
      </c>
      <c r="BE11" s="189">
        <v>300</v>
      </c>
    </row>
    <row r="12" spans="1:57" x14ac:dyDescent="0.3">
      <c r="A12" s="170">
        <v>9</v>
      </c>
      <c r="B12" s="170">
        <v>3.2</v>
      </c>
      <c r="C12" s="15">
        <v>90</v>
      </c>
      <c r="D12" s="15">
        <v>2</v>
      </c>
      <c r="E12" s="15">
        <v>1400</v>
      </c>
      <c r="F12" s="10">
        <v>1.3</v>
      </c>
      <c r="G12" s="146">
        <v>1.6</v>
      </c>
      <c r="H12" s="192">
        <v>0.72949999999999904</v>
      </c>
      <c r="I12" s="244"/>
      <c r="J12" s="195" t="s">
        <v>3681</v>
      </c>
      <c r="K12" s="199">
        <v>1</v>
      </c>
      <c r="L12" s="194"/>
      <c r="M12" s="18" t="s">
        <v>33</v>
      </c>
      <c r="N12" s="237">
        <v>0</v>
      </c>
      <c r="O12" s="331">
        <f t="shared" si="0"/>
        <v>0</v>
      </c>
      <c r="P12" s="237">
        <v>0</v>
      </c>
      <c r="Q12" s="331">
        <f t="shared" si="1"/>
        <v>0</v>
      </c>
      <c r="R12" s="237">
        <v>2000</v>
      </c>
      <c r="S12" s="331">
        <f t="shared" si="2"/>
        <v>0.2</v>
      </c>
      <c r="T12" s="237">
        <v>0</v>
      </c>
      <c r="U12" s="331">
        <f t="shared" si="3"/>
        <v>0</v>
      </c>
      <c r="V12" s="10">
        <v>72</v>
      </c>
      <c r="W12" s="10">
        <v>18</v>
      </c>
      <c r="X12" s="10">
        <v>0</v>
      </c>
      <c r="Y12" s="10">
        <v>0</v>
      </c>
      <c r="Z12" s="10">
        <v>0</v>
      </c>
      <c r="AA12" s="10">
        <v>0</v>
      </c>
      <c r="AB12" s="10">
        <v>18</v>
      </c>
      <c r="AC12" s="10">
        <v>18</v>
      </c>
      <c r="AD12" s="10">
        <v>18</v>
      </c>
      <c r="AE12" s="10">
        <v>36</v>
      </c>
      <c r="AF12" s="10">
        <v>36</v>
      </c>
      <c r="AG12" s="10">
        <v>18</v>
      </c>
      <c r="AH12" s="10">
        <v>18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18</v>
      </c>
      <c r="AQ12" s="10">
        <v>0</v>
      </c>
      <c r="AS12" s="10">
        <v>10</v>
      </c>
      <c r="AT12" s="15">
        <v>0.7</v>
      </c>
      <c r="AU12" s="10">
        <v>10</v>
      </c>
      <c r="AV12" s="15">
        <v>0.65</v>
      </c>
      <c r="AW12" s="10">
        <v>10</v>
      </c>
      <c r="AX12" s="15">
        <v>1</v>
      </c>
      <c r="AY12" s="10">
        <v>10</v>
      </c>
      <c r="AZ12" s="15">
        <v>1</v>
      </c>
      <c r="BB12" s="249" t="s">
        <v>3506</v>
      </c>
      <c r="BC12" s="10" t="s">
        <v>3507</v>
      </c>
      <c r="BD12" s="10">
        <v>1</v>
      </c>
      <c r="BE12" s="10">
        <v>98</v>
      </c>
    </row>
    <row r="13" spans="1:57" x14ac:dyDescent="0.3">
      <c r="A13" s="170">
        <v>10</v>
      </c>
      <c r="B13" s="170">
        <v>3.5</v>
      </c>
      <c r="C13" s="15">
        <v>100</v>
      </c>
      <c r="D13" s="15">
        <v>3</v>
      </c>
      <c r="E13" s="15">
        <v>1800</v>
      </c>
      <c r="F13" s="10">
        <v>1.5</v>
      </c>
      <c r="G13" s="146">
        <v>1.8</v>
      </c>
      <c r="H13" s="192">
        <v>0.74299999999999899</v>
      </c>
      <c r="I13" s="244"/>
      <c r="J13" s="195" t="s">
        <v>3683</v>
      </c>
      <c r="K13" s="199">
        <v>1</v>
      </c>
      <c r="L13" s="194"/>
      <c r="M13" s="233" t="s">
        <v>40</v>
      </c>
      <c r="N13" s="236">
        <v>15000</v>
      </c>
      <c r="O13" s="331">
        <f t="shared" si="0"/>
        <v>0.15</v>
      </c>
      <c r="P13" s="236">
        <v>0</v>
      </c>
      <c r="Q13" s="331">
        <f t="shared" si="1"/>
        <v>0</v>
      </c>
      <c r="R13" s="236">
        <v>600</v>
      </c>
      <c r="S13" s="331">
        <f t="shared" si="2"/>
        <v>0.06</v>
      </c>
      <c r="T13" s="236">
        <v>600</v>
      </c>
      <c r="U13" s="331">
        <f t="shared" si="3"/>
        <v>0.12</v>
      </c>
      <c r="V13" s="181">
        <v>0</v>
      </c>
      <c r="W13" s="181">
        <v>0</v>
      </c>
      <c r="X13" s="181">
        <v>0</v>
      </c>
      <c r="Y13" s="181">
        <v>0</v>
      </c>
      <c r="Z13" s="181">
        <v>0</v>
      </c>
      <c r="AA13" s="181">
        <v>0</v>
      </c>
      <c r="AB13" s="181">
        <v>0</v>
      </c>
      <c r="AC13" s="181">
        <v>0</v>
      </c>
      <c r="AD13" s="181">
        <v>0</v>
      </c>
      <c r="AE13" s="181">
        <v>0</v>
      </c>
      <c r="AF13" s="181">
        <v>0</v>
      </c>
      <c r="AG13" s="181">
        <v>0</v>
      </c>
      <c r="AH13" s="181">
        <v>0</v>
      </c>
      <c r="AI13" s="181">
        <v>0</v>
      </c>
      <c r="AJ13" s="181">
        <v>0</v>
      </c>
      <c r="AK13" s="181">
        <v>0</v>
      </c>
      <c r="AL13" s="181">
        <v>0</v>
      </c>
      <c r="AM13" s="181">
        <v>0</v>
      </c>
      <c r="AN13" s="181">
        <v>0</v>
      </c>
      <c r="AO13" s="181">
        <v>0</v>
      </c>
      <c r="AP13" s="181">
        <v>0</v>
      </c>
      <c r="AQ13" s="181">
        <v>0</v>
      </c>
      <c r="AS13" s="10">
        <v>11</v>
      </c>
      <c r="AT13" s="15">
        <v>0.7</v>
      </c>
      <c r="AU13" s="10">
        <v>11</v>
      </c>
      <c r="AV13" s="15">
        <v>0.7</v>
      </c>
      <c r="BB13" s="249"/>
      <c r="BC13" s="10" t="s">
        <v>3508</v>
      </c>
      <c r="BD13" s="10">
        <v>1</v>
      </c>
      <c r="BE13" s="10">
        <v>888</v>
      </c>
    </row>
    <row r="14" spans="1:57" x14ac:dyDescent="0.3">
      <c r="A14" s="170">
        <v>11</v>
      </c>
      <c r="B14" s="170">
        <v>5</v>
      </c>
      <c r="C14" s="15">
        <v>105</v>
      </c>
      <c r="D14" s="15">
        <v>4</v>
      </c>
      <c r="E14" s="15">
        <v>2200</v>
      </c>
      <c r="F14" s="10">
        <v>1.8</v>
      </c>
      <c r="G14" s="146">
        <v>2</v>
      </c>
      <c r="H14" s="192">
        <v>0.75649999999999895</v>
      </c>
      <c r="I14" s="244"/>
      <c r="J14" s="195" t="s">
        <v>3684</v>
      </c>
      <c r="K14" s="199">
        <v>1</v>
      </c>
      <c r="L14" s="194"/>
      <c r="M14" s="18" t="s">
        <v>35</v>
      </c>
      <c r="N14" s="237">
        <v>5000</v>
      </c>
      <c r="O14" s="331">
        <f t="shared" si="0"/>
        <v>0.05</v>
      </c>
      <c r="P14" s="237">
        <v>20000</v>
      </c>
      <c r="Q14" s="331">
        <f t="shared" si="1"/>
        <v>0.1</v>
      </c>
      <c r="R14" s="237">
        <v>500</v>
      </c>
      <c r="S14" s="331">
        <f t="shared" si="2"/>
        <v>0.05</v>
      </c>
      <c r="T14" s="237">
        <v>250</v>
      </c>
      <c r="U14" s="331">
        <f t="shared" si="3"/>
        <v>0.05</v>
      </c>
      <c r="V14" s="10">
        <v>0</v>
      </c>
      <c r="W14" s="10">
        <v>10</v>
      </c>
      <c r="X14" s="10">
        <v>0</v>
      </c>
      <c r="Y14" s="10">
        <v>0</v>
      </c>
      <c r="Z14" s="10">
        <v>0</v>
      </c>
      <c r="AA14" s="10">
        <v>0</v>
      </c>
      <c r="AB14" s="10">
        <v>10</v>
      </c>
      <c r="AC14" s="10">
        <v>0</v>
      </c>
      <c r="AD14" s="10">
        <v>0</v>
      </c>
      <c r="AE14" s="10">
        <v>10</v>
      </c>
      <c r="AF14" s="10">
        <v>0</v>
      </c>
      <c r="AG14" s="10">
        <v>0</v>
      </c>
      <c r="AH14" s="10">
        <v>0</v>
      </c>
      <c r="AI14" s="10">
        <v>10</v>
      </c>
      <c r="AJ14" s="10">
        <v>10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S14" s="10">
        <v>12</v>
      </c>
      <c r="AT14" s="15">
        <v>0.7</v>
      </c>
      <c r="AU14" s="10">
        <v>12</v>
      </c>
      <c r="AV14" s="15">
        <v>0.7</v>
      </c>
      <c r="BB14" s="249"/>
      <c r="BC14" s="189" t="s">
        <v>3509</v>
      </c>
      <c r="BD14" s="189">
        <v>1</v>
      </c>
      <c r="BE14" s="189">
        <v>498</v>
      </c>
    </row>
    <row r="15" spans="1:57" x14ac:dyDescent="0.3">
      <c r="A15" s="170">
        <v>12</v>
      </c>
      <c r="B15" s="170">
        <v>20</v>
      </c>
      <c r="C15" s="15">
        <v>110</v>
      </c>
      <c r="D15" s="15">
        <v>5</v>
      </c>
      <c r="E15" s="15">
        <v>2550</v>
      </c>
      <c r="F15" s="10">
        <v>2.1</v>
      </c>
      <c r="G15" s="146">
        <v>2.2000000000000002</v>
      </c>
      <c r="H15" s="192">
        <v>0.76999999999999902</v>
      </c>
      <c r="I15" s="244"/>
      <c r="J15" s="195" t="s">
        <v>3685</v>
      </c>
      <c r="K15" s="199">
        <v>1</v>
      </c>
      <c r="L15" s="194"/>
      <c r="M15" s="233" t="s">
        <v>41</v>
      </c>
      <c r="N15" s="236">
        <v>0</v>
      </c>
      <c r="O15" s="331">
        <f t="shared" si="0"/>
        <v>0</v>
      </c>
      <c r="P15" s="236">
        <v>0</v>
      </c>
      <c r="Q15" s="331">
        <f t="shared" si="1"/>
        <v>0</v>
      </c>
      <c r="R15" s="236">
        <v>500</v>
      </c>
      <c r="S15" s="331">
        <f t="shared" si="2"/>
        <v>0.05</v>
      </c>
      <c r="T15" s="236">
        <v>250</v>
      </c>
      <c r="U15" s="331">
        <f t="shared" si="3"/>
        <v>0.05</v>
      </c>
      <c r="V15" s="181">
        <v>0</v>
      </c>
      <c r="W15" s="181">
        <v>0</v>
      </c>
      <c r="X15" s="181">
        <v>0</v>
      </c>
      <c r="Y15" s="181">
        <v>0</v>
      </c>
      <c r="Z15" s="181">
        <v>0</v>
      </c>
      <c r="AA15" s="181">
        <v>0</v>
      </c>
      <c r="AB15" s="181">
        <v>0</v>
      </c>
      <c r="AC15" s="181">
        <v>0</v>
      </c>
      <c r="AD15" s="181">
        <v>0</v>
      </c>
      <c r="AE15" s="181">
        <v>0</v>
      </c>
      <c r="AF15" s="181">
        <v>0</v>
      </c>
      <c r="AG15" s="181">
        <v>0</v>
      </c>
      <c r="AH15" s="181">
        <v>0</v>
      </c>
      <c r="AI15" s="181">
        <v>0</v>
      </c>
      <c r="AJ15" s="181">
        <v>0</v>
      </c>
      <c r="AK15" s="181">
        <v>0</v>
      </c>
      <c r="AL15" s="181">
        <v>0</v>
      </c>
      <c r="AM15" s="181">
        <v>0</v>
      </c>
      <c r="AN15" s="181">
        <v>0</v>
      </c>
      <c r="AO15" s="181">
        <v>0</v>
      </c>
      <c r="AP15" s="181">
        <v>0</v>
      </c>
      <c r="AQ15" s="181">
        <v>0</v>
      </c>
      <c r="AS15" s="10">
        <v>13</v>
      </c>
      <c r="AT15" s="15">
        <v>0.75</v>
      </c>
      <c r="AU15" s="10">
        <v>13</v>
      </c>
      <c r="AV15" s="15">
        <v>0.7</v>
      </c>
      <c r="BB15" s="249" t="s">
        <v>30</v>
      </c>
      <c r="BC15" s="10" t="s">
        <v>3510</v>
      </c>
      <c r="BD15" s="10">
        <v>1</v>
      </c>
      <c r="BE15" s="10">
        <v>50</v>
      </c>
    </row>
    <row r="16" spans="1:57" x14ac:dyDescent="0.3">
      <c r="A16" s="170">
        <v>13</v>
      </c>
      <c r="B16" s="170">
        <v>20</v>
      </c>
      <c r="C16" s="15">
        <v>120</v>
      </c>
      <c r="D16" s="15">
        <v>6</v>
      </c>
      <c r="E16" s="15">
        <v>2900</v>
      </c>
      <c r="F16" s="10">
        <v>2.5</v>
      </c>
      <c r="G16" s="146">
        <v>2.5</v>
      </c>
      <c r="H16" s="192">
        <v>0.78349999999999898</v>
      </c>
      <c r="M16" s="18" t="s">
        <v>42</v>
      </c>
      <c r="N16" s="237">
        <v>0</v>
      </c>
      <c r="O16" s="331">
        <f t="shared" si="0"/>
        <v>0</v>
      </c>
      <c r="P16" s="237">
        <v>0</v>
      </c>
      <c r="Q16" s="331">
        <f t="shared" si="1"/>
        <v>0</v>
      </c>
      <c r="R16" s="237">
        <v>0</v>
      </c>
      <c r="S16" s="331">
        <f t="shared" si="2"/>
        <v>0</v>
      </c>
      <c r="T16" s="237">
        <v>0</v>
      </c>
      <c r="U16" s="331">
        <f t="shared" si="3"/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S16" s="10">
        <v>14</v>
      </c>
      <c r="AT16" s="15">
        <v>0.75</v>
      </c>
      <c r="AU16" s="10">
        <v>14</v>
      </c>
      <c r="AV16" s="15">
        <v>0.7</v>
      </c>
      <c r="BB16" s="249"/>
      <c r="BC16" s="10" t="s">
        <v>3511</v>
      </c>
      <c r="BD16" s="10">
        <v>1</v>
      </c>
      <c r="BE16" s="10">
        <v>500</v>
      </c>
    </row>
    <row r="17" spans="1:57" ht="16.5" customHeight="1" x14ac:dyDescent="0.3">
      <c r="A17" s="170">
        <v>14</v>
      </c>
      <c r="B17" s="170">
        <v>20</v>
      </c>
      <c r="C17" s="15">
        <v>135</v>
      </c>
      <c r="D17" s="15">
        <v>7</v>
      </c>
      <c r="E17" s="15">
        <v>3200</v>
      </c>
      <c r="F17" s="10">
        <v>3</v>
      </c>
      <c r="G17" s="146">
        <v>3</v>
      </c>
      <c r="H17" s="222">
        <v>0.79699999999999904</v>
      </c>
      <c r="I17" s="244" t="s">
        <v>3489</v>
      </c>
      <c r="J17" s="195" t="s">
        <v>26</v>
      </c>
      <c r="K17" s="195">
        <v>1</v>
      </c>
      <c r="M17" s="233" t="s">
        <v>44</v>
      </c>
      <c r="N17" s="236">
        <v>0</v>
      </c>
      <c r="O17" s="331">
        <f t="shared" si="0"/>
        <v>0</v>
      </c>
      <c r="P17" s="236">
        <v>0</v>
      </c>
      <c r="Q17" s="331">
        <f t="shared" si="1"/>
        <v>0</v>
      </c>
      <c r="R17" s="236">
        <v>400</v>
      </c>
      <c r="S17" s="331">
        <f t="shared" si="2"/>
        <v>0.04</v>
      </c>
      <c r="T17" s="236">
        <v>400</v>
      </c>
      <c r="U17" s="331">
        <f t="shared" si="3"/>
        <v>0.08</v>
      </c>
      <c r="V17" s="181">
        <v>55</v>
      </c>
      <c r="W17" s="181">
        <v>0</v>
      </c>
      <c r="X17" s="181">
        <v>110</v>
      </c>
      <c r="Y17" s="181">
        <v>0</v>
      </c>
      <c r="Z17" s="181">
        <v>0</v>
      </c>
      <c r="AA17" s="181">
        <v>0</v>
      </c>
      <c r="AB17" s="181">
        <v>0</v>
      </c>
      <c r="AC17" s="181">
        <v>0</v>
      </c>
      <c r="AD17" s="181">
        <v>0</v>
      </c>
      <c r="AE17" s="181">
        <v>110</v>
      </c>
      <c r="AF17" s="181">
        <v>110</v>
      </c>
      <c r="AG17" s="181">
        <v>0</v>
      </c>
      <c r="AH17" s="181">
        <v>0</v>
      </c>
      <c r="AI17" s="181">
        <v>55</v>
      </c>
      <c r="AJ17" s="181">
        <v>0</v>
      </c>
      <c r="AK17" s="181">
        <v>0</v>
      </c>
      <c r="AL17" s="181">
        <v>0</v>
      </c>
      <c r="AM17" s="181">
        <v>0</v>
      </c>
      <c r="AN17" s="181">
        <v>0</v>
      </c>
      <c r="AO17" s="181">
        <v>0</v>
      </c>
      <c r="AP17" s="181">
        <v>0</v>
      </c>
      <c r="AQ17" s="181">
        <v>0</v>
      </c>
      <c r="AS17" s="10">
        <v>15</v>
      </c>
      <c r="AT17" s="15">
        <v>0.75</v>
      </c>
      <c r="AU17" s="10">
        <v>15</v>
      </c>
      <c r="AV17" s="15">
        <v>0.7</v>
      </c>
      <c r="BB17" s="10"/>
      <c r="BC17" s="10" t="s">
        <v>3512</v>
      </c>
      <c r="BD17" s="10">
        <v>1</v>
      </c>
      <c r="BE17" s="10">
        <v>588</v>
      </c>
    </row>
    <row r="18" spans="1:57" x14ac:dyDescent="0.3">
      <c r="A18" s="170">
        <v>15</v>
      </c>
      <c r="B18" s="170">
        <v>20</v>
      </c>
      <c r="C18" s="15">
        <v>155</v>
      </c>
      <c r="D18" s="15">
        <v>8</v>
      </c>
      <c r="E18" s="15">
        <v>3500</v>
      </c>
      <c r="F18" s="10">
        <v>3.5</v>
      </c>
      <c r="G18" s="146">
        <v>3.5</v>
      </c>
      <c r="H18" s="222">
        <v>0.810499999999999</v>
      </c>
      <c r="I18" s="244"/>
      <c r="J18" s="195" t="s">
        <v>3485</v>
      </c>
      <c r="K18" s="195">
        <v>10</v>
      </c>
      <c r="M18" s="18" t="s">
        <v>3643</v>
      </c>
      <c r="N18" s="237">
        <v>0</v>
      </c>
      <c r="O18" s="331">
        <f t="shared" si="0"/>
        <v>0</v>
      </c>
      <c r="P18" s="237">
        <v>0</v>
      </c>
      <c r="Q18" s="331">
        <f t="shared" si="1"/>
        <v>0</v>
      </c>
      <c r="R18" s="237">
        <v>0</v>
      </c>
      <c r="S18" s="331">
        <f t="shared" si="2"/>
        <v>0</v>
      </c>
      <c r="T18" s="237">
        <v>0</v>
      </c>
      <c r="U18" s="331">
        <f t="shared" si="3"/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S18" s="10">
        <v>16</v>
      </c>
      <c r="AT18" s="15">
        <v>0.75</v>
      </c>
      <c r="AU18" s="10">
        <v>16</v>
      </c>
      <c r="AV18" s="15">
        <v>0.75</v>
      </c>
      <c r="BB18" s="10"/>
      <c r="BC18" s="10" t="s">
        <v>3513</v>
      </c>
      <c r="BD18" s="10">
        <v>1</v>
      </c>
      <c r="BE18" s="10">
        <v>288</v>
      </c>
    </row>
    <row r="19" spans="1:57" x14ac:dyDescent="0.3">
      <c r="A19" s="170">
        <v>16</v>
      </c>
      <c r="B19" s="170">
        <v>20</v>
      </c>
      <c r="C19" s="15">
        <v>190</v>
      </c>
      <c r="D19" s="15">
        <v>9</v>
      </c>
      <c r="E19" s="15">
        <v>3750</v>
      </c>
      <c r="F19" s="10">
        <v>3.7</v>
      </c>
      <c r="G19" s="146">
        <v>3.7</v>
      </c>
      <c r="H19" s="222">
        <v>0.82399999999999896</v>
      </c>
      <c r="I19" s="244"/>
      <c r="J19" s="195" t="s">
        <v>3486</v>
      </c>
      <c r="K19" s="195">
        <v>120</v>
      </c>
      <c r="M19" s="233" t="s">
        <v>3644</v>
      </c>
      <c r="N19" s="236">
        <v>0</v>
      </c>
      <c r="O19" s="331">
        <f t="shared" si="0"/>
        <v>0</v>
      </c>
      <c r="P19" s="236">
        <v>0</v>
      </c>
      <c r="Q19" s="331">
        <f t="shared" si="1"/>
        <v>0</v>
      </c>
      <c r="R19" s="236">
        <v>0</v>
      </c>
      <c r="S19" s="331">
        <f t="shared" si="2"/>
        <v>0</v>
      </c>
      <c r="T19" s="236">
        <v>0</v>
      </c>
      <c r="U19" s="331">
        <f t="shared" si="3"/>
        <v>0</v>
      </c>
      <c r="V19" s="181">
        <v>0</v>
      </c>
      <c r="W19" s="181">
        <v>0</v>
      </c>
      <c r="X19" s="181">
        <v>0</v>
      </c>
      <c r="Y19" s="181">
        <v>0</v>
      </c>
      <c r="Z19" s="181">
        <v>0</v>
      </c>
      <c r="AA19" s="181">
        <v>0</v>
      </c>
      <c r="AB19" s="181">
        <v>0</v>
      </c>
      <c r="AC19" s="181">
        <v>0</v>
      </c>
      <c r="AD19" s="181">
        <v>0</v>
      </c>
      <c r="AE19" s="181">
        <v>0</v>
      </c>
      <c r="AF19" s="181">
        <v>0</v>
      </c>
      <c r="AG19" s="181">
        <v>0</v>
      </c>
      <c r="AH19" s="181">
        <v>0</v>
      </c>
      <c r="AI19" s="181">
        <v>0</v>
      </c>
      <c r="AJ19" s="181">
        <v>0</v>
      </c>
      <c r="AK19" s="181">
        <v>0</v>
      </c>
      <c r="AL19" s="181">
        <v>0</v>
      </c>
      <c r="AM19" s="181">
        <v>0</v>
      </c>
      <c r="AN19" s="181">
        <v>0</v>
      </c>
      <c r="AO19" s="181">
        <v>0</v>
      </c>
      <c r="AP19" s="181">
        <v>0</v>
      </c>
      <c r="AQ19" s="181">
        <v>0</v>
      </c>
      <c r="AS19" s="10">
        <v>17</v>
      </c>
      <c r="AT19" s="15">
        <v>0.85</v>
      </c>
      <c r="AU19" s="10">
        <v>17</v>
      </c>
      <c r="AV19" s="15">
        <v>0.75</v>
      </c>
      <c r="BB19" s="10" t="s">
        <v>3514</v>
      </c>
      <c r="BC19" s="10" t="s">
        <v>3515</v>
      </c>
      <c r="BD19" s="10">
        <v>1</v>
      </c>
      <c r="BE19" s="10">
        <v>500</v>
      </c>
    </row>
    <row r="20" spans="1:57" x14ac:dyDescent="0.3">
      <c r="A20" s="170">
        <v>17</v>
      </c>
      <c r="B20" s="170">
        <v>20</v>
      </c>
      <c r="C20" s="15">
        <v>200</v>
      </c>
      <c r="D20" s="15">
        <v>10</v>
      </c>
      <c r="E20" s="15">
        <v>4000</v>
      </c>
      <c r="F20" s="10">
        <v>4</v>
      </c>
      <c r="G20" s="146">
        <v>4</v>
      </c>
      <c r="H20" s="222">
        <v>0.83749999999999902</v>
      </c>
      <c r="I20" s="244"/>
      <c r="J20" s="195" t="s">
        <v>3487</v>
      </c>
      <c r="K20" s="195">
        <v>600</v>
      </c>
      <c r="M20" s="18" t="s">
        <v>3726</v>
      </c>
      <c r="N20" s="237">
        <v>0</v>
      </c>
      <c r="O20" s="331">
        <f t="shared" si="0"/>
        <v>0</v>
      </c>
      <c r="P20" s="237">
        <v>0</v>
      </c>
      <c r="Q20" s="331">
        <f t="shared" si="1"/>
        <v>0</v>
      </c>
      <c r="R20" s="237">
        <v>0</v>
      </c>
      <c r="S20" s="331">
        <f t="shared" si="2"/>
        <v>0</v>
      </c>
      <c r="T20" s="237">
        <v>0</v>
      </c>
      <c r="U20" s="331">
        <f t="shared" si="3"/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S20" s="10">
        <v>18</v>
      </c>
      <c r="AT20" s="15">
        <v>0.85</v>
      </c>
      <c r="AU20" s="10">
        <v>18</v>
      </c>
      <c r="AV20" s="15">
        <v>0.75</v>
      </c>
      <c r="BB20" s="249" t="s">
        <v>40</v>
      </c>
      <c r="BC20" s="10" t="s">
        <v>3413</v>
      </c>
      <c r="BD20" s="10">
        <v>1</v>
      </c>
      <c r="BE20" s="10">
        <v>30</v>
      </c>
    </row>
    <row r="21" spans="1:57" x14ac:dyDescent="0.3">
      <c r="A21" s="170">
        <v>18</v>
      </c>
      <c r="B21" s="170">
        <v>100</v>
      </c>
      <c r="C21" s="15">
        <v>200</v>
      </c>
      <c r="D21" s="15">
        <v>11</v>
      </c>
      <c r="E21" s="15">
        <v>4400</v>
      </c>
      <c r="F21" s="10">
        <v>4.3</v>
      </c>
      <c r="G21" s="146">
        <v>4.3</v>
      </c>
      <c r="H21" s="222">
        <v>0.85099999999999898</v>
      </c>
      <c r="I21" s="244"/>
      <c r="J21" s="195" t="s">
        <v>3488</v>
      </c>
      <c r="K21" s="195">
        <v>1200</v>
      </c>
      <c r="M21" s="233" t="s">
        <v>3727</v>
      </c>
      <c r="N21" s="236">
        <v>0</v>
      </c>
      <c r="O21" s="331">
        <f t="shared" si="0"/>
        <v>0</v>
      </c>
      <c r="P21" s="236">
        <v>0</v>
      </c>
      <c r="Q21" s="331">
        <f t="shared" si="1"/>
        <v>0</v>
      </c>
      <c r="R21" s="236">
        <v>0</v>
      </c>
      <c r="S21" s="331">
        <f t="shared" si="2"/>
        <v>0</v>
      </c>
      <c r="T21" s="236">
        <v>0</v>
      </c>
      <c r="U21" s="331">
        <f t="shared" si="3"/>
        <v>0</v>
      </c>
      <c r="V21" s="181">
        <v>0</v>
      </c>
      <c r="W21" s="181">
        <v>0</v>
      </c>
      <c r="X21" s="181">
        <v>0</v>
      </c>
      <c r="Y21" s="181">
        <v>0</v>
      </c>
      <c r="Z21" s="181">
        <v>0</v>
      </c>
      <c r="AA21" s="181">
        <v>0</v>
      </c>
      <c r="AB21" s="181">
        <v>0</v>
      </c>
      <c r="AC21" s="181">
        <v>0</v>
      </c>
      <c r="AD21" s="181">
        <v>0</v>
      </c>
      <c r="AE21" s="181">
        <v>0</v>
      </c>
      <c r="AF21" s="181">
        <v>0</v>
      </c>
      <c r="AG21" s="181">
        <v>0</v>
      </c>
      <c r="AH21" s="181">
        <v>0</v>
      </c>
      <c r="AI21" s="181">
        <v>0</v>
      </c>
      <c r="AJ21" s="181">
        <v>0</v>
      </c>
      <c r="AK21" s="181">
        <v>0</v>
      </c>
      <c r="AL21" s="181">
        <v>0</v>
      </c>
      <c r="AM21" s="181">
        <v>0</v>
      </c>
      <c r="AN21" s="181">
        <v>0</v>
      </c>
      <c r="AO21" s="181">
        <v>0</v>
      </c>
      <c r="AP21" s="181">
        <v>0</v>
      </c>
      <c r="AQ21" s="181">
        <v>0</v>
      </c>
      <c r="AS21" s="10">
        <v>19</v>
      </c>
      <c r="AT21" s="15">
        <v>0.85</v>
      </c>
      <c r="AU21" s="10">
        <v>19</v>
      </c>
      <c r="AV21" s="15">
        <v>0.75</v>
      </c>
      <c r="BB21" s="249"/>
      <c r="BC21" s="10" t="s">
        <v>3414</v>
      </c>
      <c r="BD21" s="10">
        <v>1</v>
      </c>
      <c r="BE21" s="10">
        <v>60</v>
      </c>
    </row>
    <row r="22" spans="1:57" x14ac:dyDescent="0.3">
      <c r="A22" s="170">
        <v>19</v>
      </c>
      <c r="B22" s="170">
        <v>100</v>
      </c>
      <c r="C22" s="15">
        <v>210</v>
      </c>
      <c r="D22" s="15">
        <v>12</v>
      </c>
      <c r="E22" s="15">
        <v>4800</v>
      </c>
      <c r="F22" s="10">
        <v>4.5999999999999996</v>
      </c>
      <c r="G22" s="146">
        <v>4.5999999999999996</v>
      </c>
      <c r="H22" s="222">
        <v>0.86449999999999905</v>
      </c>
      <c r="I22" s="244"/>
      <c r="J22" s="195" t="s">
        <v>3687</v>
      </c>
      <c r="K22" s="195">
        <v>1800</v>
      </c>
      <c r="M22" s="18" t="s">
        <v>3728</v>
      </c>
      <c r="N22" s="237">
        <v>0</v>
      </c>
      <c r="O22" s="331">
        <f t="shared" si="0"/>
        <v>0</v>
      </c>
      <c r="P22" s="237">
        <v>0</v>
      </c>
      <c r="Q22" s="331">
        <f t="shared" si="1"/>
        <v>0</v>
      </c>
      <c r="R22" s="237">
        <v>0</v>
      </c>
      <c r="S22" s="331">
        <f t="shared" si="2"/>
        <v>0</v>
      </c>
      <c r="T22" s="237">
        <v>0</v>
      </c>
      <c r="U22" s="331">
        <f t="shared" si="3"/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S22" s="10">
        <v>20</v>
      </c>
      <c r="AT22" s="15">
        <v>0.85</v>
      </c>
      <c r="AU22" s="10">
        <v>20</v>
      </c>
      <c r="AV22" s="15">
        <v>0.75</v>
      </c>
      <c r="BB22" s="249"/>
      <c r="BC22" s="10" t="s">
        <v>3415</v>
      </c>
      <c r="BD22" s="10">
        <v>1</v>
      </c>
      <c r="BE22" s="10">
        <v>500</v>
      </c>
    </row>
    <row r="23" spans="1:57" x14ac:dyDescent="0.3">
      <c r="A23" s="170">
        <v>20</v>
      </c>
      <c r="B23" s="170">
        <v>100</v>
      </c>
      <c r="C23" s="15">
        <v>210</v>
      </c>
      <c r="D23" s="15">
        <v>13</v>
      </c>
      <c r="E23" s="15">
        <v>5300</v>
      </c>
      <c r="F23" s="10">
        <v>4.9000000000000004</v>
      </c>
      <c r="G23" s="146">
        <v>4.9000000000000004</v>
      </c>
      <c r="H23" s="222">
        <v>0.877999999999999</v>
      </c>
      <c r="I23" s="244"/>
      <c r="J23" s="8" t="s">
        <v>3686</v>
      </c>
      <c r="K23" s="195">
        <v>333</v>
      </c>
      <c r="M23" s="233" t="s">
        <v>3729</v>
      </c>
      <c r="N23" s="236">
        <v>0</v>
      </c>
      <c r="O23" s="331">
        <f t="shared" si="0"/>
        <v>0</v>
      </c>
      <c r="P23" s="236">
        <v>0</v>
      </c>
      <c r="Q23" s="331">
        <f t="shared" si="1"/>
        <v>0</v>
      </c>
      <c r="R23" s="236">
        <v>0</v>
      </c>
      <c r="S23" s="331">
        <f t="shared" si="2"/>
        <v>0</v>
      </c>
      <c r="T23" s="236">
        <v>0</v>
      </c>
      <c r="U23" s="331">
        <f t="shared" si="3"/>
        <v>0</v>
      </c>
      <c r="V23" s="181">
        <v>0</v>
      </c>
      <c r="W23" s="181">
        <v>0</v>
      </c>
      <c r="X23" s="181">
        <v>0</v>
      </c>
      <c r="Y23" s="181">
        <v>0</v>
      </c>
      <c r="Z23" s="181">
        <v>0</v>
      </c>
      <c r="AA23" s="181">
        <v>0</v>
      </c>
      <c r="AB23" s="181">
        <v>0</v>
      </c>
      <c r="AC23" s="181">
        <v>0</v>
      </c>
      <c r="AD23" s="181">
        <v>0</v>
      </c>
      <c r="AE23" s="181">
        <v>0</v>
      </c>
      <c r="AF23" s="181">
        <v>0</v>
      </c>
      <c r="AG23" s="181">
        <v>0</v>
      </c>
      <c r="AH23" s="181">
        <v>0</v>
      </c>
      <c r="AI23" s="181">
        <v>0</v>
      </c>
      <c r="AJ23" s="181">
        <v>0</v>
      </c>
      <c r="AK23" s="181">
        <v>0</v>
      </c>
      <c r="AL23" s="181">
        <v>0</v>
      </c>
      <c r="AM23" s="181">
        <v>0</v>
      </c>
      <c r="AN23" s="181">
        <v>0</v>
      </c>
      <c r="AO23" s="181">
        <v>0</v>
      </c>
      <c r="AP23" s="181">
        <v>0</v>
      </c>
      <c r="AQ23" s="181">
        <v>0</v>
      </c>
      <c r="AS23" s="10">
        <v>21</v>
      </c>
      <c r="AT23" s="15">
        <v>0.95</v>
      </c>
      <c r="AU23" s="10">
        <v>21</v>
      </c>
      <c r="AV23" s="15">
        <v>0.8</v>
      </c>
      <c r="BB23" s="249" t="s">
        <v>33</v>
      </c>
      <c r="BC23" s="10" t="s">
        <v>3516</v>
      </c>
      <c r="BD23" s="10">
        <v>1</v>
      </c>
      <c r="BE23" s="10">
        <v>10</v>
      </c>
    </row>
    <row r="24" spans="1:57" x14ac:dyDescent="0.3">
      <c r="A24" s="170">
        <v>21</v>
      </c>
      <c r="B24" s="170">
        <v>100</v>
      </c>
      <c r="C24" s="15">
        <v>220</v>
      </c>
      <c r="D24" s="15">
        <v>14</v>
      </c>
      <c r="E24" s="15">
        <v>5800</v>
      </c>
      <c r="F24" s="10">
        <v>5.2</v>
      </c>
      <c r="G24" s="146">
        <v>5.2</v>
      </c>
      <c r="H24" s="222">
        <v>0.89149999999999896</v>
      </c>
      <c r="I24" s="244"/>
      <c r="J24" s="8" t="s">
        <v>3688</v>
      </c>
      <c r="K24" s="195">
        <v>444</v>
      </c>
      <c r="M24" s="18" t="s">
        <v>3730</v>
      </c>
      <c r="N24" s="165">
        <v>0</v>
      </c>
      <c r="O24" s="331">
        <f t="shared" si="0"/>
        <v>0</v>
      </c>
      <c r="P24" s="165">
        <v>0</v>
      </c>
      <c r="Q24" s="331">
        <f t="shared" si="1"/>
        <v>0</v>
      </c>
      <c r="R24" s="165">
        <v>0</v>
      </c>
      <c r="S24" s="331">
        <f t="shared" si="2"/>
        <v>0</v>
      </c>
      <c r="T24" s="165">
        <v>0</v>
      </c>
      <c r="U24" s="331">
        <f t="shared" si="3"/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S24" s="10">
        <v>22</v>
      </c>
      <c r="AT24" s="15">
        <v>0.95</v>
      </c>
      <c r="AU24" s="10">
        <v>22</v>
      </c>
      <c r="AV24" s="15">
        <v>0.8</v>
      </c>
      <c r="BB24" s="249"/>
      <c r="BC24" s="10" t="s">
        <v>3517</v>
      </c>
      <c r="BD24" s="10">
        <v>1</v>
      </c>
      <c r="BE24" s="10">
        <v>50</v>
      </c>
    </row>
    <row r="25" spans="1:57" x14ac:dyDescent="0.3">
      <c r="A25" s="170">
        <v>22</v>
      </c>
      <c r="B25" s="170">
        <v>100</v>
      </c>
      <c r="C25" s="15">
        <v>220</v>
      </c>
      <c r="D25" s="15">
        <v>15</v>
      </c>
      <c r="E25" s="15">
        <v>6400</v>
      </c>
      <c r="F25" s="10">
        <v>5.5</v>
      </c>
      <c r="G25" s="146">
        <v>5.5</v>
      </c>
      <c r="H25" s="222">
        <v>0.90499999999999903</v>
      </c>
      <c r="I25" s="244"/>
      <c r="J25" s="8" t="s">
        <v>3689</v>
      </c>
      <c r="K25" s="195">
        <v>555</v>
      </c>
      <c r="M25" s="233" t="s">
        <v>3731</v>
      </c>
      <c r="N25" s="236">
        <v>0</v>
      </c>
      <c r="O25" s="331">
        <f t="shared" si="0"/>
        <v>0</v>
      </c>
      <c r="P25" s="236">
        <v>0</v>
      </c>
      <c r="Q25" s="331">
        <f t="shared" si="1"/>
        <v>0</v>
      </c>
      <c r="R25" s="236">
        <v>0</v>
      </c>
      <c r="S25" s="331">
        <f t="shared" si="2"/>
        <v>0</v>
      </c>
      <c r="T25" s="236">
        <v>0</v>
      </c>
      <c r="U25" s="331">
        <f t="shared" si="3"/>
        <v>0</v>
      </c>
      <c r="V25" s="181">
        <v>0</v>
      </c>
      <c r="W25" s="181">
        <v>0</v>
      </c>
      <c r="X25" s="181">
        <v>0</v>
      </c>
      <c r="Y25" s="181">
        <v>0</v>
      </c>
      <c r="Z25" s="181">
        <v>0</v>
      </c>
      <c r="AA25" s="181">
        <v>0</v>
      </c>
      <c r="AB25" s="181">
        <v>0</v>
      </c>
      <c r="AC25" s="181">
        <v>0</v>
      </c>
      <c r="AD25" s="181">
        <v>0</v>
      </c>
      <c r="AE25" s="181">
        <v>0</v>
      </c>
      <c r="AF25" s="181">
        <v>0</v>
      </c>
      <c r="AG25" s="181">
        <v>0</v>
      </c>
      <c r="AH25" s="181">
        <v>0</v>
      </c>
      <c r="AI25" s="181">
        <v>0</v>
      </c>
      <c r="AJ25" s="181">
        <v>0</v>
      </c>
      <c r="AK25" s="181">
        <v>0</v>
      </c>
      <c r="AL25" s="181">
        <v>0</v>
      </c>
      <c r="AM25" s="181">
        <v>0</v>
      </c>
      <c r="AN25" s="181">
        <v>0</v>
      </c>
      <c r="AO25" s="181">
        <v>0</v>
      </c>
      <c r="AP25" s="181">
        <v>0</v>
      </c>
      <c r="AQ25" s="181">
        <v>0</v>
      </c>
      <c r="AS25" s="10">
        <v>23</v>
      </c>
      <c r="AT25" s="15">
        <v>0.95</v>
      </c>
      <c r="AU25" s="10">
        <v>23</v>
      </c>
      <c r="AV25" s="15">
        <v>0.8</v>
      </c>
      <c r="BB25" s="249"/>
      <c r="BC25" s="10" t="s">
        <v>3411</v>
      </c>
      <c r="BD25" s="10">
        <v>1</v>
      </c>
      <c r="BE25" s="10">
        <v>100</v>
      </c>
    </row>
    <row r="26" spans="1:57" x14ac:dyDescent="0.3">
      <c r="A26" s="170">
        <v>23</v>
      </c>
      <c r="B26" s="170">
        <v>200</v>
      </c>
      <c r="C26" s="15">
        <v>230</v>
      </c>
      <c r="D26" s="15">
        <v>16</v>
      </c>
      <c r="E26" s="15">
        <v>7000</v>
      </c>
      <c r="F26" s="10">
        <v>5.8</v>
      </c>
      <c r="G26" s="146">
        <v>5.8</v>
      </c>
      <c r="H26" s="222">
        <v>0.91849999999999898</v>
      </c>
      <c r="I26" s="244"/>
      <c r="J26" s="8" t="s">
        <v>3690</v>
      </c>
      <c r="K26" s="195">
        <v>666</v>
      </c>
      <c r="M26" s="18" t="s">
        <v>3732</v>
      </c>
      <c r="N26" s="165">
        <v>0</v>
      </c>
      <c r="O26" s="331">
        <f t="shared" si="0"/>
        <v>0</v>
      </c>
      <c r="P26" s="165">
        <v>0</v>
      </c>
      <c r="Q26" s="331">
        <f t="shared" si="1"/>
        <v>0</v>
      </c>
      <c r="R26" s="165">
        <v>0</v>
      </c>
      <c r="S26" s="331">
        <f t="shared" si="2"/>
        <v>0</v>
      </c>
      <c r="T26" s="165">
        <v>0</v>
      </c>
      <c r="U26" s="331">
        <f t="shared" si="3"/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S26" s="10">
        <v>24</v>
      </c>
      <c r="AT26" s="15">
        <v>0.95</v>
      </c>
      <c r="AU26" s="10">
        <v>24</v>
      </c>
      <c r="AV26" s="15">
        <v>0.8</v>
      </c>
      <c r="BB26" s="249"/>
      <c r="BC26" s="10" t="s">
        <v>3412</v>
      </c>
      <c r="BD26" s="10">
        <v>1</v>
      </c>
      <c r="BE26" s="10">
        <v>500</v>
      </c>
    </row>
    <row r="27" spans="1:57" x14ac:dyDescent="0.3">
      <c r="A27" s="170">
        <v>24</v>
      </c>
      <c r="B27" s="170">
        <v>200</v>
      </c>
      <c r="C27" s="15">
        <v>230</v>
      </c>
      <c r="D27" s="15">
        <v>17</v>
      </c>
      <c r="E27" s="15">
        <v>7500</v>
      </c>
      <c r="F27" s="10">
        <v>6.1</v>
      </c>
      <c r="G27" s="146">
        <v>6.1</v>
      </c>
      <c r="H27" s="222">
        <v>0.93199999999999905</v>
      </c>
      <c r="I27" s="244"/>
      <c r="J27" s="8" t="s">
        <v>3691</v>
      </c>
      <c r="K27" s="195">
        <v>777</v>
      </c>
      <c r="M27" s="233" t="s">
        <v>3733</v>
      </c>
      <c r="N27" s="236">
        <v>0</v>
      </c>
      <c r="O27" s="331">
        <f t="shared" si="0"/>
        <v>0</v>
      </c>
      <c r="P27" s="236">
        <v>0</v>
      </c>
      <c r="Q27" s="331">
        <f t="shared" si="1"/>
        <v>0</v>
      </c>
      <c r="R27" s="236">
        <v>0</v>
      </c>
      <c r="S27" s="331">
        <f t="shared" si="2"/>
        <v>0</v>
      </c>
      <c r="T27" s="236">
        <v>0</v>
      </c>
      <c r="U27" s="331">
        <f t="shared" si="3"/>
        <v>0</v>
      </c>
      <c r="V27" s="181">
        <v>0</v>
      </c>
      <c r="W27" s="181">
        <v>0</v>
      </c>
      <c r="X27" s="181">
        <v>0</v>
      </c>
      <c r="Y27" s="181">
        <v>0</v>
      </c>
      <c r="Z27" s="181">
        <v>0</v>
      </c>
      <c r="AA27" s="181">
        <v>0</v>
      </c>
      <c r="AB27" s="181">
        <v>0</v>
      </c>
      <c r="AC27" s="181">
        <v>0</v>
      </c>
      <c r="AD27" s="181">
        <v>0</v>
      </c>
      <c r="AE27" s="181">
        <v>0</v>
      </c>
      <c r="AF27" s="181">
        <v>0</v>
      </c>
      <c r="AG27" s="181">
        <v>0</v>
      </c>
      <c r="AH27" s="181">
        <v>0</v>
      </c>
      <c r="AI27" s="181">
        <v>0</v>
      </c>
      <c r="AJ27" s="181">
        <v>0</v>
      </c>
      <c r="AK27" s="181">
        <v>0</v>
      </c>
      <c r="AL27" s="181">
        <v>0</v>
      </c>
      <c r="AM27" s="181">
        <v>0</v>
      </c>
      <c r="AN27" s="181">
        <v>0</v>
      </c>
      <c r="AO27" s="181">
        <v>0</v>
      </c>
      <c r="AP27" s="181">
        <v>0</v>
      </c>
      <c r="AQ27" s="181">
        <v>0</v>
      </c>
      <c r="AS27" s="10">
        <v>25</v>
      </c>
      <c r="AT27" s="15">
        <v>1</v>
      </c>
      <c r="AU27" s="10">
        <v>25</v>
      </c>
      <c r="AV27" s="15">
        <v>0.8</v>
      </c>
      <c r="BB27" s="10" t="s">
        <v>34</v>
      </c>
      <c r="BC27" s="10" t="s">
        <v>3518</v>
      </c>
      <c r="BD27" s="10">
        <v>1</v>
      </c>
      <c r="BE27" s="10">
        <v>2999</v>
      </c>
    </row>
    <row r="28" spans="1:57" x14ac:dyDescent="0.3">
      <c r="A28" s="170">
        <v>25</v>
      </c>
      <c r="B28" s="170">
        <v>200</v>
      </c>
      <c r="C28" s="15">
        <v>240</v>
      </c>
      <c r="D28" s="15">
        <v>18</v>
      </c>
      <c r="E28" s="15">
        <v>8000</v>
      </c>
      <c r="F28" s="10">
        <v>6.4</v>
      </c>
      <c r="G28" s="146">
        <v>6.4</v>
      </c>
      <c r="H28" s="222">
        <v>0.94549999999999901</v>
      </c>
      <c r="I28" s="244"/>
      <c r="J28" s="8" t="s">
        <v>3692</v>
      </c>
      <c r="K28" s="195">
        <v>888</v>
      </c>
      <c r="M28" s="18" t="s">
        <v>3734</v>
      </c>
      <c r="N28" s="165">
        <v>0</v>
      </c>
      <c r="O28" s="331">
        <f t="shared" si="0"/>
        <v>0</v>
      </c>
      <c r="P28" s="165">
        <v>0</v>
      </c>
      <c r="Q28" s="331">
        <f t="shared" si="1"/>
        <v>0</v>
      </c>
      <c r="R28" s="165">
        <v>0</v>
      </c>
      <c r="S28" s="331">
        <f t="shared" si="2"/>
        <v>0</v>
      </c>
      <c r="T28" s="165">
        <v>0</v>
      </c>
      <c r="U28" s="331">
        <f t="shared" si="3"/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S28" s="10">
        <v>26</v>
      </c>
      <c r="AT28" s="15">
        <v>1</v>
      </c>
      <c r="AU28" s="10">
        <v>26</v>
      </c>
      <c r="AV28" s="15">
        <v>0.85</v>
      </c>
      <c r="BB28" s="249" t="s">
        <v>3519</v>
      </c>
      <c r="BC28" s="10" t="s">
        <v>3520</v>
      </c>
      <c r="BD28" s="10">
        <v>1</v>
      </c>
      <c r="BE28" s="10">
        <v>9800</v>
      </c>
    </row>
    <row r="29" spans="1:57" x14ac:dyDescent="0.3">
      <c r="A29" s="170">
        <v>26</v>
      </c>
      <c r="B29" s="170">
        <v>200</v>
      </c>
      <c r="C29" s="15">
        <v>240</v>
      </c>
      <c r="D29" s="15">
        <v>19</v>
      </c>
      <c r="E29" s="15">
        <v>9000</v>
      </c>
      <c r="F29" s="10">
        <v>6.7</v>
      </c>
      <c r="G29" s="146">
        <v>6.7</v>
      </c>
      <c r="H29" s="222">
        <v>0.95899999999999896</v>
      </c>
      <c r="I29" s="244"/>
      <c r="J29" s="8" t="s">
        <v>3693</v>
      </c>
      <c r="K29" s="195">
        <v>999</v>
      </c>
      <c r="M29" s="233" t="s">
        <v>3735</v>
      </c>
      <c r="N29" s="236">
        <v>0</v>
      </c>
      <c r="O29" s="331">
        <f t="shared" si="0"/>
        <v>0</v>
      </c>
      <c r="P29" s="236">
        <v>0</v>
      </c>
      <c r="Q29" s="331">
        <f t="shared" si="1"/>
        <v>0</v>
      </c>
      <c r="R29" s="236">
        <v>0</v>
      </c>
      <c r="S29" s="331">
        <f t="shared" si="2"/>
        <v>0</v>
      </c>
      <c r="T29" s="236">
        <v>0</v>
      </c>
      <c r="U29" s="331">
        <f t="shared" si="3"/>
        <v>0</v>
      </c>
      <c r="V29" s="181">
        <v>0</v>
      </c>
      <c r="W29" s="181">
        <v>0</v>
      </c>
      <c r="X29" s="181">
        <v>0</v>
      </c>
      <c r="Y29" s="181">
        <v>0</v>
      </c>
      <c r="Z29" s="181">
        <v>0</v>
      </c>
      <c r="AA29" s="181">
        <v>0</v>
      </c>
      <c r="AB29" s="181">
        <v>0</v>
      </c>
      <c r="AC29" s="181">
        <v>0</v>
      </c>
      <c r="AD29" s="181">
        <v>0</v>
      </c>
      <c r="AE29" s="181">
        <v>0</v>
      </c>
      <c r="AF29" s="181">
        <v>0</v>
      </c>
      <c r="AG29" s="181">
        <v>0</v>
      </c>
      <c r="AH29" s="181">
        <v>0</v>
      </c>
      <c r="AI29" s="181">
        <v>0</v>
      </c>
      <c r="AJ29" s="181">
        <v>0</v>
      </c>
      <c r="AK29" s="181">
        <v>0</v>
      </c>
      <c r="AL29" s="181">
        <v>0</v>
      </c>
      <c r="AM29" s="181">
        <v>0</v>
      </c>
      <c r="AN29" s="181">
        <v>0</v>
      </c>
      <c r="AO29" s="181">
        <v>0</v>
      </c>
      <c r="AP29" s="181">
        <v>0</v>
      </c>
      <c r="AQ29" s="181">
        <v>0</v>
      </c>
      <c r="AS29" s="10">
        <v>27</v>
      </c>
      <c r="AT29" s="15">
        <v>1</v>
      </c>
      <c r="AU29" s="10">
        <v>27</v>
      </c>
      <c r="AV29" s="15">
        <v>0.85</v>
      </c>
      <c r="BB29" s="249"/>
      <c r="BC29" s="10" t="s">
        <v>3539</v>
      </c>
      <c r="BD29" s="10">
        <v>1</v>
      </c>
      <c r="BE29" s="10">
        <v>29800</v>
      </c>
    </row>
    <row r="30" spans="1:57" x14ac:dyDescent="0.3">
      <c r="A30" s="170">
        <v>27</v>
      </c>
      <c r="B30" s="170">
        <v>200</v>
      </c>
      <c r="C30" s="15">
        <v>250</v>
      </c>
      <c r="D30" s="15">
        <v>20</v>
      </c>
      <c r="E30" s="15">
        <v>10000</v>
      </c>
      <c r="F30" s="10">
        <v>7</v>
      </c>
      <c r="G30" s="146">
        <v>7</v>
      </c>
      <c r="H30" s="192">
        <v>1</v>
      </c>
      <c r="M30" s="18" t="s">
        <v>3736</v>
      </c>
      <c r="N30" s="165">
        <v>0</v>
      </c>
      <c r="O30" s="331">
        <f t="shared" si="0"/>
        <v>0</v>
      </c>
      <c r="P30" s="165">
        <v>0</v>
      </c>
      <c r="Q30" s="331">
        <f t="shared" si="1"/>
        <v>0</v>
      </c>
      <c r="R30" s="165">
        <v>0</v>
      </c>
      <c r="S30" s="331">
        <f t="shared" si="2"/>
        <v>0</v>
      </c>
      <c r="T30" s="165">
        <v>0</v>
      </c>
      <c r="U30" s="331">
        <f t="shared" si="3"/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S30" s="10">
        <v>28</v>
      </c>
      <c r="AT30" s="15">
        <v>1</v>
      </c>
      <c r="AU30" s="10">
        <v>28</v>
      </c>
      <c r="AV30" s="15">
        <v>0.85</v>
      </c>
      <c r="BB30" s="249"/>
      <c r="BC30" s="10" t="s">
        <v>3540</v>
      </c>
      <c r="BD30" s="10">
        <v>1</v>
      </c>
      <c r="BE30" s="10">
        <v>49800</v>
      </c>
    </row>
    <row r="31" spans="1:57" ht="16.5" customHeight="1" x14ac:dyDescent="0.3">
      <c r="H31" s="223"/>
      <c r="I31" s="244" t="s">
        <v>3551</v>
      </c>
      <c r="J31" s="220" t="s">
        <v>3546</v>
      </c>
      <c r="K31" s="221">
        <v>1</v>
      </c>
      <c r="M31" s="233" t="s">
        <v>3737</v>
      </c>
      <c r="N31" s="236">
        <v>0</v>
      </c>
      <c r="O31" s="331">
        <f t="shared" si="0"/>
        <v>0</v>
      </c>
      <c r="P31" s="236">
        <v>0</v>
      </c>
      <c r="Q31" s="331">
        <f t="shared" si="1"/>
        <v>0</v>
      </c>
      <c r="R31" s="236">
        <v>0</v>
      </c>
      <c r="S31" s="331">
        <f t="shared" si="2"/>
        <v>0</v>
      </c>
      <c r="T31" s="236">
        <v>0</v>
      </c>
      <c r="U31" s="331">
        <f t="shared" si="3"/>
        <v>0</v>
      </c>
      <c r="V31" s="181">
        <v>0</v>
      </c>
      <c r="W31" s="181">
        <v>0</v>
      </c>
      <c r="X31" s="181">
        <v>0</v>
      </c>
      <c r="Y31" s="181">
        <v>0</v>
      </c>
      <c r="Z31" s="181">
        <v>0</v>
      </c>
      <c r="AA31" s="181">
        <v>0</v>
      </c>
      <c r="AB31" s="181">
        <v>0</v>
      </c>
      <c r="AC31" s="181">
        <v>0</v>
      </c>
      <c r="AD31" s="181">
        <v>0</v>
      </c>
      <c r="AE31" s="181">
        <v>0</v>
      </c>
      <c r="AF31" s="181">
        <v>0</v>
      </c>
      <c r="AG31" s="181">
        <v>0</v>
      </c>
      <c r="AH31" s="181">
        <v>0</v>
      </c>
      <c r="AI31" s="181">
        <v>0</v>
      </c>
      <c r="AJ31" s="181">
        <v>0</v>
      </c>
      <c r="AK31" s="181">
        <v>0</v>
      </c>
      <c r="AL31" s="181">
        <v>0</v>
      </c>
      <c r="AM31" s="181">
        <v>0</v>
      </c>
      <c r="AN31" s="181">
        <v>0</v>
      </c>
      <c r="AO31" s="181">
        <v>0</v>
      </c>
      <c r="AP31" s="181">
        <v>0</v>
      </c>
      <c r="AQ31" s="181">
        <v>0</v>
      </c>
      <c r="AS31" s="10">
        <v>29</v>
      </c>
      <c r="AT31" s="15">
        <v>1</v>
      </c>
      <c r="AU31" s="10">
        <v>29</v>
      </c>
      <c r="AV31" s="15">
        <v>0.85</v>
      </c>
      <c r="BB31" s="249"/>
      <c r="BC31" s="10" t="s">
        <v>3521</v>
      </c>
      <c r="BD31" s="10">
        <v>1</v>
      </c>
      <c r="BE31" s="10">
        <v>9800</v>
      </c>
    </row>
    <row r="32" spans="1:57" x14ac:dyDescent="0.3">
      <c r="I32" s="244"/>
      <c r="J32" s="220" t="s">
        <v>3547</v>
      </c>
      <c r="K32" s="221">
        <v>10</v>
      </c>
      <c r="M32" s="18" t="s">
        <v>3738</v>
      </c>
      <c r="N32" s="165">
        <v>0</v>
      </c>
      <c r="O32" s="331">
        <f t="shared" si="0"/>
        <v>0</v>
      </c>
      <c r="P32" s="165">
        <v>0</v>
      </c>
      <c r="Q32" s="331">
        <f t="shared" si="1"/>
        <v>0</v>
      </c>
      <c r="R32" s="165">
        <v>0</v>
      </c>
      <c r="S32" s="331">
        <f t="shared" si="2"/>
        <v>0</v>
      </c>
      <c r="T32" s="165">
        <v>0</v>
      </c>
      <c r="U32" s="331">
        <f t="shared" si="3"/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S32" s="10">
        <v>30</v>
      </c>
      <c r="AT32" s="15">
        <v>1</v>
      </c>
      <c r="AU32" s="10">
        <v>30</v>
      </c>
      <c r="AV32" s="15">
        <v>0.85</v>
      </c>
      <c r="BB32" s="249"/>
      <c r="BC32" s="10" t="s">
        <v>3541</v>
      </c>
      <c r="BD32" s="10">
        <v>1</v>
      </c>
      <c r="BE32" s="10">
        <v>29800</v>
      </c>
    </row>
    <row r="33" spans="9:57" x14ac:dyDescent="0.3">
      <c r="I33" s="244"/>
      <c r="J33" s="220" t="s">
        <v>3548</v>
      </c>
      <c r="K33" s="221">
        <v>50</v>
      </c>
      <c r="M33" s="233" t="s">
        <v>3739</v>
      </c>
      <c r="N33" s="236">
        <v>0</v>
      </c>
      <c r="O33" s="331">
        <f t="shared" si="0"/>
        <v>0</v>
      </c>
      <c r="P33" s="236">
        <v>0</v>
      </c>
      <c r="Q33" s="331">
        <f t="shared" si="1"/>
        <v>0</v>
      </c>
      <c r="R33" s="236">
        <v>0</v>
      </c>
      <c r="S33" s="331">
        <f t="shared" si="2"/>
        <v>0</v>
      </c>
      <c r="T33" s="236">
        <v>0</v>
      </c>
      <c r="U33" s="331">
        <f t="shared" si="3"/>
        <v>0</v>
      </c>
      <c r="V33" s="181">
        <v>0</v>
      </c>
      <c r="W33" s="181">
        <v>0</v>
      </c>
      <c r="X33" s="181">
        <v>0</v>
      </c>
      <c r="Y33" s="181">
        <v>0</v>
      </c>
      <c r="Z33" s="181">
        <v>0</v>
      </c>
      <c r="AA33" s="181">
        <v>0</v>
      </c>
      <c r="AB33" s="181">
        <v>0</v>
      </c>
      <c r="AC33" s="181">
        <v>0</v>
      </c>
      <c r="AD33" s="181">
        <v>0</v>
      </c>
      <c r="AE33" s="181">
        <v>0</v>
      </c>
      <c r="AF33" s="181">
        <v>0</v>
      </c>
      <c r="AG33" s="181">
        <v>0</v>
      </c>
      <c r="AH33" s="181">
        <v>0</v>
      </c>
      <c r="AI33" s="181">
        <v>0</v>
      </c>
      <c r="AJ33" s="181">
        <v>0</v>
      </c>
      <c r="AK33" s="181">
        <v>0</v>
      </c>
      <c r="AL33" s="181">
        <v>0</v>
      </c>
      <c r="AM33" s="181">
        <v>0</v>
      </c>
      <c r="AN33" s="181">
        <v>0</v>
      </c>
      <c r="AO33" s="181">
        <v>0</v>
      </c>
      <c r="AP33" s="181">
        <v>0</v>
      </c>
      <c r="AQ33" s="181">
        <v>0</v>
      </c>
      <c r="AS33" s="10">
        <v>31</v>
      </c>
      <c r="AT33" s="15">
        <v>1</v>
      </c>
      <c r="AU33" s="10">
        <v>31</v>
      </c>
      <c r="AV33" s="15">
        <v>0.9</v>
      </c>
      <c r="BB33" s="249"/>
      <c r="BC33" s="10" t="s">
        <v>3542</v>
      </c>
      <c r="BD33" s="10">
        <v>1</v>
      </c>
      <c r="BE33" s="10">
        <v>49800</v>
      </c>
    </row>
    <row r="34" spans="9:57" x14ac:dyDescent="0.3">
      <c r="I34" s="244"/>
      <c r="J34" s="220" t="s">
        <v>3549</v>
      </c>
      <c r="K34" s="221">
        <v>100</v>
      </c>
      <c r="M34" s="18" t="s">
        <v>3740</v>
      </c>
      <c r="N34" s="165">
        <v>0</v>
      </c>
      <c r="O34" s="331">
        <f t="shared" si="0"/>
        <v>0</v>
      </c>
      <c r="P34" s="165">
        <v>0</v>
      </c>
      <c r="Q34" s="331">
        <f t="shared" si="1"/>
        <v>0</v>
      </c>
      <c r="R34" s="165">
        <v>0</v>
      </c>
      <c r="S34" s="331">
        <f t="shared" si="2"/>
        <v>0</v>
      </c>
      <c r="T34" s="165">
        <v>0</v>
      </c>
      <c r="U34" s="331">
        <f t="shared" si="3"/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S34" s="10">
        <v>32</v>
      </c>
      <c r="AT34" s="15">
        <v>1</v>
      </c>
      <c r="AU34" s="10">
        <v>32</v>
      </c>
      <c r="AV34" s="15">
        <v>0.9</v>
      </c>
      <c r="BB34" s="249" t="s">
        <v>3522</v>
      </c>
      <c r="BC34" s="10" t="s">
        <v>3523</v>
      </c>
      <c r="BD34" s="10">
        <v>1</v>
      </c>
      <c r="BE34" s="10">
        <v>2000</v>
      </c>
    </row>
    <row r="35" spans="9:57" x14ac:dyDescent="0.3">
      <c r="I35" s="244"/>
      <c r="J35" s="220" t="s">
        <v>3550</v>
      </c>
      <c r="K35" s="221">
        <v>200</v>
      </c>
      <c r="M35" s="233" t="s">
        <v>3741</v>
      </c>
      <c r="N35" s="236">
        <v>0</v>
      </c>
      <c r="O35" s="331">
        <f t="shared" si="0"/>
        <v>0</v>
      </c>
      <c r="P35" s="236">
        <v>0</v>
      </c>
      <c r="Q35" s="331">
        <f t="shared" si="1"/>
        <v>0</v>
      </c>
      <c r="R35" s="236">
        <v>0</v>
      </c>
      <c r="S35" s="331">
        <f t="shared" si="2"/>
        <v>0</v>
      </c>
      <c r="T35" s="236">
        <v>0</v>
      </c>
      <c r="U35" s="331">
        <f t="shared" si="3"/>
        <v>0</v>
      </c>
      <c r="V35" s="181">
        <v>0</v>
      </c>
      <c r="W35" s="181">
        <v>0</v>
      </c>
      <c r="X35" s="181">
        <v>0</v>
      </c>
      <c r="Y35" s="181">
        <v>0</v>
      </c>
      <c r="Z35" s="181">
        <v>0</v>
      </c>
      <c r="AA35" s="181">
        <v>0</v>
      </c>
      <c r="AB35" s="181">
        <v>0</v>
      </c>
      <c r="AC35" s="181">
        <v>0</v>
      </c>
      <c r="AD35" s="181">
        <v>0</v>
      </c>
      <c r="AE35" s="181">
        <v>0</v>
      </c>
      <c r="AF35" s="181">
        <v>0</v>
      </c>
      <c r="AG35" s="181">
        <v>0</v>
      </c>
      <c r="AH35" s="181">
        <v>0</v>
      </c>
      <c r="AI35" s="181">
        <v>0</v>
      </c>
      <c r="AJ35" s="181">
        <v>0</v>
      </c>
      <c r="AK35" s="181">
        <v>0</v>
      </c>
      <c r="AL35" s="181">
        <v>0</v>
      </c>
      <c r="AM35" s="181">
        <v>0</v>
      </c>
      <c r="AN35" s="181">
        <v>0</v>
      </c>
      <c r="AO35" s="181">
        <v>0</v>
      </c>
      <c r="AP35" s="181">
        <v>0</v>
      </c>
      <c r="AQ35" s="181">
        <v>0</v>
      </c>
      <c r="AS35" s="10">
        <v>33</v>
      </c>
      <c r="AT35" s="15">
        <v>1</v>
      </c>
      <c r="AU35" s="10">
        <v>33</v>
      </c>
      <c r="AV35" s="15">
        <v>0.9</v>
      </c>
      <c r="BB35" s="249"/>
      <c r="BC35" s="10" t="s">
        <v>3524</v>
      </c>
      <c r="BD35" s="10">
        <v>1</v>
      </c>
      <c r="BE35" s="10">
        <v>1000</v>
      </c>
    </row>
    <row r="36" spans="9:57" x14ac:dyDescent="0.3">
      <c r="I36" s="244"/>
      <c r="J36" s="8" t="s">
        <v>3701</v>
      </c>
      <c r="K36" s="221">
        <v>1</v>
      </c>
      <c r="M36" s="18" t="s">
        <v>3742</v>
      </c>
      <c r="N36" s="165">
        <v>0</v>
      </c>
      <c r="O36" s="331">
        <f t="shared" si="0"/>
        <v>0</v>
      </c>
      <c r="P36" s="165">
        <v>0</v>
      </c>
      <c r="Q36" s="331">
        <f t="shared" si="1"/>
        <v>0</v>
      </c>
      <c r="R36" s="165">
        <v>0</v>
      </c>
      <c r="S36" s="331">
        <f t="shared" si="2"/>
        <v>0</v>
      </c>
      <c r="T36" s="165">
        <v>0</v>
      </c>
      <c r="U36" s="331">
        <f t="shared" si="3"/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S36" s="10">
        <v>34</v>
      </c>
      <c r="AT36" s="15">
        <v>1</v>
      </c>
      <c r="AU36" s="10">
        <v>34</v>
      </c>
      <c r="AV36" s="15">
        <v>0.9</v>
      </c>
      <c r="BB36" s="249"/>
      <c r="BC36" s="10" t="s">
        <v>3525</v>
      </c>
      <c r="BD36" s="10">
        <v>1</v>
      </c>
      <c r="BE36" s="10">
        <v>3000</v>
      </c>
    </row>
    <row r="37" spans="9:57" x14ac:dyDescent="0.3">
      <c r="I37" s="244"/>
      <c r="J37" s="8" t="s">
        <v>3702</v>
      </c>
      <c r="K37" s="221">
        <v>2</v>
      </c>
      <c r="M37" s="233" t="s">
        <v>3743</v>
      </c>
      <c r="N37" s="236">
        <v>0</v>
      </c>
      <c r="O37" s="331">
        <f t="shared" si="0"/>
        <v>0</v>
      </c>
      <c r="P37" s="236">
        <v>0</v>
      </c>
      <c r="Q37" s="331">
        <f t="shared" si="1"/>
        <v>0</v>
      </c>
      <c r="R37" s="236">
        <v>0</v>
      </c>
      <c r="S37" s="331">
        <f t="shared" si="2"/>
        <v>0</v>
      </c>
      <c r="T37" s="236">
        <v>0</v>
      </c>
      <c r="U37" s="331">
        <f t="shared" si="3"/>
        <v>0</v>
      </c>
      <c r="V37" s="181">
        <v>0</v>
      </c>
      <c r="W37" s="181">
        <v>0</v>
      </c>
      <c r="X37" s="181">
        <v>0</v>
      </c>
      <c r="Y37" s="181">
        <v>0</v>
      </c>
      <c r="Z37" s="181">
        <v>0</v>
      </c>
      <c r="AA37" s="181">
        <v>0</v>
      </c>
      <c r="AB37" s="181">
        <v>0</v>
      </c>
      <c r="AC37" s="181">
        <v>0</v>
      </c>
      <c r="AD37" s="181">
        <v>0</v>
      </c>
      <c r="AE37" s="181">
        <v>0</v>
      </c>
      <c r="AF37" s="181">
        <v>0</v>
      </c>
      <c r="AG37" s="181">
        <v>0</v>
      </c>
      <c r="AH37" s="181">
        <v>0</v>
      </c>
      <c r="AI37" s="181">
        <v>0</v>
      </c>
      <c r="AJ37" s="181">
        <v>0</v>
      </c>
      <c r="AK37" s="181">
        <v>0</v>
      </c>
      <c r="AL37" s="181">
        <v>0</v>
      </c>
      <c r="AM37" s="181">
        <v>0</v>
      </c>
      <c r="AN37" s="181">
        <v>0</v>
      </c>
      <c r="AO37" s="181">
        <v>0</v>
      </c>
      <c r="AP37" s="181">
        <v>0</v>
      </c>
      <c r="AQ37" s="181">
        <v>0</v>
      </c>
      <c r="AS37" s="10">
        <v>35</v>
      </c>
      <c r="AT37" s="15">
        <v>1</v>
      </c>
      <c r="AU37" s="10">
        <v>35</v>
      </c>
      <c r="AV37" s="15">
        <v>0.9</v>
      </c>
      <c r="BB37" s="249"/>
      <c r="BC37" s="10" t="s">
        <v>3526</v>
      </c>
      <c r="BD37" s="10">
        <v>1</v>
      </c>
      <c r="BE37" s="10">
        <v>1000</v>
      </c>
    </row>
    <row r="38" spans="9:57" x14ac:dyDescent="0.3">
      <c r="I38" s="244"/>
      <c r="J38" s="8" t="s">
        <v>3703</v>
      </c>
      <c r="K38" s="221">
        <v>3</v>
      </c>
      <c r="M38" s="18" t="s">
        <v>3744</v>
      </c>
      <c r="N38" s="165">
        <v>0</v>
      </c>
      <c r="O38" s="331">
        <f t="shared" si="0"/>
        <v>0</v>
      </c>
      <c r="P38" s="165">
        <v>0</v>
      </c>
      <c r="Q38" s="331">
        <f t="shared" si="1"/>
        <v>0</v>
      </c>
      <c r="R38" s="165">
        <v>0</v>
      </c>
      <c r="S38" s="331">
        <f t="shared" si="2"/>
        <v>0</v>
      </c>
      <c r="T38" s="165">
        <v>0</v>
      </c>
      <c r="U38" s="331">
        <f t="shared" si="3"/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S38" s="10">
        <v>36</v>
      </c>
      <c r="AT38" s="15">
        <v>1</v>
      </c>
      <c r="AU38" s="10">
        <v>36</v>
      </c>
      <c r="AV38" s="15">
        <v>0.95</v>
      </c>
      <c r="BB38" s="249"/>
      <c r="BC38" s="10" t="s">
        <v>3527</v>
      </c>
      <c r="BD38" s="10">
        <v>1</v>
      </c>
      <c r="BE38" s="10">
        <v>2000</v>
      </c>
    </row>
    <row r="39" spans="9:57" x14ac:dyDescent="0.3">
      <c r="I39" s="244"/>
      <c r="J39" s="8" t="s">
        <v>3704</v>
      </c>
      <c r="K39" s="221">
        <v>4</v>
      </c>
      <c r="M39" s="235" t="s">
        <v>3792</v>
      </c>
      <c r="N39" s="233">
        <f>SUM(N3:N38)</f>
        <v>100000</v>
      </c>
      <c r="O39" s="331">
        <f>N39/$N$39</f>
        <v>1</v>
      </c>
      <c r="P39" s="233">
        <f t="shared" ref="P39:V39" si="4">SUM(P3:P38)</f>
        <v>200000</v>
      </c>
      <c r="Q39" s="331">
        <f t="shared" si="1"/>
        <v>1</v>
      </c>
      <c r="R39" s="233">
        <f t="shared" si="4"/>
        <v>10000</v>
      </c>
      <c r="S39" s="331">
        <f t="shared" si="2"/>
        <v>1</v>
      </c>
      <c r="T39" s="233">
        <f t="shared" si="4"/>
        <v>5000</v>
      </c>
      <c r="U39" s="331">
        <f t="shared" si="3"/>
        <v>1</v>
      </c>
      <c r="V39" s="233">
        <f t="shared" si="4"/>
        <v>317</v>
      </c>
      <c r="W39" s="233">
        <f t="shared" ref="W39" si="5">SUM(W3:W38)</f>
        <v>39.817999999999998</v>
      </c>
      <c r="X39" s="233">
        <f t="shared" ref="X39" si="6">SUM(X3:X38)</f>
        <v>110</v>
      </c>
      <c r="Y39" s="233">
        <f t="shared" ref="Y39:Z39" si="7">SUM(Y3:Y38)</f>
        <v>120</v>
      </c>
      <c r="Z39" s="233">
        <f t="shared" si="7"/>
        <v>0</v>
      </c>
      <c r="AA39" s="233">
        <f t="shared" ref="AA39" si="8">SUM(AA3:AA38)</f>
        <v>7</v>
      </c>
      <c r="AB39" s="233">
        <f t="shared" ref="AB39" si="9">SUM(AB3:AB38)</f>
        <v>67.817999999999998</v>
      </c>
      <c r="AC39" s="233">
        <f t="shared" ref="AC39:AD39" si="10">SUM(AC3:AC38)</f>
        <v>25.817999999999998</v>
      </c>
      <c r="AD39" s="233">
        <f t="shared" si="10"/>
        <v>25.817999999999998</v>
      </c>
      <c r="AE39" s="233">
        <f t="shared" ref="AE39" si="11">SUM(AE3:AE38)</f>
        <v>381.81799999999998</v>
      </c>
      <c r="AF39" s="233">
        <f t="shared" ref="AF39" si="12">SUM(AF3:AF38)</f>
        <v>371.81799999999998</v>
      </c>
      <c r="AG39" s="233">
        <f t="shared" ref="AG39:AH39" si="13">SUM(AG3:AG38)</f>
        <v>118</v>
      </c>
      <c r="AH39" s="233">
        <f t="shared" si="13"/>
        <v>118</v>
      </c>
      <c r="AI39" s="233">
        <f t="shared" ref="AI39" si="14">SUM(AI3:AI38)</f>
        <v>96.817999999999998</v>
      </c>
      <c r="AJ39" s="233">
        <f t="shared" ref="AJ39" si="15">SUM(AJ3:AJ38)</f>
        <v>21.817999999999998</v>
      </c>
      <c r="AK39" s="233">
        <f t="shared" ref="AK39:AL39" si="16">SUM(AK3:AK38)</f>
        <v>0</v>
      </c>
      <c r="AL39" s="233">
        <f t="shared" si="16"/>
        <v>21.818000000000001</v>
      </c>
      <c r="AM39" s="233">
        <f t="shared" ref="AM39" si="17">SUM(AM3:AM38)</f>
        <v>1.8180000000000001</v>
      </c>
      <c r="AN39" s="233">
        <f t="shared" ref="AN39" si="18">SUM(AN3:AN38)</f>
        <v>2000</v>
      </c>
      <c r="AO39" s="233">
        <f t="shared" ref="AO39:AP39" si="19">SUM(AO3:AO38)</f>
        <v>2000</v>
      </c>
      <c r="AP39" s="233">
        <f t="shared" si="19"/>
        <v>19.818000000000001</v>
      </c>
      <c r="AQ39" s="233">
        <f t="shared" ref="AQ39" si="20">SUM(AQ3:AQ38)</f>
        <v>21.818000000000001</v>
      </c>
      <c r="AS39" s="13"/>
      <c r="AT39" s="13"/>
      <c r="AU39" s="10">
        <v>37</v>
      </c>
      <c r="AV39" s="15">
        <v>0.95</v>
      </c>
      <c r="BB39" s="249"/>
      <c r="BC39" s="10" t="s">
        <v>3528</v>
      </c>
      <c r="BD39" s="10">
        <v>1</v>
      </c>
      <c r="BE39" s="10">
        <v>1000</v>
      </c>
    </row>
    <row r="40" spans="9:57" x14ac:dyDescent="0.3">
      <c r="I40" s="244"/>
      <c r="J40" s="8" t="s">
        <v>3705</v>
      </c>
      <c r="K40" s="221">
        <v>5</v>
      </c>
      <c r="N40" s="238" t="s">
        <v>3393</v>
      </c>
      <c r="O40" s="239"/>
      <c r="P40" s="239"/>
      <c r="Q40" s="239"/>
      <c r="R40" s="239"/>
      <c r="S40" s="239"/>
      <c r="T40" s="240"/>
      <c r="U40" s="328"/>
      <c r="V40" s="13"/>
      <c r="W40" s="13"/>
      <c r="AA40" s="12"/>
      <c r="AB40" s="12"/>
      <c r="AC40" s="12"/>
      <c r="AS40" s="13"/>
      <c r="AT40" s="13"/>
      <c r="AU40" s="10">
        <v>38</v>
      </c>
      <c r="AV40" s="15">
        <v>0.95</v>
      </c>
      <c r="BB40" s="249"/>
      <c r="BC40" s="10" t="s">
        <v>3529</v>
      </c>
      <c r="BD40" s="10">
        <v>1</v>
      </c>
      <c r="BE40" s="15">
        <v>10000</v>
      </c>
    </row>
    <row r="41" spans="9:57" x14ac:dyDescent="0.3">
      <c r="I41" s="244"/>
      <c r="J41" s="8" t="s">
        <v>3706</v>
      </c>
      <c r="K41" s="221">
        <v>6</v>
      </c>
      <c r="N41" s="20" t="s">
        <v>37</v>
      </c>
      <c r="O41" s="20"/>
      <c r="P41" s="20" t="s">
        <v>38</v>
      </c>
      <c r="Q41" s="20"/>
      <c r="R41" s="20" t="s">
        <v>3</v>
      </c>
      <c r="S41" s="20"/>
      <c r="T41" s="20" t="s">
        <v>2</v>
      </c>
      <c r="U41" s="329"/>
      <c r="V41" s="13"/>
      <c r="W41" s="13"/>
      <c r="AA41" s="12"/>
      <c r="AB41" s="12"/>
      <c r="AC41" s="12"/>
      <c r="AS41" s="13"/>
      <c r="AT41" s="13"/>
      <c r="AU41" s="10">
        <v>39</v>
      </c>
      <c r="AV41" s="15">
        <v>0.95</v>
      </c>
      <c r="BB41" s="249"/>
      <c r="BC41" s="10" t="s">
        <v>3530</v>
      </c>
      <c r="BD41" s="10">
        <v>1</v>
      </c>
      <c r="BE41" s="10">
        <v>2000</v>
      </c>
    </row>
    <row r="42" spans="9:57" x14ac:dyDescent="0.3">
      <c r="I42" s="244"/>
      <c r="J42" s="8" t="s">
        <v>3707</v>
      </c>
      <c r="K42" s="221">
        <v>7</v>
      </c>
      <c r="N42" s="14">
        <f>(N39)/养成属性分配!C31</f>
        <v>1</v>
      </c>
      <c r="O42" s="14"/>
      <c r="P42" s="14">
        <f>(P39)/养成属性分配!D31</f>
        <v>1</v>
      </c>
      <c r="Q42" s="14"/>
      <c r="R42" s="14">
        <f>(R39)/养成属性分配!E31</f>
        <v>1</v>
      </c>
      <c r="S42" s="14"/>
      <c r="T42" s="14">
        <f>(T39)/养成属性分配!F31</f>
        <v>1</v>
      </c>
      <c r="U42" s="330"/>
      <c r="V42" s="13"/>
      <c r="W42" s="13"/>
      <c r="AA42" s="12"/>
      <c r="AB42" s="12"/>
      <c r="AC42" s="12"/>
      <c r="AS42" s="13"/>
      <c r="AT42" s="13"/>
      <c r="AU42" s="10">
        <v>40</v>
      </c>
      <c r="AV42" s="15">
        <v>0.95</v>
      </c>
      <c r="BB42" s="249"/>
      <c r="BC42" s="10" t="s">
        <v>3531</v>
      </c>
      <c r="BD42" s="10">
        <v>1</v>
      </c>
      <c r="BE42" s="10">
        <v>1000</v>
      </c>
    </row>
    <row r="43" spans="9:57" x14ac:dyDescent="0.3">
      <c r="T43" s="13"/>
      <c r="U43" s="13"/>
      <c r="V43" s="13"/>
      <c r="W43" s="13"/>
      <c r="AA43" s="12"/>
      <c r="AB43" s="12"/>
      <c r="AC43" s="12"/>
      <c r="AS43" s="13"/>
      <c r="AT43" s="13"/>
      <c r="AU43" s="10">
        <v>41</v>
      </c>
      <c r="AV43" s="15">
        <v>1</v>
      </c>
      <c r="BB43" s="249"/>
      <c r="BC43" s="10" t="s">
        <v>3532</v>
      </c>
      <c r="BD43" s="10">
        <v>1</v>
      </c>
      <c r="BE43" s="10">
        <v>1000</v>
      </c>
    </row>
    <row r="44" spans="9:57" x14ac:dyDescent="0.3">
      <c r="AS44" s="13"/>
      <c r="AT44" s="13"/>
      <c r="AU44" s="10">
        <v>42</v>
      </c>
      <c r="AV44" s="15">
        <v>1</v>
      </c>
      <c r="BB44" s="249" t="s">
        <v>3533</v>
      </c>
      <c r="BC44" s="10" t="s">
        <v>3420</v>
      </c>
      <c r="BD44" s="10">
        <v>1</v>
      </c>
      <c r="BE44" s="10">
        <v>400</v>
      </c>
    </row>
    <row r="45" spans="9:57" x14ac:dyDescent="0.3">
      <c r="AS45" s="13"/>
      <c r="AT45" s="13"/>
      <c r="AU45" s="10">
        <v>43</v>
      </c>
      <c r="AV45" s="15">
        <v>1</v>
      </c>
      <c r="BB45" s="249"/>
      <c r="BC45" s="10" t="s">
        <v>3421</v>
      </c>
      <c r="BD45" s="10">
        <v>1</v>
      </c>
      <c r="BE45" s="10">
        <v>400</v>
      </c>
    </row>
    <row r="46" spans="9:57" x14ac:dyDescent="0.3">
      <c r="AS46" s="13"/>
      <c r="AT46" s="13"/>
      <c r="AU46" s="10">
        <v>44</v>
      </c>
      <c r="AV46" s="15">
        <v>1</v>
      </c>
      <c r="BB46" s="249"/>
      <c r="BC46" s="10" t="s">
        <v>3422</v>
      </c>
      <c r="BD46" s="10">
        <v>1</v>
      </c>
      <c r="BE46" s="10">
        <v>400</v>
      </c>
    </row>
    <row r="47" spans="9:57" x14ac:dyDescent="0.3">
      <c r="AS47" s="13"/>
      <c r="AT47" s="13"/>
      <c r="AU47" s="10">
        <v>45</v>
      </c>
      <c r="AV47" s="15">
        <v>1</v>
      </c>
      <c r="BB47" s="249"/>
      <c r="BC47" s="10" t="s">
        <v>3424</v>
      </c>
      <c r="BD47" s="10">
        <v>1</v>
      </c>
      <c r="BE47" s="10">
        <v>400</v>
      </c>
    </row>
    <row r="48" spans="9:57" x14ac:dyDescent="0.3">
      <c r="BB48" s="249"/>
      <c r="BC48" s="10" t="s">
        <v>3534</v>
      </c>
      <c r="BD48" s="10">
        <v>1</v>
      </c>
      <c r="BE48" s="10">
        <v>400</v>
      </c>
    </row>
    <row r="49" spans="54:57" x14ac:dyDescent="0.3">
      <c r="BB49" s="249"/>
      <c r="BC49" s="10" t="s">
        <v>3535</v>
      </c>
      <c r="BD49" s="10">
        <v>1</v>
      </c>
      <c r="BE49" s="10">
        <v>1000</v>
      </c>
    </row>
    <row r="50" spans="54:57" x14ac:dyDescent="0.3">
      <c r="BB50" s="249"/>
      <c r="BC50" s="10" t="s">
        <v>3464</v>
      </c>
      <c r="BD50" s="10">
        <v>1</v>
      </c>
      <c r="BE50" s="10">
        <v>1000</v>
      </c>
    </row>
    <row r="51" spans="54:57" x14ac:dyDescent="0.3">
      <c r="BB51" s="249"/>
      <c r="BC51" s="10" t="s">
        <v>3423</v>
      </c>
      <c r="BD51" s="10">
        <v>1</v>
      </c>
      <c r="BE51" s="10">
        <v>1000</v>
      </c>
    </row>
    <row r="52" spans="54:57" x14ac:dyDescent="0.3">
      <c r="BB52" s="10" t="s">
        <v>3536</v>
      </c>
      <c r="BC52" s="10" t="s">
        <v>3537</v>
      </c>
      <c r="BD52" s="10">
        <v>1</v>
      </c>
      <c r="BE52" s="10">
        <v>1500</v>
      </c>
    </row>
    <row r="53" spans="54:57" x14ac:dyDescent="0.3">
      <c r="BB53" s="10" t="s">
        <v>3514</v>
      </c>
      <c r="BC53" s="10" t="s">
        <v>3538</v>
      </c>
      <c r="BD53" s="10">
        <v>1</v>
      </c>
      <c r="BE53" s="10">
        <v>10</v>
      </c>
    </row>
  </sheetData>
  <mergeCells count="20">
    <mergeCell ref="BB20:BB22"/>
    <mergeCell ref="BB23:BB26"/>
    <mergeCell ref="BB28:BB33"/>
    <mergeCell ref="BB34:BB43"/>
    <mergeCell ref="BB44:BB51"/>
    <mergeCell ref="BB5:BB8"/>
    <mergeCell ref="BB10:BB11"/>
    <mergeCell ref="BB12:BB14"/>
    <mergeCell ref="BB15:BB16"/>
    <mergeCell ref="BB1:BE1"/>
    <mergeCell ref="N40:T40"/>
    <mergeCell ref="A2:A3"/>
    <mergeCell ref="AS1:AZ1"/>
    <mergeCell ref="I31:I42"/>
    <mergeCell ref="C2:E2"/>
    <mergeCell ref="A1:H1"/>
    <mergeCell ref="I3:I15"/>
    <mergeCell ref="I17:I29"/>
    <mergeCell ref="F2:G2"/>
    <mergeCell ref="M1:AQ1"/>
  </mergeCells>
  <phoneticPr fontId="1" type="noConversion"/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4F9D61-A0C5-47CF-AC5B-A71AD35D3C5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参数调整!H3:H30</xm:f>
              <xm:sqref>H31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3F15-DBFA-4A2D-8845-457A1AF2C47C}">
  <sheetPr filterMode="1">
    <tabColor theme="9" tint="0.79998168889431442"/>
  </sheetPr>
  <dimension ref="A1:D12314"/>
  <sheetViews>
    <sheetView topLeftCell="A4110" workbookViewId="0">
      <selection activeCell="B4139" sqref="B4139"/>
    </sheetView>
  </sheetViews>
  <sheetFormatPr defaultRowHeight="14.25" x14ac:dyDescent="0.2"/>
  <cols>
    <col min="1" max="1" width="13.875" bestFit="1" customWidth="1"/>
    <col min="2" max="2" width="18.75" bestFit="1" customWidth="1"/>
    <col min="3" max="3" width="13.875" bestFit="1" customWidth="1"/>
    <col min="4" max="4" width="20.875" bestFit="1" customWidth="1"/>
    <col min="5" max="6" width="9.75" bestFit="1" customWidth="1"/>
  </cols>
  <sheetData>
    <row r="1" spans="1:4" ht="68.25" customHeight="1" x14ac:dyDescent="0.2">
      <c r="A1" s="250" t="s">
        <v>3554</v>
      </c>
      <c r="B1" s="250"/>
      <c r="C1" s="250"/>
      <c r="D1" s="250"/>
    </row>
    <row r="2" spans="1:4" ht="16.5" x14ac:dyDescent="0.2">
      <c r="A2" s="10" t="s">
        <v>3545</v>
      </c>
      <c r="B2" s="10" t="s">
        <v>3715</v>
      </c>
      <c r="C2" s="10" t="s">
        <v>3552</v>
      </c>
      <c r="D2" s="10" t="s">
        <v>3553</v>
      </c>
    </row>
    <row r="3" spans="1:4" ht="16.5" hidden="1" x14ac:dyDescent="0.3">
      <c r="A3" s="10" t="str">
        <f>基本属性!$B$4&amp;"|"&amp;基本属性!$C$4</f>
        <v>35|0</v>
      </c>
      <c r="B3" s="10" t="str">
        <f>参数调整!$J$35</f>
        <v>BOSS掉落</v>
      </c>
      <c r="C3" s="8" t="str">
        <f>材料产出!$R$2</f>
        <v>转生精华</v>
      </c>
      <c r="D3" s="224">
        <f>参数调整!$K$35*怪物掉落配置方案!$D4107</f>
        <v>7.9120433703197046E-2</v>
      </c>
    </row>
    <row r="4" spans="1:4" ht="16.5" hidden="1" x14ac:dyDescent="0.3">
      <c r="A4" s="10" t="str">
        <f>基本属性!$B$5&amp;"|"&amp;基本属性!$C$5</f>
        <v>40|0</v>
      </c>
      <c r="B4" s="10" t="str">
        <f>参数调整!$J$35</f>
        <v>BOSS掉落</v>
      </c>
      <c r="C4" s="8" t="str">
        <f>材料产出!$R$2</f>
        <v>转生精华</v>
      </c>
      <c r="D4" s="224">
        <f>参数调整!$K$35*怪物掉落配置方案!$D4108</f>
        <v>0.10013679890560874</v>
      </c>
    </row>
    <row r="5" spans="1:4" ht="16.5" hidden="1" x14ac:dyDescent="0.3">
      <c r="A5" s="10" t="str">
        <f>基本属性!$B$6&amp;"|"&amp;基本属性!$C$6</f>
        <v>50|0</v>
      </c>
      <c r="B5" s="10" t="str">
        <f>参数调整!$J$35</f>
        <v>BOSS掉落</v>
      </c>
      <c r="C5" s="8" t="str">
        <f>材料产出!$R$2</f>
        <v>转生精华</v>
      </c>
      <c r="D5" s="224">
        <f>参数调整!$K$35*怪物掉落配置方案!$D4109</f>
        <v>0.12362567766124538</v>
      </c>
    </row>
    <row r="6" spans="1:4" ht="16.5" hidden="1" x14ac:dyDescent="0.3">
      <c r="A6" s="10" t="str">
        <f>基本属性!$B$7&amp;"|"&amp;基本属性!$C$7</f>
        <v>60|0</v>
      </c>
      <c r="B6" s="10" t="str">
        <f>参数调整!$J$35</f>
        <v>BOSS掉落</v>
      </c>
      <c r="C6" s="8" t="str">
        <f>材料产出!$R$2</f>
        <v>转生精华</v>
      </c>
      <c r="D6" s="224">
        <f>参数调整!$K$35*怪物掉落配置方案!$D4110</f>
        <v>0.14958706997010693</v>
      </c>
    </row>
    <row r="7" spans="1:4" ht="16.5" hidden="1" x14ac:dyDescent="0.3">
      <c r="A7" s="10" t="str">
        <f>基本属性!$B$8&amp;"|"&amp;基本属性!$C$8</f>
        <v>65|0</v>
      </c>
      <c r="B7" s="10" t="str">
        <f>参数调整!$J$35</f>
        <v>BOSS掉落</v>
      </c>
      <c r="C7" s="8" t="str">
        <f>材料产出!$R$2</f>
        <v>转生精华</v>
      </c>
      <c r="D7" s="224">
        <f>参数调整!$K$35*怪物掉落配置方案!$D4111</f>
        <v>0.17802097583219334</v>
      </c>
    </row>
    <row r="8" spans="1:4" ht="16.5" hidden="1" x14ac:dyDescent="0.3">
      <c r="A8" s="10" t="str">
        <f>基本属性!$B$9&amp;"|"&amp;基本属性!$C$9</f>
        <v>70|0</v>
      </c>
      <c r="B8" s="10" t="str">
        <f>参数调整!$J$35</f>
        <v>BOSS掉落</v>
      </c>
      <c r="C8" s="8" t="str">
        <f>材料产出!$R$2</f>
        <v>转生精华</v>
      </c>
      <c r="D8" s="224">
        <f>参数调整!$K$35*怪物掉落配置方案!$D4112</f>
        <v>0.20892739524750467</v>
      </c>
    </row>
    <row r="9" spans="1:4" ht="16.5" hidden="1" x14ac:dyDescent="0.3">
      <c r="A9" s="10" t="str">
        <f>基本属性!$B$10&amp;"|"&amp;基本属性!$C$10</f>
        <v>75|0</v>
      </c>
      <c r="B9" s="10" t="str">
        <f>参数调整!$J$35</f>
        <v>BOSS掉落</v>
      </c>
      <c r="C9" s="8" t="str">
        <f>材料产出!$R$2</f>
        <v>转生精华</v>
      </c>
      <c r="D9" s="224">
        <f>参数调整!$K$35*怪物掉落配置方案!$D4113</f>
        <v>0.24230632821604087</v>
      </c>
    </row>
    <row r="10" spans="1:4" ht="16.5" hidden="1" x14ac:dyDescent="0.3">
      <c r="A10" s="10" t="str">
        <f>基本属性!$B$11&amp;"|"&amp;基本属性!$C$11</f>
        <v>80|1</v>
      </c>
      <c r="B10" s="10" t="str">
        <f>参数调整!$J$35</f>
        <v>BOSS掉落</v>
      </c>
      <c r="C10" s="8" t="str">
        <f>材料产出!$R$2</f>
        <v>转生精华</v>
      </c>
      <c r="D10" s="224">
        <f>参数调整!$K$35*怪物掉落配置方案!$D4114</f>
        <v>0.27815777473780212</v>
      </c>
    </row>
    <row r="11" spans="1:4" ht="16.5" hidden="1" x14ac:dyDescent="0.3">
      <c r="A11" s="10" t="str">
        <f>基本属性!$B$12&amp;"|"&amp;基本属性!$C$12</f>
        <v>90|2</v>
      </c>
      <c r="B11" s="10" t="str">
        <f>参数调整!$J$35</f>
        <v>BOSS掉落</v>
      </c>
      <c r="C11" s="8" t="str">
        <f>材料产出!$R$2</f>
        <v>转生精华</v>
      </c>
      <c r="D11" s="224">
        <f>参数调整!$K$35*怪物掉落配置方案!$D4115</f>
        <v>0.3164817348127883</v>
      </c>
    </row>
    <row r="12" spans="1:4" ht="16.5" hidden="1" x14ac:dyDescent="0.3">
      <c r="A12" s="10" t="str">
        <f>基本属性!$B$13&amp;"|"&amp;基本属性!$C$13</f>
        <v>100|3</v>
      </c>
      <c r="B12" s="10" t="str">
        <f>参数调整!$J$35</f>
        <v>BOSS掉落</v>
      </c>
      <c r="C12" s="8" t="str">
        <f>材料产出!$R$2</f>
        <v>转生精华</v>
      </c>
      <c r="D12" s="224">
        <f>参数调整!$K$35*怪物掉落配置方案!$D4116</f>
        <v>0.40054719562243507</v>
      </c>
    </row>
    <row r="13" spans="1:4" ht="16.5" hidden="1" x14ac:dyDescent="0.3">
      <c r="A13" s="10" t="str">
        <f>基本属性!$B$14&amp;"|"&amp;基本属性!$C$14</f>
        <v>105|4</v>
      </c>
      <c r="B13" s="10" t="str">
        <f>参数调整!$J$35</f>
        <v>BOSS掉落</v>
      </c>
      <c r="C13" s="8" t="str">
        <f>材料产出!$R$2</f>
        <v>转生精华</v>
      </c>
      <c r="D13" s="224">
        <f>参数调整!$K$35*怪物掉落配置方案!$D4117</f>
        <v>0.49450271064498152</v>
      </c>
    </row>
    <row r="14" spans="1:4" ht="16.5" hidden="1" x14ac:dyDescent="0.3">
      <c r="A14" s="10" t="str">
        <f>基本属性!$B$15&amp;"|"&amp;基本属性!$C$15</f>
        <v>110|5</v>
      </c>
      <c r="B14" s="10" t="str">
        <f>参数调整!$J$35</f>
        <v>BOSS掉落</v>
      </c>
      <c r="C14" s="8" t="str">
        <f>材料产出!$R$2</f>
        <v>转生精华</v>
      </c>
      <c r="D14" s="224">
        <f>参数调整!$K$35*怪物掉落配置方案!$D4118</f>
        <v>0.59834827988042782</v>
      </c>
    </row>
    <row r="15" spans="1:4" ht="16.5" hidden="1" x14ac:dyDescent="0.3">
      <c r="A15" s="10" t="str">
        <f>基本属性!$B$16&amp;"|"&amp;基本属性!$C$16</f>
        <v>120|6</v>
      </c>
      <c r="B15" s="10" t="str">
        <f>参数调整!$J$35</f>
        <v>BOSS掉落</v>
      </c>
      <c r="C15" s="8" t="str">
        <f>材料产出!$R$2</f>
        <v>转生精华</v>
      </c>
      <c r="D15" s="224">
        <f>参数调整!$K$35*怪物掉落配置方案!$D4119</f>
        <v>0.77266048538278365</v>
      </c>
    </row>
    <row r="16" spans="1:4" ht="16.5" hidden="1" x14ac:dyDescent="0.3">
      <c r="A16" s="10" t="str">
        <f>基本属性!$B$17&amp;"|"&amp;基本属性!$C$17</f>
        <v>135|7</v>
      </c>
      <c r="B16" s="10" t="str">
        <f>参数调整!$J$35</f>
        <v>BOSS掉落</v>
      </c>
      <c r="C16" s="8" t="str">
        <f>材料产出!$R$2</f>
        <v>转生精华</v>
      </c>
      <c r="D16" s="224">
        <f>参数调整!$K$35*怪物掉落配置方案!$D4120</f>
        <v>1.1126310989512085</v>
      </c>
    </row>
    <row r="17" spans="1:4" ht="16.5" hidden="1" x14ac:dyDescent="0.3">
      <c r="A17" s="10" t="str">
        <f>基本属性!$B$18&amp;"|"&amp;基本属性!$C$18</f>
        <v>155|8</v>
      </c>
      <c r="B17" s="10" t="str">
        <f>参数调整!$J$35</f>
        <v>BOSS掉落</v>
      </c>
      <c r="C17" s="8" t="str">
        <f>材料产出!$R$2</f>
        <v>转生精华</v>
      </c>
      <c r="D17" s="224">
        <f>参数调整!$K$35*怪物掉落配置方案!$D4121</f>
        <v>1.514414551350256</v>
      </c>
    </row>
    <row r="18" spans="1:4" ht="16.5" hidden="1" x14ac:dyDescent="0.3">
      <c r="A18" s="10" t="str">
        <f>基本属性!$B$19&amp;"|"&amp;基本属性!$C$19</f>
        <v>190|9</v>
      </c>
      <c r="B18" s="10" t="str">
        <f>参数调整!$J$35</f>
        <v>BOSS掉落</v>
      </c>
      <c r="C18" s="8" t="str">
        <f>材料产出!$R$2</f>
        <v>转生精华</v>
      </c>
      <c r="D18" s="224">
        <f>参数调整!$K$35*怪物掉落配置方案!$D4122</f>
        <v>1.6924355271824492</v>
      </c>
    </row>
    <row r="19" spans="1:4" ht="16.5" hidden="1" x14ac:dyDescent="0.3">
      <c r="A19" s="10" t="str">
        <f>基本属性!$B$20&amp;"|"&amp;基本属性!$C$20</f>
        <v>200|10</v>
      </c>
      <c r="B19" s="10" t="str">
        <f>参数调整!$J$35</f>
        <v>BOSS掉落</v>
      </c>
      <c r="C19" s="8" t="str">
        <f>材料产出!$R$2</f>
        <v>转生精华</v>
      </c>
      <c r="D19" s="224">
        <f>参数调整!$K$35*怪物掉落配置方案!$D4123</f>
        <v>1.9780108425799261</v>
      </c>
    </row>
    <row r="20" spans="1:4" ht="16.5" hidden="1" x14ac:dyDescent="0.3">
      <c r="A20" s="10" t="str">
        <f>基本属性!$B$21&amp;"|"&amp;基本属性!$C$21</f>
        <v>200|11</v>
      </c>
      <c r="B20" s="10" t="str">
        <f>参数调整!$J$35</f>
        <v>BOSS掉落</v>
      </c>
      <c r="C20" s="8" t="str">
        <f>材料产出!$R$2</f>
        <v>转生精华</v>
      </c>
      <c r="D20" s="224">
        <f>参数调整!$K$35*怪物掉落配置方案!$D4124</f>
        <v>2.2858387799564266</v>
      </c>
    </row>
    <row r="21" spans="1:4" ht="16.5" hidden="1" x14ac:dyDescent="0.3">
      <c r="A21" s="10" t="str">
        <f>基本属性!$B$22&amp;"|"&amp;基本属性!$C$22</f>
        <v>210|12</v>
      </c>
      <c r="B21" s="10" t="str">
        <f>参数调整!$J$35</f>
        <v>BOSS掉落</v>
      </c>
      <c r="C21" s="8" t="str">
        <f>材料产出!$R$2</f>
        <v>转生精华</v>
      </c>
      <c r="D21" s="224">
        <f>参数调整!$K$35*怪物掉落配置方案!$D4125</f>
        <v>2.6159193393119513</v>
      </c>
    </row>
    <row r="22" spans="1:4" ht="16.5" hidden="1" x14ac:dyDescent="0.3">
      <c r="A22" s="10" t="str">
        <f>基本属性!$B$23&amp;"|"&amp;基本属性!$C$23</f>
        <v>210|13</v>
      </c>
      <c r="B22" s="10" t="str">
        <f>参数调整!$J$35</f>
        <v>BOSS掉落</v>
      </c>
      <c r="C22" s="8" t="str">
        <f>材料产出!$R$2</f>
        <v>转生精华</v>
      </c>
      <c r="D22" s="224">
        <f>参数调整!$K$35*怪物掉落配置方案!$D4126</f>
        <v>2.968252520646502</v>
      </c>
    </row>
    <row r="23" spans="1:4" ht="16.5" hidden="1" x14ac:dyDescent="0.3">
      <c r="A23" s="10" t="str">
        <f>基本属性!$B$24&amp;"|"&amp;基本属性!$C$24</f>
        <v>220|14</v>
      </c>
      <c r="B23" s="10" t="str">
        <f>参数调整!$J$35</f>
        <v>BOSS掉落</v>
      </c>
      <c r="C23" s="8" t="str">
        <f>材料产出!$R$2</f>
        <v>转生精华</v>
      </c>
      <c r="D23" s="224">
        <f>参数调整!$K$35*怪物掉落配置方案!$D4127</f>
        <v>3.3428383239600756</v>
      </c>
    </row>
    <row r="24" spans="1:4" ht="16.5" hidden="1" x14ac:dyDescent="0.3">
      <c r="A24" s="10" t="str">
        <f>基本属性!$B$25&amp;"|"&amp;基本属性!$C$25</f>
        <v>220|15</v>
      </c>
      <c r="B24" s="10" t="str">
        <f>参数调整!$J$35</f>
        <v>BOSS掉落</v>
      </c>
      <c r="C24" s="8" t="str">
        <f>材料产出!$R$2</f>
        <v>转生精华</v>
      </c>
      <c r="D24" s="224">
        <f>参数调整!$K$35*怪物掉落配置方案!$D4128</f>
        <v>3.7396767492526726</v>
      </c>
    </row>
    <row r="25" spans="1:4" ht="16.5" hidden="1" x14ac:dyDescent="0.3">
      <c r="A25" s="10" t="str">
        <f>基本属性!$B$26&amp;"|"&amp;基本属性!$C$26</f>
        <v>230|16</v>
      </c>
      <c r="B25" s="10" t="str">
        <f>参数调整!$J$35</f>
        <v>BOSS掉落</v>
      </c>
      <c r="C25" s="8" t="str">
        <f>材料产出!$R$2</f>
        <v>转生精华</v>
      </c>
      <c r="D25" s="224">
        <f>参数调整!$K$35*怪物掉落配置方案!$D4129</f>
        <v>4.1587677965242946</v>
      </c>
    </row>
    <row r="26" spans="1:4" ht="16.5" hidden="1" x14ac:dyDescent="0.3">
      <c r="A26" s="10" t="str">
        <f>基本属性!$B$27&amp;"|"&amp;基本属性!$C$27</f>
        <v>230|17</v>
      </c>
      <c r="B26" s="10" t="str">
        <f>参数调整!$J$35</f>
        <v>BOSS掉落</v>
      </c>
      <c r="C26" s="8" t="str">
        <f>材料产出!$R$2</f>
        <v>转生精华</v>
      </c>
      <c r="D26" s="224">
        <f>参数调整!$K$35*怪物掉落配置方案!$D4130</f>
        <v>4.6001114657749396</v>
      </c>
    </row>
    <row r="27" spans="1:4" ht="16.5" hidden="1" x14ac:dyDescent="0.3">
      <c r="A27" s="10" t="str">
        <f>基本属性!$B$28&amp;"|"&amp;基本属性!$C$28</f>
        <v>240|18</v>
      </c>
      <c r="B27" s="10" t="str">
        <f>参数调整!$J$35</f>
        <v>BOSS掉落</v>
      </c>
      <c r="C27" s="8" t="str">
        <f>材料产出!$R$2</f>
        <v>转生精华</v>
      </c>
      <c r="D27" s="224">
        <f>参数调整!$K$35*怪物掉落配置方案!$D4131</f>
        <v>5.063707757004611</v>
      </c>
    </row>
    <row r="28" spans="1:4" ht="16.5" hidden="1" x14ac:dyDescent="0.3">
      <c r="A28" s="10" t="str">
        <f>基本属性!$B$29&amp;"|"&amp;基本属性!$C$29</f>
        <v>240|19</v>
      </c>
      <c r="B28" s="10" t="str">
        <f>参数调整!$J$35</f>
        <v>BOSS掉落</v>
      </c>
      <c r="C28" s="8" t="str">
        <f>材料产出!$R$2</f>
        <v>转生精华</v>
      </c>
      <c r="D28" s="224">
        <f>参数调整!$K$35*怪物掉落配置方案!$D4132</f>
        <v>5.5495566702133052</v>
      </c>
    </row>
    <row r="29" spans="1:4" ht="16.5" hidden="1" x14ac:dyDescent="0.3">
      <c r="A29" s="10" t="str">
        <f>基本属性!$B$30&amp;"|"&amp;基本属性!$C$30</f>
        <v>250|20</v>
      </c>
      <c r="B29" s="10" t="str">
        <f>参数调整!$J$35</f>
        <v>BOSS掉落</v>
      </c>
      <c r="C29" s="8" t="str">
        <f>材料产出!$R$2</f>
        <v>转生精华</v>
      </c>
      <c r="D29" s="224">
        <f>参数调整!$K$35*怪物掉落配置方案!$D4133</f>
        <v>6.0576582054010215</v>
      </c>
    </row>
    <row r="30" spans="1:4" ht="16.5" hidden="1" x14ac:dyDescent="0.3">
      <c r="A30" s="10" t="str">
        <f>基本属性!$B$4&amp;"|"&amp;基本属性!$C$4</f>
        <v>35|0</v>
      </c>
      <c r="B30" s="10" t="str">
        <f>参数调整!$J$35</f>
        <v>BOSS掉落</v>
      </c>
      <c r="C30" s="8" t="str">
        <f>材料产出!$AJ$2</f>
        <v>中品注灵石</v>
      </c>
      <c r="D30" s="224">
        <f>参数调整!$K$35*怪物掉落配置方案!$D4134</f>
        <v>1.0368820578847133</v>
      </c>
    </row>
    <row r="31" spans="1:4" ht="16.5" hidden="1" x14ac:dyDescent="0.3">
      <c r="A31" s="10" t="str">
        <f>基本属性!$B$5&amp;"|"&amp;基本属性!$C$5</f>
        <v>40|0</v>
      </c>
      <c r="B31" s="10" t="str">
        <f>参数调整!$J$35</f>
        <v>BOSS掉落</v>
      </c>
      <c r="C31" s="8" t="str">
        <f>材料产出!$AJ$2</f>
        <v>中品注灵石</v>
      </c>
      <c r="D31" s="224">
        <f>参数调整!$K$35*怪物掉落配置方案!$D4135</f>
        <v>1.3123038545103403</v>
      </c>
    </row>
    <row r="32" spans="1:4" ht="16.5" hidden="1" x14ac:dyDescent="0.3">
      <c r="A32" s="10" t="str">
        <f>基本属性!$B$6&amp;"|"&amp;基本属性!$C$6</f>
        <v>50|0</v>
      </c>
      <c r="B32" s="10" t="str">
        <f>参数调整!$J$35</f>
        <v>BOSS掉落</v>
      </c>
      <c r="C32" s="8" t="str">
        <f>材料产出!$AJ$2</f>
        <v>中品注灵石</v>
      </c>
      <c r="D32" s="224">
        <f>参数调整!$K$35*怪物掉落配置方案!$D4136</f>
        <v>1.6201282154448646</v>
      </c>
    </row>
    <row r="33" spans="1:4" ht="16.5" hidden="1" x14ac:dyDescent="0.3">
      <c r="A33" s="10" t="str">
        <f>基本属性!$B$7&amp;"|"&amp;基本属性!$C$7</f>
        <v>60|0</v>
      </c>
      <c r="B33" s="10" t="str">
        <f>参数调整!$J$35</f>
        <v>BOSS掉落</v>
      </c>
      <c r="C33" s="8" t="str">
        <f>材料产出!$AJ$2</f>
        <v>中品注灵石</v>
      </c>
      <c r="D33" s="224">
        <f>参数调整!$K$35*怪物掉落配置方案!$D4137</f>
        <v>1.9603551406882864</v>
      </c>
    </row>
    <row r="34" spans="1:4" ht="16.5" hidden="1" x14ac:dyDescent="0.3">
      <c r="A34" s="10" t="str">
        <f>基本属性!$B$8&amp;"|"&amp;基本属性!$C$8</f>
        <v>65|0</v>
      </c>
      <c r="B34" s="10" t="str">
        <f>参数调整!$J$35</f>
        <v>BOSS掉落</v>
      </c>
      <c r="C34" s="8" t="str">
        <f>材料产出!$AJ$2</f>
        <v>中品注灵石</v>
      </c>
      <c r="D34" s="224">
        <f>参数调整!$K$35*怪物掉落配置方案!$D4138</f>
        <v>2.3329846302406048</v>
      </c>
    </row>
    <row r="35" spans="1:4" ht="16.5" hidden="1" x14ac:dyDescent="0.3">
      <c r="A35" s="10" t="str">
        <f>基本属性!$B$9&amp;"|"&amp;基本属性!$C$9</f>
        <v>70|0</v>
      </c>
      <c r="B35" s="10" t="str">
        <f>参数调整!$J$35</f>
        <v>BOSS掉落</v>
      </c>
      <c r="C35" s="8" t="str">
        <f>材料产出!$AJ$2</f>
        <v>中品注灵石</v>
      </c>
      <c r="D35" s="224">
        <f>参数调整!$K$35*怪物掉落配置方案!$D4139</f>
        <v>2.738016684101821</v>
      </c>
    </row>
    <row r="36" spans="1:4" ht="16.5" hidden="1" x14ac:dyDescent="0.3">
      <c r="A36" s="10" t="str">
        <f>基本属性!$B$10&amp;"|"&amp;基本属性!$C$10</f>
        <v>75|0</v>
      </c>
      <c r="B36" s="10" t="str">
        <f>参数调整!$J$35</f>
        <v>BOSS掉落</v>
      </c>
      <c r="C36" s="8" t="str">
        <f>材料产出!$AJ$2</f>
        <v>中品注灵石</v>
      </c>
      <c r="D36" s="224">
        <f>参数调整!$K$35*怪物掉落配置方案!$D4140</f>
        <v>3.175451302271934</v>
      </c>
    </row>
    <row r="37" spans="1:4" ht="16.5" hidden="1" x14ac:dyDescent="0.3">
      <c r="A37" s="10" t="str">
        <f>基本属性!$B$11&amp;"|"&amp;基本属性!$C$11</f>
        <v>80|1</v>
      </c>
      <c r="B37" s="10" t="str">
        <f>参数调整!$J$35</f>
        <v>BOSS掉落</v>
      </c>
      <c r="C37" s="8" t="str">
        <f>材料产出!$AJ$2</f>
        <v>中品注灵石</v>
      </c>
      <c r="D37" s="224">
        <f>参数调整!$K$35*怪物掉落配置方案!$D4141</f>
        <v>3.6452884847509455</v>
      </c>
    </row>
    <row r="38" spans="1:4" ht="16.5" hidden="1" x14ac:dyDescent="0.3">
      <c r="A38" s="10" t="str">
        <f>基本属性!$B$12&amp;"|"&amp;基本属性!$C$12</f>
        <v>90|2</v>
      </c>
      <c r="B38" s="10" t="str">
        <f>参数调整!$J$35</f>
        <v>BOSS掉落</v>
      </c>
      <c r="C38" s="8" t="str">
        <f>材料产出!$AJ$2</f>
        <v>中品注灵石</v>
      </c>
      <c r="D38" s="224">
        <f>参数调整!$K$35*怪物掉落配置方案!$D4142</f>
        <v>4.1475282315388533</v>
      </c>
    </row>
    <row r="39" spans="1:4" ht="16.5" hidden="1" x14ac:dyDescent="0.3">
      <c r="A39" s="10" t="str">
        <f>基本属性!$B$13&amp;"|"&amp;基本属性!$C$13</f>
        <v>100|3</v>
      </c>
      <c r="B39" s="10" t="str">
        <f>参数调整!$J$35</f>
        <v>BOSS掉落</v>
      </c>
      <c r="C39" s="8" t="str">
        <f>材料产出!$AJ$2</f>
        <v>中品注灵石</v>
      </c>
      <c r="D39" s="224">
        <f>参数调整!$K$35*怪物掉落配置方案!$D4143</f>
        <v>5.249215418041361</v>
      </c>
    </row>
    <row r="40" spans="1:4" ht="16.5" hidden="1" x14ac:dyDescent="0.3">
      <c r="A40" s="10" t="str">
        <f>基本属性!$B$14&amp;"|"&amp;基本属性!$C$14</f>
        <v>105|4</v>
      </c>
      <c r="B40" s="10" t="str">
        <f>参数调整!$J$35</f>
        <v>BOSS掉落</v>
      </c>
      <c r="C40" s="8" t="str">
        <f>材料产出!$AJ$2</f>
        <v>中品注灵石</v>
      </c>
      <c r="D40" s="224">
        <f>参数调整!$K$35*怪物掉落配置方案!$D4144</f>
        <v>6.4805128617794585</v>
      </c>
    </row>
    <row r="41" spans="1:4" ht="16.5" hidden="1" x14ac:dyDescent="0.3">
      <c r="A41" s="10" t="str">
        <f>基本属性!$B$15&amp;"|"&amp;基本属性!$C$15</f>
        <v>110|5</v>
      </c>
      <c r="B41" s="10" t="str">
        <f>参数调整!$J$35</f>
        <v>BOSS掉落</v>
      </c>
      <c r="C41" s="8" t="str">
        <f>材料产出!$AJ$2</f>
        <v>中品注灵石</v>
      </c>
      <c r="D41" s="224">
        <f>参数调整!$K$35*怪物掉落配置方案!$D4145</f>
        <v>7.8414205627531457</v>
      </c>
    </row>
    <row r="42" spans="1:4" ht="16.5" hidden="1" x14ac:dyDescent="0.3">
      <c r="A42" s="10" t="str">
        <f>基本属性!$B$16&amp;"|"&amp;基本属性!$C$16</f>
        <v>120|6</v>
      </c>
      <c r="B42" s="10" t="str">
        <f>参数调整!$J$35</f>
        <v>BOSS掉落</v>
      </c>
      <c r="C42" s="8" t="str">
        <f>材料产出!$AJ$2</f>
        <v>中品注灵石</v>
      </c>
      <c r="D42" s="224">
        <f>参数调整!$K$35*怪物掉落配置方案!$D4146</f>
        <v>10.125801346530404</v>
      </c>
    </row>
    <row r="43" spans="1:4" ht="16.5" hidden="1" x14ac:dyDescent="0.3">
      <c r="A43" s="10" t="str">
        <f>基本属性!$B$17&amp;"|"&amp;基本属性!$C$17</f>
        <v>135|7</v>
      </c>
      <c r="B43" s="10" t="str">
        <f>参数调整!$J$35</f>
        <v>BOSS掉落</v>
      </c>
      <c r="C43" s="8" t="str">
        <f>材料产出!$AJ$2</f>
        <v>中品注灵石</v>
      </c>
      <c r="D43" s="224">
        <f>参数调整!$K$35*怪物掉落配置方案!$D4147</f>
        <v>14.581153939003782</v>
      </c>
    </row>
    <row r="44" spans="1:4" ht="16.5" hidden="1" x14ac:dyDescent="0.3">
      <c r="A44" s="10" t="str">
        <f>基本属性!$B$18&amp;"|"&amp;基本属性!$C$18</f>
        <v>155|8</v>
      </c>
      <c r="B44" s="10" t="str">
        <f>参数调整!$J$35</f>
        <v>BOSS掉落</v>
      </c>
      <c r="C44" s="8" t="str">
        <f>材料产出!$AJ$2</f>
        <v>中品注灵石</v>
      </c>
      <c r="D44" s="224">
        <f>参数调整!$K$35*怪物掉落配置方案!$D4148</f>
        <v>19.846570639199591</v>
      </c>
    </row>
    <row r="45" spans="1:4" ht="16.5" hidden="1" x14ac:dyDescent="0.3">
      <c r="A45" s="10" t="str">
        <f>基本属性!$B$19&amp;"|"&amp;基本属性!$C$19</f>
        <v>190|9</v>
      </c>
      <c r="B45" s="10" t="str">
        <f>参数调整!$J$35</f>
        <v>BOSS掉落</v>
      </c>
      <c r="C45" s="8" t="str">
        <f>材料产出!$AJ$2</f>
        <v>中品注灵石</v>
      </c>
      <c r="D45" s="224">
        <f>参数调整!$K$35*怪物掉落配置方案!$D4149</f>
        <v>22.179555269440201</v>
      </c>
    </row>
    <row r="46" spans="1:4" ht="16.5" hidden="1" x14ac:dyDescent="0.3">
      <c r="A46" s="10" t="str">
        <f>基本属性!$B$20&amp;"|"&amp;基本属性!$C$20</f>
        <v>200|10</v>
      </c>
      <c r="B46" s="10" t="str">
        <f>参数调整!$J$35</f>
        <v>BOSS掉落</v>
      </c>
      <c r="C46" s="8" t="str">
        <f>材料产出!$AJ$2</f>
        <v>中品注灵石</v>
      </c>
      <c r="D46" s="224">
        <f>参数调整!$K$35*怪物掉落配置方案!$D4150</f>
        <v>25.922051447117834</v>
      </c>
    </row>
    <row r="47" spans="1:4" ht="16.5" hidden="1" x14ac:dyDescent="0.3">
      <c r="A47" s="10" t="str">
        <f>基本属性!$B$21&amp;"|"&amp;基本属性!$C$21</f>
        <v>200|11</v>
      </c>
      <c r="B47" s="10" t="str">
        <f>参数调整!$J$35</f>
        <v>BOSS掉落</v>
      </c>
      <c r="C47" s="8" t="str">
        <f>材料产出!$AJ$2</f>
        <v>中品注灵石</v>
      </c>
      <c r="D47" s="224">
        <f>参数调整!$K$35*怪物掉落配置方案!$D4151</f>
        <v>29.956170703575541</v>
      </c>
    </row>
    <row r="48" spans="1:4" ht="16.5" hidden="1" x14ac:dyDescent="0.3">
      <c r="A48" s="10" t="str">
        <f>基本属性!$B$22&amp;"|"&amp;基本属性!$C$22</f>
        <v>210|12</v>
      </c>
      <c r="B48" s="10" t="str">
        <f>参数调整!$J$35</f>
        <v>BOSS掉落</v>
      </c>
      <c r="C48" s="8" t="str">
        <f>材料产出!$AJ$2</f>
        <v>中品注灵石</v>
      </c>
      <c r="D48" s="224">
        <f>参数调整!$K$35*怪物掉落配置方案!$D4152</f>
        <v>34.281913038813322</v>
      </c>
    </row>
    <row r="49" spans="1:4" ht="16.5" hidden="1" x14ac:dyDescent="0.3">
      <c r="A49" s="10" t="str">
        <f>基本属性!$B$23&amp;"|"&amp;基本属性!$C$23</f>
        <v>210|13</v>
      </c>
      <c r="B49" s="10" t="str">
        <f>参数调整!$J$35</f>
        <v>BOSS掉落</v>
      </c>
      <c r="C49" s="8" t="str">
        <f>材料产出!$AJ$2</f>
        <v>中品注灵石</v>
      </c>
      <c r="D49" s="224">
        <f>参数调整!$K$35*怪物掉落配置方案!$D4153</f>
        <v>38.899278452831197</v>
      </c>
    </row>
    <row r="50" spans="1:4" ht="16.5" hidden="1" x14ac:dyDescent="0.3">
      <c r="A50" s="10" t="str">
        <f>基本属性!$B$24&amp;"|"&amp;基本属性!$C$24</f>
        <v>220|14</v>
      </c>
      <c r="B50" s="10" t="str">
        <f>参数调整!$J$35</f>
        <v>BOSS掉落</v>
      </c>
      <c r="C50" s="8" t="str">
        <f>材料产出!$AJ$2</f>
        <v>中品注灵石</v>
      </c>
      <c r="D50" s="224">
        <f>参数调整!$K$35*怪物掉落配置方案!$D4154</f>
        <v>43.808266945629136</v>
      </c>
    </row>
    <row r="51" spans="1:4" ht="16.5" hidden="1" x14ac:dyDescent="0.3">
      <c r="A51" s="10" t="str">
        <f>基本属性!$B$25&amp;"|"&amp;基本属性!$C$25</f>
        <v>220|15</v>
      </c>
      <c r="B51" s="10" t="str">
        <f>参数调整!$J$35</f>
        <v>BOSS掉落</v>
      </c>
      <c r="C51" s="8" t="str">
        <f>材料产出!$AJ$2</f>
        <v>中品注灵石</v>
      </c>
      <c r="D51" s="224">
        <f>参数调整!$K$35*怪物掉落配置方案!$D4155</f>
        <v>49.008878517207151</v>
      </c>
    </row>
    <row r="52" spans="1:4" ht="16.5" hidden="1" x14ac:dyDescent="0.3">
      <c r="A52" s="10" t="str">
        <f>基本属性!$B$26&amp;"|"&amp;基本属性!$C$26</f>
        <v>230|16</v>
      </c>
      <c r="B52" s="10" t="str">
        <f>参数调整!$J$35</f>
        <v>BOSS掉落</v>
      </c>
      <c r="C52" s="8" t="str">
        <f>材料产出!$AJ$2</f>
        <v>中品注灵石</v>
      </c>
      <c r="D52" s="224">
        <f>参数调整!$K$35*怪物掉落配置方案!$D4156</f>
        <v>54.501113167565229</v>
      </c>
    </row>
    <row r="53" spans="1:4" ht="16.5" hidden="1" x14ac:dyDescent="0.3">
      <c r="A53" s="10" t="str">
        <f>基本属性!$B$27&amp;"|"&amp;基本属性!$C$27</f>
        <v>230|17</v>
      </c>
      <c r="B53" s="10" t="str">
        <f>参数调整!$J$35</f>
        <v>BOSS掉落</v>
      </c>
      <c r="C53" s="8" t="str">
        <f>材料产出!$AJ$2</f>
        <v>中品注灵石</v>
      </c>
      <c r="D53" s="224">
        <f>参数调整!$K$35*怪物掉落配置方案!$D4157</f>
        <v>60.284970896703406</v>
      </c>
    </row>
    <row r="54" spans="1:4" ht="16.5" hidden="1" x14ac:dyDescent="0.3">
      <c r="A54" s="10" t="str">
        <f>基本属性!$B$28&amp;"|"&amp;基本属性!$C$28</f>
        <v>240|18</v>
      </c>
      <c r="B54" s="10" t="str">
        <f>参数调整!$J$35</f>
        <v>BOSS掉落</v>
      </c>
      <c r="C54" s="8" t="str">
        <f>材料产出!$AJ$2</f>
        <v>中品注灵石</v>
      </c>
      <c r="D54" s="224">
        <f>参数调整!$K$35*怪物掉落配置方案!$D4158</f>
        <v>66.360451704621653</v>
      </c>
    </row>
    <row r="55" spans="1:4" ht="16.5" hidden="1" x14ac:dyDescent="0.3">
      <c r="A55" s="10" t="str">
        <f>基本属性!$B$29&amp;"|"&amp;基本属性!$C$29</f>
        <v>240|19</v>
      </c>
      <c r="B55" s="10" t="str">
        <f>参数调整!$J$35</f>
        <v>BOSS掉落</v>
      </c>
      <c r="C55" s="8" t="str">
        <f>材料产出!$AJ$2</f>
        <v>中品注灵石</v>
      </c>
      <c r="D55" s="224">
        <f>参数调整!$K$35*怪物掉落配置方案!$D4159</f>
        <v>72.72755559131997</v>
      </c>
    </row>
    <row r="56" spans="1:4" ht="16.5" hidden="1" x14ac:dyDescent="0.3">
      <c r="A56" s="10" t="str">
        <f>基本属性!$B$30&amp;"|"&amp;基本属性!$C$30</f>
        <v>250|20</v>
      </c>
      <c r="B56" s="10" t="str">
        <f>参数调整!$J$35</f>
        <v>BOSS掉落</v>
      </c>
      <c r="C56" s="8" t="str">
        <f>材料产出!$AJ$2</f>
        <v>中品注灵石</v>
      </c>
      <c r="D56" s="224">
        <f>参数调整!$K$35*怪物掉落配置方案!$D4160</f>
        <v>79.386282556798363</v>
      </c>
    </row>
    <row r="57" spans="1:4" ht="16.5" hidden="1" x14ac:dyDescent="0.3">
      <c r="A57" s="10" t="str">
        <f>基本属性!$B$4&amp;"|"&amp;基本属性!$C$4</f>
        <v>35|0</v>
      </c>
      <c r="B57" s="10" t="str">
        <f>参数调整!$J$35</f>
        <v>BOSS掉落</v>
      </c>
      <c r="C57" s="8" t="str">
        <f>材料产出!$J$2</f>
        <v>元宝</v>
      </c>
      <c r="D57" s="224">
        <f>参数调整!$K$35*怪物掉落配置方案!$D4161</f>
        <v>13400</v>
      </c>
    </row>
    <row r="58" spans="1:4" ht="16.5" hidden="1" x14ac:dyDescent="0.3">
      <c r="A58" s="10" t="str">
        <f>基本属性!$B$5&amp;"|"&amp;基本属性!$C$5</f>
        <v>40|0</v>
      </c>
      <c r="B58" s="10" t="str">
        <f>参数调整!$J$35</f>
        <v>BOSS掉落</v>
      </c>
      <c r="C58" s="8" t="str">
        <f>材料产出!$J$2</f>
        <v>元宝</v>
      </c>
      <c r="D58" s="224">
        <f>参数调整!$K$35*怪物掉落配置方案!$D4162</f>
        <v>17000</v>
      </c>
    </row>
    <row r="59" spans="1:4" ht="16.5" hidden="1" x14ac:dyDescent="0.3">
      <c r="A59" s="10" t="str">
        <f>基本属性!$B$6&amp;"|"&amp;基本属性!$C$6</f>
        <v>50|0</v>
      </c>
      <c r="B59" s="10" t="str">
        <f>参数调整!$J$35</f>
        <v>BOSS掉落</v>
      </c>
      <c r="C59" s="8" t="str">
        <f>材料产出!$J$2</f>
        <v>元宝</v>
      </c>
      <c r="D59" s="224">
        <f>参数调整!$K$35*怪物掉落配置方案!$D4163</f>
        <v>21000</v>
      </c>
    </row>
    <row r="60" spans="1:4" ht="16.5" hidden="1" x14ac:dyDescent="0.3">
      <c r="A60" s="10" t="str">
        <f>基本属性!$B$7&amp;"|"&amp;基本属性!$C$7</f>
        <v>60|0</v>
      </c>
      <c r="B60" s="10" t="str">
        <f>参数调整!$J$35</f>
        <v>BOSS掉落</v>
      </c>
      <c r="C60" s="8" t="str">
        <f>材料产出!$J$2</f>
        <v>元宝</v>
      </c>
      <c r="D60" s="224">
        <f>参数调整!$K$35*怪物掉落配置方案!$D4164</f>
        <v>25400</v>
      </c>
    </row>
    <row r="61" spans="1:4" ht="16.5" hidden="1" x14ac:dyDescent="0.3">
      <c r="A61" s="10" t="str">
        <f>基本属性!$B$8&amp;"|"&amp;基本属性!$C$8</f>
        <v>65|0</v>
      </c>
      <c r="B61" s="10" t="str">
        <f>参数调整!$J$35</f>
        <v>BOSS掉落</v>
      </c>
      <c r="C61" s="8" t="str">
        <f>材料产出!$J$2</f>
        <v>元宝</v>
      </c>
      <c r="D61" s="224">
        <f>参数调整!$K$35*怪物掉落配置方案!$D4165</f>
        <v>30200</v>
      </c>
    </row>
    <row r="62" spans="1:4" ht="16.5" hidden="1" x14ac:dyDescent="0.3">
      <c r="A62" s="10" t="str">
        <f>基本属性!$B$9&amp;"|"&amp;基本属性!$C$9</f>
        <v>70|0</v>
      </c>
      <c r="B62" s="10" t="str">
        <f>参数调整!$J$35</f>
        <v>BOSS掉落</v>
      </c>
      <c r="C62" s="8" t="str">
        <f>材料产出!$J$2</f>
        <v>元宝</v>
      </c>
      <c r="D62" s="224">
        <f>参数调整!$K$35*怪物掉落配置方案!$D4166</f>
        <v>35400</v>
      </c>
    </row>
    <row r="63" spans="1:4" ht="16.5" hidden="1" x14ac:dyDescent="0.3">
      <c r="A63" s="10" t="str">
        <f>基本属性!$B$10&amp;"|"&amp;基本属性!$C$10</f>
        <v>75|0</v>
      </c>
      <c r="B63" s="10" t="str">
        <f>参数调整!$J$35</f>
        <v>BOSS掉落</v>
      </c>
      <c r="C63" s="8" t="str">
        <f>材料产出!$J$2</f>
        <v>元宝</v>
      </c>
      <c r="D63" s="224">
        <f>参数调整!$K$35*怪物掉落配置方案!$D4167</f>
        <v>41000</v>
      </c>
    </row>
    <row r="64" spans="1:4" ht="16.5" hidden="1" x14ac:dyDescent="0.3">
      <c r="A64" s="10" t="str">
        <f>基本属性!$B$11&amp;"|"&amp;基本属性!$C$11</f>
        <v>80|1</v>
      </c>
      <c r="B64" s="10" t="str">
        <f>参数调整!$J$35</f>
        <v>BOSS掉落</v>
      </c>
      <c r="C64" s="8" t="str">
        <f>材料产出!$J$2</f>
        <v>元宝</v>
      </c>
      <c r="D64" s="224">
        <f>参数调整!$K$35*怪物掉落配置方案!$D4168</f>
        <v>47200</v>
      </c>
    </row>
    <row r="65" spans="1:4" ht="16.5" hidden="1" x14ac:dyDescent="0.3">
      <c r="A65" s="10" t="str">
        <f>基本属性!$B$12&amp;"|"&amp;基本属性!$C$12</f>
        <v>90|2</v>
      </c>
      <c r="B65" s="10" t="str">
        <f>参数调整!$J$35</f>
        <v>BOSS掉落</v>
      </c>
      <c r="C65" s="8" t="str">
        <f>材料产出!$J$2</f>
        <v>元宝</v>
      </c>
      <c r="D65" s="224">
        <f>参数调整!$K$35*怪物掉落配置方案!$D4169</f>
        <v>53600</v>
      </c>
    </row>
    <row r="66" spans="1:4" ht="16.5" hidden="1" x14ac:dyDescent="0.3">
      <c r="A66" s="10" t="str">
        <f>基本属性!$B$13&amp;"|"&amp;基本属性!$C$13</f>
        <v>100|3</v>
      </c>
      <c r="B66" s="10" t="str">
        <f>参数调整!$J$35</f>
        <v>BOSS掉落</v>
      </c>
      <c r="C66" s="8" t="str">
        <f>材料产出!$J$2</f>
        <v>元宝</v>
      </c>
      <c r="D66" s="224">
        <f>参数调整!$K$35*怪物掉落配置方案!$D4170</f>
        <v>67800</v>
      </c>
    </row>
    <row r="67" spans="1:4" ht="16.5" hidden="1" x14ac:dyDescent="0.3">
      <c r="A67" s="10" t="str">
        <f>基本属性!$B$14&amp;"|"&amp;基本属性!$C$14</f>
        <v>105|4</v>
      </c>
      <c r="B67" s="10" t="str">
        <f>参数调整!$J$35</f>
        <v>BOSS掉落</v>
      </c>
      <c r="C67" s="8" t="str">
        <f>材料产出!$J$2</f>
        <v>元宝</v>
      </c>
      <c r="D67" s="224">
        <f>参数调整!$K$35*怪物掉落配置方案!$D4171</f>
        <v>83800</v>
      </c>
    </row>
    <row r="68" spans="1:4" ht="16.5" hidden="1" x14ac:dyDescent="0.3">
      <c r="A68" s="10" t="str">
        <f>基本属性!$B$15&amp;"|"&amp;基本属性!$C$15</f>
        <v>110|5</v>
      </c>
      <c r="B68" s="10" t="str">
        <f>参数调整!$J$35</f>
        <v>BOSS掉落</v>
      </c>
      <c r="C68" s="8" t="str">
        <f>材料产出!$J$2</f>
        <v>元宝</v>
      </c>
      <c r="D68" s="224">
        <f>参数调整!$K$35*怪物掉落配置方案!$D4172</f>
        <v>101400</v>
      </c>
    </row>
    <row r="69" spans="1:4" ht="16.5" hidden="1" x14ac:dyDescent="0.3">
      <c r="A69" s="10" t="str">
        <f>基本属性!$B$16&amp;"|"&amp;基本属性!$C$16</f>
        <v>120|6</v>
      </c>
      <c r="B69" s="10" t="str">
        <f>参数调整!$J$35</f>
        <v>BOSS掉落</v>
      </c>
      <c r="C69" s="8" t="str">
        <f>材料产出!$J$2</f>
        <v>元宝</v>
      </c>
      <c r="D69" s="224">
        <f>参数调整!$K$35*怪物掉落配置方案!$D4173</f>
        <v>131000</v>
      </c>
    </row>
    <row r="70" spans="1:4" ht="16.5" hidden="1" x14ac:dyDescent="0.3">
      <c r="A70" s="10" t="str">
        <f>基本属性!$B$17&amp;"|"&amp;基本属性!$C$17</f>
        <v>135|7</v>
      </c>
      <c r="B70" s="10" t="str">
        <f>参数调整!$J$35</f>
        <v>BOSS掉落</v>
      </c>
      <c r="C70" s="8" t="str">
        <f>材料产出!$J$2</f>
        <v>元宝</v>
      </c>
      <c r="D70" s="224">
        <f>参数调整!$K$35*怪物掉落配置方案!$D4174</f>
        <v>188600</v>
      </c>
    </row>
    <row r="71" spans="1:4" ht="16.5" hidden="1" x14ac:dyDescent="0.3">
      <c r="A71" s="10" t="str">
        <f>基本属性!$B$18&amp;"|"&amp;基本属性!$C$18</f>
        <v>155|8</v>
      </c>
      <c r="B71" s="10" t="str">
        <f>参数调整!$J$35</f>
        <v>BOSS掉落</v>
      </c>
      <c r="C71" s="8" t="str">
        <f>材料产出!$J$2</f>
        <v>元宝</v>
      </c>
      <c r="D71" s="224">
        <f>参数调整!$K$35*怪物掉落配置方案!$D4175</f>
        <v>256800</v>
      </c>
    </row>
    <row r="72" spans="1:4" ht="16.5" hidden="1" x14ac:dyDescent="0.3">
      <c r="A72" s="10" t="str">
        <f>基本属性!$B$19&amp;"|"&amp;基本属性!$C$19</f>
        <v>190|9</v>
      </c>
      <c r="B72" s="10" t="str">
        <f>参数调整!$J$35</f>
        <v>BOSS掉落</v>
      </c>
      <c r="C72" s="8" t="str">
        <f>材料产出!$J$2</f>
        <v>元宝</v>
      </c>
      <c r="D72" s="224">
        <f>参数调整!$K$35*怪物掉落配置方案!$D4176</f>
        <v>286800</v>
      </c>
    </row>
    <row r="73" spans="1:4" ht="16.5" hidden="1" x14ac:dyDescent="0.3">
      <c r="A73" s="10" t="str">
        <f>基本属性!$B$20&amp;"|"&amp;基本属性!$C$20</f>
        <v>200|10</v>
      </c>
      <c r="B73" s="10" t="str">
        <f>参数调整!$J$35</f>
        <v>BOSS掉落</v>
      </c>
      <c r="C73" s="8" t="str">
        <f>材料产出!$J$2</f>
        <v>元宝</v>
      </c>
      <c r="D73" s="224">
        <f>参数调整!$K$35*怪物掉落配置方案!$D4177</f>
        <v>335400</v>
      </c>
    </row>
    <row r="74" spans="1:4" ht="16.5" hidden="1" x14ac:dyDescent="0.3">
      <c r="A74" s="10" t="str">
        <f>基本属性!$B$21&amp;"|"&amp;基本属性!$C$21</f>
        <v>200|11</v>
      </c>
      <c r="B74" s="10" t="str">
        <f>参数调整!$J$35</f>
        <v>BOSS掉落</v>
      </c>
      <c r="C74" s="8" t="str">
        <f>材料产出!$J$2</f>
        <v>元宝</v>
      </c>
      <c r="D74" s="224">
        <f>参数调整!$K$35*怪物掉落配置方案!$D4178</f>
        <v>387400</v>
      </c>
    </row>
    <row r="75" spans="1:4" ht="16.5" hidden="1" x14ac:dyDescent="0.3">
      <c r="A75" s="10" t="str">
        <f>基本属性!$B$22&amp;"|"&amp;基本属性!$C$22</f>
        <v>210|12</v>
      </c>
      <c r="B75" s="10" t="str">
        <f>参数调整!$J$35</f>
        <v>BOSS掉落</v>
      </c>
      <c r="C75" s="8" t="str">
        <f>材料产出!$J$2</f>
        <v>元宝</v>
      </c>
      <c r="D75" s="224">
        <f>参数调整!$K$35*怪物掉落配置方案!$D4179</f>
        <v>443400</v>
      </c>
    </row>
    <row r="76" spans="1:4" ht="16.5" hidden="1" x14ac:dyDescent="0.3">
      <c r="A76" s="10" t="str">
        <f>基本属性!$B$23&amp;"|"&amp;基本属性!$C$23</f>
        <v>210|13</v>
      </c>
      <c r="B76" s="10" t="str">
        <f>参数调整!$J$35</f>
        <v>BOSS掉落</v>
      </c>
      <c r="C76" s="8" t="str">
        <f>材料产出!$J$2</f>
        <v>元宝</v>
      </c>
      <c r="D76" s="224">
        <f>参数调整!$K$35*怪物掉落配置方案!$D4180</f>
        <v>503200</v>
      </c>
    </row>
    <row r="77" spans="1:4" ht="16.5" hidden="1" x14ac:dyDescent="0.3">
      <c r="A77" s="10" t="str">
        <f>基本属性!$B$24&amp;"|"&amp;基本属性!$C$24</f>
        <v>220|14</v>
      </c>
      <c r="B77" s="10" t="str">
        <f>参数调整!$J$35</f>
        <v>BOSS掉落</v>
      </c>
      <c r="C77" s="8" t="str">
        <f>材料产出!$J$2</f>
        <v>元宝</v>
      </c>
      <c r="D77" s="224">
        <f>参数调整!$K$35*怪物掉落配置方案!$D4181</f>
        <v>566600</v>
      </c>
    </row>
    <row r="78" spans="1:4" ht="16.5" hidden="1" x14ac:dyDescent="0.3">
      <c r="A78" s="10" t="str">
        <f>基本属性!$B$25&amp;"|"&amp;基本属性!$C$25</f>
        <v>220|15</v>
      </c>
      <c r="B78" s="10" t="str">
        <f>参数调整!$J$35</f>
        <v>BOSS掉落</v>
      </c>
      <c r="C78" s="8" t="str">
        <f>材料产出!$J$2</f>
        <v>元宝</v>
      </c>
      <c r="D78" s="224">
        <f>参数调整!$K$35*怪物掉落配置方案!$D4182</f>
        <v>634000</v>
      </c>
    </row>
    <row r="79" spans="1:4" ht="16.5" hidden="1" x14ac:dyDescent="0.3">
      <c r="A79" s="10" t="str">
        <f>基本属性!$B$26&amp;"|"&amp;基本属性!$C$26</f>
        <v>230|16</v>
      </c>
      <c r="B79" s="10" t="str">
        <f>参数调整!$J$35</f>
        <v>BOSS掉落</v>
      </c>
      <c r="C79" s="8" t="str">
        <f>材料产出!$J$2</f>
        <v>元宝</v>
      </c>
      <c r="D79" s="224">
        <f>参数调整!$K$35*怪物掉落配置方案!$D4183</f>
        <v>705000</v>
      </c>
    </row>
    <row r="80" spans="1:4" ht="16.5" hidden="1" x14ac:dyDescent="0.3">
      <c r="A80" s="10" t="str">
        <f>基本属性!$B$27&amp;"|"&amp;基本属性!$C$27</f>
        <v>230|17</v>
      </c>
      <c r="B80" s="10" t="str">
        <f>参数调整!$J$35</f>
        <v>BOSS掉落</v>
      </c>
      <c r="C80" s="8" t="str">
        <f>材料产出!$J$2</f>
        <v>元宝</v>
      </c>
      <c r="D80" s="224">
        <f>参数调整!$K$35*怪物掉落配置方案!$D4184</f>
        <v>779800</v>
      </c>
    </row>
    <row r="81" spans="1:4" ht="16.5" hidden="1" x14ac:dyDescent="0.3">
      <c r="A81" s="10" t="str">
        <f>基本属性!$B$28&amp;"|"&amp;基本属性!$C$28</f>
        <v>240|18</v>
      </c>
      <c r="B81" s="10" t="str">
        <f>参数调整!$J$35</f>
        <v>BOSS掉落</v>
      </c>
      <c r="C81" s="8" t="str">
        <f>材料产出!$J$2</f>
        <v>元宝</v>
      </c>
      <c r="D81" s="224">
        <f>参数调整!$K$35*怪物掉落配置方案!$D4185</f>
        <v>858400</v>
      </c>
    </row>
    <row r="82" spans="1:4" ht="16.5" hidden="1" x14ac:dyDescent="0.3">
      <c r="A82" s="10" t="str">
        <f>基本属性!$B$29&amp;"|"&amp;基本属性!$C$29</f>
        <v>240|19</v>
      </c>
      <c r="B82" s="10" t="str">
        <f>参数调整!$J$35</f>
        <v>BOSS掉落</v>
      </c>
      <c r="C82" s="8" t="str">
        <f>材料产出!$J$2</f>
        <v>元宝</v>
      </c>
      <c r="D82" s="224">
        <f>参数调整!$K$35*怪物掉落配置方案!$D4186</f>
        <v>940800</v>
      </c>
    </row>
    <row r="83" spans="1:4" ht="16.5" hidden="1" x14ac:dyDescent="0.3">
      <c r="A83" s="10" t="str">
        <f>基本属性!$B$30&amp;"|"&amp;基本属性!$C$30</f>
        <v>250|20</v>
      </c>
      <c r="B83" s="10" t="str">
        <f>参数调整!$J$35</f>
        <v>BOSS掉落</v>
      </c>
      <c r="C83" s="8" t="str">
        <f>材料产出!$J$2</f>
        <v>元宝</v>
      </c>
      <c r="D83" s="224">
        <f>参数调整!$K$35*怪物掉落配置方案!$D4187</f>
        <v>1026800</v>
      </c>
    </row>
    <row r="84" spans="1:4" ht="16.5" hidden="1" x14ac:dyDescent="0.3">
      <c r="A84" s="10" t="str">
        <f>基本属性!$B$4&amp;"|"&amp;基本属性!$C$4</f>
        <v>35|0</v>
      </c>
      <c r="B84" s="10" t="str">
        <f>参数调整!$J$35</f>
        <v>BOSS掉落</v>
      </c>
      <c r="C84" s="8" t="str">
        <f>材料产出!$BB$2</f>
        <v>衣服碎片</v>
      </c>
      <c r="D84" s="224">
        <f>参数调整!$K$35*怪物掉落配置方案!$D4188</f>
        <v>1.6233394416779907E-3</v>
      </c>
    </row>
    <row r="85" spans="1:4" ht="16.5" hidden="1" x14ac:dyDescent="0.3">
      <c r="A85" s="10" t="str">
        <f>基本属性!$B$5&amp;"|"&amp;基本属性!$C$5</f>
        <v>40|0</v>
      </c>
      <c r="B85" s="10" t="str">
        <f>参数调整!$J$35</f>
        <v>BOSS掉落</v>
      </c>
      <c r="C85" s="8" t="str">
        <f>材料产出!$BB$2</f>
        <v>衣服碎片</v>
      </c>
      <c r="D85" s="224">
        <f>参数调整!$K$35*怪物掉落配置方案!$D4189</f>
        <v>2.0545389808737072E-3</v>
      </c>
    </row>
    <row r="86" spans="1:4" ht="16.5" hidden="1" x14ac:dyDescent="0.3">
      <c r="A86" s="10" t="str">
        <f>基本属性!$B$6&amp;"|"&amp;基本属性!$C$6</f>
        <v>50|0</v>
      </c>
      <c r="B86" s="10" t="str">
        <f>参数调整!$J$35</f>
        <v>BOSS掉落</v>
      </c>
      <c r="C86" s="8" t="str">
        <f>材料产出!$BB$2</f>
        <v>衣服碎片</v>
      </c>
      <c r="D86" s="224">
        <f>参数调整!$K$35*怪物掉落配置方案!$D4190</f>
        <v>2.5364678776218607E-3</v>
      </c>
    </row>
    <row r="87" spans="1:4" ht="16.5" hidden="1" x14ac:dyDescent="0.3">
      <c r="A87" s="10" t="str">
        <f>基本属性!$B$7&amp;"|"&amp;基本属性!$C$7</f>
        <v>60|0</v>
      </c>
      <c r="B87" s="10" t="str">
        <f>参数调整!$J$35</f>
        <v>BOSS掉落</v>
      </c>
      <c r="C87" s="8" t="str">
        <f>材料产出!$BB$2</f>
        <v>衣服碎片</v>
      </c>
      <c r="D87" s="224">
        <f>参数调整!$K$35*怪物掉落配置方案!$D4191</f>
        <v>3.0691261319224514E-3</v>
      </c>
    </row>
    <row r="88" spans="1:4" ht="16.5" hidden="1" x14ac:dyDescent="0.3">
      <c r="A88" s="10" t="str">
        <f>基本属性!$B$8&amp;"|"&amp;基本属性!$C$8</f>
        <v>65|0</v>
      </c>
      <c r="B88" s="10" t="str">
        <f>参数调整!$J$35</f>
        <v>BOSS掉落</v>
      </c>
      <c r="C88" s="8" t="str">
        <f>材料产出!$BB$2</f>
        <v>衣服碎片</v>
      </c>
      <c r="D88" s="224">
        <f>参数调整!$K$35*怪物掉落配置方案!$D4192</f>
        <v>3.6525137437754796E-3</v>
      </c>
    </row>
    <row r="89" spans="1:4" ht="16.5" hidden="1" x14ac:dyDescent="0.3">
      <c r="A89" s="10" t="str">
        <f>基本属性!$B$9&amp;"|"&amp;基本属性!$C$9</f>
        <v>70|0</v>
      </c>
      <c r="B89" s="10" t="str">
        <f>参数调整!$J$35</f>
        <v>BOSS掉落</v>
      </c>
      <c r="C89" s="8" t="str">
        <f>材料产出!$BB$2</f>
        <v>衣服碎片</v>
      </c>
      <c r="D89" s="224">
        <f>参数调整!$K$35*怪物掉落配置方案!$D4193</f>
        <v>4.2866307131809445E-3</v>
      </c>
    </row>
    <row r="90" spans="1:4" ht="16.5" hidden="1" x14ac:dyDescent="0.3">
      <c r="A90" s="10" t="str">
        <f>基本属性!$B$10&amp;"|"&amp;基本属性!$C$10</f>
        <v>75|0</v>
      </c>
      <c r="B90" s="10" t="str">
        <f>参数调整!$J$35</f>
        <v>BOSS掉落</v>
      </c>
      <c r="C90" s="8" t="str">
        <f>材料产出!$BB$2</f>
        <v>衣服碎片</v>
      </c>
      <c r="D90" s="224">
        <f>参数调整!$K$35*怪物掉落配置方案!$D4194</f>
        <v>4.9714770401388464E-3</v>
      </c>
    </row>
    <row r="91" spans="1:4" ht="16.5" hidden="1" x14ac:dyDescent="0.3">
      <c r="A91" s="10" t="str">
        <f>基本属性!$B$11&amp;"|"&amp;基本属性!$C$11</f>
        <v>80|1</v>
      </c>
      <c r="B91" s="10" t="str">
        <f>参数调整!$J$35</f>
        <v>BOSS掉落</v>
      </c>
      <c r="C91" s="8" t="str">
        <f>材料产出!$BB$2</f>
        <v>衣服碎片</v>
      </c>
      <c r="D91" s="224">
        <f>参数调整!$K$35*怪物掉落配置方案!$D4195</f>
        <v>5.7070527246491859E-3</v>
      </c>
    </row>
    <row r="92" spans="1:4" ht="16.5" hidden="1" x14ac:dyDescent="0.3">
      <c r="A92" s="10" t="str">
        <f>基本属性!$B$12&amp;"|"&amp;基本属性!$C$12</f>
        <v>90|2</v>
      </c>
      <c r="B92" s="10" t="str">
        <f>参数调整!$J$35</f>
        <v>BOSS掉落</v>
      </c>
      <c r="C92" s="8" t="str">
        <f>材料产出!$BB$2</f>
        <v>衣服碎片</v>
      </c>
      <c r="D92" s="224">
        <f>参数调整!$K$35*怪物掉落配置方案!$D4196</f>
        <v>6.4933577667119647E-3</v>
      </c>
    </row>
    <row r="93" spans="1:4" ht="16.5" hidden="1" x14ac:dyDescent="0.3">
      <c r="A93" s="10" t="str">
        <f>基本属性!$B$13&amp;"|"&amp;基本属性!$C$13</f>
        <v>100|3</v>
      </c>
      <c r="B93" s="10" t="str">
        <f>参数调整!$J$35</f>
        <v>BOSS掉落</v>
      </c>
      <c r="C93" s="8" t="str">
        <f>材料产出!$BB$2</f>
        <v>衣服碎片</v>
      </c>
      <c r="D93" s="224">
        <f>参数调整!$K$35*怪物掉落配置方案!$D4197</f>
        <v>8.2181559234948305E-3</v>
      </c>
    </row>
    <row r="94" spans="1:4" ht="16.5" hidden="1" x14ac:dyDescent="0.3">
      <c r="A94" s="10" t="str">
        <f>基本属性!$B$14&amp;"|"&amp;基本属性!$C$14</f>
        <v>105|4</v>
      </c>
      <c r="B94" s="10" t="str">
        <f>参数调整!$J$35</f>
        <v>BOSS掉落</v>
      </c>
      <c r="C94" s="8" t="str">
        <f>材料产出!$BB$2</f>
        <v>衣服碎片</v>
      </c>
      <c r="D94" s="224">
        <f>参数调整!$K$35*怪物掉落配置方案!$D4198</f>
        <v>1.0145871510487443E-2</v>
      </c>
    </row>
    <row r="95" spans="1:4" ht="16.5" hidden="1" x14ac:dyDescent="0.3">
      <c r="A95" s="10" t="str">
        <f>基本属性!$B$15&amp;"|"&amp;基本属性!$C$15</f>
        <v>110|5</v>
      </c>
      <c r="B95" s="10" t="str">
        <f>参数调整!$J$35</f>
        <v>BOSS掉落</v>
      </c>
      <c r="C95" s="8" t="str">
        <f>材料产出!$BB$2</f>
        <v>衣服碎片</v>
      </c>
      <c r="D95" s="224">
        <f>参数调整!$K$35*怪物掉落配置方案!$D4199</f>
        <v>1.2276504527689809E-2</v>
      </c>
    </row>
    <row r="96" spans="1:4" ht="16.5" hidden="1" x14ac:dyDescent="0.3">
      <c r="A96" s="10" t="str">
        <f>基本属性!$B$16&amp;"|"&amp;基本属性!$C$16</f>
        <v>120|6</v>
      </c>
      <c r="B96" s="10" t="str">
        <f>参数调整!$J$35</f>
        <v>BOSS掉落</v>
      </c>
      <c r="C96" s="8" t="str">
        <f>材料产出!$BB$2</f>
        <v>衣服碎片</v>
      </c>
      <c r="D96" s="224">
        <f>参数调整!$K$35*怪物掉落配置方案!$D4200</f>
        <v>1.5852924235136633E-2</v>
      </c>
    </row>
    <row r="97" spans="1:4" ht="16.5" hidden="1" x14ac:dyDescent="0.3">
      <c r="A97" s="10" t="str">
        <f>基本属性!$B$17&amp;"|"&amp;基本属性!$C$17</f>
        <v>135|7</v>
      </c>
      <c r="B97" s="10" t="str">
        <f>参数调整!$J$35</f>
        <v>BOSS掉落</v>
      </c>
      <c r="C97" s="8" t="str">
        <f>材料产出!$BB$2</f>
        <v>衣服碎片</v>
      </c>
      <c r="D97" s="224">
        <f>参数调整!$K$35*怪物掉落配置方案!$D4201</f>
        <v>2.2828210898596744E-2</v>
      </c>
    </row>
    <row r="98" spans="1:4" ht="16.5" hidden="1" x14ac:dyDescent="0.3">
      <c r="A98" s="10" t="str">
        <f>基本属性!$B$18&amp;"|"&amp;基本属性!$C$18</f>
        <v>155|8</v>
      </c>
      <c r="B98" s="10" t="str">
        <f>参数调整!$J$35</f>
        <v>BOSS掉落</v>
      </c>
      <c r="C98" s="8" t="str">
        <f>材料产出!$BB$2</f>
        <v>衣服碎片</v>
      </c>
      <c r="D98" s="224">
        <f>参数调整!$K$35*怪物掉落配置方案!$D4202</f>
        <v>3.1071731500867797E-2</v>
      </c>
    </row>
    <row r="99" spans="1:4" ht="16.5" hidden="1" x14ac:dyDescent="0.3">
      <c r="A99" s="10" t="str">
        <f>基本属性!$B$19&amp;"|"&amp;基本属性!$C$19</f>
        <v>190|9</v>
      </c>
      <c r="B99" s="10" t="str">
        <f>参数调整!$J$35</f>
        <v>BOSS掉落</v>
      </c>
      <c r="C99" s="8" t="str">
        <f>材料产出!$BB$2</f>
        <v>衣服碎片</v>
      </c>
      <c r="D99" s="224">
        <f>参数调整!$K$35*怪物掉落配置方案!$D4203</f>
        <v>3.4724245244643272E-2</v>
      </c>
    </row>
    <row r="100" spans="1:4" ht="16.5" hidden="1" x14ac:dyDescent="0.3">
      <c r="A100" s="10" t="str">
        <f>基本属性!$B$20&amp;"|"&amp;基本属性!$C$20</f>
        <v>200|10</v>
      </c>
      <c r="B100" s="10" t="str">
        <f>参数调整!$J$35</f>
        <v>BOSS掉落</v>
      </c>
      <c r="C100" s="8" t="str">
        <f>材料产出!$BB$2</f>
        <v>衣服碎片</v>
      </c>
      <c r="D100" s="224">
        <f>参数调整!$K$35*怪物掉落配置方案!$D4204</f>
        <v>4.0583486041949772E-2</v>
      </c>
    </row>
    <row r="101" spans="1:4" ht="16.5" hidden="1" x14ac:dyDescent="0.3">
      <c r="A101" s="10" t="str">
        <f>基本属性!$B$21&amp;"|"&amp;基本属性!$C$21</f>
        <v>200|11</v>
      </c>
      <c r="B101" s="10" t="str">
        <f>参数调整!$J$35</f>
        <v>BOSS掉落</v>
      </c>
      <c r="C101" s="8" t="str">
        <f>材料产出!$BB$2</f>
        <v>衣服碎片</v>
      </c>
      <c r="D101" s="224">
        <f>参数调整!$K$35*怪物掉落配置方案!$D4205</f>
        <v>4.689929105722819E-2</v>
      </c>
    </row>
    <row r="102" spans="1:4" ht="16.5" hidden="1" x14ac:dyDescent="0.3">
      <c r="A102" s="10" t="str">
        <f>基本属性!$B$22&amp;"|"&amp;基本属性!$C$22</f>
        <v>210|12</v>
      </c>
      <c r="B102" s="10" t="str">
        <f>参数调整!$J$35</f>
        <v>BOSS掉落</v>
      </c>
      <c r="C102" s="8" t="str">
        <f>材料产出!$BB$2</f>
        <v>衣服碎片</v>
      </c>
      <c r="D102" s="224">
        <f>参数调整!$K$35*怪物掉落配置方案!$D4206</f>
        <v>5.3671660290478554E-2</v>
      </c>
    </row>
    <row r="103" spans="1:4" ht="16.5" hidden="1" x14ac:dyDescent="0.3">
      <c r="A103" s="10" t="str">
        <f>基本属性!$B$23&amp;"|"&amp;基本属性!$C$23</f>
        <v>210|13</v>
      </c>
      <c r="B103" s="10" t="str">
        <f>参数调整!$J$35</f>
        <v>BOSS掉落</v>
      </c>
      <c r="C103" s="8" t="str">
        <f>材料产出!$BB$2</f>
        <v>衣服碎片</v>
      </c>
      <c r="D103" s="224">
        <f>参数调整!$K$35*怪物掉落配置方案!$D4207</f>
        <v>6.0900593741700884E-2</v>
      </c>
    </row>
    <row r="104" spans="1:4" ht="16.5" hidden="1" x14ac:dyDescent="0.3">
      <c r="A104" s="10" t="str">
        <f>基本属性!$B$24&amp;"|"&amp;基本属性!$C$24</f>
        <v>220|14</v>
      </c>
      <c r="B104" s="10" t="str">
        <f>参数调整!$J$35</f>
        <v>BOSS掉落</v>
      </c>
      <c r="C104" s="8" t="str">
        <f>材料产出!$BB$2</f>
        <v>衣服碎片</v>
      </c>
      <c r="D104" s="224">
        <f>参数调整!$K$35*怪物掉落配置方案!$D4208</f>
        <v>6.8586091410895111E-2</v>
      </c>
    </row>
    <row r="105" spans="1:4" ht="16.5" hidden="1" x14ac:dyDescent="0.3">
      <c r="A105" s="10" t="str">
        <f>基本属性!$B$25&amp;"|"&amp;基本属性!$C$25</f>
        <v>220|15</v>
      </c>
      <c r="B105" s="10" t="str">
        <f>参数调整!$J$35</f>
        <v>BOSS掉落</v>
      </c>
      <c r="C105" s="8" t="str">
        <f>材料产出!$BB$2</f>
        <v>衣服碎片</v>
      </c>
      <c r="D105" s="224">
        <f>参数调整!$K$35*怪物掉落配置方案!$D4209</f>
        <v>7.6728153298061263E-2</v>
      </c>
    </row>
    <row r="106" spans="1:4" ht="16.5" hidden="1" x14ac:dyDescent="0.3">
      <c r="A106" s="10" t="str">
        <f>基本属性!$B$26&amp;"|"&amp;基本属性!$C$26</f>
        <v>230|16</v>
      </c>
      <c r="B106" s="10" t="str">
        <f>参数调整!$J$35</f>
        <v>BOSS掉落</v>
      </c>
      <c r="C106" s="8" t="str">
        <f>材料产出!$BB$2</f>
        <v>衣服碎片</v>
      </c>
      <c r="D106" s="224">
        <f>参数调整!$K$35*怪物掉落配置方案!$D4210</f>
        <v>8.5326779403199382E-2</v>
      </c>
    </row>
    <row r="107" spans="1:4" ht="16.5" hidden="1" x14ac:dyDescent="0.3">
      <c r="A107" s="10" t="str">
        <f>基本属性!$B$27&amp;"|"&amp;基本属性!$C$27</f>
        <v>230|17</v>
      </c>
      <c r="B107" s="10" t="str">
        <f>参数调整!$J$35</f>
        <v>BOSS掉落</v>
      </c>
      <c r="C107" s="8" t="str">
        <f>材料产出!$BB$2</f>
        <v>衣服碎片</v>
      </c>
      <c r="D107" s="224">
        <f>参数调整!$K$35*怪物掉落配置方案!$D4211</f>
        <v>9.4381969726309425E-2</v>
      </c>
    </row>
    <row r="108" spans="1:4" ht="16.5" hidden="1" x14ac:dyDescent="0.3">
      <c r="A108" s="10" t="str">
        <f>基本属性!$B$28&amp;"|"&amp;基本属性!$C$28</f>
        <v>240|18</v>
      </c>
      <c r="B108" s="10" t="str">
        <f>参数调整!$J$35</f>
        <v>BOSS掉落</v>
      </c>
      <c r="C108" s="8" t="str">
        <f>材料产出!$BB$2</f>
        <v>衣服碎片</v>
      </c>
      <c r="D108" s="224">
        <f>参数调整!$K$35*怪物掉落配置方案!$D4212</f>
        <v>0.10389372426739141</v>
      </c>
    </row>
    <row r="109" spans="1:4" ht="16.5" hidden="1" x14ac:dyDescent="0.3">
      <c r="A109" s="10" t="str">
        <f>基本属性!$B$29&amp;"|"&amp;基本属性!$C$29</f>
        <v>240|19</v>
      </c>
      <c r="B109" s="10" t="str">
        <f>参数调整!$J$35</f>
        <v>BOSS掉落</v>
      </c>
      <c r="C109" s="8" t="str">
        <f>材料产出!$BB$2</f>
        <v>衣服碎片</v>
      </c>
      <c r="D109" s="224">
        <f>参数调整!$K$35*怪物掉落配置方案!$D4213</f>
        <v>0.11386204302644533</v>
      </c>
    </row>
    <row r="110" spans="1:4" ht="16.5" hidden="1" x14ac:dyDescent="0.3">
      <c r="A110" s="10" t="str">
        <f>基本属性!$B$30&amp;"|"&amp;基本属性!$C$30</f>
        <v>250|20</v>
      </c>
      <c r="B110" s="10" t="str">
        <f>参数调整!$J$35</f>
        <v>BOSS掉落</v>
      </c>
      <c r="C110" s="8" t="str">
        <f>材料产出!$BB$2</f>
        <v>衣服碎片</v>
      </c>
      <c r="D110" s="224">
        <f>参数调整!$K$35*怪物掉落配置方案!$D4214</f>
        <v>0.12428692600347113</v>
      </c>
    </row>
    <row r="111" spans="1:4" ht="16.5" hidden="1" x14ac:dyDescent="0.3">
      <c r="A111" s="10" t="str">
        <f>基本属性!$B$4&amp;"|"&amp;基本属性!$C$4</f>
        <v>35|0</v>
      </c>
      <c r="B111" s="10" t="str">
        <f>参数调整!$J$35</f>
        <v>BOSS掉落</v>
      </c>
      <c r="C111" s="8" t="str">
        <f>材料产出!$HX$2</f>
        <v>星座装备</v>
      </c>
      <c r="D111" s="224">
        <f>参数调整!$K$35*怪物掉落配置方案!$D4215</f>
        <v>0</v>
      </c>
    </row>
    <row r="112" spans="1:4" ht="16.5" hidden="1" x14ac:dyDescent="0.3">
      <c r="A112" s="10" t="str">
        <f>基本属性!$B$5&amp;"|"&amp;基本属性!$C$5</f>
        <v>40|0</v>
      </c>
      <c r="B112" s="10" t="str">
        <f>参数调整!$J$35</f>
        <v>BOSS掉落</v>
      </c>
      <c r="C112" s="8" t="str">
        <f>材料产出!$HX$2</f>
        <v>星座装备</v>
      </c>
      <c r="D112" s="224">
        <f>参数调整!$K$35*怪物掉落配置方案!$D4216</f>
        <v>0</v>
      </c>
    </row>
    <row r="113" spans="1:4" ht="16.5" hidden="1" x14ac:dyDescent="0.3">
      <c r="A113" s="10" t="str">
        <f>基本属性!$B$6&amp;"|"&amp;基本属性!$C$6</f>
        <v>50|0</v>
      </c>
      <c r="B113" s="10" t="str">
        <f>参数调整!$J$35</f>
        <v>BOSS掉落</v>
      </c>
      <c r="C113" s="8" t="str">
        <f>材料产出!$HX$2</f>
        <v>星座装备</v>
      </c>
      <c r="D113" s="224">
        <f>参数调整!$K$35*怪物掉落配置方案!$D4217</f>
        <v>0</v>
      </c>
    </row>
    <row r="114" spans="1:4" ht="16.5" hidden="1" x14ac:dyDescent="0.3">
      <c r="A114" s="10" t="str">
        <f>基本属性!$B$7&amp;"|"&amp;基本属性!$C$7</f>
        <v>60|0</v>
      </c>
      <c r="B114" s="10" t="str">
        <f>参数调整!$J$35</f>
        <v>BOSS掉落</v>
      </c>
      <c r="C114" s="8" t="str">
        <f>材料产出!$HX$2</f>
        <v>星座装备</v>
      </c>
      <c r="D114" s="224">
        <f>参数调整!$K$35*怪物掉落配置方案!$D4218</f>
        <v>0</v>
      </c>
    </row>
    <row r="115" spans="1:4" ht="16.5" hidden="1" x14ac:dyDescent="0.3">
      <c r="A115" s="10" t="str">
        <f>基本属性!$B$8&amp;"|"&amp;基本属性!$C$8</f>
        <v>65|0</v>
      </c>
      <c r="B115" s="10" t="str">
        <f>参数调整!$J$35</f>
        <v>BOSS掉落</v>
      </c>
      <c r="C115" s="8" t="str">
        <f>材料产出!$HX$2</f>
        <v>星座装备</v>
      </c>
      <c r="D115" s="224">
        <f>参数调整!$K$35*怪物掉落配置方案!$D4219</f>
        <v>0</v>
      </c>
    </row>
    <row r="116" spans="1:4" ht="16.5" hidden="1" x14ac:dyDescent="0.3">
      <c r="A116" s="10" t="str">
        <f>基本属性!$B$9&amp;"|"&amp;基本属性!$C$9</f>
        <v>70|0</v>
      </c>
      <c r="B116" s="10" t="str">
        <f>参数调整!$J$35</f>
        <v>BOSS掉落</v>
      </c>
      <c r="C116" s="8" t="str">
        <f>材料产出!$HX$2</f>
        <v>星座装备</v>
      </c>
      <c r="D116" s="224">
        <f>参数调整!$K$35*怪物掉落配置方案!$D4220</f>
        <v>0</v>
      </c>
    </row>
    <row r="117" spans="1:4" ht="16.5" hidden="1" x14ac:dyDescent="0.3">
      <c r="A117" s="10" t="str">
        <f>基本属性!$B$10&amp;"|"&amp;基本属性!$C$10</f>
        <v>75|0</v>
      </c>
      <c r="B117" s="10" t="str">
        <f>参数调整!$J$35</f>
        <v>BOSS掉落</v>
      </c>
      <c r="C117" s="8" t="str">
        <f>材料产出!$HX$2</f>
        <v>星座装备</v>
      </c>
      <c r="D117" s="224">
        <f>参数调整!$K$35*怪物掉落配置方案!$D4221</f>
        <v>0</v>
      </c>
    </row>
    <row r="118" spans="1:4" ht="16.5" hidden="1" x14ac:dyDescent="0.3">
      <c r="A118" s="10" t="str">
        <f>基本属性!$B$11&amp;"|"&amp;基本属性!$C$11</f>
        <v>80|1</v>
      </c>
      <c r="B118" s="10" t="str">
        <f>参数调整!$J$35</f>
        <v>BOSS掉落</v>
      </c>
      <c r="C118" s="8" t="str">
        <f>材料产出!$HX$2</f>
        <v>星座装备</v>
      </c>
      <c r="D118" s="224">
        <f>参数调整!$K$35*怪物掉落配置方案!$D4222</f>
        <v>0</v>
      </c>
    </row>
    <row r="119" spans="1:4" ht="16.5" hidden="1" x14ac:dyDescent="0.3">
      <c r="A119" s="10" t="str">
        <f>基本属性!$B$12&amp;"|"&amp;基本属性!$C$12</f>
        <v>90|2</v>
      </c>
      <c r="B119" s="10" t="str">
        <f>参数调整!$J$35</f>
        <v>BOSS掉落</v>
      </c>
      <c r="C119" s="8" t="str">
        <f>材料产出!$HX$2</f>
        <v>星座装备</v>
      </c>
      <c r="D119" s="224">
        <f>参数调整!$K$35*怪物掉落配置方案!$D4223</f>
        <v>0</v>
      </c>
    </row>
    <row r="120" spans="1:4" ht="16.5" hidden="1" x14ac:dyDescent="0.3">
      <c r="A120" s="10" t="str">
        <f>基本属性!$B$13&amp;"|"&amp;基本属性!$C$13</f>
        <v>100|3</v>
      </c>
      <c r="B120" s="10" t="str">
        <f>参数调整!$J$35</f>
        <v>BOSS掉落</v>
      </c>
      <c r="C120" s="8" t="str">
        <f>材料产出!$HX$2</f>
        <v>星座装备</v>
      </c>
      <c r="D120" s="224">
        <f>参数调整!$K$35*怪物掉落配置方案!$D4224</f>
        <v>0</v>
      </c>
    </row>
    <row r="121" spans="1:4" ht="16.5" hidden="1" x14ac:dyDescent="0.3">
      <c r="A121" s="10" t="str">
        <f>基本属性!$B$14&amp;"|"&amp;基本属性!$C$14</f>
        <v>105|4</v>
      </c>
      <c r="B121" s="10" t="str">
        <f>参数调整!$J$35</f>
        <v>BOSS掉落</v>
      </c>
      <c r="C121" s="8" t="str">
        <f>材料产出!$HX$2</f>
        <v>星座装备</v>
      </c>
      <c r="D121" s="224">
        <f>参数调整!$K$35*怪物掉落配置方案!$D4225</f>
        <v>0</v>
      </c>
    </row>
    <row r="122" spans="1:4" ht="16.5" hidden="1" x14ac:dyDescent="0.3">
      <c r="A122" s="10" t="str">
        <f>基本属性!$B$15&amp;"|"&amp;基本属性!$C$15</f>
        <v>110|5</v>
      </c>
      <c r="B122" s="10" t="str">
        <f>参数调整!$J$35</f>
        <v>BOSS掉落</v>
      </c>
      <c r="C122" s="8" t="str">
        <f>材料产出!$HX$2</f>
        <v>星座装备</v>
      </c>
      <c r="D122" s="224">
        <f>参数调整!$K$35*怪物掉落配置方案!$D4226</f>
        <v>0</v>
      </c>
    </row>
    <row r="123" spans="1:4" ht="16.5" hidden="1" x14ac:dyDescent="0.3">
      <c r="A123" s="10" t="str">
        <f>基本属性!$B$16&amp;"|"&amp;基本属性!$C$16</f>
        <v>120|6</v>
      </c>
      <c r="B123" s="10" t="str">
        <f>参数调整!$J$35</f>
        <v>BOSS掉落</v>
      </c>
      <c r="C123" s="8" t="str">
        <f>材料产出!$HX$2</f>
        <v>星座装备</v>
      </c>
      <c r="D123" s="224">
        <f>参数调整!$K$35*怪物掉落配置方案!$D4227</f>
        <v>0</v>
      </c>
    </row>
    <row r="124" spans="1:4" ht="16.5" hidden="1" x14ac:dyDescent="0.3">
      <c r="A124" s="10" t="str">
        <f>基本属性!$B$17&amp;"|"&amp;基本属性!$C$17</f>
        <v>135|7</v>
      </c>
      <c r="B124" s="10" t="str">
        <f>参数调整!$J$35</f>
        <v>BOSS掉落</v>
      </c>
      <c r="C124" s="8" t="str">
        <f>材料产出!$HX$2</f>
        <v>星座装备</v>
      </c>
      <c r="D124" s="224">
        <f>参数调整!$K$35*怪物掉落配置方案!$D4228</f>
        <v>0</v>
      </c>
    </row>
    <row r="125" spans="1:4" ht="16.5" hidden="1" x14ac:dyDescent="0.3">
      <c r="A125" s="10" t="str">
        <f>基本属性!$B$18&amp;"|"&amp;基本属性!$C$18</f>
        <v>155|8</v>
      </c>
      <c r="B125" s="10" t="str">
        <f>参数调整!$J$35</f>
        <v>BOSS掉落</v>
      </c>
      <c r="C125" s="8" t="str">
        <f>材料产出!$HX$2</f>
        <v>星座装备</v>
      </c>
      <c r="D125" s="224">
        <f>参数调整!$K$35*怪物掉落配置方案!$D4229</f>
        <v>0</v>
      </c>
    </row>
    <row r="126" spans="1:4" ht="16.5" hidden="1" x14ac:dyDescent="0.3">
      <c r="A126" s="10" t="str">
        <f>基本属性!$B$19&amp;"|"&amp;基本属性!$C$19</f>
        <v>190|9</v>
      </c>
      <c r="B126" s="10" t="str">
        <f>参数调整!$J$35</f>
        <v>BOSS掉落</v>
      </c>
      <c r="C126" s="8" t="str">
        <f>材料产出!$HX$2</f>
        <v>星座装备</v>
      </c>
      <c r="D126" s="224">
        <f>参数调整!$K$35*怪物掉落配置方案!$D4230</f>
        <v>0</v>
      </c>
    </row>
    <row r="127" spans="1:4" ht="16.5" hidden="1" x14ac:dyDescent="0.3">
      <c r="A127" s="10" t="str">
        <f>基本属性!$B$20&amp;"|"&amp;基本属性!$C$20</f>
        <v>200|10</v>
      </c>
      <c r="B127" s="10" t="str">
        <f>参数调整!$J$35</f>
        <v>BOSS掉落</v>
      </c>
      <c r="C127" s="8" t="str">
        <f>材料产出!$HX$2</f>
        <v>星座装备</v>
      </c>
      <c r="D127" s="224">
        <f>参数调整!$K$35*怪物掉落配置方案!$D4231</f>
        <v>0</v>
      </c>
    </row>
    <row r="128" spans="1:4" ht="16.5" hidden="1" x14ac:dyDescent="0.3">
      <c r="A128" s="10" t="str">
        <f>基本属性!$B$21&amp;"|"&amp;基本属性!$C$21</f>
        <v>200|11</v>
      </c>
      <c r="B128" s="10" t="str">
        <f>参数调整!$J$35</f>
        <v>BOSS掉落</v>
      </c>
      <c r="C128" s="8" t="str">
        <f>材料产出!$HX$2</f>
        <v>星座装备</v>
      </c>
      <c r="D128" s="224">
        <f>参数调整!$K$35*怪物掉落配置方案!$D4232</f>
        <v>0</v>
      </c>
    </row>
    <row r="129" spans="1:4" ht="16.5" hidden="1" x14ac:dyDescent="0.3">
      <c r="A129" s="10" t="str">
        <f>基本属性!$B$22&amp;"|"&amp;基本属性!$C$22</f>
        <v>210|12</v>
      </c>
      <c r="B129" s="10" t="str">
        <f>参数调整!$J$35</f>
        <v>BOSS掉落</v>
      </c>
      <c r="C129" s="8" t="str">
        <f>材料产出!$HX$2</f>
        <v>星座装备</v>
      </c>
      <c r="D129" s="224">
        <f>参数调整!$K$35*怪物掉落配置方案!$D4233</f>
        <v>0</v>
      </c>
    </row>
    <row r="130" spans="1:4" ht="16.5" hidden="1" x14ac:dyDescent="0.3">
      <c r="A130" s="10" t="str">
        <f>基本属性!$B$23&amp;"|"&amp;基本属性!$C$23</f>
        <v>210|13</v>
      </c>
      <c r="B130" s="10" t="str">
        <f>参数调整!$J$35</f>
        <v>BOSS掉落</v>
      </c>
      <c r="C130" s="8" t="str">
        <f>材料产出!$HX$2</f>
        <v>星座装备</v>
      </c>
      <c r="D130" s="224">
        <f>参数调整!$K$35*怪物掉落配置方案!$D4234</f>
        <v>0</v>
      </c>
    </row>
    <row r="131" spans="1:4" ht="16.5" hidden="1" x14ac:dyDescent="0.3">
      <c r="A131" s="10" t="str">
        <f>基本属性!$B$24&amp;"|"&amp;基本属性!$C$24</f>
        <v>220|14</v>
      </c>
      <c r="B131" s="10" t="str">
        <f>参数调整!$J$35</f>
        <v>BOSS掉落</v>
      </c>
      <c r="C131" s="8" t="str">
        <f>材料产出!$HX$2</f>
        <v>星座装备</v>
      </c>
      <c r="D131" s="224">
        <f>参数调整!$K$35*怪物掉落配置方案!$D4235</f>
        <v>0</v>
      </c>
    </row>
    <row r="132" spans="1:4" ht="16.5" hidden="1" x14ac:dyDescent="0.3">
      <c r="A132" s="10" t="str">
        <f>基本属性!$B$25&amp;"|"&amp;基本属性!$C$25</f>
        <v>220|15</v>
      </c>
      <c r="B132" s="10" t="str">
        <f>参数调整!$J$35</f>
        <v>BOSS掉落</v>
      </c>
      <c r="C132" s="8" t="str">
        <f>材料产出!$HX$2</f>
        <v>星座装备</v>
      </c>
      <c r="D132" s="224">
        <f>参数调整!$K$35*怪物掉落配置方案!$D4236</f>
        <v>0</v>
      </c>
    </row>
    <row r="133" spans="1:4" ht="16.5" hidden="1" x14ac:dyDescent="0.3">
      <c r="A133" s="10" t="str">
        <f>基本属性!$B$26&amp;"|"&amp;基本属性!$C$26</f>
        <v>230|16</v>
      </c>
      <c r="B133" s="10" t="str">
        <f>参数调整!$J$35</f>
        <v>BOSS掉落</v>
      </c>
      <c r="C133" s="8" t="str">
        <f>材料产出!$HX$2</f>
        <v>星座装备</v>
      </c>
      <c r="D133" s="224">
        <f>参数调整!$K$35*怪物掉落配置方案!$D4237</f>
        <v>0</v>
      </c>
    </row>
    <row r="134" spans="1:4" ht="16.5" hidden="1" x14ac:dyDescent="0.3">
      <c r="A134" s="10" t="str">
        <f>基本属性!$B$27&amp;"|"&amp;基本属性!$C$27</f>
        <v>230|17</v>
      </c>
      <c r="B134" s="10" t="str">
        <f>参数调整!$J$35</f>
        <v>BOSS掉落</v>
      </c>
      <c r="C134" s="8" t="str">
        <f>材料产出!$HX$2</f>
        <v>星座装备</v>
      </c>
      <c r="D134" s="224">
        <f>参数调整!$K$35*怪物掉落配置方案!$D4238</f>
        <v>0</v>
      </c>
    </row>
    <row r="135" spans="1:4" ht="16.5" hidden="1" x14ac:dyDescent="0.3">
      <c r="A135" s="10" t="str">
        <f>基本属性!$B$28&amp;"|"&amp;基本属性!$C$28</f>
        <v>240|18</v>
      </c>
      <c r="B135" s="10" t="str">
        <f>参数调整!$J$35</f>
        <v>BOSS掉落</v>
      </c>
      <c r="C135" s="8" t="str">
        <f>材料产出!$HX$2</f>
        <v>星座装备</v>
      </c>
      <c r="D135" s="224">
        <f>参数调整!$K$35*怪物掉落配置方案!$D4239</f>
        <v>0</v>
      </c>
    </row>
    <row r="136" spans="1:4" ht="16.5" hidden="1" x14ac:dyDescent="0.3">
      <c r="A136" s="10" t="str">
        <f>基本属性!$B$29&amp;"|"&amp;基本属性!$C$29</f>
        <v>240|19</v>
      </c>
      <c r="B136" s="10" t="str">
        <f>参数调整!$J$35</f>
        <v>BOSS掉落</v>
      </c>
      <c r="C136" s="8" t="str">
        <f>材料产出!$HX$2</f>
        <v>星座装备</v>
      </c>
      <c r="D136" s="224">
        <f>参数调整!$K$35*怪物掉落配置方案!$D4240</f>
        <v>0</v>
      </c>
    </row>
    <row r="137" spans="1:4" ht="16.5" hidden="1" x14ac:dyDescent="0.3">
      <c r="A137" s="10" t="str">
        <f>基本属性!$B$30&amp;"|"&amp;基本属性!$C$30</f>
        <v>250|20</v>
      </c>
      <c r="B137" s="10" t="str">
        <f>参数调整!$J$35</f>
        <v>BOSS掉落</v>
      </c>
      <c r="C137" s="8" t="str">
        <f>材料产出!$HX$2</f>
        <v>星座装备</v>
      </c>
      <c r="D137" s="224">
        <f>参数调整!$K$35*怪物掉落配置方案!$D4241</f>
        <v>0</v>
      </c>
    </row>
    <row r="138" spans="1:4" ht="16.5" hidden="1" x14ac:dyDescent="0.3">
      <c r="A138" s="10" t="str">
        <f>基本属性!$B$4&amp;"|"&amp;基本属性!$C$4</f>
        <v>35|0</v>
      </c>
      <c r="B138" s="10" t="str">
        <f>参数调整!$J$35</f>
        <v>BOSS掉落</v>
      </c>
      <c r="C138" s="8" t="str">
        <f>材料产出!$BX$2</f>
        <v>新增材料9</v>
      </c>
      <c r="D138" s="224">
        <f>参数调整!$K$35*怪物掉落配置方案!$D4242</f>
        <v>0</v>
      </c>
    </row>
    <row r="139" spans="1:4" ht="16.5" hidden="1" x14ac:dyDescent="0.3">
      <c r="A139" s="10" t="str">
        <f>基本属性!$B$5&amp;"|"&amp;基本属性!$C$5</f>
        <v>40|0</v>
      </c>
      <c r="B139" s="10" t="str">
        <f>参数调整!$J$35</f>
        <v>BOSS掉落</v>
      </c>
      <c r="C139" s="8" t="str">
        <f>材料产出!$BX$2</f>
        <v>新增材料9</v>
      </c>
      <c r="D139" s="224">
        <f>参数调整!$K$35*怪物掉落配置方案!$D4243</f>
        <v>0</v>
      </c>
    </row>
    <row r="140" spans="1:4" ht="16.5" hidden="1" x14ac:dyDescent="0.3">
      <c r="A140" s="10" t="str">
        <f>基本属性!$B$6&amp;"|"&amp;基本属性!$C$6</f>
        <v>50|0</v>
      </c>
      <c r="B140" s="10" t="str">
        <f>参数调整!$J$35</f>
        <v>BOSS掉落</v>
      </c>
      <c r="C140" s="8" t="str">
        <f>材料产出!$BX$2</f>
        <v>新增材料9</v>
      </c>
      <c r="D140" s="224">
        <f>参数调整!$K$35*怪物掉落配置方案!$D4244</f>
        <v>0</v>
      </c>
    </row>
    <row r="141" spans="1:4" ht="16.5" hidden="1" x14ac:dyDescent="0.3">
      <c r="A141" s="10" t="str">
        <f>基本属性!$B$7&amp;"|"&amp;基本属性!$C$7</f>
        <v>60|0</v>
      </c>
      <c r="B141" s="10" t="str">
        <f>参数调整!$J$35</f>
        <v>BOSS掉落</v>
      </c>
      <c r="C141" s="8" t="str">
        <f>材料产出!$BX$2</f>
        <v>新增材料9</v>
      </c>
      <c r="D141" s="224">
        <f>参数调整!$K$35*怪物掉落配置方案!$D4245</f>
        <v>0</v>
      </c>
    </row>
    <row r="142" spans="1:4" ht="16.5" hidden="1" x14ac:dyDescent="0.3">
      <c r="A142" s="10" t="str">
        <f>基本属性!$B$8&amp;"|"&amp;基本属性!$C$8</f>
        <v>65|0</v>
      </c>
      <c r="B142" s="10" t="str">
        <f>参数调整!$J$35</f>
        <v>BOSS掉落</v>
      </c>
      <c r="C142" s="8" t="str">
        <f>材料产出!$BX$2</f>
        <v>新增材料9</v>
      </c>
      <c r="D142" s="224">
        <f>参数调整!$K$35*怪物掉落配置方案!$D4246</f>
        <v>0</v>
      </c>
    </row>
    <row r="143" spans="1:4" ht="16.5" hidden="1" x14ac:dyDescent="0.3">
      <c r="A143" s="10" t="str">
        <f>基本属性!$B$9&amp;"|"&amp;基本属性!$C$9</f>
        <v>70|0</v>
      </c>
      <c r="B143" s="10" t="str">
        <f>参数调整!$J$35</f>
        <v>BOSS掉落</v>
      </c>
      <c r="C143" s="8" t="str">
        <f>材料产出!$BX$2</f>
        <v>新增材料9</v>
      </c>
      <c r="D143" s="224">
        <f>参数调整!$K$35*怪物掉落配置方案!$D4247</f>
        <v>0</v>
      </c>
    </row>
    <row r="144" spans="1:4" ht="16.5" hidden="1" x14ac:dyDescent="0.3">
      <c r="A144" s="10" t="str">
        <f>基本属性!$B$10&amp;"|"&amp;基本属性!$C$10</f>
        <v>75|0</v>
      </c>
      <c r="B144" s="10" t="str">
        <f>参数调整!$J$35</f>
        <v>BOSS掉落</v>
      </c>
      <c r="C144" s="8" t="str">
        <f>材料产出!$BX$2</f>
        <v>新增材料9</v>
      </c>
      <c r="D144" s="224">
        <f>参数调整!$K$35*怪物掉落配置方案!$D4248</f>
        <v>0</v>
      </c>
    </row>
    <row r="145" spans="1:4" ht="16.5" hidden="1" x14ac:dyDescent="0.3">
      <c r="A145" s="10" t="str">
        <f>基本属性!$B$11&amp;"|"&amp;基本属性!$C$11</f>
        <v>80|1</v>
      </c>
      <c r="B145" s="10" t="str">
        <f>参数调整!$J$35</f>
        <v>BOSS掉落</v>
      </c>
      <c r="C145" s="8" t="str">
        <f>材料产出!$BX$2</f>
        <v>新增材料9</v>
      </c>
      <c r="D145" s="224">
        <f>参数调整!$K$35*怪物掉落配置方案!$D4249</f>
        <v>0</v>
      </c>
    </row>
    <row r="146" spans="1:4" ht="16.5" hidden="1" x14ac:dyDescent="0.3">
      <c r="A146" s="10" t="str">
        <f>基本属性!$B$12&amp;"|"&amp;基本属性!$C$12</f>
        <v>90|2</v>
      </c>
      <c r="B146" s="10" t="str">
        <f>参数调整!$J$35</f>
        <v>BOSS掉落</v>
      </c>
      <c r="C146" s="8" t="str">
        <f>材料产出!$BX$2</f>
        <v>新增材料9</v>
      </c>
      <c r="D146" s="224">
        <f>参数调整!$K$35*怪物掉落配置方案!$D4250</f>
        <v>0</v>
      </c>
    </row>
    <row r="147" spans="1:4" ht="16.5" hidden="1" x14ac:dyDescent="0.3">
      <c r="A147" s="10" t="str">
        <f>基本属性!$B$13&amp;"|"&amp;基本属性!$C$13</f>
        <v>100|3</v>
      </c>
      <c r="B147" s="10" t="str">
        <f>参数调整!$J$35</f>
        <v>BOSS掉落</v>
      </c>
      <c r="C147" s="8" t="str">
        <f>材料产出!$BX$2</f>
        <v>新增材料9</v>
      </c>
      <c r="D147" s="224">
        <f>参数调整!$K$35*怪物掉落配置方案!$D4251</f>
        <v>0</v>
      </c>
    </row>
    <row r="148" spans="1:4" ht="16.5" hidden="1" x14ac:dyDescent="0.3">
      <c r="A148" s="10" t="str">
        <f>基本属性!$B$14&amp;"|"&amp;基本属性!$C$14</f>
        <v>105|4</v>
      </c>
      <c r="B148" s="10" t="str">
        <f>参数调整!$J$35</f>
        <v>BOSS掉落</v>
      </c>
      <c r="C148" s="8" t="str">
        <f>材料产出!$BX$2</f>
        <v>新增材料9</v>
      </c>
      <c r="D148" s="224">
        <f>参数调整!$K$35*怪物掉落配置方案!$D4252</f>
        <v>0</v>
      </c>
    </row>
    <row r="149" spans="1:4" ht="16.5" hidden="1" x14ac:dyDescent="0.3">
      <c r="A149" s="10" t="str">
        <f>基本属性!$B$15&amp;"|"&amp;基本属性!$C$15</f>
        <v>110|5</v>
      </c>
      <c r="B149" s="10" t="str">
        <f>参数调整!$J$35</f>
        <v>BOSS掉落</v>
      </c>
      <c r="C149" s="8" t="str">
        <f>材料产出!$BX$2</f>
        <v>新增材料9</v>
      </c>
      <c r="D149" s="224">
        <f>参数调整!$K$35*怪物掉落配置方案!$D4253</f>
        <v>0</v>
      </c>
    </row>
    <row r="150" spans="1:4" ht="16.5" hidden="1" x14ac:dyDescent="0.3">
      <c r="A150" s="10" t="str">
        <f>基本属性!$B$16&amp;"|"&amp;基本属性!$C$16</f>
        <v>120|6</v>
      </c>
      <c r="B150" s="10" t="str">
        <f>参数调整!$J$35</f>
        <v>BOSS掉落</v>
      </c>
      <c r="C150" s="8" t="str">
        <f>材料产出!$BX$2</f>
        <v>新增材料9</v>
      </c>
      <c r="D150" s="224">
        <f>参数调整!$K$35*怪物掉落配置方案!$D4254</f>
        <v>0</v>
      </c>
    </row>
    <row r="151" spans="1:4" ht="16.5" hidden="1" x14ac:dyDescent="0.3">
      <c r="A151" s="10" t="str">
        <f>基本属性!$B$17&amp;"|"&amp;基本属性!$C$17</f>
        <v>135|7</v>
      </c>
      <c r="B151" s="10" t="str">
        <f>参数调整!$J$35</f>
        <v>BOSS掉落</v>
      </c>
      <c r="C151" s="8" t="str">
        <f>材料产出!$BX$2</f>
        <v>新增材料9</v>
      </c>
      <c r="D151" s="224">
        <f>参数调整!$K$35*怪物掉落配置方案!$D4255</f>
        <v>0</v>
      </c>
    </row>
    <row r="152" spans="1:4" ht="16.5" hidden="1" x14ac:dyDescent="0.3">
      <c r="A152" s="10" t="str">
        <f>基本属性!$B$18&amp;"|"&amp;基本属性!$C$18</f>
        <v>155|8</v>
      </c>
      <c r="B152" s="10" t="str">
        <f>参数调整!$J$35</f>
        <v>BOSS掉落</v>
      </c>
      <c r="C152" s="8" t="str">
        <f>材料产出!$BX$2</f>
        <v>新增材料9</v>
      </c>
      <c r="D152" s="224">
        <f>参数调整!$K$35*怪物掉落配置方案!$D4256</f>
        <v>0</v>
      </c>
    </row>
    <row r="153" spans="1:4" ht="16.5" hidden="1" x14ac:dyDescent="0.3">
      <c r="A153" s="10" t="str">
        <f>基本属性!$B$19&amp;"|"&amp;基本属性!$C$19</f>
        <v>190|9</v>
      </c>
      <c r="B153" s="10" t="str">
        <f>参数调整!$J$35</f>
        <v>BOSS掉落</v>
      </c>
      <c r="C153" s="8" t="str">
        <f>材料产出!$BX$2</f>
        <v>新增材料9</v>
      </c>
      <c r="D153" s="224">
        <f>参数调整!$K$35*怪物掉落配置方案!$D4257</f>
        <v>0</v>
      </c>
    </row>
    <row r="154" spans="1:4" ht="16.5" hidden="1" x14ac:dyDescent="0.3">
      <c r="A154" s="10" t="str">
        <f>基本属性!$B$20&amp;"|"&amp;基本属性!$C$20</f>
        <v>200|10</v>
      </c>
      <c r="B154" s="10" t="str">
        <f>参数调整!$J$35</f>
        <v>BOSS掉落</v>
      </c>
      <c r="C154" s="8" t="str">
        <f>材料产出!$BX$2</f>
        <v>新增材料9</v>
      </c>
      <c r="D154" s="224">
        <f>参数调整!$K$35*怪物掉落配置方案!$D4258</f>
        <v>0</v>
      </c>
    </row>
    <row r="155" spans="1:4" ht="16.5" hidden="1" x14ac:dyDescent="0.3">
      <c r="A155" s="10" t="str">
        <f>基本属性!$B$21&amp;"|"&amp;基本属性!$C$21</f>
        <v>200|11</v>
      </c>
      <c r="B155" s="10" t="str">
        <f>参数调整!$J$35</f>
        <v>BOSS掉落</v>
      </c>
      <c r="C155" s="8" t="str">
        <f>材料产出!$BX$2</f>
        <v>新增材料9</v>
      </c>
      <c r="D155" s="224">
        <f>参数调整!$K$35*怪物掉落配置方案!$D4259</f>
        <v>0</v>
      </c>
    </row>
    <row r="156" spans="1:4" ht="16.5" hidden="1" x14ac:dyDescent="0.3">
      <c r="A156" s="10" t="str">
        <f>基本属性!$B$22&amp;"|"&amp;基本属性!$C$22</f>
        <v>210|12</v>
      </c>
      <c r="B156" s="10" t="str">
        <f>参数调整!$J$35</f>
        <v>BOSS掉落</v>
      </c>
      <c r="C156" s="8" t="str">
        <f>材料产出!$BX$2</f>
        <v>新增材料9</v>
      </c>
      <c r="D156" s="224">
        <f>参数调整!$K$35*怪物掉落配置方案!$D4260</f>
        <v>0</v>
      </c>
    </row>
    <row r="157" spans="1:4" ht="16.5" hidden="1" x14ac:dyDescent="0.3">
      <c r="A157" s="10" t="str">
        <f>基本属性!$B$23&amp;"|"&amp;基本属性!$C$23</f>
        <v>210|13</v>
      </c>
      <c r="B157" s="10" t="str">
        <f>参数调整!$J$35</f>
        <v>BOSS掉落</v>
      </c>
      <c r="C157" s="8" t="str">
        <f>材料产出!$BX$2</f>
        <v>新增材料9</v>
      </c>
      <c r="D157" s="224">
        <f>参数调整!$K$35*怪物掉落配置方案!$D4261</f>
        <v>0</v>
      </c>
    </row>
    <row r="158" spans="1:4" ht="16.5" hidden="1" x14ac:dyDescent="0.3">
      <c r="A158" s="10" t="str">
        <f>基本属性!$B$24&amp;"|"&amp;基本属性!$C$24</f>
        <v>220|14</v>
      </c>
      <c r="B158" s="10" t="str">
        <f>参数调整!$J$35</f>
        <v>BOSS掉落</v>
      </c>
      <c r="C158" s="8" t="str">
        <f>材料产出!$BX$2</f>
        <v>新增材料9</v>
      </c>
      <c r="D158" s="224">
        <f>参数调整!$K$35*怪物掉落配置方案!$D4262</f>
        <v>0</v>
      </c>
    </row>
    <row r="159" spans="1:4" ht="16.5" hidden="1" x14ac:dyDescent="0.3">
      <c r="A159" s="10" t="str">
        <f>基本属性!$B$25&amp;"|"&amp;基本属性!$C$25</f>
        <v>220|15</v>
      </c>
      <c r="B159" s="10" t="str">
        <f>参数调整!$J$35</f>
        <v>BOSS掉落</v>
      </c>
      <c r="C159" s="8" t="str">
        <f>材料产出!$BX$2</f>
        <v>新增材料9</v>
      </c>
      <c r="D159" s="224">
        <f>参数调整!$K$35*怪物掉落配置方案!$D4263</f>
        <v>0</v>
      </c>
    </row>
    <row r="160" spans="1:4" ht="16.5" hidden="1" x14ac:dyDescent="0.3">
      <c r="A160" s="10" t="str">
        <f>基本属性!$B$26&amp;"|"&amp;基本属性!$C$26</f>
        <v>230|16</v>
      </c>
      <c r="B160" s="10" t="str">
        <f>参数调整!$J$35</f>
        <v>BOSS掉落</v>
      </c>
      <c r="C160" s="8" t="str">
        <f>材料产出!$BX$2</f>
        <v>新增材料9</v>
      </c>
      <c r="D160" s="224">
        <f>参数调整!$K$35*怪物掉落配置方案!$D4264</f>
        <v>0</v>
      </c>
    </row>
    <row r="161" spans="1:4" ht="16.5" hidden="1" x14ac:dyDescent="0.3">
      <c r="A161" s="10" t="str">
        <f>基本属性!$B$27&amp;"|"&amp;基本属性!$C$27</f>
        <v>230|17</v>
      </c>
      <c r="B161" s="10" t="str">
        <f>参数调整!$J$35</f>
        <v>BOSS掉落</v>
      </c>
      <c r="C161" s="8" t="str">
        <f>材料产出!$BX$2</f>
        <v>新增材料9</v>
      </c>
      <c r="D161" s="224">
        <f>参数调整!$K$35*怪物掉落配置方案!$D4265</f>
        <v>0</v>
      </c>
    </row>
    <row r="162" spans="1:4" ht="16.5" hidden="1" x14ac:dyDescent="0.3">
      <c r="A162" s="10" t="str">
        <f>基本属性!$B$28&amp;"|"&amp;基本属性!$C$28</f>
        <v>240|18</v>
      </c>
      <c r="B162" s="10" t="str">
        <f>参数调整!$J$35</f>
        <v>BOSS掉落</v>
      </c>
      <c r="C162" s="8" t="str">
        <f>材料产出!$BX$2</f>
        <v>新增材料9</v>
      </c>
      <c r="D162" s="224">
        <f>参数调整!$K$35*怪物掉落配置方案!$D4266</f>
        <v>0</v>
      </c>
    </row>
    <row r="163" spans="1:4" ht="16.5" hidden="1" x14ac:dyDescent="0.3">
      <c r="A163" s="10" t="str">
        <f>基本属性!$B$29&amp;"|"&amp;基本属性!$C$29</f>
        <v>240|19</v>
      </c>
      <c r="B163" s="10" t="str">
        <f>参数调整!$J$35</f>
        <v>BOSS掉落</v>
      </c>
      <c r="C163" s="8" t="str">
        <f>材料产出!$BX$2</f>
        <v>新增材料9</v>
      </c>
      <c r="D163" s="224">
        <f>参数调整!$K$35*怪物掉落配置方案!$D4267</f>
        <v>0</v>
      </c>
    </row>
    <row r="164" spans="1:4" ht="16.5" hidden="1" x14ac:dyDescent="0.3">
      <c r="A164" s="10" t="str">
        <f>基本属性!$B$30&amp;"|"&amp;基本属性!$C$30</f>
        <v>250|20</v>
      </c>
      <c r="B164" s="10" t="str">
        <f>参数调整!$J$35</f>
        <v>BOSS掉落</v>
      </c>
      <c r="C164" s="8" t="str">
        <f>材料产出!$BX$2</f>
        <v>新增材料9</v>
      </c>
      <c r="D164" s="224">
        <f>参数调整!$K$35*怪物掉落配置方案!$D4268</f>
        <v>0</v>
      </c>
    </row>
    <row r="165" spans="1:4" ht="16.5" hidden="1" x14ac:dyDescent="0.3">
      <c r="A165" s="10" t="str">
        <f>基本属性!$B$4&amp;"|"&amp;基本属性!$C$4</f>
        <v>35|0</v>
      </c>
      <c r="B165" s="10" t="str">
        <f>参数调整!$J$35</f>
        <v>BOSS掉落</v>
      </c>
      <c r="C165" s="8" t="str">
        <f>材料产出!$BV$2</f>
        <v>新增材料8</v>
      </c>
      <c r="D165" s="224">
        <f>参数调整!$K$35*怪物掉落配置方案!$D4269</f>
        <v>0</v>
      </c>
    </row>
    <row r="166" spans="1:4" ht="16.5" hidden="1" x14ac:dyDescent="0.3">
      <c r="A166" s="10" t="str">
        <f>基本属性!$B$5&amp;"|"&amp;基本属性!$C$5</f>
        <v>40|0</v>
      </c>
      <c r="B166" s="10" t="str">
        <f>参数调整!$J$35</f>
        <v>BOSS掉落</v>
      </c>
      <c r="C166" s="8" t="str">
        <f>材料产出!$BV$2</f>
        <v>新增材料8</v>
      </c>
      <c r="D166" s="224">
        <f>参数调整!$K$35*怪物掉落配置方案!$D4270</f>
        <v>0</v>
      </c>
    </row>
    <row r="167" spans="1:4" ht="16.5" hidden="1" x14ac:dyDescent="0.3">
      <c r="A167" s="10" t="str">
        <f>基本属性!$B$6&amp;"|"&amp;基本属性!$C$6</f>
        <v>50|0</v>
      </c>
      <c r="B167" s="10" t="str">
        <f>参数调整!$J$35</f>
        <v>BOSS掉落</v>
      </c>
      <c r="C167" s="8" t="str">
        <f>材料产出!$BV$2</f>
        <v>新增材料8</v>
      </c>
      <c r="D167" s="224">
        <f>参数调整!$K$35*怪物掉落配置方案!$D4271</f>
        <v>0</v>
      </c>
    </row>
    <row r="168" spans="1:4" ht="16.5" hidden="1" x14ac:dyDescent="0.3">
      <c r="A168" s="10" t="str">
        <f>基本属性!$B$7&amp;"|"&amp;基本属性!$C$7</f>
        <v>60|0</v>
      </c>
      <c r="B168" s="10" t="str">
        <f>参数调整!$J$35</f>
        <v>BOSS掉落</v>
      </c>
      <c r="C168" s="8" t="str">
        <f>材料产出!$BV$2</f>
        <v>新增材料8</v>
      </c>
      <c r="D168" s="224">
        <f>参数调整!$K$35*怪物掉落配置方案!$D4272</f>
        <v>0</v>
      </c>
    </row>
    <row r="169" spans="1:4" ht="16.5" hidden="1" x14ac:dyDescent="0.3">
      <c r="A169" s="10" t="str">
        <f>基本属性!$B$8&amp;"|"&amp;基本属性!$C$8</f>
        <v>65|0</v>
      </c>
      <c r="B169" s="10" t="str">
        <f>参数调整!$J$35</f>
        <v>BOSS掉落</v>
      </c>
      <c r="C169" s="8" t="str">
        <f>材料产出!$BV$2</f>
        <v>新增材料8</v>
      </c>
      <c r="D169" s="224">
        <f>参数调整!$K$35*怪物掉落配置方案!$D4273</f>
        <v>0</v>
      </c>
    </row>
    <row r="170" spans="1:4" ht="16.5" hidden="1" x14ac:dyDescent="0.3">
      <c r="A170" s="10" t="str">
        <f>基本属性!$B$9&amp;"|"&amp;基本属性!$C$9</f>
        <v>70|0</v>
      </c>
      <c r="B170" s="10" t="str">
        <f>参数调整!$J$35</f>
        <v>BOSS掉落</v>
      </c>
      <c r="C170" s="8" t="str">
        <f>材料产出!$BV$2</f>
        <v>新增材料8</v>
      </c>
      <c r="D170" s="224">
        <f>参数调整!$K$35*怪物掉落配置方案!$D4274</f>
        <v>0</v>
      </c>
    </row>
    <row r="171" spans="1:4" ht="16.5" hidden="1" x14ac:dyDescent="0.3">
      <c r="A171" s="10" t="str">
        <f>基本属性!$B$10&amp;"|"&amp;基本属性!$C$10</f>
        <v>75|0</v>
      </c>
      <c r="B171" s="10" t="str">
        <f>参数调整!$J$35</f>
        <v>BOSS掉落</v>
      </c>
      <c r="C171" s="8" t="str">
        <f>材料产出!$BV$2</f>
        <v>新增材料8</v>
      </c>
      <c r="D171" s="224">
        <f>参数调整!$K$35*怪物掉落配置方案!$D4275</f>
        <v>0</v>
      </c>
    </row>
    <row r="172" spans="1:4" ht="16.5" hidden="1" x14ac:dyDescent="0.3">
      <c r="A172" s="10" t="str">
        <f>基本属性!$B$11&amp;"|"&amp;基本属性!$C$11</f>
        <v>80|1</v>
      </c>
      <c r="B172" s="10" t="str">
        <f>参数调整!$J$35</f>
        <v>BOSS掉落</v>
      </c>
      <c r="C172" s="8" t="str">
        <f>材料产出!$BV$2</f>
        <v>新增材料8</v>
      </c>
      <c r="D172" s="224">
        <f>参数调整!$K$35*怪物掉落配置方案!$D4276</f>
        <v>0</v>
      </c>
    </row>
    <row r="173" spans="1:4" ht="16.5" hidden="1" x14ac:dyDescent="0.3">
      <c r="A173" s="10" t="str">
        <f>基本属性!$B$12&amp;"|"&amp;基本属性!$C$12</f>
        <v>90|2</v>
      </c>
      <c r="B173" s="10" t="str">
        <f>参数调整!$J$35</f>
        <v>BOSS掉落</v>
      </c>
      <c r="C173" s="8" t="str">
        <f>材料产出!$BV$2</f>
        <v>新增材料8</v>
      </c>
      <c r="D173" s="224">
        <f>参数调整!$K$35*怪物掉落配置方案!$D4277</f>
        <v>0</v>
      </c>
    </row>
    <row r="174" spans="1:4" ht="16.5" hidden="1" x14ac:dyDescent="0.3">
      <c r="A174" s="10" t="str">
        <f>基本属性!$B$13&amp;"|"&amp;基本属性!$C$13</f>
        <v>100|3</v>
      </c>
      <c r="B174" s="10" t="str">
        <f>参数调整!$J$35</f>
        <v>BOSS掉落</v>
      </c>
      <c r="C174" s="8" t="str">
        <f>材料产出!$BV$2</f>
        <v>新增材料8</v>
      </c>
      <c r="D174" s="224">
        <f>参数调整!$K$35*怪物掉落配置方案!$D4278</f>
        <v>0</v>
      </c>
    </row>
    <row r="175" spans="1:4" ht="16.5" hidden="1" x14ac:dyDescent="0.3">
      <c r="A175" s="10" t="str">
        <f>基本属性!$B$14&amp;"|"&amp;基本属性!$C$14</f>
        <v>105|4</v>
      </c>
      <c r="B175" s="10" t="str">
        <f>参数调整!$J$35</f>
        <v>BOSS掉落</v>
      </c>
      <c r="C175" s="8" t="str">
        <f>材料产出!$BV$2</f>
        <v>新增材料8</v>
      </c>
      <c r="D175" s="224">
        <f>参数调整!$K$35*怪物掉落配置方案!$D4279</f>
        <v>0</v>
      </c>
    </row>
    <row r="176" spans="1:4" ht="16.5" hidden="1" x14ac:dyDescent="0.3">
      <c r="A176" s="10" t="str">
        <f>基本属性!$B$15&amp;"|"&amp;基本属性!$C$15</f>
        <v>110|5</v>
      </c>
      <c r="B176" s="10" t="str">
        <f>参数调整!$J$35</f>
        <v>BOSS掉落</v>
      </c>
      <c r="C176" s="8" t="str">
        <f>材料产出!$BV$2</f>
        <v>新增材料8</v>
      </c>
      <c r="D176" s="224">
        <f>参数调整!$K$35*怪物掉落配置方案!$D4280</f>
        <v>0</v>
      </c>
    </row>
    <row r="177" spans="1:4" ht="16.5" hidden="1" x14ac:dyDescent="0.3">
      <c r="A177" s="10" t="str">
        <f>基本属性!$B$16&amp;"|"&amp;基本属性!$C$16</f>
        <v>120|6</v>
      </c>
      <c r="B177" s="10" t="str">
        <f>参数调整!$J$35</f>
        <v>BOSS掉落</v>
      </c>
      <c r="C177" s="8" t="str">
        <f>材料产出!$BV$2</f>
        <v>新增材料8</v>
      </c>
      <c r="D177" s="224">
        <f>参数调整!$K$35*怪物掉落配置方案!$D4281</f>
        <v>0</v>
      </c>
    </row>
    <row r="178" spans="1:4" ht="16.5" hidden="1" x14ac:dyDescent="0.3">
      <c r="A178" s="10" t="str">
        <f>基本属性!$B$17&amp;"|"&amp;基本属性!$C$17</f>
        <v>135|7</v>
      </c>
      <c r="B178" s="10" t="str">
        <f>参数调整!$J$35</f>
        <v>BOSS掉落</v>
      </c>
      <c r="C178" s="8" t="str">
        <f>材料产出!$BV$2</f>
        <v>新增材料8</v>
      </c>
      <c r="D178" s="224">
        <f>参数调整!$K$35*怪物掉落配置方案!$D4282</f>
        <v>0</v>
      </c>
    </row>
    <row r="179" spans="1:4" ht="16.5" hidden="1" x14ac:dyDescent="0.3">
      <c r="A179" s="10" t="str">
        <f>基本属性!$B$18&amp;"|"&amp;基本属性!$C$18</f>
        <v>155|8</v>
      </c>
      <c r="B179" s="10" t="str">
        <f>参数调整!$J$35</f>
        <v>BOSS掉落</v>
      </c>
      <c r="C179" s="8" t="str">
        <f>材料产出!$BV$2</f>
        <v>新增材料8</v>
      </c>
      <c r="D179" s="224">
        <f>参数调整!$K$35*怪物掉落配置方案!$D4283</f>
        <v>0</v>
      </c>
    </row>
    <row r="180" spans="1:4" ht="16.5" hidden="1" x14ac:dyDescent="0.3">
      <c r="A180" s="10" t="str">
        <f>基本属性!$B$19&amp;"|"&amp;基本属性!$C$19</f>
        <v>190|9</v>
      </c>
      <c r="B180" s="10" t="str">
        <f>参数调整!$J$35</f>
        <v>BOSS掉落</v>
      </c>
      <c r="C180" s="8" t="str">
        <f>材料产出!$BV$2</f>
        <v>新增材料8</v>
      </c>
      <c r="D180" s="224">
        <f>参数调整!$K$35*怪物掉落配置方案!$D4284</f>
        <v>0</v>
      </c>
    </row>
    <row r="181" spans="1:4" ht="16.5" hidden="1" x14ac:dyDescent="0.3">
      <c r="A181" s="10" t="str">
        <f>基本属性!$B$20&amp;"|"&amp;基本属性!$C$20</f>
        <v>200|10</v>
      </c>
      <c r="B181" s="10" t="str">
        <f>参数调整!$J$35</f>
        <v>BOSS掉落</v>
      </c>
      <c r="C181" s="8" t="str">
        <f>材料产出!$BV$2</f>
        <v>新增材料8</v>
      </c>
      <c r="D181" s="224">
        <f>参数调整!$K$35*怪物掉落配置方案!$D4285</f>
        <v>0</v>
      </c>
    </row>
    <row r="182" spans="1:4" ht="16.5" hidden="1" x14ac:dyDescent="0.3">
      <c r="A182" s="10" t="str">
        <f>基本属性!$B$21&amp;"|"&amp;基本属性!$C$21</f>
        <v>200|11</v>
      </c>
      <c r="B182" s="10" t="str">
        <f>参数调整!$J$35</f>
        <v>BOSS掉落</v>
      </c>
      <c r="C182" s="8" t="str">
        <f>材料产出!$BV$2</f>
        <v>新增材料8</v>
      </c>
      <c r="D182" s="224">
        <f>参数调整!$K$35*怪物掉落配置方案!$D4286</f>
        <v>0</v>
      </c>
    </row>
    <row r="183" spans="1:4" ht="16.5" hidden="1" x14ac:dyDescent="0.3">
      <c r="A183" s="10" t="str">
        <f>基本属性!$B$22&amp;"|"&amp;基本属性!$C$22</f>
        <v>210|12</v>
      </c>
      <c r="B183" s="10" t="str">
        <f>参数调整!$J$35</f>
        <v>BOSS掉落</v>
      </c>
      <c r="C183" s="8" t="str">
        <f>材料产出!$BV$2</f>
        <v>新增材料8</v>
      </c>
      <c r="D183" s="224">
        <f>参数调整!$K$35*怪物掉落配置方案!$D4287</f>
        <v>0</v>
      </c>
    </row>
    <row r="184" spans="1:4" ht="16.5" hidden="1" x14ac:dyDescent="0.3">
      <c r="A184" s="10" t="str">
        <f>基本属性!$B$23&amp;"|"&amp;基本属性!$C$23</f>
        <v>210|13</v>
      </c>
      <c r="B184" s="10" t="str">
        <f>参数调整!$J$35</f>
        <v>BOSS掉落</v>
      </c>
      <c r="C184" s="8" t="str">
        <f>材料产出!$BV$2</f>
        <v>新增材料8</v>
      </c>
      <c r="D184" s="224">
        <f>参数调整!$K$35*怪物掉落配置方案!$D4288</f>
        <v>0</v>
      </c>
    </row>
    <row r="185" spans="1:4" ht="16.5" hidden="1" x14ac:dyDescent="0.3">
      <c r="A185" s="10" t="str">
        <f>基本属性!$B$24&amp;"|"&amp;基本属性!$C$24</f>
        <v>220|14</v>
      </c>
      <c r="B185" s="10" t="str">
        <f>参数调整!$J$35</f>
        <v>BOSS掉落</v>
      </c>
      <c r="C185" s="8" t="str">
        <f>材料产出!$BV$2</f>
        <v>新增材料8</v>
      </c>
      <c r="D185" s="224">
        <f>参数调整!$K$35*怪物掉落配置方案!$D4289</f>
        <v>0</v>
      </c>
    </row>
    <row r="186" spans="1:4" ht="16.5" hidden="1" x14ac:dyDescent="0.3">
      <c r="A186" s="10" t="str">
        <f>基本属性!$B$25&amp;"|"&amp;基本属性!$C$25</f>
        <v>220|15</v>
      </c>
      <c r="B186" s="10" t="str">
        <f>参数调整!$J$35</f>
        <v>BOSS掉落</v>
      </c>
      <c r="C186" s="8" t="str">
        <f>材料产出!$BV$2</f>
        <v>新增材料8</v>
      </c>
      <c r="D186" s="224">
        <f>参数调整!$K$35*怪物掉落配置方案!$D4290</f>
        <v>0</v>
      </c>
    </row>
    <row r="187" spans="1:4" ht="16.5" hidden="1" x14ac:dyDescent="0.3">
      <c r="A187" s="10" t="str">
        <f>基本属性!$B$26&amp;"|"&amp;基本属性!$C$26</f>
        <v>230|16</v>
      </c>
      <c r="B187" s="10" t="str">
        <f>参数调整!$J$35</f>
        <v>BOSS掉落</v>
      </c>
      <c r="C187" s="8" t="str">
        <f>材料产出!$BV$2</f>
        <v>新增材料8</v>
      </c>
      <c r="D187" s="224">
        <f>参数调整!$K$35*怪物掉落配置方案!$D4291</f>
        <v>0</v>
      </c>
    </row>
    <row r="188" spans="1:4" ht="16.5" hidden="1" x14ac:dyDescent="0.3">
      <c r="A188" s="10" t="str">
        <f>基本属性!$B$27&amp;"|"&amp;基本属性!$C$27</f>
        <v>230|17</v>
      </c>
      <c r="B188" s="10" t="str">
        <f>参数调整!$J$35</f>
        <v>BOSS掉落</v>
      </c>
      <c r="C188" s="8" t="str">
        <f>材料产出!$BV$2</f>
        <v>新增材料8</v>
      </c>
      <c r="D188" s="224">
        <f>参数调整!$K$35*怪物掉落配置方案!$D4292</f>
        <v>0</v>
      </c>
    </row>
    <row r="189" spans="1:4" ht="16.5" hidden="1" x14ac:dyDescent="0.3">
      <c r="A189" s="10" t="str">
        <f>基本属性!$B$28&amp;"|"&amp;基本属性!$C$28</f>
        <v>240|18</v>
      </c>
      <c r="B189" s="10" t="str">
        <f>参数调整!$J$35</f>
        <v>BOSS掉落</v>
      </c>
      <c r="C189" s="8" t="str">
        <f>材料产出!$BV$2</f>
        <v>新增材料8</v>
      </c>
      <c r="D189" s="224">
        <f>参数调整!$K$35*怪物掉落配置方案!$D4293</f>
        <v>0</v>
      </c>
    </row>
    <row r="190" spans="1:4" ht="16.5" hidden="1" x14ac:dyDescent="0.3">
      <c r="A190" s="10" t="str">
        <f>基本属性!$B$29&amp;"|"&amp;基本属性!$C$29</f>
        <v>240|19</v>
      </c>
      <c r="B190" s="10" t="str">
        <f>参数调整!$J$35</f>
        <v>BOSS掉落</v>
      </c>
      <c r="C190" s="8" t="str">
        <f>材料产出!$BV$2</f>
        <v>新增材料8</v>
      </c>
      <c r="D190" s="224">
        <f>参数调整!$K$35*怪物掉落配置方案!$D4294</f>
        <v>0</v>
      </c>
    </row>
    <row r="191" spans="1:4" ht="16.5" hidden="1" x14ac:dyDescent="0.3">
      <c r="A191" s="10" t="str">
        <f>基本属性!$B$30&amp;"|"&amp;基本属性!$C$30</f>
        <v>250|20</v>
      </c>
      <c r="B191" s="10" t="str">
        <f>参数调整!$J$35</f>
        <v>BOSS掉落</v>
      </c>
      <c r="C191" s="8" t="str">
        <f>材料产出!$BV$2</f>
        <v>新增材料8</v>
      </c>
      <c r="D191" s="224">
        <f>参数调整!$K$35*怪物掉落配置方案!$D4295</f>
        <v>0</v>
      </c>
    </row>
    <row r="192" spans="1:4" ht="16.5" hidden="1" x14ac:dyDescent="0.3">
      <c r="A192" s="10" t="str">
        <f>基本属性!$B$4&amp;"|"&amp;基本属性!$C$4</f>
        <v>35|0</v>
      </c>
      <c r="B192" s="10" t="str">
        <f>参数调整!$J$35</f>
        <v>BOSS掉落</v>
      </c>
      <c r="C192" s="8" t="str">
        <f>材料产出!$BT$2</f>
        <v>新增材料7</v>
      </c>
      <c r="D192" s="224">
        <f>参数调整!$K$35*怪物掉落配置方案!$D4296</f>
        <v>0</v>
      </c>
    </row>
    <row r="193" spans="1:4" ht="16.5" hidden="1" x14ac:dyDescent="0.3">
      <c r="A193" s="10" t="str">
        <f>基本属性!$B$5&amp;"|"&amp;基本属性!$C$5</f>
        <v>40|0</v>
      </c>
      <c r="B193" s="10" t="str">
        <f>参数调整!$J$35</f>
        <v>BOSS掉落</v>
      </c>
      <c r="C193" s="8" t="str">
        <f>材料产出!$BT$2</f>
        <v>新增材料7</v>
      </c>
      <c r="D193" s="224">
        <f>参数调整!$K$35*怪物掉落配置方案!$D4297</f>
        <v>0</v>
      </c>
    </row>
    <row r="194" spans="1:4" ht="16.5" hidden="1" x14ac:dyDescent="0.3">
      <c r="A194" s="10" t="str">
        <f>基本属性!$B$6&amp;"|"&amp;基本属性!$C$6</f>
        <v>50|0</v>
      </c>
      <c r="B194" s="10" t="str">
        <f>参数调整!$J$35</f>
        <v>BOSS掉落</v>
      </c>
      <c r="C194" s="8" t="str">
        <f>材料产出!$BT$2</f>
        <v>新增材料7</v>
      </c>
      <c r="D194" s="224">
        <f>参数调整!$K$35*怪物掉落配置方案!$D4298</f>
        <v>0</v>
      </c>
    </row>
    <row r="195" spans="1:4" ht="16.5" hidden="1" x14ac:dyDescent="0.3">
      <c r="A195" s="10" t="str">
        <f>基本属性!$B$7&amp;"|"&amp;基本属性!$C$7</f>
        <v>60|0</v>
      </c>
      <c r="B195" s="10" t="str">
        <f>参数调整!$J$35</f>
        <v>BOSS掉落</v>
      </c>
      <c r="C195" s="8" t="str">
        <f>材料产出!$BT$2</f>
        <v>新增材料7</v>
      </c>
      <c r="D195" s="224">
        <f>参数调整!$K$35*怪物掉落配置方案!$D4299</f>
        <v>0</v>
      </c>
    </row>
    <row r="196" spans="1:4" ht="16.5" hidden="1" x14ac:dyDescent="0.3">
      <c r="A196" s="10" t="str">
        <f>基本属性!$B$8&amp;"|"&amp;基本属性!$C$8</f>
        <v>65|0</v>
      </c>
      <c r="B196" s="10" t="str">
        <f>参数调整!$J$35</f>
        <v>BOSS掉落</v>
      </c>
      <c r="C196" s="8" t="str">
        <f>材料产出!$BT$2</f>
        <v>新增材料7</v>
      </c>
      <c r="D196" s="224">
        <f>参数调整!$K$35*怪物掉落配置方案!$D4300</f>
        <v>0</v>
      </c>
    </row>
    <row r="197" spans="1:4" ht="16.5" hidden="1" x14ac:dyDescent="0.3">
      <c r="A197" s="10" t="str">
        <f>基本属性!$B$9&amp;"|"&amp;基本属性!$C$9</f>
        <v>70|0</v>
      </c>
      <c r="B197" s="10" t="str">
        <f>参数调整!$J$35</f>
        <v>BOSS掉落</v>
      </c>
      <c r="C197" s="8" t="str">
        <f>材料产出!$BT$2</f>
        <v>新增材料7</v>
      </c>
      <c r="D197" s="224">
        <f>参数调整!$K$35*怪物掉落配置方案!$D4301</f>
        <v>0</v>
      </c>
    </row>
    <row r="198" spans="1:4" ht="16.5" hidden="1" x14ac:dyDescent="0.3">
      <c r="A198" s="10" t="str">
        <f>基本属性!$B$10&amp;"|"&amp;基本属性!$C$10</f>
        <v>75|0</v>
      </c>
      <c r="B198" s="10" t="str">
        <f>参数调整!$J$35</f>
        <v>BOSS掉落</v>
      </c>
      <c r="C198" s="8" t="str">
        <f>材料产出!$BT$2</f>
        <v>新增材料7</v>
      </c>
      <c r="D198" s="224">
        <f>参数调整!$K$35*怪物掉落配置方案!$D4302</f>
        <v>0</v>
      </c>
    </row>
    <row r="199" spans="1:4" ht="16.5" hidden="1" x14ac:dyDescent="0.3">
      <c r="A199" s="10" t="str">
        <f>基本属性!$B$11&amp;"|"&amp;基本属性!$C$11</f>
        <v>80|1</v>
      </c>
      <c r="B199" s="10" t="str">
        <f>参数调整!$J$35</f>
        <v>BOSS掉落</v>
      </c>
      <c r="C199" s="8" t="str">
        <f>材料产出!$BT$2</f>
        <v>新增材料7</v>
      </c>
      <c r="D199" s="224">
        <f>参数调整!$K$35*怪物掉落配置方案!$D4303</f>
        <v>0</v>
      </c>
    </row>
    <row r="200" spans="1:4" ht="16.5" hidden="1" x14ac:dyDescent="0.3">
      <c r="A200" s="10" t="str">
        <f>基本属性!$B$12&amp;"|"&amp;基本属性!$C$12</f>
        <v>90|2</v>
      </c>
      <c r="B200" s="10" t="str">
        <f>参数调整!$J$35</f>
        <v>BOSS掉落</v>
      </c>
      <c r="C200" s="8" t="str">
        <f>材料产出!$BT$2</f>
        <v>新增材料7</v>
      </c>
      <c r="D200" s="224">
        <f>参数调整!$K$35*怪物掉落配置方案!$D4304</f>
        <v>0</v>
      </c>
    </row>
    <row r="201" spans="1:4" ht="16.5" hidden="1" x14ac:dyDescent="0.3">
      <c r="A201" s="10" t="str">
        <f>基本属性!$B$13&amp;"|"&amp;基本属性!$C$13</f>
        <v>100|3</v>
      </c>
      <c r="B201" s="10" t="str">
        <f>参数调整!$J$35</f>
        <v>BOSS掉落</v>
      </c>
      <c r="C201" s="8" t="str">
        <f>材料产出!$BT$2</f>
        <v>新增材料7</v>
      </c>
      <c r="D201" s="224">
        <f>参数调整!$K$35*怪物掉落配置方案!$D4305</f>
        <v>0</v>
      </c>
    </row>
    <row r="202" spans="1:4" ht="16.5" hidden="1" x14ac:dyDescent="0.3">
      <c r="A202" s="10" t="str">
        <f>基本属性!$B$14&amp;"|"&amp;基本属性!$C$14</f>
        <v>105|4</v>
      </c>
      <c r="B202" s="10" t="str">
        <f>参数调整!$J$35</f>
        <v>BOSS掉落</v>
      </c>
      <c r="C202" s="8" t="str">
        <f>材料产出!$BT$2</f>
        <v>新增材料7</v>
      </c>
      <c r="D202" s="224">
        <f>参数调整!$K$35*怪物掉落配置方案!$D4306</f>
        <v>0</v>
      </c>
    </row>
    <row r="203" spans="1:4" ht="16.5" hidden="1" x14ac:dyDescent="0.3">
      <c r="A203" s="10" t="str">
        <f>基本属性!$B$15&amp;"|"&amp;基本属性!$C$15</f>
        <v>110|5</v>
      </c>
      <c r="B203" s="10" t="str">
        <f>参数调整!$J$35</f>
        <v>BOSS掉落</v>
      </c>
      <c r="C203" s="8" t="str">
        <f>材料产出!$BT$2</f>
        <v>新增材料7</v>
      </c>
      <c r="D203" s="224">
        <f>参数调整!$K$35*怪物掉落配置方案!$D4307</f>
        <v>0</v>
      </c>
    </row>
    <row r="204" spans="1:4" ht="16.5" hidden="1" x14ac:dyDescent="0.3">
      <c r="A204" s="10" t="str">
        <f>基本属性!$B$16&amp;"|"&amp;基本属性!$C$16</f>
        <v>120|6</v>
      </c>
      <c r="B204" s="10" t="str">
        <f>参数调整!$J$35</f>
        <v>BOSS掉落</v>
      </c>
      <c r="C204" s="8" t="str">
        <f>材料产出!$BT$2</f>
        <v>新增材料7</v>
      </c>
      <c r="D204" s="224">
        <f>参数调整!$K$35*怪物掉落配置方案!$D4308</f>
        <v>0</v>
      </c>
    </row>
    <row r="205" spans="1:4" ht="16.5" hidden="1" x14ac:dyDescent="0.3">
      <c r="A205" s="10" t="str">
        <f>基本属性!$B$17&amp;"|"&amp;基本属性!$C$17</f>
        <v>135|7</v>
      </c>
      <c r="B205" s="10" t="str">
        <f>参数调整!$J$35</f>
        <v>BOSS掉落</v>
      </c>
      <c r="C205" s="8" t="str">
        <f>材料产出!$BT$2</f>
        <v>新增材料7</v>
      </c>
      <c r="D205" s="224">
        <f>参数调整!$K$35*怪物掉落配置方案!$D4309</f>
        <v>0</v>
      </c>
    </row>
    <row r="206" spans="1:4" ht="16.5" hidden="1" x14ac:dyDescent="0.3">
      <c r="A206" s="10" t="str">
        <f>基本属性!$B$18&amp;"|"&amp;基本属性!$C$18</f>
        <v>155|8</v>
      </c>
      <c r="B206" s="10" t="str">
        <f>参数调整!$J$35</f>
        <v>BOSS掉落</v>
      </c>
      <c r="C206" s="8" t="str">
        <f>材料产出!$BT$2</f>
        <v>新增材料7</v>
      </c>
      <c r="D206" s="224">
        <f>参数调整!$K$35*怪物掉落配置方案!$D4310</f>
        <v>0</v>
      </c>
    </row>
    <row r="207" spans="1:4" ht="16.5" hidden="1" x14ac:dyDescent="0.3">
      <c r="A207" s="10" t="str">
        <f>基本属性!$B$19&amp;"|"&amp;基本属性!$C$19</f>
        <v>190|9</v>
      </c>
      <c r="B207" s="10" t="str">
        <f>参数调整!$J$35</f>
        <v>BOSS掉落</v>
      </c>
      <c r="C207" s="8" t="str">
        <f>材料产出!$BT$2</f>
        <v>新增材料7</v>
      </c>
      <c r="D207" s="224">
        <f>参数调整!$K$35*怪物掉落配置方案!$D4311</f>
        <v>0</v>
      </c>
    </row>
    <row r="208" spans="1:4" ht="16.5" hidden="1" x14ac:dyDescent="0.3">
      <c r="A208" s="10" t="str">
        <f>基本属性!$B$20&amp;"|"&amp;基本属性!$C$20</f>
        <v>200|10</v>
      </c>
      <c r="B208" s="10" t="str">
        <f>参数调整!$J$35</f>
        <v>BOSS掉落</v>
      </c>
      <c r="C208" s="8" t="str">
        <f>材料产出!$BT$2</f>
        <v>新增材料7</v>
      </c>
      <c r="D208" s="224">
        <f>参数调整!$K$35*怪物掉落配置方案!$D4312</f>
        <v>0</v>
      </c>
    </row>
    <row r="209" spans="1:4" ht="16.5" hidden="1" x14ac:dyDescent="0.3">
      <c r="A209" s="10" t="str">
        <f>基本属性!$B$21&amp;"|"&amp;基本属性!$C$21</f>
        <v>200|11</v>
      </c>
      <c r="B209" s="10" t="str">
        <f>参数调整!$J$35</f>
        <v>BOSS掉落</v>
      </c>
      <c r="C209" s="8" t="str">
        <f>材料产出!$BT$2</f>
        <v>新增材料7</v>
      </c>
      <c r="D209" s="224">
        <f>参数调整!$K$35*怪物掉落配置方案!$D4313</f>
        <v>0</v>
      </c>
    </row>
    <row r="210" spans="1:4" ht="16.5" hidden="1" x14ac:dyDescent="0.3">
      <c r="A210" s="10" t="str">
        <f>基本属性!$B$22&amp;"|"&amp;基本属性!$C$22</f>
        <v>210|12</v>
      </c>
      <c r="B210" s="10" t="str">
        <f>参数调整!$J$35</f>
        <v>BOSS掉落</v>
      </c>
      <c r="C210" s="8" t="str">
        <f>材料产出!$BT$2</f>
        <v>新增材料7</v>
      </c>
      <c r="D210" s="224">
        <f>参数调整!$K$35*怪物掉落配置方案!$D4314</f>
        <v>0</v>
      </c>
    </row>
    <row r="211" spans="1:4" ht="16.5" hidden="1" x14ac:dyDescent="0.3">
      <c r="A211" s="10" t="str">
        <f>基本属性!$B$23&amp;"|"&amp;基本属性!$C$23</f>
        <v>210|13</v>
      </c>
      <c r="B211" s="10" t="str">
        <f>参数调整!$J$35</f>
        <v>BOSS掉落</v>
      </c>
      <c r="C211" s="8" t="str">
        <f>材料产出!$BT$2</f>
        <v>新增材料7</v>
      </c>
      <c r="D211" s="224">
        <f>参数调整!$K$35*怪物掉落配置方案!$D4315</f>
        <v>0</v>
      </c>
    </row>
    <row r="212" spans="1:4" ht="16.5" hidden="1" x14ac:dyDescent="0.3">
      <c r="A212" s="10" t="str">
        <f>基本属性!$B$24&amp;"|"&amp;基本属性!$C$24</f>
        <v>220|14</v>
      </c>
      <c r="B212" s="10" t="str">
        <f>参数调整!$J$35</f>
        <v>BOSS掉落</v>
      </c>
      <c r="C212" s="8" t="str">
        <f>材料产出!$BT$2</f>
        <v>新增材料7</v>
      </c>
      <c r="D212" s="224">
        <f>参数调整!$K$35*怪物掉落配置方案!$D4316</f>
        <v>0</v>
      </c>
    </row>
    <row r="213" spans="1:4" ht="16.5" hidden="1" x14ac:dyDescent="0.3">
      <c r="A213" s="10" t="str">
        <f>基本属性!$B$25&amp;"|"&amp;基本属性!$C$25</f>
        <v>220|15</v>
      </c>
      <c r="B213" s="10" t="str">
        <f>参数调整!$J$35</f>
        <v>BOSS掉落</v>
      </c>
      <c r="C213" s="8" t="str">
        <f>材料产出!$BT$2</f>
        <v>新增材料7</v>
      </c>
      <c r="D213" s="224">
        <f>参数调整!$K$35*怪物掉落配置方案!$D4317</f>
        <v>0</v>
      </c>
    </row>
    <row r="214" spans="1:4" ht="16.5" hidden="1" x14ac:dyDescent="0.3">
      <c r="A214" s="10" t="str">
        <f>基本属性!$B$26&amp;"|"&amp;基本属性!$C$26</f>
        <v>230|16</v>
      </c>
      <c r="B214" s="10" t="str">
        <f>参数调整!$J$35</f>
        <v>BOSS掉落</v>
      </c>
      <c r="C214" s="8" t="str">
        <f>材料产出!$BT$2</f>
        <v>新增材料7</v>
      </c>
      <c r="D214" s="224">
        <f>参数调整!$K$35*怪物掉落配置方案!$D4318</f>
        <v>0</v>
      </c>
    </row>
    <row r="215" spans="1:4" ht="16.5" hidden="1" x14ac:dyDescent="0.3">
      <c r="A215" s="10" t="str">
        <f>基本属性!$B$27&amp;"|"&amp;基本属性!$C$27</f>
        <v>230|17</v>
      </c>
      <c r="B215" s="10" t="str">
        <f>参数调整!$J$35</f>
        <v>BOSS掉落</v>
      </c>
      <c r="C215" s="8" t="str">
        <f>材料产出!$BT$2</f>
        <v>新增材料7</v>
      </c>
      <c r="D215" s="224">
        <f>参数调整!$K$35*怪物掉落配置方案!$D4319</f>
        <v>0</v>
      </c>
    </row>
    <row r="216" spans="1:4" ht="16.5" hidden="1" x14ac:dyDescent="0.3">
      <c r="A216" s="10" t="str">
        <f>基本属性!$B$28&amp;"|"&amp;基本属性!$C$28</f>
        <v>240|18</v>
      </c>
      <c r="B216" s="10" t="str">
        <f>参数调整!$J$35</f>
        <v>BOSS掉落</v>
      </c>
      <c r="C216" s="8" t="str">
        <f>材料产出!$BT$2</f>
        <v>新增材料7</v>
      </c>
      <c r="D216" s="224">
        <f>参数调整!$K$35*怪物掉落配置方案!$D4320</f>
        <v>0</v>
      </c>
    </row>
    <row r="217" spans="1:4" ht="16.5" hidden="1" x14ac:dyDescent="0.3">
      <c r="A217" s="10" t="str">
        <f>基本属性!$B$29&amp;"|"&amp;基本属性!$C$29</f>
        <v>240|19</v>
      </c>
      <c r="B217" s="10" t="str">
        <f>参数调整!$J$35</f>
        <v>BOSS掉落</v>
      </c>
      <c r="C217" s="8" t="str">
        <f>材料产出!$BT$2</f>
        <v>新增材料7</v>
      </c>
      <c r="D217" s="224">
        <f>参数调整!$K$35*怪物掉落配置方案!$D4321</f>
        <v>0</v>
      </c>
    </row>
    <row r="218" spans="1:4" ht="16.5" hidden="1" x14ac:dyDescent="0.3">
      <c r="A218" s="10" t="str">
        <f>基本属性!$B$30&amp;"|"&amp;基本属性!$C$30</f>
        <v>250|20</v>
      </c>
      <c r="B218" s="10" t="str">
        <f>参数调整!$J$35</f>
        <v>BOSS掉落</v>
      </c>
      <c r="C218" s="8" t="str">
        <f>材料产出!$BT$2</f>
        <v>新增材料7</v>
      </c>
      <c r="D218" s="224">
        <f>参数调整!$K$35*怪物掉落配置方案!$D4322</f>
        <v>0</v>
      </c>
    </row>
    <row r="219" spans="1:4" ht="16.5" hidden="1" x14ac:dyDescent="0.3">
      <c r="A219" s="10" t="str">
        <f>基本属性!$B$4&amp;"|"&amp;基本属性!$C$4</f>
        <v>35|0</v>
      </c>
      <c r="B219" s="10" t="str">
        <f>参数调整!$J$35</f>
        <v>BOSS掉落</v>
      </c>
      <c r="C219" s="8" t="str">
        <f>材料产出!$BR$2</f>
        <v>新增材料6</v>
      </c>
      <c r="D219" s="224">
        <f>参数调整!$K$35*怪物掉落配置方案!$D4323</f>
        <v>0</v>
      </c>
    </row>
    <row r="220" spans="1:4" ht="16.5" hidden="1" x14ac:dyDescent="0.3">
      <c r="A220" s="10" t="str">
        <f>基本属性!$B$5&amp;"|"&amp;基本属性!$C$5</f>
        <v>40|0</v>
      </c>
      <c r="B220" s="10" t="str">
        <f>参数调整!$J$35</f>
        <v>BOSS掉落</v>
      </c>
      <c r="C220" s="8" t="str">
        <f>材料产出!$BR$2</f>
        <v>新增材料6</v>
      </c>
      <c r="D220" s="224">
        <f>参数调整!$K$35*怪物掉落配置方案!$D4324</f>
        <v>0</v>
      </c>
    </row>
    <row r="221" spans="1:4" ht="16.5" hidden="1" x14ac:dyDescent="0.3">
      <c r="A221" s="10" t="str">
        <f>基本属性!$B$6&amp;"|"&amp;基本属性!$C$6</f>
        <v>50|0</v>
      </c>
      <c r="B221" s="10" t="str">
        <f>参数调整!$J$35</f>
        <v>BOSS掉落</v>
      </c>
      <c r="C221" s="8" t="str">
        <f>材料产出!$BR$2</f>
        <v>新增材料6</v>
      </c>
      <c r="D221" s="224">
        <f>参数调整!$K$35*怪物掉落配置方案!$D4325</f>
        <v>0</v>
      </c>
    </row>
    <row r="222" spans="1:4" ht="16.5" hidden="1" x14ac:dyDescent="0.3">
      <c r="A222" s="10" t="str">
        <f>基本属性!$B$7&amp;"|"&amp;基本属性!$C$7</f>
        <v>60|0</v>
      </c>
      <c r="B222" s="10" t="str">
        <f>参数调整!$J$35</f>
        <v>BOSS掉落</v>
      </c>
      <c r="C222" s="8" t="str">
        <f>材料产出!$BR$2</f>
        <v>新增材料6</v>
      </c>
      <c r="D222" s="224">
        <f>参数调整!$K$35*怪物掉落配置方案!$D4326</f>
        <v>0</v>
      </c>
    </row>
    <row r="223" spans="1:4" ht="16.5" hidden="1" x14ac:dyDescent="0.3">
      <c r="A223" s="10" t="str">
        <f>基本属性!$B$8&amp;"|"&amp;基本属性!$C$8</f>
        <v>65|0</v>
      </c>
      <c r="B223" s="10" t="str">
        <f>参数调整!$J$35</f>
        <v>BOSS掉落</v>
      </c>
      <c r="C223" s="8" t="str">
        <f>材料产出!$BR$2</f>
        <v>新增材料6</v>
      </c>
      <c r="D223" s="224">
        <f>参数调整!$K$35*怪物掉落配置方案!$D4327</f>
        <v>0</v>
      </c>
    </row>
    <row r="224" spans="1:4" ht="16.5" hidden="1" x14ac:dyDescent="0.3">
      <c r="A224" s="10" t="str">
        <f>基本属性!$B$9&amp;"|"&amp;基本属性!$C$9</f>
        <v>70|0</v>
      </c>
      <c r="B224" s="10" t="str">
        <f>参数调整!$J$35</f>
        <v>BOSS掉落</v>
      </c>
      <c r="C224" s="8" t="str">
        <f>材料产出!$BR$2</f>
        <v>新增材料6</v>
      </c>
      <c r="D224" s="224">
        <f>参数调整!$K$35*怪物掉落配置方案!$D4328</f>
        <v>0</v>
      </c>
    </row>
    <row r="225" spans="1:4" ht="16.5" hidden="1" x14ac:dyDescent="0.3">
      <c r="A225" s="10" t="str">
        <f>基本属性!$B$10&amp;"|"&amp;基本属性!$C$10</f>
        <v>75|0</v>
      </c>
      <c r="B225" s="10" t="str">
        <f>参数调整!$J$35</f>
        <v>BOSS掉落</v>
      </c>
      <c r="C225" s="8" t="str">
        <f>材料产出!$BR$2</f>
        <v>新增材料6</v>
      </c>
      <c r="D225" s="224">
        <f>参数调整!$K$35*怪物掉落配置方案!$D4329</f>
        <v>0</v>
      </c>
    </row>
    <row r="226" spans="1:4" ht="16.5" hidden="1" x14ac:dyDescent="0.3">
      <c r="A226" s="10" t="str">
        <f>基本属性!$B$11&amp;"|"&amp;基本属性!$C$11</f>
        <v>80|1</v>
      </c>
      <c r="B226" s="10" t="str">
        <f>参数调整!$J$35</f>
        <v>BOSS掉落</v>
      </c>
      <c r="C226" s="8" t="str">
        <f>材料产出!$BR$2</f>
        <v>新增材料6</v>
      </c>
      <c r="D226" s="224">
        <f>参数调整!$K$35*怪物掉落配置方案!$D4330</f>
        <v>0</v>
      </c>
    </row>
    <row r="227" spans="1:4" ht="16.5" hidden="1" x14ac:dyDescent="0.3">
      <c r="A227" s="10" t="str">
        <f>基本属性!$B$12&amp;"|"&amp;基本属性!$C$12</f>
        <v>90|2</v>
      </c>
      <c r="B227" s="10" t="str">
        <f>参数调整!$J$35</f>
        <v>BOSS掉落</v>
      </c>
      <c r="C227" s="8" t="str">
        <f>材料产出!$BR$2</f>
        <v>新增材料6</v>
      </c>
      <c r="D227" s="224">
        <f>参数调整!$K$35*怪物掉落配置方案!$D4331</f>
        <v>0</v>
      </c>
    </row>
    <row r="228" spans="1:4" ht="16.5" hidden="1" x14ac:dyDescent="0.3">
      <c r="A228" s="10" t="str">
        <f>基本属性!$B$13&amp;"|"&amp;基本属性!$C$13</f>
        <v>100|3</v>
      </c>
      <c r="B228" s="10" t="str">
        <f>参数调整!$J$35</f>
        <v>BOSS掉落</v>
      </c>
      <c r="C228" s="8" t="str">
        <f>材料产出!$BR$2</f>
        <v>新增材料6</v>
      </c>
      <c r="D228" s="224">
        <f>参数调整!$K$35*怪物掉落配置方案!$D4332</f>
        <v>0</v>
      </c>
    </row>
    <row r="229" spans="1:4" ht="16.5" hidden="1" x14ac:dyDescent="0.3">
      <c r="A229" s="10" t="str">
        <f>基本属性!$B$14&amp;"|"&amp;基本属性!$C$14</f>
        <v>105|4</v>
      </c>
      <c r="B229" s="10" t="str">
        <f>参数调整!$J$35</f>
        <v>BOSS掉落</v>
      </c>
      <c r="C229" s="8" t="str">
        <f>材料产出!$BR$2</f>
        <v>新增材料6</v>
      </c>
      <c r="D229" s="224">
        <f>参数调整!$K$35*怪物掉落配置方案!$D4333</f>
        <v>0</v>
      </c>
    </row>
    <row r="230" spans="1:4" ht="16.5" hidden="1" x14ac:dyDescent="0.3">
      <c r="A230" s="10" t="str">
        <f>基本属性!$B$15&amp;"|"&amp;基本属性!$C$15</f>
        <v>110|5</v>
      </c>
      <c r="B230" s="10" t="str">
        <f>参数调整!$J$35</f>
        <v>BOSS掉落</v>
      </c>
      <c r="C230" s="8" t="str">
        <f>材料产出!$BR$2</f>
        <v>新增材料6</v>
      </c>
      <c r="D230" s="224">
        <f>参数调整!$K$35*怪物掉落配置方案!$D4334</f>
        <v>0</v>
      </c>
    </row>
    <row r="231" spans="1:4" ht="16.5" hidden="1" x14ac:dyDescent="0.3">
      <c r="A231" s="10" t="str">
        <f>基本属性!$B$16&amp;"|"&amp;基本属性!$C$16</f>
        <v>120|6</v>
      </c>
      <c r="B231" s="10" t="str">
        <f>参数调整!$J$35</f>
        <v>BOSS掉落</v>
      </c>
      <c r="C231" s="8" t="str">
        <f>材料产出!$BR$2</f>
        <v>新增材料6</v>
      </c>
      <c r="D231" s="224">
        <f>参数调整!$K$35*怪物掉落配置方案!$D4335</f>
        <v>0</v>
      </c>
    </row>
    <row r="232" spans="1:4" ht="16.5" hidden="1" x14ac:dyDescent="0.3">
      <c r="A232" s="10" t="str">
        <f>基本属性!$B$17&amp;"|"&amp;基本属性!$C$17</f>
        <v>135|7</v>
      </c>
      <c r="B232" s="10" t="str">
        <f>参数调整!$J$35</f>
        <v>BOSS掉落</v>
      </c>
      <c r="C232" s="8" t="str">
        <f>材料产出!$BR$2</f>
        <v>新增材料6</v>
      </c>
      <c r="D232" s="224">
        <f>参数调整!$K$35*怪物掉落配置方案!$D4336</f>
        <v>0</v>
      </c>
    </row>
    <row r="233" spans="1:4" ht="16.5" hidden="1" x14ac:dyDescent="0.3">
      <c r="A233" s="10" t="str">
        <f>基本属性!$B$18&amp;"|"&amp;基本属性!$C$18</f>
        <v>155|8</v>
      </c>
      <c r="B233" s="10" t="str">
        <f>参数调整!$J$35</f>
        <v>BOSS掉落</v>
      </c>
      <c r="C233" s="8" t="str">
        <f>材料产出!$BR$2</f>
        <v>新增材料6</v>
      </c>
      <c r="D233" s="224">
        <f>参数调整!$K$35*怪物掉落配置方案!$D4337</f>
        <v>0</v>
      </c>
    </row>
    <row r="234" spans="1:4" ht="16.5" hidden="1" x14ac:dyDescent="0.3">
      <c r="A234" s="10" t="str">
        <f>基本属性!$B$19&amp;"|"&amp;基本属性!$C$19</f>
        <v>190|9</v>
      </c>
      <c r="B234" s="10" t="str">
        <f>参数调整!$J$35</f>
        <v>BOSS掉落</v>
      </c>
      <c r="C234" s="8" t="str">
        <f>材料产出!$BR$2</f>
        <v>新增材料6</v>
      </c>
      <c r="D234" s="224">
        <f>参数调整!$K$35*怪物掉落配置方案!$D4338</f>
        <v>0</v>
      </c>
    </row>
    <row r="235" spans="1:4" ht="16.5" hidden="1" x14ac:dyDescent="0.3">
      <c r="A235" s="10" t="str">
        <f>基本属性!$B$20&amp;"|"&amp;基本属性!$C$20</f>
        <v>200|10</v>
      </c>
      <c r="B235" s="10" t="str">
        <f>参数调整!$J$35</f>
        <v>BOSS掉落</v>
      </c>
      <c r="C235" s="8" t="str">
        <f>材料产出!$BR$2</f>
        <v>新增材料6</v>
      </c>
      <c r="D235" s="224">
        <f>参数调整!$K$35*怪物掉落配置方案!$D4339</f>
        <v>0</v>
      </c>
    </row>
    <row r="236" spans="1:4" ht="16.5" hidden="1" x14ac:dyDescent="0.3">
      <c r="A236" s="10" t="str">
        <f>基本属性!$B$21&amp;"|"&amp;基本属性!$C$21</f>
        <v>200|11</v>
      </c>
      <c r="B236" s="10" t="str">
        <f>参数调整!$J$35</f>
        <v>BOSS掉落</v>
      </c>
      <c r="C236" s="8" t="str">
        <f>材料产出!$BR$2</f>
        <v>新增材料6</v>
      </c>
      <c r="D236" s="224">
        <f>参数调整!$K$35*怪物掉落配置方案!$D4340</f>
        <v>0</v>
      </c>
    </row>
    <row r="237" spans="1:4" ht="16.5" hidden="1" x14ac:dyDescent="0.3">
      <c r="A237" s="10" t="str">
        <f>基本属性!$B$22&amp;"|"&amp;基本属性!$C$22</f>
        <v>210|12</v>
      </c>
      <c r="B237" s="10" t="str">
        <f>参数调整!$J$35</f>
        <v>BOSS掉落</v>
      </c>
      <c r="C237" s="8" t="str">
        <f>材料产出!$BR$2</f>
        <v>新增材料6</v>
      </c>
      <c r="D237" s="224">
        <f>参数调整!$K$35*怪物掉落配置方案!$D4341</f>
        <v>0</v>
      </c>
    </row>
    <row r="238" spans="1:4" ht="16.5" hidden="1" x14ac:dyDescent="0.3">
      <c r="A238" s="10" t="str">
        <f>基本属性!$B$23&amp;"|"&amp;基本属性!$C$23</f>
        <v>210|13</v>
      </c>
      <c r="B238" s="10" t="str">
        <f>参数调整!$J$35</f>
        <v>BOSS掉落</v>
      </c>
      <c r="C238" s="8" t="str">
        <f>材料产出!$BR$2</f>
        <v>新增材料6</v>
      </c>
      <c r="D238" s="224">
        <f>参数调整!$K$35*怪物掉落配置方案!$D4342</f>
        <v>0</v>
      </c>
    </row>
    <row r="239" spans="1:4" ht="16.5" hidden="1" x14ac:dyDescent="0.3">
      <c r="A239" s="10" t="str">
        <f>基本属性!$B$24&amp;"|"&amp;基本属性!$C$24</f>
        <v>220|14</v>
      </c>
      <c r="B239" s="10" t="str">
        <f>参数调整!$J$35</f>
        <v>BOSS掉落</v>
      </c>
      <c r="C239" s="8" t="str">
        <f>材料产出!$BR$2</f>
        <v>新增材料6</v>
      </c>
      <c r="D239" s="224">
        <f>参数调整!$K$35*怪物掉落配置方案!$D4343</f>
        <v>0</v>
      </c>
    </row>
    <row r="240" spans="1:4" ht="16.5" hidden="1" x14ac:dyDescent="0.3">
      <c r="A240" s="10" t="str">
        <f>基本属性!$B$25&amp;"|"&amp;基本属性!$C$25</f>
        <v>220|15</v>
      </c>
      <c r="B240" s="10" t="str">
        <f>参数调整!$J$35</f>
        <v>BOSS掉落</v>
      </c>
      <c r="C240" s="8" t="str">
        <f>材料产出!$BR$2</f>
        <v>新增材料6</v>
      </c>
      <c r="D240" s="224">
        <f>参数调整!$K$35*怪物掉落配置方案!$D4344</f>
        <v>0</v>
      </c>
    </row>
    <row r="241" spans="1:4" ht="16.5" hidden="1" x14ac:dyDescent="0.3">
      <c r="A241" s="10" t="str">
        <f>基本属性!$B$26&amp;"|"&amp;基本属性!$C$26</f>
        <v>230|16</v>
      </c>
      <c r="B241" s="10" t="str">
        <f>参数调整!$J$35</f>
        <v>BOSS掉落</v>
      </c>
      <c r="C241" s="8" t="str">
        <f>材料产出!$BR$2</f>
        <v>新增材料6</v>
      </c>
      <c r="D241" s="224">
        <f>参数调整!$K$35*怪物掉落配置方案!$D4345</f>
        <v>0</v>
      </c>
    </row>
    <row r="242" spans="1:4" ht="16.5" hidden="1" x14ac:dyDescent="0.3">
      <c r="A242" s="10" t="str">
        <f>基本属性!$B$27&amp;"|"&amp;基本属性!$C$27</f>
        <v>230|17</v>
      </c>
      <c r="B242" s="10" t="str">
        <f>参数调整!$J$35</f>
        <v>BOSS掉落</v>
      </c>
      <c r="C242" s="8" t="str">
        <f>材料产出!$BR$2</f>
        <v>新增材料6</v>
      </c>
      <c r="D242" s="224">
        <f>参数调整!$K$35*怪物掉落配置方案!$D4346</f>
        <v>0</v>
      </c>
    </row>
    <row r="243" spans="1:4" ht="16.5" hidden="1" x14ac:dyDescent="0.3">
      <c r="A243" s="10" t="str">
        <f>基本属性!$B$28&amp;"|"&amp;基本属性!$C$28</f>
        <v>240|18</v>
      </c>
      <c r="B243" s="10" t="str">
        <f>参数调整!$J$35</f>
        <v>BOSS掉落</v>
      </c>
      <c r="C243" s="8" t="str">
        <f>材料产出!$BR$2</f>
        <v>新增材料6</v>
      </c>
      <c r="D243" s="224">
        <f>参数调整!$K$35*怪物掉落配置方案!$D4347</f>
        <v>0</v>
      </c>
    </row>
    <row r="244" spans="1:4" ht="16.5" hidden="1" x14ac:dyDescent="0.3">
      <c r="A244" s="10" t="str">
        <f>基本属性!$B$29&amp;"|"&amp;基本属性!$C$29</f>
        <v>240|19</v>
      </c>
      <c r="B244" s="10" t="str">
        <f>参数调整!$J$35</f>
        <v>BOSS掉落</v>
      </c>
      <c r="C244" s="8" t="str">
        <f>材料产出!$BR$2</f>
        <v>新增材料6</v>
      </c>
      <c r="D244" s="224">
        <f>参数调整!$K$35*怪物掉落配置方案!$D4348</f>
        <v>0</v>
      </c>
    </row>
    <row r="245" spans="1:4" ht="16.5" hidden="1" x14ac:dyDescent="0.3">
      <c r="A245" s="10" t="str">
        <f>基本属性!$B$30&amp;"|"&amp;基本属性!$C$30</f>
        <v>250|20</v>
      </c>
      <c r="B245" s="10" t="str">
        <f>参数调整!$J$35</f>
        <v>BOSS掉落</v>
      </c>
      <c r="C245" s="8" t="str">
        <f>材料产出!$BR$2</f>
        <v>新增材料6</v>
      </c>
      <c r="D245" s="224">
        <f>参数调整!$K$35*怪物掉落配置方案!$D4349</f>
        <v>0</v>
      </c>
    </row>
    <row r="246" spans="1:4" ht="16.5" hidden="1" x14ac:dyDescent="0.3">
      <c r="A246" s="10" t="str">
        <f>基本属性!$B$4&amp;"|"&amp;基本属性!$C$4</f>
        <v>35|0</v>
      </c>
      <c r="B246" s="10" t="str">
        <f>参数调整!$J$35</f>
        <v>BOSS掉落</v>
      </c>
      <c r="C246" s="8" t="str">
        <f>材料产出!$BP$2</f>
        <v>新增材料5</v>
      </c>
      <c r="D246" s="224">
        <f>参数调整!$K$35*怪物掉落配置方案!$D4350</f>
        <v>0</v>
      </c>
    </row>
    <row r="247" spans="1:4" ht="16.5" hidden="1" x14ac:dyDescent="0.3">
      <c r="A247" s="10" t="str">
        <f>基本属性!$B$5&amp;"|"&amp;基本属性!$C$5</f>
        <v>40|0</v>
      </c>
      <c r="B247" s="10" t="str">
        <f>参数调整!$J$35</f>
        <v>BOSS掉落</v>
      </c>
      <c r="C247" s="8" t="str">
        <f>材料产出!$BP$2</f>
        <v>新增材料5</v>
      </c>
      <c r="D247" s="224">
        <f>参数调整!$K$35*怪物掉落配置方案!$D4351</f>
        <v>0</v>
      </c>
    </row>
    <row r="248" spans="1:4" ht="16.5" hidden="1" x14ac:dyDescent="0.3">
      <c r="A248" s="10" t="str">
        <f>基本属性!$B$6&amp;"|"&amp;基本属性!$C$6</f>
        <v>50|0</v>
      </c>
      <c r="B248" s="10" t="str">
        <f>参数调整!$J$35</f>
        <v>BOSS掉落</v>
      </c>
      <c r="C248" s="8" t="str">
        <f>材料产出!$BP$2</f>
        <v>新增材料5</v>
      </c>
      <c r="D248" s="224">
        <f>参数调整!$K$35*怪物掉落配置方案!$D4352</f>
        <v>0</v>
      </c>
    </row>
    <row r="249" spans="1:4" ht="16.5" hidden="1" x14ac:dyDescent="0.3">
      <c r="A249" s="10" t="str">
        <f>基本属性!$B$7&amp;"|"&amp;基本属性!$C$7</f>
        <v>60|0</v>
      </c>
      <c r="B249" s="10" t="str">
        <f>参数调整!$J$35</f>
        <v>BOSS掉落</v>
      </c>
      <c r="C249" s="8" t="str">
        <f>材料产出!$BP$2</f>
        <v>新增材料5</v>
      </c>
      <c r="D249" s="224">
        <f>参数调整!$K$35*怪物掉落配置方案!$D4353</f>
        <v>0</v>
      </c>
    </row>
    <row r="250" spans="1:4" ht="16.5" hidden="1" x14ac:dyDescent="0.3">
      <c r="A250" s="10" t="str">
        <f>基本属性!$B$8&amp;"|"&amp;基本属性!$C$8</f>
        <v>65|0</v>
      </c>
      <c r="B250" s="10" t="str">
        <f>参数调整!$J$35</f>
        <v>BOSS掉落</v>
      </c>
      <c r="C250" s="8" t="str">
        <f>材料产出!$BP$2</f>
        <v>新增材料5</v>
      </c>
      <c r="D250" s="224">
        <f>参数调整!$K$35*怪物掉落配置方案!$D4354</f>
        <v>0</v>
      </c>
    </row>
    <row r="251" spans="1:4" ht="16.5" hidden="1" x14ac:dyDescent="0.3">
      <c r="A251" s="10" t="str">
        <f>基本属性!$B$9&amp;"|"&amp;基本属性!$C$9</f>
        <v>70|0</v>
      </c>
      <c r="B251" s="10" t="str">
        <f>参数调整!$J$35</f>
        <v>BOSS掉落</v>
      </c>
      <c r="C251" s="8" t="str">
        <f>材料产出!$BP$2</f>
        <v>新增材料5</v>
      </c>
      <c r="D251" s="224">
        <f>参数调整!$K$35*怪物掉落配置方案!$D4355</f>
        <v>0</v>
      </c>
    </row>
    <row r="252" spans="1:4" ht="16.5" hidden="1" x14ac:dyDescent="0.3">
      <c r="A252" s="10" t="str">
        <f>基本属性!$B$10&amp;"|"&amp;基本属性!$C$10</f>
        <v>75|0</v>
      </c>
      <c r="B252" s="10" t="str">
        <f>参数调整!$J$35</f>
        <v>BOSS掉落</v>
      </c>
      <c r="C252" s="8" t="str">
        <f>材料产出!$BP$2</f>
        <v>新增材料5</v>
      </c>
      <c r="D252" s="224">
        <f>参数调整!$K$35*怪物掉落配置方案!$D4356</f>
        <v>0</v>
      </c>
    </row>
    <row r="253" spans="1:4" ht="16.5" hidden="1" x14ac:dyDescent="0.3">
      <c r="A253" s="10" t="str">
        <f>基本属性!$B$11&amp;"|"&amp;基本属性!$C$11</f>
        <v>80|1</v>
      </c>
      <c r="B253" s="10" t="str">
        <f>参数调整!$J$35</f>
        <v>BOSS掉落</v>
      </c>
      <c r="C253" s="8" t="str">
        <f>材料产出!$BP$2</f>
        <v>新增材料5</v>
      </c>
      <c r="D253" s="224">
        <f>参数调整!$K$35*怪物掉落配置方案!$D4357</f>
        <v>0</v>
      </c>
    </row>
    <row r="254" spans="1:4" ht="16.5" hidden="1" x14ac:dyDescent="0.3">
      <c r="A254" s="10" t="str">
        <f>基本属性!$B$12&amp;"|"&amp;基本属性!$C$12</f>
        <v>90|2</v>
      </c>
      <c r="B254" s="10" t="str">
        <f>参数调整!$J$35</f>
        <v>BOSS掉落</v>
      </c>
      <c r="C254" s="8" t="str">
        <f>材料产出!$BP$2</f>
        <v>新增材料5</v>
      </c>
      <c r="D254" s="224">
        <f>参数调整!$K$35*怪物掉落配置方案!$D4358</f>
        <v>0</v>
      </c>
    </row>
    <row r="255" spans="1:4" ht="16.5" hidden="1" x14ac:dyDescent="0.3">
      <c r="A255" s="10" t="str">
        <f>基本属性!$B$13&amp;"|"&amp;基本属性!$C$13</f>
        <v>100|3</v>
      </c>
      <c r="B255" s="10" t="str">
        <f>参数调整!$J$35</f>
        <v>BOSS掉落</v>
      </c>
      <c r="C255" s="8" t="str">
        <f>材料产出!$BP$2</f>
        <v>新增材料5</v>
      </c>
      <c r="D255" s="224">
        <f>参数调整!$K$35*怪物掉落配置方案!$D4359</f>
        <v>0</v>
      </c>
    </row>
    <row r="256" spans="1:4" ht="16.5" hidden="1" x14ac:dyDescent="0.3">
      <c r="A256" s="10" t="str">
        <f>基本属性!$B$14&amp;"|"&amp;基本属性!$C$14</f>
        <v>105|4</v>
      </c>
      <c r="B256" s="10" t="str">
        <f>参数调整!$J$35</f>
        <v>BOSS掉落</v>
      </c>
      <c r="C256" s="8" t="str">
        <f>材料产出!$BP$2</f>
        <v>新增材料5</v>
      </c>
      <c r="D256" s="224">
        <f>参数调整!$K$35*怪物掉落配置方案!$D4360</f>
        <v>0</v>
      </c>
    </row>
    <row r="257" spans="1:4" ht="16.5" hidden="1" x14ac:dyDescent="0.3">
      <c r="A257" s="10" t="str">
        <f>基本属性!$B$15&amp;"|"&amp;基本属性!$C$15</f>
        <v>110|5</v>
      </c>
      <c r="B257" s="10" t="str">
        <f>参数调整!$J$35</f>
        <v>BOSS掉落</v>
      </c>
      <c r="C257" s="8" t="str">
        <f>材料产出!$BP$2</f>
        <v>新增材料5</v>
      </c>
      <c r="D257" s="224">
        <f>参数调整!$K$35*怪物掉落配置方案!$D4361</f>
        <v>0</v>
      </c>
    </row>
    <row r="258" spans="1:4" ht="16.5" hidden="1" x14ac:dyDescent="0.3">
      <c r="A258" s="10" t="str">
        <f>基本属性!$B$16&amp;"|"&amp;基本属性!$C$16</f>
        <v>120|6</v>
      </c>
      <c r="B258" s="10" t="str">
        <f>参数调整!$J$35</f>
        <v>BOSS掉落</v>
      </c>
      <c r="C258" s="8" t="str">
        <f>材料产出!$BP$2</f>
        <v>新增材料5</v>
      </c>
      <c r="D258" s="224">
        <f>参数调整!$K$35*怪物掉落配置方案!$D4362</f>
        <v>0</v>
      </c>
    </row>
    <row r="259" spans="1:4" ht="16.5" hidden="1" x14ac:dyDescent="0.3">
      <c r="A259" s="10" t="str">
        <f>基本属性!$B$17&amp;"|"&amp;基本属性!$C$17</f>
        <v>135|7</v>
      </c>
      <c r="B259" s="10" t="str">
        <f>参数调整!$J$35</f>
        <v>BOSS掉落</v>
      </c>
      <c r="C259" s="8" t="str">
        <f>材料产出!$BP$2</f>
        <v>新增材料5</v>
      </c>
      <c r="D259" s="224">
        <f>参数调整!$K$35*怪物掉落配置方案!$D4363</f>
        <v>0</v>
      </c>
    </row>
    <row r="260" spans="1:4" ht="16.5" hidden="1" x14ac:dyDescent="0.3">
      <c r="A260" s="10" t="str">
        <f>基本属性!$B$18&amp;"|"&amp;基本属性!$C$18</f>
        <v>155|8</v>
      </c>
      <c r="B260" s="10" t="str">
        <f>参数调整!$J$35</f>
        <v>BOSS掉落</v>
      </c>
      <c r="C260" s="8" t="str">
        <f>材料产出!$BP$2</f>
        <v>新增材料5</v>
      </c>
      <c r="D260" s="224">
        <f>参数调整!$K$35*怪物掉落配置方案!$D4364</f>
        <v>0</v>
      </c>
    </row>
    <row r="261" spans="1:4" ht="16.5" hidden="1" x14ac:dyDescent="0.3">
      <c r="A261" s="10" t="str">
        <f>基本属性!$B$19&amp;"|"&amp;基本属性!$C$19</f>
        <v>190|9</v>
      </c>
      <c r="B261" s="10" t="str">
        <f>参数调整!$J$35</f>
        <v>BOSS掉落</v>
      </c>
      <c r="C261" s="8" t="str">
        <f>材料产出!$BP$2</f>
        <v>新增材料5</v>
      </c>
      <c r="D261" s="224">
        <f>参数调整!$K$35*怪物掉落配置方案!$D4365</f>
        <v>0</v>
      </c>
    </row>
    <row r="262" spans="1:4" ht="16.5" hidden="1" x14ac:dyDescent="0.3">
      <c r="A262" s="10" t="str">
        <f>基本属性!$B$20&amp;"|"&amp;基本属性!$C$20</f>
        <v>200|10</v>
      </c>
      <c r="B262" s="10" t="str">
        <f>参数调整!$J$35</f>
        <v>BOSS掉落</v>
      </c>
      <c r="C262" s="8" t="str">
        <f>材料产出!$BP$2</f>
        <v>新增材料5</v>
      </c>
      <c r="D262" s="224">
        <f>参数调整!$K$35*怪物掉落配置方案!$D4366</f>
        <v>0</v>
      </c>
    </row>
    <row r="263" spans="1:4" ht="16.5" hidden="1" x14ac:dyDescent="0.3">
      <c r="A263" s="10" t="str">
        <f>基本属性!$B$21&amp;"|"&amp;基本属性!$C$21</f>
        <v>200|11</v>
      </c>
      <c r="B263" s="10" t="str">
        <f>参数调整!$J$35</f>
        <v>BOSS掉落</v>
      </c>
      <c r="C263" s="8" t="str">
        <f>材料产出!$BP$2</f>
        <v>新增材料5</v>
      </c>
      <c r="D263" s="224">
        <f>参数调整!$K$35*怪物掉落配置方案!$D4367</f>
        <v>0</v>
      </c>
    </row>
    <row r="264" spans="1:4" ht="16.5" hidden="1" x14ac:dyDescent="0.3">
      <c r="A264" s="10" t="str">
        <f>基本属性!$B$22&amp;"|"&amp;基本属性!$C$22</f>
        <v>210|12</v>
      </c>
      <c r="B264" s="10" t="str">
        <f>参数调整!$J$35</f>
        <v>BOSS掉落</v>
      </c>
      <c r="C264" s="8" t="str">
        <f>材料产出!$BP$2</f>
        <v>新增材料5</v>
      </c>
      <c r="D264" s="224">
        <f>参数调整!$K$35*怪物掉落配置方案!$D4368</f>
        <v>0</v>
      </c>
    </row>
    <row r="265" spans="1:4" ht="16.5" hidden="1" x14ac:dyDescent="0.3">
      <c r="A265" s="10" t="str">
        <f>基本属性!$B$23&amp;"|"&amp;基本属性!$C$23</f>
        <v>210|13</v>
      </c>
      <c r="B265" s="10" t="str">
        <f>参数调整!$J$35</f>
        <v>BOSS掉落</v>
      </c>
      <c r="C265" s="8" t="str">
        <f>材料产出!$BP$2</f>
        <v>新增材料5</v>
      </c>
      <c r="D265" s="224">
        <f>参数调整!$K$35*怪物掉落配置方案!$D4369</f>
        <v>0</v>
      </c>
    </row>
    <row r="266" spans="1:4" ht="16.5" hidden="1" x14ac:dyDescent="0.3">
      <c r="A266" s="10" t="str">
        <f>基本属性!$B$24&amp;"|"&amp;基本属性!$C$24</f>
        <v>220|14</v>
      </c>
      <c r="B266" s="10" t="str">
        <f>参数调整!$J$35</f>
        <v>BOSS掉落</v>
      </c>
      <c r="C266" s="8" t="str">
        <f>材料产出!$BP$2</f>
        <v>新增材料5</v>
      </c>
      <c r="D266" s="224">
        <f>参数调整!$K$35*怪物掉落配置方案!$D4370</f>
        <v>0</v>
      </c>
    </row>
    <row r="267" spans="1:4" ht="16.5" hidden="1" x14ac:dyDescent="0.3">
      <c r="A267" s="10" t="str">
        <f>基本属性!$B$25&amp;"|"&amp;基本属性!$C$25</f>
        <v>220|15</v>
      </c>
      <c r="B267" s="10" t="str">
        <f>参数调整!$J$35</f>
        <v>BOSS掉落</v>
      </c>
      <c r="C267" s="8" t="str">
        <f>材料产出!$BP$2</f>
        <v>新增材料5</v>
      </c>
      <c r="D267" s="224">
        <f>参数调整!$K$35*怪物掉落配置方案!$D4371</f>
        <v>0</v>
      </c>
    </row>
    <row r="268" spans="1:4" ht="16.5" hidden="1" x14ac:dyDescent="0.3">
      <c r="A268" s="10" t="str">
        <f>基本属性!$B$26&amp;"|"&amp;基本属性!$C$26</f>
        <v>230|16</v>
      </c>
      <c r="B268" s="10" t="str">
        <f>参数调整!$J$35</f>
        <v>BOSS掉落</v>
      </c>
      <c r="C268" s="8" t="str">
        <f>材料产出!$BP$2</f>
        <v>新增材料5</v>
      </c>
      <c r="D268" s="224">
        <f>参数调整!$K$35*怪物掉落配置方案!$D4372</f>
        <v>0</v>
      </c>
    </row>
    <row r="269" spans="1:4" ht="16.5" hidden="1" x14ac:dyDescent="0.3">
      <c r="A269" s="10" t="str">
        <f>基本属性!$B$27&amp;"|"&amp;基本属性!$C$27</f>
        <v>230|17</v>
      </c>
      <c r="B269" s="10" t="str">
        <f>参数调整!$J$35</f>
        <v>BOSS掉落</v>
      </c>
      <c r="C269" s="8" t="str">
        <f>材料产出!$BP$2</f>
        <v>新增材料5</v>
      </c>
      <c r="D269" s="224">
        <f>参数调整!$K$35*怪物掉落配置方案!$D4373</f>
        <v>0</v>
      </c>
    </row>
    <row r="270" spans="1:4" ht="16.5" hidden="1" x14ac:dyDescent="0.3">
      <c r="A270" s="10" t="str">
        <f>基本属性!$B$28&amp;"|"&amp;基本属性!$C$28</f>
        <v>240|18</v>
      </c>
      <c r="B270" s="10" t="str">
        <f>参数调整!$J$35</f>
        <v>BOSS掉落</v>
      </c>
      <c r="C270" s="8" t="str">
        <f>材料产出!$BP$2</f>
        <v>新增材料5</v>
      </c>
      <c r="D270" s="224">
        <f>参数调整!$K$35*怪物掉落配置方案!$D4374</f>
        <v>0</v>
      </c>
    </row>
    <row r="271" spans="1:4" ht="16.5" hidden="1" x14ac:dyDescent="0.3">
      <c r="A271" s="10" t="str">
        <f>基本属性!$B$29&amp;"|"&amp;基本属性!$C$29</f>
        <v>240|19</v>
      </c>
      <c r="B271" s="10" t="str">
        <f>参数调整!$J$35</f>
        <v>BOSS掉落</v>
      </c>
      <c r="C271" s="8" t="str">
        <f>材料产出!$BP$2</f>
        <v>新增材料5</v>
      </c>
      <c r="D271" s="224">
        <f>参数调整!$K$35*怪物掉落配置方案!$D4375</f>
        <v>0</v>
      </c>
    </row>
    <row r="272" spans="1:4" ht="16.5" hidden="1" x14ac:dyDescent="0.3">
      <c r="A272" s="10" t="str">
        <f>基本属性!$B$30&amp;"|"&amp;基本属性!$C$30</f>
        <v>250|20</v>
      </c>
      <c r="B272" s="10" t="str">
        <f>参数调整!$J$35</f>
        <v>BOSS掉落</v>
      </c>
      <c r="C272" s="8" t="str">
        <f>材料产出!$BP$2</f>
        <v>新增材料5</v>
      </c>
      <c r="D272" s="224">
        <f>参数调整!$K$35*怪物掉落配置方案!$D4376</f>
        <v>0</v>
      </c>
    </row>
    <row r="273" spans="1:4" ht="16.5" hidden="1" x14ac:dyDescent="0.3">
      <c r="A273" s="10" t="str">
        <f>基本属性!$B$4&amp;"|"&amp;基本属性!$C$4</f>
        <v>35|0</v>
      </c>
      <c r="B273" s="10" t="str">
        <f>参数调整!$J$35</f>
        <v>BOSS掉落</v>
      </c>
      <c r="C273" s="8" t="str">
        <f>材料产出!$BN$2</f>
        <v>新增材料4</v>
      </c>
      <c r="D273" s="224">
        <f>参数调整!$K$35*怪物掉落配置方案!$D4377</f>
        <v>0</v>
      </c>
    </row>
    <row r="274" spans="1:4" ht="16.5" hidden="1" x14ac:dyDescent="0.3">
      <c r="A274" s="10" t="str">
        <f>基本属性!$B$5&amp;"|"&amp;基本属性!$C$5</f>
        <v>40|0</v>
      </c>
      <c r="B274" s="10" t="str">
        <f>参数调整!$J$35</f>
        <v>BOSS掉落</v>
      </c>
      <c r="C274" s="8" t="str">
        <f>材料产出!$BN$2</f>
        <v>新增材料4</v>
      </c>
      <c r="D274" s="224">
        <f>参数调整!$K$35*怪物掉落配置方案!$D4378</f>
        <v>0</v>
      </c>
    </row>
    <row r="275" spans="1:4" ht="16.5" hidden="1" x14ac:dyDescent="0.3">
      <c r="A275" s="10" t="str">
        <f>基本属性!$B$6&amp;"|"&amp;基本属性!$C$6</f>
        <v>50|0</v>
      </c>
      <c r="B275" s="10" t="str">
        <f>参数调整!$J$35</f>
        <v>BOSS掉落</v>
      </c>
      <c r="C275" s="8" t="str">
        <f>材料产出!$BN$2</f>
        <v>新增材料4</v>
      </c>
      <c r="D275" s="224">
        <f>参数调整!$K$35*怪物掉落配置方案!$D4379</f>
        <v>0</v>
      </c>
    </row>
    <row r="276" spans="1:4" ht="16.5" hidden="1" x14ac:dyDescent="0.3">
      <c r="A276" s="10" t="str">
        <f>基本属性!$B$7&amp;"|"&amp;基本属性!$C$7</f>
        <v>60|0</v>
      </c>
      <c r="B276" s="10" t="str">
        <f>参数调整!$J$35</f>
        <v>BOSS掉落</v>
      </c>
      <c r="C276" s="8" t="str">
        <f>材料产出!$BN$2</f>
        <v>新增材料4</v>
      </c>
      <c r="D276" s="224">
        <f>参数调整!$K$35*怪物掉落配置方案!$D4380</f>
        <v>0</v>
      </c>
    </row>
    <row r="277" spans="1:4" ht="16.5" hidden="1" x14ac:dyDescent="0.3">
      <c r="A277" s="10" t="str">
        <f>基本属性!$B$8&amp;"|"&amp;基本属性!$C$8</f>
        <v>65|0</v>
      </c>
      <c r="B277" s="10" t="str">
        <f>参数调整!$J$35</f>
        <v>BOSS掉落</v>
      </c>
      <c r="C277" s="8" t="str">
        <f>材料产出!$BN$2</f>
        <v>新增材料4</v>
      </c>
      <c r="D277" s="224">
        <f>参数调整!$K$35*怪物掉落配置方案!$D4381</f>
        <v>0</v>
      </c>
    </row>
    <row r="278" spans="1:4" ht="16.5" hidden="1" x14ac:dyDescent="0.3">
      <c r="A278" s="10" t="str">
        <f>基本属性!$B$9&amp;"|"&amp;基本属性!$C$9</f>
        <v>70|0</v>
      </c>
      <c r="B278" s="10" t="str">
        <f>参数调整!$J$35</f>
        <v>BOSS掉落</v>
      </c>
      <c r="C278" s="8" t="str">
        <f>材料产出!$BN$2</f>
        <v>新增材料4</v>
      </c>
      <c r="D278" s="224">
        <f>参数调整!$K$35*怪物掉落配置方案!$D4382</f>
        <v>0</v>
      </c>
    </row>
    <row r="279" spans="1:4" ht="16.5" hidden="1" x14ac:dyDescent="0.3">
      <c r="A279" s="10" t="str">
        <f>基本属性!$B$10&amp;"|"&amp;基本属性!$C$10</f>
        <v>75|0</v>
      </c>
      <c r="B279" s="10" t="str">
        <f>参数调整!$J$35</f>
        <v>BOSS掉落</v>
      </c>
      <c r="C279" s="8" t="str">
        <f>材料产出!$BN$2</f>
        <v>新增材料4</v>
      </c>
      <c r="D279" s="224">
        <f>参数调整!$K$35*怪物掉落配置方案!$D4383</f>
        <v>0</v>
      </c>
    </row>
    <row r="280" spans="1:4" ht="16.5" hidden="1" x14ac:dyDescent="0.3">
      <c r="A280" s="10" t="str">
        <f>基本属性!$B$11&amp;"|"&amp;基本属性!$C$11</f>
        <v>80|1</v>
      </c>
      <c r="B280" s="10" t="str">
        <f>参数调整!$J$35</f>
        <v>BOSS掉落</v>
      </c>
      <c r="C280" s="8" t="str">
        <f>材料产出!$BN$2</f>
        <v>新增材料4</v>
      </c>
      <c r="D280" s="224">
        <f>参数调整!$K$35*怪物掉落配置方案!$D4384</f>
        <v>0</v>
      </c>
    </row>
    <row r="281" spans="1:4" ht="16.5" hidden="1" x14ac:dyDescent="0.3">
      <c r="A281" s="10" t="str">
        <f>基本属性!$B$12&amp;"|"&amp;基本属性!$C$12</f>
        <v>90|2</v>
      </c>
      <c r="B281" s="10" t="str">
        <f>参数调整!$J$35</f>
        <v>BOSS掉落</v>
      </c>
      <c r="C281" s="8" t="str">
        <f>材料产出!$BN$2</f>
        <v>新增材料4</v>
      </c>
      <c r="D281" s="224">
        <f>参数调整!$K$35*怪物掉落配置方案!$D4385</f>
        <v>0</v>
      </c>
    </row>
    <row r="282" spans="1:4" ht="16.5" hidden="1" x14ac:dyDescent="0.3">
      <c r="A282" s="10" t="str">
        <f>基本属性!$B$13&amp;"|"&amp;基本属性!$C$13</f>
        <v>100|3</v>
      </c>
      <c r="B282" s="10" t="str">
        <f>参数调整!$J$35</f>
        <v>BOSS掉落</v>
      </c>
      <c r="C282" s="8" t="str">
        <f>材料产出!$BN$2</f>
        <v>新增材料4</v>
      </c>
      <c r="D282" s="224">
        <f>参数调整!$K$35*怪物掉落配置方案!$D4386</f>
        <v>0</v>
      </c>
    </row>
    <row r="283" spans="1:4" ht="16.5" hidden="1" x14ac:dyDescent="0.3">
      <c r="A283" s="10" t="str">
        <f>基本属性!$B$14&amp;"|"&amp;基本属性!$C$14</f>
        <v>105|4</v>
      </c>
      <c r="B283" s="10" t="str">
        <f>参数调整!$J$35</f>
        <v>BOSS掉落</v>
      </c>
      <c r="C283" s="8" t="str">
        <f>材料产出!$BN$2</f>
        <v>新增材料4</v>
      </c>
      <c r="D283" s="224">
        <f>参数调整!$K$35*怪物掉落配置方案!$D4387</f>
        <v>0</v>
      </c>
    </row>
    <row r="284" spans="1:4" ht="16.5" hidden="1" x14ac:dyDescent="0.3">
      <c r="A284" s="10" t="str">
        <f>基本属性!$B$15&amp;"|"&amp;基本属性!$C$15</f>
        <v>110|5</v>
      </c>
      <c r="B284" s="10" t="str">
        <f>参数调整!$J$35</f>
        <v>BOSS掉落</v>
      </c>
      <c r="C284" s="8" t="str">
        <f>材料产出!$BN$2</f>
        <v>新增材料4</v>
      </c>
      <c r="D284" s="224">
        <f>参数调整!$K$35*怪物掉落配置方案!$D4388</f>
        <v>0</v>
      </c>
    </row>
    <row r="285" spans="1:4" ht="16.5" hidden="1" x14ac:dyDescent="0.3">
      <c r="A285" s="10" t="str">
        <f>基本属性!$B$16&amp;"|"&amp;基本属性!$C$16</f>
        <v>120|6</v>
      </c>
      <c r="B285" s="10" t="str">
        <f>参数调整!$J$35</f>
        <v>BOSS掉落</v>
      </c>
      <c r="C285" s="8" t="str">
        <f>材料产出!$BN$2</f>
        <v>新增材料4</v>
      </c>
      <c r="D285" s="224">
        <f>参数调整!$K$35*怪物掉落配置方案!$D4389</f>
        <v>0</v>
      </c>
    </row>
    <row r="286" spans="1:4" ht="16.5" hidden="1" x14ac:dyDescent="0.3">
      <c r="A286" s="10" t="str">
        <f>基本属性!$B$17&amp;"|"&amp;基本属性!$C$17</f>
        <v>135|7</v>
      </c>
      <c r="B286" s="10" t="str">
        <f>参数调整!$J$35</f>
        <v>BOSS掉落</v>
      </c>
      <c r="C286" s="8" t="str">
        <f>材料产出!$BN$2</f>
        <v>新增材料4</v>
      </c>
      <c r="D286" s="224">
        <f>参数调整!$K$35*怪物掉落配置方案!$D4390</f>
        <v>0</v>
      </c>
    </row>
    <row r="287" spans="1:4" ht="16.5" hidden="1" x14ac:dyDescent="0.3">
      <c r="A287" s="10" t="str">
        <f>基本属性!$B$18&amp;"|"&amp;基本属性!$C$18</f>
        <v>155|8</v>
      </c>
      <c r="B287" s="10" t="str">
        <f>参数调整!$J$35</f>
        <v>BOSS掉落</v>
      </c>
      <c r="C287" s="8" t="str">
        <f>材料产出!$BN$2</f>
        <v>新增材料4</v>
      </c>
      <c r="D287" s="224">
        <f>参数调整!$K$35*怪物掉落配置方案!$D4391</f>
        <v>0</v>
      </c>
    </row>
    <row r="288" spans="1:4" ht="16.5" hidden="1" x14ac:dyDescent="0.3">
      <c r="A288" s="10" t="str">
        <f>基本属性!$B$19&amp;"|"&amp;基本属性!$C$19</f>
        <v>190|9</v>
      </c>
      <c r="B288" s="10" t="str">
        <f>参数调整!$J$35</f>
        <v>BOSS掉落</v>
      </c>
      <c r="C288" s="8" t="str">
        <f>材料产出!$BN$2</f>
        <v>新增材料4</v>
      </c>
      <c r="D288" s="224">
        <f>参数调整!$K$35*怪物掉落配置方案!$D4392</f>
        <v>0</v>
      </c>
    </row>
    <row r="289" spans="1:4" ht="16.5" hidden="1" x14ac:dyDescent="0.3">
      <c r="A289" s="10" t="str">
        <f>基本属性!$B$20&amp;"|"&amp;基本属性!$C$20</f>
        <v>200|10</v>
      </c>
      <c r="B289" s="10" t="str">
        <f>参数调整!$J$35</f>
        <v>BOSS掉落</v>
      </c>
      <c r="C289" s="8" t="str">
        <f>材料产出!$BN$2</f>
        <v>新增材料4</v>
      </c>
      <c r="D289" s="224">
        <f>参数调整!$K$35*怪物掉落配置方案!$D4393</f>
        <v>0</v>
      </c>
    </row>
    <row r="290" spans="1:4" ht="16.5" hidden="1" x14ac:dyDescent="0.3">
      <c r="A290" s="10" t="str">
        <f>基本属性!$B$21&amp;"|"&amp;基本属性!$C$21</f>
        <v>200|11</v>
      </c>
      <c r="B290" s="10" t="str">
        <f>参数调整!$J$35</f>
        <v>BOSS掉落</v>
      </c>
      <c r="C290" s="8" t="str">
        <f>材料产出!$BN$2</f>
        <v>新增材料4</v>
      </c>
      <c r="D290" s="224">
        <f>参数调整!$K$35*怪物掉落配置方案!$D4394</f>
        <v>0</v>
      </c>
    </row>
    <row r="291" spans="1:4" ht="16.5" hidden="1" x14ac:dyDescent="0.3">
      <c r="A291" s="10" t="str">
        <f>基本属性!$B$22&amp;"|"&amp;基本属性!$C$22</f>
        <v>210|12</v>
      </c>
      <c r="B291" s="10" t="str">
        <f>参数调整!$J$35</f>
        <v>BOSS掉落</v>
      </c>
      <c r="C291" s="8" t="str">
        <f>材料产出!$BN$2</f>
        <v>新增材料4</v>
      </c>
      <c r="D291" s="224">
        <f>参数调整!$K$35*怪物掉落配置方案!$D4395</f>
        <v>0</v>
      </c>
    </row>
    <row r="292" spans="1:4" ht="16.5" hidden="1" x14ac:dyDescent="0.3">
      <c r="A292" s="10" t="str">
        <f>基本属性!$B$23&amp;"|"&amp;基本属性!$C$23</f>
        <v>210|13</v>
      </c>
      <c r="B292" s="10" t="str">
        <f>参数调整!$J$35</f>
        <v>BOSS掉落</v>
      </c>
      <c r="C292" s="8" t="str">
        <f>材料产出!$BN$2</f>
        <v>新增材料4</v>
      </c>
      <c r="D292" s="224">
        <f>参数调整!$K$35*怪物掉落配置方案!$D4396</f>
        <v>0</v>
      </c>
    </row>
    <row r="293" spans="1:4" ht="16.5" hidden="1" x14ac:dyDescent="0.3">
      <c r="A293" s="10" t="str">
        <f>基本属性!$B$24&amp;"|"&amp;基本属性!$C$24</f>
        <v>220|14</v>
      </c>
      <c r="B293" s="10" t="str">
        <f>参数调整!$J$35</f>
        <v>BOSS掉落</v>
      </c>
      <c r="C293" s="8" t="str">
        <f>材料产出!$BN$2</f>
        <v>新增材料4</v>
      </c>
      <c r="D293" s="224">
        <f>参数调整!$K$35*怪物掉落配置方案!$D4397</f>
        <v>0</v>
      </c>
    </row>
    <row r="294" spans="1:4" ht="16.5" hidden="1" x14ac:dyDescent="0.3">
      <c r="A294" s="10" t="str">
        <f>基本属性!$B$25&amp;"|"&amp;基本属性!$C$25</f>
        <v>220|15</v>
      </c>
      <c r="B294" s="10" t="str">
        <f>参数调整!$J$35</f>
        <v>BOSS掉落</v>
      </c>
      <c r="C294" s="8" t="str">
        <f>材料产出!$BN$2</f>
        <v>新增材料4</v>
      </c>
      <c r="D294" s="224">
        <f>参数调整!$K$35*怪物掉落配置方案!$D4398</f>
        <v>0</v>
      </c>
    </row>
    <row r="295" spans="1:4" ht="16.5" hidden="1" x14ac:dyDescent="0.3">
      <c r="A295" s="10" t="str">
        <f>基本属性!$B$26&amp;"|"&amp;基本属性!$C$26</f>
        <v>230|16</v>
      </c>
      <c r="B295" s="10" t="str">
        <f>参数调整!$J$35</f>
        <v>BOSS掉落</v>
      </c>
      <c r="C295" s="8" t="str">
        <f>材料产出!$BN$2</f>
        <v>新增材料4</v>
      </c>
      <c r="D295" s="224">
        <f>参数调整!$K$35*怪物掉落配置方案!$D4399</f>
        <v>0</v>
      </c>
    </row>
    <row r="296" spans="1:4" ht="16.5" hidden="1" x14ac:dyDescent="0.3">
      <c r="A296" s="10" t="str">
        <f>基本属性!$B$27&amp;"|"&amp;基本属性!$C$27</f>
        <v>230|17</v>
      </c>
      <c r="B296" s="10" t="str">
        <f>参数调整!$J$35</f>
        <v>BOSS掉落</v>
      </c>
      <c r="C296" s="8" t="str">
        <f>材料产出!$BN$2</f>
        <v>新增材料4</v>
      </c>
      <c r="D296" s="224">
        <f>参数调整!$K$35*怪物掉落配置方案!$D4400</f>
        <v>0</v>
      </c>
    </row>
    <row r="297" spans="1:4" ht="16.5" hidden="1" x14ac:dyDescent="0.3">
      <c r="A297" s="10" t="str">
        <f>基本属性!$B$28&amp;"|"&amp;基本属性!$C$28</f>
        <v>240|18</v>
      </c>
      <c r="B297" s="10" t="str">
        <f>参数调整!$J$35</f>
        <v>BOSS掉落</v>
      </c>
      <c r="C297" s="8" t="str">
        <f>材料产出!$BN$2</f>
        <v>新增材料4</v>
      </c>
      <c r="D297" s="224">
        <f>参数调整!$K$35*怪物掉落配置方案!$D4401</f>
        <v>0</v>
      </c>
    </row>
    <row r="298" spans="1:4" ht="16.5" hidden="1" x14ac:dyDescent="0.3">
      <c r="A298" s="10" t="str">
        <f>基本属性!$B$29&amp;"|"&amp;基本属性!$C$29</f>
        <v>240|19</v>
      </c>
      <c r="B298" s="10" t="str">
        <f>参数调整!$J$35</f>
        <v>BOSS掉落</v>
      </c>
      <c r="C298" s="8" t="str">
        <f>材料产出!$BN$2</f>
        <v>新增材料4</v>
      </c>
      <c r="D298" s="224">
        <f>参数调整!$K$35*怪物掉落配置方案!$D4402</f>
        <v>0</v>
      </c>
    </row>
    <row r="299" spans="1:4" ht="16.5" hidden="1" x14ac:dyDescent="0.3">
      <c r="A299" s="10" t="str">
        <f>基本属性!$B$30&amp;"|"&amp;基本属性!$C$30</f>
        <v>250|20</v>
      </c>
      <c r="B299" s="10" t="str">
        <f>参数调整!$J$35</f>
        <v>BOSS掉落</v>
      </c>
      <c r="C299" s="8" t="str">
        <f>材料产出!$BN$2</f>
        <v>新增材料4</v>
      </c>
      <c r="D299" s="224">
        <f>参数调整!$K$35*怪物掉落配置方案!$D4403</f>
        <v>0</v>
      </c>
    </row>
    <row r="300" spans="1:4" ht="16.5" hidden="1" x14ac:dyDescent="0.3">
      <c r="A300" s="10" t="str">
        <f>基本属性!$B$4&amp;"|"&amp;基本属性!$C$4</f>
        <v>35|0</v>
      </c>
      <c r="B300" s="10" t="str">
        <f>参数调整!$J$35</f>
        <v>BOSS掉落</v>
      </c>
      <c r="C300" s="8" t="str">
        <f>材料产出!$BL$2</f>
        <v>新增材料3</v>
      </c>
      <c r="D300" s="224">
        <f>参数调整!$K$35*怪物掉落配置方案!$D4404</f>
        <v>0</v>
      </c>
    </row>
    <row r="301" spans="1:4" ht="16.5" hidden="1" x14ac:dyDescent="0.3">
      <c r="A301" s="10" t="str">
        <f>基本属性!$B$5&amp;"|"&amp;基本属性!$C$5</f>
        <v>40|0</v>
      </c>
      <c r="B301" s="10" t="str">
        <f>参数调整!$J$35</f>
        <v>BOSS掉落</v>
      </c>
      <c r="C301" s="8" t="str">
        <f>材料产出!$BL$2</f>
        <v>新增材料3</v>
      </c>
      <c r="D301" s="224">
        <f>参数调整!$K$35*怪物掉落配置方案!$D4405</f>
        <v>0</v>
      </c>
    </row>
    <row r="302" spans="1:4" ht="16.5" hidden="1" x14ac:dyDescent="0.3">
      <c r="A302" s="10" t="str">
        <f>基本属性!$B$6&amp;"|"&amp;基本属性!$C$6</f>
        <v>50|0</v>
      </c>
      <c r="B302" s="10" t="str">
        <f>参数调整!$J$35</f>
        <v>BOSS掉落</v>
      </c>
      <c r="C302" s="8" t="str">
        <f>材料产出!$BL$2</f>
        <v>新增材料3</v>
      </c>
      <c r="D302" s="224">
        <f>参数调整!$K$35*怪物掉落配置方案!$D4406</f>
        <v>0</v>
      </c>
    </row>
    <row r="303" spans="1:4" ht="16.5" hidden="1" x14ac:dyDescent="0.3">
      <c r="A303" s="10" t="str">
        <f>基本属性!$B$7&amp;"|"&amp;基本属性!$C$7</f>
        <v>60|0</v>
      </c>
      <c r="B303" s="10" t="str">
        <f>参数调整!$J$35</f>
        <v>BOSS掉落</v>
      </c>
      <c r="C303" s="8" t="str">
        <f>材料产出!$BL$2</f>
        <v>新增材料3</v>
      </c>
      <c r="D303" s="224">
        <f>参数调整!$K$35*怪物掉落配置方案!$D4407</f>
        <v>0</v>
      </c>
    </row>
    <row r="304" spans="1:4" ht="16.5" hidden="1" x14ac:dyDescent="0.3">
      <c r="A304" s="10" t="str">
        <f>基本属性!$B$8&amp;"|"&amp;基本属性!$C$8</f>
        <v>65|0</v>
      </c>
      <c r="B304" s="10" t="str">
        <f>参数调整!$J$35</f>
        <v>BOSS掉落</v>
      </c>
      <c r="C304" s="8" t="str">
        <f>材料产出!$BL$2</f>
        <v>新增材料3</v>
      </c>
      <c r="D304" s="224">
        <f>参数调整!$K$35*怪物掉落配置方案!$D4408</f>
        <v>0</v>
      </c>
    </row>
    <row r="305" spans="1:4" ht="16.5" hidden="1" x14ac:dyDescent="0.3">
      <c r="A305" s="10" t="str">
        <f>基本属性!$B$9&amp;"|"&amp;基本属性!$C$9</f>
        <v>70|0</v>
      </c>
      <c r="B305" s="10" t="str">
        <f>参数调整!$J$35</f>
        <v>BOSS掉落</v>
      </c>
      <c r="C305" s="8" t="str">
        <f>材料产出!$BL$2</f>
        <v>新增材料3</v>
      </c>
      <c r="D305" s="224">
        <f>参数调整!$K$35*怪物掉落配置方案!$D4409</f>
        <v>0</v>
      </c>
    </row>
    <row r="306" spans="1:4" ht="16.5" hidden="1" x14ac:dyDescent="0.3">
      <c r="A306" s="10" t="str">
        <f>基本属性!$B$10&amp;"|"&amp;基本属性!$C$10</f>
        <v>75|0</v>
      </c>
      <c r="B306" s="10" t="str">
        <f>参数调整!$J$35</f>
        <v>BOSS掉落</v>
      </c>
      <c r="C306" s="8" t="str">
        <f>材料产出!$BL$2</f>
        <v>新增材料3</v>
      </c>
      <c r="D306" s="224">
        <f>参数调整!$K$35*怪物掉落配置方案!$D4410</f>
        <v>0</v>
      </c>
    </row>
    <row r="307" spans="1:4" ht="16.5" hidden="1" x14ac:dyDescent="0.3">
      <c r="A307" s="10" t="str">
        <f>基本属性!$B$11&amp;"|"&amp;基本属性!$C$11</f>
        <v>80|1</v>
      </c>
      <c r="B307" s="10" t="str">
        <f>参数调整!$J$35</f>
        <v>BOSS掉落</v>
      </c>
      <c r="C307" s="8" t="str">
        <f>材料产出!$BL$2</f>
        <v>新增材料3</v>
      </c>
      <c r="D307" s="224">
        <f>参数调整!$K$35*怪物掉落配置方案!$D4411</f>
        <v>0</v>
      </c>
    </row>
    <row r="308" spans="1:4" ht="16.5" hidden="1" x14ac:dyDescent="0.3">
      <c r="A308" s="10" t="str">
        <f>基本属性!$B$12&amp;"|"&amp;基本属性!$C$12</f>
        <v>90|2</v>
      </c>
      <c r="B308" s="10" t="str">
        <f>参数调整!$J$35</f>
        <v>BOSS掉落</v>
      </c>
      <c r="C308" s="8" t="str">
        <f>材料产出!$BL$2</f>
        <v>新增材料3</v>
      </c>
      <c r="D308" s="224">
        <f>参数调整!$K$35*怪物掉落配置方案!$D4412</f>
        <v>0</v>
      </c>
    </row>
    <row r="309" spans="1:4" ht="16.5" hidden="1" x14ac:dyDescent="0.3">
      <c r="A309" s="10" t="str">
        <f>基本属性!$B$13&amp;"|"&amp;基本属性!$C$13</f>
        <v>100|3</v>
      </c>
      <c r="B309" s="10" t="str">
        <f>参数调整!$J$35</f>
        <v>BOSS掉落</v>
      </c>
      <c r="C309" s="8" t="str">
        <f>材料产出!$BL$2</f>
        <v>新增材料3</v>
      </c>
      <c r="D309" s="224">
        <f>参数调整!$K$35*怪物掉落配置方案!$D4413</f>
        <v>0</v>
      </c>
    </row>
    <row r="310" spans="1:4" ht="16.5" hidden="1" x14ac:dyDescent="0.3">
      <c r="A310" s="10" t="str">
        <f>基本属性!$B$14&amp;"|"&amp;基本属性!$C$14</f>
        <v>105|4</v>
      </c>
      <c r="B310" s="10" t="str">
        <f>参数调整!$J$35</f>
        <v>BOSS掉落</v>
      </c>
      <c r="C310" s="8" t="str">
        <f>材料产出!$BL$2</f>
        <v>新增材料3</v>
      </c>
      <c r="D310" s="224">
        <f>参数调整!$K$35*怪物掉落配置方案!$D4414</f>
        <v>0</v>
      </c>
    </row>
    <row r="311" spans="1:4" ht="16.5" hidden="1" x14ac:dyDescent="0.3">
      <c r="A311" s="10" t="str">
        <f>基本属性!$B$15&amp;"|"&amp;基本属性!$C$15</f>
        <v>110|5</v>
      </c>
      <c r="B311" s="10" t="str">
        <f>参数调整!$J$35</f>
        <v>BOSS掉落</v>
      </c>
      <c r="C311" s="8" t="str">
        <f>材料产出!$BL$2</f>
        <v>新增材料3</v>
      </c>
      <c r="D311" s="224">
        <f>参数调整!$K$35*怪物掉落配置方案!$D4415</f>
        <v>0</v>
      </c>
    </row>
    <row r="312" spans="1:4" ht="16.5" hidden="1" x14ac:dyDescent="0.3">
      <c r="A312" s="10" t="str">
        <f>基本属性!$B$16&amp;"|"&amp;基本属性!$C$16</f>
        <v>120|6</v>
      </c>
      <c r="B312" s="10" t="str">
        <f>参数调整!$J$35</f>
        <v>BOSS掉落</v>
      </c>
      <c r="C312" s="8" t="str">
        <f>材料产出!$BL$2</f>
        <v>新增材料3</v>
      </c>
      <c r="D312" s="224">
        <f>参数调整!$K$35*怪物掉落配置方案!$D4416</f>
        <v>0</v>
      </c>
    </row>
    <row r="313" spans="1:4" ht="16.5" hidden="1" x14ac:dyDescent="0.3">
      <c r="A313" s="10" t="str">
        <f>基本属性!$B$17&amp;"|"&amp;基本属性!$C$17</f>
        <v>135|7</v>
      </c>
      <c r="B313" s="10" t="str">
        <f>参数调整!$J$35</f>
        <v>BOSS掉落</v>
      </c>
      <c r="C313" s="8" t="str">
        <f>材料产出!$BL$2</f>
        <v>新增材料3</v>
      </c>
      <c r="D313" s="224">
        <f>参数调整!$K$35*怪物掉落配置方案!$D4417</f>
        <v>0</v>
      </c>
    </row>
    <row r="314" spans="1:4" ht="16.5" hidden="1" x14ac:dyDescent="0.3">
      <c r="A314" s="10" t="str">
        <f>基本属性!$B$18&amp;"|"&amp;基本属性!$C$18</f>
        <v>155|8</v>
      </c>
      <c r="B314" s="10" t="str">
        <f>参数调整!$J$35</f>
        <v>BOSS掉落</v>
      </c>
      <c r="C314" s="8" t="str">
        <f>材料产出!$BL$2</f>
        <v>新增材料3</v>
      </c>
      <c r="D314" s="224">
        <f>参数调整!$K$35*怪物掉落配置方案!$D4418</f>
        <v>0</v>
      </c>
    </row>
    <row r="315" spans="1:4" ht="16.5" hidden="1" x14ac:dyDescent="0.3">
      <c r="A315" s="10" t="str">
        <f>基本属性!$B$19&amp;"|"&amp;基本属性!$C$19</f>
        <v>190|9</v>
      </c>
      <c r="B315" s="10" t="str">
        <f>参数调整!$J$35</f>
        <v>BOSS掉落</v>
      </c>
      <c r="C315" s="8" t="str">
        <f>材料产出!$BL$2</f>
        <v>新增材料3</v>
      </c>
      <c r="D315" s="224">
        <f>参数调整!$K$35*怪物掉落配置方案!$D4419</f>
        <v>0</v>
      </c>
    </row>
    <row r="316" spans="1:4" ht="16.5" hidden="1" x14ac:dyDescent="0.3">
      <c r="A316" s="10" t="str">
        <f>基本属性!$B$20&amp;"|"&amp;基本属性!$C$20</f>
        <v>200|10</v>
      </c>
      <c r="B316" s="10" t="str">
        <f>参数调整!$J$35</f>
        <v>BOSS掉落</v>
      </c>
      <c r="C316" s="8" t="str">
        <f>材料产出!$BL$2</f>
        <v>新增材料3</v>
      </c>
      <c r="D316" s="224">
        <f>参数调整!$K$35*怪物掉落配置方案!$D4420</f>
        <v>0</v>
      </c>
    </row>
    <row r="317" spans="1:4" ht="16.5" hidden="1" x14ac:dyDescent="0.3">
      <c r="A317" s="10" t="str">
        <f>基本属性!$B$21&amp;"|"&amp;基本属性!$C$21</f>
        <v>200|11</v>
      </c>
      <c r="B317" s="10" t="str">
        <f>参数调整!$J$35</f>
        <v>BOSS掉落</v>
      </c>
      <c r="C317" s="8" t="str">
        <f>材料产出!$BL$2</f>
        <v>新增材料3</v>
      </c>
      <c r="D317" s="224">
        <f>参数调整!$K$35*怪物掉落配置方案!$D4421</f>
        <v>0</v>
      </c>
    </row>
    <row r="318" spans="1:4" ht="16.5" hidden="1" x14ac:dyDescent="0.3">
      <c r="A318" s="10" t="str">
        <f>基本属性!$B$22&amp;"|"&amp;基本属性!$C$22</f>
        <v>210|12</v>
      </c>
      <c r="B318" s="10" t="str">
        <f>参数调整!$J$35</f>
        <v>BOSS掉落</v>
      </c>
      <c r="C318" s="8" t="str">
        <f>材料产出!$BL$2</f>
        <v>新增材料3</v>
      </c>
      <c r="D318" s="224">
        <f>参数调整!$K$35*怪物掉落配置方案!$D4422</f>
        <v>0</v>
      </c>
    </row>
    <row r="319" spans="1:4" ht="16.5" hidden="1" x14ac:dyDescent="0.3">
      <c r="A319" s="10" t="str">
        <f>基本属性!$B$23&amp;"|"&amp;基本属性!$C$23</f>
        <v>210|13</v>
      </c>
      <c r="B319" s="10" t="str">
        <f>参数调整!$J$35</f>
        <v>BOSS掉落</v>
      </c>
      <c r="C319" s="8" t="str">
        <f>材料产出!$BL$2</f>
        <v>新增材料3</v>
      </c>
      <c r="D319" s="224">
        <f>参数调整!$K$35*怪物掉落配置方案!$D4423</f>
        <v>0</v>
      </c>
    </row>
    <row r="320" spans="1:4" ht="16.5" hidden="1" x14ac:dyDescent="0.3">
      <c r="A320" s="10" t="str">
        <f>基本属性!$B$24&amp;"|"&amp;基本属性!$C$24</f>
        <v>220|14</v>
      </c>
      <c r="B320" s="10" t="str">
        <f>参数调整!$J$35</f>
        <v>BOSS掉落</v>
      </c>
      <c r="C320" s="8" t="str">
        <f>材料产出!$BL$2</f>
        <v>新增材料3</v>
      </c>
      <c r="D320" s="224">
        <f>参数调整!$K$35*怪物掉落配置方案!$D4424</f>
        <v>0</v>
      </c>
    </row>
    <row r="321" spans="1:4" ht="16.5" hidden="1" x14ac:dyDescent="0.3">
      <c r="A321" s="10" t="str">
        <f>基本属性!$B$25&amp;"|"&amp;基本属性!$C$25</f>
        <v>220|15</v>
      </c>
      <c r="B321" s="10" t="str">
        <f>参数调整!$J$35</f>
        <v>BOSS掉落</v>
      </c>
      <c r="C321" s="8" t="str">
        <f>材料产出!$BL$2</f>
        <v>新增材料3</v>
      </c>
      <c r="D321" s="224">
        <f>参数调整!$K$35*怪物掉落配置方案!$D4425</f>
        <v>0</v>
      </c>
    </row>
    <row r="322" spans="1:4" ht="16.5" hidden="1" x14ac:dyDescent="0.3">
      <c r="A322" s="10" t="str">
        <f>基本属性!$B$26&amp;"|"&amp;基本属性!$C$26</f>
        <v>230|16</v>
      </c>
      <c r="B322" s="10" t="str">
        <f>参数调整!$J$35</f>
        <v>BOSS掉落</v>
      </c>
      <c r="C322" s="8" t="str">
        <f>材料产出!$BL$2</f>
        <v>新增材料3</v>
      </c>
      <c r="D322" s="224">
        <f>参数调整!$K$35*怪物掉落配置方案!$D4426</f>
        <v>0</v>
      </c>
    </row>
    <row r="323" spans="1:4" ht="16.5" hidden="1" x14ac:dyDescent="0.3">
      <c r="A323" s="10" t="str">
        <f>基本属性!$B$27&amp;"|"&amp;基本属性!$C$27</f>
        <v>230|17</v>
      </c>
      <c r="B323" s="10" t="str">
        <f>参数调整!$J$35</f>
        <v>BOSS掉落</v>
      </c>
      <c r="C323" s="8" t="str">
        <f>材料产出!$BL$2</f>
        <v>新增材料3</v>
      </c>
      <c r="D323" s="224">
        <f>参数调整!$K$35*怪物掉落配置方案!$D4427</f>
        <v>0</v>
      </c>
    </row>
    <row r="324" spans="1:4" ht="16.5" hidden="1" x14ac:dyDescent="0.3">
      <c r="A324" s="10" t="str">
        <f>基本属性!$B$28&amp;"|"&amp;基本属性!$C$28</f>
        <v>240|18</v>
      </c>
      <c r="B324" s="10" t="str">
        <f>参数调整!$J$35</f>
        <v>BOSS掉落</v>
      </c>
      <c r="C324" s="8" t="str">
        <f>材料产出!$BL$2</f>
        <v>新增材料3</v>
      </c>
      <c r="D324" s="224">
        <f>参数调整!$K$35*怪物掉落配置方案!$D4428</f>
        <v>0</v>
      </c>
    </row>
    <row r="325" spans="1:4" ht="16.5" hidden="1" x14ac:dyDescent="0.3">
      <c r="A325" s="10" t="str">
        <f>基本属性!$B$29&amp;"|"&amp;基本属性!$C$29</f>
        <v>240|19</v>
      </c>
      <c r="B325" s="10" t="str">
        <f>参数调整!$J$35</f>
        <v>BOSS掉落</v>
      </c>
      <c r="C325" s="8" t="str">
        <f>材料产出!$BL$2</f>
        <v>新增材料3</v>
      </c>
      <c r="D325" s="224">
        <f>参数调整!$K$35*怪物掉落配置方案!$D4429</f>
        <v>0</v>
      </c>
    </row>
    <row r="326" spans="1:4" ht="16.5" hidden="1" x14ac:dyDescent="0.3">
      <c r="A326" s="10" t="str">
        <f>基本属性!$B$30&amp;"|"&amp;基本属性!$C$30</f>
        <v>250|20</v>
      </c>
      <c r="B326" s="10" t="str">
        <f>参数调整!$J$35</f>
        <v>BOSS掉落</v>
      </c>
      <c r="C326" s="8" t="str">
        <f>材料产出!$BL$2</f>
        <v>新增材料3</v>
      </c>
      <c r="D326" s="224">
        <f>参数调整!$K$35*怪物掉落配置方案!$D4430</f>
        <v>0</v>
      </c>
    </row>
    <row r="327" spans="1:4" ht="16.5" hidden="1" x14ac:dyDescent="0.3">
      <c r="A327" s="10" t="str">
        <f>基本属性!$B$4&amp;"|"&amp;基本属性!$C$4</f>
        <v>35|0</v>
      </c>
      <c r="B327" s="10" t="str">
        <f>参数调整!$J$35</f>
        <v>BOSS掉落</v>
      </c>
      <c r="C327" s="8" t="str">
        <f>材料产出!$BJ$2</f>
        <v>新增材料2</v>
      </c>
      <c r="D327" s="224">
        <f>参数调整!$K$35*怪物掉落配置方案!$D4431</f>
        <v>0</v>
      </c>
    </row>
    <row r="328" spans="1:4" ht="16.5" hidden="1" x14ac:dyDescent="0.3">
      <c r="A328" s="10" t="str">
        <f>基本属性!$B$5&amp;"|"&amp;基本属性!$C$5</f>
        <v>40|0</v>
      </c>
      <c r="B328" s="10" t="str">
        <f>参数调整!$J$35</f>
        <v>BOSS掉落</v>
      </c>
      <c r="C328" s="8" t="str">
        <f>材料产出!$BJ$2</f>
        <v>新增材料2</v>
      </c>
      <c r="D328" s="224">
        <f>参数调整!$K$35*怪物掉落配置方案!$D4432</f>
        <v>0</v>
      </c>
    </row>
    <row r="329" spans="1:4" ht="16.5" hidden="1" x14ac:dyDescent="0.3">
      <c r="A329" s="10" t="str">
        <f>基本属性!$B$6&amp;"|"&amp;基本属性!$C$6</f>
        <v>50|0</v>
      </c>
      <c r="B329" s="10" t="str">
        <f>参数调整!$J$35</f>
        <v>BOSS掉落</v>
      </c>
      <c r="C329" s="8" t="str">
        <f>材料产出!$BJ$2</f>
        <v>新增材料2</v>
      </c>
      <c r="D329" s="224">
        <f>参数调整!$K$35*怪物掉落配置方案!$D4433</f>
        <v>0</v>
      </c>
    </row>
    <row r="330" spans="1:4" ht="16.5" hidden="1" x14ac:dyDescent="0.3">
      <c r="A330" s="10" t="str">
        <f>基本属性!$B$7&amp;"|"&amp;基本属性!$C$7</f>
        <v>60|0</v>
      </c>
      <c r="B330" s="10" t="str">
        <f>参数调整!$J$35</f>
        <v>BOSS掉落</v>
      </c>
      <c r="C330" s="8" t="str">
        <f>材料产出!$BJ$2</f>
        <v>新增材料2</v>
      </c>
      <c r="D330" s="224">
        <f>参数调整!$K$35*怪物掉落配置方案!$D4434</f>
        <v>0</v>
      </c>
    </row>
    <row r="331" spans="1:4" ht="16.5" hidden="1" x14ac:dyDescent="0.3">
      <c r="A331" s="10" t="str">
        <f>基本属性!$B$8&amp;"|"&amp;基本属性!$C$8</f>
        <v>65|0</v>
      </c>
      <c r="B331" s="10" t="str">
        <f>参数调整!$J$35</f>
        <v>BOSS掉落</v>
      </c>
      <c r="C331" s="8" t="str">
        <f>材料产出!$BJ$2</f>
        <v>新增材料2</v>
      </c>
      <c r="D331" s="224">
        <f>参数调整!$K$35*怪物掉落配置方案!$D4435</f>
        <v>0</v>
      </c>
    </row>
    <row r="332" spans="1:4" ht="16.5" hidden="1" x14ac:dyDescent="0.3">
      <c r="A332" s="10" t="str">
        <f>基本属性!$B$9&amp;"|"&amp;基本属性!$C$9</f>
        <v>70|0</v>
      </c>
      <c r="B332" s="10" t="str">
        <f>参数调整!$J$35</f>
        <v>BOSS掉落</v>
      </c>
      <c r="C332" s="8" t="str">
        <f>材料产出!$BJ$2</f>
        <v>新增材料2</v>
      </c>
      <c r="D332" s="224">
        <f>参数调整!$K$35*怪物掉落配置方案!$D4436</f>
        <v>0</v>
      </c>
    </row>
    <row r="333" spans="1:4" ht="16.5" hidden="1" x14ac:dyDescent="0.3">
      <c r="A333" s="10" t="str">
        <f>基本属性!$B$10&amp;"|"&amp;基本属性!$C$10</f>
        <v>75|0</v>
      </c>
      <c r="B333" s="10" t="str">
        <f>参数调整!$J$35</f>
        <v>BOSS掉落</v>
      </c>
      <c r="C333" s="8" t="str">
        <f>材料产出!$BJ$2</f>
        <v>新增材料2</v>
      </c>
      <c r="D333" s="224">
        <f>参数调整!$K$35*怪物掉落配置方案!$D4437</f>
        <v>0</v>
      </c>
    </row>
    <row r="334" spans="1:4" ht="16.5" hidden="1" x14ac:dyDescent="0.3">
      <c r="A334" s="10" t="str">
        <f>基本属性!$B$11&amp;"|"&amp;基本属性!$C$11</f>
        <v>80|1</v>
      </c>
      <c r="B334" s="10" t="str">
        <f>参数调整!$J$35</f>
        <v>BOSS掉落</v>
      </c>
      <c r="C334" s="8" t="str">
        <f>材料产出!$BJ$2</f>
        <v>新增材料2</v>
      </c>
      <c r="D334" s="224">
        <f>参数调整!$K$35*怪物掉落配置方案!$D4438</f>
        <v>0</v>
      </c>
    </row>
    <row r="335" spans="1:4" ht="16.5" hidden="1" x14ac:dyDescent="0.3">
      <c r="A335" s="10" t="str">
        <f>基本属性!$B$12&amp;"|"&amp;基本属性!$C$12</f>
        <v>90|2</v>
      </c>
      <c r="B335" s="10" t="str">
        <f>参数调整!$J$35</f>
        <v>BOSS掉落</v>
      </c>
      <c r="C335" s="8" t="str">
        <f>材料产出!$BJ$2</f>
        <v>新增材料2</v>
      </c>
      <c r="D335" s="224">
        <f>参数调整!$K$35*怪物掉落配置方案!$D4439</f>
        <v>0</v>
      </c>
    </row>
    <row r="336" spans="1:4" ht="16.5" hidden="1" x14ac:dyDescent="0.3">
      <c r="A336" s="10" t="str">
        <f>基本属性!$B$13&amp;"|"&amp;基本属性!$C$13</f>
        <v>100|3</v>
      </c>
      <c r="B336" s="10" t="str">
        <f>参数调整!$J$35</f>
        <v>BOSS掉落</v>
      </c>
      <c r="C336" s="8" t="str">
        <f>材料产出!$BJ$2</f>
        <v>新增材料2</v>
      </c>
      <c r="D336" s="224">
        <f>参数调整!$K$35*怪物掉落配置方案!$D4440</f>
        <v>0</v>
      </c>
    </row>
    <row r="337" spans="1:4" ht="16.5" hidden="1" x14ac:dyDescent="0.3">
      <c r="A337" s="10" t="str">
        <f>基本属性!$B$14&amp;"|"&amp;基本属性!$C$14</f>
        <v>105|4</v>
      </c>
      <c r="B337" s="10" t="str">
        <f>参数调整!$J$35</f>
        <v>BOSS掉落</v>
      </c>
      <c r="C337" s="8" t="str">
        <f>材料产出!$BJ$2</f>
        <v>新增材料2</v>
      </c>
      <c r="D337" s="224">
        <f>参数调整!$K$35*怪物掉落配置方案!$D4441</f>
        <v>0</v>
      </c>
    </row>
    <row r="338" spans="1:4" ht="16.5" hidden="1" x14ac:dyDescent="0.3">
      <c r="A338" s="10" t="str">
        <f>基本属性!$B$15&amp;"|"&amp;基本属性!$C$15</f>
        <v>110|5</v>
      </c>
      <c r="B338" s="10" t="str">
        <f>参数调整!$J$35</f>
        <v>BOSS掉落</v>
      </c>
      <c r="C338" s="8" t="str">
        <f>材料产出!$BJ$2</f>
        <v>新增材料2</v>
      </c>
      <c r="D338" s="224">
        <f>参数调整!$K$35*怪物掉落配置方案!$D4442</f>
        <v>0</v>
      </c>
    </row>
    <row r="339" spans="1:4" ht="16.5" hidden="1" x14ac:dyDescent="0.3">
      <c r="A339" s="10" t="str">
        <f>基本属性!$B$16&amp;"|"&amp;基本属性!$C$16</f>
        <v>120|6</v>
      </c>
      <c r="B339" s="10" t="str">
        <f>参数调整!$J$35</f>
        <v>BOSS掉落</v>
      </c>
      <c r="C339" s="8" t="str">
        <f>材料产出!$BJ$2</f>
        <v>新增材料2</v>
      </c>
      <c r="D339" s="224">
        <f>参数调整!$K$35*怪物掉落配置方案!$D4443</f>
        <v>0</v>
      </c>
    </row>
    <row r="340" spans="1:4" ht="16.5" hidden="1" x14ac:dyDescent="0.3">
      <c r="A340" s="10" t="str">
        <f>基本属性!$B$17&amp;"|"&amp;基本属性!$C$17</f>
        <v>135|7</v>
      </c>
      <c r="B340" s="10" t="str">
        <f>参数调整!$J$35</f>
        <v>BOSS掉落</v>
      </c>
      <c r="C340" s="8" t="str">
        <f>材料产出!$BJ$2</f>
        <v>新增材料2</v>
      </c>
      <c r="D340" s="224">
        <f>参数调整!$K$35*怪物掉落配置方案!$D4444</f>
        <v>0</v>
      </c>
    </row>
    <row r="341" spans="1:4" ht="16.5" hidden="1" x14ac:dyDescent="0.3">
      <c r="A341" s="10" t="str">
        <f>基本属性!$B$18&amp;"|"&amp;基本属性!$C$18</f>
        <v>155|8</v>
      </c>
      <c r="B341" s="10" t="str">
        <f>参数调整!$J$35</f>
        <v>BOSS掉落</v>
      </c>
      <c r="C341" s="8" t="str">
        <f>材料产出!$BJ$2</f>
        <v>新增材料2</v>
      </c>
      <c r="D341" s="224">
        <f>参数调整!$K$35*怪物掉落配置方案!$D4445</f>
        <v>0</v>
      </c>
    </row>
    <row r="342" spans="1:4" ht="16.5" hidden="1" x14ac:dyDescent="0.3">
      <c r="A342" s="10" t="str">
        <f>基本属性!$B$19&amp;"|"&amp;基本属性!$C$19</f>
        <v>190|9</v>
      </c>
      <c r="B342" s="10" t="str">
        <f>参数调整!$J$35</f>
        <v>BOSS掉落</v>
      </c>
      <c r="C342" s="8" t="str">
        <f>材料产出!$BJ$2</f>
        <v>新增材料2</v>
      </c>
      <c r="D342" s="224">
        <f>参数调整!$K$35*怪物掉落配置方案!$D4446</f>
        <v>0</v>
      </c>
    </row>
    <row r="343" spans="1:4" ht="16.5" hidden="1" x14ac:dyDescent="0.3">
      <c r="A343" s="10" t="str">
        <f>基本属性!$B$20&amp;"|"&amp;基本属性!$C$20</f>
        <v>200|10</v>
      </c>
      <c r="B343" s="10" t="str">
        <f>参数调整!$J$35</f>
        <v>BOSS掉落</v>
      </c>
      <c r="C343" s="8" t="str">
        <f>材料产出!$BJ$2</f>
        <v>新增材料2</v>
      </c>
      <c r="D343" s="224">
        <f>参数调整!$K$35*怪物掉落配置方案!$D4447</f>
        <v>0</v>
      </c>
    </row>
    <row r="344" spans="1:4" ht="16.5" hidden="1" x14ac:dyDescent="0.3">
      <c r="A344" s="10" t="str">
        <f>基本属性!$B$21&amp;"|"&amp;基本属性!$C$21</f>
        <v>200|11</v>
      </c>
      <c r="B344" s="10" t="str">
        <f>参数调整!$J$35</f>
        <v>BOSS掉落</v>
      </c>
      <c r="C344" s="8" t="str">
        <f>材料产出!$BJ$2</f>
        <v>新增材料2</v>
      </c>
      <c r="D344" s="224">
        <f>参数调整!$K$35*怪物掉落配置方案!$D4448</f>
        <v>0</v>
      </c>
    </row>
    <row r="345" spans="1:4" ht="16.5" hidden="1" x14ac:dyDescent="0.3">
      <c r="A345" s="10" t="str">
        <f>基本属性!$B$22&amp;"|"&amp;基本属性!$C$22</f>
        <v>210|12</v>
      </c>
      <c r="B345" s="10" t="str">
        <f>参数调整!$J$35</f>
        <v>BOSS掉落</v>
      </c>
      <c r="C345" s="8" t="str">
        <f>材料产出!$BJ$2</f>
        <v>新增材料2</v>
      </c>
      <c r="D345" s="224">
        <f>参数调整!$K$35*怪物掉落配置方案!$D4449</f>
        <v>0</v>
      </c>
    </row>
    <row r="346" spans="1:4" ht="16.5" hidden="1" x14ac:dyDescent="0.3">
      <c r="A346" s="10" t="str">
        <f>基本属性!$B$23&amp;"|"&amp;基本属性!$C$23</f>
        <v>210|13</v>
      </c>
      <c r="B346" s="10" t="str">
        <f>参数调整!$J$35</f>
        <v>BOSS掉落</v>
      </c>
      <c r="C346" s="8" t="str">
        <f>材料产出!$BJ$2</f>
        <v>新增材料2</v>
      </c>
      <c r="D346" s="224">
        <f>参数调整!$K$35*怪物掉落配置方案!$D4450</f>
        <v>0</v>
      </c>
    </row>
    <row r="347" spans="1:4" ht="16.5" hidden="1" x14ac:dyDescent="0.3">
      <c r="A347" s="10" t="str">
        <f>基本属性!$B$24&amp;"|"&amp;基本属性!$C$24</f>
        <v>220|14</v>
      </c>
      <c r="B347" s="10" t="str">
        <f>参数调整!$J$35</f>
        <v>BOSS掉落</v>
      </c>
      <c r="C347" s="8" t="str">
        <f>材料产出!$BJ$2</f>
        <v>新增材料2</v>
      </c>
      <c r="D347" s="224">
        <f>参数调整!$K$35*怪物掉落配置方案!$D4451</f>
        <v>0</v>
      </c>
    </row>
    <row r="348" spans="1:4" ht="16.5" hidden="1" x14ac:dyDescent="0.3">
      <c r="A348" s="10" t="str">
        <f>基本属性!$B$25&amp;"|"&amp;基本属性!$C$25</f>
        <v>220|15</v>
      </c>
      <c r="B348" s="10" t="str">
        <f>参数调整!$J$35</f>
        <v>BOSS掉落</v>
      </c>
      <c r="C348" s="8" t="str">
        <f>材料产出!$BJ$2</f>
        <v>新增材料2</v>
      </c>
      <c r="D348" s="224">
        <f>参数调整!$K$35*怪物掉落配置方案!$D4452</f>
        <v>0</v>
      </c>
    </row>
    <row r="349" spans="1:4" ht="16.5" hidden="1" x14ac:dyDescent="0.3">
      <c r="A349" s="10" t="str">
        <f>基本属性!$B$26&amp;"|"&amp;基本属性!$C$26</f>
        <v>230|16</v>
      </c>
      <c r="B349" s="10" t="str">
        <f>参数调整!$J$35</f>
        <v>BOSS掉落</v>
      </c>
      <c r="C349" s="8" t="str">
        <f>材料产出!$BJ$2</f>
        <v>新增材料2</v>
      </c>
      <c r="D349" s="224">
        <f>参数调整!$K$35*怪物掉落配置方案!$D4453</f>
        <v>0</v>
      </c>
    </row>
    <row r="350" spans="1:4" ht="16.5" hidden="1" x14ac:dyDescent="0.3">
      <c r="A350" s="10" t="str">
        <f>基本属性!$B$27&amp;"|"&amp;基本属性!$C$27</f>
        <v>230|17</v>
      </c>
      <c r="B350" s="10" t="str">
        <f>参数调整!$J$35</f>
        <v>BOSS掉落</v>
      </c>
      <c r="C350" s="8" t="str">
        <f>材料产出!$BJ$2</f>
        <v>新增材料2</v>
      </c>
      <c r="D350" s="224">
        <f>参数调整!$K$35*怪物掉落配置方案!$D4454</f>
        <v>0</v>
      </c>
    </row>
    <row r="351" spans="1:4" ht="16.5" hidden="1" x14ac:dyDescent="0.3">
      <c r="A351" s="10" t="str">
        <f>基本属性!$B$28&amp;"|"&amp;基本属性!$C$28</f>
        <v>240|18</v>
      </c>
      <c r="B351" s="10" t="str">
        <f>参数调整!$J$35</f>
        <v>BOSS掉落</v>
      </c>
      <c r="C351" s="8" t="str">
        <f>材料产出!$BJ$2</f>
        <v>新增材料2</v>
      </c>
      <c r="D351" s="224">
        <f>参数调整!$K$35*怪物掉落配置方案!$D4455</f>
        <v>0</v>
      </c>
    </row>
    <row r="352" spans="1:4" ht="16.5" hidden="1" x14ac:dyDescent="0.3">
      <c r="A352" s="10" t="str">
        <f>基本属性!$B$29&amp;"|"&amp;基本属性!$C$29</f>
        <v>240|19</v>
      </c>
      <c r="B352" s="10" t="str">
        <f>参数调整!$J$35</f>
        <v>BOSS掉落</v>
      </c>
      <c r="C352" s="8" t="str">
        <f>材料产出!$BJ$2</f>
        <v>新增材料2</v>
      </c>
      <c r="D352" s="224">
        <f>参数调整!$K$35*怪物掉落配置方案!$D4456</f>
        <v>0</v>
      </c>
    </row>
    <row r="353" spans="1:4" ht="16.5" hidden="1" x14ac:dyDescent="0.3">
      <c r="A353" s="10" t="str">
        <f>基本属性!$B$30&amp;"|"&amp;基本属性!$C$30</f>
        <v>250|20</v>
      </c>
      <c r="B353" s="10" t="str">
        <f>参数调整!$J$35</f>
        <v>BOSS掉落</v>
      </c>
      <c r="C353" s="8" t="str">
        <f>材料产出!$BJ$2</f>
        <v>新增材料2</v>
      </c>
      <c r="D353" s="224">
        <f>参数调整!$K$35*怪物掉落配置方案!$D4457</f>
        <v>0</v>
      </c>
    </row>
    <row r="354" spans="1:4" ht="16.5" hidden="1" x14ac:dyDescent="0.3">
      <c r="A354" s="10" t="str">
        <f>基本属性!$B$4&amp;"|"&amp;基本属性!$C$4</f>
        <v>35|0</v>
      </c>
      <c r="B354" s="10" t="str">
        <f>参数调整!$J$35</f>
        <v>BOSS掉落</v>
      </c>
      <c r="C354" s="8" t="str">
        <f>材料产出!$BH$2</f>
        <v>新增材料1</v>
      </c>
      <c r="D354" s="224">
        <f>参数调整!$K$35*怪物掉落配置方案!$D4458</f>
        <v>0</v>
      </c>
    </row>
    <row r="355" spans="1:4" ht="16.5" hidden="1" x14ac:dyDescent="0.3">
      <c r="A355" s="10" t="str">
        <f>基本属性!$B$5&amp;"|"&amp;基本属性!$C$5</f>
        <v>40|0</v>
      </c>
      <c r="B355" s="10" t="str">
        <f>参数调整!$J$35</f>
        <v>BOSS掉落</v>
      </c>
      <c r="C355" s="8" t="str">
        <f>材料产出!$BH$2</f>
        <v>新增材料1</v>
      </c>
      <c r="D355" s="224">
        <f>参数调整!$K$35*怪物掉落配置方案!$D4459</f>
        <v>0</v>
      </c>
    </row>
    <row r="356" spans="1:4" ht="16.5" hidden="1" x14ac:dyDescent="0.3">
      <c r="A356" s="10" t="str">
        <f>基本属性!$B$6&amp;"|"&amp;基本属性!$C$6</f>
        <v>50|0</v>
      </c>
      <c r="B356" s="10" t="str">
        <f>参数调整!$J$35</f>
        <v>BOSS掉落</v>
      </c>
      <c r="C356" s="8" t="str">
        <f>材料产出!$BH$2</f>
        <v>新增材料1</v>
      </c>
      <c r="D356" s="224">
        <f>参数调整!$K$35*怪物掉落配置方案!$D4460</f>
        <v>0</v>
      </c>
    </row>
    <row r="357" spans="1:4" ht="16.5" hidden="1" x14ac:dyDescent="0.3">
      <c r="A357" s="10" t="str">
        <f>基本属性!$B$7&amp;"|"&amp;基本属性!$C$7</f>
        <v>60|0</v>
      </c>
      <c r="B357" s="10" t="str">
        <f>参数调整!$J$35</f>
        <v>BOSS掉落</v>
      </c>
      <c r="C357" s="8" t="str">
        <f>材料产出!$BH$2</f>
        <v>新增材料1</v>
      </c>
      <c r="D357" s="224">
        <f>参数调整!$K$35*怪物掉落配置方案!$D4461</f>
        <v>0</v>
      </c>
    </row>
    <row r="358" spans="1:4" ht="16.5" hidden="1" x14ac:dyDescent="0.3">
      <c r="A358" s="10" t="str">
        <f>基本属性!$B$8&amp;"|"&amp;基本属性!$C$8</f>
        <v>65|0</v>
      </c>
      <c r="B358" s="10" t="str">
        <f>参数调整!$J$35</f>
        <v>BOSS掉落</v>
      </c>
      <c r="C358" s="8" t="str">
        <f>材料产出!$BH$2</f>
        <v>新增材料1</v>
      </c>
      <c r="D358" s="224">
        <f>参数调整!$K$35*怪物掉落配置方案!$D4462</f>
        <v>0</v>
      </c>
    </row>
    <row r="359" spans="1:4" ht="16.5" hidden="1" x14ac:dyDescent="0.3">
      <c r="A359" s="10" t="str">
        <f>基本属性!$B$9&amp;"|"&amp;基本属性!$C$9</f>
        <v>70|0</v>
      </c>
      <c r="B359" s="10" t="str">
        <f>参数调整!$J$35</f>
        <v>BOSS掉落</v>
      </c>
      <c r="C359" s="8" t="str">
        <f>材料产出!$BH$2</f>
        <v>新增材料1</v>
      </c>
      <c r="D359" s="224">
        <f>参数调整!$K$35*怪物掉落配置方案!$D4463</f>
        <v>0</v>
      </c>
    </row>
    <row r="360" spans="1:4" ht="16.5" hidden="1" x14ac:dyDescent="0.3">
      <c r="A360" s="10" t="str">
        <f>基本属性!$B$10&amp;"|"&amp;基本属性!$C$10</f>
        <v>75|0</v>
      </c>
      <c r="B360" s="10" t="str">
        <f>参数调整!$J$35</f>
        <v>BOSS掉落</v>
      </c>
      <c r="C360" s="8" t="str">
        <f>材料产出!$BH$2</f>
        <v>新增材料1</v>
      </c>
      <c r="D360" s="224">
        <f>参数调整!$K$35*怪物掉落配置方案!$D4464</f>
        <v>0</v>
      </c>
    </row>
    <row r="361" spans="1:4" ht="16.5" hidden="1" x14ac:dyDescent="0.3">
      <c r="A361" s="10" t="str">
        <f>基本属性!$B$11&amp;"|"&amp;基本属性!$C$11</f>
        <v>80|1</v>
      </c>
      <c r="B361" s="10" t="str">
        <f>参数调整!$J$35</f>
        <v>BOSS掉落</v>
      </c>
      <c r="C361" s="8" t="str">
        <f>材料产出!$BH$2</f>
        <v>新增材料1</v>
      </c>
      <c r="D361" s="224">
        <f>参数调整!$K$35*怪物掉落配置方案!$D4465</f>
        <v>0</v>
      </c>
    </row>
    <row r="362" spans="1:4" ht="16.5" hidden="1" x14ac:dyDescent="0.3">
      <c r="A362" s="10" t="str">
        <f>基本属性!$B$12&amp;"|"&amp;基本属性!$C$12</f>
        <v>90|2</v>
      </c>
      <c r="B362" s="10" t="str">
        <f>参数调整!$J$35</f>
        <v>BOSS掉落</v>
      </c>
      <c r="C362" s="8" t="str">
        <f>材料产出!$BH$2</f>
        <v>新增材料1</v>
      </c>
      <c r="D362" s="224">
        <f>参数调整!$K$35*怪物掉落配置方案!$D4466</f>
        <v>0</v>
      </c>
    </row>
    <row r="363" spans="1:4" ht="16.5" hidden="1" x14ac:dyDescent="0.3">
      <c r="A363" s="10" t="str">
        <f>基本属性!$B$13&amp;"|"&amp;基本属性!$C$13</f>
        <v>100|3</v>
      </c>
      <c r="B363" s="10" t="str">
        <f>参数调整!$J$35</f>
        <v>BOSS掉落</v>
      </c>
      <c r="C363" s="8" t="str">
        <f>材料产出!$BH$2</f>
        <v>新增材料1</v>
      </c>
      <c r="D363" s="224">
        <f>参数调整!$K$35*怪物掉落配置方案!$D4467</f>
        <v>0</v>
      </c>
    </row>
    <row r="364" spans="1:4" ht="16.5" hidden="1" x14ac:dyDescent="0.3">
      <c r="A364" s="10" t="str">
        <f>基本属性!$B$14&amp;"|"&amp;基本属性!$C$14</f>
        <v>105|4</v>
      </c>
      <c r="B364" s="10" t="str">
        <f>参数调整!$J$35</f>
        <v>BOSS掉落</v>
      </c>
      <c r="C364" s="8" t="str">
        <f>材料产出!$BH$2</f>
        <v>新增材料1</v>
      </c>
      <c r="D364" s="224">
        <f>参数调整!$K$35*怪物掉落配置方案!$D4468</f>
        <v>0</v>
      </c>
    </row>
    <row r="365" spans="1:4" ht="16.5" hidden="1" x14ac:dyDescent="0.3">
      <c r="A365" s="10" t="str">
        <f>基本属性!$B$15&amp;"|"&amp;基本属性!$C$15</f>
        <v>110|5</v>
      </c>
      <c r="B365" s="10" t="str">
        <f>参数调整!$J$35</f>
        <v>BOSS掉落</v>
      </c>
      <c r="C365" s="8" t="str">
        <f>材料产出!$BH$2</f>
        <v>新增材料1</v>
      </c>
      <c r="D365" s="224">
        <f>参数调整!$K$35*怪物掉落配置方案!$D4469</f>
        <v>0</v>
      </c>
    </row>
    <row r="366" spans="1:4" ht="16.5" hidden="1" x14ac:dyDescent="0.3">
      <c r="A366" s="10" t="str">
        <f>基本属性!$B$16&amp;"|"&amp;基本属性!$C$16</f>
        <v>120|6</v>
      </c>
      <c r="B366" s="10" t="str">
        <f>参数调整!$J$35</f>
        <v>BOSS掉落</v>
      </c>
      <c r="C366" s="8" t="str">
        <f>材料产出!$BH$2</f>
        <v>新增材料1</v>
      </c>
      <c r="D366" s="224">
        <f>参数调整!$K$35*怪物掉落配置方案!$D4470</f>
        <v>0</v>
      </c>
    </row>
    <row r="367" spans="1:4" ht="16.5" hidden="1" x14ac:dyDescent="0.3">
      <c r="A367" s="10" t="str">
        <f>基本属性!$B$17&amp;"|"&amp;基本属性!$C$17</f>
        <v>135|7</v>
      </c>
      <c r="B367" s="10" t="str">
        <f>参数调整!$J$35</f>
        <v>BOSS掉落</v>
      </c>
      <c r="C367" s="8" t="str">
        <f>材料产出!$BH$2</f>
        <v>新增材料1</v>
      </c>
      <c r="D367" s="224">
        <f>参数调整!$K$35*怪物掉落配置方案!$D4471</f>
        <v>0</v>
      </c>
    </row>
    <row r="368" spans="1:4" ht="16.5" hidden="1" x14ac:dyDescent="0.3">
      <c r="A368" s="10" t="str">
        <f>基本属性!$B$18&amp;"|"&amp;基本属性!$C$18</f>
        <v>155|8</v>
      </c>
      <c r="B368" s="10" t="str">
        <f>参数调整!$J$35</f>
        <v>BOSS掉落</v>
      </c>
      <c r="C368" s="8" t="str">
        <f>材料产出!$BH$2</f>
        <v>新增材料1</v>
      </c>
      <c r="D368" s="224">
        <f>参数调整!$K$35*怪物掉落配置方案!$D4472</f>
        <v>0</v>
      </c>
    </row>
    <row r="369" spans="1:4" ht="16.5" hidden="1" x14ac:dyDescent="0.3">
      <c r="A369" s="10" t="str">
        <f>基本属性!$B$19&amp;"|"&amp;基本属性!$C$19</f>
        <v>190|9</v>
      </c>
      <c r="B369" s="10" t="str">
        <f>参数调整!$J$35</f>
        <v>BOSS掉落</v>
      </c>
      <c r="C369" s="8" t="str">
        <f>材料产出!$BH$2</f>
        <v>新增材料1</v>
      </c>
      <c r="D369" s="224">
        <f>参数调整!$K$35*怪物掉落配置方案!$D4473</f>
        <v>0</v>
      </c>
    </row>
    <row r="370" spans="1:4" ht="16.5" hidden="1" x14ac:dyDescent="0.3">
      <c r="A370" s="10" t="str">
        <f>基本属性!$B$20&amp;"|"&amp;基本属性!$C$20</f>
        <v>200|10</v>
      </c>
      <c r="B370" s="10" t="str">
        <f>参数调整!$J$35</f>
        <v>BOSS掉落</v>
      </c>
      <c r="C370" s="8" t="str">
        <f>材料产出!$BH$2</f>
        <v>新增材料1</v>
      </c>
      <c r="D370" s="224">
        <f>参数调整!$K$35*怪物掉落配置方案!$D4474</f>
        <v>0</v>
      </c>
    </row>
    <row r="371" spans="1:4" ht="16.5" hidden="1" x14ac:dyDescent="0.3">
      <c r="A371" s="10" t="str">
        <f>基本属性!$B$21&amp;"|"&amp;基本属性!$C$21</f>
        <v>200|11</v>
      </c>
      <c r="B371" s="10" t="str">
        <f>参数调整!$J$35</f>
        <v>BOSS掉落</v>
      </c>
      <c r="C371" s="8" t="str">
        <f>材料产出!$BH$2</f>
        <v>新增材料1</v>
      </c>
      <c r="D371" s="224">
        <f>参数调整!$K$35*怪物掉落配置方案!$D4475</f>
        <v>0</v>
      </c>
    </row>
    <row r="372" spans="1:4" ht="16.5" hidden="1" x14ac:dyDescent="0.3">
      <c r="A372" s="10" t="str">
        <f>基本属性!$B$22&amp;"|"&amp;基本属性!$C$22</f>
        <v>210|12</v>
      </c>
      <c r="B372" s="10" t="str">
        <f>参数调整!$J$35</f>
        <v>BOSS掉落</v>
      </c>
      <c r="C372" s="8" t="str">
        <f>材料产出!$BH$2</f>
        <v>新增材料1</v>
      </c>
      <c r="D372" s="224">
        <f>参数调整!$K$35*怪物掉落配置方案!$D4476</f>
        <v>0</v>
      </c>
    </row>
    <row r="373" spans="1:4" ht="16.5" hidden="1" x14ac:dyDescent="0.3">
      <c r="A373" s="10" t="str">
        <f>基本属性!$B$23&amp;"|"&amp;基本属性!$C$23</f>
        <v>210|13</v>
      </c>
      <c r="B373" s="10" t="str">
        <f>参数调整!$J$35</f>
        <v>BOSS掉落</v>
      </c>
      <c r="C373" s="8" t="str">
        <f>材料产出!$BH$2</f>
        <v>新增材料1</v>
      </c>
      <c r="D373" s="224">
        <f>参数调整!$K$35*怪物掉落配置方案!$D4477</f>
        <v>0</v>
      </c>
    </row>
    <row r="374" spans="1:4" ht="16.5" hidden="1" x14ac:dyDescent="0.3">
      <c r="A374" s="10" t="str">
        <f>基本属性!$B$24&amp;"|"&amp;基本属性!$C$24</f>
        <v>220|14</v>
      </c>
      <c r="B374" s="10" t="str">
        <f>参数调整!$J$35</f>
        <v>BOSS掉落</v>
      </c>
      <c r="C374" s="8" t="str">
        <f>材料产出!$BH$2</f>
        <v>新增材料1</v>
      </c>
      <c r="D374" s="224">
        <f>参数调整!$K$35*怪物掉落配置方案!$D4478</f>
        <v>0</v>
      </c>
    </row>
    <row r="375" spans="1:4" ht="16.5" hidden="1" x14ac:dyDescent="0.3">
      <c r="A375" s="10" t="str">
        <f>基本属性!$B$25&amp;"|"&amp;基本属性!$C$25</f>
        <v>220|15</v>
      </c>
      <c r="B375" s="10" t="str">
        <f>参数调整!$J$35</f>
        <v>BOSS掉落</v>
      </c>
      <c r="C375" s="8" t="str">
        <f>材料产出!$BH$2</f>
        <v>新增材料1</v>
      </c>
      <c r="D375" s="224">
        <f>参数调整!$K$35*怪物掉落配置方案!$D4479</f>
        <v>0</v>
      </c>
    </row>
    <row r="376" spans="1:4" ht="16.5" hidden="1" x14ac:dyDescent="0.3">
      <c r="A376" s="10" t="str">
        <f>基本属性!$B$26&amp;"|"&amp;基本属性!$C$26</f>
        <v>230|16</v>
      </c>
      <c r="B376" s="10" t="str">
        <f>参数调整!$J$35</f>
        <v>BOSS掉落</v>
      </c>
      <c r="C376" s="8" t="str">
        <f>材料产出!$BH$2</f>
        <v>新增材料1</v>
      </c>
      <c r="D376" s="224">
        <f>参数调整!$K$35*怪物掉落配置方案!$D4480</f>
        <v>0</v>
      </c>
    </row>
    <row r="377" spans="1:4" ht="16.5" hidden="1" x14ac:dyDescent="0.3">
      <c r="A377" s="10" t="str">
        <f>基本属性!$B$27&amp;"|"&amp;基本属性!$C$27</f>
        <v>230|17</v>
      </c>
      <c r="B377" s="10" t="str">
        <f>参数调整!$J$35</f>
        <v>BOSS掉落</v>
      </c>
      <c r="C377" s="8" t="str">
        <f>材料产出!$BH$2</f>
        <v>新增材料1</v>
      </c>
      <c r="D377" s="224">
        <f>参数调整!$K$35*怪物掉落配置方案!$D4481</f>
        <v>0</v>
      </c>
    </row>
    <row r="378" spans="1:4" ht="16.5" hidden="1" x14ac:dyDescent="0.3">
      <c r="A378" s="10" t="str">
        <f>基本属性!$B$28&amp;"|"&amp;基本属性!$C$28</f>
        <v>240|18</v>
      </c>
      <c r="B378" s="10" t="str">
        <f>参数调整!$J$35</f>
        <v>BOSS掉落</v>
      </c>
      <c r="C378" s="8" t="str">
        <f>材料产出!$BH$2</f>
        <v>新增材料1</v>
      </c>
      <c r="D378" s="224">
        <f>参数调整!$K$35*怪物掉落配置方案!$D4482</f>
        <v>0</v>
      </c>
    </row>
    <row r="379" spans="1:4" ht="16.5" hidden="1" x14ac:dyDescent="0.3">
      <c r="A379" s="10" t="str">
        <f>基本属性!$B$29&amp;"|"&amp;基本属性!$C$29</f>
        <v>240|19</v>
      </c>
      <c r="B379" s="10" t="str">
        <f>参数调整!$J$35</f>
        <v>BOSS掉落</v>
      </c>
      <c r="C379" s="8" t="str">
        <f>材料产出!$BH$2</f>
        <v>新增材料1</v>
      </c>
      <c r="D379" s="224">
        <f>参数调整!$K$35*怪物掉落配置方案!$D4483</f>
        <v>0</v>
      </c>
    </row>
    <row r="380" spans="1:4" ht="16.5" hidden="1" x14ac:dyDescent="0.3">
      <c r="A380" s="10" t="str">
        <f>基本属性!$B$30&amp;"|"&amp;基本属性!$C$30</f>
        <v>250|20</v>
      </c>
      <c r="B380" s="10" t="str">
        <f>参数调整!$J$35</f>
        <v>BOSS掉落</v>
      </c>
      <c r="C380" s="8" t="str">
        <f>材料产出!$BH$2</f>
        <v>新增材料1</v>
      </c>
      <c r="D380" s="224">
        <f>参数调整!$K$35*怪物掉落配置方案!$D4484</f>
        <v>0</v>
      </c>
    </row>
    <row r="381" spans="1:4" ht="16.5" hidden="1" x14ac:dyDescent="0.3">
      <c r="A381" s="10" t="str">
        <f>基本属性!$B$4&amp;"|"&amp;基本属性!$C$4</f>
        <v>35|0</v>
      </c>
      <c r="B381" s="10" t="str">
        <f>参数调整!$J$35</f>
        <v>BOSS掉落</v>
      </c>
      <c r="C381" s="8" t="str">
        <f>材料产出!$AF$2</f>
        <v>仙品升星石</v>
      </c>
      <c r="D381" s="224">
        <f>参数调整!$K$35*怪物掉落配置方案!$D4485</f>
        <v>0.45365042618120593</v>
      </c>
    </row>
    <row r="382" spans="1:4" ht="16.5" hidden="1" x14ac:dyDescent="0.3">
      <c r="A382" s="10" t="str">
        <f>基本属性!$B$5&amp;"|"&amp;基本属性!$C$5</f>
        <v>40|0</v>
      </c>
      <c r="B382" s="10" t="str">
        <f>参数调整!$J$35</f>
        <v>BOSS掉落</v>
      </c>
      <c r="C382" s="8" t="str">
        <f>材料产出!$AF$2</f>
        <v>仙品升星石</v>
      </c>
      <c r="D382" s="224">
        <f>参数调整!$K$35*怪物掉落配置方案!$D4486</f>
        <v>0.57415132063558894</v>
      </c>
    </row>
    <row r="383" spans="1:4" ht="16.5" hidden="1" x14ac:dyDescent="0.3">
      <c r="A383" s="10" t="str">
        <f>基本属性!$B$6&amp;"|"&amp;基本属性!$C$6</f>
        <v>50|0</v>
      </c>
      <c r="B383" s="10" t="str">
        <f>参数调整!$J$35</f>
        <v>BOSS掉落</v>
      </c>
      <c r="C383" s="8" t="str">
        <f>材料产出!$AF$2</f>
        <v>仙品升星石</v>
      </c>
      <c r="D383" s="224">
        <f>参数调整!$K$35*怪物掉落配置方案!$D4487</f>
        <v>0.70882879090813433</v>
      </c>
    </row>
    <row r="384" spans="1:4" ht="16.5" hidden="1" x14ac:dyDescent="0.3">
      <c r="A384" s="10" t="str">
        <f>基本属性!$B$7&amp;"|"&amp;基本属性!$C$7</f>
        <v>60|0</v>
      </c>
      <c r="B384" s="10" t="str">
        <f>参数调整!$J$35</f>
        <v>BOSS掉落</v>
      </c>
      <c r="C384" s="8" t="str">
        <f>材料产出!$AF$2</f>
        <v>仙品升星石</v>
      </c>
      <c r="D384" s="224">
        <f>参数调整!$K$35*怪物掉落配置方案!$D4488</f>
        <v>0.85768283699884251</v>
      </c>
    </row>
    <row r="385" spans="1:4" ht="16.5" hidden="1" x14ac:dyDescent="0.3">
      <c r="A385" s="10" t="str">
        <f>基本属性!$B$8&amp;"|"&amp;基本属性!$C$8</f>
        <v>65|0</v>
      </c>
      <c r="B385" s="10" t="str">
        <f>参数调整!$J$35</f>
        <v>BOSS掉落</v>
      </c>
      <c r="C385" s="8" t="str">
        <f>材料产出!$AF$2</f>
        <v>仙品升星石</v>
      </c>
      <c r="D385" s="224">
        <f>参数调整!$K$35*怪物掉落配置方案!$D4489</f>
        <v>1.0207134589077134</v>
      </c>
    </row>
    <row r="386" spans="1:4" ht="16.5" hidden="1" x14ac:dyDescent="0.3">
      <c r="A386" s="10" t="str">
        <f>基本属性!$B$9&amp;"|"&amp;基本属性!$C$9</f>
        <v>70|0</v>
      </c>
      <c r="B386" s="10" t="str">
        <f>参数调整!$J$35</f>
        <v>BOSS掉落</v>
      </c>
      <c r="C386" s="8" t="str">
        <f>材料产出!$AF$2</f>
        <v>仙品升星石</v>
      </c>
      <c r="D386" s="224">
        <f>参数调整!$K$35*怪物掉落配置方案!$D4490</f>
        <v>1.1979206566347469</v>
      </c>
    </row>
    <row r="387" spans="1:4" ht="16.5" hidden="1" x14ac:dyDescent="0.3">
      <c r="A387" s="10" t="str">
        <f>基本属性!$B$10&amp;"|"&amp;基本属性!$C$10</f>
        <v>75|0</v>
      </c>
      <c r="B387" s="10" t="str">
        <f>参数调整!$J$35</f>
        <v>BOSS掉落</v>
      </c>
      <c r="C387" s="8" t="str">
        <f>材料产出!$AF$2</f>
        <v>仙品升星石</v>
      </c>
      <c r="D387" s="224">
        <f>参数调整!$K$35*怪物掉落配置方案!$D4491</f>
        <v>1.3893044301799431</v>
      </c>
    </row>
    <row r="388" spans="1:4" ht="16.5" hidden="1" x14ac:dyDescent="0.3">
      <c r="A388" s="10" t="str">
        <f>基本属性!$B$11&amp;"|"&amp;基本属性!$C$11</f>
        <v>80|1</v>
      </c>
      <c r="B388" s="10" t="str">
        <f>参数调整!$J$35</f>
        <v>BOSS掉落</v>
      </c>
      <c r="C388" s="8" t="str">
        <f>材料产出!$AF$2</f>
        <v>仙品升星石</v>
      </c>
      <c r="D388" s="224">
        <f>参数调整!$K$35*怪物掉落配置方案!$D4492</f>
        <v>1.5948647795433022</v>
      </c>
    </row>
    <row r="389" spans="1:4" ht="16.5" hidden="1" x14ac:dyDescent="0.3">
      <c r="A389" s="10" t="str">
        <f>基本属性!$B$12&amp;"|"&amp;基本属性!$C$12</f>
        <v>90|2</v>
      </c>
      <c r="B389" s="10" t="str">
        <f>参数调整!$J$35</f>
        <v>BOSS掉落</v>
      </c>
      <c r="C389" s="8" t="str">
        <f>材料产出!$AF$2</f>
        <v>仙品升星石</v>
      </c>
      <c r="D389" s="224">
        <f>参数调整!$K$35*怪物掉落配置方案!$D4493</f>
        <v>1.8146017047248244</v>
      </c>
    </row>
    <row r="390" spans="1:4" ht="16.5" hidden="1" x14ac:dyDescent="0.3">
      <c r="A390" s="10" t="str">
        <f>基本属性!$B$13&amp;"|"&amp;基本属性!$C$13</f>
        <v>100|3</v>
      </c>
      <c r="B390" s="10" t="str">
        <f>参数调整!$J$35</f>
        <v>BOSS掉落</v>
      </c>
      <c r="C390" s="8" t="str">
        <f>材料产出!$AF$2</f>
        <v>仙品升星石</v>
      </c>
      <c r="D390" s="224">
        <f>参数调整!$K$35*怪物掉落配置方案!$D4494</f>
        <v>2.2966052825423557</v>
      </c>
    </row>
    <row r="391" spans="1:4" ht="16.5" hidden="1" x14ac:dyDescent="0.3">
      <c r="A391" s="10" t="str">
        <f>基本属性!$B$14&amp;"|"&amp;基本属性!$C$14</f>
        <v>105|4</v>
      </c>
      <c r="B391" s="10" t="str">
        <f>参数调整!$J$35</f>
        <v>BOSS掉落</v>
      </c>
      <c r="C391" s="8" t="str">
        <f>材料产出!$AF$2</f>
        <v>仙品升星石</v>
      </c>
      <c r="D391" s="224">
        <f>参数调整!$K$35*怪物掉落配置方案!$D4495</f>
        <v>2.8353151636325369</v>
      </c>
    </row>
    <row r="392" spans="1:4" ht="16.5" hidden="1" x14ac:dyDescent="0.3">
      <c r="A392" s="10" t="str">
        <f>基本属性!$B$15&amp;"|"&amp;基本属性!$C$15</f>
        <v>110|5</v>
      </c>
      <c r="B392" s="10" t="str">
        <f>参数调整!$J$35</f>
        <v>BOSS掉落</v>
      </c>
      <c r="C392" s="8" t="str">
        <f>材料产出!$AF$2</f>
        <v>仙品升星石</v>
      </c>
      <c r="D392" s="224">
        <f>参数调整!$K$35*怪物掉落配置方案!$D4496</f>
        <v>3.4307313479953701</v>
      </c>
    </row>
    <row r="393" spans="1:4" ht="16.5" hidden="1" x14ac:dyDescent="0.3">
      <c r="A393" s="10" t="str">
        <f>基本属性!$B$16&amp;"|"&amp;基本属性!$C$16</f>
        <v>120|6</v>
      </c>
      <c r="B393" s="10" t="str">
        <f>参数调整!$J$35</f>
        <v>BOSS掉落</v>
      </c>
      <c r="C393" s="8" t="str">
        <f>材料产出!$AF$2</f>
        <v>仙品升星石</v>
      </c>
      <c r="D393" s="224">
        <f>参数调整!$K$35*怪物掉落配置方案!$D4497</f>
        <v>4.4301799431758395</v>
      </c>
    </row>
    <row r="394" spans="1:4" ht="16.5" hidden="1" x14ac:dyDescent="0.3">
      <c r="A394" s="10" t="str">
        <f>基本属性!$B$17&amp;"|"&amp;基本属性!$C$17</f>
        <v>135|7</v>
      </c>
      <c r="B394" s="10" t="str">
        <f>参数调整!$J$35</f>
        <v>BOSS掉落</v>
      </c>
      <c r="C394" s="8" t="str">
        <f>材料产出!$AF$2</f>
        <v>仙品升星石</v>
      </c>
      <c r="D394" s="224">
        <f>参数调整!$K$35*怪物掉落配置方案!$D4498</f>
        <v>6.3794591181732088</v>
      </c>
    </row>
    <row r="395" spans="1:4" ht="16.5" hidden="1" x14ac:dyDescent="0.3">
      <c r="A395" s="10" t="str">
        <f>基本属性!$B$18&amp;"|"&amp;基本属性!$C$18</f>
        <v>155|8</v>
      </c>
      <c r="B395" s="10" t="str">
        <f>参数调整!$J$35</f>
        <v>BOSS掉落</v>
      </c>
      <c r="C395" s="8" t="str">
        <f>材料产出!$AF$2</f>
        <v>仙品升星石</v>
      </c>
      <c r="D395" s="224">
        <f>参数调整!$K$35*怪物掉落配置方案!$D4499</f>
        <v>8.6831526886246468</v>
      </c>
    </row>
    <row r="396" spans="1:4" ht="16.5" hidden="1" x14ac:dyDescent="0.3">
      <c r="A396" s="10" t="str">
        <f>基本属性!$B$19&amp;"|"&amp;基本属性!$C$19</f>
        <v>190|9</v>
      </c>
      <c r="B396" s="10" t="str">
        <f>参数调整!$J$35</f>
        <v>BOSS掉落</v>
      </c>
      <c r="C396" s="8" t="str">
        <f>材料产出!$AF$2</f>
        <v>仙品升星石</v>
      </c>
      <c r="D396" s="224">
        <f>参数调整!$K$35*怪物掉落配置方案!$D4500</f>
        <v>9.7038661475323611</v>
      </c>
    </row>
    <row r="397" spans="1:4" ht="16.5" hidden="1" x14ac:dyDescent="0.3">
      <c r="A397" s="10" t="str">
        <f>基本属性!$B$20&amp;"|"&amp;基本属性!$C$20</f>
        <v>200|10</v>
      </c>
      <c r="B397" s="10" t="str">
        <f>参数调整!$J$35</f>
        <v>BOSS掉落</v>
      </c>
      <c r="C397" s="8" t="str">
        <f>材料产出!$AF$2</f>
        <v>仙品升星石</v>
      </c>
      <c r="D397" s="224">
        <f>参数调整!$K$35*怪物掉落配置方案!$D4501</f>
        <v>11.341260654530148</v>
      </c>
    </row>
    <row r="398" spans="1:4" ht="16.5" hidden="1" x14ac:dyDescent="0.3">
      <c r="A398" s="10" t="str">
        <f>基本属性!$B$21&amp;"|"&amp;基本属性!$C$21</f>
        <v>200|11</v>
      </c>
      <c r="B398" s="10" t="str">
        <f>参数调整!$J$35</f>
        <v>BOSS掉落</v>
      </c>
      <c r="C398" s="8" t="str">
        <f>材料产出!$AF$2</f>
        <v>仙品升星石</v>
      </c>
      <c r="D398" s="224">
        <f>参数调整!$K$35*怪物掉落配置方案!$D4502</f>
        <v>13.106244343891401</v>
      </c>
    </row>
    <row r="399" spans="1:4" ht="16.5" hidden="1" x14ac:dyDescent="0.3">
      <c r="A399" s="10" t="str">
        <f>基本属性!$B$22&amp;"|"&amp;基本属性!$C$22</f>
        <v>210|12</v>
      </c>
      <c r="B399" s="10" t="str">
        <f>参数调整!$J$35</f>
        <v>BOSS掉落</v>
      </c>
      <c r="C399" s="8" t="str">
        <f>材料产出!$AF$2</f>
        <v>仙品升星石</v>
      </c>
      <c r="D399" s="224">
        <f>参数调整!$K$35*怪物掉落配置方案!$D4503</f>
        <v>14.998817215616119</v>
      </c>
    </row>
    <row r="400" spans="1:4" ht="16.5" hidden="1" x14ac:dyDescent="0.3">
      <c r="A400" s="10" t="str">
        <f>基本属性!$B$23&amp;"|"&amp;基本属性!$C$23</f>
        <v>210|13</v>
      </c>
      <c r="B400" s="10" t="str">
        <f>参数调整!$J$35</f>
        <v>BOSS掉落</v>
      </c>
      <c r="C400" s="8" t="str">
        <f>材料产出!$AF$2</f>
        <v>仙品升星石</v>
      </c>
      <c r="D400" s="224">
        <f>参数调整!$K$35*怪物掉落配置方案!$D4504</f>
        <v>17.018979269704303</v>
      </c>
    </row>
    <row r="401" spans="1:4" ht="16.5" hidden="1" x14ac:dyDescent="0.3">
      <c r="A401" s="10" t="str">
        <f>基本属性!$B$24&amp;"|"&amp;基本属性!$C$24</f>
        <v>220|14</v>
      </c>
      <c r="B401" s="10" t="str">
        <f>参数调整!$J$35</f>
        <v>BOSS掉落</v>
      </c>
      <c r="C401" s="8" t="str">
        <f>材料产出!$AF$2</f>
        <v>仙品升星石</v>
      </c>
      <c r="D401" s="224">
        <f>参数调整!$K$35*怪物掉落配置方案!$D4505</f>
        <v>19.166730506155954</v>
      </c>
    </row>
    <row r="402" spans="1:4" ht="16.5" hidden="1" x14ac:dyDescent="0.3">
      <c r="A402" s="10" t="str">
        <f>基本属性!$B$25&amp;"|"&amp;基本属性!$C$25</f>
        <v>220|15</v>
      </c>
      <c r="B402" s="10" t="str">
        <f>参数调整!$J$35</f>
        <v>BOSS掉落</v>
      </c>
      <c r="C402" s="8" t="str">
        <f>材料产出!$AF$2</f>
        <v>仙品升星石</v>
      </c>
      <c r="D402" s="224">
        <f>参数调整!$K$35*怪物掉落配置方案!$D4506</f>
        <v>21.442070924971055</v>
      </c>
    </row>
    <row r="403" spans="1:4" ht="16.5" hidden="1" x14ac:dyDescent="0.3">
      <c r="A403" s="10" t="str">
        <f>基本属性!$B$26&amp;"|"&amp;基本属性!$C$26</f>
        <v>230|16</v>
      </c>
      <c r="B403" s="10" t="str">
        <f>参数调整!$J$35</f>
        <v>BOSS掉落</v>
      </c>
      <c r="C403" s="8" t="str">
        <f>材料产出!$AF$2</f>
        <v>仙品升星石</v>
      </c>
      <c r="D403" s="224">
        <f>参数调整!$K$35*怪物掉落配置方案!$D4507</f>
        <v>23.845000526149636</v>
      </c>
    </row>
    <row r="404" spans="1:4" ht="16.5" hidden="1" x14ac:dyDescent="0.3">
      <c r="A404" s="10" t="str">
        <f>基本属性!$B$27&amp;"|"&amp;基本属性!$C$27</f>
        <v>230|17</v>
      </c>
      <c r="B404" s="10" t="str">
        <f>参数调整!$J$35</f>
        <v>BOSS掉落</v>
      </c>
      <c r="C404" s="8" t="str">
        <f>材料产出!$AF$2</f>
        <v>仙品升星石</v>
      </c>
      <c r="D404" s="224">
        <f>参数调整!$K$35*怪物掉落配置方案!$D4508</f>
        <v>26.375519309691676</v>
      </c>
    </row>
    <row r="405" spans="1:4" ht="16.5" hidden="1" x14ac:dyDescent="0.3">
      <c r="A405" s="10" t="str">
        <f>基本属性!$B$28&amp;"|"&amp;基本属性!$C$28</f>
        <v>240|18</v>
      </c>
      <c r="B405" s="10" t="str">
        <f>参数调整!$J$35</f>
        <v>BOSS掉落</v>
      </c>
      <c r="C405" s="8" t="str">
        <f>材料产出!$AF$2</f>
        <v>仙品升星石</v>
      </c>
      <c r="D405" s="224">
        <f>参数调整!$K$35*怪物掉落配置方案!$D4509</f>
        <v>29.033627275597183</v>
      </c>
    </row>
    <row r="406" spans="1:4" ht="16.5" hidden="1" x14ac:dyDescent="0.3">
      <c r="A406" s="10" t="str">
        <f>基本属性!$B$29&amp;"|"&amp;基本属性!$C$29</f>
        <v>240|19</v>
      </c>
      <c r="B406" s="10" t="str">
        <f>参数调整!$J$35</f>
        <v>BOSS掉落</v>
      </c>
      <c r="C406" s="8" t="str">
        <f>材料产出!$AF$2</f>
        <v>仙品升星石</v>
      </c>
      <c r="D406" s="224">
        <f>参数调整!$K$35*怪物掉落配置方案!$D4510</f>
        <v>31.819324423866153</v>
      </c>
    </row>
    <row r="407" spans="1:4" ht="16.5" hidden="1" x14ac:dyDescent="0.3">
      <c r="A407" s="10" t="str">
        <f>基本属性!$B$30&amp;"|"&amp;基本属性!$C$30</f>
        <v>250|20</v>
      </c>
      <c r="B407" s="10" t="str">
        <f>参数调整!$J$35</f>
        <v>BOSS掉落</v>
      </c>
      <c r="C407" s="8" t="str">
        <f>材料产出!$AF$2</f>
        <v>仙品升星石</v>
      </c>
      <c r="D407" s="224">
        <f>参数调整!$K$35*怪物掉落配置方案!$D4511</f>
        <v>34.73261075449858</v>
      </c>
    </row>
    <row r="408" spans="1:4" ht="16.5" hidden="1" x14ac:dyDescent="0.3">
      <c r="A408" s="10" t="str">
        <f>基本属性!$B$4&amp;"|"&amp;基本属性!$C$4</f>
        <v>35|0</v>
      </c>
      <c r="B408" s="10" t="str">
        <f>参数调整!$J$35</f>
        <v>BOSS掉落</v>
      </c>
      <c r="C408" s="8" t="str">
        <f>材料产出!$T$2</f>
        <v>洗髓丹</v>
      </c>
      <c r="D408" s="224">
        <f>参数调整!$K$35*怪物掉落配置方案!$D4512</f>
        <v>0.11814868792596499</v>
      </c>
    </row>
    <row r="409" spans="1:4" ht="16.5" hidden="1" x14ac:dyDescent="0.3">
      <c r="A409" s="10" t="str">
        <f>基本属性!$B$5&amp;"|"&amp;基本属性!$C$5</f>
        <v>40|0</v>
      </c>
      <c r="B409" s="10" t="str">
        <f>参数调整!$J$35</f>
        <v>BOSS掉落</v>
      </c>
      <c r="C409" s="8" t="str">
        <f>材料产出!$T$2</f>
        <v>洗髓丹</v>
      </c>
      <c r="D409" s="224">
        <f>参数调整!$K$35*怪物掉落配置方案!$D4513</f>
        <v>0.14953193315629945</v>
      </c>
    </row>
    <row r="410" spans="1:4" ht="16.5" hidden="1" x14ac:dyDescent="0.3">
      <c r="A410" s="10" t="str">
        <f>基本属性!$B$6&amp;"|"&amp;基本属性!$C$6</f>
        <v>50|0</v>
      </c>
      <c r="B410" s="10" t="str">
        <f>参数调整!$J$35</f>
        <v>BOSS掉落</v>
      </c>
      <c r="C410" s="8" t="str">
        <f>材料产出!$T$2</f>
        <v>洗髓丹</v>
      </c>
      <c r="D410" s="224">
        <f>参数调整!$K$35*怪物掉落配置方案!$D4514</f>
        <v>0.1846073248843203</v>
      </c>
    </row>
    <row r="411" spans="1:4" ht="16.5" hidden="1" x14ac:dyDescent="0.3">
      <c r="A411" s="10" t="str">
        <f>基本属性!$B$7&amp;"|"&amp;基本属性!$C$7</f>
        <v>60|0</v>
      </c>
      <c r="B411" s="10" t="str">
        <f>参数调整!$J$35</f>
        <v>BOSS掉落</v>
      </c>
      <c r="C411" s="8" t="str">
        <f>材料产出!$T$2</f>
        <v>洗髓丹</v>
      </c>
      <c r="D411" s="224">
        <f>参数调整!$K$35*怪物掉落配置方案!$D4515</f>
        <v>0.2233748631100276</v>
      </c>
    </row>
    <row r="412" spans="1:4" ht="16.5" hidden="1" x14ac:dyDescent="0.3">
      <c r="A412" s="10" t="str">
        <f>基本属性!$B$8&amp;"|"&amp;基本属性!$C$8</f>
        <v>65|0</v>
      </c>
      <c r="B412" s="10" t="str">
        <f>参数调整!$J$35</f>
        <v>BOSS掉落</v>
      </c>
      <c r="C412" s="8" t="str">
        <f>材料产出!$T$2</f>
        <v>洗髓丹</v>
      </c>
      <c r="D412" s="224">
        <f>参数调整!$K$35*怪物掉落配置方案!$D4516</f>
        <v>0.26583454783342125</v>
      </c>
    </row>
    <row r="413" spans="1:4" ht="16.5" hidden="1" x14ac:dyDescent="0.3">
      <c r="A413" s="10" t="str">
        <f>基本属性!$B$9&amp;"|"&amp;基本属性!$C$9</f>
        <v>70|0</v>
      </c>
      <c r="B413" s="10" t="str">
        <f>参数调整!$J$35</f>
        <v>BOSS掉落</v>
      </c>
      <c r="C413" s="8" t="str">
        <f>材料产出!$T$2</f>
        <v>洗髓丹</v>
      </c>
      <c r="D413" s="224">
        <f>参数调整!$K$35*怪物掉落配置方案!$D4517</f>
        <v>0.31198637905450133</v>
      </c>
    </row>
    <row r="414" spans="1:4" ht="16.5" hidden="1" x14ac:dyDescent="0.3">
      <c r="A414" s="10" t="str">
        <f>基本属性!$B$10&amp;"|"&amp;基本属性!$C$10</f>
        <v>75|0</v>
      </c>
      <c r="B414" s="10" t="str">
        <f>参数调整!$J$35</f>
        <v>BOSS掉落</v>
      </c>
      <c r="C414" s="8" t="str">
        <f>材料产出!$T$2</f>
        <v>洗髓丹</v>
      </c>
      <c r="D414" s="224">
        <f>参数调整!$K$35*怪物掉落配置方案!$D4518</f>
        <v>0.36183035677326775</v>
      </c>
    </row>
    <row r="415" spans="1:4" ht="16.5" hidden="1" x14ac:dyDescent="0.3">
      <c r="A415" s="10" t="str">
        <f>基本属性!$B$11&amp;"|"&amp;基本属性!$C$11</f>
        <v>80|1</v>
      </c>
      <c r="B415" s="10" t="str">
        <f>参数调整!$J$35</f>
        <v>BOSS掉落</v>
      </c>
      <c r="C415" s="8" t="str">
        <f>材料产出!$T$2</f>
        <v>洗髓丹</v>
      </c>
      <c r="D415" s="224">
        <f>参数调整!$K$35*怪物掉落配置方案!$D4519</f>
        <v>0.41536648098972073</v>
      </c>
    </row>
    <row r="416" spans="1:4" ht="16.5" hidden="1" x14ac:dyDescent="0.3">
      <c r="A416" s="10" t="str">
        <f>基本属性!$B$12&amp;"|"&amp;基本属性!$C$12</f>
        <v>90|2</v>
      </c>
      <c r="B416" s="10" t="str">
        <f>参数调整!$J$35</f>
        <v>BOSS掉落</v>
      </c>
      <c r="C416" s="8" t="str">
        <f>材料产出!$T$2</f>
        <v>洗髓丹</v>
      </c>
      <c r="D416" s="224">
        <f>参数调整!$K$35*怪物掉落配置方案!$D4520</f>
        <v>0.47259475170386006</v>
      </c>
    </row>
    <row r="417" spans="1:4" ht="16.5" hidden="1" x14ac:dyDescent="0.3">
      <c r="A417" s="10" t="str">
        <f>基本属性!$B$13&amp;"|"&amp;基本属性!$C$13</f>
        <v>100|3</v>
      </c>
      <c r="B417" s="10" t="str">
        <f>参数调整!$J$35</f>
        <v>BOSS掉落</v>
      </c>
      <c r="C417" s="8" t="str">
        <f>材料产出!$T$2</f>
        <v>洗髓丹</v>
      </c>
      <c r="D417" s="224">
        <f>参数调整!$K$35*怪物掉落配置方案!$D4521</f>
        <v>0.59812773262519792</v>
      </c>
    </row>
    <row r="418" spans="1:4" ht="16.5" hidden="1" x14ac:dyDescent="0.3">
      <c r="A418" s="10" t="str">
        <f>基本属性!$B$14&amp;"|"&amp;基本属性!$C$14</f>
        <v>105|4</v>
      </c>
      <c r="B418" s="10" t="str">
        <f>参数调整!$J$35</f>
        <v>BOSS掉落</v>
      </c>
      <c r="C418" s="8" t="str">
        <f>材料产出!$T$2</f>
        <v>洗髓丹</v>
      </c>
      <c r="D418" s="224">
        <f>参数调整!$K$35*怪物掉落配置方案!$D4522</f>
        <v>0.7384292995372812</v>
      </c>
    </row>
    <row r="419" spans="1:4" ht="16.5" hidden="1" x14ac:dyDescent="0.3">
      <c r="A419" s="10" t="str">
        <f>基本属性!$B$15&amp;"|"&amp;基本属性!$C$15</f>
        <v>110|5</v>
      </c>
      <c r="B419" s="10" t="str">
        <f>参数调整!$J$35</f>
        <v>BOSS掉落</v>
      </c>
      <c r="C419" s="8" t="str">
        <f>材料产出!$T$2</f>
        <v>洗髓丹</v>
      </c>
      <c r="D419" s="224">
        <f>参数调整!$K$35*怪物掉落配置方案!$D4523</f>
        <v>0.89349945244011042</v>
      </c>
    </row>
    <row r="420" spans="1:4" ht="16.5" hidden="1" x14ac:dyDescent="0.3">
      <c r="A420" s="10" t="str">
        <f>基本属性!$B$16&amp;"|"&amp;基本属性!$C$16</f>
        <v>120|6</v>
      </c>
      <c r="B420" s="10" t="str">
        <f>参数调整!$J$35</f>
        <v>BOSS掉落</v>
      </c>
      <c r="C420" s="8" t="str">
        <f>材料产出!$T$2</f>
        <v>洗髓丹</v>
      </c>
      <c r="D420" s="224">
        <f>参数调整!$K$35*怪物掉落配置方案!$D4524</f>
        <v>1.1537957805270018</v>
      </c>
    </row>
    <row r="421" spans="1:4" ht="16.5" hidden="1" x14ac:dyDescent="0.3">
      <c r="A421" s="10" t="str">
        <f>基本属性!$B$17&amp;"|"&amp;基本属性!$C$17</f>
        <v>135|7</v>
      </c>
      <c r="B421" s="10" t="str">
        <f>参数调整!$J$35</f>
        <v>BOSS掉落</v>
      </c>
      <c r="C421" s="8" t="str">
        <f>材料产出!$T$2</f>
        <v>洗髓丹</v>
      </c>
      <c r="D421" s="224">
        <f>参数调整!$K$35*怪物掉落配置方案!$D4525</f>
        <v>1.6614659239588829</v>
      </c>
    </row>
    <row r="422" spans="1:4" ht="16.5" hidden="1" x14ac:dyDescent="0.3">
      <c r="A422" s="10" t="str">
        <f>基本属性!$B$18&amp;"|"&amp;基本属性!$C$18</f>
        <v>155|8</v>
      </c>
      <c r="B422" s="10" t="str">
        <f>参数调整!$J$35</f>
        <v>BOSS掉落</v>
      </c>
      <c r="C422" s="8" t="str">
        <f>材料产出!$T$2</f>
        <v>洗髓丹</v>
      </c>
      <c r="D422" s="224">
        <f>参数调整!$K$35*怪物掉落配置方案!$D4526</f>
        <v>2.2614397298329241</v>
      </c>
    </row>
    <row r="423" spans="1:4" ht="16.5" hidden="1" x14ac:dyDescent="0.3">
      <c r="A423" s="10" t="str">
        <f>基本属性!$B$19&amp;"|"&amp;基本属性!$C$19</f>
        <v>190|9</v>
      </c>
      <c r="B423" s="10" t="str">
        <f>参数调整!$J$35</f>
        <v>BOSS掉落</v>
      </c>
      <c r="C423" s="8" t="str">
        <f>材料产出!$T$2</f>
        <v>洗髓丹</v>
      </c>
      <c r="D423" s="224">
        <f>参数调整!$K$35*怪物掉落配置方案!$D4527</f>
        <v>2.5272742776663453</v>
      </c>
    </row>
    <row r="424" spans="1:4" ht="16.5" hidden="1" x14ac:dyDescent="0.3">
      <c r="A424" s="10" t="str">
        <f>基本属性!$B$20&amp;"|"&amp;基本属性!$C$20</f>
        <v>200|10</v>
      </c>
      <c r="B424" s="10" t="str">
        <f>参数调整!$J$35</f>
        <v>BOSS掉落</v>
      </c>
      <c r="C424" s="8" t="str">
        <f>材料产出!$T$2</f>
        <v>洗髓丹</v>
      </c>
      <c r="D424" s="224">
        <f>参数调整!$K$35*怪物掉落配置方案!$D4528</f>
        <v>2.9537171981491248</v>
      </c>
    </row>
    <row r="425" spans="1:4" ht="16.5" hidden="1" x14ac:dyDescent="0.3">
      <c r="A425" s="10" t="str">
        <f>基本属性!$B$21&amp;"|"&amp;基本属性!$C$21</f>
        <v>200|11</v>
      </c>
      <c r="B425" s="10" t="str">
        <f>参数调整!$J$35</f>
        <v>BOSS掉落</v>
      </c>
      <c r="C425" s="8" t="str">
        <f>材料产出!$T$2</f>
        <v>洗髓丹</v>
      </c>
      <c r="D425" s="224">
        <f>参数调整!$K$35*怪物掉落配置方案!$D4529</f>
        <v>3.4133894371110816</v>
      </c>
    </row>
    <row r="426" spans="1:4" ht="16.5" hidden="1" x14ac:dyDescent="0.3">
      <c r="A426" s="10" t="str">
        <f>基本属性!$B$22&amp;"|"&amp;基本属性!$C$22</f>
        <v>210|12</v>
      </c>
      <c r="B426" s="10" t="str">
        <f>参数调整!$J$35</f>
        <v>BOSS掉落</v>
      </c>
      <c r="C426" s="8" t="str">
        <f>材料产出!$T$2</f>
        <v>洗髓丹</v>
      </c>
      <c r="D426" s="224">
        <f>参数调整!$K$35*怪物掉落配置方案!$D4530</f>
        <v>3.9062909945522168</v>
      </c>
    </row>
    <row r="427" spans="1:4" ht="16.5" hidden="1" x14ac:dyDescent="0.3">
      <c r="A427" s="10" t="str">
        <f>基本属性!$B$23&amp;"|"&amp;基本属性!$C$23</f>
        <v>210|13</v>
      </c>
      <c r="B427" s="10" t="str">
        <f>参数调整!$J$35</f>
        <v>BOSS掉落</v>
      </c>
      <c r="C427" s="8" t="str">
        <f>材料产出!$T$2</f>
        <v>洗髓丹</v>
      </c>
      <c r="D427" s="224">
        <f>参数调整!$K$35*怪物掉落配置方案!$D4531</f>
        <v>4.4324218704725311</v>
      </c>
    </row>
    <row r="428" spans="1:4" ht="16.5" hidden="1" x14ac:dyDescent="0.3">
      <c r="A428" s="10" t="str">
        <f>基本属性!$B$24&amp;"|"&amp;基本属性!$C$24</f>
        <v>220|14</v>
      </c>
      <c r="B428" s="10" t="str">
        <f>参数调整!$J$35</f>
        <v>BOSS掉落</v>
      </c>
      <c r="C428" s="8" t="str">
        <f>材料产出!$T$2</f>
        <v>洗髓丹</v>
      </c>
      <c r="D428" s="224">
        <f>参数调整!$K$35*怪物掉落配置方案!$D4532</f>
        <v>4.9917820648720213</v>
      </c>
    </row>
    <row r="429" spans="1:4" ht="16.5" hidden="1" x14ac:dyDescent="0.3">
      <c r="A429" s="10" t="str">
        <f>基本属性!$B$25&amp;"|"&amp;基本属性!$C$25</f>
        <v>220|15</v>
      </c>
      <c r="B429" s="10" t="str">
        <f>参数调整!$J$35</f>
        <v>BOSS掉落</v>
      </c>
      <c r="C429" s="8" t="str">
        <f>材料产出!$T$2</f>
        <v>洗髓丹</v>
      </c>
      <c r="D429" s="224">
        <f>参数调整!$K$35*怪物掉落配置方案!$D4533</f>
        <v>5.584371577750689</v>
      </c>
    </row>
    <row r="430" spans="1:4" ht="16.5" hidden="1" x14ac:dyDescent="0.3">
      <c r="A430" s="10" t="str">
        <f>基本属性!$B$26&amp;"|"&amp;基本属性!$C$26</f>
        <v>230|16</v>
      </c>
      <c r="B430" s="10" t="str">
        <f>参数调整!$J$35</f>
        <v>BOSS掉落</v>
      </c>
      <c r="C430" s="8" t="str">
        <f>材料产出!$T$2</f>
        <v>洗髓丹</v>
      </c>
      <c r="D430" s="224">
        <f>参数调整!$K$35*怪物掉落配置方案!$D4534</f>
        <v>6.2101904091085345</v>
      </c>
    </row>
    <row r="431" spans="1:4" ht="16.5" hidden="1" x14ac:dyDescent="0.3">
      <c r="A431" s="10" t="str">
        <f>基本属性!$B$27&amp;"|"&amp;基本属性!$C$27</f>
        <v>230|17</v>
      </c>
      <c r="B431" s="10" t="str">
        <f>参数调整!$J$35</f>
        <v>BOSS掉落</v>
      </c>
      <c r="C431" s="8" t="str">
        <f>材料产出!$T$2</f>
        <v>洗髓丹</v>
      </c>
      <c r="D431" s="224">
        <f>参数调整!$K$35*怪物掉落配置方案!$D4535</f>
        <v>6.8692385589455576</v>
      </c>
    </row>
    <row r="432" spans="1:4" ht="16.5" hidden="1" x14ac:dyDescent="0.3">
      <c r="A432" s="10" t="str">
        <f>基本属性!$B$28&amp;"|"&amp;基本属性!$C$28</f>
        <v>240|18</v>
      </c>
      <c r="B432" s="10" t="str">
        <f>参数调整!$J$35</f>
        <v>BOSS掉落</v>
      </c>
      <c r="C432" s="8" t="str">
        <f>材料产出!$T$2</f>
        <v>洗髓丹</v>
      </c>
      <c r="D432" s="224">
        <f>参数调整!$K$35*怪物掉落配置方案!$D4536</f>
        <v>7.561516027261761</v>
      </c>
    </row>
    <row r="433" spans="1:4" ht="16.5" hidden="1" x14ac:dyDescent="0.3">
      <c r="A433" s="10" t="str">
        <f>基本属性!$B$29&amp;"|"&amp;基本属性!$C$29</f>
        <v>240|19</v>
      </c>
      <c r="B433" s="10" t="str">
        <f>参数调整!$J$35</f>
        <v>BOSS掉落</v>
      </c>
      <c r="C433" s="8" t="str">
        <f>材料产出!$T$2</f>
        <v>洗髓丹</v>
      </c>
      <c r="D433" s="224">
        <f>参数调整!$K$35*怪物掉落配置方案!$D4537</f>
        <v>8.2870228140571385</v>
      </c>
    </row>
    <row r="434" spans="1:4" ht="16.5" hidden="1" x14ac:dyDescent="0.3">
      <c r="A434" s="10" t="str">
        <f>基本属性!$B$30&amp;"|"&amp;基本属性!$C$30</f>
        <v>250|20</v>
      </c>
      <c r="B434" s="10" t="str">
        <f>参数调整!$J$35</f>
        <v>BOSS掉落</v>
      </c>
      <c r="C434" s="8" t="str">
        <f>材料产出!$T$2</f>
        <v>洗髓丹</v>
      </c>
      <c r="D434" s="224">
        <f>参数调整!$K$35*怪物掉落配置方案!$D4538</f>
        <v>9.0457589193316945</v>
      </c>
    </row>
    <row r="435" spans="1:4" ht="16.5" hidden="1" x14ac:dyDescent="0.3">
      <c r="A435" s="10" t="str">
        <f>基本属性!$B$4&amp;"|"&amp;基本属性!$C$4</f>
        <v>35|0</v>
      </c>
      <c r="B435" s="10" t="str">
        <f>参数调整!$J$35</f>
        <v>BOSS掉落</v>
      </c>
      <c r="C435" s="8" t="str">
        <f>材料产出!$AZ$2</f>
        <v>武器碎片</v>
      </c>
      <c r="D435" s="224">
        <f>参数调整!$K$35*怪物掉落配置方案!$D4539</f>
        <v>1.6233394416779907E-3</v>
      </c>
    </row>
    <row r="436" spans="1:4" ht="16.5" hidden="1" x14ac:dyDescent="0.3">
      <c r="A436" s="10" t="str">
        <f>基本属性!$B$5&amp;"|"&amp;基本属性!$C$5</f>
        <v>40|0</v>
      </c>
      <c r="B436" s="10" t="str">
        <f>参数调整!$J$35</f>
        <v>BOSS掉落</v>
      </c>
      <c r="C436" s="8" t="str">
        <f>材料产出!$AZ$2</f>
        <v>武器碎片</v>
      </c>
      <c r="D436" s="224">
        <f>参数调整!$K$35*怪物掉落配置方案!$D4540</f>
        <v>2.0545389808737072E-3</v>
      </c>
    </row>
    <row r="437" spans="1:4" ht="16.5" hidden="1" x14ac:dyDescent="0.3">
      <c r="A437" s="10" t="str">
        <f>基本属性!$B$6&amp;"|"&amp;基本属性!$C$6</f>
        <v>50|0</v>
      </c>
      <c r="B437" s="10" t="str">
        <f>参数调整!$J$35</f>
        <v>BOSS掉落</v>
      </c>
      <c r="C437" s="8" t="str">
        <f>材料产出!$AZ$2</f>
        <v>武器碎片</v>
      </c>
      <c r="D437" s="224">
        <f>参数调整!$K$35*怪物掉落配置方案!$D4541</f>
        <v>2.5364678776218607E-3</v>
      </c>
    </row>
    <row r="438" spans="1:4" ht="16.5" hidden="1" x14ac:dyDescent="0.3">
      <c r="A438" s="10" t="str">
        <f>基本属性!$B$7&amp;"|"&amp;基本属性!$C$7</f>
        <v>60|0</v>
      </c>
      <c r="B438" s="10" t="str">
        <f>参数调整!$J$35</f>
        <v>BOSS掉落</v>
      </c>
      <c r="C438" s="8" t="str">
        <f>材料产出!$AZ$2</f>
        <v>武器碎片</v>
      </c>
      <c r="D438" s="224">
        <f>参数调整!$K$35*怪物掉落配置方案!$D4542</f>
        <v>3.0691261319224514E-3</v>
      </c>
    </row>
    <row r="439" spans="1:4" ht="16.5" hidden="1" x14ac:dyDescent="0.3">
      <c r="A439" s="10" t="str">
        <f>基本属性!$B$8&amp;"|"&amp;基本属性!$C$8</f>
        <v>65|0</v>
      </c>
      <c r="B439" s="10" t="str">
        <f>参数调整!$J$35</f>
        <v>BOSS掉落</v>
      </c>
      <c r="C439" s="8" t="str">
        <f>材料产出!$AZ$2</f>
        <v>武器碎片</v>
      </c>
      <c r="D439" s="224">
        <f>参数调整!$K$35*怪物掉落配置方案!$D4543</f>
        <v>3.6525137437754796E-3</v>
      </c>
    </row>
    <row r="440" spans="1:4" ht="16.5" hidden="1" x14ac:dyDescent="0.3">
      <c r="A440" s="10" t="str">
        <f>基本属性!$B$9&amp;"|"&amp;基本属性!$C$9</f>
        <v>70|0</v>
      </c>
      <c r="B440" s="10" t="str">
        <f>参数调整!$J$35</f>
        <v>BOSS掉落</v>
      </c>
      <c r="C440" s="8" t="str">
        <f>材料产出!$AZ$2</f>
        <v>武器碎片</v>
      </c>
      <c r="D440" s="224">
        <f>参数调整!$K$35*怪物掉落配置方案!$D4544</f>
        <v>4.2866307131809445E-3</v>
      </c>
    </row>
    <row r="441" spans="1:4" ht="16.5" hidden="1" x14ac:dyDescent="0.3">
      <c r="A441" s="10" t="str">
        <f>基本属性!$B$10&amp;"|"&amp;基本属性!$C$10</f>
        <v>75|0</v>
      </c>
      <c r="B441" s="10" t="str">
        <f>参数调整!$J$35</f>
        <v>BOSS掉落</v>
      </c>
      <c r="C441" s="8" t="str">
        <f>材料产出!$AZ$2</f>
        <v>武器碎片</v>
      </c>
      <c r="D441" s="224">
        <f>参数调整!$K$35*怪物掉落配置方案!$D4545</f>
        <v>4.9714770401388464E-3</v>
      </c>
    </row>
    <row r="442" spans="1:4" ht="16.5" hidden="1" x14ac:dyDescent="0.3">
      <c r="A442" s="10" t="str">
        <f>基本属性!$B$11&amp;"|"&amp;基本属性!$C$11</f>
        <v>80|1</v>
      </c>
      <c r="B442" s="10" t="str">
        <f>参数调整!$J$35</f>
        <v>BOSS掉落</v>
      </c>
      <c r="C442" s="8" t="str">
        <f>材料产出!$AZ$2</f>
        <v>武器碎片</v>
      </c>
      <c r="D442" s="224">
        <f>参数调整!$K$35*怪物掉落配置方案!$D4546</f>
        <v>5.7070527246491859E-3</v>
      </c>
    </row>
    <row r="443" spans="1:4" ht="16.5" hidden="1" x14ac:dyDescent="0.3">
      <c r="A443" s="10" t="str">
        <f>基本属性!$B$12&amp;"|"&amp;基本属性!$C$12</f>
        <v>90|2</v>
      </c>
      <c r="B443" s="10" t="str">
        <f>参数调整!$J$35</f>
        <v>BOSS掉落</v>
      </c>
      <c r="C443" s="8" t="str">
        <f>材料产出!$AZ$2</f>
        <v>武器碎片</v>
      </c>
      <c r="D443" s="224">
        <f>参数调整!$K$35*怪物掉落配置方案!$D4547</f>
        <v>6.4933577667119647E-3</v>
      </c>
    </row>
    <row r="444" spans="1:4" ht="16.5" hidden="1" x14ac:dyDescent="0.3">
      <c r="A444" s="10" t="str">
        <f>基本属性!$B$13&amp;"|"&amp;基本属性!$C$13</f>
        <v>100|3</v>
      </c>
      <c r="B444" s="10" t="str">
        <f>参数调整!$J$35</f>
        <v>BOSS掉落</v>
      </c>
      <c r="C444" s="8" t="str">
        <f>材料产出!$AZ$2</f>
        <v>武器碎片</v>
      </c>
      <c r="D444" s="224">
        <f>参数调整!$K$35*怪物掉落配置方案!$D4548</f>
        <v>8.2181559234948305E-3</v>
      </c>
    </row>
    <row r="445" spans="1:4" ht="16.5" hidden="1" x14ac:dyDescent="0.3">
      <c r="A445" s="10" t="str">
        <f>基本属性!$B$14&amp;"|"&amp;基本属性!$C$14</f>
        <v>105|4</v>
      </c>
      <c r="B445" s="10" t="str">
        <f>参数调整!$J$35</f>
        <v>BOSS掉落</v>
      </c>
      <c r="C445" s="8" t="str">
        <f>材料产出!$AZ$2</f>
        <v>武器碎片</v>
      </c>
      <c r="D445" s="224">
        <f>参数调整!$K$35*怪物掉落配置方案!$D4549</f>
        <v>1.0145871510487443E-2</v>
      </c>
    </row>
    <row r="446" spans="1:4" ht="16.5" hidden="1" x14ac:dyDescent="0.3">
      <c r="A446" s="10" t="str">
        <f>基本属性!$B$15&amp;"|"&amp;基本属性!$C$15</f>
        <v>110|5</v>
      </c>
      <c r="B446" s="10" t="str">
        <f>参数调整!$J$35</f>
        <v>BOSS掉落</v>
      </c>
      <c r="C446" s="8" t="str">
        <f>材料产出!$AZ$2</f>
        <v>武器碎片</v>
      </c>
      <c r="D446" s="224">
        <f>参数调整!$K$35*怪物掉落配置方案!$D4550</f>
        <v>1.2276504527689809E-2</v>
      </c>
    </row>
    <row r="447" spans="1:4" ht="16.5" hidden="1" x14ac:dyDescent="0.3">
      <c r="A447" s="10" t="str">
        <f>基本属性!$B$16&amp;"|"&amp;基本属性!$C$16</f>
        <v>120|6</v>
      </c>
      <c r="B447" s="10" t="str">
        <f>参数调整!$J$35</f>
        <v>BOSS掉落</v>
      </c>
      <c r="C447" s="8" t="str">
        <f>材料产出!$AZ$2</f>
        <v>武器碎片</v>
      </c>
      <c r="D447" s="224">
        <f>参数调整!$K$35*怪物掉落配置方案!$D4551</f>
        <v>1.5852924235136633E-2</v>
      </c>
    </row>
    <row r="448" spans="1:4" ht="16.5" hidden="1" x14ac:dyDescent="0.3">
      <c r="A448" s="10" t="str">
        <f>基本属性!$B$17&amp;"|"&amp;基本属性!$C$17</f>
        <v>135|7</v>
      </c>
      <c r="B448" s="10" t="str">
        <f>参数调整!$J$35</f>
        <v>BOSS掉落</v>
      </c>
      <c r="C448" s="8" t="str">
        <f>材料产出!$AZ$2</f>
        <v>武器碎片</v>
      </c>
      <c r="D448" s="224">
        <f>参数调整!$K$35*怪物掉落配置方案!$D4552</f>
        <v>2.2828210898596744E-2</v>
      </c>
    </row>
    <row r="449" spans="1:4" ht="16.5" hidden="1" x14ac:dyDescent="0.3">
      <c r="A449" s="10" t="str">
        <f>基本属性!$B$18&amp;"|"&amp;基本属性!$C$18</f>
        <v>155|8</v>
      </c>
      <c r="B449" s="10" t="str">
        <f>参数调整!$J$35</f>
        <v>BOSS掉落</v>
      </c>
      <c r="C449" s="8" t="str">
        <f>材料产出!$AZ$2</f>
        <v>武器碎片</v>
      </c>
      <c r="D449" s="224">
        <f>参数调整!$K$35*怪物掉落配置方案!$D4553</f>
        <v>3.1071731500867797E-2</v>
      </c>
    </row>
    <row r="450" spans="1:4" ht="16.5" hidden="1" x14ac:dyDescent="0.3">
      <c r="A450" s="10" t="str">
        <f>基本属性!$B$19&amp;"|"&amp;基本属性!$C$19</f>
        <v>190|9</v>
      </c>
      <c r="B450" s="10" t="str">
        <f>参数调整!$J$35</f>
        <v>BOSS掉落</v>
      </c>
      <c r="C450" s="8" t="str">
        <f>材料产出!$AZ$2</f>
        <v>武器碎片</v>
      </c>
      <c r="D450" s="224">
        <f>参数调整!$K$35*怪物掉落配置方案!$D4554</f>
        <v>3.4724245244643272E-2</v>
      </c>
    </row>
    <row r="451" spans="1:4" ht="16.5" hidden="1" x14ac:dyDescent="0.3">
      <c r="A451" s="10" t="str">
        <f>基本属性!$B$20&amp;"|"&amp;基本属性!$C$20</f>
        <v>200|10</v>
      </c>
      <c r="B451" s="10" t="str">
        <f>参数调整!$J$35</f>
        <v>BOSS掉落</v>
      </c>
      <c r="C451" s="8" t="str">
        <f>材料产出!$AZ$2</f>
        <v>武器碎片</v>
      </c>
      <c r="D451" s="224">
        <f>参数调整!$K$35*怪物掉落配置方案!$D4555</f>
        <v>4.0583486041949772E-2</v>
      </c>
    </row>
    <row r="452" spans="1:4" ht="16.5" hidden="1" x14ac:dyDescent="0.3">
      <c r="A452" s="10" t="str">
        <f>基本属性!$B$21&amp;"|"&amp;基本属性!$C$21</f>
        <v>200|11</v>
      </c>
      <c r="B452" s="10" t="str">
        <f>参数调整!$J$35</f>
        <v>BOSS掉落</v>
      </c>
      <c r="C452" s="8" t="str">
        <f>材料产出!$AZ$2</f>
        <v>武器碎片</v>
      </c>
      <c r="D452" s="224">
        <f>参数调整!$K$35*怪物掉落配置方案!$D4556</f>
        <v>4.689929105722819E-2</v>
      </c>
    </row>
    <row r="453" spans="1:4" ht="16.5" hidden="1" x14ac:dyDescent="0.3">
      <c r="A453" s="10" t="str">
        <f>基本属性!$B$22&amp;"|"&amp;基本属性!$C$22</f>
        <v>210|12</v>
      </c>
      <c r="B453" s="10" t="str">
        <f>参数调整!$J$35</f>
        <v>BOSS掉落</v>
      </c>
      <c r="C453" s="8" t="str">
        <f>材料产出!$AZ$2</f>
        <v>武器碎片</v>
      </c>
      <c r="D453" s="224">
        <f>参数调整!$K$35*怪物掉落配置方案!$D4557</f>
        <v>5.3671660290478554E-2</v>
      </c>
    </row>
    <row r="454" spans="1:4" ht="16.5" hidden="1" x14ac:dyDescent="0.3">
      <c r="A454" s="10" t="str">
        <f>基本属性!$B$23&amp;"|"&amp;基本属性!$C$23</f>
        <v>210|13</v>
      </c>
      <c r="B454" s="10" t="str">
        <f>参数调整!$J$35</f>
        <v>BOSS掉落</v>
      </c>
      <c r="C454" s="8" t="str">
        <f>材料产出!$AZ$2</f>
        <v>武器碎片</v>
      </c>
      <c r="D454" s="224">
        <f>参数调整!$K$35*怪物掉落配置方案!$D4558</f>
        <v>6.0900593741700884E-2</v>
      </c>
    </row>
    <row r="455" spans="1:4" ht="16.5" hidden="1" x14ac:dyDescent="0.3">
      <c r="A455" s="10" t="str">
        <f>基本属性!$B$24&amp;"|"&amp;基本属性!$C$24</f>
        <v>220|14</v>
      </c>
      <c r="B455" s="10" t="str">
        <f>参数调整!$J$35</f>
        <v>BOSS掉落</v>
      </c>
      <c r="C455" s="8" t="str">
        <f>材料产出!$AZ$2</f>
        <v>武器碎片</v>
      </c>
      <c r="D455" s="224">
        <f>参数调整!$K$35*怪物掉落配置方案!$D4559</f>
        <v>6.8586091410895111E-2</v>
      </c>
    </row>
    <row r="456" spans="1:4" ht="16.5" hidden="1" x14ac:dyDescent="0.3">
      <c r="A456" s="10" t="str">
        <f>基本属性!$B$25&amp;"|"&amp;基本属性!$C$25</f>
        <v>220|15</v>
      </c>
      <c r="B456" s="10" t="str">
        <f>参数调整!$J$35</f>
        <v>BOSS掉落</v>
      </c>
      <c r="C456" s="8" t="str">
        <f>材料产出!$AZ$2</f>
        <v>武器碎片</v>
      </c>
      <c r="D456" s="224">
        <f>参数调整!$K$35*怪物掉落配置方案!$D4560</f>
        <v>7.6728153298061263E-2</v>
      </c>
    </row>
    <row r="457" spans="1:4" ht="16.5" hidden="1" x14ac:dyDescent="0.3">
      <c r="A457" s="10" t="str">
        <f>基本属性!$B$26&amp;"|"&amp;基本属性!$C$26</f>
        <v>230|16</v>
      </c>
      <c r="B457" s="10" t="str">
        <f>参数调整!$J$35</f>
        <v>BOSS掉落</v>
      </c>
      <c r="C457" s="8" t="str">
        <f>材料产出!$AZ$2</f>
        <v>武器碎片</v>
      </c>
      <c r="D457" s="224">
        <f>参数调整!$K$35*怪物掉落配置方案!$D4561</f>
        <v>8.5326779403199382E-2</v>
      </c>
    </row>
    <row r="458" spans="1:4" ht="16.5" hidden="1" x14ac:dyDescent="0.3">
      <c r="A458" s="10" t="str">
        <f>基本属性!$B$27&amp;"|"&amp;基本属性!$C$27</f>
        <v>230|17</v>
      </c>
      <c r="B458" s="10" t="str">
        <f>参数调整!$J$35</f>
        <v>BOSS掉落</v>
      </c>
      <c r="C458" s="8" t="str">
        <f>材料产出!$AZ$2</f>
        <v>武器碎片</v>
      </c>
      <c r="D458" s="224">
        <f>参数调整!$K$35*怪物掉落配置方案!$D4562</f>
        <v>9.4381969726309425E-2</v>
      </c>
    </row>
    <row r="459" spans="1:4" ht="16.5" hidden="1" x14ac:dyDescent="0.3">
      <c r="A459" s="10" t="str">
        <f>基本属性!$B$28&amp;"|"&amp;基本属性!$C$28</f>
        <v>240|18</v>
      </c>
      <c r="B459" s="10" t="str">
        <f>参数调整!$J$35</f>
        <v>BOSS掉落</v>
      </c>
      <c r="C459" s="8" t="str">
        <f>材料产出!$AZ$2</f>
        <v>武器碎片</v>
      </c>
      <c r="D459" s="224">
        <f>参数调整!$K$35*怪物掉落配置方案!$D4563</f>
        <v>0.10389372426739141</v>
      </c>
    </row>
    <row r="460" spans="1:4" ht="16.5" hidden="1" x14ac:dyDescent="0.3">
      <c r="A460" s="10" t="str">
        <f>基本属性!$B$29&amp;"|"&amp;基本属性!$C$29</f>
        <v>240|19</v>
      </c>
      <c r="B460" s="10" t="str">
        <f>参数调整!$J$35</f>
        <v>BOSS掉落</v>
      </c>
      <c r="C460" s="8" t="str">
        <f>材料产出!$AZ$2</f>
        <v>武器碎片</v>
      </c>
      <c r="D460" s="224">
        <f>参数调整!$K$35*怪物掉落配置方案!$D4564</f>
        <v>0.11386204302644533</v>
      </c>
    </row>
    <row r="461" spans="1:4" ht="16.5" hidden="1" x14ac:dyDescent="0.3">
      <c r="A461" s="10" t="str">
        <f>基本属性!$B$30&amp;"|"&amp;基本属性!$C$30</f>
        <v>250|20</v>
      </c>
      <c r="B461" s="10" t="str">
        <f>参数调整!$J$35</f>
        <v>BOSS掉落</v>
      </c>
      <c r="C461" s="8" t="str">
        <f>材料产出!$AZ$2</f>
        <v>武器碎片</v>
      </c>
      <c r="D461" s="224">
        <f>参数调整!$K$35*怪物掉落配置方案!$D4565</f>
        <v>0.12428692600347113</v>
      </c>
    </row>
    <row r="462" spans="1:4" ht="16.5" hidden="1" x14ac:dyDescent="0.3">
      <c r="A462" s="10" t="str">
        <f>基本属性!$B$4&amp;"|"&amp;基本属性!$C$4</f>
        <v>35|0</v>
      </c>
      <c r="B462" s="10" t="str">
        <f>参数调整!$J$35</f>
        <v>BOSS掉落</v>
      </c>
      <c r="C462" s="8" t="str">
        <f>材料产出!$HW$2</f>
        <v>特戒装备</v>
      </c>
      <c r="D462" s="224">
        <f>参数调整!$K$35*怪物掉落配置方案!$D4566</f>
        <v>0</v>
      </c>
    </row>
    <row r="463" spans="1:4" ht="16.5" hidden="1" x14ac:dyDescent="0.3">
      <c r="A463" s="10" t="str">
        <f>基本属性!$B$5&amp;"|"&amp;基本属性!$C$5</f>
        <v>40|0</v>
      </c>
      <c r="B463" s="10" t="str">
        <f>参数调整!$J$35</f>
        <v>BOSS掉落</v>
      </c>
      <c r="C463" s="8" t="str">
        <f>材料产出!$HW$2</f>
        <v>特戒装备</v>
      </c>
      <c r="D463" s="224">
        <f>参数调整!$K$35*怪物掉落配置方案!$D4567</f>
        <v>0</v>
      </c>
    </row>
    <row r="464" spans="1:4" ht="16.5" hidden="1" x14ac:dyDescent="0.3">
      <c r="A464" s="10" t="str">
        <f>基本属性!$B$6&amp;"|"&amp;基本属性!$C$6</f>
        <v>50|0</v>
      </c>
      <c r="B464" s="10" t="str">
        <f>参数调整!$J$35</f>
        <v>BOSS掉落</v>
      </c>
      <c r="C464" s="8" t="str">
        <f>材料产出!$HW$2</f>
        <v>特戒装备</v>
      </c>
      <c r="D464" s="224">
        <f>参数调整!$K$35*怪物掉落配置方案!$D4568</f>
        <v>0</v>
      </c>
    </row>
    <row r="465" spans="1:4" ht="16.5" hidden="1" x14ac:dyDescent="0.3">
      <c r="A465" s="10" t="str">
        <f>基本属性!$B$7&amp;"|"&amp;基本属性!$C$7</f>
        <v>60|0</v>
      </c>
      <c r="B465" s="10" t="str">
        <f>参数调整!$J$35</f>
        <v>BOSS掉落</v>
      </c>
      <c r="C465" s="8" t="str">
        <f>材料产出!$HW$2</f>
        <v>特戒装备</v>
      </c>
      <c r="D465" s="224">
        <f>参数调整!$K$35*怪物掉落配置方案!$D4569</f>
        <v>0</v>
      </c>
    </row>
    <row r="466" spans="1:4" ht="16.5" hidden="1" x14ac:dyDescent="0.3">
      <c r="A466" s="10" t="str">
        <f>基本属性!$B$8&amp;"|"&amp;基本属性!$C$8</f>
        <v>65|0</v>
      </c>
      <c r="B466" s="10" t="str">
        <f>参数调整!$J$35</f>
        <v>BOSS掉落</v>
      </c>
      <c r="C466" s="8" t="str">
        <f>材料产出!$HW$2</f>
        <v>特戒装备</v>
      </c>
      <c r="D466" s="224">
        <f>参数调整!$K$35*怪物掉落配置方案!$D4570</f>
        <v>0</v>
      </c>
    </row>
    <row r="467" spans="1:4" ht="16.5" hidden="1" x14ac:dyDescent="0.3">
      <c r="A467" s="10" t="str">
        <f>基本属性!$B$9&amp;"|"&amp;基本属性!$C$9</f>
        <v>70|0</v>
      </c>
      <c r="B467" s="10" t="str">
        <f>参数调整!$J$35</f>
        <v>BOSS掉落</v>
      </c>
      <c r="C467" s="8" t="str">
        <f>材料产出!$HW$2</f>
        <v>特戒装备</v>
      </c>
      <c r="D467" s="224">
        <f>参数调整!$K$35*怪物掉落配置方案!$D4571</f>
        <v>0</v>
      </c>
    </row>
    <row r="468" spans="1:4" ht="16.5" hidden="1" x14ac:dyDescent="0.3">
      <c r="A468" s="10" t="str">
        <f>基本属性!$B$10&amp;"|"&amp;基本属性!$C$10</f>
        <v>75|0</v>
      </c>
      <c r="B468" s="10" t="str">
        <f>参数调整!$J$35</f>
        <v>BOSS掉落</v>
      </c>
      <c r="C468" s="8" t="str">
        <f>材料产出!$HW$2</f>
        <v>特戒装备</v>
      </c>
      <c r="D468" s="224">
        <f>参数调整!$K$35*怪物掉落配置方案!$D4572</f>
        <v>0</v>
      </c>
    </row>
    <row r="469" spans="1:4" ht="16.5" hidden="1" x14ac:dyDescent="0.3">
      <c r="A469" s="10" t="str">
        <f>基本属性!$B$11&amp;"|"&amp;基本属性!$C$11</f>
        <v>80|1</v>
      </c>
      <c r="B469" s="10" t="str">
        <f>参数调整!$J$35</f>
        <v>BOSS掉落</v>
      </c>
      <c r="C469" s="8" t="str">
        <f>材料产出!$HW$2</f>
        <v>特戒装备</v>
      </c>
      <c r="D469" s="224">
        <f>参数调整!$K$35*怪物掉落配置方案!$D4573</f>
        <v>0</v>
      </c>
    </row>
    <row r="470" spans="1:4" ht="16.5" hidden="1" x14ac:dyDescent="0.3">
      <c r="A470" s="10" t="str">
        <f>基本属性!$B$12&amp;"|"&amp;基本属性!$C$12</f>
        <v>90|2</v>
      </c>
      <c r="B470" s="10" t="str">
        <f>参数调整!$J$35</f>
        <v>BOSS掉落</v>
      </c>
      <c r="C470" s="8" t="str">
        <f>材料产出!$HW$2</f>
        <v>特戒装备</v>
      </c>
      <c r="D470" s="224">
        <f>参数调整!$K$35*怪物掉落配置方案!$D4574</f>
        <v>0</v>
      </c>
    </row>
    <row r="471" spans="1:4" ht="16.5" hidden="1" x14ac:dyDescent="0.3">
      <c r="A471" s="10" t="str">
        <f>基本属性!$B$13&amp;"|"&amp;基本属性!$C$13</f>
        <v>100|3</v>
      </c>
      <c r="B471" s="10" t="str">
        <f>参数调整!$J$35</f>
        <v>BOSS掉落</v>
      </c>
      <c r="C471" s="8" t="str">
        <f>材料产出!$HW$2</f>
        <v>特戒装备</v>
      </c>
      <c r="D471" s="224">
        <f>参数调整!$K$35*怪物掉落配置方案!$D4575</f>
        <v>0</v>
      </c>
    </row>
    <row r="472" spans="1:4" ht="16.5" hidden="1" x14ac:dyDescent="0.3">
      <c r="A472" s="10" t="str">
        <f>基本属性!$B$14&amp;"|"&amp;基本属性!$C$14</f>
        <v>105|4</v>
      </c>
      <c r="B472" s="10" t="str">
        <f>参数调整!$J$35</f>
        <v>BOSS掉落</v>
      </c>
      <c r="C472" s="8" t="str">
        <f>材料产出!$HW$2</f>
        <v>特戒装备</v>
      </c>
      <c r="D472" s="224">
        <f>参数调整!$K$35*怪物掉落配置方案!$D4576</f>
        <v>0</v>
      </c>
    </row>
    <row r="473" spans="1:4" ht="16.5" hidden="1" x14ac:dyDescent="0.3">
      <c r="A473" s="10" t="str">
        <f>基本属性!$B$15&amp;"|"&amp;基本属性!$C$15</f>
        <v>110|5</v>
      </c>
      <c r="B473" s="10" t="str">
        <f>参数调整!$J$35</f>
        <v>BOSS掉落</v>
      </c>
      <c r="C473" s="8" t="str">
        <f>材料产出!$HW$2</f>
        <v>特戒装备</v>
      </c>
      <c r="D473" s="224">
        <f>参数调整!$K$35*怪物掉落配置方案!$D4577</f>
        <v>0</v>
      </c>
    </row>
    <row r="474" spans="1:4" ht="16.5" hidden="1" x14ac:dyDescent="0.3">
      <c r="A474" s="10" t="str">
        <f>基本属性!$B$16&amp;"|"&amp;基本属性!$C$16</f>
        <v>120|6</v>
      </c>
      <c r="B474" s="10" t="str">
        <f>参数调整!$J$35</f>
        <v>BOSS掉落</v>
      </c>
      <c r="C474" s="8" t="str">
        <f>材料产出!$HW$2</f>
        <v>特戒装备</v>
      </c>
      <c r="D474" s="224">
        <f>参数调整!$K$35*怪物掉落配置方案!$D4578</f>
        <v>0</v>
      </c>
    </row>
    <row r="475" spans="1:4" ht="16.5" hidden="1" x14ac:dyDescent="0.3">
      <c r="A475" s="10" t="str">
        <f>基本属性!$B$17&amp;"|"&amp;基本属性!$C$17</f>
        <v>135|7</v>
      </c>
      <c r="B475" s="10" t="str">
        <f>参数调整!$J$35</f>
        <v>BOSS掉落</v>
      </c>
      <c r="C475" s="8" t="str">
        <f>材料产出!$HW$2</f>
        <v>特戒装备</v>
      </c>
      <c r="D475" s="224">
        <f>参数调整!$K$35*怪物掉落配置方案!$D4579</f>
        <v>0</v>
      </c>
    </row>
    <row r="476" spans="1:4" ht="16.5" hidden="1" x14ac:dyDescent="0.3">
      <c r="A476" s="10" t="str">
        <f>基本属性!$B$18&amp;"|"&amp;基本属性!$C$18</f>
        <v>155|8</v>
      </c>
      <c r="B476" s="10" t="str">
        <f>参数调整!$J$35</f>
        <v>BOSS掉落</v>
      </c>
      <c r="C476" s="8" t="str">
        <f>材料产出!$HW$2</f>
        <v>特戒装备</v>
      </c>
      <c r="D476" s="224">
        <f>参数调整!$K$35*怪物掉落配置方案!$D4580</f>
        <v>0</v>
      </c>
    </row>
    <row r="477" spans="1:4" ht="16.5" hidden="1" x14ac:dyDescent="0.3">
      <c r="A477" s="10" t="str">
        <f>基本属性!$B$19&amp;"|"&amp;基本属性!$C$19</f>
        <v>190|9</v>
      </c>
      <c r="B477" s="10" t="str">
        <f>参数调整!$J$35</f>
        <v>BOSS掉落</v>
      </c>
      <c r="C477" s="8" t="str">
        <f>材料产出!$HW$2</f>
        <v>特戒装备</v>
      </c>
      <c r="D477" s="224">
        <f>参数调整!$K$35*怪物掉落配置方案!$D4581</f>
        <v>0</v>
      </c>
    </row>
    <row r="478" spans="1:4" ht="16.5" hidden="1" x14ac:dyDescent="0.3">
      <c r="A478" s="10" t="str">
        <f>基本属性!$B$20&amp;"|"&amp;基本属性!$C$20</f>
        <v>200|10</v>
      </c>
      <c r="B478" s="10" t="str">
        <f>参数调整!$J$35</f>
        <v>BOSS掉落</v>
      </c>
      <c r="C478" s="8" t="str">
        <f>材料产出!$HW$2</f>
        <v>特戒装备</v>
      </c>
      <c r="D478" s="224">
        <f>参数调整!$K$35*怪物掉落配置方案!$D4582</f>
        <v>0</v>
      </c>
    </row>
    <row r="479" spans="1:4" ht="16.5" hidden="1" x14ac:dyDescent="0.3">
      <c r="A479" s="10" t="str">
        <f>基本属性!$B$21&amp;"|"&amp;基本属性!$C$21</f>
        <v>200|11</v>
      </c>
      <c r="B479" s="10" t="str">
        <f>参数调整!$J$35</f>
        <v>BOSS掉落</v>
      </c>
      <c r="C479" s="8" t="str">
        <f>材料产出!$HW$2</f>
        <v>特戒装备</v>
      </c>
      <c r="D479" s="224">
        <f>参数调整!$K$35*怪物掉落配置方案!$D4583</f>
        <v>0</v>
      </c>
    </row>
    <row r="480" spans="1:4" ht="16.5" hidden="1" x14ac:dyDescent="0.3">
      <c r="A480" s="10" t="str">
        <f>基本属性!$B$22&amp;"|"&amp;基本属性!$C$22</f>
        <v>210|12</v>
      </c>
      <c r="B480" s="10" t="str">
        <f>参数调整!$J$35</f>
        <v>BOSS掉落</v>
      </c>
      <c r="C480" s="8" t="str">
        <f>材料产出!$HW$2</f>
        <v>特戒装备</v>
      </c>
      <c r="D480" s="224">
        <f>参数调整!$K$35*怪物掉落配置方案!$D4584</f>
        <v>0</v>
      </c>
    </row>
    <row r="481" spans="1:4" ht="16.5" hidden="1" x14ac:dyDescent="0.3">
      <c r="A481" s="10" t="str">
        <f>基本属性!$B$23&amp;"|"&amp;基本属性!$C$23</f>
        <v>210|13</v>
      </c>
      <c r="B481" s="10" t="str">
        <f>参数调整!$J$35</f>
        <v>BOSS掉落</v>
      </c>
      <c r="C481" s="8" t="str">
        <f>材料产出!$HW$2</f>
        <v>特戒装备</v>
      </c>
      <c r="D481" s="224">
        <f>参数调整!$K$35*怪物掉落配置方案!$D4585</f>
        <v>0</v>
      </c>
    </row>
    <row r="482" spans="1:4" ht="16.5" hidden="1" x14ac:dyDescent="0.3">
      <c r="A482" s="10" t="str">
        <f>基本属性!$B$24&amp;"|"&amp;基本属性!$C$24</f>
        <v>220|14</v>
      </c>
      <c r="B482" s="10" t="str">
        <f>参数调整!$J$35</f>
        <v>BOSS掉落</v>
      </c>
      <c r="C482" s="8" t="str">
        <f>材料产出!$HW$2</f>
        <v>特戒装备</v>
      </c>
      <c r="D482" s="224">
        <f>参数调整!$K$35*怪物掉落配置方案!$D4586</f>
        <v>0</v>
      </c>
    </row>
    <row r="483" spans="1:4" ht="16.5" hidden="1" x14ac:dyDescent="0.3">
      <c r="A483" s="10" t="str">
        <f>基本属性!$B$25&amp;"|"&amp;基本属性!$C$25</f>
        <v>220|15</v>
      </c>
      <c r="B483" s="10" t="str">
        <f>参数调整!$J$35</f>
        <v>BOSS掉落</v>
      </c>
      <c r="C483" s="8" t="str">
        <f>材料产出!$HW$2</f>
        <v>特戒装备</v>
      </c>
      <c r="D483" s="224">
        <f>参数调整!$K$35*怪物掉落配置方案!$D4587</f>
        <v>0</v>
      </c>
    </row>
    <row r="484" spans="1:4" ht="16.5" hidden="1" x14ac:dyDescent="0.3">
      <c r="A484" s="10" t="str">
        <f>基本属性!$B$26&amp;"|"&amp;基本属性!$C$26</f>
        <v>230|16</v>
      </c>
      <c r="B484" s="10" t="str">
        <f>参数调整!$J$35</f>
        <v>BOSS掉落</v>
      </c>
      <c r="C484" s="8" t="str">
        <f>材料产出!$HW$2</f>
        <v>特戒装备</v>
      </c>
      <c r="D484" s="224">
        <f>参数调整!$K$35*怪物掉落配置方案!$D4588</f>
        <v>0</v>
      </c>
    </row>
    <row r="485" spans="1:4" ht="16.5" hidden="1" x14ac:dyDescent="0.3">
      <c r="A485" s="10" t="str">
        <f>基本属性!$B$27&amp;"|"&amp;基本属性!$C$27</f>
        <v>230|17</v>
      </c>
      <c r="B485" s="10" t="str">
        <f>参数调整!$J$35</f>
        <v>BOSS掉落</v>
      </c>
      <c r="C485" s="8" t="str">
        <f>材料产出!$HW$2</f>
        <v>特戒装备</v>
      </c>
      <c r="D485" s="224">
        <f>参数调整!$K$35*怪物掉落配置方案!$D4589</f>
        <v>0</v>
      </c>
    </row>
    <row r="486" spans="1:4" ht="16.5" hidden="1" x14ac:dyDescent="0.3">
      <c r="A486" s="10" t="str">
        <f>基本属性!$B$28&amp;"|"&amp;基本属性!$C$28</f>
        <v>240|18</v>
      </c>
      <c r="B486" s="10" t="str">
        <f>参数调整!$J$35</f>
        <v>BOSS掉落</v>
      </c>
      <c r="C486" s="8" t="str">
        <f>材料产出!$HW$2</f>
        <v>特戒装备</v>
      </c>
      <c r="D486" s="224">
        <f>参数调整!$K$35*怪物掉落配置方案!$D4590</f>
        <v>0</v>
      </c>
    </row>
    <row r="487" spans="1:4" ht="16.5" hidden="1" x14ac:dyDescent="0.3">
      <c r="A487" s="10" t="str">
        <f>基本属性!$B$29&amp;"|"&amp;基本属性!$C$29</f>
        <v>240|19</v>
      </c>
      <c r="B487" s="10" t="str">
        <f>参数调整!$J$35</f>
        <v>BOSS掉落</v>
      </c>
      <c r="C487" s="8" t="str">
        <f>材料产出!$HW$2</f>
        <v>特戒装备</v>
      </c>
      <c r="D487" s="224">
        <f>参数调整!$K$35*怪物掉落配置方案!$D4591</f>
        <v>0</v>
      </c>
    </row>
    <row r="488" spans="1:4" ht="16.5" hidden="1" x14ac:dyDescent="0.3">
      <c r="A488" s="10" t="str">
        <f>基本属性!$B$30&amp;"|"&amp;基本属性!$C$30</f>
        <v>250|20</v>
      </c>
      <c r="B488" s="10" t="str">
        <f>参数调整!$J$35</f>
        <v>BOSS掉落</v>
      </c>
      <c r="C488" s="8" t="str">
        <f>材料产出!$HW$2</f>
        <v>特戒装备</v>
      </c>
      <c r="D488" s="224">
        <f>参数调整!$K$35*怪物掉落配置方案!$D4592</f>
        <v>0</v>
      </c>
    </row>
    <row r="489" spans="1:4" ht="16.5" hidden="1" x14ac:dyDescent="0.3">
      <c r="A489" s="10" t="str">
        <f>基本属性!$B$4&amp;"|"&amp;基本属性!$C$4</f>
        <v>35|0</v>
      </c>
      <c r="B489" s="10" t="str">
        <f>参数调整!$J$35</f>
        <v>BOSS掉落</v>
      </c>
      <c r="C489" s="8" t="str">
        <f>材料产出!$BF$2</f>
        <v>首饰碎片</v>
      </c>
      <c r="D489" s="224">
        <f>参数调整!$K$35*怪物掉落配置方案!$D4593</f>
        <v>8.1166972083899537E-3</v>
      </c>
    </row>
    <row r="490" spans="1:4" ht="16.5" hidden="1" x14ac:dyDescent="0.3">
      <c r="A490" s="10" t="str">
        <f>基本属性!$B$5&amp;"|"&amp;基本属性!$C$5</f>
        <v>40|0</v>
      </c>
      <c r="B490" s="10" t="str">
        <f>参数调整!$J$35</f>
        <v>BOSS掉落</v>
      </c>
      <c r="C490" s="8" t="str">
        <f>材料产出!$BF$2</f>
        <v>首饰碎片</v>
      </c>
      <c r="D490" s="224">
        <f>参数调整!$K$35*怪物掉落配置方案!$D4594</f>
        <v>1.0272694904368536E-2</v>
      </c>
    </row>
    <row r="491" spans="1:4" ht="16.5" hidden="1" x14ac:dyDescent="0.3">
      <c r="A491" s="10" t="str">
        <f>基本属性!$B$6&amp;"|"&amp;基本属性!$C$6</f>
        <v>50|0</v>
      </c>
      <c r="B491" s="10" t="str">
        <f>参数调整!$J$35</f>
        <v>BOSS掉落</v>
      </c>
      <c r="C491" s="8" t="str">
        <f>材料产出!$BF$2</f>
        <v>首饰碎片</v>
      </c>
      <c r="D491" s="224">
        <f>参数调整!$K$35*怪物掉落配置方案!$D4595</f>
        <v>1.2682339388109302E-2</v>
      </c>
    </row>
    <row r="492" spans="1:4" ht="16.5" hidden="1" x14ac:dyDescent="0.3">
      <c r="A492" s="10" t="str">
        <f>基本属性!$B$7&amp;"|"&amp;基本属性!$C$7</f>
        <v>60|0</v>
      </c>
      <c r="B492" s="10" t="str">
        <f>参数调整!$J$35</f>
        <v>BOSS掉落</v>
      </c>
      <c r="C492" s="8" t="str">
        <f>材料产出!$BF$2</f>
        <v>首饰碎片</v>
      </c>
      <c r="D492" s="224">
        <f>参数调整!$K$35*怪物掉落配置方案!$D4596</f>
        <v>1.534563065961226E-2</v>
      </c>
    </row>
    <row r="493" spans="1:4" ht="16.5" hidden="1" x14ac:dyDescent="0.3">
      <c r="A493" s="10" t="str">
        <f>基本属性!$B$8&amp;"|"&amp;基本属性!$C$8</f>
        <v>65|0</v>
      </c>
      <c r="B493" s="10" t="str">
        <f>参数调整!$J$35</f>
        <v>BOSS掉落</v>
      </c>
      <c r="C493" s="8" t="str">
        <f>材料产出!$BF$2</f>
        <v>首饰碎片</v>
      </c>
      <c r="D493" s="224">
        <f>参数调整!$K$35*怪物掉落配置方案!$D4597</f>
        <v>1.8262568718877395E-2</v>
      </c>
    </row>
    <row r="494" spans="1:4" ht="16.5" hidden="1" x14ac:dyDescent="0.3">
      <c r="A494" s="10" t="str">
        <f>基本属性!$B$9&amp;"|"&amp;基本属性!$C$9</f>
        <v>70|0</v>
      </c>
      <c r="B494" s="10" t="str">
        <f>参数调整!$J$35</f>
        <v>BOSS掉落</v>
      </c>
      <c r="C494" s="8" t="str">
        <f>材料产出!$BF$2</f>
        <v>首饰碎片</v>
      </c>
      <c r="D494" s="224">
        <f>参数调整!$K$35*怪物掉落配置方案!$D4598</f>
        <v>2.1433153565904722E-2</v>
      </c>
    </row>
    <row r="495" spans="1:4" ht="16.5" hidden="1" x14ac:dyDescent="0.3">
      <c r="A495" s="10" t="str">
        <f>基本属性!$B$10&amp;"|"&amp;基本属性!$C$10</f>
        <v>75|0</v>
      </c>
      <c r="B495" s="10" t="str">
        <f>参数调整!$J$35</f>
        <v>BOSS掉落</v>
      </c>
      <c r="C495" s="8" t="str">
        <f>材料产出!$BF$2</f>
        <v>首饰碎片</v>
      </c>
      <c r="D495" s="224">
        <f>参数调整!$K$35*怪物掉落配置方案!$D4599</f>
        <v>2.4857385200694231E-2</v>
      </c>
    </row>
    <row r="496" spans="1:4" ht="16.5" hidden="1" x14ac:dyDescent="0.3">
      <c r="A496" s="10" t="str">
        <f>基本属性!$B$11&amp;"|"&amp;基本属性!$C$11</f>
        <v>80|1</v>
      </c>
      <c r="B496" s="10" t="str">
        <f>参数调整!$J$35</f>
        <v>BOSS掉落</v>
      </c>
      <c r="C496" s="8" t="str">
        <f>材料产出!$BF$2</f>
        <v>首饰碎片</v>
      </c>
      <c r="D496" s="224">
        <f>参数调整!$K$35*怪物掉落配置方案!$D4600</f>
        <v>2.8535263623245936E-2</v>
      </c>
    </row>
    <row r="497" spans="1:4" ht="16.5" hidden="1" x14ac:dyDescent="0.3">
      <c r="A497" s="10" t="str">
        <f>基本属性!$B$12&amp;"|"&amp;基本属性!$C$12</f>
        <v>90|2</v>
      </c>
      <c r="B497" s="10" t="str">
        <f>参数调整!$J$35</f>
        <v>BOSS掉落</v>
      </c>
      <c r="C497" s="8" t="str">
        <f>材料产出!$BF$2</f>
        <v>首饰碎片</v>
      </c>
      <c r="D497" s="224">
        <f>参数调整!$K$35*怪物掉落配置方案!$D4601</f>
        <v>3.2466788833559829E-2</v>
      </c>
    </row>
    <row r="498" spans="1:4" ht="16.5" hidden="1" x14ac:dyDescent="0.3">
      <c r="A498" s="10" t="str">
        <f>基本属性!$B$13&amp;"|"&amp;基本属性!$C$13</f>
        <v>100|3</v>
      </c>
      <c r="B498" s="10" t="str">
        <f>参数调整!$J$35</f>
        <v>BOSS掉落</v>
      </c>
      <c r="C498" s="8" t="str">
        <f>材料产出!$BF$2</f>
        <v>首饰碎片</v>
      </c>
      <c r="D498" s="224">
        <f>参数调整!$K$35*怪物掉落配置方案!$D4602</f>
        <v>4.1090779617474149E-2</v>
      </c>
    </row>
    <row r="499" spans="1:4" ht="16.5" hidden="1" x14ac:dyDescent="0.3">
      <c r="A499" s="10" t="str">
        <f>基本属性!$B$14&amp;"|"&amp;基本属性!$C$14</f>
        <v>105|4</v>
      </c>
      <c r="B499" s="10" t="str">
        <f>参数调整!$J$35</f>
        <v>BOSS掉落</v>
      </c>
      <c r="C499" s="8" t="str">
        <f>材料产出!$BF$2</f>
        <v>首饰碎片</v>
      </c>
      <c r="D499" s="224">
        <f>参数调整!$K$35*怪物掉落配置方案!$D4603</f>
        <v>5.0729357552437224E-2</v>
      </c>
    </row>
    <row r="500" spans="1:4" ht="16.5" hidden="1" x14ac:dyDescent="0.3">
      <c r="A500" s="10" t="str">
        <f>基本属性!$B$15&amp;"|"&amp;基本属性!$C$15</f>
        <v>110|5</v>
      </c>
      <c r="B500" s="10" t="str">
        <f>参数调整!$J$35</f>
        <v>BOSS掉落</v>
      </c>
      <c r="C500" s="8" t="str">
        <f>材料产出!$BF$2</f>
        <v>首饰碎片</v>
      </c>
      <c r="D500" s="224">
        <f>参数调整!$K$35*怪物掉落配置方案!$D4604</f>
        <v>6.1382522638449039E-2</v>
      </c>
    </row>
    <row r="501" spans="1:4" ht="16.5" hidden="1" x14ac:dyDescent="0.3">
      <c r="A501" s="10" t="str">
        <f>基本属性!$B$16&amp;"|"&amp;基本属性!$C$16</f>
        <v>120|6</v>
      </c>
      <c r="B501" s="10" t="str">
        <f>参数调整!$J$35</f>
        <v>BOSS掉落</v>
      </c>
      <c r="C501" s="8" t="str">
        <f>材料产出!$BF$2</f>
        <v>首饰碎片</v>
      </c>
      <c r="D501" s="224">
        <f>参数调整!$K$35*怪物掉落配置方案!$D4605</f>
        <v>7.9264621175683156E-2</v>
      </c>
    </row>
    <row r="502" spans="1:4" ht="16.5" hidden="1" x14ac:dyDescent="0.3">
      <c r="A502" s="10" t="str">
        <f>基本属性!$B$17&amp;"|"&amp;基本属性!$C$17</f>
        <v>135|7</v>
      </c>
      <c r="B502" s="10" t="str">
        <f>参数调整!$J$35</f>
        <v>BOSS掉落</v>
      </c>
      <c r="C502" s="8" t="str">
        <f>材料产出!$BF$2</f>
        <v>首饰碎片</v>
      </c>
      <c r="D502" s="224">
        <f>参数调整!$K$35*怪物掉落配置方案!$D4606</f>
        <v>0.11414105449298372</v>
      </c>
    </row>
    <row r="503" spans="1:4" ht="16.5" hidden="1" x14ac:dyDescent="0.3">
      <c r="A503" s="10" t="str">
        <f>基本属性!$B$18&amp;"|"&amp;基本属性!$C$18</f>
        <v>155|8</v>
      </c>
      <c r="B503" s="10" t="str">
        <f>参数调整!$J$35</f>
        <v>BOSS掉落</v>
      </c>
      <c r="C503" s="8" t="str">
        <f>材料产出!$BF$2</f>
        <v>首饰碎片</v>
      </c>
      <c r="D503" s="224">
        <f>参数调整!$K$35*怪物掉落配置方案!$D4607</f>
        <v>0.155358657504339</v>
      </c>
    </row>
    <row r="504" spans="1:4" ht="16.5" hidden="1" x14ac:dyDescent="0.3">
      <c r="A504" s="10" t="str">
        <f>基本属性!$B$19&amp;"|"&amp;基本属性!$C$19</f>
        <v>190|9</v>
      </c>
      <c r="B504" s="10" t="str">
        <f>参数调整!$J$35</f>
        <v>BOSS掉落</v>
      </c>
      <c r="C504" s="8" t="str">
        <f>材料产出!$BF$2</f>
        <v>首饰碎片</v>
      </c>
      <c r="D504" s="224">
        <f>参数调整!$K$35*怪物掉落配置方案!$D4608</f>
        <v>0.17362122622321638</v>
      </c>
    </row>
    <row r="505" spans="1:4" ht="16.5" hidden="1" x14ac:dyDescent="0.3">
      <c r="A505" s="10" t="str">
        <f>基本属性!$B$20&amp;"|"&amp;基本属性!$C$20</f>
        <v>200|10</v>
      </c>
      <c r="B505" s="10" t="str">
        <f>参数调整!$J$35</f>
        <v>BOSS掉落</v>
      </c>
      <c r="C505" s="8" t="str">
        <f>材料产出!$BF$2</f>
        <v>首饰碎片</v>
      </c>
      <c r="D505" s="224">
        <f>参数调整!$K$35*怪物掉落配置方案!$D4609</f>
        <v>0.20291743020974889</v>
      </c>
    </row>
    <row r="506" spans="1:4" ht="16.5" hidden="1" x14ac:dyDescent="0.3">
      <c r="A506" s="10" t="str">
        <f>基本属性!$B$21&amp;"|"&amp;基本属性!$C$21</f>
        <v>200|11</v>
      </c>
      <c r="B506" s="10" t="str">
        <f>参数调整!$J$35</f>
        <v>BOSS掉落</v>
      </c>
      <c r="C506" s="8" t="str">
        <f>材料产出!$BF$2</f>
        <v>首饰碎片</v>
      </c>
      <c r="D506" s="224">
        <f>参数调整!$K$35*怪物掉落配置方案!$D4610</f>
        <v>0.23449645528614096</v>
      </c>
    </row>
    <row r="507" spans="1:4" ht="16.5" hidden="1" x14ac:dyDescent="0.3">
      <c r="A507" s="10" t="str">
        <f>基本属性!$B$22&amp;"|"&amp;基本属性!$C$22</f>
        <v>210|12</v>
      </c>
      <c r="B507" s="10" t="str">
        <f>参数调整!$J$35</f>
        <v>BOSS掉落</v>
      </c>
      <c r="C507" s="8" t="str">
        <f>材料产出!$BF$2</f>
        <v>首饰碎片</v>
      </c>
      <c r="D507" s="224">
        <f>参数调整!$K$35*怪物掉落配置方案!$D4611</f>
        <v>0.26835830145239281</v>
      </c>
    </row>
    <row r="508" spans="1:4" ht="16.5" hidden="1" x14ac:dyDescent="0.3">
      <c r="A508" s="10" t="str">
        <f>基本属性!$B$23&amp;"|"&amp;基本属性!$C$23</f>
        <v>210|13</v>
      </c>
      <c r="B508" s="10" t="str">
        <f>参数调整!$J$35</f>
        <v>BOSS掉落</v>
      </c>
      <c r="C508" s="8" t="str">
        <f>材料产出!$BF$2</f>
        <v>首饰碎片</v>
      </c>
      <c r="D508" s="224">
        <f>参数调整!$K$35*怪物掉落配置方案!$D4612</f>
        <v>0.30450296870850441</v>
      </c>
    </row>
    <row r="509" spans="1:4" ht="16.5" hidden="1" x14ac:dyDescent="0.3">
      <c r="A509" s="10" t="str">
        <f>基本属性!$B$24&amp;"|"&amp;基本属性!$C$24</f>
        <v>220|14</v>
      </c>
      <c r="B509" s="10" t="str">
        <f>参数调整!$J$35</f>
        <v>BOSS掉落</v>
      </c>
      <c r="C509" s="8" t="str">
        <f>材料产出!$BF$2</f>
        <v>首饰碎片</v>
      </c>
      <c r="D509" s="224">
        <f>参数调整!$K$35*怪物掉落配置方案!$D4613</f>
        <v>0.34293045705447556</v>
      </c>
    </row>
    <row r="510" spans="1:4" ht="16.5" hidden="1" x14ac:dyDescent="0.3">
      <c r="A510" s="10" t="str">
        <f>基本属性!$B$25&amp;"|"&amp;基本属性!$C$25</f>
        <v>220|15</v>
      </c>
      <c r="B510" s="10" t="str">
        <f>参数调整!$J$35</f>
        <v>BOSS掉落</v>
      </c>
      <c r="C510" s="8" t="str">
        <f>材料产出!$BF$2</f>
        <v>首饰碎片</v>
      </c>
      <c r="D510" s="224">
        <f>参数调整!$K$35*怪物掉落配置方案!$D4614</f>
        <v>0.38364076649030637</v>
      </c>
    </row>
    <row r="511" spans="1:4" ht="16.5" hidden="1" x14ac:dyDescent="0.3">
      <c r="A511" s="10" t="str">
        <f>基本属性!$B$26&amp;"|"&amp;基本属性!$C$26</f>
        <v>230|16</v>
      </c>
      <c r="B511" s="10" t="str">
        <f>参数调整!$J$35</f>
        <v>BOSS掉落</v>
      </c>
      <c r="C511" s="8" t="str">
        <f>材料产出!$BF$2</f>
        <v>首饰碎片</v>
      </c>
      <c r="D511" s="224">
        <f>参数调整!$K$35*怪物掉落配置方案!$D4615</f>
        <v>0.42663389701599685</v>
      </c>
    </row>
    <row r="512" spans="1:4" ht="16.5" hidden="1" x14ac:dyDescent="0.3">
      <c r="A512" s="10" t="str">
        <f>基本属性!$B$27&amp;"|"&amp;基本属性!$C$27</f>
        <v>230|17</v>
      </c>
      <c r="B512" s="10" t="str">
        <f>参数调整!$J$35</f>
        <v>BOSS掉落</v>
      </c>
      <c r="C512" s="8" t="str">
        <f>材料产出!$BF$2</f>
        <v>首饰碎片</v>
      </c>
      <c r="D512" s="224">
        <f>参数调整!$K$35*怪物掉落配置方案!$D4616</f>
        <v>0.47190984863154711</v>
      </c>
    </row>
    <row r="513" spans="1:4" ht="16.5" hidden="1" x14ac:dyDescent="0.3">
      <c r="A513" s="10" t="str">
        <f>基本属性!$B$28&amp;"|"&amp;基本属性!$C$28</f>
        <v>240|18</v>
      </c>
      <c r="B513" s="10" t="str">
        <f>参数调整!$J$35</f>
        <v>BOSS掉落</v>
      </c>
      <c r="C513" s="8" t="str">
        <f>材料产出!$BF$2</f>
        <v>首饰碎片</v>
      </c>
      <c r="D513" s="224">
        <f>参数调整!$K$35*怪物掉落配置方案!$D4617</f>
        <v>0.51946862133695715</v>
      </c>
    </row>
    <row r="514" spans="1:4" ht="16.5" hidden="1" x14ac:dyDescent="0.3">
      <c r="A514" s="10" t="str">
        <f>基本属性!$B$29&amp;"|"&amp;基本属性!$C$29</f>
        <v>240|19</v>
      </c>
      <c r="B514" s="10" t="str">
        <f>参数调整!$J$35</f>
        <v>BOSS掉落</v>
      </c>
      <c r="C514" s="8" t="str">
        <f>材料产出!$BF$2</f>
        <v>首饰碎片</v>
      </c>
      <c r="D514" s="224">
        <f>参数调整!$K$35*怪物掉落配置方案!$D4618</f>
        <v>0.56931021513222668</v>
      </c>
    </row>
    <row r="515" spans="1:4" ht="16.5" hidden="1" x14ac:dyDescent="0.3">
      <c r="A515" s="10" t="str">
        <f>基本属性!$B$30&amp;"|"&amp;基本属性!$C$30</f>
        <v>250|20</v>
      </c>
      <c r="B515" s="10" t="str">
        <f>参数调整!$J$35</f>
        <v>BOSS掉落</v>
      </c>
      <c r="C515" s="8" t="str">
        <f>材料产出!$BF$2</f>
        <v>首饰碎片</v>
      </c>
      <c r="D515" s="224">
        <f>参数调整!$K$35*怪物掉落配置方案!$D4619</f>
        <v>0.62143463001735577</v>
      </c>
    </row>
    <row r="516" spans="1:4" ht="16.5" hidden="1" x14ac:dyDescent="0.3">
      <c r="A516" s="10" t="str">
        <f>基本属性!$B$4&amp;"|"&amp;基本属性!$C$4</f>
        <v>35|0</v>
      </c>
      <c r="B516" s="10" t="str">
        <f>参数调整!$J$35</f>
        <v>BOSS掉落</v>
      </c>
      <c r="C516" s="8" t="str">
        <f>材料产出!$P$2</f>
        <v>声望</v>
      </c>
      <c r="D516" s="224">
        <f>参数调整!$K$35*怪物掉落配置方案!$D4620</f>
        <v>1.2990018746516694</v>
      </c>
    </row>
    <row r="517" spans="1:4" ht="16.5" hidden="1" x14ac:dyDescent="0.3">
      <c r="A517" s="10" t="str">
        <f>基本属性!$B$5&amp;"|"&amp;基本属性!$C$5</f>
        <v>40|0</v>
      </c>
      <c r="B517" s="10" t="str">
        <f>参数调整!$J$35</f>
        <v>BOSS掉落</v>
      </c>
      <c r="C517" s="8" t="str">
        <f>材料产出!$P$2</f>
        <v>声望</v>
      </c>
      <c r="D517" s="224">
        <f>参数调整!$K$35*怪物掉落配置方案!$D4621</f>
        <v>1.6440492476060191</v>
      </c>
    </row>
    <row r="518" spans="1:4" ht="16.5" hidden="1" x14ac:dyDescent="0.3">
      <c r="A518" s="10" t="str">
        <f>基本属性!$B$6&amp;"|"&amp;基本属性!$C$6</f>
        <v>50|0</v>
      </c>
      <c r="B518" s="10" t="str">
        <f>参数调整!$J$35</f>
        <v>BOSS掉落</v>
      </c>
      <c r="C518" s="8" t="str">
        <f>材料产出!$P$2</f>
        <v>声望</v>
      </c>
      <c r="D518" s="224">
        <f>参数调整!$K$35*怪物掉落配置方案!$D4622</f>
        <v>2.0296904291432334</v>
      </c>
    </row>
    <row r="519" spans="1:4" ht="16.5" hidden="1" x14ac:dyDescent="0.3">
      <c r="A519" s="10" t="str">
        <f>基本属性!$B$7&amp;"|"&amp;基本属性!$C$7</f>
        <v>60|0</v>
      </c>
      <c r="B519" s="10" t="str">
        <f>参数调整!$J$35</f>
        <v>BOSS掉落</v>
      </c>
      <c r="C519" s="8" t="str">
        <f>材料产出!$P$2</f>
        <v>声望</v>
      </c>
      <c r="D519" s="224">
        <f>参数调整!$K$35*怪物掉落配置方案!$D4623</f>
        <v>2.4559254192633126</v>
      </c>
    </row>
    <row r="520" spans="1:4" ht="16.5" hidden="1" x14ac:dyDescent="0.3">
      <c r="A520" s="10" t="str">
        <f>基本属性!$B$8&amp;"|"&amp;基本属性!$C$8</f>
        <v>65|0</v>
      </c>
      <c r="B520" s="10" t="str">
        <f>参数调整!$J$35</f>
        <v>BOSS掉落</v>
      </c>
      <c r="C520" s="8" t="str">
        <f>材料产出!$P$2</f>
        <v>声望</v>
      </c>
      <c r="D520" s="224">
        <f>参数调整!$K$35*怪物掉落配置方案!$D4624</f>
        <v>2.922754217966256</v>
      </c>
    </row>
    <row r="521" spans="1:4" ht="16.5" hidden="1" x14ac:dyDescent="0.3">
      <c r="A521" s="10" t="str">
        <f>基本属性!$B$9&amp;"|"&amp;基本属性!$C$9</f>
        <v>70|0</v>
      </c>
      <c r="B521" s="10" t="str">
        <f>参数调整!$J$35</f>
        <v>BOSS掉落</v>
      </c>
      <c r="C521" s="8" t="str">
        <f>材料产出!$P$2</f>
        <v>声望</v>
      </c>
      <c r="D521" s="224">
        <f>参数调整!$K$35*怪物掉落配置方案!$D4625</f>
        <v>3.4301768252520648</v>
      </c>
    </row>
    <row r="522" spans="1:4" ht="16.5" hidden="1" x14ac:dyDescent="0.3">
      <c r="A522" s="10" t="str">
        <f>基本属性!$B$10&amp;"|"&amp;基本属性!$C$10</f>
        <v>75|0</v>
      </c>
      <c r="B522" s="10" t="str">
        <f>参数调整!$J$35</f>
        <v>BOSS掉落</v>
      </c>
      <c r="C522" s="8" t="str">
        <f>材料产出!$P$2</f>
        <v>声望</v>
      </c>
      <c r="D522" s="224">
        <f>参数调整!$K$35*怪物掉落配置方案!$D4626</f>
        <v>3.9781932411207372</v>
      </c>
    </row>
    <row r="523" spans="1:4" ht="16.5" hidden="1" x14ac:dyDescent="0.3">
      <c r="A523" s="10" t="str">
        <f>基本属性!$B$11&amp;"|"&amp;基本属性!$C$11</f>
        <v>80|1</v>
      </c>
      <c r="B523" s="10" t="str">
        <f>参数调整!$J$35</f>
        <v>BOSS掉落</v>
      </c>
      <c r="C523" s="8" t="str">
        <f>材料产出!$P$2</f>
        <v>声望</v>
      </c>
      <c r="D523" s="224">
        <f>参数调整!$K$35*怪物掉落配置方案!$D4627</f>
        <v>4.5668034655722751</v>
      </c>
    </row>
    <row r="524" spans="1:4" ht="16.5" hidden="1" x14ac:dyDescent="0.3">
      <c r="A524" s="10" t="str">
        <f>基本属性!$B$12&amp;"|"&amp;基本属性!$C$12</f>
        <v>90|2</v>
      </c>
      <c r="B524" s="10" t="str">
        <f>参数调整!$J$35</f>
        <v>BOSS掉落</v>
      </c>
      <c r="C524" s="8" t="str">
        <f>材料产出!$P$2</f>
        <v>声望</v>
      </c>
      <c r="D524" s="224">
        <f>参数调整!$K$35*怪物掉落配置方案!$D4628</f>
        <v>5.1960074986066784</v>
      </c>
    </row>
    <row r="525" spans="1:4" ht="16.5" hidden="1" x14ac:dyDescent="0.3">
      <c r="A525" s="10" t="str">
        <f>基本属性!$B$13&amp;"|"&amp;基本属性!$C$13</f>
        <v>100|3</v>
      </c>
      <c r="B525" s="10" t="str">
        <f>参数调整!$J$35</f>
        <v>BOSS掉落</v>
      </c>
      <c r="C525" s="8" t="str">
        <f>材料产出!$P$2</f>
        <v>声望</v>
      </c>
      <c r="D525" s="224">
        <f>参数调整!$K$35*怪物掉落配置方案!$D4629</f>
        <v>6.5761969904240765</v>
      </c>
    </row>
    <row r="526" spans="1:4" ht="16.5" hidden="1" x14ac:dyDescent="0.3">
      <c r="A526" s="10" t="str">
        <f>基本属性!$B$14&amp;"|"&amp;基本属性!$C$14</f>
        <v>105|4</v>
      </c>
      <c r="B526" s="10" t="str">
        <f>参数调整!$J$35</f>
        <v>BOSS掉落</v>
      </c>
      <c r="C526" s="8" t="str">
        <f>材料产出!$P$2</f>
        <v>声望</v>
      </c>
      <c r="D526" s="224">
        <f>参数调整!$K$35*怪物掉落配置方案!$D4630</f>
        <v>8.1187617165729353</v>
      </c>
    </row>
    <row r="527" spans="1:4" ht="16.5" hidden="1" x14ac:dyDescent="0.3">
      <c r="A527" s="10" t="str">
        <f>基本属性!$B$15&amp;"|"&amp;基本属性!$C$15</f>
        <v>110|5</v>
      </c>
      <c r="B527" s="10" t="str">
        <f>参数调整!$J$35</f>
        <v>BOSS掉落</v>
      </c>
      <c r="C527" s="8" t="str">
        <f>材料产出!$P$2</f>
        <v>声望</v>
      </c>
      <c r="D527" s="224">
        <f>参数调整!$K$35*怪物掉落配置方案!$D4631</f>
        <v>9.8237016770532506</v>
      </c>
    </row>
    <row r="528" spans="1:4" ht="16.5" hidden="1" x14ac:dyDescent="0.3">
      <c r="A528" s="10" t="str">
        <f>基本属性!$B$16&amp;"|"&amp;基本属性!$C$16</f>
        <v>120|6</v>
      </c>
      <c r="B528" s="10" t="str">
        <f>参数调整!$J$35</f>
        <v>BOSS掉落</v>
      </c>
      <c r="C528" s="8" t="str">
        <f>材料产出!$P$2</f>
        <v>声望</v>
      </c>
      <c r="D528" s="224">
        <f>参数调整!$K$35*怪物掉落配置方案!$D4632</f>
        <v>12.685565182145208</v>
      </c>
    </row>
    <row r="529" spans="1:4" ht="16.5" hidden="1" x14ac:dyDescent="0.3">
      <c r="A529" s="10" t="str">
        <f>基本属性!$B$17&amp;"|"&amp;基本属性!$C$17</f>
        <v>135|7</v>
      </c>
      <c r="B529" s="10" t="str">
        <f>参数调整!$J$35</f>
        <v>BOSS掉落</v>
      </c>
      <c r="C529" s="8" t="str">
        <f>材料产出!$P$2</f>
        <v>声望</v>
      </c>
      <c r="D529" s="224">
        <f>参数调整!$K$35*怪物掉落配置方案!$D4633</f>
        <v>18.2672138622891</v>
      </c>
    </row>
    <row r="530" spans="1:4" ht="16.5" hidden="1" x14ac:dyDescent="0.3">
      <c r="A530" s="10" t="str">
        <f>基本属性!$B$18&amp;"|"&amp;基本属性!$C$18</f>
        <v>155|8</v>
      </c>
      <c r="B530" s="10" t="str">
        <f>参数调整!$J$35</f>
        <v>BOSS掉落</v>
      </c>
      <c r="C530" s="8" t="str">
        <f>材料产出!$P$2</f>
        <v>声望</v>
      </c>
      <c r="D530" s="224">
        <f>参数调整!$K$35*怪物掉落配置方案!$D4634</f>
        <v>24.863707757004612</v>
      </c>
    </row>
    <row r="531" spans="1:4" ht="16.5" hidden="1" x14ac:dyDescent="0.3">
      <c r="A531" s="10" t="str">
        <f>基本属性!$B$19&amp;"|"&amp;基本属性!$C$19</f>
        <v>190|9</v>
      </c>
      <c r="B531" s="10" t="str">
        <f>参数调整!$J$35</f>
        <v>BOSS掉落</v>
      </c>
      <c r="C531" s="8" t="str">
        <f>材料产出!$P$2</f>
        <v>声望</v>
      </c>
      <c r="D531" s="224">
        <f>参数调整!$K$35*怪物掉落配置方案!$D4635</f>
        <v>27.786461974970873</v>
      </c>
    </row>
    <row r="532" spans="1:4" ht="16.5" hidden="1" x14ac:dyDescent="0.3">
      <c r="A532" s="10" t="str">
        <f>基本属性!$B$20&amp;"|"&amp;基本属性!$C$20</f>
        <v>200|10</v>
      </c>
      <c r="B532" s="10" t="str">
        <f>参数调整!$J$35</f>
        <v>BOSS掉落</v>
      </c>
      <c r="C532" s="8" t="str">
        <f>材料产出!$P$2</f>
        <v>声望</v>
      </c>
      <c r="D532" s="224">
        <f>参数调整!$K$35*怪物掉落配置方案!$D4636</f>
        <v>32.475046866291741</v>
      </c>
    </row>
    <row r="533" spans="1:4" ht="16.5" hidden="1" x14ac:dyDescent="0.3">
      <c r="A533" s="10" t="str">
        <f>基本属性!$B$21&amp;"|"&amp;基本属性!$C$21</f>
        <v>200|11</v>
      </c>
      <c r="B533" s="10" t="str">
        <f>参数调整!$J$35</f>
        <v>BOSS掉落</v>
      </c>
      <c r="C533" s="8" t="str">
        <f>材料产出!$P$2</f>
        <v>声望</v>
      </c>
      <c r="D533" s="224">
        <f>参数调整!$K$35*怪物掉落配置方案!$D4637</f>
        <v>37.528976034858381</v>
      </c>
    </row>
    <row r="534" spans="1:4" ht="16.5" hidden="1" x14ac:dyDescent="0.3">
      <c r="A534" s="10" t="str">
        <f>基本属性!$B$22&amp;"|"&amp;基本属性!$C$22</f>
        <v>210|12</v>
      </c>
      <c r="B534" s="10" t="str">
        <f>参数调整!$J$35</f>
        <v>BOSS掉落</v>
      </c>
      <c r="C534" s="8" t="str">
        <f>材料产出!$P$2</f>
        <v>声望</v>
      </c>
      <c r="D534" s="224">
        <f>参数调整!$K$35*怪物掉落配置方案!$D4638</f>
        <v>42.94824948067081</v>
      </c>
    </row>
    <row r="535" spans="1:4" ht="16.5" hidden="1" x14ac:dyDescent="0.3">
      <c r="A535" s="10" t="str">
        <f>基本属性!$B$23&amp;"|"&amp;基本属性!$C$23</f>
        <v>210|13</v>
      </c>
      <c r="B535" s="10" t="str">
        <f>参数调整!$J$35</f>
        <v>BOSS掉落</v>
      </c>
      <c r="C535" s="8" t="str">
        <f>材料产出!$P$2</f>
        <v>声望</v>
      </c>
      <c r="D535" s="224">
        <f>参数调整!$K$35*怪物掉落配置方案!$D4639</f>
        <v>48.732867203729043</v>
      </c>
    </row>
    <row r="536" spans="1:4" ht="16.5" hidden="1" x14ac:dyDescent="0.3">
      <c r="A536" s="10" t="str">
        <f>基本属性!$B$24&amp;"|"&amp;基本属性!$C$24</f>
        <v>220|14</v>
      </c>
      <c r="B536" s="10" t="str">
        <f>参数调整!$J$35</f>
        <v>BOSS掉落</v>
      </c>
      <c r="C536" s="8" t="str">
        <f>材料产出!$P$2</f>
        <v>声望</v>
      </c>
      <c r="D536" s="224">
        <f>参数调整!$K$35*怪物掉落配置方案!$D4640</f>
        <v>54.882829204033037</v>
      </c>
    </row>
    <row r="537" spans="1:4" ht="16.5" hidden="1" x14ac:dyDescent="0.3">
      <c r="A537" s="10" t="str">
        <f>基本属性!$B$25&amp;"|"&amp;基本属性!$C$25</f>
        <v>220|15</v>
      </c>
      <c r="B537" s="10" t="str">
        <f>参数调整!$J$35</f>
        <v>BOSS掉落</v>
      </c>
      <c r="C537" s="8" t="str">
        <f>材料产出!$P$2</f>
        <v>声望</v>
      </c>
      <c r="D537" s="224">
        <f>参数调整!$K$35*怪物掉落配置方案!$D4641</f>
        <v>61.398135481582806</v>
      </c>
    </row>
    <row r="538" spans="1:4" ht="16.5" hidden="1" x14ac:dyDescent="0.3">
      <c r="A538" s="10" t="str">
        <f>基本属性!$B$26&amp;"|"&amp;基本属性!$C$26</f>
        <v>230|16</v>
      </c>
      <c r="B538" s="10" t="str">
        <f>参数调整!$J$35</f>
        <v>BOSS掉落</v>
      </c>
      <c r="C538" s="8" t="str">
        <f>材料产出!$P$2</f>
        <v>声望</v>
      </c>
      <c r="D538" s="224">
        <f>参数调整!$K$35*怪物掉落配置方案!$D4642</f>
        <v>68.278786036378378</v>
      </c>
    </row>
    <row r="539" spans="1:4" ht="16.5" hidden="1" x14ac:dyDescent="0.3">
      <c r="A539" s="10" t="str">
        <f>基本属性!$B$27&amp;"|"&amp;基本属性!$C$27</f>
        <v>230|17</v>
      </c>
      <c r="B539" s="10" t="str">
        <f>参数调整!$J$35</f>
        <v>BOSS掉落</v>
      </c>
      <c r="C539" s="8" t="str">
        <f>材料产出!$P$2</f>
        <v>声望</v>
      </c>
      <c r="D539" s="224">
        <f>参数调整!$K$35*怪物掉落配置方案!$D4643</f>
        <v>75.524780868419711</v>
      </c>
    </row>
    <row r="540" spans="1:4" ht="16.5" hidden="1" x14ac:dyDescent="0.3">
      <c r="A540" s="10" t="str">
        <f>基本属性!$B$28&amp;"|"&amp;基本属性!$C$28</f>
        <v>240|18</v>
      </c>
      <c r="B540" s="10" t="str">
        <f>参数调整!$J$35</f>
        <v>BOSS掉落</v>
      </c>
      <c r="C540" s="8" t="str">
        <f>材料产出!$P$2</f>
        <v>声望</v>
      </c>
      <c r="D540" s="224">
        <f>参数调整!$K$35*怪物掉落配置方案!$D4644</f>
        <v>83.136119977706855</v>
      </c>
    </row>
    <row r="541" spans="1:4" ht="16.5" hidden="1" x14ac:dyDescent="0.3">
      <c r="A541" s="10" t="str">
        <f>基本属性!$B$29&amp;"|"&amp;基本属性!$C$29</f>
        <v>240|19</v>
      </c>
      <c r="B541" s="10" t="str">
        <f>参数调整!$J$35</f>
        <v>BOSS掉落</v>
      </c>
      <c r="C541" s="8" t="str">
        <f>材料产出!$P$2</f>
        <v>声望</v>
      </c>
      <c r="D541" s="224">
        <f>参数调整!$K$35*怪物掉落配置方案!$D4645</f>
        <v>91.112803364239753</v>
      </c>
    </row>
    <row r="542" spans="1:4" ht="16.5" hidden="1" x14ac:dyDescent="0.3">
      <c r="A542" s="10" t="str">
        <f>基本属性!$B$30&amp;"|"&amp;基本属性!$C$30</f>
        <v>250|20</v>
      </c>
      <c r="B542" s="10" t="str">
        <f>参数调整!$J$35</f>
        <v>BOSS掉落</v>
      </c>
      <c r="C542" s="8" t="str">
        <f>材料产出!$P$2</f>
        <v>声望</v>
      </c>
      <c r="D542" s="224">
        <f>参数调整!$K$35*怪物掉落配置方案!$D4646</f>
        <v>99.454831028018418</v>
      </c>
    </row>
    <row r="543" spans="1:4" ht="16.5" hidden="1" x14ac:dyDescent="0.3">
      <c r="A543" s="10" t="str">
        <f>基本属性!$B$4&amp;"|"&amp;基本属性!$C$4</f>
        <v>35|0</v>
      </c>
      <c r="B543" s="10" t="str">
        <f>参数调整!$J$35</f>
        <v>BOSS掉落</v>
      </c>
      <c r="C543" s="8" t="str">
        <f>材料产出!$AV$2</f>
        <v>神器图纸</v>
      </c>
      <c r="D543" s="224">
        <f>参数调整!$K$35*怪物掉落配置方案!$D4647</f>
        <v>5.844021990040766E-3</v>
      </c>
    </row>
    <row r="544" spans="1:4" ht="16.5" hidden="1" x14ac:dyDescent="0.3">
      <c r="A544" s="10" t="str">
        <f>基本属性!$B$5&amp;"|"&amp;基本属性!$C$5</f>
        <v>40|0</v>
      </c>
      <c r="B544" s="10" t="str">
        <f>参数调整!$J$35</f>
        <v>BOSS掉落</v>
      </c>
      <c r="C544" s="8" t="str">
        <f>材料产出!$AV$2</f>
        <v>神器图纸</v>
      </c>
      <c r="D544" s="224">
        <f>参数调整!$K$35*怪物掉落配置方案!$D4648</f>
        <v>7.3963403311453442E-3</v>
      </c>
    </row>
    <row r="545" spans="1:4" ht="16.5" hidden="1" x14ac:dyDescent="0.3">
      <c r="A545" s="10" t="str">
        <f>基本属性!$B$6&amp;"|"&amp;基本属性!$C$6</f>
        <v>50|0</v>
      </c>
      <c r="B545" s="10" t="str">
        <f>参数调整!$J$35</f>
        <v>BOSS掉落</v>
      </c>
      <c r="C545" s="8" t="str">
        <f>材料产出!$AV$2</f>
        <v>神器图纸</v>
      </c>
      <c r="D545" s="224">
        <f>参数调整!$K$35*怪物掉落配置方案!$D4649</f>
        <v>9.1312843594386975E-3</v>
      </c>
    </row>
    <row r="546" spans="1:4" ht="16.5" hidden="1" x14ac:dyDescent="0.3">
      <c r="A546" s="10" t="str">
        <f>基本属性!$B$7&amp;"|"&amp;基本属性!$C$7</f>
        <v>60|0</v>
      </c>
      <c r="B546" s="10" t="str">
        <f>参数调整!$J$35</f>
        <v>BOSS掉落</v>
      </c>
      <c r="C546" s="8" t="str">
        <f>材料产出!$AV$2</f>
        <v>神器图纸</v>
      </c>
      <c r="D546" s="224">
        <f>参数调整!$K$35*怪物掉落配置方案!$D4650</f>
        <v>1.1048854074920825E-2</v>
      </c>
    </row>
    <row r="547" spans="1:4" ht="16.5" hidden="1" x14ac:dyDescent="0.3">
      <c r="A547" s="10" t="str">
        <f>基本属性!$B$8&amp;"|"&amp;基本属性!$C$8</f>
        <v>65|0</v>
      </c>
      <c r="B547" s="10" t="str">
        <f>参数调整!$J$35</f>
        <v>BOSS掉落</v>
      </c>
      <c r="C547" s="8" t="str">
        <f>材料产出!$AV$2</f>
        <v>神器图纸</v>
      </c>
      <c r="D547" s="224">
        <f>参数调整!$K$35*怪物掉落配置方案!$D4651</f>
        <v>1.3149049477591723E-2</v>
      </c>
    </row>
    <row r="548" spans="1:4" ht="16.5" hidden="1" x14ac:dyDescent="0.3">
      <c r="A548" s="10" t="str">
        <f>基本属性!$B$9&amp;"|"&amp;基本属性!$C$9</f>
        <v>70|0</v>
      </c>
      <c r="B548" s="10" t="str">
        <f>参数调整!$J$35</f>
        <v>BOSS掉落</v>
      </c>
      <c r="C548" s="8" t="str">
        <f>材料产出!$AV$2</f>
        <v>神器图纸</v>
      </c>
      <c r="D548" s="224">
        <f>参数调整!$K$35*怪物掉落配置方案!$D4652</f>
        <v>1.5431870567451399E-2</v>
      </c>
    </row>
    <row r="549" spans="1:4" ht="16.5" hidden="1" x14ac:dyDescent="0.3">
      <c r="A549" s="10" t="str">
        <f>基本属性!$B$10&amp;"|"&amp;基本属性!$C$10</f>
        <v>75|0</v>
      </c>
      <c r="B549" s="10" t="str">
        <f>参数调整!$J$35</f>
        <v>BOSS掉落</v>
      </c>
      <c r="C549" s="8" t="str">
        <f>材料产出!$AV$2</f>
        <v>神器图纸</v>
      </c>
      <c r="D549" s="224">
        <f>参数调整!$K$35*怪物掉落配置方案!$D4653</f>
        <v>1.7897317344499845E-2</v>
      </c>
    </row>
    <row r="550" spans="1:4" ht="16.5" hidden="1" x14ac:dyDescent="0.3">
      <c r="A550" s="10" t="str">
        <f>基本属性!$B$11&amp;"|"&amp;基本属性!$C$11</f>
        <v>80|1</v>
      </c>
      <c r="B550" s="10" t="str">
        <f>参数调整!$J$35</f>
        <v>BOSS掉落</v>
      </c>
      <c r="C550" s="8" t="str">
        <f>材料产出!$AV$2</f>
        <v>神器图纸</v>
      </c>
      <c r="D550" s="224">
        <f>参数调整!$K$35*怪物掉落配置方案!$D4654</f>
        <v>2.0545389808737068E-2</v>
      </c>
    </row>
    <row r="551" spans="1:4" ht="16.5" hidden="1" x14ac:dyDescent="0.3">
      <c r="A551" s="10" t="str">
        <f>基本属性!$B$12&amp;"|"&amp;基本属性!$C$12</f>
        <v>90|2</v>
      </c>
      <c r="B551" s="10" t="str">
        <f>参数调整!$J$35</f>
        <v>BOSS掉落</v>
      </c>
      <c r="C551" s="8" t="str">
        <f>材料产出!$AV$2</f>
        <v>神器图纸</v>
      </c>
      <c r="D551" s="224">
        <f>参数调整!$K$35*怪物掉落配置方案!$D4655</f>
        <v>2.3376087960163071E-2</v>
      </c>
    </row>
    <row r="552" spans="1:4" ht="16.5" hidden="1" x14ac:dyDescent="0.3">
      <c r="A552" s="10" t="str">
        <f>基本属性!$B$13&amp;"|"&amp;基本属性!$C$13</f>
        <v>100|3</v>
      </c>
      <c r="B552" s="10" t="str">
        <f>参数调整!$J$35</f>
        <v>BOSS掉落</v>
      </c>
      <c r="C552" s="8" t="str">
        <f>材料产出!$AV$2</f>
        <v>神器图纸</v>
      </c>
      <c r="D552" s="224">
        <f>参数调整!$K$35*怪物掉落配置方案!$D4656</f>
        <v>2.9585361324581384E-2</v>
      </c>
    </row>
    <row r="553" spans="1:4" ht="16.5" hidden="1" x14ac:dyDescent="0.3">
      <c r="A553" s="10" t="str">
        <f>基本属性!$B$14&amp;"|"&amp;基本属性!$C$14</f>
        <v>105|4</v>
      </c>
      <c r="B553" s="10" t="str">
        <f>参数调整!$J$35</f>
        <v>BOSS掉落</v>
      </c>
      <c r="C553" s="8" t="str">
        <f>材料产出!$AV$2</f>
        <v>神器图纸</v>
      </c>
      <c r="D553" s="224">
        <f>参数调整!$K$35*怪物掉落配置方案!$D4657</f>
        <v>3.652513743775479E-2</v>
      </c>
    </row>
    <row r="554" spans="1:4" ht="16.5" hidden="1" x14ac:dyDescent="0.3">
      <c r="A554" s="10" t="str">
        <f>基本属性!$B$15&amp;"|"&amp;基本属性!$C$15</f>
        <v>110|5</v>
      </c>
      <c r="B554" s="10" t="str">
        <f>参数调整!$J$35</f>
        <v>BOSS掉落</v>
      </c>
      <c r="C554" s="8" t="str">
        <f>材料产出!$AV$2</f>
        <v>神器图纸</v>
      </c>
      <c r="D554" s="224">
        <f>参数调整!$K$35*怪物掉落配置方案!$D4658</f>
        <v>4.41954162996833E-2</v>
      </c>
    </row>
    <row r="555" spans="1:4" ht="16.5" hidden="1" x14ac:dyDescent="0.3">
      <c r="A555" s="10" t="str">
        <f>基本属性!$B$16&amp;"|"&amp;基本属性!$C$16</f>
        <v>120|6</v>
      </c>
      <c r="B555" s="10" t="str">
        <f>参数调整!$J$35</f>
        <v>BOSS掉落</v>
      </c>
      <c r="C555" s="8" t="str">
        <f>材料产出!$AV$2</f>
        <v>神器图纸</v>
      </c>
      <c r="D555" s="224">
        <f>参数调整!$K$35*怪物掉落配置方案!$D4659</f>
        <v>5.7070527246491858E-2</v>
      </c>
    </row>
    <row r="556" spans="1:4" ht="16.5" hidden="1" x14ac:dyDescent="0.3">
      <c r="A556" s="10" t="str">
        <f>基本属性!$B$17&amp;"|"&amp;基本属性!$C$17</f>
        <v>135|7</v>
      </c>
      <c r="B556" s="10" t="str">
        <f>参数调整!$J$35</f>
        <v>BOSS掉落</v>
      </c>
      <c r="C556" s="8" t="str">
        <f>材料产出!$AV$2</f>
        <v>神器图纸</v>
      </c>
      <c r="D556" s="224">
        <f>参数调整!$K$35*怪物掉落配置方案!$D4660</f>
        <v>8.218155923494827E-2</v>
      </c>
    </row>
    <row r="557" spans="1:4" ht="16.5" hidden="1" x14ac:dyDescent="0.3">
      <c r="A557" s="10" t="str">
        <f>基本属性!$B$18&amp;"|"&amp;基本属性!$C$18</f>
        <v>155|8</v>
      </c>
      <c r="B557" s="10" t="str">
        <f>参数调整!$J$35</f>
        <v>BOSS掉落</v>
      </c>
      <c r="C557" s="8" t="str">
        <f>材料产出!$AV$2</f>
        <v>神器图纸</v>
      </c>
      <c r="D557" s="224">
        <f>参数调整!$K$35*怪物掉落配置方案!$D4661</f>
        <v>0.11185823340312405</v>
      </c>
    </row>
    <row r="558" spans="1:4" ht="16.5" hidden="1" x14ac:dyDescent="0.3">
      <c r="A558" s="10" t="str">
        <f>基本属性!$B$19&amp;"|"&amp;基本属性!$C$19</f>
        <v>190|9</v>
      </c>
      <c r="B558" s="10" t="str">
        <f>参数调整!$J$35</f>
        <v>BOSS掉落</v>
      </c>
      <c r="C558" s="8" t="str">
        <f>材料产出!$AV$2</f>
        <v>神器图纸</v>
      </c>
      <c r="D558" s="224">
        <f>参数调整!$K$35*怪物掉落配置方案!$D4662</f>
        <v>0.12500728288071578</v>
      </c>
    </row>
    <row r="559" spans="1:4" ht="16.5" hidden="1" x14ac:dyDescent="0.3">
      <c r="A559" s="10" t="str">
        <f>基本属性!$B$20&amp;"|"&amp;基本属性!$C$20</f>
        <v>200|10</v>
      </c>
      <c r="B559" s="10" t="str">
        <f>参数调整!$J$35</f>
        <v>BOSS掉落</v>
      </c>
      <c r="C559" s="8" t="str">
        <f>材料产出!$AV$2</f>
        <v>神器图纸</v>
      </c>
      <c r="D559" s="224">
        <f>参数调整!$K$35*怪物掉落配置方案!$D4663</f>
        <v>0.14610054975101916</v>
      </c>
    </row>
    <row r="560" spans="1:4" ht="16.5" hidden="1" x14ac:dyDescent="0.3">
      <c r="A560" s="10" t="str">
        <f>基本属性!$B$21&amp;"|"&amp;基本属性!$C$21</f>
        <v>200|11</v>
      </c>
      <c r="B560" s="10" t="str">
        <f>参数调整!$J$35</f>
        <v>BOSS掉落</v>
      </c>
      <c r="C560" s="8" t="str">
        <f>材料产出!$AV$2</f>
        <v>神器图纸</v>
      </c>
      <c r="D560" s="224">
        <f>参数调整!$K$35*怪物掉落配置方案!$D4664</f>
        <v>0.16883744780602147</v>
      </c>
    </row>
    <row r="561" spans="1:4" ht="16.5" hidden="1" x14ac:dyDescent="0.3">
      <c r="A561" s="10" t="str">
        <f>基本属性!$B$22&amp;"|"&amp;基本属性!$C$22</f>
        <v>210|12</v>
      </c>
      <c r="B561" s="10" t="str">
        <f>参数调整!$J$35</f>
        <v>BOSS掉落</v>
      </c>
      <c r="C561" s="8" t="str">
        <f>材料产出!$AV$2</f>
        <v>神器图纸</v>
      </c>
      <c r="D561" s="224">
        <f>参数调整!$K$35*怪物掉落配置方案!$D4665</f>
        <v>0.19321797704572277</v>
      </c>
    </row>
    <row r="562" spans="1:4" ht="16.5" hidden="1" x14ac:dyDescent="0.3">
      <c r="A562" s="10" t="str">
        <f>基本属性!$B$23&amp;"|"&amp;基本属性!$C$23</f>
        <v>210|13</v>
      </c>
      <c r="B562" s="10" t="str">
        <f>参数调整!$J$35</f>
        <v>BOSS掉落</v>
      </c>
      <c r="C562" s="8" t="str">
        <f>材料产出!$AV$2</f>
        <v>神器图纸</v>
      </c>
      <c r="D562" s="224">
        <f>参数调整!$K$35*怪物掉落配置方案!$D4666</f>
        <v>0.21924213747012317</v>
      </c>
    </row>
    <row r="563" spans="1:4" ht="16.5" hidden="1" x14ac:dyDescent="0.3">
      <c r="A563" s="10" t="str">
        <f>基本属性!$B$24&amp;"|"&amp;基本属性!$C$24</f>
        <v>220|14</v>
      </c>
      <c r="B563" s="10" t="str">
        <f>参数调整!$J$35</f>
        <v>BOSS掉落</v>
      </c>
      <c r="C563" s="8" t="str">
        <f>材料产出!$AV$2</f>
        <v>神器图纸</v>
      </c>
      <c r="D563" s="224">
        <f>参数调整!$K$35*怪物掉落配置方案!$D4667</f>
        <v>0.24690992907922238</v>
      </c>
    </row>
    <row r="564" spans="1:4" ht="16.5" hidden="1" x14ac:dyDescent="0.3">
      <c r="A564" s="10" t="str">
        <f>基本属性!$B$25&amp;"|"&amp;基本属性!$C$25</f>
        <v>220|15</v>
      </c>
      <c r="B564" s="10" t="str">
        <f>参数调整!$J$35</f>
        <v>BOSS掉落</v>
      </c>
      <c r="C564" s="8" t="str">
        <f>材料产出!$AV$2</f>
        <v>神器图纸</v>
      </c>
      <c r="D564" s="224">
        <f>参数调整!$K$35*怪物掉落配置方案!$D4668</f>
        <v>0.27622135187302055</v>
      </c>
    </row>
    <row r="565" spans="1:4" ht="16.5" hidden="1" x14ac:dyDescent="0.3">
      <c r="A565" s="10" t="str">
        <f>基本属性!$B$26&amp;"|"&amp;基本属性!$C$26</f>
        <v>230|16</v>
      </c>
      <c r="B565" s="10" t="str">
        <f>参数调整!$J$35</f>
        <v>BOSS掉落</v>
      </c>
      <c r="C565" s="8" t="str">
        <f>材料产出!$AV$2</f>
        <v>神器图纸</v>
      </c>
      <c r="D565" s="224">
        <f>参数调整!$K$35*怪物掉落配置方案!$D4669</f>
        <v>0.30717640585151773</v>
      </c>
    </row>
    <row r="566" spans="1:4" ht="16.5" hidden="1" x14ac:dyDescent="0.3">
      <c r="A566" s="10" t="str">
        <f>基本属性!$B$27&amp;"|"&amp;基本属性!$C$27</f>
        <v>230|17</v>
      </c>
      <c r="B566" s="10" t="str">
        <f>参数调整!$J$35</f>
        <v>BOSS掉落</v>
      </c>
      <c r="C566" s="8" t="str">
        <f>材料产出!$AV$2</f>
        <v>神器图纸</v>
      </c>
      <c r="D566" s="224">
        <f>参数调整!$K$35*怪物掉落配置方案!$D4670</f>
        <v>0.33977509101471387</v>
      </c>
    </row>
    <row r="567" spans="1:4" ht="16.5" hidden="1" x14ac:dyDescent="0.3">
      <c r="A567" s="10" t="str">
        <f>基本属性!$B$28&amp;"|"&amp;基本属性!$C$28</f>
        <v>240|18</v>
      </c>
      <c r="B567" s="10" t="str">
        <f>参数调整!$J$35</f>
        <v>BOSS掉落</v>
      </c>
      <c r="C567" s="8" t="str">
        <f>材料产出!$AV$2</f>
        <v>神器图纸</v>
      </c>
      <c r="D567" s="224">
        <f>参数调整!$K$35*怪物掉落配置方案!$D4671</f>
        <v>0.37401740736260913</v>
      </c>
    </row>
    <row r="568" spans="1:4" ht="16.5" hidden="1" x14ac:dyDescent="0.3">
      <c r="A568" s="10" t="str">
        <f>基本属性!$B$29&amp;"|"&amp;基本属性!$C$29</f>
        <v>240|19</v>
      </c>
      <c r="B568" s="10" t="str">
        <f>参数调整!$J$35</f>
        <v>BOSS掉落</v>
      </c>
      <c r="C568" s="8" t="str">
        <f>材料产出!$AV$2</f>
        <v>神器图纸</v>
      </c>
      <c r="D568" s="224">
        <f>参数调整!$K$35*怪物掉落配置方案!$D4672</f>
        <v>0.40990335489520313</v>
      </c>
    </row>
    <row r="569" spans="1:4" ht="16.5" hidden="1" x14ac:dyDescent="0.3">
      <c r="A569" s="10" t="str">
        <f>基本属性!$B$30&amp;"|"&amp;基本属性!$C$30</f>
        <v>250|20</v>
      </c>
      <c r="B569" s="10" t="str">
        <f>参数调整!$J$35</f>
        <v>BOSS掉落</v>
      </c>
      <c r="C569" s="8" t="str">
        <f>材料产出!$AV$2</f>
        <v>神器图纸</v>
      </c>
      <c r="D569" s="224">
        <f>参数调整!$K$35*怪物掉落配置方案!$D4673</f>
        <v>0.44743293361249614</v>
      </c>
    </row>
    <row r="570" spans="1:4" ht="16.5" hidden="1" x14ac:dyDescent="0.3">
      <c r="A570" s="10" t="str">
        <f>基本属性!$B$4&amp;"|"&amp;基本属性!$C$4</f>
        <v>35|0</v>
      </c>
      <c r="B570" s="10" t="str">
        <f>参数调整!$J$35</f>
        <v>BOSS掉落</v>
      </c>
      <c r="C570" s="8" t="str">
        <f>材料产出!$AH$2</f>
        <v>神品升星石</v>
      </c>
      <c r="D570" s="224">
        <f>参数调整!$K$35*怪物掉落配置方案!$D4674</f>
        <v>9.0730085236241181E-2</v>
      </c>
    </row>
    <row r="571" spans="1:4" ht="16.5" hidden="1" x14ac:dyDescent="0.3">
      <c r="A571" s="10" t="str">
        <f>基本属性!$B$5&amp;"|"&amp;基本属性!$C$5</f>
        <v>40|0</v>
      </c>
      <c r="B571" s="10" t="str">
        <f>参数调整!$J$35</f>
        <v>BOSS掉落</v>
      </c>
      <c r="C571" s="8" t="str">
        <f>材料产出!$AH$2</f>
        <v>神品升星石</v>
      </c>
      <c r="D571" s="224">
        <f>参数调整!$K$35*怪物掉落配置方案!$D4675</f>
        <v>0.11483026412711776</v>
      </c>
    </row>
    <row r="572" spans="1:4" ht="16.5" hidden="1" x14ac:dyDescent="0.3">
      <c r="A572" s="10" t="str">
        <f>基本属性!$B$6&amp;"|"&amp;基本属性!$C$6</f>
        <v>50|0</v>
      </c>
      <c r="B572" s="10" t="str">
        <f>参数调整!$J$35</f>
        <v>BOSS掉落</v>
      </c>
      <c r="C572" s="8" t="str">
        <f>材料产出!$AH$2</f>
        <v>神品升星石</v>
      </c>
      <c r="D572" s="224">
        <f>参数调整!$K$35*怪物掉落配置方案!$D4676</f>
        <v>0.14176575818162684</v>
      </c>
    </row>
    <row r="573" spans="1:4" ht="16.5" hidden="1" x14ac:dyDescent="0.3">
      <c r="A573" s="10" t="str">
        <f>基本属性!$B$7&amp;"|"&amp;基本属性!$C$7</f>
        <v>60|0</v>
      </c>
      <c r="B573" s="10" t="str">
        <f>参数调整!$J$35</f>
        <v>BOSS掉落</v>
      </c>
      <c r="C573" s="8" t="str">
        <f>材料产出!$AH$2</f>
        <v>神品升星石</v>
      </c>
      <c r="D573" s="224">
        <f>参数调整!$K$35*怪物掉落配置方案!$D4677</f>
        <v>0.1715365673997685</v>
      </c>
    </row>
    <row r="574" spans="1:4" ht="16.5" hidden="1" x14ac:dyDescent="0.3">
      <c r="A574" s="10" t="str">
        <f>基本属性!$B$8&amp;"|"&amp;基本属性!$C$8</f>
        <v>65|0</v>
      </c>
      <c r="B574" s="10" t="str">
        <f>参数调整!$J$35</f>
        <v>BOSS掉落</v>
      </c>
      <c r="C574" s="8" t="str">
        <f>材料产出!$AH$2</f>
        <v>神品升星石</v>
      </c>
      <c r="D574" s="224">
        <f>参数调整!$K$35*怪物掉落配置方案!$D4678</f>
        <v>0.20414269178154268</v>
      </c>
    </row>
    <row r="575" spans="1:4" ht="16.5" hidden="1" x14ac:dyDescent="0.3">
      <c r="A575" s="10" t="str">
        <f>基本属性!$B$9&amp;"|"&amp;基本属性!$C$9</f>
        <v>70|0</v>
      </c>
      <c r="B575" s="10" t="str">
        <f>参数调整!$J$35</f>
        <v>BOSS掉落</v>
      </c>
      <c r="C575" s="8" t="str">
        <f>材料产出!$AH$2</f>
        <v>神品升星石</v>
      </c>
      <c r="D575" s="224">
        <f>参数调整!$K$35*怪物掉落配置方案!$D4679</f>
        <v>0.23958413132694942</v>
      </c>
    </row>
    <row r="576" spans="1:4" ht="16.5" hidden="1" x14ac:dyDescent="0.3">
      <c r="A576" s="10" t="str">
        <f>基本属性!$B$10&amp;"|"&amp;基本属性!$C$10</f>
        <v>75|0</v>
      </c>
      <c r="B576" s="10" t="str">
        <f>参数调整!$J$35</f>
        <v>BOSS掉落</v>
      </c>
      <c r="C576" s="8" t="str">
        <f>材料产出!$AH$2</f>
        <v>神品升星石</v>
      </c>
      <c r="D576" s="224">
        <f>参数调整!$K$35*怪物掉落配置方案!$D4680</f>
        <v>0.27786088603598857</v>
      </c>
    </row>
    <row r="577" spans="1:4" ht="16.5" hidden="1" x14ac:dyDescent="0.3">
      <c r="A577" s="10" t="str">
        <f>基本属性!$B$11&amp;"|"&amp;基本属性!$C$11</f>
        <v>80|1</v>
      </c>
      <c r="B577" s="10" t="str">
        <f>参数调整!$J$35</f>
        <v>BOSS掉落</v>
      </c>
      <c r="C577" s="8" t="str">
        <f>材料产出!$AH$2</f>
        <v>神品升星石</v>
      </c>
      <c r="D577" s="224">
        <f>参数调整!$K$35*怪物掉落配置方案!$D4681</f>
        <v>0.31897295590866043</v>
      </c>
    </row>
    <row r="578" spans="1:4" ht="16.5" hidden="1" x14ac:dyDescent="0.3">
      <c r="A578" s="10" t="str">
        <f>基本属性!$B$12&amp;"|"&amp;基本属性!$C$12</f>
        <v>90|2</v>
      </c>
      <c r="B578" s="10" t="str">
        <f>参数调整!$J$35</f>
        <v>BOSS掉落</v>
      </c>
      <c r="C578" s="8" t="str">
        <f>材料产出!$AH$2</f>
        <v>神品升星石</v>
      </c>
      <c r="D578" s="224">
        <f>参数调整!$K$35*怪物掉落配置方案!$D4682</f>
        <v>0.36292034094496484</v>
      </c>
    </row>
    <row r="579" spans="1:4" ht="16.5" hidden="1" x14ac:dyDescent="0.3">
      <c r="A579" s="10" t="str">
        <f>基本属性!$B$13&amp;"|"&amp;基本属性!$C$13</f>
        <v>100|3</v>
      </c>
      <c r="B579" s="10" t="str">
        <f>参数调整!$J$35</f>
        <v>BOSS掉落</v>
      </c>
      <c r="C579" s="8" t="str">
        <f>材料产出!$AH$2</f>
        <v>神品升星石</v>
      </c>
      <c r="D579" s="224">
        <f>参数调整!$K$35*怪物掉落配置方案!$D4683</f>
        <v>0.4593210565084711</v>
      </c>
    </row>
    <row r="580" spans="1:4" ht="16.5" hidden="1" x14ac:dyDescent="0.3">
      <c r="A580" s="10" t="str">
        <f>基本属性!$B$14&amp;"|"&amp;基本属性!$C$14</f>
        <v>105|4</v>
      </c>
      <c r="B580" s="10" t="str">
        <f>参数调整!$J$35</f>
        <v>BOSS掉落</v>
      </c>
      <c r="C580" s="8" t="str">
        <f>材料产出!$AH$2</f>
        <v>神品升星石</v>
      </c>
      <c r="D580" s="224">
        <f>参数调整!$K$35*怪物掉落配置方案!$D4684</f>
        <v>0.56706303272650738</v>
      </c>
    </row>
    <row r="581" spans="1:4" ht="16.5" hidden="1" x14ac:dyDescent="0.3">
      <c r="A581" s="10" t="str">
        <f>基本属性!$B$15&amp;"|"&amp;基本属性!$C$15</f>
        <v>110|5</v>
      </c>
      <c r="B581" s="10" t="str">
        <f>参数调整!$J$35</f>
        <v>BOSS掉落</v>
      </c>
      <c r="C581" s="8" t="str">
        <f>材料产出!$AH$2</f>
        <v>神品升星石</v>
      </c>
      <c r="D581" s="224">
        <f>参数调整!$K$35*怪物掉落配置方案!$D4685</f>
        <v>0.6861462695990741</v>
      </c>
    </row>
    <row r="582" spans="1:4" ht="16.5" hidden="1" x14ac:dyDescent="0.3">
      <c r="A582" s="10" t="str">
        <f>基本属性!$B$16&amp;"|"&amp;基本属性!$C$16</f>
        <v>120|6</v>
      </c>
      <c r="B582" s="10" t="str">
        <f>参数调整!$J$35</f>
        <v>BOSS掉落</v>
      </c>
      <c r="C582" s="8" t="str">
        <f>材料产出!$AH$2</f>
        <v>神品升星石</v>
      </c>
      <c r="D582" s="224">
        <f>参数调整!$K$35*怪物掉落配置方案!$D4686</f>
        <v>0.88603598863516808</v>
      </c>
    </row>
    <row r="583" spans="1:4" ht="16.5" hidden="1" x14ac:dyDescent="0.3">
      <c r="A583" s="10" t="str">
        <f>基本属性!$B$17&amp;"|"&amp;基本属性!$C$17</f>
        <v>135|7</v>
      </c>
      <c r="B583" s="10" t="str">
        <f>参数调整!$J$35</f>
        <v>BOSS掉落</v>
      </c>
      <c r="C583" s="8" t="str">
        <f>材料产出!$AH$2</f>
        <v>神品升星石</v>
      </c>
      <c r="D583" s="224">
        <f>参数调整!$K$35*怪物掉落配置方案!$D4687</f>
        <v>1.2758918236346417</v>
      </c>
    </row>
    <row r="584" spans="1:4" ht="16.5" hidden="1" x14ac:dyDescent="0.3">
      <c r="A584" s="10" t="str">
        <f>基本属性!$B$18&amp;"|"&amp;基本属性!$C$18</f>
        <v>155|8</v>
      </c>
      <c r="B584" s="10" t="str">
        <f>参数调整!$J$35</f>
        <v>BOSS掉落</v>
      </c>
      <c r="C584" s="8" t="str">
        <f>材料产出!$AH$2</f>
        <v>神品升星石</v>
      </c>
      <c r="D584" s="224">
        <f>参数调整!$K$35*怪物掉落配置方案!$D4688</f>
        <v>1.7366305377249294</v>
      </c>
    </row>
    <row r="585" spans="1:4" ht="16.5" hidden="1" x14ac:dyDescent="0.3">
      <c r="A585" s="10" t="str">
        <f>基本属性!$B$19&amp;"|"&amp;基本属性!$C$19</f>
        <v>190|9</v>
      </c>
      <c r="B585" s="10" t="str">
        <f>参数调整!$J$35</f>
        <v>BOSS掉落</v>
      </c>
      <c r="C585" s="8" t="str">
        <f>材料产出!$AH$2</f>
        <v>神品升星石</v>
      </c>
      <c r="D585" s="224">
        <f>参数调整!$K$35*怪物掉落配置方案!$D4689</f>
        <v>1.9407732295064719</v>
      </c>
    </row>
    <row r="586" spans="1:4" ht="16.5" hidden="1" x14ac:dyDescent="0.3">
      <c r="A586" s="10" t="str">
        <f>基本属性!$B$20&amp;"|"&amp;基本属性!$C$20</f>
        <v>200|10</v>
      </c>
      <c r="B586" s="10" t="str">
        <f>参数调整!$J$35</f>
        <v>BOSS掉落</v>
      </c>
      <c r="C586" s="8" t="str">
        <f>材料产出!$AH$2</f>
        <v>神品升星石</v>
      </c>
      <c r="D586" s="224">
        <f>参数调整!$K$35*怪物掉落配置方案!$D4690</f>
        <v>2.2682521309060295</v>
      </c>
    </row>
    <row r="587" spans="1:4" ht="16.5" hidden="1" x14ac:dyDescent="0.3">
      <c r="A587" s="10" t="str">
        <f>基本属性!$B$21&amp;"|"&amp;基本属性!$C$21</f>
        <v>200|11</v>
      </c>
      <c r="B587" s="10" t="str">
        <f>参数调整!$J$35</f>
        <v>BOSS掉落</v>
      </c>
      <c r="C587" s="8" t="str">
        <f>材料产出!$AH$2</f>
        <v>神品升星石</v>
      </c>
      <c r="D587" s="224">
        <f>参数调整!$K$35*怪物掉落配置方案!$D4691</f>
        <v>2.62124886877828</v>
      </c>
    </row>
    <row r="588" spans="1:4" ht="16.5" hidden="1" x14ac:dyDescent="0.3">
      <c r="A588" s="10" t="str">
        <f>基本属性!$B$22&amp;"|"&amp;基本属性!$C$22</f>
        <v>210|12</v>
      </c>
      <c r="B588" s="10" t="str">
        <f>参数调整!$J$35</f>
        <v>BOSS掉落</v>
      </c>
      <c r="C588" s="8" t="str">
        <f>材料产出!$AH$2</f>
        <v>神品升星石</v>
      </c>
      <c r="D588" s="224">
        <f>参数调整!$K$35*怪物掉落配置方案!$D4692</f>
        <v>2.9997634431232236</v>
      </c>
    </row>
    <row r="589" spans="1:4" ht="16.5" hidden="1" x14ac:dyDescent="0.3">
      <c r="A589" s="10" t="str">
        <f>基本属性!$B$23&amp;"|"&amp;基本属性!$C$23</f>
        <v>210|13</v>
      </c>
      <c r="B589" s="10" t="str">
        <f>参数调整!$J$35</f>
        <v>BOSS掉落</v>
      </c>
      <c r="C589" s="8" t="str">
        <f>材料产出!$AH$2</f>
        <v>神品升星石</v>
      </c>
      <c r="D589" s="224">
        <f>参数调整!$K$35*怪物掉落配置方案!$D4693</f>
        <v>3.4037958539408617</v>
      </c>
    </row>
    <row r="590" spans="1:4" ht="16.5" hidden="1" x14ac:dyDescent="0.3">
      <c r="A590" s="10" t="str">
        <f>基本属性!$B$24&amp;"|"&amp;基本属性!$C$24</f>
        <v>220|14</v>
      </c>
      <c r="B590" s="10" t="str">
        <f>参数调整!$J$35</f>
        <v>BOSS掉落</v>
      </c>
      <c r="C590" s="8" t="str">
        <f>材料产出!$AH$2</f>
        <v>神品升星石</v>
      </c>
      <c r="D590" s="224">
        <f>参数调整!$K$35*怪物掉落配置方案!$D4694</f>
        <v>3.8333461012311907</v>
      </c>
    </row>
    <row r="591" spans="1:4" ht="16.5" hidden="1" x14ac:dyDescent="0.3">
      <c r="A591" s="10" t="str">
        <f>基本属性!$B$25&amp;"|"&amp;基本属性!$C$25</f>
        <v>220|15</v>
      </c>
      <c r="B591" s="10" t="str">
        <f>参数调整!$J$35</f>
        <v>BOSS掉落</v>
      </c>
      <c r="C591" s="8" t="str">
        <f>材料产出!$AH$2</f>
        <v>神品升星石</v>
      </c>
      <c r="D591" s="224">
        <f>参数调整!$K$35*怪物掉落配置方案!$D4695</f>
        <v>4.2884141849942123</v>
      </c>
    </row>
    <row r="592" spans="1:4" ht="16.5" hidden="1" x14ac:dyDescent="0.3">
      <c r="A592" s="10" t="str">
        <f>基本属性!$B$26&amp;"|"&amp;基本属性!$C$26</f>
        <v>230|16</v>
      </c>
      <c r="B592" s="10" t="str">
        <f>参数调整!$J$35</f>
        <v>BOSS掉落</v>
      </c>
      <c r="C592" s="8" t="str">
        <f>材料产出!$AH$2</f>
        <v>神品升星石</v>
      </c>
      <c r="D592" s="224">
        <f>参数调整!$K$35*怪物掉落配置方案!$D4696</f>
        <v>4.7690001052299271</v>
      </c>
    </row>
    <row r="593" spans="1:4" ht="16.5" hidden="1" x14ac:dyDescent="0.3">
      <c r="A593" s="10" t="str">
        <f>基本属性!$B$27&amp;"|"&amp;基本属性!$C$27</f>
        <v>230|17</v>
      </c>
      <c r="B593" s="10" t="str">
        <f>参数调整!$J$35</f>
        <v>BOSS掉落</v>
      </c>
      <c r="C593" s="8" t="str">
        <f>材料产出!$AH$2</f>
        <v>神品升星石</v>
      </c>
      <c r="D593" s="224">
        <f>参数调整!$K$35*怪物掉落配置方案!$D4697</f>
        <v>5.2751038619383355</v>
      </c>
    </row>
    <row r="594" spans="1:4" ht="16.5" hidden="1" x14ac:dyDescent="0.3">
      <c r="A594" s="10" t="str">
        <f>基本属性!$B$28&amp;"|"&amp;基本属性!$C$28</f>
        <v>240|18</v>
      </c>
      <c r="B594" s="10" t="str">
        <f>参数调整!$J$35</f>
        <v>BOSS掉落</v>
      </c>
      <c r="C594" s="8" t="str">
        <f>材料产出!$AH$2</f>
        <v>神品升星石</v>
      </c>
      <c r="D594" s="224">
        <f>参数调整!$K$35*怪物掉落配置方案!$D4698</f>
        <v>5.8067254551194356</v>
      </c>
    </row>
    <row r="595" spans="1:4" ht="16.5" hidden="1" x14ac:dyDescent="0.3">
      <c r="A595" s="10" t="str">
        <f>基本属性!$B$29&amp;"|"&amp;基本属性!$C$29</f>
        <v>240|19</v>
      </c>
      <c r="B595" s="10" t="str">
        <f>参数调整!$J$35</f>
        <v>BOSS掉落</v>
      </c>
      <c r="C595" s="8" t="str">
        <f>材料产出!$AH$2</f>
        <v>神品升星石</v>
      </c>
      <c r="D595" s="224">
        <f>参数调整!$K$35*怪物掉落配置方案!$D4699</f>
        <v>6.3638648847732311</v>
      </c>
    </row>
    <row r="596" spans="1:4" ht="16.5" hidden="1" x14ac:dyDescent="0.3">
      <c r="A596" s="10" t="str">
        <f>基本属性!$B$30&amp;"|"&amp;基本属性!$C$30</f>
        <v>250|20</v>
      </c>
      <c r="B596" s="10" t="str">
        <f>参数调整!$J$35</f>
        <v>BOSS掉落</v>
      </c>
      <c r="C596" s="8" t="str">
        <f>材料产出!$AH$2</f>
        <v>神品升星石</v>
      </c>
      <c r="D596" s="224">
        <f>参数调整!$K$35*怪物掉落配置方案!$D4700</f>
        <v>6.9465221508997139</v>
      </c>
    </row>
    <row r="597" spans="1:4" ht="16.5" hidden="1" x14ac:dyDescent="0.3">
      <c r="A597" s="10" t="str">
        <f>基本属性!$B$4&amp;"|"&amp;基本属性!$C$4</f>
        <v>35|0</v>
      </c>
      <c r="B597" s="10" t="str">
        <f>参数调整!$J$35</f>
        <v>BOSS掉落</v>
      </c>
      <c r="C597" s="8" t="str">
        <f>材料产出!$AL$2</f>
        <v>上品注灵石</v>
      </c>
      <c r="D597" s="224">
        <f>参数调整!$K$35*怪物掉落配置方案!$D4701</f>
        <v>0.51844102894235666</v>
      </c>
    </row>
    <row r="598" spans="1:4" ht="16.5" hidden="1" x14ac:dyDescent="0.3">
      <c r="A598" s="10" t="str">
        <f>基本属性!$B$5&amp;"|"&amp;基本属性!$C$5</f>
        <v>40|0</v>
      </c>
      <c r="B598" s="10" t="str">
        <f>参数调整!$J$35</f>
        <v>BOSS掉落</v>
      </c>
      <c r="C598" s="8" t="str">
        <f>材料产出!$AL$2</f>
        <v>上品注灵石</v>
      </c>
      <c r="D598" s="224">
        <f>参数调整!$K$35*怪物掉落配置方案!$D4702</f>
        <v>0.65615192725517013</v>
      </c>
    </row>
    <row r="599" spans="1:4" ht="16.5" hidden="1" x14ac:dyDescent="0.3">
      <c r="A599" s="10" t="str">
        <f>基本属性!$B$6&amp;"|"&amp;基本属性!$C$6</f>
        <v>50|0</v>
      </c>
      <c r="B599" s="10" t="str">
        <f>参数调整!$J$35</f>
        <v>BOSS掉落</v>
      </c>
      <c r="C599" s="8" t="str">
        <f>材料产出!$AL$2</f>
        <v>上品注灵石</v>
      </c>
      <c r="D599" s="224">
        <f>参数调整!$K$35*怪物掉落配置方案!$D4703</f>
        <v>0.81006410772243231</v>
      </c>
    </row>
    <row r="600" spans="1:4" ht="16.5" hidden="1" x14ac:dyDescent="0.3">
      <c r="A600" s="10" t="str">
        <f>基本属性!$B$7&amp;"|"&amp;基本属性!$C$7</f>
        <v>60|0</v>
      </c>
      <c r="B600" s="10" t="str">
        <f>参数调整!$J$35</f>
        <v>BOSS掉落</v>
      </c>
      <c r="C600" s="8" t="str">
        <f>材料产出!$AL$2</f>
        <v>上品注灵石</v>
      </c>
      <c r="D600" s="224">
        <f>参数调整!$K$35*怪物掉落配置方案!$D4704</f>
        <v>0.98017757034414321</v>
      </c>
    </row>
    <row r="601" spans="1:4" ht="16.5" hidden="1" x14ac:dyDescent="0.3">
      <c r="A601" s="10" t="str">
        <f>基本属性!$B$8&amp;"|"&amp;基本属性!$C$8</f>
        <v>65|0</v>
      </c>
      <c r="B601" s="10" t="str">
        <f>参数调整!$J$35</f>
        <v>BOSS掉落</v>
      </c>
      <c r="C601" s="8" t="str">
        <f>材料产出!$AL$2</f>
        <v>上品注灵石</v>
      </c>
      <c r="D601" s="224">
        <f>参数调整!$K$35*怪物掉落配置方案!$D4705</f>
        <v>1.1664923151203024</v>
      </c>
    </row>
    <row r="602" spans="1:4" ht="16.5" hidden="1" x14ac:dyDescent="0.3">
      <c r="A602" s="10" t="str">
        <f>基本属性!$B$9&amp;"|"&amp;基本属性!$C$9</f>
        <v>70|0</v>
      </c>
      <c r="B602" s="10" t="str">
        <f>参数调整!$J$35</f>
        <v>BOSS掉落</v>
      </c>
      <c r="C602" s="8" t="str">
        <f>材料产出!$AL$2</f>
        <v>上品注灵石</v>
      </c>
      <c r="D602" s="224">
        <f>参数调整!$K$35*怪物掉落配置方案!$D4706</f>
        <v>1.3690083420509105</v>
      </c>
    </row>
    <row r="603" spans="1:4" ht="16.5" hidden="1" x14ac:dyDescent="0.3">
      <c r="A603" s="10" t="str">
        <f>基本属性!$B$10&amp;"|"&amp;基本属性!$C$10</f>
        <v>75|0</v>
      </c>
      <c r="B603" s="10" t="str">
        <f>参数调整!$J$35</f>
        <v>BOSS掉落</v>
      </c>
      <c r="C603" s="8" t="str">
        <f>材料产出!$AL$2</f>
        <v>上品注灵石</v>
      </c>
      <c r="D603" s="224">
        <f>参数调整!$K$35*怪物掉落配置方案!$D4707</f>
        <v>1.587725651135967</v>
      </c>
    </row>
    <row r="604" spans="1:4" ht="16.5" hidden="1" x14ac:dyDescent="0.3">
      <c r="A604" s="10" t="str">
        <f>基本属性!$B$11&amp;"|"&amp;基本属性!$C$11</f>
        <v>80|1</v>
      </c>
      <c r="B604" s="10" t="str">
        <f>参数调整!$J$35</f>
        <v>BOSS掉落</v>
      </c>
      <c r="C604" s="8" t="str">
        <f>材料产出!$AL$2</f>
        <v>上品注灵石</v>
      </c>
      <c r="D604" s="224">
        <f>参数调整!$K$35*怪物掉落配置方案!$D4708</f>
        <v>1.8226442423754727</v>
      </c>
    </row>
    <row r="605" spans="1:4" ht="16.5" hidden="1" x14ac:dyDescent="0.3">
      <c r="A605" s="10" t="str">
        <f>基本属性!$B$12&amp;"|"&amp;基本属性!$C$12</f>
        <v>90|2</v>
      </c>
      <c r="B605" s="10" t="str">
        <f>参数调整!$J$35</f>
        <v>BOSS掉落</v>
      </c>
      <c r="C605" s="8" t="str">
        <f>材料产出!$AL$2</f>
        <v>上品注灵石</v>
      </c>
      <c r="D605" s="224">
        <f>参数调整!$K$35*怪物掉落配置方案!$D4709</f>
        <v>2.0737641157694267</v>
      </c>
    </row>
    <row r="606" spans="1:4" ht="16.5" hidden="1" x14ac:dyDescent="0.3">
      <c r="A606" s="10" t="str">
        <f>基本属性!$B$13&amp;"|"&amp;基本属性!$C$13</f>
        <v>100|3</v>
      </c>
      <c r="B606" s="10" t="str">
        <f>参数调整!$J$35</f>
        <v>BOSS掉落</v>
      </c>
      <c r="C606" s="8" t="str">
        <f>材料产出!$AL$2</f>
        <v>上品注灵石</v>
      </c>
      <c r="D606" s="224">
        <f>参数调整!$K$35*怪物掉落配置方案!$D4710</f>
        <v>2.6246077090206805</v>
      </c>
    </row>
    <row r="607" spans="1:4" ht="16.5" hidden="1" x14ac:dyDescent="0.3">
      <c r="A607" s="10" t="str">
        <f>基本属性!$B$14&amp;"|"&amp;基本属性!$C$14</f>
        <v>105|4</v>
      </c>
      <c r="B607" s="10" t="str">
        <f>参数调整!$J$35</f>
        <v>BOSS掉落</v>
      </c>
      <c r="C607" s="8" t="str">
        <f>材料产出!$AL$2</f>
        <v>上品注灵石</v>
      </c>
      <c r="D607" s="224">
        <f>参数调整!$K$35*怪物掉落配置方案!$D4711</f>
        <v>3.2402564308897293</v>
      </c>
    </row>
    <row r="608" spans="1:4" ht="16.5" hidden="1" x14ac:dyDescent="0.3">
      <c r="A608" s="10" t="str">
        <f>基本属性!$B$15&amp;"|"&amp;基本属性!$C$15</f>
        <v>110|5</v>
      </c>
      <c r="B608" s="10" t="str">
        <f>参数调整!$J$35</f>
        <v>BOSS掉落</v>
      </c>
      <c r="C608" s="8" t="str">
        <f>材料产出!$AL$2</f>
        <v>上品注灵石</v>
      </c>
      <c r="D608" s="224">
        <f>参数调整!$K$35*怪物掉落配置方案!$D4712</f>
        <v>3.9207102813765728</v>
      </c>
    </row>
    <row r="609" spans="1:4" ht="16.5" hidden="1" x14ac:dyDescent="0.3">
      <c r="A609" s="10" t="str">
        <f>基本属性!$B$16&amp;"|"&amp;基本属性!$C$16</f>
        <v>120|6</v>
      </c>
      <c r="B609" s="10" t="str">
        <f>参数调整!$J$35</f>
        <v>BOSS掉落</v>
      </c>
      <c r="C609" s="8" t="str">
        <f>材料产出!$AL$2</f>
        <v>上品注灵石</v>
      </c>
      <c r="D609" s="224">
        <f>参数调整!$K$35*怪物掉落配置方案!$D4713</f>
        <v>5.0629006732652018</v>
      </c>
    </row>
    <row r="610" spans="1:4" ht="16.5" hidden="1" x14ac:dyDescent="0.3">
      <c r="A610" s="10" t="str">
        <f>基本属性!$B$17&amp;"|"&amp;基本属性!$C$17</f>
        <v>135|7</v>
      </c>
      <c r="B610" s="10" t="str">
        <f>参数调整!$J$35</f>
        <v>BOSS掉落</v>
      </c>
      <c r="C610" s="8" t="str">
        <f>材料产出!$AL$2</f>
        <v>上品注灵石</v>
      </c>
      <c r="D610" s="224">
        <f>参数调整!$K$35*怪物掉落配置方案!$D4714</f>
        <v>7.2905769695018909</v>
      </c>
    </row>
    <row r="611" spans="1:4" ht="16.5" hidden="1" x14ac:dyDescent="0.3">
      <c r="A611" s="10" t="str">
        <f>基本属性!$B$18&amp;"|"&amp;基本属性!$C$18</f>
        <v>155|8</v>
      </c>
      <c r="B611" s="10" t="str">
        <f>参数调整!$J$35</f>
        <v>BOSS掉落</v>
      </c>
      <c r="C611" s="8" t="str">
        <f>材料产出!$AL$2</f>
        <v>上品注灵石</v>
      </c>
      <c r="D611" s="224">
        <f>参数调整!$K$35*怪物掉落配置方案!$D4715</f>
        <v>9.9232853195997954</v>
      </c>
    </row>
    <row r="612" spans="1:4" ht="16.5" hidden="1" x14ac:dyDescent="0.3">
      <c r="A612" s="10" t="str">
        <f>基本属性!$B$19&amp;"|"&amp;基本属性!$C$19</f>
        <v>190|9</v>
      </c>
      <c r="B612" s="10" t="str">
        <f>参数调整!$J$35</f>
        <v>BOSS掉落</v>
      </c>
      <c r="C612" s="8" t="str">
        <f>材料产出!$AL$2</f>
        <v>上品注灵石</v>
      </c>
      <c r="D612" s="224">
        <f>参数调整!$K$35*怪物掉落配置方案!$D4716</f>
        <v>11.0897776347201</v>
      </c>
    </row>
    <row r="613" spans="1:4" ht="16.5" hidden="1" x14ac:dyDescent="0.3">
      <c r="A613" s="10" t="str">
        <f>基本属性!$B$20&amp;"|"&amp;基本属性!$C$20</f>
        <v>200|10</v>
      </c>
      <c r="B613" s="10" t="str">
        <f>参数调整!$J$35</f>
        <v>BOSS掉落</v>
      </c>
      <c r="C613" s="8" t="str">
        <f>材料产出!$AL$2</f>
        <v>上品注灵石</v>
      </c>
      <c r="D613" s="224">
        <f>参数调整!$K$35*怪物掉落配置方案!$D4717</f>
        <v>12.961025723558917</v>
      </c>
    </row>
    <row r="614" spans="1:4" ht="16.5" hidden="1" x14ac:dyDescent="0.3">
      <c r="A614" s="10" t="str">
        <f>基本属性!$B$21&amp;"|"&amp;基本属性!$C$21</f>
        <v>200|11</v>
      </c>
      <c r="B614" s="10" t="str">
        <f>参数调整!$J$35</f>
        <v>BOSS掉落</v>
      </c>
      <c r="C614" s="8" t="str">
        <f>材料产出!$AL$2</f>
        <v>上品注灵石</v>
      </c>
      <c r="D614" s="224">
        <f>参数调整!$K$35*怪物掉落配置方案!$D4718</f>
        <v>14.978085351787771</v>
      </c>
    </row>
    <row r="615" spans="1:4" ht="16.5" hidden="1" x14ac:dyDescent="0.3">
      <c r="A615" s="10" t="str">
        <f>基本属性!$B$22&amp;"|"&amp;基本属性!$C$22</f>
        <v>210|12</v>
      </c>
      <c r="B615" s="10" t="str">
        <f>参数调整!$J$35</f>
        <v>BOSS掉落</v>
      </c>
      <c r="C615" s="8" t="str">
        <f>材料产出!$AL$2</f>
        <v>上品注灵石</v>
      </c>
      <c r="D615" s="224">
        <f>参数调整!$K$35*怪物掉落配置方案!$D4719</f>
        <v>17.140956519406661</v>
      </c>
    </row>
    <row r="616" spans="1:4" ht="16.5" hidden="1" x14ac:dyDescent="0.3">
      <c r="A616" s="10" t="str">
        <f>基本属性!$B$23&amp;"|"&amp;基本属性!$C$23</f>
        <v>210|13</v>
      </c>
      <c r="B616" s="10" t="str">
        <f>参数调整!$J$35</f>
        <v>BOSS掉落</v>
      </c>
      <c r="C616" s="8" t="str">
        <f>材料产出!$AL$2</f>
        <v>上品注灵石</v>
      </c>
      <c r="D616" s="224">
        <f>参数调整!$K$35*怪物掉落配置方案!$D4720</f>
        <v>19.449639226415599</v>
      </c>
    </row>
    <row r="617" spans="1:4" ht="16.5" hidden="1" x14ac:dyDescent="0.3">
      <c r="A617" s="10" t="str">
        <f>基本属性!$B$24&amp;"|"&amp;基本属性!$C$24</f>
        <v>220|14</v>
      </c>
      <c r="B617" s="10" t="str">
        <f>参数调整!$J$35</f>
        <v>BOSS掉落</v>
      </c>
      <c r="C617" s="8" t="str">
        <f>材料产出!$AL$2</f>
        <v>上品注灵石</v>
      </c>
      <c r="D617" s="224">
        <f>参数调整!$K$35*怪物掉落配置方案!$D4721</f>
        <v>21.904133472814568</v>
      </c>
    </row>
    <row r="618" spans="1:4" ht="16.5" hidden="1" x14ac:dyDescent="0.3">
      <c r="A618" s="10" t="str">
        <f>基本属性!$B$25&amp;"|"&amp;基本属性!$C$25</f>
        <v>220|15</v>
      </c>
      <c r="B618" s="10" t="str">
        <f>参数调整!$J$35</f>
        <v>BOSS掉落</v>
      </c>
      <c r="C618" s="8" t="str">
        <f>材料产出!$AL$2</f>
        <v>上品注灵石</v>
      </c>
      <c r="D618" s="224">
        <f>参数调整!$K$35*怪物掉落配置方案!$D4722</f>
        <v>24.504439258603576</v>
      </c>
    </row>
    <row r="619" spans="1:4" ht="16.5" hidden="1" x14ac:dyDescent="0.3">
      <c r="A619" s="10" t="str">
        <f>基本属性!$B$26&amp;"|"&amp;基本属性!$C$26</f>
        <v>230|16</v>
      </c>
      <c r="B619" s="10" t="str">
        <f>参数调整!$J$35</f>
        <v>BOSS掉落</v>
      </c>
      <c r="C619" s="8" t="str">
        <f>材料产出!$AL$2</f>
        <v>上品注灵石</v>
      </c>
      <c r="D619" s="224">
        <f>参数调整!$K$35*怪物掉落配置方案!$D4723</f>
        <v>27.250556583782615</v>
      </c>
    </row>
    <row r="620" spans="1:4" ht="16.5" hidden="1" x14ac:dyDescent="0.3">
      <c r="A620" s="10" t="str">
        <f>基本属性!$B$27&amp;"|"&amp;基本属性!$C$27</f>
        <v>230|17</v>
      </c>
      <c r="B620" s="10" t="str">
        <f>参数调整!$J$35</f>
        <v>BOSS掉落</v>
      </c>
      <c r="C620" s="8" t="str">
        <f>材料产出!$AL$2</f>
        <v>上品注灵石</v>
      </c>
      <c r="D620" s="224">
        <f>参数调整!$K$35*怪物掉落配置方案!$D4724</f>
        <v>30.142485448351703</v>
      </c>
    </row>
    <row r="621" spans="1:4" ht="16.5" hidden="1" x14ac:dyDescent="0.3">
      <c r="A621" s="10" t="str">
        <f>基本属性!$B$28&amp;"|"&amp;基本属性!$C$28</f>
        <v>240|18</v>
      </c>
      <c r="B621" s="10" t="str">
        <f>参数调整!$J$35</f>
        <v>BOSS掉落</v>
      </c>
      <c r="C621" s="8" t="str">
        <f>材料产出!$AL$2</f>
        <v>上品注灵石</v>
      </c>
      <c r="D621" s="224">
        <f>参数调整!$K$35*怪物掉落配置方案!$D4725</f>
        <v>33.180225852310826</v>
      </c>
    </row>
    <row r="622" spans="1:4" ht="16.5" hidden="1" x14ac:dyDescent="0.3">
      <c r="A622" s="10" t="str">
        <f>基本属性!$B$29&amp;"|"&amp;基本属性!$C$29</f>
        <v>240|19</v>
      </c>
      <c r="B622" s="10" t="str">
        <f>参数调整!$J$35</f>
        <v>BOSS掉落</v>
      </c>
      <c r="C622" s="8" t="str">
        <f>材料产出!$AL$2</f>
        <v>上品注灵石</v>
      </c>
      <c r="D622" s="224">
        <f>参数调整!$K$35*怪物掉落配置方案!$D4726</f>
        <v>36.363777795659985</v>
      </c>
    </row>
    <row r="623" spans="1:4" ht="16.5" hidden="1" x14ac:dyDescent="0.3">
      <c r="A623" s="10" t="str">
        <f>基本属性!$B$30&amp;"|"&amp;基本属性!$C$30</f>
        <v>250|20</v>
      </c>
      <c r="B623" s="10" t="str">
        <f>参数调整!$J$35</f>
        <v>BOSS掉落</v>
      </c>
      <c r="C623" s="8" t="str">
        <f>材料产出!$AL$2</f>
        <v>上品注灵石</v>
      </c>
      <c r="D623" s="224">
        <f>参数调整!$K$35*怪物掉落配置方案!$D4727</f>
        <v>39.693141278399182</v>
      </c>
    </row>
    <row r="624" spans="1:4" ht="16.5" hidden="1" x14ac:dyDescent="0.3">
      <c r="A624" s="10" t="str">
        <f>基本属性!$B$4&amp;"|"&amp;基本属性!$C$4</f>
        <v>35|0</v>
      </c>
      <c r="B624" s="10" t="str">
        <f>参数调整!$J$35</f>
        <v>BOSS掉落</v>
      </c>
      <c r="C624" s="8" t="str">
        <f>材料产出!$AT$2</f>
        <v>魔龙之心</v>
      </c>
      <c r="D624" s="224">
        <f>参数调整!$K$35*怪物掉落配置方案!$D4728</f>
        <v>6.4933577667119645E-4</v>
      </c>
    </row>
    <row r="625" spans="1:4" ht="16.5" hidden="1" x14ac:dyDescent="0.3">
      <c r="A625" s="10" t="str">
        <f>基本属性!$B$5&amp;"|"&amp;基本属性!$C$5</f>
        <v>40|0</v>
      </c>
      <c r="B625" s="10" t="str">
        <f>参数调整!$J$35</f>
        <v>BOSS掉落</v>
      </c>
      <c r="C625" s="8" t="str">
        <f>材料产出!$AT$2</f>
        <v>魔龙之心</v>
      </c>
      <c r="D625" s="224">
        <f>参数调整!$K$35*怪物掉落配置方案!$D4729</f>
        <v>8.2181559234948288E-4</v>
      </c>
    </row>
    <row r="626" spans="1:4" ht="16.5" hidden="1" x14ac:dyDescent="0.3">
      <c r="A626" s="10" t="str">
        <f>基本属性!$B$6&amp;"|"&amp;基本属性!$C$6</f>
        <v>50|0</v>
      </c>
      <c r="B626" s="10" t="str">
        <f>参数调整!$J$35</f>
        <v>BOSS掉落</v>
      </c>
      <c r="C626" s="8" t="str">
        <f>材料产出!$AT$2</f>
        <v>魔龙之心</v>
      </c>
      <c r="D626" s="224">
        <f>参数调整!$K$35*怪物掉落配置方案!$D4730</f>
        <v>1.0145871510487442E-3</v>
      </c>
    </row>
    <row r="627" spans="1:4" ht="16.5" hidden="1" x14ac:dyDescent="0.3">
      <c r="A627" s="10" t="str">
        <f>基本属性!$B$7&amp;"|"&amp;基本属性!$C$7</f>
        <v>60|0</v>
      </c>
      <c r="B627" s="10" t="str">
        <f>参数调整!$J$35</f>
        <v>BOSS掉落</v>
      </c>
      <c r="C627" s="8" t="str">
        <f>材料产出!$AT$2</f>
        <v>魔龙之心</v>
      </c>
      <c r="D627" s="224">
        <f>参数调整!$K$35*怪物掉落配置方案!$D4731</f>
        <v>1.227650452768981E-3</v>
      </c>
    </row>
    <row r="628" spans="1:4" ht="16.5" hidden="1" x14ac:dyDescent="0.3">
      <c r="A628" s="10" t="str">
        <f>基本属性!$B$8&amp;"|"&amp;基本属性!$C$8</f>
        <v>65|0</v>
      </c>
      <c r="B628" s="10" t="str">
        <f>参数调整!$J$35</f>
        <v>BOSS掉落</v>
      </c>
      <c r="C628" s="8" t="str">
        <f>材料产出!$AT$2</f>
        <v>魔龙之心</v>
      </c>
      <c r="D628" s="224">
        <f>参数调整!$K$35*怪物掉落配置方案!$D4732</f>
        <v>1.4610054975101917E-3</v>
      </c>
    </row>
    <row r="629" spans="1:4" ht="16.5" hidden="1" x14ac:dyDescent="0.3">
      <c r="A629" s="10" t="str">
        <f>基本属性!$B$9&amp;"|"&amp;基本属性!$C$9</f>
        <v>70|0</v>
      </c>
      <c r="B629" s="10" t="str">
        <f>参数调整!$J$35</f>
        <v>BOSS掉落</v>
      </c>
      <c r="C629" s="8" t="str">
        <f>材料产出!$AT$2</f>
        <v>魔龙之心</v>
      </c>
      <c r="D629" s="224">
        <f>参数调整!$K$35*怪物掉落配置方案!$D4733</f>
        <v>1.7146522852723779E-3</v>
      </c>
    </row>
    <row r="630" spans="1:4" ht="16.5" hidden="1" x14ac:dyDescent="0.3">
      <c r="A630" s="10" t="str">
        <f>基本属性!$B$10&amp;"|"&amp;基本属性!$C$10</f>
        <v>75|0</v>
      </c>
      <c r="B630" s="10" t="str">
        <f>参数调整!$J$35</f>
        <v>BOSS掉落</v>
      </c>
      <c r="C630" s="8" t="str">
        <f>材料产出!$AT$2</f>
        <v>魔龙之心</v>
      </c>
      <c r="D630" s="224">
        <f>参数调整!$K$35*怪物掉落配置方案!$D4734</f>
        <v>1.9885908160555384E-3</v>
      </c>
    </row>
    <row r="631" spans="1:4" ht="16.5" hidden="1" x14ac:dyDescent="0.3">
      <c r="A631" s="10" t="str">
        <f>基本属性!$B$11&amp;"|"&amp;基本属性!$C$11</f>
        <v>80|1</v>
      </c>
      <c r="B631" s="10" t="str">
        <f>参数调整!$J$35</f>
        <v>BOSS掉落</v>
      </c>
      <c r="C631" s="8" t="str">
        <f>材料产出!$AT$2</f>
        <v>魔龙之心</v>
      </c>
      <c r="D631" s="224">
        <f>参数调整!$K$35*怪物掉落配置方案!$D4735</f>
        <v>2.2828210898596744E-3</v>
      </c>
    </row>
    <row r="632" spans="1:4" ht="16.5" hidden="1" x14ac:dyDescent="0.3">
      <c r="A632" s="10" t="str">
        <f>基本属性!$B$12&amp;"|"&amp;基本属性!$C$12</f>
        <v>90|2</v>
      </c>
      <c r="B632" s="10" t="str">
        <f>参数调整!$J$35</f>
        <v>BOSS掉落</v>
      </c>
      <c r="C632" s="8" t="str">
        <f>材料产出!$AT$2</f>
        <v>魔龙之心</v>
      </c>
      <c r="D632" s="224">
        <f>参数调整!$K$35*怪物掉落配置方案!$D4736</f>
        <v>2.5973431066847858E-3</v>
      </c>
    </row>
    <row r="633" spans="1:4" ht="16.5" hidden="1" x14ac:dyDescent="0.3">
      <c r="A633" s="10" t="str">
        <f>基本属性!$B$13&amp;"|"&amp;基本属性!$C$13</f>
        <v>100|3</v>
      </c>
      <c r="B633" s="10" t="str">
        <f>参数调整!$J$35</f>
        <v>BOSS掉落</v>
      </c>
      <c r="C633" s="8" t="str">
        <f>材料产出!$AT$2</f>
        <v>魔龙之心</v>
      </c>
      <c r="D633" s="224">
        <f>参数调整!$K$35*怪物掉落配置方案!$D4737</f>
        <v>3.2872623693979324E-3</v>
      </c>
    </row>
    <row r="634" spans="1:4" ht="16.5" hidden="1" x14ac:dyDescent="0.3">
      <c r="A634" s="10" t="str">
        <f>基本属性!$B$14&amp;"|"&amp;基本属性!$C$14</f>
        <v>105|4</v>
      </c>
      <c r="B634" s="10" t="str">
        <f>参数调整!$J$35</f>
        <v>BOSS掉落</v>
      </c>
      <c r="C634" s="8" t="str">
        <f>材料产出!$AT$2</f>
        <v>魔龙之心</v>
      </c>
      <c r="D634" s="224">
        <f>参数调整!$K$35*怪物掉落配置方案!$D4738</f>
        <v>4.0583486041949769E-3</v>
      </c>
    </row>
    <row r="635" spans="1:4" ht="16.5" hidden="1" x14ac:dyDescent="0.3">
      <c r="A635" s="10" t="str">
        <f>基本属性!$B$15&amp;"|"&amp;基本属性!$C$15</f>
        <v>110|5</v>
      </c>
      <c r="B635" s="10" t="str">
        <f>参数调整!$J$35</f>
        <v>BOSS掉落</v>
      </c>
      <c r="C635" s="8" t="str">
        <f>材料产出!$AT$2</f>
        <v>魔龙之心</v>
      </c>
      <c r="D635" s="224">
        <f>参数调整!$K$35*怪物掉落配置方案!$D4739</f>
        <v>4.910601811075924E-3</v>
      </c>
    </row>
    <row r="636" spans="1:4" ht="16.5" hidden="1" x14ac:dyDescent="0.3">
      <c r="A636" s="10" t="str">
        <f>基本属性!$B$16&amp;"|"&amp;基本属性!$C$16</f>
        <v>120|6</v>
      </c>
      <c r="B636" s="10" t="str">
        <f>参数调整!$J$35</f>
        <v>BOSS掉落</v>
      </c>
      <c r="C636" s="8" t="str">
        <f>材料产出!$AT$2</f>
        <v>魔龙之心</v>
      </c>
      <c r="D636" s="224">
        <f>参数调整!$K$35*怪物掉落配置方案!$D4740</f>
        <v>6.341169694054653E-3</v>
      </c>
    </row>
    <row r="637" spans="1:4" ht="16.5" hidden="1" x14ac:dyDescent="0.3">
      <c r="A637" s="10" t="str">
        <f>基本属性!$B$17&amp;"|"&amp;基本属性!$C$17</f>
        <v>135|7</v>
      </c>
      <c r="B637" s="10" t="str">
        <f>参数调整!$J$35</f>
        <v>BOSS掉落</v>
      </c>
      <c r="C637" s="8" t="str">
        <f>材料产出!$AT$2</f>
        <v>魔龙之心</v>
      </c>
      <c r="D637" s="224">
        <f>参数调整!$K$35*怪物掉落配置方案!$D4741</f>
        <v>9.1312843594386975E-3</v>
      </c>
    </row>
    <row r="638" spans="1:4" ht="16.5" hidden="1" x14ac:dyDescent="0.3">
      <c r="A638" s="10" t="str">
        <f>基本属性!$B$18&amp;"|"&amp;基本属性!$C$18</f>
        <v>155|8</v>
      </c>
      <c r="B638" s="10" t="str">
        <f>参数调整!$J$35</f>
        <v>BOSS掉落</v>
      </c>
      <c r="C638" s="8" t="str">
        <f>材料产出!$AT$2</f>
        <v>魔龙之心</v>
      </c>
      <c r="D638" s="224">
        <f>参数调整!$K$35*怪物掉落配置方案!$D4742</f>
        <v>1.2428692600347121E-2</v>
      </c>
    </row>
    <row r="639" spans="1:4" ht="16.5" hidden="1" x14ac:dyDescent="0.3">
      <c r="A639" s="10" t="str">
        <f>基本属性!$B$19&amp;"|"&amp;基本属性!$C$19</f>
        <v>190|9</v>
      </c>
      <c r="B639" s="10" t="str">
        <f>参数调整!$J$35</f>
        <v>BOSS掉落</v>
      </c>
      <c r="C639" s="8" t="str">
        <f>材料产出!$AT$2</f>
        <v>魔龙之心</v>
      </c>
      <c r="D639" s="224">
        <f>参数调整!$K$35*怪物掉落配置方案!$D4743</f>
        <v>1.388969809785731E-2</v>
      </c>
    </row>
    <row r="640" spans="1:4" ht="16.5" hidden="1" x14ac:dyDescent="0.3">
      <c r="A640" s="10" t="str">
        <f>基本属性!$B$20&amp;"|"&amp;基本属性!$C$20</f>
        <v>200|10</v>
      </c>
      <c r="B640" s="10" t="str">
        <f>参数调整!$J$35</f>
        <v>BOSS掉落</v>
      </c>
      <c r="C640" s="8" t="str">
        <f>材料产出!$AT$2</f>
        <v>魔龙之心</v>
      </c>
      <c r="D640" s="224">
        <f>参数调整!$K$35*怪物掉落配置方案!$D4744</f>
        <v>1.6233394416779907E-2</v>
      </c>
    </row>
    <row r="641" spans="1:4" ht="16.5" hidden="1" x14ac:dyDescent="0.3">
      <c r="A641" s="10" t="str">
        <f>基本属性!$B$21&amp;"|"&amp;基本属性!$C$21</f>
        <v>200|11</v>
      </c>
      <c r="B641" s="10" t="str">
        <f>参数调整!$J$35</f>
        <v>BOSS掉落</v>
      </c>
      <c r="C641" s="8" t="str">
        <f>材料产出!$AT$2</f>
        <v>魔龙之心</v>
      </c>
      <c r="D641" s="224">
        <f>参数调整!$K$35*怪物掉落配置方案!$D4745</f>
        <v>1.875971642289128E-2</v>
      </c>
    </row>
    <row r="642" spans="1:4" ht="16.5" hidden="1" x14ac:dyDescent="0.3">
      <c r="A642" s="10" t="str">
        <f>基本属性!$B$22&amp;"|"&amp;基本属性!$C$22</f>
        <v>210|12</v>
      </c>
      <c r="B642" s="10" t="str">
        <f>参数调整!$J$35</f>
        <v>BOSS掉落</v>
      </c>
      <c r="C642" s="8" t="str">
        <f>材料产出!$AT$2</f>
        <v>魔龙之心</v>
      </c>
      <c r="D642" s="224">
        <f>参数调整!$K$35*怪物掉落配置方案!$D4746</f>
        <v>2.1468664116191426E-2</v>
      </c>
    </row>
    <row r="643" spans="1:4" ht="16.5" hidden="1" x14ac:dyDescent="0.3">
      <c r="A643" s="10" t="str">
        <f>基本属性!$B$23&amp;"|"&amp;基本属性!$C$23</f>
        <v>210|13</v>
      </c>
      <c r="B643" s="10" t="str">
        <f>参数调整!$J$35</f>
        <v>BOSS掉落</v>
      </c>
      <c r="C643" s="8" t="str">
        <f>材料产出!$AT$2</f>
        <v>魔龙之心</v>
      </c>
      <c r="D643" s="224">
        <f>参数调整!$K$35*怪物掉落配置方案!$D4747</f>
        <v>2.4360237496680356E-2</v>
      </c>
    </row>
    <row r="644" spans="1:4" ht="16.5" hidden="1" x14ac:dyDescent="0.3">
      <c r="A644" s="10" t="str">
        <f>基本属性!$B$24&amp;"|"&amp;基本属性!$C$24</f>
        <v>220|14</v>
      </c>
      <c r="B644" s="10" t="str">
        <f>参数调整!$J$35</f>
        <v>BOSS掉落</v>
      </c>
      <c r="C644" s="8" t="str">
        <f>材料产出!$AT$2</f>
        <v>魔龙之心</v>
      </c>
      <c r="D644" s="224">
        <f>参数调整!$K$35*怪物掉落配置方案!$D4748</f>
        <v>2.7434436564358046E-2</v>
      </c>
    </row>
    <row r="645" spans="1:4" ht="16.5" hidden="1" x14ac:dyDescent="0.3">
      <c r="A645" s="10" t="str">
        <f>基本属性!$B$25&amp;"|"&amp;基本属性!$C$25</f>
        <v>220|15</v>
      </c>
      <c r="B645" s="10" t="str">
        <f>参数调整!$J$35</f>
        <v>BOSS掉落</v>
      </c>
      <c r="C645" s="8" t="str">
        <f>材料产出!$AT$2</f>
        <v>魔龙之心</v>
      </c>
      <c r="D645" s="224">
        <f>参数调整!$K$35*怪物掉落配置方案!$D4749</f>
        <v>3.0691261319224509E-2</v>
      </c>
    </row>
    <row r="646" spans="1:4" ht="16.5" hidden="1" x14ac:dyDescent="0.3">
      <c r="A646" s="10" t="str">
        <f>基本属性!$B$26&amp;"|"&amp;基本属性!$C$26</f>
        <v>230|16</v>
      </c>
      <c r="B646" s="10" t="str">
        <f>参数调整!$J$35</f>
        <v>BOSS掉落</v>
      </c>
      <c r="C646" s="8" t="str">
        <f>材料产出!$AT$2</f>
        <v>魔龙之心</v>
      </c>
      <c r="D646" s="224">
        <f>参数调整!$K$35*怪物掉落配置方案!$D4750</f>
        <v>3.4130711761279749E-2</v>
      </c>
    </row>
    <row r="647" spans="1:4" ht="16.5" hidden="1" x14ac:dyDescent="0.3">
      <c r="A647" s="10" t="str">
        <f>基本属性!$B$27&amp;"|"&amp;基本属性!$C$27</f>
        <v>230|17</v>
      </c>
      <c r="B647" s="10" t="str">
        <f>参数调整!$J$35</f>
        <v>BOSS掉落</v>
      </c>
      <c r="C647" s="8" t="str">
        <f>材料产出!$AT$2</f>
        <v>魔龙之心</v>
      </c>
      <c r="D647" s="224">
        <f>参数调整!$K$35*怪物掉落配置方案!$D4751</f>
        <v>3.7752787890523769E-2</v>
      </c>
    </row>
    <row r="648" spans="1:4" ht="16.5" hidden="1" x14ac:dyDescent="0.3">
      <c r="A648" s="10" t="str">
        <f>基本属性!$B$28&amp;"|"&amp;基本属性!$C$28</f>
        <v>240|18</v>
      </c>
      <c r="B648" s="10" t="str">
        <f>参数调整!$J$35</f>
        <v>BOSS掉落</v>
      </c>
      <c r="C648" s="8" t="str">
        <f>材料产出!$AT$2</f>
        <v>魔龙之心</v>
      </c>
      <c r="D648" s="224">
        <f>参数调整!$K$35*怪物掉落配置方案!$D4752</f>
        <v>4.1557489706956573E-2</v>
      </c>
    </row>
    <row r="649" spans="1:4" ht="16.5" hidden="1" x14ac:dyDescent="0.3">
      <c r="A649" s="10" t="str">
        <f>基本属性!$B$29&amp;"|"&amp;基本属性!$C$29</f>
        <v>240|19</v>
      </c>
      <c r="B649" s="10" t="str">
        <f>参数调整!$J$35</f>
        <v>BOSS掉落</v>
      </c>
      <c r="C649" s="8" t="str">
        <f>材料产出!$AT$2</f>
        <v>魔龙之心</v>
      </c>
      <c r="D649" s="224">
        <f>参数调整!$K$35*怪物掉落配置方案!$D4753</f>
        <v>4.554481721057814E-2</v>
      </c>
    </row>
    <row r="650" spans="1:4" ht="16.5" hidden="1" x14ac:dyDescent="0.3">
      <c r="A650" s="10" t="str">
        <f>基本属性!$B$30&amp;"|"&amp;基本属性!$C$30</f>
        <v>250|20</v>
      </c>
      <c r="B650" s="10" t="str">
        <f>参数调整!$J$35</f>
        <v>BOSS掉落</v>
      </c>
      <c r="C650" s="8" t="str">
        <f>材料产出!$AT$2</f>
        <v>魔龙之心</v>
      </c>
      <c r="D650" s="224">
        <f>参数调整!$K$35*怪物掉落配置方案!$D4754</f>
        <v>4.9714770401388463E-2</v>
      </c>
    </row>
    <row r="651" spans="1:4" ht="16.5" hidden="1" x14ac:dyDescent="0.3">
      <c r="A651" s="10" t="str">
        <f>基本属性!$B$4&amp;"|"&amp;基本属性!$C$4</f>
        <v>35|0</v>
      </c>
      <c r="B651" s="10" t="str">
        <f>参数调整!$J$35</f>
        <v>BOSS掉落</v>
      </c>
      <c r="C651" s="8" t="str">
        <f>材料产出!$X$2</f>
        <v>龍の心</v>
      </c>
      <c r="D651" s="224">
        <f>参数调整!$K$35*怪物掉落配置方案!$D4755</f>
        <v>0.11814868792596499</v>
      </c>
    </row>
    <row r="652" spans="1:4" ht="16.5" hidden="1" x14ac:dyDescent="0.3">
      <c r="A652" s="10" t="str">
        <f>基本属性!$B$5&amp;"|"&amp;基本属性!$C$5</f>
        <v>40|0</v>
      </c>
      <c r="B652" s="10" t="str">
        <f>参数调整!$J$35</f>
        <v>BOSS掉落</v>
      </c>
      <c r="C652" s="8" t="str">
        <f>材料产出!$X$2</f>
        <v>龍の心</v>
      </c>
      <c r="D652" s="224">
        <f>参数调整!$K$35*怪物掉落配置方案!$D4756</f>
        <v>0.14953193315629945</v>
      </c>
    </row>
    <row r="653" spans="1:4" ht="16.5" hidden="1" x14ac:dyDescent="0.3">
      <c r="A653" s="10" t="str">
        <f>基本属性!$B$6&amp;"|"&amp;基本属性!$C$6</f>
        <v>50|0</v>
      </c>
      <c r="B653" s="10" t="str">
        <f>参数调整!$J$35</f>
        <v>BOSS掉落</v>
      </c>
      <c r="C653" s="8" t="str">
        <f>材料产出!$X$2</f>
        <v>龍の心</v>
      </c>
      <c r="D653" s="224">
        <f>参数调整!$K$35*怪物掉落配置方案!$D4757</f>
        <v>0.1846073248843203</v>
      </c>
    </row>
    <row r="654" spans="1:4" ht="16.5" hidden="1" x14ac:dyDescent="0.3">
      <c r="A654" s="10" t="str">
        <f>基本属性!$B$7&amp;"|"&amp;基本属性!$C$7</f>
        <v>60|0</v>
      </c>
      <c r="B654" s="10" t="str">
        <f>参数调整!$J$35</f>
        <v>BOSS掉落</v>
      </c>
      <c r="C654" s="8" t="str">
        <f>材料产出!$X$2</f>
        <v>龍の心</v>
      </c>
      <c r="D654" s="224">
        <f>参数调整!$K$35*怪物掉落配置方案!$D4758</f>
        <v>0.2233748631100276</v>
      </c>
    </row>
    <row r="655" spans="1:4" ht="16.5" hidden="1" x14ac:dyDescent="0.3">
      <c r="A655" s="10" t="str">
        <f>基本属性!$B$8&amp;"|"&amp;基本属性!$C$8</f>
        <v>65|0</v>
      </c>
      <c r="B655" s="10" t="str">
        <f>参数调整!$J$35</f>
        <v>BOSS掉落</v>
      </c>
      <c r="C655" s="8" t="str">
        <f>材料产出!$X$2</f>
        <v>龍の心</v>
      </c>
      <c r="D655" s="224">
        <f>参数调整!$K$35*怪物掉落配置方案!$D4759</f>
        <v>0.26583454783342125</v>
      </c>
    </row>
    <row r="656" spans="1:4" ht="16.5" hidden="1" x14ac:dyDescent="0.3">
      <c r="A656" s="10" t="str">
        <f>基本属性!$B$9&amp;"|"&amp;基本属性!$C$9</f>
        <v>70|0</v>
      </c>
      <c r="B656" s="10" t="str">
        <f>参数调整!$J$35</f>
        <v>BOSS掉落</v>
      </c>
      <c r="C656" s="8" t="str">
        <f>材料产出!$X$2</f>
        <v>龍の心</v>
      </c>
      <c r="D656" s="224">
        <f>参数调整!$K$35*怪物掉落配置方案!$D4760</f>
        <v>0.31198637905450133</v>
      </c>
    </row>
    <row r="657" spans="1:4" ht="16.5" hidden="1" x14ac:dyDescent="0.3">
      <c r="A657" s="10" t="str">
        <f>基本属性!$B$10&amp;"|"&amp;基本属性!$C$10</f>
        <v>75|0</v>
      </c>
      <c r="B657" s="10" t="str">
        <f>参数调整!$J$35</f>
        <v>BOSS掉落</v>
      </c>
      <c r="C657" s="8" t="str">
        <f>材料产出!$X$2</f>
        <v>龍の心</v>
      </c>
      <c r="D657" s="224">
        <f>参数调整!$K$35*怪物掉落配置方案!$D4761</f>
        <v>0.36183035677326775</v>
      </c>
    </row>
    <row r="658" spans="1:4" ht="16.5" hidden="1" x14ac:dyDescent="0.3">
      <c r="A658" s="10" t="str">
        <f>基本属性!$B$11&amp;"|"&amp;基本属性!$C$11</f>
        <v>80|1</v>
      </c>
      <c r="B658" s="10" t="str">
        <f>参数调整!$J$35</f>
        <v>BOSS掉落</v>
      </c>
      <c r="C658" s="8" t="str">
        <f>材料产出!$X$2</f>
        <v>龍の心</v>
      </c>
      <c r="D658" s="224">
        <f>参数调整!$K$35*怪物掉落配置方案!$D4762</f>
        <v>0.41536648098972073</v>
      </c>
    </row>
    <row r="659" spans="1:4" ht="16.5" hidden="1" x14ac:dyDescent="0.3">
      <c r="A659" s="10" t="str">
        <f>基本属性!$B$12&amp;"|"&amp;基本属性!$C$12</f>
        <v>90|2</v>
      </c>
      <c r="B659" s="10" t="str">
        <f>参数调整!$J$35</f>
        <v>BOSS掉落</v>
      </c>
      <c r="C659" s="8" t="str">
        <f>材料产出!$X$2</f>
        <v>龍の心</v>
      </c>
      <c r="D659" s="224">
        <f>参数调整!$K$35*怪物掉落配置方案!$D4763</f>
        <v>0.47259475170386006</v>
      </c>
    </row>
    <row r="660" spans="1:4" ht="16.5" hidden="1" x14ac:dyDescent="0.3">
      <c r="A660" s="10" t="str">
        <f>基本属性!$B$13&amp;"|"&amp;基本属性!$C$13</f>
        <v>100|3</v>
      </c>
      <c r="B660" s="10" t="str">
        <f>参数调整!$J$35</f>
        <v>BOSS掉落</v>
      </c>
      <c r="C660" s="8" t="str">
        <f>材料产出!$X$2</f>
        <v>龍の心</v>
      </c>
      <c r="D660" s="224">
        <f>参数调整!$K$35*怪物掉落配置方案!$D4764</f>
        <v>0.59812773262519792</v>
      </c>
    </row>
    <row r="661" spans="1:4" ht="16.5" hidden="1" x14ac:dyDescent="0.3">
      <c r="A661" s="10" t="str">
        <f>基本属性!$B$14&amp;"|"&amp;基本属性!$C$14</f>
        <v>105|4</v>
      </c>
      <c r="B661" s="10" t="str">
        <f>参数调整!$J$35</f>
        <v>BOSS掉落</v>
      </c>
      <c r="C661" s="8" t="str">
        <f>材料产出!$X$2</f>
        <v>龍の心</v>
      </c>
      <c r="D661" s="224">
        <f>参数调整!$K$35*怪物掉落配置方案!$D4765</f>
        <v>0.7384292995372812</v>
      </c>
    </row>
    <row r="662" spans="1:4" ht="16.5" hidden="1" x14ac:dyDescent="0.3">
      <c r="A662" s="10" t="str">
        <f>基本属性!$B$15&amp;"|"&amp;基本属性!$C$15</f>
        <v>110|5</v>
      </c>
      <c r="B662" s="10" t="str">
        <f>参数调整!$J$35</f>
        <v>BOSS掉落</v>
      </c>
      <c r="C662" s="8" t="str">
        <f>材料产出!$X$2</f>
        <v>龍の心</v>
      </c>
      <c r="D662" s="224">
        <f>参数调整!$K$35*怪物掉落配置方案!$D4766</f>
        <v>0.89349945244011042</v>
      </c>
    </row>
    <row r="663" spans="1:4" ht="16.5" hidden="1" x14ac:dyDescent="0.3">
      <c r="A663" s="10" t="str">
        <f>基本属性!$B$16&amp;"|"&amp;基本属性!$C$16</f>
        <v>120|6</v>
      </c>
      <c r="B663" s="10" t="str">
        <f>参数调整!$J$35</f>
        <v>BOSS掉落</v>
      </c>
      <c r="C663" s="8" t="str">
        <f>材料产出!$X$2</f>
        <v>龍の心</v>
      </c>
      <c r="D663" s="224">
        <f>参数调整!$K$35*怪物掉落配置方案!$D4767</f>
        <v>1.1537957805270018</v>
      </c>
    </row>
    <row r="664" spans="1:4" ht="16.5" hidden="1" x14ac:dyDescent="0.3">
      <c r="A664" s="10" t="str">
        <f>基本属性!$B$17&amp;"|"&amp;基本属性!$C$17</f>
        <v>135|7</v>
      </c>
      <c r="B664" s="10" t="str">
        <f>参数调整!$J$35</f>
        <v>BOSS掉落</v>
      </c>
      <c r="C664" s="8" t="str">
        <f>材料产出!$X$2</f>
        <v>龍の心</v>
      </c>
      <c r="D664" s="224">
        <f>参数调整!$K$35*怪物掉落配置方案!$D4768</f>
        <v>1.6614659239588829</v>
      </c>
    </row>
    <row r="665" spans="1:4" ht="16.5" hidden="1" x14ac:dyDescent="0.3">
      <c r="A665" s="10" t="str">
        <f>基本属性!$B$18&amp;"|"&amp;基本属性!$C$18</f>
        <v>155|8</v>
      </c>
      <c r="B665" s="10" t="str">
        <f>参数调整!$J$35</f>
        <v>BOSS掉落</v>
      </c>
      <c r="C665" s="8" t="str">
        <f>材料产出!$X$2</f>
        <v>龍の心</v>
      </c>
      <c r="D665" s="224">
        <f>参数调整!$K$35*怪物掉落配置方案!$D4769</f>
        <v>2.2614397298329241</v>
      </c>
    </row>
    <row r="666" spans="1:4" ht="16.5" hidden="1" x14ac:dyDescent="0.3">
      <c r="A666" s="10" t="str">
        <f>基本属性!$B$19&amp;"|"&amp;基本属性!$C$19</f>
        <v>190|9</v>
      </c>
      <c r="B666" s="10" t="str">
        <f>参数调整!$J$35</f>
        <v>BOSS掉落</v>
      </c>
      <c r="C666" s="8" t="str">
        <f>材料产出!$X$2</f>
        <v>龍の心</v>
      </c>
      <c r="D666" s="224">
        <f>参数调整!$K$35*怪物掉落配置方案!$D4770</f>
        <v>2.5272742776663453</v>
      </c>
    </row>
    <row r="667" spans="1:4" ht="16.5" hidden="1" x14ac:dyDescent="0.3">
      <c r="A667" s="10" t="str">
        <f>基本属性!$B$20&amp;"|"&amp;基本属性!$C$20</f>
        <v>200|10</v>
      </c>
      <c r="B667" s="10" t="str">
        <f>参数调整!$J$35</f>
        <v>BOSS掉落</v>
      </c>
      <c r="C667" s="8" t="str">
        <f>材料产出!$X$2</f>
        <v>龍の心</v>
      </c>
      <c r="D667" s="224">
        <f>参数调整!$K$35*怪物掉落配置方案!$D4771</f>
        <v>2.9537171981491248</v>
      </c>
    </row>
    <row r="668" spans="1:4" ht="16.5" hidden="1" x14ac:dyDescent="0.3">
      <c r="A668" s="10" t="str">
        <f>基本属性!$B$21&amp;"|"&amp;基本属性!$C$21</f>
        <v>200|11</v>
      </c>
      <c r="B668" s="10" t="str">
        <f>参数调整!$J$35</f>
        <v>BOSS掉落</v>
      </c>
      <c r="C668" s="8" t="str">
        <f>材料产出!$X$2</f>
        <v>龍の心</v>
      </c>
      <c r="D668" s="224">
        <f>参数调整!$K$35*怪物掉落配置方案!$D4772</f>
        <v>3.4133894371110816</v>
      </c>
    </row>
    <row r="669" spans="1:4" ht="16.5" hidden="1" x14ac:dyDescent="0.3">
      <c r="A669" s="10" t="str">
        <f>基本属性!$B$22&amp;"|"&amp;基本属性!$C$22</f>
        <v>210|12</v>
      </c>
      <c r="B669" s="10" t="str">
        <f>参数调整!$J$35</f>
        <v>BOSS掉落</v>
      </c>
      <c r="C669" s="8" t="str">
        <f>材料产出!$X$2</f>
        <v>龍の心</v>
      </c>
      <c r="D669" s="224">
        <f>参数调整!$K$35*怪物掉落配置方案!$D4773</f>
        <v>3.9062909945522168</v>
      </c>
    </row>
    <row r="670" spans="1:4" ht="16.5" hidden="1" x14ac:dyDescent="0.3">
      <c r="A670" s="10" t="str">
        <f>基本属性!$B$23&amp;"|"&amp;基本属性!$C$23</f>
        <v>210|13</v>
      </c>
      <c r="B670" s="10" t="str">
        <f>参数调整!$J$35</f>
        <v>BOSS掉落</v>
      </c>
      <c r="C670" s="8" t="str">
        <f>材料产出!$X$2</f>
        <v>龍の心</v>
      </c>
      <c r="D670" s="224">
        <f>参数调整!$K$35*怪物掉落配置方案!$D4774</f>
        <v>4.4324218704725311</v>
      </c>
    </row>
    <row r="671" spans="1:4" ht="16.5" hidden="1" x14ac:dyDescent="0.3">
      <c r="A671" s="10" t="str">
        <f>基本属性!$B$24&amp;"|"&amp;基本属性!$C$24</f>
        <v>220|14</v>
      </c>
      <c r="B671" s="10" t="str">
        <f>参数调整!$J$35</f>
        <v>BOSS掉落</v>
      </c>
      <c r="C671" s="8" t="str">
        <f>材料产出!$X$2</f>
        <v>龍の心</v>
      </c>
      <c r="D671" s="224">
        <f>参数调整!$K$35*怪物掉落配置方案!$D4775</f>
        <v>4.9917820648720213</v>
      </c>
    </row>
    <row r="672" spans="1:4" ht="16.5" hidden="1" x14ac:dyDescent="0.3">
      <c r="A672" s="10" t="str">
        <f>基本属性!$B$25&amp;"|"&amp;基本属性!$C$25</f>
        <v>220|15</v>
      </c>
      <c r="B672" s="10" t="str">
        <f>参数调整!$J$35</f>
        <v>BOSS掉落</v>
      </c>
      <c r="C672" s="8" t="str">
        <f>材料产出!$X$2</f>
        <v>龍の心</v>
      </c>
      <c r="D672" s="224">
        <f>参数调整!$K$35*怪物掉落配置方案!$D4776</f>
        <v>5.584371577750689</v>
      </c>
    </row>
    <row r="673" spans="1:4" ht="16.5" hidden="1" x14ac:dyDescent="0.3">
      <c r="A673" s="10" t="str">
        <f>基本属性!$B$26&amp;"|"&amp;基本属性!$C$26</f>
        <v>230|16</v>
      </c>
      <c r="B673" s="10" t="str">
        <f>参数调整!$J$35</f>
        <v>BOSS掉落</v>
      </c>
      <c r="C673" s="8" t="str">
        <f>材料产出!$X$2</f>
        <v>龍の心</v>
      </c>
      <c r="D673" s="224">
        <f>参数调整!$K$35*怪物掉落配置方案!$D4777</f>
        <v>6.2101904091085345</v>
      </c>
    </row>
    <row r="674" spans="1:4" ht="16.5" hidden="1" x14ac:dyDescent="0.3">
      <c r="A674" s="10" t="str">
        <f>基本属性!$B$27&amp;"|"&amp;基本属性!$C$27</f>
        <v>230|17</v>
      </c>
      <c r="B674" s="10" t="str">
        <f>参数调整!$J$35</f>
        <v>BOSS掉落</v>
      </c>
      <c r="C674" s="8" t="str">
        <f>材料产出!$X$2</f>
        <v>龍の心</v>
      </c>
      <c r="D674" s="224">
        <f>参数调整!$K$35*怪物掉落配置方案!$D4778</f>
        <v>6.8692385589455576</v>
      </c>
    </row>
    <row r="675" spans="1:4" ht="16.5" hidden="1" x14ac:dyDescent="0.3">
      <c r="A675" s="10" t="str">
        <f>基本属性!$B$28&amp;"|"&amp;基本属性!$C$28</f>
        <v>240|18</v>
      </c>
      <c r="B675" s="10" t="str">
        <f>参数调整!$J$35</f>
        <v>BOSS掉落</v>
      </c>
      <c r="C675" s="8" t="str">
        <f>材料产出!$X$2</f>
        <v>龍の心</v>
      </c>
      <c r="D675" s="224">
        <f>参数调整!$K$35*怪物掉落配置方案!$D4779</f>
        <v>7.561516027261761</v>
      </c>
    </row>
    <row r="676" spans="1:4" ht="16.5" hidden="1" x14ac:dyDescent="0.3">
      <c r="A676" s="10" t="str">
        <f>基本属性!$B$29&amp;"|"&amp;基本属性!$C$29</f>
        <v>240|19</v>
      </c>
      <c r="B676" s="10" t="str">
        <f>参数调整!$J$35</f>
        <v>BOSS掉落</v>
      </c>
      <c r="C676" s="8" t="str">
        <f>材料产出!$X$2</f>
        <v>龍の心</v>
      </c>
      <c r="D676" s="224">
        <f>参数调整!$K$35*怪物掉落配置方案!$D4780</f>
        <v>8.2870228140571385</v>
      </c>
    </row>
    <row r="677" spans="1:4" ht="16.5" hidden="1" x14ac:dyDescent="0.3">
      <c r="A677" s="10" t="str">
        <f>基本属性!$B$30&amp;"|"&amp;基本属性!$C$30</f>
        <v>250|20</v>
      </c>
      <c r="B677" s="10" t="str">
        <f>参数调整!$J$35</f>
        <v>BOSS掉落</v>
      </c>
      <c r="C677" s="8" t="str">
        <f>材料产出!$X$2</f>
        <v>龍の心</v>
      </c>
      <c r="D677" s="224">
        <f>参数调整!$K$35*怪物掉落配置方案!$D4781</f>
        <v>9.0457589193316945</v>
      </c>
    </row>
    <row r="678" spans="1:4" ht="16.5" hidden="1" x14ac:dyDescent="0.3">
      <c r="A678" s="10" t="str">
        <f>基本属性!$B$4&amp;"|"&amp;基本属性!$C$4</f>
        <v>35|0</v>
      </c>
      <c r="B678" s="10" t="str">
        <f>参数调整!$J$35</f>
        <v>BOSS掉落</v>
      </c>
      <c r="C678" s="8" t="str">
        <f>材料产出!$V$2</f>
        <v>龍の魄</v>
      </c>
      <c r="D678" s="224">
        <f>参数调整!$K$35*怪物掉落配置方案!$D4782</f>
        <v>0.11814868792596499</v>
      </c>
    </row>
    <row r="679" spans="1:4" ht="16.5" hidden="1" x14ac:dyDescent="0.3">
      <c r="A679" s="10" t="str">
        <f>基本属性!$B$5&amp;"|"&amp;基本属性!$C$5</f>
        <v>40|0</v>
      </c>
      <c r="B679" s="10" t="str">
        <f>参数调整!$J$35</f>
        <v>BOSS掉落</v>
      </c>
      <c r="C679" s="8" t="str">
        <f>材料产出!$V$2</f>
        <v>龍の魄</v>
      </c>
      <c r="D679" s="224">
        <f>参数调整!$K$35*怪物掉落配置方案!$D4783</f>
        <v>0.14953193315629945</v>
      </c>
    </row>
    <row r="680" spans="1:4" ht="16.5" hidden="1" x14ac:dyDescent="0.3">
      <c r="A680" s="10" t="str">
        <f>基本属性!$B$6&amp;"|"&amp;基本属性!$C$6</f>
        <v>50|0</v>
      </c>
      <c r="B680" s="10" t="str">
        <f>参数调整!$J$35</f>
        <v>BOSS掉落</v>
      </c>
      <c r="C680" s="8" t="str">
        <f>材料产出!$V$2</f>
        <v>龍の魄</v>
      </c>
      <c r="D680" s="224">
        <f>参数调整!$K$35*怪物掉落配置方案!$D4784</f>
        <v>0.1846073248843203</v>
      </c>
    </row>
    <row r="681" spans="1:4" ht="16.5" hidden="1" x14ac:dyDescent="0.3">
      <c r="A681" s="10" t="str">
        <f>基本属性!$B$7&amp;"|"&amp;基本属性!$C$7</f>
        <v>60|0</v>
      </c>
      <c r="B681" s="10" t="str">
        <f>参数调整!$J$35</f>
        <v>BOSS掉落</v>
      </c>
      <c r="C681" s="8" t="str">
        <f>材料产出!$V$2</f>
        <v>龍の魄</v>
      </c>
      <c r="D681" s="224">
        <f>参数调整!$K$35*怪物掉落配置方案!$D4785</f>
        <v>0.2233748631100276</v>
      </c>
    </row>
    <row r="682" spans="1:4" ht="16.5" hidden="1" x14ac:dyDescent="0.3">
      <c r="A682" s="10" t="str">
        <f>基本属性!$B$8&amp;"|"&amp;基本属性!$C$8</f>
        <v>65|0</v>
      </c>
      <c r="B682" s="10" t="str">
        <f>参数调整!$J$35</f>
        <v>BOSS掉落</v>
      </c>
      <c r="C682" s="8" t="str">
        <f>材料产出!$V$2</f>
        <v>龍の魄</v>
      </c>
      <c r="D682" s="224">
        <f>参数调整!$K$35*怪物掉落配置方案!$D4786</f>
        <v>0.26583454783342125</v>
      </c>
    </row>
    <row r="683" spans="1:4" ht="16.5" hidden="1" x14ac:dyDescent="0.3">
      <c r="A683" s="10" t="str">
        <f>基本属性!$B$9&amp;"|"&amp;基本属性!$C$9</f>
        <v>70|0</v>
      </c>
      <c r="B683" s="10" t="str">
        <f>参数调整!$J$35</f>
        <v>BOSS掉落</v>
      </c>
      <c r="C683" s="8" t="str">
        <f>材料产出!$V$2</f>
        <v>龍の魄</v>
      </c>
      <c r="D683" s="224">
        <f>参数调整!$K$35*怪物掉落配置方案!$D4787</f>
        <v>0.31198637905450133</v>
      </c>
    </row>
    <row r="684" spans="1:4" ht="16.5" hidden="1" x14ac:dyDescent="0.3">
      <c r="A684" s="10" t="str">
        <f>基本属性!$B$10&amp;"|"&amp;基本属性!$C$10</f>
        <v>75|0</v>
      </c>
      <c r="B684" s="10" t="str">
        <f>参数调整!$J$35</f>
        <v>BOSS掉落</v>
      </c>
      <c r="C684" s="8" t="str">
        <f>材料产出!$V$2</f>
        <v>龍の魄</v>
      </c>
      <c r="D684" s="224">
        <f>参数调整!$K$35*怪物掉落配置方案!$D4788</f>
        <v>0.36183035677326775</v>
      </c>
    </row>
    <row r="685" spans="1:4" ht="16.5" hidden="1" x14ac:dyDescent="0.3">
      <c r="A685" s="10" t="str">
        <f>基本属性!$B$11&amp;"|"&amp;基本属性!$C$11</f>
        <v>80|1</v>
      </c>
      <c r="B685" s="10" t="str">
        <f>参数调整!$J$35</f>
        <v>BOSS掉落</v>
      </c>
      <c r="C685" s="8" t="str">
        <f>材料产出!$V$2</f>
        <v>龍の魄</v>
      </c>
      <c r="D685" s="224">
        <f>参数调整!$K$35*怪物掉落配置方案!$D4789</f>
        <v>0.41536648098972073</v>
      </c>
    </row>
    <row r="686" spans="1:4" ht="16.5" hidden="1" x14ac:dyDescent="0.3">
      <c r="A686" s="10" t="str">
        <f>基本属性!$B$12&amp;"|"&amp;基本属性!$C$12</f>
        <v>90|2</v>
      </c>
      <c r="B686" s="10" t="str">
        <f>参数调整!$J$35</f>
        <v>BOSS掉落</v>
      </c>
      <c r="C686" s="8" t="str">
        <f>材料产出!$V$2</f>
        <v>龍の魄</v>
      </c>
      <c r="D686" s="224">
        <f>参数调整!$K$35*怪物掉落配置方案!$D4790</f>
        <v>0.47259475170386006</v>
      </c>
    </row>
    <row r="687" spans="1:4" ht="16.5" hidden="1" x14ac:dyDescent="0.3">
      <c r="A687" s="10" t="str">
        <f>基本属性!$B$13&amp;"|"&amp;基本属性!$C$13</f>
        <v>100|3</v>
      </c>
      <c r="B687" s="10" t="str">
        <f>参数调整!$J$35</f>
        <v>BOSS掉落</v>
      </c>
      <c r="C687" s="8" t="str">
        <f>材料产出!$V$2</f>
        <v>龍の魄</v>
      </c>
      <c r="D687" s="224">
        <f>参数调整!$K$35*怪物掉落配置方案!$D4791</f>
        <v>0.59812773262519792</v>
      </c>
    </row>
    <row r="688" spans="1:4" ht="16.5" hidden="1" x14ac:dyDescent="0.3">
      <c r="A688" s="10" t="str">
        <f>基本属性!$B$14&amp;"|"&amp;基本属性!$C$14</f>
        <v>105|4</v>
      </c>
      <c r="B688" s="10" t="str">
        <f>参数调整!$J$35</f>
        <v>BOSS掉落</v>
      </c>
      <c r="C688" s="8" t="str">
        <f>材料产出!$V$2</f>
        <v>龍の魄</v>
      </c>
      <c r="D688" s="224">
        <f>参数调整!$K$35*怪物掉落配置方案!$D4792</f>
        <v>0.7384292995372812</v>
      </c>
    </row>
    <row r="689" spans="1:4" ht="16.5" hidden="1" x14ac:dyDescent="0.3">
      <c r="A689" s="10" t="str">
        <f>基本属性!$B$15&amp;"|"&amp;基本属性!$C$15</f>
        <v>110|5</v>
      </c>
      <c r="B689" s="10" t="str">
        <f>参数调整!$J$35</f>
        <v>BOSS掉落</v>
      </c>
      <c r="C689" s="8" t="str">
        <f>材料产出!$V$2</f>
        <v>龍の魄</v>
      </c>
      <c r="D689" s="224">
        <f>参数调整!$K$35*怪物掉落配置方案!$D4793</f>
        <v>0.89349945244011042</v>
      </c>
    </row>
    <row r="690" spans="1:4" ht="16.5" hidden="1" x14ac:dyDescent="0.3">
      <c r="A690" s="10" t="str">
        <f>基本属性!$B$16&amp;"|"&amp;基本属性!$C$16</f>
        <v>120|6</v>
      </c>
      <c r="B690" s="10" t="str">
        <f>参数调整!$J$35</f>
        <v>BOSS掉落</v>
      </c>
      <c r="C690" s="8" t="str">
        <f>材料产出!$V$2</f>
        <v>龍の魄</v>
      </c>
      <c r="D690" s="224">
        <f>参数调整!$K$35*怪物掉落配置方案!$D4794</f>
        <v>1.1537957805270018</v>
      </c>
    </row>
    <row r="691" spans="1:4" ht="16.5" hidden="1" x14ac:dyDescent="0.3">
      <c r="A691" s="10" t="str">
        <f>基本属性!$B$17&amp;"|"&amp;基本属性!$C$17</f>
        <v>135|7</v>
      </c>
      <c r="B691" s="10" t="str">
        <f>参数调整!$J$35</f>
        <v>BOSS掉落</v>
      </c>
      <c r="C691" s="8" t="str">
        <f>材料产出!$V$2</f>
        <v>龍の魄</v>
      </c>
      <c r="D691" s="224">
        <f>参数调整!$K$35*怪物掉落配置方案!$D4795</f>
        <v>1.6614659239588829</v>
      </c>
    </row>
    <row r="692" spans="1:4" ht="16.5" hidden="1" x14ac:dyDescent="0.3">
      <c r="A692" s="10" t="str">
        <f>基本属性!$B$18&amp;"|"&amp;基本属性!$C$18</f>
        <v>155|8</v>
      </c>
      <c r="B692" s="10" t="str">
        <f>参数调整!$J$35</f>
        <v>BOSS掉落</v>
      </c>
      <c r="C692" s="8" t="str">
        <f>材料产出!$V$2</f>
        <v>龍の魄</v>
      </c>
      <c r="D692" s="224">
        <f>参数调整!$K$35*怪物掉落配置方案!$D4796</f>
        <v>2.2614397298329241</v>
      </c>
    </row>
    <row r="693" spans="1:4" ht="16.5" hidden="1" x14ac:dyDescent="0.3">
      <c r="A693" s="10" t="str">
        <f>基本属性!$B$19&amp;"|"&amp;基本属性!$C$19</f>
        <v>190|9</v>
      </c>
      <c r="B693" s="10" t="str">
        <f>参数调整!$J$35</f>
        <v>BOSS掉落</v>
      </c>
      <c r="C693" s="8" t="str">
        <f>材料产出!$V$2</f>
        <v>龍の魄</v>
      </c>
      <c r="D693" s="224">
        <f>参数调整!$K$35*怪物掉落配置方案!$D4797</f>
        <v>2.5272742776663453</v>
      </c>
    </row>
    <row r="694" spans="1:4" ht="16.5" hidden="1" x14ac:dyDescent="0.3">
      <c r="A694" s="10" t="str">
        <f>基本属性!$B$20&amp;"|"&amp;基本属性!$C$20</f>
        <v>200|10</v>
      </c>
      <c r="B694" s="10" t="str">
        <f>参数调整!$J$35</f>
        <v>BOSS掉落</v>
      </c>
      <c r="C694" s="8" t="str">
        <f>材料产出!$V$2</f>
        <v>龍の魄</v>
      </c>
      <c r="D694" s="224">
        <f>参数调整!$K$35*怪物掉落配置方案!$D4798</f>
        <v>2.9537171981491248</v>
      </c>
    </row>
    <row r="695" spans="1:4" ht="16.5" hidden="1" x14ac:dyDescent="0.3">
      <c r="A695" s="10" t="str">
        <f>基本属性!$B$21&amp;"|"&amp;基本属性!$C$21</f>
        <v>200|11</v>
      </c>
      <c r="B695" s="10" t="str">
        <f>参数调整!$J$35</f>
        <v>BOSS掉落</v>
      </c>
      <c r="C695" s="8" t="str">
        <f>材料产出!$V$2</f>
        <v>龍の魄</v>
      </c>
      <c r="D695" s="224">
        <f>参数调整!$K$35*怪物掉落配置方案!$D4799</f>
        <v>3.4133894371110816</v>
      </c>
    </row>
    <row r="696" spans="1:4" ht="16.5" hidden="1" x14ac:dyDescent="0.3">
      <c r="A696" s="10" t="str">
        <f>基本属性!$B$22&amp;"|"&amp;基本属性!$C$22</f>
        <v>210|12</v>
      </c>
      <c r="B696" s="10" t="str">
        <f>参数调整!$J$35</f>
        <v>BOSS掉落</v>
      </c>
      <c r="C696" s="8" t="str">
        <f>材料产出!$V$2</f>
        <v>龍の魄</v>
      </c>
      <c r="D696" s="224">
        <f>参数调整!$K$35*怪物掉落配置方案!$D4800</f>
        <v>3.9062909945522168</v>
      </c>
    </row>
    <row r="697" spans="1:4" ht="16.5" hidden="1" x14ac:dyDescent="0.3">
      <c r="A697" s="10" t="str">
        <f>基本属性!$B$23&amp;"|"&amp;基本属性!$C$23</f>
        <v>210|13</v>
      </c>
      <c r="B697" s="10" t="str">
        <f>参数调整!$J$35</f>
        <v>BOSS掉落</v>
      </c>
      <c r="C697" s="8" t="str">
        <f>材料产出!$V$2</f>
        <v>龍の魄</v>
      </c>
      <c r="D697" s="224">
        <f>参数调整!$K$35*怪物掉落配置方案!$D4801</f>
        <v>4.4324218704725311</v>
      </c>
    </row>
    <row r="698" spans="1:4" ht="16.5" hidden="1" x14ac:dyDescent="0.3">
      <c r="A698" s="10" t="str">
        <f>基本属性!$B$24&amp;"|"&amp;基本属性!$C$24</f>
        <v>220|14</v>
      </c>
      <c r="B698" s="10" t="str">
        <f>参数调整!$J$35</f>
        <v>BOSS掉落</v>
      </c>
      <c r="C698" s="8" t="str">
        <f>材料产出!$V$2</f>
        <v>龍の魄</v>
      </c>
      <c r="D698" s="224">
        <f>参数调整!$K$35*怪物掉落配置方案!$D4802</f>
        <v>4.9917820648720213</v>
      </c>
    </row>
    <row r="699" spans="1:4" ht="16.5" hidden="1" x14ac:dyDescent="0.3">
      <c r="A699" s="10" t="str">
        <f>基本属性!$B$25&amp;"|"&amp;基本属性!$C$25</f>
        <v>220|15</v>
      </c>
      <c r="B699" s="10" t="str">
        <f>参数调整!$J$35</f>
        <v>BOSS掉落</v>
      </c>
      <c r="C699" s="8" t="str">
        <f>材料产出!$V$2</f>
        <v>龍の魄</v>
      </c>
      <c r="D699" s="224">
        <f>参数调整!$K$35*怪物掉落配置方案!$D4803</f>
        <v>5.584371577750689</v>
      </c>
    </row>
    <row r="700" spans="1:4" ht="16.5" hidden="1" x14ac:dyDescent="0.3">
      <c r="A700" s="10" t="str">
        <f>基本属性!$B$26&amp;"|"&amp;基本属性!$C$26</f>
        <v>230|16</v>
      </c>
      <c r="B700" s="10" t="str">
        <f>参数调整!$J$35</f>
        <v>BOSS掉落</v>
      </c>
      <c r="C700" s="8" t="str">
        <f>材料产出!$V$2</f>
        <v>龍の魄</v>
      </c>
      <c r="D700" s="224">
        <f>参数调整!$K$35*怪物掉落配置方案!$D4804</f>
        <v>6.2101904091085345</v>
      </c>
    </row>
    <row r="701" spans="1:4" ht="16.5" hidden="1" x14ac:dyDescent="0.3">
      <c r="A701" s="10" t="str">
        <f>基本属性!$B$27&amp;"|"&amp;基本属性!$C$27</f>
        <v>230|17</v>
      </c>
      <c r="B701" s="10" t="str">
        <f>参数调整!$J$35</f>
        <v>BOSS掉落</v>
      </c>
      <c r="C701" s="8" t="str">
        <f>材料产出!$V$2</f>
        <v>龍の魄</v>
      </c>
      <c r="D701" s="224">
        <f>参数调整!$K$35*怪物掉落配置方案!$D4805</f>
        <v>6.8692385589455576</v>
      </c>
    </row>
    <row r="702" spans="1:4" ht="16.5" hidden="1" x14ac:dyDescent="0.3">
      <c r="A702" s="10" t="str">
        <f>基本属性!$B$28&amp;"|"&amp;基本属性!$C$28</f>
        <v>240|18</v>
      </c>
      <c r="B702" s="10" t="str">
        <f>参数调整!$J$35</f>
        <v>BOSS掉落</v>
      </c>
      <c r="C702" s="8" t="str">
        <f>材料产出!$V$2</f>
        <v>龍の魄</v>
      </c>
      <c r="D702" s="224">
        <f>参数调整!$K$35*怪物掉落配置方案!$D4806</f>
        <v>7.561516027261761</v>
      </c>
    </row>
    <row r="703" spans="1:4" ht="16.5" hidden="1" x14ac:dyDescent="0.3">
      <c r="A703" s="10" t="str">
        <f>基本属性!$B$29&amp;"|"&amp;基本属性!$C$29</f>
        <v>240|19</v>
      </c>
      <c r="B703" s="10" t="str">
        <f>参数调整!$J$35</f>
        <v>BOSS掉落</v>
      </c>
      <c r="C703" s="8" t="str">
        <f>材料产出!$V$2</f>
        <v>龍の魄</v>
      </c>
      <c r="D703" s="224">
        <f>参数调整!$K$35*怪物掉落配置方案!$D4807</f>
        <v>8.2870228140571385</v>
      </c>
    </row>
    <row r="704" spans="1:4" ht="16.5" hidden="1" x14ac:dyDescent="0.3">
      <c r="A704" s="10" t="str">
        <f>基本属性!$B$30&amp;"|"&amp;基本属性!$C$30</f>
        <v>250|20</v>
      </c>
      <c r="B704" s="10" t="str">
        <f>参数调整!$J$35</f>
        <v>BOSS掉落</v>
      </c>
      <c r="C704" s="8" t="str">
        <f>材料产出!$V$2</f>
        <v>龍の魄</v>
      </c>
      <c r="D704" s="224">
        <f>参数调整!$K$35*怪物掉落配置方案!$D4808</f>
        <v>9.0457589193316945</v>
      </c>
    </row>
    <row r="705" spans="1:4" ht="16.5" hidden="1" x14ac:dyDescent="0.3">
      <c r="A705" s="10" t="str">
        <f>基本属性!$B$4&amp;"|"&amp;基本属性!$C$4</f>
        <v>35|0</v>
      </c>
      <c r="B705" s="10" t="str">
        <f>参数调整!$J$35</f>
        <v>BOSS掉落</v>
      </c>
      <c r="C705" s="8" t="str">
        <f>材料产出!$AB$2</f>
        <v>龙晶碎片</v>
      </c>
      <c r="D705" s="224">
        <f>参数调整!$K$35*怪物掉落配置方案!$D4809</f>
        <v>3.0286264376551655</v>
      </c>
    </row>
    <row r="706" spans="1:4" ht="16.5" hidden="1" x14ac:dyDescent="0.3">
      <c r="A706" s="10" t="str">
        <f>基本属性!$B$5&amp;"|"&amp;基本属性!$C$5</f>
        <v>40|0</v>
      </c>
      <c r="B706" s="10" t="str">
        <f>参数调整!$J$35</f>
        <v>BOSS掉落</v>
      </c>
      <c r="C706" s="8" t="str">
        <f>材料产出!$AB$2</f>
        <v>龙晶碎片</v>
      </c>
      <c r="D706" s="224">
        <f>参数调整!$K$35*怪物掉落配置方案!$D4810</f>
        <v>3.833105335157319</v>
      </c>
    </row>
    <row r="707" spans="1:4" ht="16.5" hidden="1" x14ac:dyDescent="0.3">
      <c r="A707" s="10" t="str">
        <f>基本属性!$B$6&amp;"|"&amp;基本属性!$C$6</f>
        <v>50|0</v>
      </c>
      <c r="B707" s="10" t="str">
        <f>参数调整!$J$35</f>
        <v>BOSS掉落</v>
      </c>
      <c r="C707" s="8" t="str">
        <f>材料产出!$AB$2</f>
        <v>龙晶碎片</v>
      </c>
      <c r="D707" s="224">
        <f>参数调整!$K$35*怪物掉落配置方案!$D4811</f>
        <v>4.7322288088361963</v>
      </c>
    </row>
    <row r="708" spans="1:4" ht="16.5" hidden="1" x14ac:dyDescent="0.3">
      <c r="A708" s="10" t="str">
        <f>基本属性!$B$7&amp;"|"&amp;基本属性!$C$7</f>
        <v>60|0</v>
      </c>
      <c r="B708" s="10" t="str">
        <f>参数调整!$J$35</f>
        <v>BOSS掉落</v>
      </c>
      <c r="C708" s="8" t="str">
        <f>材料产出!$AB$2</f>
        <v>龙晶碎片</v>
      </c>
      <c r="D708" s="224">
        <f>参数调整!$K$35*怪物掉落配置方案!$D4812</f>
        <v>5.725996858691798</v>
      </c>
    </row>
    <row r="709" spans="1:4" ht="16.5" hidden="1" x14ac:dyDescent="0.3">
      <c r="A709" s="10" t="str">
        <f>基本属性!$B$8&amp;"|"&amp;基本属性!$C$8</f>
        <v>65|0</v>
      </c>
      <c r="B709" s="10" t="str">
        <f>参数调整!$J$35</f>
        <v>BOSS掉落</v>
      </c>
      <c r="C709" s="8" t="str">
        <f>材料产出!$AB$2</f>
        <v>龙晶碎片</v>
      </c>
      <c r="D709" s="224">
        <f>参数调整!$K$35*怪物掉落配置方案!$D4813</f>
        <v>6.8144094847241226</v>
      </c>
    </row>
    <row r="710" spans="1:4" ht="16.5" hidden="1" x14ac:dyDescent="0.3">
      <c r="A710" s="10" t="str">
        <f>基本属性!$B$9&amp;"|"&amp;基本属性!$C$9</f>
        <v>70|0</v>
      </c>
      <c r="B710" s="10" t="str">
        <f>参数调整!$J$35</f>
        <v>BOSS掉落</v>
      </c>
      <c r="C710" s="8" t="str">
        <f>材料产出!$AB$2</f>
        <v>龙晶碎片</v>
      </c>
      <c r="D710" s="224">
        <f>参数调整!$K$35*怪物掉落配置方案!$D4814</f>
        <v>7.9974666869331701</v>
      </c>
    </row>
    <row r="711" spans="1:4" ht="16.5" hidden="1" x14ac:dyDescent="0.3">
      <c r="A711" s="10" t="str">
        <f>基本属性!$B$10&amp;"|"&amp;基本属性!$C$10</f>
        <v>75|0</v>
      </c>
      <c r="B711" s="10" t="str">
        <f>参数调整!$J$35</f>
        <v>BOSS掉落</v>
      </c>
      <c r="C711" s="8" t="str">
        <f>材料产出!$AB$2</f>
        <v>龙晶碎片</v>
      </c>
      <c r="D711" s="224">
        <f>参数调整!$K$35*怪物掉落配置方案!$D4815</f>
        <v>9.2751684653189415</v>
      </c>
    </row>
    <row r="712" spans="1:4" ht="16.5" hidden="1" x14ac:dyDescent="0.3">
      <c r="A712" s="10" t="str">
        <f>基本属性!$B$11&amp;"|"&amp;基本属性!$C$11</f>
        <v>80|1</v>
      </c>
      <c r="B712" s="10" t="str">
        <f>参数调整!$J$35</f>
        <v>BOSS掉落</v>
      </c>
      <c r="C712" s="8" t="str">
        <f>材料产出!$AB$2</f>
        <v>龙晶碎片</v>
      </c>
      <c r="D712" s="224">
        <f>参数调整!$K$35*怪物掉落配置方案!$D4816</f>
        <v>10.64751481988144</v>
      </c>
    </row>
    <row r="713" spans="1:4" ht="16.5" hidden="1" x14ac:dyDescent="0.3">
      <c r="A713" s="10" t="str">
        <f>基本属性!$B$12&amp;"|"&amp;基本属性!$C$12</f>
        <v>90|2</v>
      </c>
      <c r="B713" s="10" t="str">
        <f>参数调整!$J$35</f>
        <v>BOSS掉落</v>
      </c>
      <c r="C713" s="8" t="str">
        <f>材料产出!$AB$2</f>
        <v>龙晶碎片</v>
      </c>
      <c r="D713" s="224">
        <f>参数调整!$K$35*怪物掉落配置方案!$D4817</f>
        <v>12.114505750620664</v>
      </c>
    </row>
    <row r="714" spans="1:4" ht="16.5" hidden="1" x14ac:dyDescent="0.3">
      <c r="A714" s="10" t="str">
        <f>基本属性!$B$13&amp;"|"&amp;基本属性!$C$13</f>
        <v>100|3</v>
      </c>
      <c r="B714" s="10" t="str">
        <f>参数调整!$J$35</f>
        <v>BOSS掉落</v>
      </c>
      <c r="C714" s="8" t="str">
        <f>材料产出!$AB$2</f>
        <v>龙晶碎片</v>
      </c>
      <c r="D714" s="224">
        <f>参数调整!$K$35*怪物掉落配置方案!$D4818</f>
        <v>15.332421340629276</v>
      </c>
    </row>
    <row r="715" spans="1:4" ht="16.5" hidden="1" x14ac:dyDescent="0.3">
      <c r="A715" s="10" t="str">
        <f>基本属性!$B$14&amp;"|"&amp;基本属性!$C$14</f>
        <v>105|4</v>
      </c>
      <c r="B715" s="10" t="str">
        <f>参数调整!$J$35</f>
        <v>BOSS掉落</v>
      </c>
      <c r="C715" s="8" t="str">
        <f>材料产出!$AB$2</f>
        <v>龙晶碎片</v>
      </c>
      <c r="D715" s="224">
        <f>参数调整!$K$35*怪物掉落配置方案!$D4819</f>
        <v>18.928915235344785</v>
      </c>
    </row>
    <row r="716" spans="1:4" ht="16.5" hidden="1" x14ac:dyDescent="0.3">
      <c r="A716" s="10" t="str">
        <f>基本属性!$B$15&amp;"|"&amp;基本属性!$C$15</f>
        <v>110|5</v>
      </c>
      <c r="B716" s="10" t="str">
        <f>参数调整!$J$35</f>
        <v>BOSS掉落</v>
      </c>
      <c r="C716" s="8" t="str">
        <f>材料产出!$AB$2</f>
        <v>龙晶碎片</v>
      </c>
      <c r="D716" s="224">
        <f>参数调整!$K$35*怪物掉落配置方案!$D4820</f>
        <v>22.903987434767195</v>
      </c>
    </row>
    <row r="717" spans="1:4" ht="16.5" hidden="1" x14ac:dyDescent="0.3">
      <c r="A717" s="10" t="str">
        <f>基本属性!$B$16&amp;"|"&amp;基本属性!$C$16</f>
        <v>120|6</v>
      </c>
      <c r="B717" s="10" t="str">
        <f>参数调整!$J$35</f>
        <v>BOSS掉落</v>
      </c>
      <c r="C717" s="8" t="str">
        <f>材料产出!$AB$2</f>
        <v>龙晶碎片</v>
      </c>
      <c r="D717" s="224">
        <f>参数调整!$K$35*怪物掉落配置方案!$D4821</f>
        <v>29.576430055226222</v>
      </c>
    </row>
    <row r="718" spans="1:4" ht="16.5" hidden="1" x14ac:dyDescent="0.3">
      <c r="A718" s="10" t="str">
        <f>基本属性!$B$17&amp;"|"&amp;基本属性!$C$17</f>
        <v>135|7</v>
      </c>
      <c r="B718" s="10" t="str">
        <f>参数调整!$J$35</f>
        <v>BOSS掉落</v>
      </c>
      <c r="C718" s="8" t="str">
        <f>材料产出!$AB$2</f>
        <v>龙晶碎片</v>
      </c>
      <c r="D718" s="224">
        <f>参数调整!$K$35*怪物掉落配置方案!$D4822</f>
        <v>42.590059279525761</v>
      </c>
    </row>
    <row r="719" spans="1:4" ht="16.5" hidden="1" x14ac:dyDescent="0.3">
      <c r="A719" s="10" t="str">
        <f>基本属性!$B$18&amp;"|"&amp;基本属性!$C$18</f>
        <v>155|8</v>
      </c>
      <c r="B719" s="10" t="str">
        <f>参数调整!$J$35</f>
        <v>BOSS掉落</v>
      </c>
      <c r="C719" s="8" t="str">
        <f>材料产出!$AB$2</f>
        <v>龙晶碎片</v>
      </c>
      <c r="D719" s="224">
        <f>参数调整!$K$35*怪物掉落配置方案!$D4823</f>
        <v>57.969802908243409</v>
      </c>
    </row>
    <row r="720" spans="1:4" ht="16.5" hidden="1" x14ac:dyDescent="0.3">
      <c r="A720" s="10" t="str">
        <f>基本属性!$B$19&amp;"|"&amp;基本属性!$C$19</f>
        <v>190|9</v>
      </c>
      <c r="B720" s="10" t="str">
        <f>参数调整!$J$35</f>
        <v>BOSS掉落</v>
      </c>
      <c r="C720" s="8" t="str">
        <f>材料产出!$AB$2</f>
        <v>龙晶碎片</v>
      </c>
      <c r="D720" s="224">
        <f>参数调整!$K$35*怪物掉落配置方案!$D4824</f>
        <v>64.784212392967532</v>
      </c>
    </row>
    <row r="721" spans="1:4" ht="16.5" hidden="1" x14ac:dyDescent="0.3">
      <c r="A721" s="10" t="str">
        <f>基本属性!$B$20&amp;"|"&amp;基本属性!$C$20</f>
        <v>200|10</v>
      </c>
      <c r="B721" s="10" t="str">
        <f>参数调整!$J$35</f>
        <v>BOSS掉落</v>
      </c>
      <c r="C721" s="8" t="str">
        <f>材料产出!$AB$2</f>
        <v>龙晶碎片</v>
      </c>
      <c r="D721" s="224">
        <f>参数调整!$K$35*怪物掉落配置方案!$D4825</f>
        <v>75.715660941379141</v>
      </c>
    </row>
    <row r="722" spans="1:4" ht="16.5" hidden="1" x14ac:dyDescent="0.3">
      <c r="A722" s="10" t="str">
        <f>基本属性!$B$21&amp;"|"&amp;基本属性!$C$21</f>
        <v>200|11</v>
      </c>
      <c r="B722" s="10" t="str">
        <f>参数调整!$J$35</f>
        <v>BOSS掉落</v>
      </c>
      <c r="C722" s="8" t="str">
        <f>材料产出!$AB$2</f>
        <v>龙晶碎片</v>
      </c>
      <c r="D722" s="224">
        <f>参数调整!$K$35*怪物掉落配置方案!$D4826</f>
        <v>87.498910675381239</v>
      </c>
    </row>
    <row r="723" spans="1:4" ht="16.5" hidden="1" x14ac:dyDescent="0.3">
      <c r="A723" s="10" t="str">
        <f>基本属性!$B$22&amp;"|"&amp;基本属性!$C$22</f>
        <v>210|12</v>
      </c>
      <c r="B723" s="10" t="str">
        <f>参数调整!$J$35</f>
        <v>BOSS掉落</v>
      </c>
      <c r="C723" s="8" t="str">
        <f>材料产出!$AB$2</f>
        <v>龙晶碎片</v>
      </c>
      <c r="D723" s="224">
        <f>参数调整!$K$35*怪物掉落配置方案!$D4827</f>
        <v>100.1339615949739</v>
      </c>
    </row>
    <row r="724" spans="1:4" ht="16.5" hidden="1" x14ac:dyDescent="0.3">
      <c r="A724" s="10" t="str">
        <f>基本属性!$B$23&amp;"|"&amp;基本属性!$C$23</f>
        <v>210|13</v>
      </c>
      <c r="B724" s="10" t="str">
        <f>参数调整!$J$35</f>
        <v>BOSS掉落</v>
      </c>
      <c r="C724" s="8" t="str">
        <f>材料产出!$AB$2</f>
        <v>龙晶碎片</v>
      </c>
      <c r="D724" s="224">
        <f>参数调整!$K$35*怪物掉落配置方案!$D4828</f>
        <v>113.62081370015706</v>
      </c>
    </row>
    <row r="725" spans="1:4" ht="16.5" hidden="1" x14ac:dyDescent="0.3">
      <c r="A725" s="10" t="str">
        <f>基本属性!$B$24&amp;"|"&amp;基本属性!$C$24</f>
        <v>220|14</v>
      </c>
      <c r="B725" s="10" t="str">
        <f>参数调整!$J$35</f>
        <v>BOSS掉落</v>
      </c>
      <c r="C725" s="8" t="str">
        <f>材料产出!$AB$2</f>
        <v>龙晶碎片</v>
      </c>
      <c r="D725" s="224">
        <f>参数调整!$K$35*怪物掉落配置方案!$D4829</f>
        <v>127.95946699093075</v>
      </c>
    </row>
    <row r="726" spans="1:4" ht="16.5" hidden="1" x14ac:dyDescent="0.3">
      <c r="A726" s="10" t="str">
        <f>基本属性!$B$25&amp;"|"&amp;基本属性!$C$25</f>
        <v>220|15</v>
      </c>
      <c r="B726" s="10" t="str">
        <f>参数调整!$J$35</f>
        <v>BOSS掉落</v>
      </c>
      <c r="C726" s="8" t="str">
        <f>材料产出!$AB$2</f>
        <v>龙晶碎片</v>
      </c>
      <c r="D726" s="224">
        <f>参数调整!$K$35*怪物掉落配置方案!$D4830</f>
        <v>143.14992146729492</v>
      </c>
    </row>
    <row r="727" spans="1:4" ht="16.5" hidden="1" x14ac:dyDescent="0.3">
      <c r="A727" s="10" t="str">
        <f>基本属性!$B$26&amp;"|"&amp;基本属性!$C$26</f>
        <v>230|16</v>
      </c>
      <c r="B727" s="10" t="str">
        <f>参数调整!$J$35</f>
        <v>BOSS掉落</v>
      </c>
      <c r="C727" s="8" t="str">
        <f>材料产出!$AB$2</f>
        <v>龙晶碎片</v>
      </c>
      <c r="D727" s="224">
        <f>参数调整!$K$35*怪物掉落配置方案!$D4831</f>
        <v>159.19217712924961</v>
      </c>
    </row>
    <row r="728" spans="1:4" ht="16.5" hidden="1" x14ac:dyDescent="0.3">
      <c r="A728" s="10" t="str">
        <f>基本属性!$B$27&amp;"|"&amp;基本属性!$C$27</f>
        <v>230|17</v>
      </c>
      <c r="B728" s="10" t="str">
        <f>参数调整!$J$35</f>
        <v>BOSS掉落</v>
      </c>
      <c r="C728" s="8" t="str">
        <f>材料产出!$AB$2</f>
        <v>龙晶碎片</v>
      </c>
      <c r="D728" s="224">
        <f>参数调整!$K$35*怪物掉落配置方案!$D4832</f>
        <v>176.08623397679483</v>
      </c>
    </row>
    <row r="729" spans="1:4" ht="16.5" hidden="1" x14ac:dyDescent="0.3">
      <c r="A729" s="10" t="str">
        <f>基本属性!$B$28&amp;"|"&amp;基本属性!$C$28</f>
        <v>240|18</v>
      </c>
      <c r="B729" s="10" t="str">
        <f>参数调整!$J$35</f>
        <v>BOSS掉落</v>
      </c>
      <c r="C729" s="8" t="str">
        <f>材料产出!$AB$2</f>
        <v>龙晶碎片</v>
      </c>
      <c r="D729" s="224">
        <f>参数调整!$K$35*怪物掉落配置方案!$D4833</f>
        <v>193.83209200993062</v>
      </c>
    </row>
    <row r="730" spans="1:4" ht="16.5" hidden="1" x14ac:dyDescent="0.3">
      <c r="A730" s="10" t="str">
        <f>基本属性!$B$29&amp;"|"&amp;基本属性!$C$29</f>
        <v>240|19</v>
      </c>
      <c r="B730" s="10" t="str">
        <f>参数调整!$J$35</f>
        <v>BOSS掉落</v>
      </c>
      <c r="C730" s="8" t="str">
        <f>材料产出!$AB$2</f>
        <v>龙晶碎片</v>
      </c>
      <c r="D730" s="224">
        <f>参数调整!$K$35*怪物掉落配置方案!$D4834</f>
        <v>212.42975122865687</v>
      </c>
    </row>
    <row r="731" spans="1:4" ht="16.5" hidden="1" x14ac:dyDescent="0.3">
      <c r="A731" s="10" t="str">
        <f>基本属性!$B$30&amp;"|"&amp;基本属性!$C$30</f>
        <v>250|20</v>
      </c>
      <c r="B731" s="10" t="str">
        <f>参数调整!$J$35</f>
        <v>BOSS掉落</v>
      </c>
      <c r="C731" s="8" t="str">
        <f>材料产出!$AB$2</f>
        <v>龙晶碎片</v>
      </c>
      <c r="D731" s="224">
        <f>参数调整!$K$35*怪物掉落配置方案!$D4835</f>
        <v>231.87921163297352</v>
      </c>
    </row>
    <row r="732" spans="1:4" ht="16.5" hidden="1" x14ac:dyDescent="0.3">
      <c r="A732" s="10" t="str">
        <f>基本属性!$B$4&amp;"|"&amp;基本属性!$C$4</f>
        <v>35|0</v>
      </c>
      <c r="B732" s="10" t="str">
        <f>参数调整!$J$35</f>
        <v>BOSS掉落</v>
      </c>
      <c r="C732" s="8" t="str">
        <f>材料产出!$AX$2</f>
        <v>烈焰玄铁</v>
      </c>
      <c r="D732" s="224">
        <f>参数调整!$K$35*怪物掉落配置方案!$D4836</f>
        <v>1.7856733858457898E-2</v>
      </c>
    </row>
    <row r="733" spans="1:4" ht="16.5" hidden="1" x14ac:dyDescent="0.3">
      <c r="A733" s="10" t="str">
        <f>基本属性!$B$5&amp;"|"&amp;基本属性!$C$5</f>
        <v>40|0</v>
      </c>
      <c r="B733" s="10" t="str">
        <f>参数调整!$J$35</f>
        <v>BOSS掉落</v>
      </c>
      <c r="C733" s="8" t="str">
        <f>材料产出!$AX$2</f>
        <v>烈焰玄铁</v>
      </c>
      <c r="D733" s="224">
        <f>参数调整!$K$35*怪物掉落配置方案!$D4837</f>
        <v>2.2599928789610774E-2</v>
      </c>
    </row>
    <row r="734" spans="1:4" ht="16.5" hidden="1" x14ac:dyDescent="0.3">
      <c r="A734" s="10" t="str">
        <f>基本属性!$B$6&amp;"|"&amp;基本属性!$C$6</f>
        <v>50|0</v>
      </c>
      <c r="B734" s="10" t="str">
        <f>参数调整!$J$35</f>
        <v>BOSS掉落</v>
      </c>
      <c r="C734" s="8" t="str">
        <f>材料产出!$AX$2</f>
        <v>烈焰玄铁</v>
      </c>
      <c r="D734" s="224">
        <f>参数调整!$K$35*怪物掉落配置方案!$D4838</f>
        <v>2.7901146653840466E-2</v>
      </c>
    </row>
    <row r="735" spans="1:4" ht="16.5" hidden="1" x14ac:dyDescent="0.3">
      <c r="A735" s="10" t="str">
        <f>基本属性!$B$7&amp;"|"&amp;基本属性!$C$7</f>
        <v>60|0</v>
      </c>
      <c r="B735" s="10" t="str">
        <f>参数调整!$J$35</f>
        <v>BOSS掉落</v>
      </c>
      <c r="C735" s="8" t="str">
        <f>材料产出!$AX$2</f>
        <v>烈焰玄铁</v>
      </c>
      <c r="D735" s="224">
        <f>参数调整!$K$35*怪物掉落配置方案!$D4839</f>
        <v>3.376038745114697E-2</v>
      </c>
    </row>
    <row r="736" spans="1:4" ht="16.5" hidden="1" x14ac:dyDescent="0.3">
      <c r="A736" s="10" t="str">
        <f>基本属性!$B$8&amp;"|"&amp;基本属性!$C$8</f>
        <v>65|0</v>
      </c>
      <c r="B736" s="10" t="str">
        <f>参数调整!$J$35</f>
        <v>BOSS掉落</v>
      </c>
      <c r="C736" s="8" t="str">
        <f>材料产出!$AX$2</f>
        <v>烈焰玄铁</v>
      </c>
      <c r="D736" s="224">
        <f>参数调整!$K$35*怪物掉落配置方案!$D4840</f>
        <v>4.0177651181530272E-2</v>
      </c>
    </row>
    <row r="737" spans="1:4" ht="16.5" hidden="1" x14ac:dyDescent="0.3">
      <c r="A737" s="10" t="str">
        <f>基本属性!$B$9&amp;"|"&amp;基本属性!$C$9</f>
        <v>70|0</v>
      </c>
      <c r="B737" s="10" t="str">
        <f>参数调整!$J$35</f>
        <v>BOSS掉落</v>
      </c>
      <c r="C737" s="8" t="str">
        <f>材料产出!$AX$2</f>
        <v>烈焰玄铁</v>
      </c>
      <c r="D737" s="224">
        <f>参数调整!$K$35*怪物掉落配置方案!$D4841</f>
        <v>4.7152937844990396E-2</v>
      </c>
    </row>
    <row r="738" spans="1:4" ht="16.5" hidden="1" x14ac:dyDescent="0.3">
      <c r="A738" s="10" t="str">
        <f>基本属性!$B$10&amp;"|"&amp;基本属性!$C$10</f>
        <v>75|0</v>
      </c>
      <c r="B738" s="10" t="str">
        <f>参数调整!$J$35</f>
        <v>BOSS掉落</v>
      </c>
      <c r="C738" s="8" t="str">
        <f>材料产出!$AX$2</f>
        <v>烈焰玄铁</v>
      </c>
      <c r="D738" s="224">
        <f>参数调整!$K$35*怪物掉落配置方案!$D4842</f>
        <v>5.4686247441527308E-2</v>
      </c>
    </row>
    <row r="739" spans="1:4" ht="16.5" hidden="1" x14ac:dyDescent="0.3">
      <c r="A739" s="10" t="str">
        <f>基本属性!$B$11&amp;"|"&amp;基本属性!$C$11</f>
        <v>80|1</v>
      </c>
      <c r="B739" s="10" t="str">
        <f>参数调整!$J$35</f>
        <v>BOSS掉落</v>
      </c>
      <c r="C739" s="8" t="str">
        <f>材料产出!$AX$2</f>
        <v>烈焰玄铁</v>
      </c>
      <c r="D739" s="224">
        <f>参数调整!$K$35*怪物掉落配置方案!$D4843</f>
        <v>6.2777579971141056E-2</v>
      </c>
    </row>
    <row r="740" spans="1:4" ht="16.5" hidden="1" x14ac:dyDescent="0.3">
      <c r="A740" s="10" t="str">
        <f>基本属性!$B$12&amp;"|"&amp;基本属性!$C$12</f>
        <v>90|2</v>
      </c>
      <c r="B740" s="10" t="str">
        <f>参数调整!$J$35</f>
        <v>BOSS掉落</v>
      </c>
      <c r="C740" s="8" t="str">
        <f>材料产出!$AX$2</f>
        <v>烈焰玄铁</v>
      </c>
      <c r="D740" s="224">
        <f>参数调整!$K$35*怪物掉落配置方案!$D4844</f>
        <v>7.1426935433831606E-2</v>
      </c>
    </row>
    <row r="741" spans="1:4" ht="16.5" hidden="1" x14ac:dyDescent="0.3">
      <c r="A741" s="10" t="str">
        <f>基本属性!$B$13&amp;"|"&amp;基本属性!$C$13</f>
        <v>100|3</v>
      </c>
      <c r="B741" s="10" t="str">
        <f>参数调整!$J$35</f>
        <v>BOSS掉落</v>
      </c>
      <c r="C741" s="8" t="str">
        <f>材料产出!$AX$2</f>
        <v>烈焰玄铁</v>
      </c>
      <c r="D741" s="224">
        <f>参数调整!$K$35*怪物掉落配置方案!$D4845</f>
        <v>9.0399715158443125E-2</v>
      </c>
    </row>
    <row r="742" spans="1:4" ht="16.5" hidden="1" x14ac:dyDescent="0.3">
      <c r="A742" s="10" t="str">
        <f>基本属性!$B$14&amp;"|"&amp;基本属性!$C$14</f>
        <v>105|4</v>
      </c>
      <c r="B742" s="10" t="str">
        <f>参数调整!$J$35</f>
        <v>BOSS掉落</v>
      </c>
      <c r="C742" s="8" t="str">
        <f>材料产出!$AX$2</f>
        <v>烈焰玄铁</v>
      </c>
      <c r="D742" s="224">
        <f>参数调整!$K$35*怪物掉落配置方案!$D4846</f>
        <v>0.11160458661536188</v>
      </c>
    </row>
    <row r="743" spans="1:4" ht="16.5" hidden="1" x14ac:dyDescent="0.3">
      <c r="A743" s="10" t="str">
        <f>基本属性!$B$15&amp;"|"&amp;基本属性!$C$15</f>
        <v>110|5</v>
      </c>
      <c r="B743" s="10" t="str">
        <f>参数调整!$J$35</f>
        <v>BOSS掉落</v>
      </c>
      <c r="C743" s="8" t="str">
        <f>材料产出!$AX$2</f>
        <v>烈焰玄铁</v>
      </c>
      <c r="D743" s="224">
        <f>参数调整!$K$35*怪物掉落配置方案!$D4847</f>
        <v>0.13504154980458791</v>
      </c>
    </row>
    <row r="744" spans="1:4" ht="16.5" hidden="1" x14ac:dyDescent="0.3">
      <c r="A744" s="10" t="str">
        <f>基本属性!$B$16&amp;"|"&amp;基本属性!$C$16</f>
        <v>120|6</v>
      </c>
      <c r="B744" s="10" t="str">
        <f>参数调整!$J$35</f>
        <v>BOSS掉落</v>
      </c>
      <c r="C744" s="8" t="str">
        <f>材料产出!$AX$2</f>
        <v>烈焰玄铁</v>
      </c>
      <c r="D744" s="224">
        <f>参数调整!$K$35*怪物掉落配置方案!$D4848</f>
        <v>0.17438216658650291</v>
      </c>
    </row>
    <row r="745" spans="1:4" ht="16.5" hidden="1" x14ac:dyDescent="0.3">
      <c r="A745" s="10" t="str">
        <f>基本属性!$B$17&amp;"|"&amp;基本属性!$C$17</f>
        <v>135|7</v>
      </c>
      <c r="B745" s="10" t="str">
        <f>参数调整!$J$35</f>
        <v>BOSS掉落</v>
      </c>
      <c r="C745" s="8" t="str">
        <f>材料产出!$AX$2</f>
        <v>烈焰玄铁</v>
      </c>
      <c r="D745" s="224">
        <f>参数调整!$K$35*怪物掉落配置方案!$D4849</f>
        <v>0.25111031988456423</v>
      </c>
    </row>
    <row r="746" spans="1:4" ht="16.5" hidden="1" x14ac:dyDescent="0.3">
      <c r="A746" s="10" t="str">
        <f>基本属性!$B$18&amp;"|"&amp;基本属性!$C$18</f>
        <v>155|8</v>
      </c>
      <c r="B746" s="10" t="str">
        <f>参数调整!$J$35</f>
        <v>BOSS掉落</v>
      </c>
      <c r="C746" s="8" t="str">
        <f>材料产出!$AX$2</f>
        <v>烈焰玄铁</v>
      </c>
      <c r="D746" s="224">
        <f>参数调整!$K$35*怪物掉落配置方案!$D4850</f>
        <v>0.34178904650954578</v>
      </c>
    </row>
    <row r="747" spans="1:4" ht="16.5" hidden="1" x14ac:dyDescent="0.3">
      <c r="A747" s="10" t="str">
        <f>基本属性!$B$19&amp;"|"&amp;基本属性!$C$19</f>
        <v>190|9</v>
      </c>
      <c r="B747" s="10" t="str">
        <f>参数调整!$J$35</f>
        <v>BOSS掉落</v>
      </c>
      <c r="C747" s="8" t="str">
        <f>材料产出!$AX$2</f>
        <v>烈焰玄铁</v>
      </c>
      <c r="D747" s="224">
        <f>参数调整!$K$35*怪物掉落配置方案!$D4851</f>
        <v>0.38196669769107605</v>
      </c>
    </row>
    <row r="748" spans="1:4" ht="16.5" hidden="1" x14ac:dyDescent="0.3">
      <c r="A748" s="10" t="str">
        <f>基本属性!$B$20&amp;"|"&amp;基本属性!$C$20</f>
        <v>200|10</v>
      </c>
      <c r="B748" s="10" t="str">
        <f>参数调整!$J$35</f>
        <v>BOSS掉落</v>
      </c>
      <c r="C748" s="8" t="str">
        <f>材料产出!$AX$2</f>
        <v>烈焰玄铁</v>
      </c>
      <c r="D748" s="224">
        <f>参数调整!$K$35*怪物掉落配置方案!$D4852</f>
        <v>0.44641834646144751</v>
      </c>
    </row>
    <row r="749" spans="1:4" ht="16.5" hidden="1" x14ac:dyDescent="0.3">
      <c r="A749" s="10" t="str">
        <f>基本属性!$B$21&amp;"|"&amp;基本属性!$C$21</f>
        <v>200|11</v>
      </c>
      <c r="B749" s="10" t="str">
        <f>参数调整!$J$35</f>
        <v>BOSS掉落</v>
      </c>
      <c r="C749" s="8" t="str">
        <f>材料产出!$AX$2</f>
        <v>烈焰玄铁</v>
      </c>
      <c r="D749" s="224">
        <f>参数调整!$K$35*怪物掉落配置方案!$D4853</f>
        <v>0.51589220162951011</v>
      </c>
    </row>
    <row r="750" spans="1:4" ht="16.5" hidden="1" x14ac:dyDescent="0.3">
      <c r="A750" s="10" t="str">
        <f>基本属性!$B$22&amp;"|"&amp;基本属性!$C$22</f>
        <v>210|12</v>
      </c>
      <c r="B750" s="10" t="str">
        <f>参数调整!$J$35</f>
        <v>BOSS掉落</v>
      </c>
      <c r="C750" s="8" t="str">
        <f>材料产出!$AX$2</f>
        <v>烈焰玄铁</v>
      </c>
      <c r="D750" s="224">
        <f>参数调整!$K$35*怪物掉落配置方案!$D4854</f>
        <v>0.59038826319526416</v>
      </c>
    </row>
    <row r="751" spans="1:4" ht="16.5" hidden="1" x14ac:dyDescent="0.3">
      <c r="A751" s="10" t="str">
        <f>基本属性!$B$23&amp;"|"&amp;基本属性!$C$23</f>
        <v>210|13</v>
      </c>
      <c r="B751" s="10" t="str">
        <f>参数调整!$J$35</f>
        <v>BOSS掉落</v>
      </c>
      <c r="C751" s="8" t="str">
        <f>材料产出!$AX$2</f>
        <v>烈焰玄铁</v>
      </c>
      <c r="D751" s="224">
        <f>参数调整!$K$35*怪物掉落配置方案!$D4855</f>
        <v>0.66990653115870968</v>
      </c>
    </row>
    <row r="752" spans="1:4" ht="16.5" hidden="1" x14ac:dyDescent="0.3">
      <c r="A752" s="10" t="str">
        <f>基本属性!$B$24&amp;"|"&amp;基本属性!$C$24</f>
        <v>220|14</v>
      </c>
      <c r="B752" s="10" t="str">
        <f>参数调整!$J$35</f>
        <v>BOSS掉落</v>
      </c>
      <c r="C752" s="8" t="str">
        <f>材料产出!$AX$2</f>
        <v>烈焰玄铁</v>
      </c>
      <c r="D752" s="224">
        <f>参数调整!$K$35*怪物掉落配置方案!$D4856</f>
        <v>0.75444700551984623</v>
      </c>
    </row>
    <row r="753" spans="1:4" ht="16.5" hidden="1" x14ac:dyDescent="0.3">
      <c r="A753" s="10" t="str">
        <f>基本属性!$B$25&amp;"|"&amp;基本属性!$C$25</f>
        <v>220|15</v>
      </c>
      <c r="B753" s="10" t="str">
        <f>参数调整!$J$35</f>
        <v>BOSS掉落</v>
      </c>
      <c r="C753" s="8" t="str">
        <f>材料产出!$AX$2</f>
        <v>烈焰玄铁</v>
      </c>
      <c r="D753" s="224">
        <f>参数调整!$K$35*怪物掉落配置方案!$D4857</f>
        <v>0.84400968627867412</v>
      </c>
    </row>
    <row r="754" spans="1:4" ht="16.5" hidden="1" x14ac:dyDescent="0.3">
      <c r="A754" s="10" t="str">
        <f>基本属性!$B$26&amp;"|"&amp;基本属性!$C$26</f>
        <v>230|16</v>
      </c>
      <c r="B754" s="10" t="str">
        <f>参数调整!$J$35</f>
        <v>BOSS掉落</v>
      </c>
      <c r="C754" s="8" t="str">
        <f>材料产出!$AX$2</f>
        <v>烈焰玄铁</v>
      </c>
      <c r="D754" s="224">
        <f>参数调整!$K$35*怪物掉落配置方案!$D4858</f>
        <v>0.93859457343519315</v>
      </c>
    </row>
    <row r="755" spans="1:4" ht="16.5" hidden="1" x14ac:dyDescent="0.3">
      <c r="A755" s="10" t="str">
        <f>基本属性!$B$27&amp;"|"&amp;基本属性!$C$27</f>
        <v>230|17</v>
      </c>
      <c r="B755" s="10" t="str">
        <f>参数调整!$J$35</f>
        <v>BOSS掉落</v>
      </c>
      <c r="C755" s="8" t="str">
        <f>材料产出!$AX$2</f>
        <v>烈焰玄铁</v>
      </c>
      <c r="D755" s="224">
        <f>参数调整!$K$35*怪物掉落配置方案!$D4859</f>
        <v>1.0382016669894034</v>
      </c>
    </row>
    <row r="756" spans="1:4" ht="16.5" hidden="1" x14ac:dyDescent="0.3">
      <c r="A756" s="10" t="str">
        <f>基本属性!$B$28&amp;"|"&amp;基本属性!$C$28</f>
        <v>240|18</v>
      </c>
      <c r="B756" s="10" t="str">
        <f>参数调整!$J$35</f>
        <v>BOSS掉落</v>
      </c>
      <c r="C756" s="8" t="str">
        <f>材料产出!$AX$2</f>
        <v>烈焰玄铁</v>
      </c>
      <c r="D756" s="224">
        <f>参数调整!$K$35*怪物掉落配置方案!$D4860</f>
        <v>1.1428309669413057</v>
      </c>
    </row>
    <row r="757" spans="1:4" ht="16.5" hidden="1" x14ac:dyDescent="0.3">
      <c r="A757" s="10" t="str">
        <f>基本属性!$B$29&amp;"|"&amp;基本属性!$C$29</f>
        <v>240|19</v>
      </c>
      <c r="B757" s="10" t="str">
        <f>参数调整!$J$35</f>
        <v>BOSS掉落</v>
      </c>
      <c r="C757" s="8" t="str">
        <f>材料产出!$AX$2</f>
        <v>烈焰玄铁</v>
      </c>
      <c r="D757" s="224">
        <f>参数调整!$K$35*怪物掉落配置方案!$D4861</f>
        <v>1.2524824732908986</v>
      </c>
    </row>
    <row r="758" spans="1:4" ht="16.5" hidden="1" x14ac:dyDescent="0.3">
      <c r="A758" s="10" t="str">
        <f>基本属性!$B$30&amp;"|"&amp;基本属性!$C$30</f>
        <v>250|20</v>
      </c>
      <c r="B758" s="10" t="str">
        <f>参数调整!$J$35</f>
        <v>BOSS掉落</v>
      </c>
      <c r="C758" s="8" t="str">
        <f>材料产出!$AX$2</f>
        <v>烈焰玄铁</v>
      </c>
      <c r="D758" s="224">
        <f>参数调整!$K$35*怪物掉落配置方案!$D4862</f>
        <v>1.3671561860381827</v>
      </c>
    </row>
    <row r="759" spans="1:4" ht="16.5" hidden="1" x14ac:dyDescent="0.3">
      <c r="A759" s="10" t="str">
        <f>基本属性!$B$4&amp;"|"&amp;基本属性!$C$4</f>
        <v>35|0</v>
      </c>
      <c r="B759" s="10" t="str">
        <f>参数调整!$J$35</f>
        <v>BOSS掉落</v>
      </c>
      <c r="C759" s="8" t="str">
        <f>材料产出!$H$2</f>
        <v>经验</v>
      </c>
      <c r="D759" s="224">
        <f>参数调整!$K$35*怪物掉落配置方案!$D4863</f>
        <v>166600</v>
      </c>
    </row>
    <row r="760" spans="1:4" ht="16.5" hidden="1" x14ac:dyDescent="0.3">
      <c r="A760" s="10" t="str">
        <f>基本属性!$B$5&amp;"|"&amp;基本属性!$C$5</f>
        <v>40|0</v>
      </c>
      <c r="B760" s="10" t="str">
        <f>参数调整!$J$35</f>
        <v>BOSS掉落</v>
      </c>
      <c r="C760" s="8" t="str">
        <f>材料产出!$H$2</f>
        <v>经验</v>
      </c>
      <c r="D760" s="224">
        <f>参数调整!$K$35*怪物掉落配置方案!$D4864</f>
        <v>319400</v>
      </c>
    </row>
    <row r="761" spans="1:4" ht="16.5" hidden="1" x14ac:dyDescent="0.3">
      <c r="A761" s="10" t="str">
        <f>基本属性!$B$6&amp;"|"&amp;基本属性!$C$6</f>
        <v>50|0</v>
      </c>
      <c r="B761" s="10" t="str">
        <f>参数调整!$J$35</f>
        <v>BOSS掉落</v>
      </c>
      <c r="C761" s="8" t="str">
        <f>材料产出!$H$2</f>
        <v>经验</v>
      </c>
      <c r="D761" s="224">
        <f>参数调整!$K$35*怪物掉落配置方案!$D4865</f>
        <v>866600</v>
      </c>
    </row>
    <row r="762" spans="1:4" ht="16.5" hidden="1" x14ac:dyDescent="0.3">
      <c r="A762" s="10" t="str">
        <f>基本属性!$B$7&amp;"|"&amp;基本属性!$C$7</f>
        <v>60|0</v>
      </c>
      <c r="B762" s="10" t="str">
        <f>参数调整!$J$35</f>
        <v>BOSS掉落</v>
      </c>
      <c r="C762" s="8" t="str">
        <f>材料产出!$H$2</f>
        <v>经验</v>
      </c>
      <c r="D762" s="224">
        <f>参数调整!$K$35*怪物掉落配置方案!$D4866</f>
        <v>1083400</v>
      </c>
    </row>
    <row r="763" spans="1:4" ht="16.5" hidden="1" x14ac:dyDescent="0.3">
      <c r="A763" s="10" t="str">
        <f>基本属性!$B$8&amp;"|"&amp;基本属性!$C$8</f>
        <v>65|0</v>
      </c>
      <c r="B763" s="10" t="str">
        <f>参数调整!$J$35</f>
        <v>BOSS掉落</v>
      </c>
      <c r="C763" s="8" t="str">
        <f>材料产出!$H$2</f>
        <v>经验</v>
      </c>
      <c r="D763" s="224">
        <f>参数调整!$K$35*怪物掉落配置方案!$D4867</f>
        <v>1088800</v>
      </c>
    </row>
    <row r="764" spans="1:4" ht="16.5" hidden="1" x14ac:dyDescent="0.3">
      <c r="A764" s="10" t="str">
        <f>基本属性!$B$9&amp;"|"&amp;基本属性!$C$9</f>
        <v>70|0</v>
      </c>
      <c r="B764" s="10" t="str">
        <f>参数调整!$J$35</f>
        <v>BOSS掉落</v>
      </c>
      <c r="C764" s="8" t="str">
        <f>材料产出!$H$2</f>
        <v>经验</v>
      </c>
      <c r="D764" s="224">
        <f>参数调整!$K$35*怪物掉落配置方案!$D4868</f>
        <v>1114800</v>
      </c>
    </row>
    <row r="765" spans="1:4" ht="16.5" hidden="1" x14ac:dyDescent="0.3">
      <c r="A765" s="10" t="str">
        <f>基本属性!$B$10&amp;"|"&amp;基本属性!$C$10</f>
        <v>75|0</v>
      </c>
      <c r="B765" s="10" t="str">
        <f>参数调整!$J$35</f>
        <v>BOSS掉落</v>
      </c>
      <c r="C765" s="8" t="str">
        <f>材料产出!$H$2</f>
        <v>经验</v>
      </c>
      <c r="D765" s="224">
        <f>参数调整!$K$35*怪物掉落配置方案!$D4869</f>
        <v>1258200</v>
      </c>
    </row>
    <row r="766" spans="1:4" ht="16.5" hidden="1" x14ac:dyDescent="0.3">
      <c r="A766" s="10" t="str">
        <f>基本属性!$B$11&amp;"|"&amp;基本属性!$C$11</f>
        <v>80|1</v>
      </c>
      <c r="B766" s="10" t="str">
        <f>参数调整!$J$35</f>
        <v>BOSS掉落</v>
      </c>
      <c r="C766" s="8" t="str">
        <f>材料产出!$H$2</f>
        <v>经验</v>
      </c>
      <c r="D766" s="224">
        <f>参数调整!$K$35*怪物掉落配置方案!$D4870</f>
        <v>2016200</v>
      </c>
    </row>
    <row r="767" spans="1:4" ht="16.5" hidden="1" x14ac:dyDescent="0.3">
      <c r="A767" s="10" t="str">
        <f>基本属性!$B$12&amp;"|"&amp;基本属性!$C$12</f>
        <v>90|2</v>
      </c>
      <c r="B767" s="10" t="str">
        <f>参数调整!$J$35</f>
        <v>BOSS掉落</v>
      </c>
      <c r="C767" s="8" t="str">
        <f>材料产出!$H$2</f>
        <v>经验</v>
      </c>
      <c r="D767" s="224">
        <f>参数调整!$K$35*怪物掉落配置方案!$D4871</f>
        <v>3467000</v>
      </c>
    </row>
    <row r="768" spans="1:4" ht="16.5" hidden="1" x14ac:dyDescent="0.3">
      <c r="A768" s="10" t="str">
        <f>基本属性!$B$13&amp;"|"&amp;基本属性!$C$13</f>
        <v>100|3</v>
      </c>
      <c r="B768" s="10" t="str">
        <f>参数调整!$J$35</f>
        <v>BOSS掉落</v>
      </c>
      <c r="C768" s="8" t="str">
        <f>材料产出!$H$2</f>
        <v>经验</v>
      </c>
      <c r="D768" s="224">
        <f>参数调整!$K$35*怪物掉落配置方案!$D4872</f>
        <v>4079400</v>
      </c>
    </row>
    <row r="769" spans="1:4" ht="16.5" hidden="1" x14ac:dyDescent="0.3">
      <c r="A769" s="10" t="str">
        <f>基本属性!$B$14&amp;"|"&amp;基本属性!$C$14</f>
        <v>105|4</v>
      </c>
      <c r="B769" s="10" t="str">
        <f>参数调整!$J$35</f>
        <v>BOSS掉落</v>
      </c>
      <c r="C769" s="8" t="str">
        <f>材料产出!$H$2</f>
        <v>经验</v>
      </c>
      <c r="D769" s="224">
        <f>参数调整!$K$35*怪物掉落配置方案!$D4873</f>
        <v>6300000</v>
      </c>
    </row>
    <row r="770" spans="1:4" ht="16.5" hidden="1" x14ac:dyDescent="0.3">
      <c r="A770" s="10" t="str">
        <f>基本属性!$B$15&amp;"|"&amp;基本属性!$C$15</f>
        <v>110|5</v>
      </c>
      <c r="B770" s="10" t="str">
        <f>参数调整!$J$35</f>
        <v>BOSS掉落</v>
      </c>
      <c r="C770" s="8" t="str">
        <f>材料产出!$H$2</f>
        <v>经验</v>
      </c>
      <c r="D770" s="224">
        <f>参数调整!$K$35*怪物掉落配置方案!$D4874</f>
        <v>6511200</v>
      </c>
    </row>
    <row r="771" spans="1:4" ht="16.5" hidden="1" x14ac:dyDescent="0.3">
      <c r="A771" s="10" t="str">
        <f>基本属性!$B$16&amp;"|"&amp;基本属性!$C$16</f>
        <v>120|6</v>
      </c>
      <c r="B771" s="10" t="str">
        <f>参数调整!$J$35</f>
        <v>BOSS掉落</v>
      </c>
      <c r="C771" s="8" t="str">
        <f>材料产出!$H$2</f>
        <v>经验</v>
      </c>
      <c r="D771" s="224">
        <f>参数调整!$K$35*怪物掉落配置方案!$D4875</f>
        <v>25962800</v>
      </c>
    </row>
    <row r="772" spans="1:4" ht="16.5" hidden="1" x14ac:dyDescent="0.3">
      <c r="A772" s="10" t="str">
        <f>基本属性!$B$17&amp;"|"&amp;基本属性!$C$17</f>
        <v>135|7</v>
      </c>
      <c r="B772" s="10" t="str">
        <f>参数调整!$J$35</f>
        <v>BOSS掉落</v>
      </c>
      <c r="C772" s="8" t="str">
        <f>材料产出!$H$2</f>
        <v>经验</v>
      </c>
      <c r="D772" s="224">
        <f>参数调整!$K$35*怪物掉落配置方案!$D4876</f>
        <v>88883400</v>
      </c>
    </row>
    <row r="773" spans="1:4" ht="16.5" hidden="1" x14ac:dyDescent="0.3">
      <c r="A773" s="10" t="str">
        <f>基本属性!$B$18&amp;"|"&amp;基本属性!$C$18</f>
        <v>155|8</v>
      </c>
      <c r="B773" s="10" t="str">
        <f>参数调整!$J$35</f>
        <v>BOSS掉落</v>
      </c>
      <c r="C773" s="8" t="str">
        <f>材料产出!$H$2</f>
        <v>经验</v>
      </c>
      <c r="D773" s="224">
        <f>参数调整!$K$35*怪物掉落配置方案!$D4877</f>
        <v>1073677800</v>
      </c>
    </row>
    <row r="774" spans="1:4" ht="16.5" hidden="1" x14ac:dyDescent="0.3">
      <c r="A774" s="10" t="str">
        <f>基本属性!$B$19&amp;"|"&amp;基本属性!$C$19</f>
        <v>190|9</v>
      </c>
      <c r="B774" s="10" t="str">
        <f>参数调整!$J$35</f>
        <v>BOSS掉落</v>
      </c>
      <c r="C774" s="8" t="str">
        <f>材料产出!$H$2</f>
        <v>经验</v>
      </c>
      <c r="D774" s="224">
        <f>参数调整!$K$35*怪物掉落配置方案!$D4878</f>
        <v>976293400</v>
      </c>
    </row>
    <row r="775" spans="1:4" ht="16.5" hidden="1" x14ac:dyDescent="0.3">
      <c r="A775" s="10" t="str">
        <f>基本属性!$B$20&amp;"|"&amp;基本属性!$C$20</f>
        <v>200|10</v>
      </c>
      <c r="B775" s="10" t="str">
        <f>参数调整!$J$35</f>
        <v>BOSS掉落</v>
      </c>
      <c r="C775" s="8" t="str">
        <f>材料产出!$H$2</f>
        <v>经验</v>
      </c>
      <c r="D775" s="224">
        <f>参数调整!$K$35*怪物掉落配置方案!$D4879</f>
        <v>1166666600</v>
      </c>
    </row>
    <row r="776" spans="1:4" ht="16.5" hidden="1" x14ac:dyDescent="0.3">
      <c r="A776" s="10" t="str">
        <f>基本属性!$B$21&amp;"|"&amp;基本属性!$C$21</f>
        <v>200|11</v>
      </c>
      <c r="B776" s="10" t="str">
        <f>参数调整!$J$35</f>
        <v>BOSS掉落</v>
      </c>
      <c r="C776" s="8" t="str">
        <f>材料产出!$H$2</f>
        <v>经验</v>
      </c>
      <c r="D776" s="224">
        <f>参数调整!$K$35*怪物掉落配置方案!$D4880</f>
        <v>233333400</v>
      </c>
    </row>
    <row r="777" spans="1:4" ht="16.5" hidden="1" x14ac:dyDescent="0.3">
      <c r="A777" s="10" t="str">
        <f>基本属性!$B$22&amp;"|"&amp;基本属性!$C$22</f>
        <v>210|12</v>
      </c>
      <c r="B777" s="10" t="str">
        <f>参数调整!$J$35</f>
        <v>BOSS掉落</v>
      </c>
      <c r="C777" s="8" t="str">
        <f>材料产出!$H$2</f>
        <v>经验</v>
      </c>
      <c r="D777" s="224">
        <f>参数调整!$K$35*怪物掉落配置方案!$D4881</f>
        <v>233333400</v>
      </c>
    </row>
    <row r="778" spans="1:4" ht="16.5" hidden="1" x14ac:dyDescent="0.3">
      <c r="A778" s="10" t="str">
        <f>基本属性!$B$23&amp;"|"&amp;基本属性!$C$23</f>
        <v>210|13</v>
      </c>
      <c r="B778" s="10" t="str">
        <f>参数调整!$J$35</f>
        <v>BOSS掉落</v>
      </c>
      <c r="C778" s="8" t="str">
        <f>材料产出!$H$2</f>
        <v>经验</v>
      </c>
      <c r="D778" s="224">
        <f>参数调整!$K$35*怪物掉落配置方案!$D4882</f>
        <v>233333400</v>
      </c>
    </row>
    <row r="779" spans="1:4" ht="16.5" hidden="1" x14ac:dyDescent="0.3">
      <c r="A779" s="10" t="str">
        <f>基本属性!$B$24&amp;"|"&amp;基本属性!$C$24</f>
        <v>220|14</v>
      </c>
      <c r="B779" s="10" t="str">
        <f>参数调整!$J$35</f>
        <v>BOSS掉落</v>
      </c>
      <c r="C779" s="8" t="str">
        <f>材料产出!$H$2</f>
        <v>经验</v>
      </c>
      <c r="D779" s="224">
        <f>参数调整!$K$35*怪物掉落配置方案!$D4883</f>
        <v>233333400</v>
      </c>
    </row>
    <row r="780" spans="1:4" ht="16.5" hidden="1" x14ac:dyDescent="0.3">
      <c r="A780" s="10" t="str">
        <f>基本属性!$B$25&amp;"|"&amp;基本属性!$C$25</f>
        <v>220|15</v>
      </c>
      <c r="B780" s="10" t="str">
        <f>参数调整!$J$35</f>
        <v>BOSS掉落</v>
      </c>
      <c r="C780" s="8" t="str">
        <f>材料产出!$H$2</f>
        <v>经验</v>
      </c>
      <c r="D780" s="224">
        <f>参数调整!$K$35*怪物掉落配置方案!$D4884</f>
        <v>233333400</v>
      </c>
    </row>
    <row r="781" spans="1:4" ht="16.5" hidden="1" x14ac:dyDescent="0.3">
      <c r="A781" s="10" t="str">
        <f>基本属性!$B$26&amp;"|"&amp;基本属性!$C$26</f>
        <v>230|16</v>
      </c>
      <c r="B781" s="10" t="str">
        <f>参数调整!$J$35</f>
        <v>BOSS掉落</v>
      </c>
      <c r="C781" s="8" t="str">
        <f>材料产出!$H$2</f>
        <v>经验</v>
      </c>
      <c r="D781" s="224">
        <f>参数调整!$K$35*怪物掉落配置方案!$D4885</f>
        <v>116666600</v>
      </c>
    </row>
    <row r="782" spans="1:4" ht="16.5" hidden="1" x14ac:dyDescent="0.3">
      <c r="A782" s="10" t="str">
        <f>基本属性!$B$27&amp;"|"&amp;基本属性!$C$27</f>
        <v>230|17</v>
      </c>
      <c r="B782" s="10" t="str">
        <f>参数调整!$J$35</f>
        <v>BOSS掉落</v>
      </c>
      <c r="C782" s="8" t="str">
        <f>材料产出!$H$2</f>
        <v>经验</v>
      </c>
      <c r="D782" s="224">
        <f>参数调整!$K$35*怪物掉落配置方案!$D4886</f>
        <v>116666600</v>
      </c>
    </row>
    <row r="783" spans="1:4" ht="16.5" hidden="1" x14ac:dyDescent="0.3">
      <c r="A783" s="10" t="str">
        <f>基本属性!$B$28&amp;"|"&amp;基本属性!$C$28</f>
        <v>240|18</v>
      </c>
      <c r="B783" s="10" t="str">
        <f>参数调整!$J$35</f>
        <v>BOSS掉落</v>
      </c>
      <c r="C783" s="8" t="str">
        <f>材料产出!$H$2</f>
        <v>经验</v>
      </c>
      <c r="D783" s="224">
        <f>参数调整!$K$35*怪物掉落配置方案!$D4887</f>
        <v>116666600</v>
      </c>
    </row>
    <row r="784" spans="1:4" ht="16.5" hidden="1" x14ac:dyDescent="0.3">
      <c r="A784" s="10" t="str">
        <f>基本属性!$B$29&amp;"|"&amp;基本属性!$C$29</f>
        <v>240|19</v>
      </c>
      <c r="B784" s="10" t="str">
        <f>参数调整!$J$35</f>
        <v>BOSS掉落</v>
      </c>
      <c r="C784" s="8" t="str">
        <f>材料产出!$H$2</f>
        <v>经验</v>
      </c>
      <c r="D784" s="224">
        <f>参数调整!$K$35*怪物掉落配置方案!$D4888</f>
        <v>116666600</v>
      </c>
    </row>
    <row r="785" spans="1:4" ht="16.5" hidden="1" x14ac:dyDescent="0.3">
      <c r="A785" s="10" t="str">
        <f>基本属性!$B$30&amp;"|"&amp;基本属性!$C$30</f>
        <v>250|20</v>
      </c>
      <c r="B785" s="10" t="str">
        <f>参数调整!$J$35</f>
        <v>BOSS掉落</v>
      </c>
      <c r="C785" s="8" t="str">
        <f>材料产出!$H$2</f>
        <v>经验</v>
      </c>
      <c r="D785" s="224">
        <f>参数调整!$K$35*怪物掉落配置方案!$D4889</f>
        <v>116666600</v>
      </c>
    </row>
    <row r="786" spans="1:4" ht="16.5" hidden="1" x14ac:dyDescent="0.3">
      <c r="A786" s="10" t="str">
        <f>基本属性!$B$4&amp;"|"&amp;基本属性!$C$4</f>
        <v>35|0</v>
      </c>
      <c r="B786" s="10" t="str">
        <f>参数调整!$J$35</f>
        <v>BOSS掉落</v>
      </c>
      <c r="C786" s="8" t="str">
        <f>材料产出!$AN$2</f>
        <v>极品注灵石</v>
      </c>
      <c r="D786" s="224">
        <f>参数调整!$K$35*怪物掉落配置方案!$D4890</f>
        <v>0.10368820578847134</v>
      </c>
    </row>
    <row r="787" spans="1:4" ht="16.5" hidden="1" x14ac:dyDescent="0.3">
      <c r="A787" s="10" t="str">
        <f>基本属性!$B$5&amp;"|"&amp;基本属性!$C$5</f>
        <v>40|0</v>
      </c>
      <c r="B787" s="10" t="str">
        <f>参数调整!$J$35</f>
        <v>BOSS掉落</v>
      </c>
      <c r="C787" s="8" t="str">
        <f>材料产出!$AN$2</f>
        <v>极品注灵石</v>
      </c>
      <c r="D787" s="224">
        <f>参数调整!$K$35*怪物掉落配置方案!$D4891</f>
        <v>0.13123038545103402</v>
      </c>
    </row>
    <row r="788" spans="1:4" ht="16.5" hidden="1" x14ac:dyDescent="0.3">
      <c r="A788" s="10" t="str">
        <f>基本属性!$B$6&amp;"|"&amp;基本属性!$C$6</f>
        <v>50|0</v>
      </c>
      <c r="B788" s="10" t="str">
        <f>参数调整!$J$35</f>
        <v>BOSS掉落</v>
      </c>
      <c r="C788" s="8" t="str">
        <f>材料产出!$AN$2</f>
        <v>极品注灵石</v>
      </c>
      <c r="D788" s="224">
        <f>参数调整!$K$35*怪物掉落配置方案!$D4892</f>
        <v>0.16201282154448646</v>
      </c>
    </row>
    <row r="789" spans="1:4" ht="16.5" hidden="1" x14ac:dyDescent="0.3">
      <c r="A789" s="10" t="str">
        <f>基本属性!$B$7&amp;"|"&amp;基本属性!$C$7</f>
        <v>60|0</v>
      </c>
      <c r="B789" s="10" t="str">
        <f>参数调整!$J$35</f>
        <v>BOSS掉落</v>
      </c>
      <c r="C789" s="8" t="str">
        <f>材料产出!$AN$2</f>
        <v>极品注灵石</v>
      </c>
      <c r="D789" s="224">
        <f>参数调整!$K$35*怪物掉落配置方案!$D4893</f>
        <v>0.19603551406882866</v>
      </c>
    </row>
    <row r="790" spans="1:4" ht="16.5" hidden="1" x14ac:dyDescent="0.3">
      <c r="A790" s="10" t="str">
        <f>基本属性!$B$8&amp;"|"&amp;基本属性!$C$8</f>
        <v>65|0</v>
      </c>
      <c r="B790" s="10" t="str">
        <f>参数调整!$J$35</f>
        <v>BOSS掉落</v>
      </c>
      <c r="C790" s="8" t="str">
        <f>材料产出!$AN$2</f>
        <v>极品注灵石</v>
      </c>
      <c r="D790" s="224">
        <f>参数调整!$K$35*怪物掉落配置方案!$D4894</f>
        <v>0.23329846302406046</v>
      </c>
    </row>
    <row r="791" spans="1:4" ht="16.5" hidden="1" x14ac:dyDescent="0.3">
      <c r="A791" s="10" t="str">
        <f>基本属性!$B$9&amp;"|"&amp;基本属性!$C$9</f>
        <v>70|0</v>
      </c>
      <c r="B791" s="10" t="str">
        <f>参数调整!$J$35</f>
        <v>BOSS掉落</v>
      </c>
      <c r="C791" s="8" t="str">
        <f>材料产出!$AN$2</f>
        <v>极品注灵石</v>
      </c>
      <c r="D791" s="224">
        <f>参数调整!$K$35*怪物掉落配置方案!$D4895</f>
        <v>0.27380166841018216</v>
      </c>
    </row>
    <row r="792" spans="1:4" ht="16.5" hidden="1" x14ac:dyDescent="0.3">
      <c r="A792" s="10" t="str">
        <f>基本属性!$B$10&amp;"|"&amp;基本属性!$C$10</f>
        <v>75|0</v>
      </c>
      <c r="B792" s="10" t="str">
        <f>参数调整!$J$35</f>
        <v>BOSS掉落</v>
      </c>
      <c r="C792" s="8" t="str">
        <f>材料产出!$AN$2</f>
        <v>极品注灵石</v>
      </c>
      <c r="D792" s="224">
        <f>参数调整!$K$35*怪物掉落配置方案!$D4896</f>
        <v>0.31754513022719338</v>
      </c>
    </row>
    <row r="793" spans="1:4" ht="16.5" hidden="1" x14ac:dyDescent="0.3">
      <c r="A793" s="10" t="str">
        <f>基本属性!$B$11&amp;"|"&amp;基本属性!$C$11</f>
        <v>80|1</v>
      </c>
      <c r="B793" s="10" t="str">
        <f>参数调整!$J$35</f>
        <v>BOSS掉落</v>
      </c>
      <c r="C793" s="8" t="str">
        <f>材料产出!$AN$2</f>
        <v>极品注灵石</v>
      </c>
      <c r="D793" s="224">
        <f>参数调整!$K$35*怪物掉落配置方案!$D4897</f>
        <v>0.36452884847509454</v>
      </c>
    </row>
    <row r="794" spans="1:4" ht="16.5" hidden="1" x14ac:dyDescent="0.3">
      <c r="A794" s="10" t="str">
        <f>基本属性!$B$12&amp;"|"&amp;基本属性!$C$12</f>
        <v>90|2</v>
      </c>
      <c r="B794" s="10" t="str">
        <f>参数调整!$J$35</f>
        <v>BOSS掉落</v>
      </c>
      <c r="C794" s="8" t="str">
        <f>材料产出!$AN$2</f>
        <v>极品注灵石</v>
      </c>
      <c r="D794" s="224">
        <f>参数调整!$K$35*怪物掉落配置方案!$D4898</f>
        <v>0.4147528231538854</v>
      </c>
    </row>
    <row r="795" spans="1:4" ht="16.5" hidden="1" x14ac:dyDescent="0.3">
      <c r="A795" s="10" t="str">
        <f>基本属性!$B$13&amp;"|"&amp;基本属性!$C$13</f>
        <v>100|3</v>
      </c>
      <c r="B795" s="10" t="str">
        <f>参数调整!$J$35</f>
        <v>BOSS掉落</v>
      </c>
      <c r="C795" s="8" t="str">
        <f>材料产出!$AN$2</f>
        <v>极品注灵石</v>
      </c>
      <c r="D795" s="224">
        <f>参数调整!$K$35*怪物掉落配置方案!$D4899</f>
        <v>0.52492154180413619</v>
      </c>
    </row>
    <row r="796" spans="1:4" ht="16.5" hidden="1" x14ac:dyDescent="0.3">
      <c r="A796" s="10" t="str">
        <f>基本属性!$B$14&amp;"|"&amp;基本属性!$C$14</f>
        <v>105|4</v>
      </c>
      <c r="B796" s="10" t="str">
        <f>参数调整!$J$35</f>
        <v>BOSS掉落</v>
      </c>
      <c r="C796" s="8" t="str">
        <f>材料产出!$AN$2</f>
        <v>极品注灵石</v>
      </c>
      <c r="D796" s="224">
        <f>参数调整!$K$35*怪物掉落配置方案!$D4900</f>
        <v>0.64805128617794583</v>
      </c>
    </row>
    <row r="797" spans="1:4" ht="16.5" hidden="1" x14ac:dyDescent="0.3">
      <c r="A797" s="10" t="str">
        <f>基本属性!$B$15&amp;"|"&amp;基本属性!$C$15</f>
        <v>110|5</v>
      </c>
      <c r="B797" s="10" t="str">
        <f>参数调整!$J$35</f>
        <v>BOSS掉落</v>
      </c>
      <c r="C797" s="8" t="str">
        <f>材料产出!$AN$2</f>
        <v>极品注灵石</v>
      </c>
      <c r="D797" s="224">
        <f>参数调整!$K$35*怪物掉落配置方案!$D4901</f>
        <v>0.78414205627531464</v>
      </c>
    </row>
    <row r="798" spans="1:4" ht="16.5" hidden="1" x14ac:dyDescent="0.3">
      <c r="A798" s="10" t="str">
        <f>基本属性!$B$16&amp;"|"&amp;基本属性!$C$16</f>
        <v>120|6</v>
      </c>
      <c r="B798" s="10" t="str">
        <f>参数调整!$J$35</f>
        <v>BOSS掉落</v>
      </c>
      <c r="C798" s="8" t="str">
        <f>材料产出!$AN$2</f>
        <v>极品注灵石</v>
      </c>
      <c r="D798" s="224">
        <f>参数调整!$K$35*怪物掉落配置方案!$D4902</f>
        <v>1.0125801346530403</v>
      </c>
    </row>
    <row r="799" spans="1:4" ht="16.5" hidden="1" x14ac:dyDescent="0.3">
      <c r="A799" s="10" t="str">
        <f>基本属性!$B$17&amp;"|"&amp;基本属性!$C$17</f>
        <v>135|7</v>
      </c>
      <c r="B799" s="10" t="str">
        <f>参数调整!$J$35</f>
        <v>BOSS掉落</v>
      </c>
      <c r="C799" s="8" t="str">
        <f>材料产出!$AN$2</f>
        <v>极品注灵石</v>
      </c>
      <c r="D799" s="224">
        <f>参数调整!$K$35*怪物掉落配置方案!$D4903</f>
        <v>1.4581153939003781</v>
      </c>
    </row>
    <row r="800" spans="1:4" ht="16.5" hidden="1" x14ac:dyDescent="0.3">
      <c r="A800" s="10" t="str">
        <f>基本属性!$B$18&amp;"|"&amp;基本属性!$C$18</f>
        <v>155|8</v>
      </c>
      <c r="B800" s="10" t="str">
        <f>参数调整!$J$35</f>
        <v>BOSS掉落</v>
      </c>
      <c r="C800" s="8" t="str">
        <f>材料产出!$AN$2</f>
        <v>极品注灵石</v>
      </c>
      <c r="D800" s="224">
        <f>参数调整!$K$35*怪物掉落配置方案!$D4904</f>
        <v>1.9846570639199594</v>
      </c>
    </row>
    <row r="801" spans="1:4" ht="16.5" hidden="1" x14ac:dyDescent="0.3">
      <c r="A801" s="10" t="str">
        <f>基本属性!$B$19&amp;"|"&amp;基本属性!$C$19</f>
        <v>190|9</v>
      </c>
      <c r="B801" s="10" t="str">
        <f>参数调整!$J$35</f>
        <v>BOSS掉落</v>
      </c>
      <c r="C801" s="8" t="str">
        <f>材料产出!$AN$2</f>
        <v>极品注灵石</v>
      </c>
      <c r="D801" s="224">
        <f>参数调整!$K$35*怪物掉落配置方案!$D4905</f>
        <v>2.2179555269440199</v>
      </c>
    </row>
    <row r="802" spans="1:4" ht="16.5" hidden="1" x14ac:dyDescent="0.3">
      <c r="A802" s="10" t="str">
        <f>基本属性!$B$20&amp;"|"&amp;基本属性!$C$20</f>
        <v>200|10</v>
      </c>
      <c r="B802" s="10" t="str">
        <f>参数调整!$J$35</f>
        <v>BOSS掉落</v>
      </c>
      <c r="C802" s="8" t="str">
        <f>材料产出!$AN$2</f>
        <v>极品注灵石</v>
      </c>
      <c r="D802" s="224">
        <f>参数调整!$K$35*怪物掉落配置方案!$D4906</f>
        <v>2.5922051447117833</v>
      </c>
    </row>
    <row r="803" spans="1:4" ht="16.5" hidden="1" x14ac:dyDescent="0.3">
      <c r="A803" s="10" t="str">
        <f>基本属性!$B$21&amp;"|"&amp;基本属性!$C$21</f>
        <v>200|11</v>
      </c>
      <c r="B803" s="10" t="str">
        <f>参数调整!$J$35</f>
        <v>BOSS掉落</v>
      </c>
      <c r="C803" s="8" t="str">
        <f>材料产出!$AN$2</f>
        <v>极品注灵石</v>
      </c>
      <c r="D803" s="224">
        <f>参数调整!$K$35*怪物掉落配置方案!$D4907</f>
        <v>2.9956170703575538</v>
      </c>
    </row>
    <row r="804" spans="1:4" ht="16.5" hidden="1" x14ac:dyDescent="0.3">
      <c r="A804" s="10" t="str">
        <f>基本属性!$B$22&amp;"|"&amp;基本属性!$C$22</f>
        <v>210|12</v>
      </c>
      <c r="B804" s="10" t="str">
        <f>参数调整!$J$35</f>
        <v>BOSS掉落</v>
      </c>
      <c r="C804" s="8" t="str">
        <f>材料产出!$AN$2</f>
        <v>极品注灵石</v>
      </c>
      <c r="D804" s="224">
        <f>参数调整!$K$35*怪物掉落配置方案!$D4908</f>
        <v>3.428191303881333</v>
      </c>
    </row>
    <row r="805" spans="1:4" ht="16.5" hidden="1" x14ac:dyDescent="0.3">
      <c r="A805" s="10" t="str">
        <f>基本属性!$B$23&amp;"|"&amp;基本属性!$C$23</f>
        <v>210|13</v>
      </c>
      <c r="B805" s="10" t="str">
        <f>参数调整!$J$35</f>
        <v>BOSS掉落</v>
      </c>
      <c r="C805" s="8" t="str">
        <f>材料产出!$AN$2</f>
        <v>极品注灵石</v>
      </c>
      <c r="D805" s="224">
        <f>参数调整!$K$35*怪物掉落配置方案!$D4909</f>
        <v>3.8899278452831201</v>
      </c>
    </row>
    <row r="806" spans="1:4" ht="16.5" hidden="1" x14ac:dyDescent="0.3">
      <c r="A806" s="10" t="str">
        <f>基本属性!$B$24&amp;"|"&amp;基本属性!$C$24</f>
        <v>220|14</v>
      </c>
      <c r="B806" s="10" t="str">
        <f>参数调整!$J$35</f>
        <v>BOSS掉落</v>
      </c>
      <c r="C806" s="8" t="str">
        <f>材料产出!$AN$2</f>
        <v>极品注灵石</v>
      </c>
      <c r="D806" s="224">
        <f>参数调整!$K$35*怪物掉落配置方案!$D4910</f>
        <v>4.3808266945629146</v>
      </c>
    </row>
    <row r="807" spans="1:4" ht="16.5" hidden="1" x14ac:dyDescent="0.3">
      <c r="A807" s="10" t="str">
        <f>基本属性!$B$25&amp;"|"&amp;基本属性!$C$25</f>
        <v>220|15</v>
      </c>
      <c r="B807" s="10" t="str">
        <f>参数调整!$J$35</f>
        <v>BOSS掉落</v>
      </c>
      <c r="C807" s="8" t="str">
        <f>材料产出!$AN$2</f>
        <v>极品注灵石</v>
      </c>
      <c r="D807" s="224">
        <f>参数调整!$K$35*怪物掉落配置方案!$D4911</f>
        <v>4.9008878517207144</v>
      </c>
    </row>
    <row r="808" spans="1:4" ht="16.5" hidden="1" x14ac:dyDescent="0.3">
      <c r="A808" s="10" t="str">
        <f>基本属性!$B$26&amp;"|"&amp;基本属性!$C$26</f>
        <v>230|16</v>
      </c>
      <c r="B808" s="10" t="str">
        <f>参数调整!$J$35</f>
        <v>BOSS掉落</v>
      </c>
      <c r="C808" s="8" t="str">
        <f>材料产出!$AN$2</f>
        <v>极品注灵石</v>
      </c>
      <c r="D808" s="224">
        <f>参数调整!$K$35*怪物掉落配置方案!$D4912</f>
        <v>5.4501113167565238</v>
      </c>
    </row>
    <row r="809" spans="1:4" ht="16.5" hidden="1" x14ac:dyDescent="0.3">
      <c r="A809" s="10" t="str">
        <f>基本属性!$B$27&amp;"|"&amp;基本属性!$C$27</f>
        <v>230|17</v>
      </c>
      <c r="B809" s="10" t="str">
        <f>参数调整!$J$35</f>
        <v>BOSS掉落</v>
      </c>
      <c r="C809" s="8" t="str">
        <f>材料产出!$AN$2</f>
        <v>极品注灵石</v>
      </c>
      <c r="D809" s="224">
        <f>参数调整!$K$35*怪物掉落配置方案!$D4913</f>
        <v>6.0284970896703403</v>
      </c>
    </row>
    <row r="810" spans="1:4" ht="16.5" hidden="1" x14ac:dyDescent="0.3">
      <c r="A810" s="10" t="str">
        <f>基本属性!$B$28&amp;"|"&amp;基本属性!$C$28</f>
        <v>240|18</v>
      </c>
      <c r="B810" s="10" t="str">
        <f>参数调整!$J$35</f>
        <v>BOSS掉落</v>
      </c>
      <c r="C810" s="8" t="str">
        <f>材料产出!$AN$2</f>
        <v>极品注灵石</v>
      </c>
      <c r="D810" s="224">
        <f>参数调整!$K$35*怪物掉落配置方案!$D4914</f>
        <v>6.6360451704621664</v>
      </c>
    </row>
    <row r="811" spans="1:4" ht="16.5" hidden="1" x14ac:dyDescent="0.3">
      <c r="A811" s="10" t="str">
        <f>基本属性!$B$29&amp;"|"&amp;基本属性!$C$29</f>
        <v>240|19</v>
      </c>
      <c r="B811" s="10" t="str">
        <f>参数调整!$J$35</f>
        <v>BOSS掉落</v>
      </c>
      <c r="C811" s="8" t="str">
        <f>材料产出!$AN$2</f>
        <v>极品注灵石</v>
      </c>
      <c r="D811" s="224">
        <f>参数调整!$K$35*怪物掉落配置方案!$D4915</f>
        <v>7.2727555591319977</v>
      </c>
    </row>
    <row r="812" spans="1:4" ht="16.5" hidden="1" x14ac:dyDescent="0.3">
      <c r="A812" s="10" t="str">
        <f>基本属性!$B$30&amp;"|"&amp;基本属性!$C$30</f>
        <v>250|20</v>
      </c>
      <c r="B812" s="10" t="str">
        <f>参数调整!$J$35</f>
        <v>BOSS掉落</v>
      </c>
      <c r="C812" s="8" t="str">
        <f>材料产出!$AN$2</f>
        <v>极品注灵石</v>
      </c>
      <c r="D812" s="224">
        <f>参数调整!$K$35*怪物掉落配置方案!$D4916</f>
        <v>7.9386282556798342</v>
      </c>
    </row>
    <row r="813" spans="1:4" ht="16.5" hidden="1" x14ac:dyDescent="0.3">
      <c r="A813" s="10" t="str">
        <f>基本属性!$B$4&amp;"|"&amp;基本属性!$C$4</f>
        <v>35|0</v>
      </c>
      <c r="B813" s="10" t="str">
        <f>参数调整!$J$35</f>
        <v>BOSS掉落</v>
      </c>
      <c r="C813" s="8" t="str">
        <f>材料产出!$HV$2</f>
        <v>基本装备</v>
      </c>
      <c r="D813" s="224">
        <f>参数调整!$K$35*怪物掉落配置方案!$D4917</f>
        <v>0</v>
      </c>
    </row>
    <row r="814" spans="1:4" ht="16.5" hidden="1" x14ac:dyDescent="0.3">
      <c r="A814" s="10" t="str">
        <f>基本属性!$B$5&amp;"|"&amp;基本属性!$C$5</f>
        <v>40|0</v>
      </c>
      <c r="B814" s="10" t="str">
        <f>参数调整!$J$35</f>
        <v>BOSS掉落</v>
      </c>
      <c r="C814" s="8" t="str">
        <f>材料产出!$HV$2</f>
        <v>基本装备</v>
      </c>
      <c r="D814" s="224">
        <f>参数调整!$K$35*怪物掉落配置方案!$D4918</f>
        <v>0</v>
      </c>
    </row>
    <row r="815" spans="1:4" ht="16.5" hidden="1" x14ac:dyDescent="0.3">
      <c r="A815" s="10" t="str">
        <f>基本属性!$B$6&amp;"|"&amp;基本属性!$C$6</f>
        <v>50|0</v>
      </c>
      <c r="B815" s="10" t="str">
        <f>参数调整!$J$35</f>
        <v>BOSS掉落</v>
      </c>
      <c r="C815" s="8" t="str">
        <f>材料产出!$HV$2</f>
        <v>基本装备</v>
      </c>
      <c r="D815" s="224">
        <f>参数调整!$K$35*怪物掉落配置方案!$D4919</f>
        <v>0</v>
      </c>
    </row>
    <row r="816" spans="1:4" ht="16.5" hidden="1" x14ac:dyDescent="0.3">
      <c r="A816" s="10" t="str">
        <f>基本属性!$B$7&amp;"|"&amp;基本属性!$C$7</f>
        <v>60|0</v>
      </c>
      <c r="B816" s="10" t="str">
        <f>参数调整!$J$35</f>
        <v>BOSS掉落</v>
      </c>
      <c r="C816" s="8" t="str">
        <f>材料产出!$HV$2</f>
        <v>基本装备</v>
      </c>
      <c r="D816" s="224">
        <f>参数调整!$K$35*怪物掉落配置方案!$D4920</f>
        <v>0</v>
      </c>
    </row>
    <row r="817" spans="1:4" ht="16.5" hidden="1" x14ac:dyDescent="0.3">
      <c r="A817" s="10" t="str">
        <f>基本属性!$B$8&amp;"|"&amp;基本属性!$C$8</f>
        <v>65|0</v>
      </c>
      <c r="B817" s="10" t="str">
        <f>参数调整!$J$35</f>
        <v>BOSS掉落</v>
      </c>
      <c r="C817" s="8" t="str">
        <f>材料产出!$HV$2</f>
        <v>基本装备</v>
      </c>
      <c r="D817" s="224">
        <f>参数调整!$K$35*怪物掉落配置方案!$D4921</f>
        <v>0</v>
      </c>
    </row>
    <row r="818" spans="1:4" ht="16.5" hidden="1" x14ac:dyDescent="0.3">
      <c r="A818" s="10" t="str">
        <f>基本属性!$B$9&amp;"|"&amp;基本属性!$C$9</f>
        <v>70|0</v>
      </c>
      <c r="B818" s="10" t="str">
        <f>参数调整!$J$35</f>
        <v>BOSS掉落</v>
      </c>
      <c r="C818" s="8" t="str">
        <f>材料产出!$HV$2</f>
        <v>基本装备</v>
      </c>
      <c r="D818" s="224">
        <f>参数调整!$K$35*怪物掉落配置方案!$D4922</f>
        <v>0</v>
      </c>
    </row>
    <row r="819" spans="1:4" ht="16.5" hidden="1" x14ac:dyDescent="0.3">
      <c r="A819" s="10" t="str">
        <f>基本属性!$B$10&amp;"|"&amp;基本属性!$C$10</f>
        <v>75|0</v>
      </c>
      <c r="B819" s="10" t="str">
        <f>参数调整!$J$35</f>
        <v>BOSS掉落</v>
      </c>
      <c r="C819" s="8" t="str">
        <f>材料产出!$HV$2</f>
        <v>基本装备</v>
      </c>
      <c r="D819" s="224">
        <f>参数调整!$K$35*怪物掉落配置方案!$D4923</f>
        <v>0</v>
      </c>
    </row>
    <row r="820" spans="1:4" ht="16.5" hidden="1" x14ac:dyDescent="0.3">
      <c r="A820" s="10" t="str">
        <f>基本属性!$B$11&amp;"|"&amp;基本属性!$C$11</f>
        <v>80|1</v>
      </c>
      <c r="B820" s="10" t="str">
        <f>参数调整!$J$35</f>
        <v>BOSS掉落</v>
      </c>
      <c r="C820" s="8" t="str">
        <f>材料产出!$HV$2</f>
        <v>基本装备</v>
      </c>
      <c r="D820" s="224">
        <f>参数调整!$K$35*怪物掉落配置方案!$D4924</f>
        <v>0</v>
      </c>
    </row>
    <row r="821" spans="1:4" ht="16.5" hidden="1" x14ac:dyDescent="0.3">
      <c r="A821" s="10" t="str">
        <f>基本属性!$B$12&amp;"|"&amp;基本属性!$C$12</f>
        <v>90|2</v>
      </c>
      <c r="B821" s="10" t="str">
        <f>参数调整!$J$35</f>
        <v>BOSS掉落</v>
      </c>
      <c r="C821" s="8" t="str">
        <f>材料产出!$HV$2</f>
        <v>基本装备</v>
      </c>
      <c r="D821" s="224">
        <f>参数调整!$K$35*怪物掉落配置方案!$D4925</f>
        <v>0</v>
      </c>
    </row>
    <row r="822" spans="1:4" ht="16.5" hidden="1" x14ac:dyDescent="0.3">
      <c r="A822" s="10" t="str">
        <f>基本属性!$B$13&amp;"|"&amp;基本属性!$C$13</f>
        <v>100|3</v>
      </c>
      <c r="B822" s="10" t="str">
        <f>参数调整!$J$35</f>
        <v>BOSS掉落</v>
      </c>
      <c r="C822" s="8" t="str">
        <f>材料产出!$HV$2</f>
        <v>基本装备</v>
      </c>
      <c r="D822" s="224">
        <f>参数调整!$K$35*怪物掉落配置方案!$D4926</f>
        <v>0</v>
      </c>
    </row>
    <row r="823" spans="1:4" ht="16.5" hidden="1" x14ac:dyDescent="0.3">
      <c r="A823" s="10" t="str">
        <f>基本属性!$B$14&amp;"|"&amp;基本属性!$C$14</f>
        <v>105|4</v>
      </c>
      <c r="B823" s="10" t="str">
        <f>参数调整!$J$35</f>
        <v>BOSS掉落</v>
      </c>
      <c r="C823" s="8" t="str">
        <f>材料产出!$HV$2</f>
        <v>基本装备</v>
      </c>
      <c r="D823" s="224">
        <f>参数调整!$K$35*怪物掉落配置方案!$D4927</f>
        <v>0</v>
      </c>
    </row>
    <row r="824" spans="1:4" ht="16.5" hidden="1" x14ac:dyDescent="0.3">
      <c r="A824" s="10" t="str">
        <f>基本属性!$B$15&amp;"|"&amp;基本属性!$C$15</f>
        <v>110|5</v>
      </c>
      <c r="B824" s="10" t="str">
        <f>参数调整!$J$35</f>
        <v>BOSS掉落</v>
      </c>
      <c r="C824" s="8" t="str">
        <f>材料产出!$HV$2</f>
        <v>基本装备</v>
      </c>
      <c r="D824" s="224">
        <f>参数调整!$K$35*怪物掉落配置方案!$D4928</f>
        <v>0</v>
      </c>
    </row>
    <row r="825" spans="1:4" ht="16.5" hidden="1" x14ac:dyDescent="0.3">
      <c r="A825" s="10" t="str">
        <f>基本属性!$B$16&amp;"|"&amp;基本属性!$C$16</f>
        <v>120|6</v>
      </c>
      <c r="B825" s="10" t="str">
        <f>参数调整!$J$35</f>
        <v>BOSS掉落</v>
      </c>
      <c r="C825" s="8" t="str">
        <f>材料产出!$HV$2</f>
        <v>基本装备</v>
      </c>
      <c r="D825" s="224">
        <f>参数调整!$K$35*怪物掉落配置方案!$D4929</f>
        <v>0</v>
      </c>
    </row>
    <row r="826" spans="1:4" ht="16.5" hidden="1" x14ac:dyDescent="0.3">
      <c r="A826" s="10" t="str">
        <f>基本属性!$B$17&amp;"|"&amp;基本属性!$C$17</f>
        <v>135|7</v>
      </c>
      <c r="B826" s="10" t="str">
        <f>参数调整!$J$35</f>
        <v>BOSS掉落</v>
      </c>
      <c r="C826" s="8" t="str">
        <f>材料产出!$HV$2</f>
        <v>基本装备</v>
      </c>
      <c r="D826" s="224">
        <f>参数调整!$K$35*怪物掉落配置方案!$D4930</f>
        <v>0</v>
      </c>
    </row>
    <row r="827" spans="1:4" ht="16.5" hidden="1" x14ac:dyDescent="0.3">
      <c r="A827" s="10" t="str">
        <f>基本属性!$B$18&amp;"|"&amp;基本属性!$C$18</f>
        <v>155|8</v>
      </c>
      <c r="B827" s="10" t="str">
        <f>参数调整!$J$35</f>
        <v>BOSS掉落</v>
      </c>
      <c r="C827" s="8" t="str">
        <f>材料产出!$HV$2</f>
        <v>基本装备</v>
      </c>
      <c r="D827" s="224">
        <f>参数调整!$K$35*怪物掉落配置方案!$D4931</f>
        <v>0</v>
      </c>
    </row>
    <row r="828" spans="1:4" ht="16.5" hidden="1" x14ac:dyDescent="0.3">
      <c r="A828" s="10" t="str">
        <f>基本属性!$B$19&amp;"|"&amp;基本属性!$C$19</f>
        <v>190|9</v>
      </c>
      <c r="B828" s="10" t="str">
        <f>参数调整!$J$35</f>
        <v>BOSS掉落</v>
      </c>
      <c r="C828" s="8" t="str">
        <f>材料产出!$HV$2</f>
        <v>基本装备</v>
      </c>
      <c r="D828" s="224">
        <f>参数调整!$K$35*怪物掉落配置方案!$D4932</f>
        <v>0</v>
      </c>
    </row>
    <row r="829" spans="1:4" ht="16.5" hidden="1" x14ac:dyDescent="0.3">
      <c r="A829" s="10" t="str">
        <f>基本属性!$B$20&amp;"|"&amp;基本属性!$C$20</f>
        <v>200|10</v>
      </c>
      <c r="B829" s="10" t="str">
        <f>参数调整!$J$35</f>
        <v>BOSS掉落</v>
      </c>
      <c r="C829" s="8" t="str">
        <f>材料产出!$HV$2</f>
        <v>基本装备</v>
      </c>
      <c r="D829" s="224">
        <f>参数调整!$K$35*怪物掉落配置方案!$D4933</f>
        <v>0</v>
      </c>
    </row>
    <row r="830" spans="1:4" ht="16.5" hidden="1" x14ac:dyDescent="0.3">
      <c r="A830" s="10" t="str">
        <f>基本属性!$B$21&amp;"|"&amp;基本属性!$C$21</f>
        <v>200|11</v>
      </c>
      <c r="B830" s="10" t="str">
        <f>参数调整!$J$35</f>
        <v>BOSS掉落</v>
      </c>
      <c r="C830" s="8" t="str">
        <f>材料产出!$HV$2</f>
        <v>基本装备</v>
      </c>
      <c r="D830" s="224">
        <f>参数调整!$K$35*怪物掉落配置方案!$D4934</f>
        <v>0</v>
      </c>
    </row>
    <row r="831" spans="1:4" ht="16.5" hidden="1" x14ac:dyDescent="0.3">
      <c r="A831" s="10" t="str">
        <f>基本属性!$B$22&amp;"|"&amp;基本属性!$C$22</f>
        <v>210|12</v>
      </c>
      <c r="B831" s="10" t="str">
        <f>参数调整!$J$35</f>
        <v>BOSS掉落</v>
      </c>
      <c r="C831" s="8" t="str">
        <f>材料产出!$HV$2</f>
        <v>基本装备</v>
      </c>
      <c r="D831" s="224">
        <f>参数调整!$K$35*怪物掉落配置方案!$D4935</f>
        <v>0</v>
      </c>
    </row>
    <row r="832" spans="1:4" ht="16.5" hidden="1" x14ac:dyDescent="0.3">
      <c r="A832" s="10" t="str">
        <f>基本属性!$B$23&amp;"|"&amp;基本属性!$C$23</f>
        <v>210|13</v>
      </c>
      <c r="B832" s="10" t="str">
        <f>参数调整!$J$35</f>
        <v>BOSS掉落</v>
      </c>
      <c r="C832" s="8" t="str">
        <f>材料产出!$HV$2</f>
        <v>基本装备</v>
      </c>
      <c r="D832" s="224">
        <f>参数调整!$K$35*怪物掉落配置方案!$D4936</f>
        <v>0</v>
      </c>
    </row>
    <row r="833" spans="1:4" ht="16.5" hidden="1" x14ac:dyDescent="0.3">
      <c r="A833" s="10" t="str">
        <f>基本属性!$B$24&amp;"|"&amp;基本属性!$C$24</f>
        <v>220|14</v>
      </c>
      <c r="B833" s="10" t="str">
        <f>参数调整!$J$35</f>
        <v>BOSS掉落</v>
      </c>
      <c r="C833" s="8" t="str">
        <f>材料产出!$HV$2</f>
        <v>基本装备</v>
      </c>
      <c r="D833" s="224">
        <f>参数调整!$K$35*怪物掉落配置方案!$D4937</f>
        <v>0</v>
      </c>
    </row>
    <row r="834" spans="1:4" ht="16.5" hidden="1" x14ac:dyDescent="0.3">
      <c r="A834" s="10" t="str">
        <f>基本属性!$B$25&amp;"|"&amp;基本属性!$C$25</f>
        <v>220|15</v>
      </c>
      <c r="B834" s="10" t="str">
        <f>参数调整!$J$35</f>
        <v>BOSS掉落</v>
      </c>
      <c r="C834" s="8" t="str">
        <f>材料产出!$HV$2</f>
        <v>基本装备</v>
      </c>
      <c r="D834" s="224">
        <f>参数调整!$K$35*怪物掉落配置方案!$D4938</f>
        <v>0</v>
      </c>
    </row>
    <row r="835" spans="1:4" ht="16.5" hidden="1" x14ac:dyDescent="0.3">
      <c r="A835" s="10" t="str">
        <f>基本属性!$B$26&amp;"|"&amp;基本属性!$C$26</f>
        <v>230|16</v>
      </c>
      <c r="B835" s="10" t="str">
        <f>参数调整!$J$35</f>
        <v>BOSS掉落</v>
      </c>
      <c r="C835" s="8" t="str">
        <f>材料产出!$HV$2</f>
        <v>基本装备</v>
      </c>
      <c r="D835" s="224">
        <f>参数调整!$K$35*怪物掉落配置方案!$D4939</f>
        <v>0</v>
      </c>
    </row>
    <row r="836" spans="1:4" ht="16.5" hidden="1" x14ac:dyDescent="0.3">
      <c r="A836" s="10" t="str">
        <f>基本属性!$B$27&amp;"|"&amp;基本属性!$C$27</f>
        <v>230|17</v>
      </c>
      <c r="B836" s="10" t="str">
        <f>参数调整!$J$35</f>
        <v>BOSS掉落</v>
      </c>
      <c r="C836" s="8" t="str">
        <f>材料产出!$HV$2</f>
        <v>基本装备</v>
      </c>
      <c r="D836" s="224">
        <f>参数调整!$K$35*怪物掉落配置方案!$D4940</f>
        <v>0</v>
      </c>
    </row>
    <row r="837" spans="1:4" ht="16.5" hidden="1" x14ac:dyDescent="0.3">
      <c r="A837" s="10" t="str">
        <f>基本属性!$B$28&amp;"|"&amp;基本属性!$C$28</f>
        <v>240|18</v>
      </c>
      <c r="B837" s="10" t="str">
        <f>参数调整!$J$35</f>
        <v>BOSS掉落</v>
      </c>
      <c r="C837" s="8" t="str">
        <f>材料产出!$HV$2</f>
        <v>基本装备</v>
      </c>
      <c r="D837" s="224">
        <f>参数调整!$K$35*怪物掉落配置方案!$D4941</f>
        <v>0</v>
      </c>
    </row>
    <row r="838" spans="1:4" ht="16.5" hidden="1" x14ac:dyDescent="0.3">
      <c r="A838" s="10" t="str">
        <f>基本属性!$B$29&amp;"|"&amp;基本属性!$C$29</f>
        <v>240|19</v>
      </c>
      <c r="B838" s="10" t="str">
        <f>参数调整!$J$35</f>
        <v>BOSS掉落</v>
      </c>
      <c r="C838" s="8" t="str">
        <f>材料产出!$HV$2</f>
        <v>基本装备</v>
      </c>
      <c r="D838" s="224">
        <f>参数调整!$K$35*怪物掉落配置方案!$D4942</f>
        <v>0</v>
      </c>
    </row>
    <row r="839" spans="1:4" ht="16.5" hidden="1" x14ac:dyDescent="0.3">
      <c r="A839" s="10" t="str">
        <f>基本属性!$B$30&amp;"|"&amp;基本属性!$C$30</f>
        <v>250|20</v>
      </c>
      <c r="B839" s="10" t="str">
        <f>参数调整!$J$35</f>
        <v>BOSS掉落</v>
      </c>
      <c r="C839" s="8" t="str">
        <f>材料产出!$HV$2</f>
        <v>基本装备</v>
      </c>
      <c r="D839" s="224">
        <f>参数调整!$K$35*怪物掉落配置方案!$D4943</f>
        <v>0</v>
      </c>
    </row>
    <row r="840" spans="1:4" ht="16.5" hidden="1" x14ac:dyDescent="0.3">
      <c r="A840" s="10" t="str">
        <f>基本属性!$B$4&amp;"|"&amp;基本属性!$C$4</f>
        <v>35|0</v>
      </c>
      <c r="B840" s="10" t="str">
        <f>参数调整!$J$35</f>
        <v>BOSS掉落</v>
      </c>
      <c r="C840" s="8" t="str">
        <f>材料产出!$AP$2</f>
        <v>火龙气息</v>
      </c>
      <c r="D840" s="224">
        <f>参数调整!$K$35*怪物掉落配置方案!$D4944</f>
        <v>4.9193674822591696E-2</v>
      </c>
    </row>
    <row r="841" spans="1:4" ht="16.5" hidden="1" x14ac:dyDescent="0.3">
      <c r="A841" s="10" t="str">
        <f>基本属性!$B$5&amp;"|"&amp;基本属性!$C$5</f>
        <v>40|0</v>
      </c>
      <c r="B841" s="10" t="str">
        <f>参数调整!$J$35</f>
        <v>BOSS掉落</v>
      </c>
      <c r="C841" s="8" t="str">
        <f>材料产出!$AP$2</f>
        <v>火龙气息</v>
      </c>
      <c r="D841" s="224">
        <f>参数调整!$K$35*怪物掉落配置方案!$D4945</f>
        <v>6.2260744697342621E-2</v>
      </c>
    </row>
    <row r="842" spans="1:4" ht="16.5" hidden="1" x14ac:dyDescent="0.3">
      <c r="A842" s="10" t="str">
        <f>基本属性!$B$6&amp;"|"&amp;基本属性!$C$6</f>
        <v>50|0</v>
      </c>
      <c r="B842" s="10" t="str">
        <f>参数调整!$J$35</f>
        <v>BOSS掉落</v>
      </c>
      <c r="C842" s="8" t="str">
        <f>材料产出!$AP$2</f>
        <v>火龙气息</v>
      </c>
      <c r="D842" s="224">
        <f>参数调整!$K$35*怪物掉落配置方案!$D4946</f>
        <v>7.6865116910299541E-2</v>
      </c>
    </row>
    <row r="843" spans="1:4" ht="16.5" hidden="1" x14ac:dyDescent="0.3">
      <c r="A843" s="10" t="str">
        <f>基本属性!$B$7&amp;"|"&amp;基本属性!$C$7</f>
        <v>60|0</v>
      </c>
      <c r="B843" s="10" t="str">
        <f>参数调整!$J$35</f>
        <v>BOSS掉落</v>
      </c>
      <c r="C843" s="8" t="str">
        <f>材料产出!$AP$2</f>
        <v>火龙气息</v>
      </c>
      <c r="D843" s="224">
        <f>参数调整!$K$35*怪物掉落配置方案!$D4947</f>
        <v>9.3006791461462457E-2</v>
      </c>
    </row>
    <row r="844" spans="1:4" ht="16.5" hidden="1" x14ac:dyDescent="0.3">
      <c r="A844" s="10" t="str">
        <f>基本属性!$B$8&amp;"|"&amp;基本属性!$C$8</f>
        <v>65|0</v>
      </c>
      <c r="B844" s="10" t="str">
        <f>参数调整!$J$35</f>
        <v>BOSS掉落</v>
      </c>
      <c r="C844" s="8" t="str">
        <f>材料产出!$AP$2</f>
        <v>火龙气息</v>
      </c>
      <c r="D844" s="224">
        <f>参数调整!$K$35*怪物掉落配置方案!$D4948</f>
        <v>0.11068576835083133</v>
      </c>
    </row>
    <row r="845" spans="1:4" ht="16.5" hidden="1" x14ac:dyDescent="0.3">
      <c r="A845" s="10" t="str">
        <f>基本属性!$B$9&amp;"|"&amp;基本属性!$C$9</f>
        <v>70|0</v>
      </c>
      <c r="B845" s="10" t="str">
        <f>参数调整!$J$35</f>
        <v>BOSS掉落</v>
      </c>
      <c r="C845" s="8" t="str">
        <f>材料产出!$AP$2</f>
        <v>火龙气息</v>
      </c>
      <c r="D845" s="224">
        <f>参数调整!$K$35*怪物掉落配置方案!$D4949</f>
        <v>0.1299020475784062</v>
      </c>
    </row>
    <row r="846" spans="1:4" ht="16.5" hidden="1" x14ac:dyDescent="0.3">
      <c r="A846" s="10" t="str">
        <f>基本属性!$B$10&amp;"|"&amp;基本属性!$C$10</f>
        <v>75|0</v>
      </c>
      <c r="B846" s="10" t="str">
        <f>参数调整!$J$35</f>
        <v>BOSS掉落</v>
      </c>
      <c r="C846" s="8" t="str">
        <f>材料产出!$AP$2</f>
        <v>火龙气息</v>
      </c>
      <c r="D846" s="224">
        <f>参数调整!$K$35*怪物掉落配置方案!$D4950</f>
        <v>0.15065562914418704</v>
      </c>
    </row>
    <row r="847" spans="1:4" ht="16.5" hidden="1" x14ac:dyDescent="0.3">
      <c r="A847" s="10" t="str">
        <f>基本属性!$B$11&amp;"|"&amp;基本属性!$C$11</f>
        <v>80|1</v>
      </c>
      <c r="B847" s="10" t="str">
        <f>参数调整!$J$35</f>
        <v>BOSS掉落</v>
      </c>
      <c r="C847" s="8" t="str">
        <f>材料产出!$AP$2</f>
        <v>火龙气息</v>
      </c>
      <c r="D847" s="224">
        <f>参数调整!$K$35*怪物掉落配置方案!$D4951</f>
        <v>0.17294651304817393</v>
      </c>
    </row>
    <row r="848" spans="1:4" ht="16.5" hidden="1" x14ac:dyDescent="0.3">
      <c r="A848" s="10" t="str">
        <f>基本属性!$B$12&amp;"|"&amp;基本属性!$C$12</f>
        <v>90|2</v>
      </c>
      <c r="B848" s="10" t="str">
        <f>参数调整!$J$35</f>
        <v>BOSS掉落</v>
      </c>
      <c r="C848" s="8" t="str">
        <f>材料产出!$AP$2</f>
        <v>火龙气息</v>
      </c>
      <c r="D848" s="224">
        <f>参数调整!$K$35*怪物掉落配置方案!$D4952</f>
        <v>0.19677469929036678</v>
      </c>
    </row>
    <row r="849" spans="1:4" ht="16.5" hidden="1" x14ac:dyDescent="0.3">
      <c r="A849" s="10" t="str">
        <f>基本属性!$B$13&amp;"|"&amp;基本属性!$C$13</f>
        <v>100|3</v>
      </c>
      <c r="B849" s="10" t="str">
        <f>参数调整!$J$35</f>
        <v>BOSS掉落</v>
      </c>
      <c r="C849" s="8" t="str">
        <f>材料产出!$AP$2</f>
        <v>火龙气息</v>
      </c>
      <c r="D849" s="224">
        <f>参数调整!$K$35*怪物掉落配置方案!$D4953</f>
        <v>0.24904297878937048</v>
      </c>
    </row>
    <row r="850" spans="1:4" ht="16.5" hidden="1" x14ac:dyDescent="0.3">
      <c r="A850" s="10" t="str">
        <f>基本属性!$B$14&amp;"|"&amp;基本属性!$C$14</f>
        <v>105|4</v>
      </c>
      <c r="B850" s="10" t="str">
        <f>参数调整!$J$35</f>
        <v>BOSS掉落</v>
      </c>
      <c r="C850" s="8" t="str">
        <f>材料产出!$AP$2</f>
        <v>火龙气息</v>
      </c>
      <c r="D850" s="224">
        <f>参数调整!$K$35*怪物掉落配置方案!$D4954</f>
        <v>0.30746046764119817</v>
      </c>
    </row>
    <row r="851" spans="1:4" ht="16.5" hidden="1" x14ac:dyDescent="0.3">
      <c r="A851" s="10" t="str">
        <f>基本属性!$B$15&amp;"|"&amp;基本属性!$C$15</f>
        <v>110|5</v>
      </c>
      <c r="B851" s="10" t="str">
        <f>参数调整!$J$35</f>
        <v>BOSS掉落</v>
      </c>
      <c r="C851" s="8" t="str">
        <f>材料产出!$AP$2</f>
        <v>火龙气息</v>
      </c>
      <c r="D851" s="224">
        <f>参数调整!$K$35*怪物掉落配置方案!$D4955</f>
        <v>0.37202716584584983</v>
      </c>
    </row>
    <row r="852" spans="1:4" ht="16.5" hidden="1" x14ac:dyDescent="0.3">
      <c r="A852" s="10" t="str">
        <f>基本属性!$B$16&amp;"|"&amp;基本属性!$C$16</f>
        <v>120|6</v>
      </c>
      <c r="B852" s="10" t="str">
        <f>参数调整!$J$35</f>
        <v>BOSS掉落</v>
      </c>
      <c r="C852" s="8" t="str">
        <f>材料产出!$AP$2</f>
        <v>火龙气息</v>
      </c>
      <c r="D852" s="224">
        <f>参数调整!$K$35*怪物掉落配置方案!$D4956</f>
        <v>0.48040698068937204</v>
      </c>
    </row>
    <row r="853" spans="1:4" ht="16.5" hidden="1" x14ac:dyDescent="0.3">
      <c r="A853" s="10" t="str">
        <f>基本属性!$B$17&amp;"|"&amp;基本属性!$C$17</f>
        <v>135|7</v>
      </c>
      <c r="B853" s="10" t="str">
        <f>参数调整!$J$35</f>
        <v>BOSS掉落</v>
      </c>
      <c r="C853" s="8" t="str">
        <f>材料产出!$AP$2</f>
        <v>火龙气息</v>
      </c>
      <c r="D853" s="224">
        <f>参数调整!$K$35*怪物掉落配置方案!$D4957</f>
        <v>0.69178605219269573</v>
      </c>
    </row>
    <row r="854" spans="1:4" ht="16.5" hidden="1" x14ac:dyDescent="0.3">
      <c r="A854" s="10" t="str">
        <f>基本属性!$B$18&amp;"|"&amp;基本属性!$C$18</f>
        <v>155|8</v>
      </c>
      <c r="B854" s="10" t="str">
        <f>参数调整!$J$35</f>
        <v>BOSS掉落</v>
      </c>
      <c r="C854" s="8" t="str">
        <f>材料产出!$AP$2</f>
        <v>火龙气息</v>
      </c>
      <c r="D854" s="224">
        <f>参数调整!$K$35*怪物掉落配置方案!$D4958</f>
        <v>0.94159768215116935</v>
      </c>
    </row>
    <row r="855" spans="1:4" ht="16.5" hidden="1" x14ac:dyDescent="0.3">
      <c r="A855" s="10" t="str">
        <f>基本属性!$B$19&amp;"|"&amp;基本属性!$C$19</f>
        <v>190|9</v>
      </c>
      <c r="B855" s="10" t="str">
        <f>参数调整!$J$35</f>
        <v>BOSS掉落</v>
      </c>
      <c r="C855" s="8" t="str">
        <f>材料产出!$AP$2</f>
        <v>火龙气息</v>
      </c>
      <c r="D855" s="224">
        <f>参数调整!$K$35*怪物掉落配置方案!$D4959</f>
        <v>1.0522834505020007</v>
      </c>
    </row>
    <row r="856" spans="1:4" ht="16.5" hidden="1" x14ac:dyDescent="0.3">
      <c r="A856" s="10" t="str">
        <f>基本属性!$B$20&amp;"|"&amp;基本属性!$C$20</f>
        <v>200|10</v>
      </c>
      <c r="B856" s="10" t="str">
        <f>参数调整!$J$35</f>
        <v>BOSS掉落</v>
      </c>
      <c r="C856" s="8" t="str">
        <f>材料产出!$AP$2</f>
        <v>火龙气息</v>
      </c>
      <c r="D856" s="224">
        <f>参数调整!$K$35*怪物掉落配置方案!$D4960</f>
        <v>1.2298418705647927</v>
      </c>
    </row>
    <row r="857" spans="1:4" ht="16.5" hidden="1" x14ac:dyDescent="0.3">
      <c r="A857" s="10" t="str">
        <f>基本属性!$B$21&amp;"|"&amp;基本属性!$C$21</f>
        <v>200|11</v>
      </c>
      <c r="B857" s="10" t="str">
        <f>参数调整!$J$35</f>
        <v>BOSS掉落</v>
      </c>
      <c r="C857" s="8" t="str">
        <f>材料产出!$AP$2</f>
        <v>火龙气息</v>
      </c>
      <c r="D857" s="224">
        <f>参数调整!$K$35*怪物掉落配置方案!$D4961</f>
        <v>1.4212360116714382</v>
      </c>
    </row>
    <row r="858" spans="1:4" ht="16.5" hidden="1" x14ac:dyDescent="0.3">
      <c r="A858" s="10" t="str">
        <f>基本属性!$B$22&amp;"|"&amp;基本属性!$C$22</f>
        <v>210|12</v>
      </c>
      <c r="B858" s="10" t="str">
        <f>参数调整!$J$35</f>
        <v>BOSS掉落</v>
      </c>
      <c r="C858" s="8" t="str">
        <f>材料产出!$AP$2</f>
        <v>火龙气息</v>
      </c>
      <c r="D858" s="224">
        <f>参数调整!$K$35*怪物掉落配置方案!$D4962</f>
        <v>1.6264658738219375</v>
      </c>
    </row>
    <row r="859" spans="1:4" ht="16.5" hidden="1" x14ac:dyDescent="0.3">
      <c r="A859" s="10" t="str">
        <f>基本属性!$B$23&amp;"|"&amp;基本属性!$C$23</f>
        <v>210|13</v>
      </c>
      <c r="B859" s="10" t="str">
        <f>参数调整!$J$35</f>
        <v>BOSS掉落</v>
      </c>
      <c r="C859" s="8" t="str">
        <f>材料产出!$AP$2</f>
        <v>火龙气息</v>
      </c>
      <c r="D859" s="224">
        <f>参数调整!$K$35*怪物掉落配置方案!$D4963</f>
        <v>1.8455314570162922</v>
      </c>
    </row>
    <row r="860" spans="1:4" ht="16.5" hidden="1" x14ac:dyDescent="0.3">
      <c r="A860" s="10" t="str">
        <f>基本属性!$B$24&amp;"|"&amp;基本属性!$C$24</f>
        <v>220|14</v>
      </c>
      <c r="B860" s="10" t="str">
        <f>参数调整!$J$35</f>
        <v>BOSS掉落</v>
      </c>
      <c r="C860" s="8" t="str">
        <f>材料产出!$AP$2</f>
        <v>火龙气息</v>
      </c>
      <c r="D860" s="224">
        <f>参数调整!$K$35*怪物掉落配置方案!$D4964</f>
        <v>2.0784327612544993</v>
      </c>
    </row>
    <row r="861" spans="1:4" ht="16.5" hidden="1" x14ac:dyDescent="0.3">
      <c r="A861" s="10" t="str">
        <f>基本属性!$B$25&amp;"|"&amp;基本属性!$C$25</f>
        <v>220|15</v>
      </c>
      <c r="B861" s="10" t="str">
        <f>参数调整!$J$35</f>
        <v>BOSS掉落</v>
      </c>
      <c r="C861" s="8" t="str">
        <f>材料产出!$AP$2</f>
        <v>火龙气息</v>
      </c>
      <c r="D861" s="224">
        <f>参数调整!$K$35*怪物掉落配置方案!$D4965</f>
        <v>2.3251697865365606</v>
      </c>
    </row>
    <row r="862" spans="1:4" ht="16.5" hidden="1" x14ac:dyDescent="0.3">
      <c r="A862" s="10" t="str">
        <f>基本属性!$B$26&amp;"|"&amp;基本属性!$C$26</f>
        <v>230|16</v>
      </c>
      <c r="B862" s="10" t="str">
        <f>参数调整!$J$35</f>
        <v>BOSS掉落</v>
      </c>
      <c r="C862" s="8" t="str">
        <f>材料产出!$AP$2</f>
        <v>火龙气息</v>
      </c>
      <c r="D862" s="224">
        <f>参数调整!$K$35*怪物掉落配置方案!$D4966</f>
        <v>2.5857425328624761</v>
      </c>
    </row>
    <row r="863" spans="1:4" ht="16.5" hidden="1" x14ac:dyDescent="0.3">
      <c r="A863" s="10" t="str">
        <f>基本属性!$B$27&amp;"|"&amp;基本属性!$C$27</f>
        <v>230|17</v>
      </c>
      <c r="B863" s="10" t="str">
        <f>参数调整!$J$35</f>
        <v>BOSS掉落</v>
      </c>
      <c r="C863" s="8" t="str">
        <f>材料产出!$AP$2</f>
        <v>火龙气息</v>
      </c>
      <c r="D863" s="224">
        <f>参数调整!$K$35*怪物掉落配置方案!$D4967</f>
        <v>2.860151000232245</v>
      </c>
    </row>
    <row r="864" spans="1:4" ht="16.5" hidden="1" x14ac:dyDescent="0.3">
      <c r="A864" s="10" t="str">
        <f>基本属性!$B$28&amp;"|"&amp;基本属性!$C$28</f>
        <v>240|18</v>
      </c>
      <c r="B864" s="10" t="str">
        <f>参数调整!$J$35</f>
        <v>BOSS掉落</v>
      </c>
      <c r="C864" s="8" t="str">
        <f>材料产出!$AP$2</f>
        <v>火龙气息</v>
      </c>
      <c r="D864" s="224">
        <f>参数调整!$K$35*怪物掉落配置方案!$D4968</f>
        <v>3.1483951886458685</v>
      </c>
    </row>
    <row r="865" spans="1:4" ht="16.5" hidden="1" x14ac:dyDescent="0.3">
      <c r="A865" s="10" t="str">
        <f>基本属性!$B$29&amp;"|"&amp;基本属性!$C$29</f>
        <v>240|19</v>
      </c>
      <c r="B865" s="10" t="str">
        <f>参数调整!$J$35</f>
        <v>BOSS掉落</v>
      </c>
      <c r="C865" s="8" t="str">
        <f>材料产出!$AP$2</f>
        <v>火龙气息</v>
      </c>
      <c r="D865" s="224">
        <f>参数调整!$K$35*怪物掉落配置方案!$D4969</f>
        <v>3.4504750981033463</v>
      </c>
    </row>
    <row r="866" spans="1:4" ht="16.5" hidden="1" x14ac:dyDescent="0.3">
      <c r="A866" s="10" t="str">
        <f>基本属性!$B$30&amp;"|"&amp;基本属性!$C$30</f>
        <v>250|20</v>
      </c>
      <c r="B866" s="10" t="str">
        <f>参数调整!$J$35</f>
        <v>BOSS掉落</v>
      </c>
      <c r="C866" s="8" t="str">
        <f>材料产出!$AP$2</f>
        <v>火龙气息</v>
      </c>
      <c r="D866" s="224">
        <f>参数调整!$K$35*怪物掉落配置方案!$D4970</f>
        <v>3.7663907286046765</v>
      </c>
    </row>
    <row r="867" spans="1:4" ht="16.5" hidden="1" x14ac:dyDescent="0.3">
      <c r="A867" s="10" t="str">
        <f>基本属性!$B$4&amp;"|"&amp;基本属性!$C$4</f>
        <v>35|0</v>
      </c>
      <c r="B867" s="10" t="str">
        <f>参数调整!$J$35</f>
        <v>BOSS掉落</v>
      </c>
      <c r="C867" s="8" t="str">
        <f>材料产出!$N$2</f>
        <v>火龙凭证</v>
      </c>
      <c r="D867" s="224">
        <f>参数调整!$K$35*怪物掉落配置方案!$D4971</f>
        <v>1.2990018746516694</v>
      </c>
    </row>
    <row r="868" spans="1:4" ht="16.5" hidden="1" x14ac:dyDescent="0.3">
      <c r="A868" s="10" t="str">
        <f>基本属性!$B$5&amp;"|"&amp;基本属性!$C$5</f>
        <v>40|0</v>
      </c>
      <c r="B868" s="10" t="str">
        <f>参数调整!$J$35</f>
        <v>BOSS掉落</v>
      </c>
      <c r="C868" s="8" t="str">
        <f>材料产出!$N$2</f>
        <v>火龙凭证</v>
      </c>
      <c r="D868" s="224">
        <f>参数调整!$K$35*怪物掉落配置方案!$D4972</f>
        <v>1.6440492476060191</v>
      </c>
    </row>
    <row r="869" spans="1:4" ht="16.5" hidden="1" x14ac:dyDescent="0.3">
      <c r="A869" s="10" t="str">
        <f>基本属性!$B$6&amp;"|"&amp;基本属性!$C$6</f>
        <v>50|0</v>
      </c>
      <c r="B869" s="10" t="str">
        <f>参数调整!$J$35</f>
        <v>BOSS掉落</v>
      </c>
      <c r="C869" s="8" t="str">
        <f>材料产出!$N$2</f>
        <v>火龙凭证</v>
      </c>
      <c r="D869" s="224">
        <f>参数调整!$K$35*怪物掉落配置方案!$D4973</f>
        <v>2.0296904291432334</v>
      </c>
    </row>
    <row r="870" spans="1:4" ht="16.5" hidden="1" x14ac:dyDescent="0.3">
      <c r="A870" s="10" t="str">
        <f>基本属性!$B$7&amp;"|"&amp;基本属性!$C$7</f>
        <v>60|0</v>
      </c>
      <c r="B870" s="10" t="str">
        <f>参数调整!$J$35</f>
        <v>BOSS掉落</v>
      </c>
      <c r="C870" s="8" t="str">
        <f>材料产出!$N$2</f>
        <v>火龙凭证</v>
      </c>
      <c r="D870" s="224">
        <f>参数调整!$K$35*怪物掉落配置方案!$D4974</f>
        <v>2.4559254192633126</v>
      </c>
    </row>
    <row r="871" spans="1:4" ht="16.5" hidden="1" x14ac:dyDescent="0.3">
      <c r="A871" s="10" t="str">
        <f>基本属性!$B$8&amp;"|"&amp;基本属性!$C$8</f>
        <v>65|0</v>
      </c>
      <c r="B871" s="10" t="str">
        <f>参数调整!$J$35</f>
        <v>BOSS掉落</v>
      </c>
      <c r="C871" s="8" t="str">
        <f>材料产出!$N$2</f>
        <v>火龙凭证</v>
      </c>
      <c r="D871" s="224">
        <f>参数调整!$K$35*怪物掉落配置方案!$D4975</f>
        <v>2.922754217966256</v>
      </c>
    </row>
    <row r="872" spans="1:4" ht="16.5" hidden="1" x14ac:dyDescent="0.3">
      <c r="A872" s="10" t="str">
        <f>基本属性!$B$9&amp;"|"&amp;基本属性!$C$9</f>
        <v>70|0</v>
      </c>
      <c r="B872" s="10" t="str">
        <f>参数调整!$J$35</f>
        <v>BOSS掉落</v>
      </c>
      <c r="C872" s="8" t="str">
        <f>材料产出!$N$2</f>
        <v>火龙凭证</v>
      </c>
      <c r="D872" s="224">
        <f>参数调整!$K$35*怪物掉落配置方案!$D4976</f>
        <v>3.4301768252520648</v>
      </c>
    </row>
    <row r="873" spans="1:4" ht="16.5" hidden="1" x14ac:dyDescent="0.3">
      <c r="A873" s="10" t="str">
        <f>基本属性!$B$10&amp;"|"&amp;基本属性!$C$10</f>
        <v>75|0</v>
      </c>
      <c r="B873" s="10" t="str">
        <f>参数调整!$J$35</f>
        <v>BOSS掉落</v>
      </c>
      <c r="C873" s="8" t="str">
        <f>材料产出!$N$2</f>
        <v>火龙凭证</v>
      </c>
      <c r="D873" s="224">
        <f>参数调整!$K$35*怪物掉落配置方案!$D4977</f>
        <v>3.9781932411207372</v>
      </c>
    </row>
    <row r="874" spans="1:4" ht="16.5" hidden="1" x14ac:dyDescent="0.3">
      <c r="A874" s="10" t="str">
        <f>基本属性!$B$11&amp;"|"&amp;基本属性!$C$11</f>
        <v>80|1</v>
      </c>
      <c r="B874" s="10" t="str">
        <f>参数调整!$J$35</f>
        <v>BOSS掉落</v>
      </c>
      <c r="C874" s="8" t="str">
        <f>材料产出!$N$2</f>
        <v>火龙凭证</v>
      </c>
      <c r="D874" s="224">
        <f>参数调整!$K$35*怪物掉落配置方案!$D4978</f>
        <v>4.5668034655722751</v>
      </c>
    </row>
    <row r="875" spans="1:4" ht="16.5" hidden="1" x14ac:dyDescent="0.3">
      <c r="A875" s="10" t="str">
        <f>基本属性!$B$12&amp;"|"&amp;基本属性!$C$12</f>
        <v>90|2</v>
      </c>
      <c r="B875" s="10" t="str">
        <f>参数调整!$J$35</f>
        <v>BOSS掉落</v>
      </c>
      <c r="C875" s="8" t="str">
        <f>材料产出!$N$2</f>
        <v>火龙凭证</v>
      </c>
      <c r="D875" s="224">
        <f>参数调整!$K$35*怪物掉落配置方案!$D4979</f>
        <v>5.1960074986066784</v>
      </c>
    </row>
    <row r="876" spans="1:4" ht="16.5" hidden="1" x14ac:dyDescent="0.3">
      <c r="A876" s="10" t="str">
        <f>基本属性!$B$13&amp;"|"&amp;基本属性!$C$13</f>
        <v>100|3</v>
      </c>
      <c r="B876" s="10" t="str">
        <f>参数调整!$J$35</f>
        <v>BOSS掉落</v>
      </c>
      <c r="C876" s="8" t="str">
        <f>材料产出!$N$2</f>
        <v>火龙凭证</v>
      </c>
      <c r="D876" s="224">
        <f>参数调整!$K$35*怪物掉落配置方案!$D4980</f>
        <v>6.5761969904240765</v>
      </c>
    </row>
    <row r="877" spans="1:4" ht="16.5" hidden="1" x14ac:dyDescent="0.3">
      <c r="A877" s="10" t="str">
        <f>基本属性!$B$14&amp;"|"&amp;基本属性!$C$14</f>
        <v>105|4</v>
      </c>
      <c r="B877" s="10" t="str">
        <f>参数调整!$J$35</f>
        <v>BOSS掉落</v>
      </c>
      <c r="C877" s="8" t="str">
        <f>材料产出!$N$2</f>
        <v>火龙凭证</v>
      </c>
      <c r="D877" s="224">
        <f>参数调整!$K$35*怪物掉落配置方案!$D4981</f>
        <v>8.1187617165729353</v>
      </c>
    </row>
    <row r="878" spans="1:4" ht="16.5" hidden="1" x14ac:dyDescent="0.3">
      <c r="A878" s="10" t="str">
        <f>基本属性!$B$15&amp;"|"&amp;基本属性!$C$15</f>
        <v>110|5</v>
      </c>
      <c r="B878" s="10" t="str">
        <f>参数调整!$J$35</f>
        <v>BOSS掉落</v>
      </c>
      <c r="C878" s="8" t="str">
        <f>材料产出!$N$2</f>
        <v>火龙凭证</v>
      </c>
      <c r="D878" s="224">
        <f>参数调整!$K$35*怪物掉落配置方案!$D4982</f>
        <v>9.8237016770532506</v>
      </c>
    </row>
    <row r="879" spans="1:4" ht="16.5" hidden="1" x14ac:dyDescent="0.3">
      <c r="A879" s="10" t="str">
        <f>基本属性!$B$16&amp;"|"&amp;基本属性!$C$16</f>
        <v>120|6</v>
      </c>
      <c r="B879" s="10" t="str">
        <f>参数调整!$J$35</f>
        <v>BOSS掉落</v>
      </c>
      <c r="C879" s="8" t="str">
        <f>材料产出!$N$2</f>
        <v>火龙凭证</v>
      </c>
      <c r="D879" s="224">
        <f>参数调整!$K$35*怪物掉落配置方案!$D4983</f>
        <v>12.685565182145208</v>
      </c>
    </row>
    <row r="880" spans="1:4" ht="16.5" hidden="1" x14ac:dyDescent="0.3">
      <c r="A880" s="10" t="str">
        <f>基本属性!$B$17&amp;"|"&amp;基本属性!$C$17</f>
        <v>135|7</v>
      </c>
      <c r="B880" s="10" t="str">
        <f>参数调整!$J$35</f>
        <v>BOSS掉落</v>
      </c>
      <c r="C880" s="8" t="str">
        <f>材料产出!$N$2</f>
        <v>火龙凭证</v>
      </c>
      <c r="D880" s="224">
        <f>参数调整!$K$35*怪物掉落配置方案!$D4984</f>
        <v>18.2672138622891</v>
      </c>
    </row>
    <row r="881" spans="1:4" ht="16.5" hidden="1" x14ac:dyDescent="0.3">
      <c r="A881" s="10" t="str">
        <f>基本属性!$B$18&amp;"|"&amp;基本属性!$C$18</f>
        <v>155|8</v>
      </c>
      <c r="B881" s="10" t="str">
        <f>参数调整!$J$35</f>
        <v>BOSS掉落</v>
      </c>
      <c r="C881" s="8" t="str">
        <f>材料产出!$N$2</f>
        <v>火龙凭证</v>
      </c>
      <c r="D881" s="224">
        <f>参数调整!$K$35*怪物掉落配置方案!$D4985</f>
        <v>24.863707757004612</v>
      </c>
    </row>
    <row r="882" spans="1:4" ht="16.5" hidden="1" x14ac:dyDescent="0.3">
      <c r="A882" s="10" t="str">
        <f>基本属性!$B$19&amp;"|"&amp;基本属性!$C$19</f>
        <v>190|9</v>
      </c>
      <c r="B882" s="10" t="str">
        <f>参数调整!$J$35</f>
        <v>BOSS掉落</v>
      </c>
      <c r="C882" s="8" t="str">
        <f>材料产出!$N$2</f>
        <v>火龙凭证</v>
      </c>
      <c r="D882" s="224">
        <f>参数调整!$K$35*怪物掉落配置方案!$D4986</f>
        <v>27.786461974970873</v>
      </c>
    </row>
    <row r="883" spans="1:4" ht="16.5" hidden="1" x14ac:dyDescent="0.3">
      <c r="A883" s="10" t="str">
        <f>基本属性!$B$20&amp;"|"&amp;基本属性!$C$20</f>
        <v>200|10</v>
      </c>
      <c r="B883" s="10" t="str">
        <f>参数调整!$J$35</f>
        <v>BOSS掉落</v>
      </c>
      <c r="C883" s="8" t="str">
        <f>材料产出!$N$2</f>
        <v>火龙凭证</v>
      </c>
      <c r="D883" s="224">
        <f>参数调整!$K$35*怪物掉落配置方案!$D4987</f>
        <v>32.475046866291741</v>
      </c>
    </row>
    <row r="884" spans="1:4" ht="16.5" hidden="1" x14ac:dyDescent="0.3">
      <c r="A884" s="10" t="str">
        <f>基本属性!$B$21&amp;"|"&amp;基本属性!$C$21</f>
        <v>200|11</v>
      </c>
      <c r="B884" s="10" t="str">
        <f>参数调整!$J$35</f>
        <v>BOSS掉落</v>
      </c>
      <c r="C884" s="8" t="str">
        <f>材料产出!$N$2</f>
        <v>火龙凭证</v>
      </c>
      <c r="D884" s="224">
        <f>参数调整!$K$35*怪物掉落配置方案!$D4988</f>
        <v>37.528976034858381</v>
      </c>
    </row>
    <row r="885" spans="1:4" ht="16.5" hidden="1" x14ac:dyDescent="0.3">
      <c r="A885" s="10" t="str">
        <f>基本属性!$B$22&amp;"|"&amp;基本属性!$C$22</f>
        <v>210|12</v>
      </c>
      <c r="B885" s="10" t="str">
        <f>参数调整!$J$35</f>
        <v>BOSS掉落</v>
      </c>
      <c r="C885" s="8" t="str">
        <f>材料产出!$N$2</f>
        <v>火龙凭证</v>
      </c>
      <c r="D885" s="224">
        <f>参数调整!$K$35*怪物掉落配置方案!$D4989</f>
        <v>42.94824948067081</v>
      </c>
    </row>
    <row r="886" spans="1:4" ht="16.5" hidden="1" x14ac:dyDescent="0.3">
      <c r="A886" s="10" t="str">
        <f>基本属性!$B$23&amp;"|"&amp;基本属性!$C$23</f>
        <v>210|13</v>
      </c>
      <c r="B886" s="10" t="str">
        <f>参数调整!$J$35</f>
        <v>BOSS掉落</v>
      </c>
      <c r="C886" s="8" t="str">
        <f>材料产出!$N$2</f>
        <v>火龙凭证</v>
      </c>
      <c r="D886" s="224">
        <f>参数调整!$K$35*怪物掉落配置方案!$D4990</f>
        <v>48.732867203729043</v>
      </c>
    </row>
    <row r="887" spans="1:4" ht="16.5" hidden="1" x14ac:dyDescent="0.3">
      <c r="A887" s="10" t="str">
        <f>基本属性!$B$24&amp;"|"&amp;基本属性!$C$24</f>
        <v>220|14</v>
      </c>
      <c r="B887" s="10" t="str">
        <f>参数调整!$J$35</f>
        <v>BOSS掉落</v>
      </c>
      <c r="C887" s="8" t="str">
        <f>材料产出!$N$2</f>
        <v>火龙凭证</v>
      </c>
      <c r="D887" s="224">
        <f>参数调整!$K$35*怪物掉落配置方案!$D4991</f>
        <v>54.882829204033037</v>
      </c>
    </row>
    <row r="888" spans="1:4" ht="16.5" hidden="1" x14ac:dyDescent="0.3">
      <c r="A888" s="10" t="str">
        <f>基本属性!$B$25&amp;"|"&amp;基本属性!$C$25</f>
        <v>220|15</v>
      </c>
      <c r="B888" s="10" t="str">
        <f>参数调整!$J$35</f>
        <v>BOSS掉落</v>
      </c>
      <c r="C888" s="8" t="str">
        <f>材料产出!$N$2</f>
        <v>火龙凭证</v>
      </c>
      <c r="D888" s="224">
        <f>参数调整!$K$35*怪物掉落配置方案!$D4992</f>
        <v>61.398135481582806</v>
      </c>
    </row>
    <row r="889" spans="1:4" ht="16.5" hidden="1" x14ac:dyDescent="0.3">
      <c r="A889" s="10" t="str">
        <f>基本属性!$B$26&amp;"|"&amp;基本属性!$C$26</f>
        <v>230|16</v>
      </c>
      <c r="B889" s="10" t="str">
        <f>参数调整!$J$35</f>
        <v>BOSS掉落</v>
      </c>
      <c r="C889" s="8" t="str">
        <f>材料产出!$N$2</f>
        <v>火龙凭证</v>
      </c>
      <c r="D889" s="224">
        <f>参数调整!$K$35*怪物掉落配置方案!$D4993</f>
        <v>68.278786036378378</v>
      </c>
    </row>
    <row r="890" spans="1:4" ht="16.5" hidden="1" x14ac:dyDescent="0.3">
      <c r="A890" s="10" t="str">
        <f>基本属性!$B$27&amp;"|"&amp;基本属性!$C$27</f>
        <v>230|17</v>
      </c>
      <c r="B890" s="10" t="str">
        <f>参数调整!$J$35</f>
        <v>BOSS掉落</v>
      </c>
      <c r="C890" s="8" t="str">
        <f>材料产出!$N$2</f>
        <v>火龙凭证</v>
      </c>
      <c r="D890" s="224">
        <f>参数调整!$K$35*怪物掉落配置方案!$D4994</f>
        <v>75.524780868419711</v>
      </c>
    </row>
    <row r="891" spans="1:4" ht="16.5" hidden="1" x14ac:dyDescent="0.3">
      <c r="A891" s="10" t="str">
        <f>基本属性!$B$28&amp;"|"&amp;基本属性!$C$28</f>
        <v>240|18</v>
      </c>
      <c r="B891" s="10" t="str">
        <f>参数调整!$J$35</f>
        <v>BOSS掉落</v>
      </c>
      <c r="C891" s="8" t="str">
        <f>材料产出!$N$2</f>
        <v>火龙凭证</v>
      </c>
      <c r="D891" s="224">
        <f>参数调整!$K$35*怪物掉落配置方案!$D4995</f>
        <v>83.136119977706855</v>
      </c>
    </row>
    <row r="892" spans="1:4" ht="16.5" hidden="1" x14ac:dyDescent="0.3">
      <c r="A892" s="10" t="str">
        <f>基本属性!$B$29&amp;"|"&amp;基本属性!$C$29</f>
        <v>240|19</v>
      </c>
      <c r="B892" s="10" t="str">
        <f>参数调整!$J$35</f>
        <v>BOSS掉落</v>
      </c>
      <c r="C892" s="8" t="str">
        <f>材料产出!$N$2</f>
        <v>火龙凭证</v>
      </c>
      <c r="D892" s="224">
        <f>参数调整!$K$35*怪物掉落配置方案!$D4996</f>
        <v>91.112803364239753</v>
      </c>
    </row>
    <row r="893" spans="1:4" ht="16.5" hidden="1" x14ac:dyDescent="0.3">
      <c r="A893" s="10" t="str">
        <f>基本属性!$B$30&amp;"|"&amp;基本属性!$C$30</f>
        <v>250|20</v>
      </c>
      <c r="B893" s="10" t="str">
        <f>参数调整!$J$35</f>
        <v>BOSS掉落</v>
      </c>
      <c r="C893" s="8" t="str">
        <f>材料产出!$N$2</f>
        <v>火龙凭证</v>
      </c>
      <c r="D893" s="224">
        <f>参数调整!$K$35*怪物掉落配置方案!$D4997</f>
        <v>99.454831028018418</v>
      </c>
    </row>
    <row r="894" spans="1:4" ht="16.5" hidden="1" x14ac:dyDescent="0.3">
      <c r="A894" s="10" t="str">
        <f>基本属性!$B$4&amp;"|"&amp;基本属性!$C$4</f>
        <v>35|0</v>
      </c>
      <c r="B894" s="10" t="str">
        <f>参数调整!$J$35</f>
        <v>BOSS掉落</v>
      </c>
      <c r="C894" s="8" t="str">
        <f>材料产出!$AR$2</f>
        <v>火龙精魄</v>
      </c>
      <c r="D894" s="224">
        <f>参数调整!$K$35*怪物掉落配置方案!$D4998</f>
        <v>6.4933577667119645E-4</v>
      </c>
    </row>
    <row r="895" spans="1:4" ht="16.5" hidden="1" x14ac:dyDescent="0.3">
      <c r="A895" s="10" t="str">
        <f>基本属性!$B$5&amp;"|"&amp;基本属性!$C$5</f>
        <v>40|0</v>
      </c>
      <c r="B895" s="10" t="str">
        <f>参数调整!$J$35</f>
        <v>BOSS掉落</v>
      </c>
      <c r="C895" s="8" t="str">
        <f>材料产出!$AR$2</f>
        <v>火龙精魄</v>
      </c>
      <c r="D895" s="224">
        <f>参数调整!$K$35*怪物掉落配置方案!$D4999</f>
        <v>8.2181559234948288E-4</v>
      </c>
    </row>
    <row r="896" spans="1:4" ht="16.5" hidden="1" x14ac:dyDescent="0.3">
      <c r="A896" s="10" t="str">
        <f>基本属性!$B$6&amp;"|"&amp;基本属性!$C$6</f>
        <v>50|0</v>
      </c>
      <c r="B896" s="10" t="str">
        <f>参数调整!$J$35</f>
        <v>BOSS掉落</v>
      </c>
      <c r="C896" s="8" t="str">
        <f>材料产出!$AR$2</f>
        <v>火龙精魄</v>
      </c>
      <c r="D896" s="224">
        <f>参数调整!$K$35*怪物掉落配置方案!$D5000</f>
        <v>1.0145871510487442E-3</v>
      </c>
    </row>
    <row r="897" spans="1:4" ht="16.5" hidden="1" x14ac:dyDescent="0.3">
      <c r="A897" s="10" t="str">
        <f>基本属性!$B$7&amp;"|"&amp;基本属性!$C$7</f>
        <v>60|0</v>
      </c>
      <c r="B897" s="10" t="str">
        <f>参数调整!$J$35</f>
        <v>BOSS掉落</v>
      </c>
      <c r="C897" s="8" t="str">
        <f>材料产出!$AR$2</f>
        <v>火龙精魄</v>
      </c>
      <c r="D897" s="224">
        <f>参数调整!$K$35*怪物掉落配置方案!$D5001</f>
        <v>1.227650452768981E-3</v>
      </c>
    </row>
    <row r="898" spans="1:4" ht="16.5" hidden="1" x14ac:dyDescent="0.3">
      <c r="A898" s="10" t="str">
        <f>基本属性!$B$8&amp;"|"&amp;基本属性!$C$8</f>
        <v>65|0</v>
      </c>
      <c r="B898" s="10" t="str">
        <f>参数调整!$J$35</f>
        <v>BOSS掉落</v>
      </c>
      <c r="C898" s="8" t="str">
        <f>材料产出!$AR$2</f>
        <v>火龙精魄</v>
      </c>
      <c r="D898" s="224">
        <f>参数调整!$K$35*怪物掉落配置方案!$D5002</f>
        <v>1.4610054975101917E-3</v>
      </c>
    </row>
    <row r="899" spans="1:4" ht="16.5" hidden="1" x14ac:dyDescent="0.3">
      <c r="A899" s="10" t="str">
        <f>基本属性!$B$9&amp;"|"&amp;基本属性!$C$9</f>
        <v>70|0</v>
      </c>
      <c r="B899" s="10" t="str">
        <f>参数调整!$J$35</f>
        <v>BOSS掉落</v>
      </c>
      <c r="C899" s="8" t="str">
        <f>材料产出!$AR$2</f>
        <v>火龙精魄</v>
      </c>
      <c r="D899" s="224">
        <f>参数调整!$K$35*怪物掉落配置方案!$D5003</f>
        <v>1.7146522852723779E-3</v>
      </c>
    </row>
    <row r="900" spans="1:4" ht="16.5" hidden="1" x14ac:dyDescent="0.3">
      <c r="A900" s="10" t="str">
        <f>基本属性!$B$10&amp;"|"&amp;基本属性!$C$10</f>
        <v>75|0</v>
      </c>
      <c r="B900" s="10" t="str">
        <f>参数调整!$J$35</f>
        <v>BOSS掉落</v>
      </c>
      <c r="C900" s="8" t="str">
        <f>材料产出!$AR$2</f>
        <v>火龙精魄</v>
      </c>
      <c r="D900" s="224">
        <f>参数调整!$K$35*怪物掉落配置方案!$D5004</f>
        <v>1.9885908160555384E-3</v>
      </c>
    </row>
    <row r="901" spans="1:4" ht="16.5" hidden="1" x14ac:dyDescent="0.3">
      <c r="A901" s="10" t="str">
        <f>基本属性!$B$11&amp;"|"&amp;基本属性!$C$11</f>
        <v>80|1</v>
      </c>
      <c r="B901" s="10" t="str">
        <f>参数调整!$J$35</f>
        <v>BOSS掉落</v>
      </c>
      <c r="C901" s="8" t="str">
        <f>材料产出!$AR$2</f>
        <v>火龙精魄</v>
      </c>
      <c r="D901" s="224">
        <f>参数调整!$K$35*怪物掉落配置方案!$D5005</f>
        <v>2.2828210898596744E-3</v>
      </c>
    </row>
    <row r="902" spans="1:4" ht="16.5" hidden="1" x14ac:dyDescent="0.3">
      <c r="A902" s="10" t="str">
        <f>基本属性!$B$12&amp;"|"&amp;基本属性!$C$12</f>
        <v>90|2</v>
      </c>
      <c r="B902" s="10" t="str">
        <f>参数调整!$J$35</f>
        <v>BOSS掉落</v>
      </c>
      <c r="C902" s="8" t="str">
        <f>材料产出!$AR$2</f>
        <v>火龙精魄</v>
      </c>
      <c r="D902" s="224">
        <f>参数调整!$K$35*怪物掉落配置方案!$D5006</f>
        <v>2.5973431066847858E-3</v>
      </c>
    </row>
    <row r="903" spans="1:4" ht="16.5" hidden="1" x14ac:dyDescent="0.3">
      <c r="A903" s="10" t="str">
        <f>基本属性!$B$13&amp;"|"&amp;基本属性!$C$13</f>
        <v>100|3</v>
      </c>
      <c r="B903" s="10" t="str">
        <f>参数调整!$J$35</f>
        <v>BOSS掉落</v>
      </c>
      <c r="C903" s="8" t="str">
        <f>材料产出!$AR$2</f>
        <v>火龙精魄</v>
      </c>
      <c r="D903" s="224">
        <f>参数调整!$K$35*怪物掉落配置方案!$D5007</f>
        <v>3.2872623693979324E-3</v>
      </c>
    </row>
    <row r="904" spans="1:4" ht="16.5" hidden="1" x14ac:dyDescent="0.3">
      <c r="A904" s="10" t="str">
        <f>基本属性!$B$14&amp;"|"&amp;基本属性!$C$14</f>
        <v>105|4</v>
      </c>
      <c r="B904" s="10" t="str">
        <f>参数调整!$J$35</f>
        <v>BOSS掉落</v>
      </c>
      <c r="C904" s="8" t="str">
        <f>材料产出!$AR$2</f>
        <v>火龙精魄</v>
      </c>
      <c r="D904" s="224">
        <f>参数调整!$K$35*怪物掉落配置方案!$D5008</f>
        <v>4.0583486041949769E-3</v>
      </c>
    </row>
    <row r="905" spans="1:4" ht="16.5" hidden="1" x14ac:dyDescent="0.3">
      <c r="A905" s="10" t="str">
        <f>基本属性!$B$15&amp;"|"&amp;基本属性!$C$15</f>
        <v>110|5</v>
      </c>
      <c r="B905" s="10" t="str">
        <f>参数调整!$J$35</f>
        <v>BOSS掉落</v>
      </c>
      <c r="C905" s="8" t="str">
        <f>材料产出!$AR$2</f>
        <v>火龙精魄</v>
      </c>
      <c r="D905" s="224">
        <f>参数调整!$K$35*怪物掉落配置方案!$D5009</f>
        <v>4.910601811075924E-3</v>
      </c>
    </row>
    <row r="906" spans="1:4" ht="16.5" hidden="1" x14ac:dyDescent="0.3">
      <c r="A906" s="10" t="str">
        <f>基本属性!$B$16&amp;"|"&amp;基本属性!$C$16</f>
        <v>120|6</v>
      </c>
      <c r="B906" s="10" t="str">
        <f>参数调整!$J$35</f>
        <v>BOSS掉落</v>
      </c>
      <c r="C906" s="8" t="str">
        <f>材料产出!$AR$2</f>
        <v>火龙精魄</v>
      </c>
      <c r="D906" s="224">
        <f>参数调整!$K$35*怪物掉落配置方案!$D5010</f>
        <v>6.341169694054653E-3</v>
      </c>
    </row>
    <row r="907" spans="1:4" ht="16.5" hidden="1" x14ac:dyDescent="0.3">
      <c r="A907" s="10" t="str">
        <f>基本属性!$B$17&amp;"|"&amp;基本属性!$C$17</f>
        <v>135|7</v>
      </c>
      <c r="B907" s="10" t="str">
        <f>参数调整!$J$35</f>
        <v>BOSS掉落</v>
      </c>
      <c r="C907" s="8" t="str">
        <f>材料产出!$AR$2</f>
        <v>火龙精魄</v>
      </c>
      <c r="D907" s="224">
        <f>参数调整!$K$35*怪物掉落配置方案!$D5011</f>
        <v>9.1312843594386975E-3</v>
      </c>
    </row>
    <row r="908" spans="1:4" ht="16.5" hidden="1" x14ac:dyDescent="0.3">
      <c r="A908" s="10" t="str">
        <f>基本属性!$B$18&amp;"|"&amp;基本属性!$C$18</f>
        <v>155|8</v>
      </c>
      <c r="B908" s="10" t="str">
        <f>参数调整!$J$35</f>
        <v>BOSS掉落</v>
      </c>
      <c r="C908" s="8" t="str">
        <f>材料产出!$AR$2</f>
        <v>火龙精魄</v>
      </c>
      <c r="D908" s="224">
        <f>参数调整!$K$35*怪物掉落配置方案!$D5012</f>
        <v>1.2428692600347121E-2</v>
      </c>
    </row>
    <row r="909" spans="1:4" ht="16.5" hidden="1" x14ac:dyDescent="0.3">
      <c r="A909" s="10" t="str">
        <f>基本属性!$B$19&amp;"|"&amp;基本属性!$C$19</f>
        <v>190|9</v>
      </c>
      <c r="B909" s="10" t="str">
        <f>参数调整!$J$35</f>
        <v>BOSS掉落</v>
      </c>
      <c r="C909" s="8" t="str">
        <f>材料产出!$AR$2</f>
        <v>火龙精魄</v>
      </c>
      <c r="D909" s="224">
        <f>参数调整!$K$35*怪物掉落配置方案!$D5013</f>
        <v>1.388969809785731E-2</v>
      </c>
    </row>
    <row r="910" spans="1:4" ht="16.5" hidden="1" x14ac:dyDescent="0.3">
      <c r="A910" s="10" t="str">
        <f>基本属性!$B$20&amp;"|"&amp;基本属性!$C$20</f>
        <v>200|10</v>
      </c>
      <c r="B910" s="10" t="str">
        <f>参数调整!$J$35</f>
        <v>BOSS掉落</v>
      </c>
      <c r="C910" s="8" t="str">
        <f>材料产出!$AR$2</f>
        <v>火龙精魄</v>
      </c>
      <c r="D910" s="224">
        <f>参数调整!$K$35*怪物掉落配置方案!$D5014</f>
        <v>1.6233394416779907E-2</v>
      </c>
    </row>
    <row r="911" spans="1:4" ht="16.5" hidden="1" x14ac:dyDescent="0.3">
      <c r="A911" s="10" t="str">
        <f>基本属性!$B$21&amp;"|"&amp;基本属性!$C$21</f>
        <v>200|11</v>
      </c>
      <c r="B911" s="10" t="str">
        <f>参数调整!$J$35</f>
        <v>BOSS掉落</v>
      </c>
      <c r="C911" s="8" t="str">
        <f>材料产出!$AR$2</f>
        <v>火龙精魄</v>
      </c>
      <c r="D911" s="224">
        <f>参数调整!$K$35*怪物掉落配置方案!$D5015</f>
        <v>1.875971642289128E-2</v>
      </c>
    </row>
    <row r="912" spans="1:4" ht="16.5" hidden="1" x14ac:dyDescent="0.3">
      <c r="A912" s="10" t="str">
        <f>基本属性!$B$22&amp;"|"&amp;基本属性!$C$22</f>
        <v>210|12</v>
      </c>
      <c r="B912" s="10" t="str">
        <f>参数调整!$J$35</f>
        <v>BOSS掉落</v>
      </c>
      <c r="C912" s="8" t="str">
        <f>材料产出!$AR$2</f>
        <v>火龙精魄</v>
      </c>
      <c r="D912" s="224">
        <f>参数调整!$K$35*怪物掉落配置方案!$D5016</f>
        <v>2.1468664116191426E-2</v>
      </c>
    </row>
    <row r="913" spans="1:4" ht="16.5" hidden="1" x14ac:dyDescent="0.3">
      <c r="A913" s="10" t="str">
        <f>基本属性!$B$23&amp;"|"&amp;基本属性!$C$23</f>
        <v>210|13</v>
      </c>
      <c r="B913" s="10" t="str">
        <f>参数调整!$J$35</f>
        <v>BOSS掉落</v>
      </c>
      <c r="C913" s="8" t="str">
        <f>材料产出!$AR$2</f>
        <v>火龙精魄</v>
      </c>
      <c r="D913" s="224">
        <f>参数调整!$K$35*怪物掉落配置方案!$D5017</f>
        <v>2.4360237496680356E-2</v>
      </c>
    </row>
    <row r="914" spans="1:4" ht="16.5" hidden="1" x14ac:dyDescent="0.3">
      <c r="A914" s="10" t="str">
        <f>基本属性!$B$24&amp;"|"&amp;基本属性!$C$24</f>
        <v>220|14</v>
      </c>
      <c r="B914" s="10" t="str">
        <f>参数调整!$J$35</f>
        <v>BOSS掉落</v>
      </c>
      <c r="C914" s="8" t="str">
        <f>材料产出!$AR$2</f>
        <v>火龙精魄</v>
      </c>
      <c r="D914" s="224">
        <f>参数调整!$K$35*怪物掉落配置方案!$D5018</f>
        <v>2.7434436564358046E-2</v>
      </c>
    </row>
    <row r="915" spans="1:4" ht="16.5" hidden="1" x14ac:dyDescent="0.3">
      <c r="A915" s="10" t="str">
        <f>基本属性!$B$25&amp;"|"&amp;基本属性!$C$25</f>
        <v>220|15</v>
      </c>
      <c r="B915" s="10" t="str">
        <f>参数调整!$J$35</f>
        <v>BOSS掉落</v>
      </c>
      <c r="C915" s="8" t="str">
        <f>材料产出!$AR$2</f>
        <v>火龙精魄</v>
      </c>
      <c r="D915" s="224">
        <f>参数调整!$K$35*怪物掉落配置方案!$D5019</f>
        <v>3.0691261319224509E-2</v>
      </c>
    </row>
    <row r="916" spans="1:4" ht="16.5" hidden="1" x14ac:dyDescent="0.3">
      <c r="A916" s="10" t="str">
        <f>基本属性!$B$26&amp;"|"&amp;基本属性!$C$26</f>
        <v>230|16</v>
      </c>
      <c r="B916" s="10" t="str">
        <f>参数调整!$J$35</f>
        <v>BOSS掉落</v>
      </c>
      <c r="C916" s="8" t="str">
        <f>材料产出!$AR$2</f>
        <v>火龙精魄</v>
      </c>
      <c r="D916" s="224">
        <f>参数调整!$K$35*怪物掉落配置方案!$D5020</f>
        <v>3.4130711761279749E-2</v>
      </c>
    </row>
    <row r="917" spans="1:4" ht="16.5" hidden="1" x14ac:dyDescent="0.3">
      <c r="A917" s="10" t="str">
        <f>基本属性!$B$27&amp;"|"&amp;基本属性!$C$27</f>
        <v>230|17</v>
      </c>
      <c r="B917" s="10" t="str">
        <f>参数调整!$J$35</f>
        <v>BOSS掉落</v>
      </c>
      <c r="C917" s="8" t="str">
        <f>材料产出!$AR$2</f>
        <v>火龙精魄</v>
      </c>
      <c r="D917" s="224">
        <f>参数调整!$K$35*怪物掉落配置方案!$D5021</f>
        <v>3.7752787890523769E-2</v>
      </c>
    </row>
    <row r="918" spans="1:4" ht="16.5" hidden="1" x14ac:dyDescent="0.3">
      <c r="A918" s="10" t="str">
        <f>基本属性!$B$28&amp;"|"&amp;基本属性!$C$28</f>
        <v>240|18</v>
      </c>
      <c r="B918" s="10" t="str">
        <f>参数调整!$J$35</f>
        <v>BOSS掉落</v>
      </c>
      <c r="C918" s="8" t="str">
        <f>材料产出!$AR$2</f>
        <v>火龙精魄</v>
      </c>
      <c r="D918" s="224">
        <f>参数调整!$K$35*怪物掉落配置方案!$D5022</f>
        <v>4.1557489706956573E-2</v>
      </c>
    </row>
    <row r="919" spans="1:4" ht="16.5" hidden="1" x14ac:dyDescent="0.3">
      <c r="A919" s="10" t="str">
        <f>基本属性!$B$29&amp;"|"&amp;基本属性!$C$29</f>
        <v>240|19</v>
      </c>
      <c r="B919" s="10" t="str">
        <f>参数调整!$J$35</f>
        <v>BOSS掉落</v>
      </c>
      <c r="C919" s="8" t="str">
        <f>材料产出!$AR$2</f>
        <v>火龙精魄</v>
      </c>
      <c r="D919" s="224">
        <f>参数调整!$K$35*怪物掉落配置方案!$D5023</f>
        <v>4.554481721057814E-2</v>
      </c>
    </row>
    <row r="920" spans="1:4" ht="16.5" hidden="1" x14ac:dyDescent="0.3">
      <c r="A920" s="10" t="str">
        <f>基本属性!$B$30&amp;"|"&amp;基本属性!$C$30</f>
        <v>250|20</v>
      </c>
      <c r="B920" s="10" t="str">
        <f>参数调整!$J$35</f>
        <v>BOSS掉落</v>
      </c>
      <c r="C920" s="8" t="str">
        <f>材料产出!$AR$2</f>
        <v>火龙精魄</v>
      </c>
      <c r="D920" s="224">
        <f>参数调整!$K$35*怪物掉落配置方案!$D5024</f>
        <v>4.9714770401388463E-2</v>
      </c>
    </row>
    <row r="921" spans="1:4" ht="16.5" hidden="1" x14ac:dyDescent="0.3">
      <c r="A921" s="10" t="str">
        <f>基本属性!$B$4&amp;"|"&amp;基本属性!$C$4</f>
        <v>35|0</v>
      </c>
      <c r="B921" s="10" t="str">
        <f>参数调整!$J$35</f>
        <v>BOSS掉落</v>
      </c>
      <c r="C921" s="8" t="str">
        <f>材料产出!$L$2</f>
        <v>火龙币</v>
      </c>
      <c r="D921" s="224">
        <f>参数调整!$K$35*怪物掉落配置方案!$D5025</f>
        <v>0.17856733858457899</v>
      </c>
    </row>
    <row r="922" spans="1:4" ht="16.5" hidden="1" x14ac:dyDescent="0.3">
      <c r="A922" s="10" t="str">
        <f>基本属性!$B$5&amp;"|"&amp;基本属性!$C$5</f>
        <v>40|0</v>
      </c>
      <c r="B922" s="10" t="str">
        <f>参数调整!$J$35</f>
        <v>BOSS掉落</v>
      </c>
      <c r="C922" s="8" t="str">
        <f>材料产出!$L$2</f>
        <v>火龙币</v>
      </c>
      <c r="D922" s="224">
        <f>参数调整!$K$35*怪物掉落配置方案!$D5026</f>
        <v>0.22599928789610776</v>
      </c>
    </row>
    <row r="923" spans="1:4" ht="16.5" hidden="1" x14ac:dyDescent="0.3">
      <c r="A923" s="10" t="str">
        <f>基本属性!$B$6&amp;"|"&amp;基本属性!$C$6</f>
        <v>50|0</v>
      </c>
      <c r="B923" s="10" t="str">
        <f>参数调整!$J$35</f>
        <v>BOSS掉落</v>
      </c>
      <c r="C923" s="8" t="str">
        <f>材料产出!$L$2</f>
        <v>火龙币</v>
      </c>
      <c r="D923" s="224">
        <f>参数调整!$K$35*怪物掉落配置方案!$D5027</f>
        <v>0.2790114665384047</v>
      </c>
    </row>
    <row r="924" spans="1:4" ht="16.5" hidden="1" x14ac:dyDescent="0.3">
      <c r="A924" s="10" t="str">
        <f>基本属性!$B$7&amp;"|"&amp;基本属性!$C$7</f>
        <v>60|0</v>
      </c>
      <c r="B924" s="10" t="str">
        <f>参数调整!$J$35</f>
        <v>BOSS掉落</v>
      </c>
      <c r="C924" s="8" t="str">
        <f>材料产出!$L$2</f>
        <v>火龙币</v>
      </c>
      <c r="D924" s="224">
        <f>参数调整!$K$35*怪物掉落配置方案!$D5028</f>
        <v>0.33760387451146967</v>
      </c>
    </row>
    <row r="925" spans="1:4" ht="16.5" hidden="1" x14ac:dyDescent="0.3">
      <c r="A925" s="10" t="str">
        <f>基本属性!$B$8&amp;"|"&amp;基本属性!$C$8</f>
        <v>65|0</v>
      </c>
      <c r="B925" s="10" t="str">
        <f>参数调整!$J$35</f>
        <v>BOSS掉落</v>
      </c>
      <c r="C925" s="8" t="str">
        <f>材料产出!$L$2</f>
        <v>火龙币</v>
      </c>
      <c r="D925" s="224">
        <f>参数调整!$K$35*怪物掉落配置方案!$D5029</f>
        <v>0.40177651181530266</v>
      </c>
    </row>
    <row r="926" spans="1:4" ht="16.5" hidden="1" x14ac:dyDescent="0.3">
      <c r="A926" s="10" t="str">
        <f>基本属性!$B$9&amp;"|"&amp;基本属性!$C$9</f>
        <v>70|0</v>
      </c>
      <c r="B926" s="10" t="str">
        <f>参数调整!$J$35</f>
        <v>BOSS掉落</v>
      </c>
      <c r="C926" s="8" t="str">
        <f>材料产出!$L$2</f>
        <v>火龙币</v>
      </c>
      <c r="D926" s="224">
        <f>参数调整!$K$35*怪物掉落配置方案!$D5030</f>
        <v>0.47152937844990384</v>
      </c>
    </row>
    <row r="927" spans="1:4" ht="16.5" hidden="1" x14ac:dyDescent="0.3">
      <c r="A927" s="10" t="str">
        <f>基本属性!$B$10&amp;"|"&amp;基本属性!$C$10</f>
        <v>75|0</v>
      </c>
      <c r="B927" s="10" t="str">
        <f>参数调整!$J$35</f>
        <v>BOSS掉落</v>
      </c>
      <c r="C927" s="8" t="str">
        <f>材料产出!$L$2</f>
        <v>火龙币</v>
      </c>
      <c r="D927" s="224">
        <f>参数调整!$K$35*怪物掉落配置方案!$D5031</f>
        <v>0.54686247441527303</v>
      </c>
    </row>
    <row r="928" spans="1:4" ht="16.5" hidden="1" x14ac:dyDescent="0.3">
      <c r="A928" s="10" t="str">
        <f>基本属性!$B$11&amp;"|"&amp;基本属性!$C$11</f>
        <v>80|1</v>
      </c>
      <c r="B928" s="10" t="str">
        <f>参数调整!$J$35</f>
        <v>BOSS掉落</v>
      </c>
      <c r="C928" s="8" t="str">
        <f>材料产出!$L$2</f>
        <v>火龙币</v>
      </c>
      <c r="D928" s="224">
        <f>参数调整!$K$35*怪物掉落配置方案!$D5032</f>
        <v>0.6277757997114104</v>
      </c>
    </row>
    <row r="929" spans="1:4" ht="16.5" hidden="1" x14ac:dyDescent="0.3">
      <c r="A929" s="10" t="str">
        <f>基本属性!$B$12&amp;"|"&amp;基本属性!$C$12</f>
        <v>90|2</v>
      </c>
      <c r="B929" s="10" t="str">
        <f>参数调整!$J$35</f>
        <v>BOSS掉落</v>
      </c>
      <c r="C929" s="8" t="str">
        <f>材料产出!$L$2</f>
        <v>火龙币</v>
      </c>
      <c r="D929" s="224">
        <f>参数调整!$K$35*怪物掉落配置方案!$D5033</f>
        <v>0.71426935433831606</v>
      </c>
    </row>
    <row r="930" spans="1:4" ht="16.5" hidden="1" x14ac:dyDescent="0.3">
      <c r="A930" s="10" t="str">
        <f>基本属性!$B$13&amp;"|"&amp;基本属性!$C$13</f>
        <v>100|3</v>
      </c>
      <c r="B930" s="10" t="str">
        <f>参数调整!$J$35</f>
        <v>BOSS掉落</v>
      </c>
      <c r="C930" s="8" t="str">
        <f>材料产出!$L$2</f>
        <v>火龙币</v>
      </c>
      <c r="D930" s="224">
        <f>参数调整!$K$35*怪物掉落配置方案!$D5034</f>
        <v>0.90399715158443128</v>
      </c>
    </row>
    <row r="931" spans="1:4" ht="16.5" hidden="1" x14ac:dyDescent="0.3">
      <c r="A931" s="10" t="str">
        <f>基本属性!$B$14&amp;"|"&amp;基本属性!$C$14</f>
        <v>105|4</v>
      </c>
      <c r="B931" s="10" t="str">
        <f>参数调整!$J$35</f>
        <v>BOSS掉落</v>
      </c>
      <c r="C931" s="8" t="str">
        <f>材料产出!$L$2</f>
        <v>火龙币</v>
      </c>
      <c r="D931" s="224">
        <f>参数调整!$K$35*怪物掉落配置方案!$D5035</f>
        <v>1.1160458661536188</v>
      </c>
    </row>
    <row r="932" spans="1:4" ht="16.5" hidden="1" x14ac:dyDescent="0.3">
      <c r="A932" s="10" t="str">
        <f>基本属性!$B$15&amp;"|"&amp;基本属性!$C$15</f>
        <v>110|5</v>
      </c>
      <c r="B932" s="10" t="str">
        <f>参数调整!$J$35</f>
        <v>BOSS掉落</v>
      </c>
      <c r="C932" s="8" t="str">
        <f>材料产出!$L$2</f>
        <v>火龙币</v>
      </c>
      <c r="D932" s="224">
        <f>参数调整!$K$35*怪物掉落配置方案!$D5036</f>
        <v>1.3504154980458787</v>
      </c>
    </row>
    <row r="933" spans="1:4" ht="16.5" hidden="1" x14ac:dyDescent="0.3">
      <c r="A933" s="10" t="str">
        <f>基本属性!$B$16&amp;"|"&amp;基本属性!$C$16</f>
        <v>120|6</v>
      </c>
      <c r="B933" s="10" t="str">
        <f>参数调整!$J$35</f>
        <v>BOSS掉落</v>
      </c>
      <c r="C933" s="8" t="str">
        <f>材料产出!$L$2</f>
        <v>火龙币</v>
      </c>
      <c r="D933" s="224">
        <f>参数调整!$K$35*怪物掉落配置方案!$D5037</f>
        <v>1.7438216658650294</v>
      </c>
    </row>
    <row r="934" spans="1:4" ht="16.5" hidden="1" x14ac:dyDescent="0.3">
      <c r="A934" s="10" t="str">
        <f>基本属性!$B$17&amp;"|"&amp;基本属性!$C$17</f>
        <v>135|7</v>
      </c>
      <c r="B934" s="10" t="str">
        <f>参数调整!$J$35</f>
        <v>BOSS掉落</v>
      </c>
      <c r="C934" s="8" t="str">
        <f>材料产出!$L$2</f>
        <v>火龙币</v>
      </c>
      <c r="D934" s="224">
        <f>参数调整!$K$35*怪物掉落配置方案!$D5038</f>
        <v>2.5111031988456416</v>
      </c>
    </row>
    <row r="935" spans="1:4" ht="16.5" hidden="1" x14ac:dyDescent="0.3">
      <c r="A935" s="10" t="str">
        <f>基本属性!$B$18&amp;"|"&amp;基本属性!$C$18</f>
        <v>155|8</v>
      </c>
      <c r="B935" s="10" t="str">
        <f>参数调整!$J$35</f>
        <v>BOSS掉落</v>
      </c>
      <c r="C935" s="8" t="str">
        <f>材料产出!$L$2</f>
        <v>火龙币</v>
      </c>
      <c r="D935" s="224">
        <f>参数调整!$K$35*怪物掉落配置方案!$D5039</f>
        <v>3.4178904650954571</v>
      </c>
    </row>
    <row r="936" spans="1:4" ht="16.5" hidden="1" x14ac:dyDescent="0.3">
      <c r="A936" s="10" t="str">
        <f>基本属性!$B$19&amp;"|"&amp;基本属性!$C$19</f>
        <v>190|9</v>
      </c>
      <c r="B936" s="10" t="str">
        <f>参数调整!$J$35</f>
        <v>BOSS掉落</v>
      </c>
      <c r="C936" s="8" t="str">
        <f>材料产出!$L$2</f>
        <v>火龙币</v>
      </c>
      <c r="D936" s="224">
        <f>参数调整!$K$35*怪物掉落配置方案!$D5040</f>
        <v>3.8196669769107601</v>
      </c>
    </row>
    <row r="937" spans="1:4" ht="16.5" hidden="1" x14ac:dyDescent="0.3">
      <c r="A937" s="10" t="str">
        <f>基本属性!$B$20&amp;"|"&amp;基本属性!$C$20</f>
        <v>200|10</v>
      </c>
      <c r="B937" s="10" t="str">
        <f>参数调整!$J$35</f>
        <v>BOSS掉落</v>
      </c>
      <c r="C937" s="8" t="str">
        <f>材料产出!$L$2</f>
        <v>火龙币</v>
      </c>
      <c r="D937" s="224">
        <f>参数调整!$K$35*怪物掉落配置方案!$D5041</f>
        <v>4.4641834646144751</v>
      </c>
    </row>
    <row r="938" spans="1:4" ht="16.5" hidden="1" x14ac:dyDescent="0.3">
      <c r="A938" s="10" t="str">
        <f>基本属性!$B$21&amp;"|"&amp;基本属性!$C$21</f>
        <v>200|11</v>
      </c>
      <c r="B938" s="10" t="str">
        <f>参数调整!$J$35</f>
        <v>BOSS掉落</v>
      </c>
      <c r="C938" s="8" t="str">
        <f>材料产出!$L$2</f>
        <v>火龙币</v>
      </c>
      <c r="D938" s="224">
        <f>参数调整!$K$35*怪物掉落配置方案!$D5042</f>
        <v>5.1589220162951008</v>
      </c>
    </row>
    <row r="939" spans="1:4" ht="16.5" hidden="1" x14ac:dyDescent="0.3">
      <c r="A939" s="10" t="str">
        <f>基本属性!$B$22&amp;"|"&amp;基本属性!$C$22</f>
        <v>210|12</v>
      </c>
      <c r="B939" s="10" t="str">
        <f>参数调整!$J$35</f>
        <v>BOSS掉落</v>
      </c>
      <c r="C939" s="8" t="str">
        <f>材料产出!$L$2</f>
        <v>火龙币</v>
      </c>
      <c r="D939" s="224">
        <f>参数调整!$K$35*怪物掉落配置方案!$D5043</f>
        <v>5.9038826319526416</v>
      </c>
    </row>
    <row r="940" spans="1:4" ht="16.5" hidden="1" x14ac:dyDescent="0.3">
      <c r="A940" s="10" t="str">
        <f>基本属性!$B$23&amp;"|"&amp;基本属性!$C$23</f>
        <v>210|13</v>
      </c>
      <c r="B940" s="10" t="str">
        <f>参数调整!$J$35</f>
        <v>BOSS掉落</v>
      </c>
      <c r="C940" s="8" t="str">
        <f>材料产出!$L$2</f>
        <v>火龙币</v>
      </c>
      <c r="D940" s="224">
        <f>参数调整!$K$35*怪物掉落配置方案!$D5044</f>
        <v>6.6990653115870966</v>
      </c>
    </row>
    <row r="941" spans="1:4" ht="16.5" hidden="1" x14ac:dyDescent="0.3">
      <c r="A941" s="10" t="str">
        <f>基本属性!$B$24&amp;"|"&amp;基本属性!$C$24</f>
        <v>220|14</v>
      </c>
      <c r="B941" s="10" t="str">
        <f>参数调整!$J$35</f>
        <v>BOSS掉落</v>
      </c>
      <c r="C941" s="8" t="str">
        <f>材料产出!$L$2</f>
        <v>火龙币</v>
      </c>
      <c r="D941" s="224">
        <f>参数调整!$K$35*怪物掉落配置方案!$D5045</f>
        <v>7.5444700551984631</v>
      </c>
    </row>
    <row r="942" spans="1:4" ht="16.5" hidden="1" x14ac:dyDescent="0.3">
      <c r="A942" s="10" t="str">
        <f>基本属性!$B$25&amp;"|"&amp;基本属性!$C$25</f>
        <v>220|15</v>
      </c>
      <c r="B942" s="10" t="str">
        <f>参数调整!$J$35</f>
        <v>BOSS掉落</v>
      </c>
      <c r="C942" s="8" t="str">
        <f>材料产出!$L$2</f>
        <v>火龙币</v>
      </c>
      <c r="D942" s="224">
        <f>参数调整!$K$35*怪物掉落配置方案!$D5046</f>
        <v>8.4400968627867403</v>
      </c>
    </row>
    <row r="943" spans="1:4" ht="16.5" hidden="1" x14ac:dyDescent="0.3">
      <c r="A943" s="10" t="str">
        <f>基本属性!$B$26&amp;"|"&amp;基本属性!$C$26</f>
        <v>230|16</v>
      </c>
      <c r="B943" s="10" t="str">
        <f>参数调整!$J$35</f>
        <v>BOSS掉落</v>
      </c>
      <c r="C943" s="8" t="str">
        <f>材料产出!$L$2</f>
        <v>火龙币</v>
      </c>
      <c r="D943" s="224">
        <f>参数调整!$K$35*怪物掉落配置方案!$D5047</f>
        <v>9.3859457343519317</v>
      </c>
    </row>
    <row r="944" spans="1:4" ht="16.5" hidden="1" x14ac:dyDescent="0.3">
      <c r="A944" s="10" t="str">
        <f>基本属性!$B$27&amp;"|"&amp;基本属性!$C$27</f>
        <v>230|17</v>
      </c>
      <c r="B944" s="10" t="str">
        <f>参数调整!$J$35</f>
        <v>BOSS掉落</v>
      </c>
      <c r="C944" s="8" t="str">
        <f>材料产出!$L$2</f>
        <v>火龙币</v>
      </c>
      <c r="D944" s="224">
        <f>参数调整!$K$35*怪物掉落配置方案!$D5048</f>
        <v>10.382016669894035</v>
      </c>
    </row>
    <row r="945" spans="1:4" ht="16.5" hidden="1" x14ac:dyDescent="0.3">
      <c r="A945" s="10" t="str">
        <f>基本属性!$B$28&amp;"|"&amp;基本属性!$C$28</f>
        <v>240|18</v>
      </c>
      <c r="B945" s="10" t="str">
        <f>参数调整!$J$35</f>
        <v>BOSS掉落</v>
      </c>
      <c r="C945" s="8" t="str">
        <f>材料产出!$L$2</f>
        <v>火龙币</v>
      </c>
      <c r="D945" s="224">
        <f>参数调整!$K$35*怪物掉落配置方案!$D5049</f>
        <v>11.428309669413055</v>
      </c>
    </row>
    <row r="946" spans="1:4" ht="16.5" hidden="1" x14ac:dyDescent="0.3">
      <c r="A946" s="10" t="str">
        <f>基本属性!$B$29&amp;"|"&amp;基本属性!$C$29</f>
        <v>240|19</v>
      </c>
      <c r="B946" s="10" t="str">
        <f>参数调整!$J$35</f>
        <v>BOSS掉落</v>
      </c>
      <c r="C946" s="8" t="str">
        <f>材料产出!$L$2</f>
        <v>火龙币</v>
      </c>
      <c r="D946" s="224">
        <f>参数调整!$K$35*怪物掉落配置方案!$D5050</f>
        <v>12.524824732908984</v>
      </c>
    </row>
    <row r="947" spans="1:4" ht="16.5" hidden="1" x14ac:dyDescent="0.3">
      <c r="A947" s="10" t="str">
        <f>基本属性!$B$30&amp;"|"&amp;基本属性!$C$30</f>
        <v>250|20</v>
      </c>
      <c r="B947" s="10" t="str">
        <f>参数调整!$J$35</f>
        <v>BOSS掉落</v>
      </c>
      <c r="C947" s="8" t="str">
        <f>材料产出!$L$2</f>
        <v>火龙币</v>
      </c>
      <c r="D947" s="224">
        <f>参数调整!$K$35*怪物掉落配置方案!$D5051</f>
        <v>13.671561860381825</v>
      </c>
    </row>
    <row r="948" spans="1:4" ht="16.5" hidden="1" x14ac:dyDescent="0.3">
      <c r="A948" s="10" t="str">
        <f>基本属性!$B$4&amp;"|"&amp;基本属性!$C$4</f>
        <v>35|0</v>
      </c>
      <c r="B948" s="10" t="str">
        <f>参数调整!$J$35</f>
        <v>BOSS掉落</v>
      </c>
      <c r="C948" s="8" t="str">
        <f>材料产出!$BD$2</f>
        <v>防具碎片</v>
      </c>
      <c r="D948" s="224">
        <f>参数调整!$K$35*怪物掉落配置方案!$D5052</f>
        <v>6.493357766711963E-3</v>
      </c>
    </row>
    <row r="949" spans="1:4" ht="16.5" hidden="1" x14ac:dyDescent="0.3">
      <c r="A949" s="10" t="str">
        <f>基本属性!$B$5&amp;"|"&amp;基本属性!$C$5</f>
        <v>40|0</v>
      </c>
      <c r="B949" s="10" t="str">
        <f>参数调整!$J$35</f>
        <v>BOSS掉落</v>
      </c>
      <c r="C949" s="8" t="str">
        <f>材料产出!$BD$2</f>
        <v>防具碎片</v>
      </c>
      <c r="D949" s="224">
        <f>参数调整!$K$35*怪物掉落配置方案!$D5053</f>
        <v>8.2181559234948288E-3</v>
      </c>
    </row>
    <row r="950" spans="1:4" ht="16.5" hidden="1" x14ac:dyDescent="0.3">
      <c r="A950" s="10" t="str">
        <f>基本属性!$B$6&amp;"|"&amp;基本属性!$C$6</f>
        <v>50|0</v>
      </c>
      <c r="B950" s="10" t="str">
        <f>参数调整!$J$35</f>
        <v>BOSS掉落</v>
      </c>
      <c r="C950" s="8" t="str">
        <f>材料产出!$BD$2</f>
        <v>防具碎片</v>
      </c>
      <c r="D950" s="224">
        <f>参数调整!$K$35*怪物掉落配置方案!$D5054</f>
        <v>1.0145871510487443E-2</v>
      </c>
    </row>
    <row r="951" spans="1:4" ht="16.5" hidden="1" x14ac:dyDescent="0.3">
      <c r="A951" s="10" t="str">
        <f>基本属性!$B$7&amp;"|"&amp;基本属性!$C$7</f>
        <v>60|0</v>
      </c>
      <c r="B951" s="10" t="str">
        <f>参数调整!$J$35</f>
        <v>BOSS掉落</v>
      </c>
      <c r="C951" s="8" t="str">
        <f>材料产出!$BD$2</f>
        <v>防具碎片</v>
      </c>
      <c r="D951" s="224">
        <f>参数调整!$K$35*怪物掉落配置方案!$D5055</f>
        <v>1.2276504527689806E-2</v>
      </c>
    </row>
    <row r="952" spans="1:4" ht="16.5" hidden="1" x14ac:dyDescent="0.3">
      <c r="A952" s="10" t="str">
        <f>基本属性!$B$8&amp;"|"&amp;基本属性!$C$8</f>
        <v>65|0</v>
      </c>
      <c r="B952" s="10" t="str">
        <f>参数调整!$J$35</f>
        <v>BOSS掉落</v>
      </c>
      <c r="C952" s="8" t="str">
        <f>材料产出!$BD$2</f>
        <v>防具碎片</v>
      </c>
      <c r="D952" s="224">
        <f>参数调整!$K$35*怪物掉落配置方案!$D5056</f>
        <v>1.4610054975101918E-2</v>
      </c>
    </row>
    <row r="953" spans="1:4" ht="16.5" hidden="1" x14ac:dyDescent="0.3">
      <c r="A953" s="10" t="str">
        <f>基本属性!$B$9&amp;"|"&amp;基本属性!$C$9</f>
        <v>70|0</v>
      </c>
      <c r="B953" s="10" t="str">
        <f>参数调整!$J$35</f>
        <v>BOSS掉落</v>
      </c>
      <c r="C953" s="8" t="str">
        <f>材料产出!$BD$2</f>
        <v>防具碎片</v>
      </c>
      <c r="D953" s="224">
        <f>参数调整!$K$35*怪物掉落配置方案!$D5057</f>
        <v>1.7146522852723778E-2</v>
      </c>
    </row>
    <row r="954" spans="1:4" ht="16.5" hidden="1" x14ac:dyDescent="0.3">
      <c r="A954" s="10" t="str">
        <f>基本属性!$B$10&amp;"|"&amp;基本属性!$C$10</f>
        <v>75|0</v>
      </c>
      <c r="B954" s="10" t="str">
        <f>参数调整!$J$35</f>
        <v>BOSS掉落</v>
      </c>
      <c r="C954" s="8" t="str">
        <f>材料产出!$BD$2</f>
        <v>防具碎片</v>
      </c>
      <c r="D954" s="224">
        <f>参数调整!$K$35*怪物掉落配置方案!$D5058</f>
        <v>1.9885908160555386E-2</v>
      </c>
    </row>
    <row r="955" spans="1:4" ht="16.5" hidden="1" x14ac:dyDescent="0.3">
      <c r="A955" s="10" t="str">
        <f>基本属性!$B$11&amp;"|"&amp;基本属性!$C$11</f>
        <v>80|1</v>
      </c>
      <c r="B955" s="10" t="str">
        <f>参数调整!$J$35</f>
        <v>BOSS掉落</v>
      </c>
      <c r="C955" s="8" t="str">
        <f>材料产出!$BD$2</f>
        <v>防具碎片</v>
      </c>
      <c r="D955" s="224">
        <f>参数调整!$K$35*怪物掉落配置方案!$D5059</f>
        <v>2.2828210898596744E-2</v>
      </c>
    </row>
    <row r="956" spans="1:4" ht="16.5" hidden="1" x14ac:dyDescent="0.3">
      <c r="A956" s="10" t="str">
        <f>基本属性!$B$12&amp;"|"&amp;基本属性!$C$12</f>
        <v>90|2</v>
      </c>
      <c r="B956" s="10" t="str">
        <f>参数调整!$J$35</f>
        <v>BOSS掉落</v>
      </c>
      <c r="C956" s="8" t="str">
        <f>材料产出!$BD$2</f>
        <v>防具碎片</v>
      </c>
      <c r="D956" s="224">
        <f>参数调整!$K$35*怪物掉落配置方案!$D5060</f>
        <v>2.5973431066847859E-2</v>
      </c>
    </row>
    <row r="957" spans="1:4" ht="16.5" hidden="1" x14ac:dyDescent="0.3">
      <c r="A957" s="10" t="str">
        <f>基本属性!$B$13&amp;"|"&amp;基本属性!$C$13</f>
        <v>100|3</v>
      </c>
      <c r="B957" s="10" t="str">
        <f>参数调整!$J$35</f>
        <v>BOSS掉落</v>
      </c>
      <c r="C957" s="8" t="str">
        <f>材料产出!$BD$2</f>
        <v>防具碎片</v>
      </c>
      <c r="D957" s="224">
        <f>参数调整!$K$35*怪物掉落配置方案!$D5061</f>
        <v>3.2872623693979322E-2</v>
      </c>
    </row>
    <row r="958" spans="1:4" ht="16.5" hidden="1" x14ac:dyDescent="0.3">
      <c r="A958" s="10" t="str">
        <f>基本属性!$B$14&amp;"|"&amp;基本属性!$C$14</f>
        <v>105|4</v>
      </c>
      <c r="B958" s="10" t="str">
        <f>参数调整!$J$35</f>
        <v>BOSS掉落</v>
      </c>
      <c r="C958" s="8" t="str">
        <f>材料产出!$BD$2</f>
        <v>防具碎片</v>
      </c>
      <c r="D958" s="224">
        <f>参数调整!$K$35*怪物掉落配置方案!$D5062</f>
        <v>4.0583486041949772E-2</v>
      </c>
    </row>
    <row r="959" spans="1:4" ht="16.5" hidden="1" x14ac:dyDescent="0.3">
      <c r="A959" s="10" t="str">
        <f>基本属性!$B$15&amp;"|"&amp;基本属性!$C$15</f>
        <v>110|5</v>
      </c>
      <c r="B959" s="10" t="str">
        <f>参数调整!$J$35</f>
        <v>BOSS掉落</v>
      </c>
      <c r="C959" s="8" t="str">
        <f>材料产出!$BD$2</f>
        <v>防具碎片</v>
      </c>
      <c r="D959" s="224">
        <f>参数调整!$K$35*怪物掉落配置方案!$D5063</f>
        <v>4.9106018110759236E-2</v>
      </c>
    </row>
    <row r="960" spans="1:4" ht="16.5" hidden="1" x14ac:dyDescent="0.3">
      <c r="A960" s="10" t="str">
        <f>基本属性!$B$16&amp;"|"&amp;基本属性!$C$16</f>
        <v>120|6</v>
      </c>
      <c r="B960" s="10" t="str">
        <f>参数调整!$J$35</f>
        <v>BOSS掉落</v>
      </c>
      <c r="C960" s="8" t="str">
        <f>材料产出!$BD$2</f>
        <v>防具碎片</v>
      </c>
      <c r="D960" s="224">
        <f>参数调整!$K$35*怪物掉落配置方案!$D5064</f>
        <v>6.3411696940546533E-2</v>
      </c>
    </row>
    <row r="961" spans="1:4" ht="16.5" hidden="1" x14ac:dyDescent="0.3">
      <c r="A961" s="10" t="str">
        <f>基本属性!$B$17&amp;"|"&amp;基本属性!$C$17</f>
        <v>135|7</v>
      </c>
      <c r="B961" s="10" t="str">
        <f>参数调整!$J$35</f>
        <v>BOSS掉落</v>
      </c>
      <c r="C961" s="8" t="str">
        <f>材料产出!$BD$2</f>
        <v>防具碎片</v>
      </c>
      <c r="D961" s="224">
        <f>参数调整!$K$35*怪物掉落配置方案!$D5065</f>
        <v>9.1312843594386975E-2</v>
      </c>
    </row>
    <row r="962" spans="1:4" ht="16.5" hidden="1" x14ac:dyDescent="0.3">
      <c r="A962" s="10" t="str">
        <f>基本属性!$B$18&amp;"|"&amp;基本属性!$C$18</f>
        <v>155|8</v>
      </c>
      <c r="B962" s="10" t="str">
        <f>参数调整!$J$35</f>
        <v>BOSS掉落</v>
      </c>
      <c r="C962" s="8" t="str">
        <f>材料产出!$BD$2</f>
        <v>防具碎片</v>
      </c>
      <c r="D962" s="224">
        <f>参数调整!$K$35*怪物掉落配置方案!$D5066</f>
        <v>0.12428692600347119</v>
      </c>
    </row>
    <row r="963" spans="1:4" ht="16.5" hidden="1" x14ac:dyDescent="0.3">
      <c r="A963" s="10" t="str">
        <f>基本属性!$B$19&amp;"|"&amp;基本属性!$C$19</f>
        <v>190|9</v>
      </c>
      <c r="B963" s="10" t="str">
        <f>参数调整!$J$35</f>
        <v>BOSS掉落</v>
      </c>
      <c r="C963" s="8" t="str">
        <f>材料产出!$BD$2</f>
        <v>防具碎片</v>
      </c>
      <c r="D963" s="224">
        <f>参数调整!$K$35*怪物掉落配置方案!$D5067</f>
        <v>0.13889698097857309</v>
      </c>
    </row>
    <row r="964" spans="1:4" ht="16.5" hidden="1" x14ac:dyDescent="0.3">
      <c r="A964" s="10" t="str">
        <f>基本属性!$B$20&amp;"|"&amp;基本属性!$C$20</f>
        <v>200|10</v>
      </c>
      <c r="B964" s="10" t="str">
        <f>参数调整!$J$35</f>
        <v>BOSS掉落</v>
      </c>
      <c r="C964" s="8" t="str">
        <f>材料产出!$BD$2</f>
        <v>防具碎片</v>
      </c>
      <c r="D964" s="224">
        <f>参数调整!$K$35*怪物掉落配置方案!$D5068</f>
        <v>0.16233394416779909</v>
      </c>
    </row>
    <row r="965" spans="1:4" ht="16.5" hidden="1" x14ac:dyDescent="0.3">
      <c r="A965" s="10" t="str">
        <f>基本属性!$B$21&amp;"|"&amp;基本属性!$C$21</f>
        <v>200|11</v>
      </c>
      <c r="B965" s="10" t="str">
        <f>参数调整!$J$35</f>
        <v>BOSS掉落</v>
      </c>
      <c r="C965" s="8" t="str">
        <f>材料产出!$BD$2</f>
        <v>防具碎片</v>
      </c>
      <c r="D965" s="224">
        <f>参数调整!$K$35*怪物掉落配置方案!$D5069</f>
        <v>0.18759716422891276</v>
      </c>
    </row>
    <row r="966" spans="1:4" ht="16.5" hidden="1" x14ac:dyDescent="0.3">
      <c r="A966" s="10" t="str">
        <f>基本属性!$B$22&amp;"|"&amp;基本属性!$C$22</f>
        <v>210|12</v>
      </c>
      <c r="B966" s="10" t="str">
        <f>参数调整!$J$35</f>
        <v>BOSS掉落</v>
      </c>
      <c r="C966" s="8" t="str">
        <f>材料产出!$BD$2</f>
        <v>防具碎片</v>
      </c>
      <c r="D966" s="224">
        <f>参数调整!$K$35*怪物掉落配置方案!$D5070</f>
        <v>0.21468664116191422</v>
      </c>
    </row>
    <row r="967" spans="1:4" ht="16.5" hidden="1" x14ac:dyDescent="0.3">
      <c r="A967" s="10" t="str">
        <f>基本属性!$B$23&amp;"|"&amp;基本属性!$C$23</f>
        <v>210|13</v>
      </c>
      <c r="B967" s="10" t="str">
        <f>参数调整!$J$35</f>
        <v>BOSS掉落</v>
      </c>
      <c r="C967" s="8" t="str">
        <f>材料产出!$BD$2</f>
        <v>防具碎片</v>
      </c>
      <c r="D967" s="224">
        <f>参数调整!$K$35*怪物掉落配置方案!$D5071</f>
        <v>0.24360237496680354</v>
      </c>
    </row>
    <row r="968" spans="1:4" ht="16.5" hidden="1" x14ac:dyDescent="0.3">
      <c r="A968" s="10" t="str">
        <f>基本属性!$B$24&amp;"|"&amp;基本属性!$C$24</f>
        <v>220|14</v>
      </c>
      <c r="B968" s="10" t="str">
        <f>参数调整!$J$35</f>
        <v>BOSS掉落</v>
      </c>
      <c r="C968" s="8" t="str">
        <f>材料产出!$BD$2</f>
        <v>防具碎片</v>
      </c>
      <c r="D968" s="224">
        <f>参数调整!$K$35*怪物掉落配置方案!$D5072</f>
        <v>0.27434436564358045</v>
      </c>
    </row>
    <row r="969" spans="1:4" ht="16.5" hidden="1" x14ac:dyDescent="0.3">
      <c r="A969" s="10" t="str">
        <f>基本属性!$B$25&amp;"|"&amp;基本属性!$C$25</f>
        <v>220|15</v>
      </c>
      <c r="B969" s="10" t="str">
        <f>参数调整!$J$35</f>
        <v>BOSS掉落</v>
      </c>
      <c r="C969" s="8" t="str">
        <f>材料产出!$BD$2</f>
        <v>防具碎片</v>
      </c>
      <c r="D969" s="224">
        <f>参数调整!$K$35*怪物掉落配置方案!$D5073</f>
        <v>0.30691261319224505</v>
      </c>
    </row>
    <row r="970" spans="1:4" ht="16.5" hidden="1" x14ac:dyDescent="0.3">
      <c r="A970" s="10" t="str">
        <f>基本属性!$B$26&amp;"|"&amp;基本属性!$C$26</f>
        <v>230|16</v>
      </c>
      <c r="B970" s="10" t="str">
        <f>参数调整!$J$35</f>
        <v>BOSS掉落</v>
      </c>
      <c r="C970" s="8" t="str">
        <f>材料产出!$BD$2</f>
        <v>防具碎片</v>
      </c>
      <c r="D970" s="224">
        <f>参数调整!$K$35*怪物掉落配置方案!$D5074</f>
        <v>0.34130711761279753</v>
      </c>
    </row>
    <row r="971" spans="1:4" ht="16.5" hidden="1" x14ac:dyDescent="0.3">
      <c r="A971" s="10" t="str">
        <f>基本属性!$B$27&amp;"|"&amp;基本属性!$C$27</f>
        <v>230|17</v>
      </c>
      <c r="B971" s="10" t="str">
        <f>参数调整!$J$35</f>
        <v>BOSS掉落</v>
      </c>
      <c r="C971" s="8" t="str">
        <f>材料产出!$BD$2</f>
        <v>防具碎片</v>
      </c>
      <c r="D971" s="224">
        <f>参数调整!$K$35*怪物掉落配置方案!$D5075</f>
        <v>0.3775278789052377</v>
      </c>
    </row>
    <row r="972" spans="1:4" ht="16.5" hidden="1" x14ac:dyDescent="0.3">
      <c r="A972" s="10" t="str">
        <f>基本属性!$B$28&amp;"|"&amp;基本属性!$C$28</f>
        <v>240|18</v>
      </c>
      <c r="B972" s="10" t="str">
        <f>参数调整!$J$35</f>
        <v>BOSS掉落</v>
      </c>
      <c r="C972" s="8" t="str">
        <f>材料产出!$BD$2</f>
        <v>防具碎片</v>
      </c>
      <c r="D972" s="224">
        <f>参数调整!$K$35*怪物掉落配置方案!$D5076</f>
        <v>0.41557489706956563</v>
      </c>
    </row>
    <row r="973" spans="1:4" ht="16.5" hidden="1" x14ac:dyDescent="0.3">
      <c r="A973" s="10" t="str">
        <f>基本属性!$B$29&amp;"|"&amp;基本属性!$C$29</f>
        <v>240|19</v>
      </c>
      <c r="B973" s="10" t="str">
        <f>参数调整!$J$35</f>
        <v>BOSS掉落</v>
      </c>
      <c r="C973" s="8" t="str">
        <f>材料产出!$BD$2</f>
        <v>防具碎片</v>
      </c>
      <c r="D973" s="224">
        <f>参数调整!$K$35*怪物掉落配置方案!$D5077</f>
        <v>0.45544817210578131</v>
      </c>
    </row>
    <row r="974" spans="1:4" ht="16.5" hidden="1" x14ac:dyDescent="0.3">
      <c r="A974" s="10" t="str">
        <f>基本属性!$B$30&amp;"|"&amp;基本属性!$C$30</f>
        <v>250|20</v>
      </c>
      <c r="B974" s="10" t="str">
        <f>参数调整!$J$35</f>
        <v>BOSS掉落</v>
      </c>
      <c r="C974" s="8" t="str">
        <f>材料产出!$BD$2</f>
        <v>防具碎片</v>
      </c>
      <c r="D974" s="224">
        <f>参数调整!$K$35*怪物掉落配置方案!$D5078</f>
        <v>0.49714770401388453</v>
      </c>
    </row>
    <row r="975" spans="1:4" ht="16.5" hidden="1" x14ac:dyDescent="0.3">
      <c r="A975" s="10" t="str">
        <f>基本属性!$B$4&amp;"|"&amp;基本属性!$C$4</f>
        <v>35|0</v>
      </c>
      <c r="B975" s="10" t="str">
        <f>参数调整!$J$35</f>
        <v>BOSS掉落</v>
      </c>
      <c r="C975" s="8" t="str">
        <f>材料产出!$AD$2</f>
        <v>凡品升星石</v>
      </c>
      <c r="D975" s="224">
        <f>参数调整!$K$35*怪物掉落配置方案!$D5079</f>
        <v>0.90730085236241187</v>
      </c>
    </row>
    <row r="976" spans="1:4" ht="16.5" hidden="1" x14ac:dyDescent="0.3">
      <c r="A976" s="10" t="str">
        <f>基本属性!$B$5&amp;"|"&amp;基本属性!$C$5</f>
        <v>40|0</v>
      </c>
      <c r="B976" s="10" t="str">
        <f>参数调整!$J$35</f>
        <v>BOSS掉落</v>
      </c>
      <c r="C976" s="8" t="str">
        <f>材料产出!$AD$2</f>
        <v>凡品升星石</v>
      </c>
      <c r="D976" s="224">
        <f>参数调整!$K$35*怪物掉落配置方案!$D5080</f>
        <v>1.1483026412711779</v>
      </c>
    </row>
    <row r="977" spans="1:4" ht="16.5" hidden="1" x14ac:dyDescent="0.3">
      <c r="A977" s="10" t="str">
        <f>基本属性!$B$6&amp;"|"&amp;基本属性!$C$6</f>
        <v>50|0</v>
      </c>
      <c r="B977" s="10" t="str">
        <f>参数调整!$J$35</f>
        <v>BOSS掉落</v>
      </c>
      <c r="C977" s="8" t="str">
        <f>材料产出!$AD$2</f>
        <v>凡品升星石</v>
      </c>
      <c r="D977" s="224">
        <f>参数调整!$K$35*怪物掉落配置方案!$D5081</f>
        <v>1.4176575818162687</v>
      </c>
    </row>
    <row r="978" spans="1:4" ht="16.5" hidden="1" x14ac:dyDescent="0.3">
      <c r="A978" s="10" t="str">
        <f>基本属性!$B$7&amp;"|"&amp;基本属性!$C$7</f>
        <v>60|0</v>
      </c>
      <c r="B978" s="10" t="str">
        <f>参数调整!$J$35</f>
        <v>BOSS掉落</v>
      </c>
      <c r="C978" s="8" t="str">
        <f>材料产出!$AD$2</f>
        <v>凡品升星石</v>
      </c>
      <c r="D978" s="224">
        <f>参数调整!$K$35*怪物掉落配置方案!$D5082</f>
        <v>1.715365673997685</v>
      </c>
    </row>
    <row r="979" spans="1:4" ht="16.5" hidden="1" x14ac:dyDescent="0.3">
      <c r="A979" s="10" t="str">
        <f>基本属性!$B$8&amp;"|"&amp;基本属性!$C$8</f>
        <v>65|0</v>
      </c>
      <c r="B979" s="10" t="str">
        <f>参数调整!$J$35</f>
        <v>BOSS掉落</v>
      </c>
      <c r="C979" s="8" t="str">
        <f>材料产出!$AD$2</f>
        <v>凡品升星石</v>
      </c>
      <c r="D979" s="224">
        <f>参数调整!$K$35*怪物掉落配置方案!$D5083</f>
        <v>2.0414269178154267</v>
      </c>
    </row>
    <row r="980" spans="1:4" ht="16.5" hidden="1" x14ac:dyDescent="0.3">
      <c r="A980" s="10" t="str">
        <f>基本属性!$B$9&amp;"|"&amp;基本属性!$C$9</f>
        <v>70|0</v>
      </c>
      <c r="B980" s="10" t="str">
        <f>参数调整!$J$35</f>
        <v>BOSS掉落</v>
      </c>
      <c r="C980" s="8" t="str">
        <f>材料产出!$AD$2</f>
        <v>凡品升星石</v>
      </c>
      <c r="D980" s="224">
        <f>参数调整!$K$35*怪物掉落配置方案!$D5084</f>
        <v>2.3958413132694938</v>
      </c>
    </row>
    <row r="981" spans="1:4" ht="16.5" hidden="1" x14ac:dyDescent="0.3">
      <c r="A981" s="10" t="str">
        <f>基本属性!$B$10&amp;"|"&amp;基本属性!$C$10</f>
        <v>75|0</v>
      </c>
      <c r="B981" s="10" t="str">
        <f>参数调整!$J$35</f>
        <v>BOSS掉落</v>
      </c>
      <c r="C981" s="8" t="str">
        <f>材料产出!$AD$2</f>
        <v>凡品升星石</v>
      </c>
      <c r="D981" s="224">
        <f>参数调整!$K$35*怪物掉落配置方案!$D5085</f>
        <v>2.7786088603598862</v>
      </c>
    </row>
    <row r="982" spans="1:4" ht="16.5" hidden="1" x14ac:dyDescent="0.3">
      <c r="A982" s="10" t="str">
        <f>基本属性!$B$11&amp;"|"&amp;基本属性!$C$11</f>
        <v>80|1</v>
      </c>
      <c r="B982" s="10" t="str">
        <f>参数调整!$J$35</f>
        <v>BOSS掉落</v>
      </c>
      <c r="C982" s="8" t="str">
        <f>材料产出!$AD$2</f>
        <v>凡品升星石</v>
      </c>
      <c r="D982" s="224">
        <f>参数调整!$K$35*怪物掉落配置方案!$D5086</f>
        <v>3.1897295590866044</v>
      </c>
    </row>
    <row r="983" spans="1:4" ht="16.5" hidden="1" x14ac:dyDescent="0.3">
      <c r="A983" s="10" t="str">
        <f>基本属性!$B$12&amp;"|"&amp;基本属性!$C$12</f>
        <v>90|2</v>
      </c>
      <c r="B983" s="10" t="str">
        <f>参数调整!$J$35</f>
        <v>BOSS掉落</v>
      </c>
      <c r="C983" s="8" t="str">
        <f>材料产出!$AD$2</f>
        <v>凡品升星石</v>
      </c>
      <c r="D983" s="224">
        <f>参数调整!$K$35*怪物掉落配置方案!$D5087</f>
        <v>3.6292034094496488</v>
      </c>
    </row>
    <row r="984" spans="1:4" ht="16.5" hidden="1" x14ac:dyDescent="0.3">
      <c r="A984" s="10" t="str">
        <f>基本属性!$B$13&amp;"|"&amp;基本属性!$C$13</f>
        <v>100|3</v>
      </c>
      <c r="B984" s="10" t="str">
        <f>参数调整!$J$35</f>
        <v>BOSS掉落</v>
      </c>
      <c r="C984" s="8" t="str">
        <f>材料产出!$AD$2</f>
        <v>凡品升星石</v>
      </c>
      <c r="D984" s="224">
        <f>参数调整!$K$35*怪物掉落配置方案!$D5088</f>
        <v>4.5932105650847115</v>
      </c>
    </row>
    <row r="985" spans="1:4" ht="16.5" hidden="1" x14ac:dyDescent="0.3">
      <c r="A985" s="10" t="str">
        <f>基本属性!$B$14&amp;"|"&amp;基本属性!$C$14</f>
        <v>105|4</v>
      </c>
      <c r="B985" s="10" t="str">
        <f>参数调整!$J$35</f>
        <v>BOSS掉落</v>
      </c>
      <c r="C985" s="8" t="str">
        <f>材料产出!$AD$2</f>
        <v>凡品升星石</v>
      </c>
      <c r="D985" s="224">
        <f>参数调整!$K$35*怪物掉落配置方案!$D5089</f>
        <v>5.6706303272650738</v>
      </c>
    </row>
    <row r="986" spans="1:4" ht="16.5" hidden="1" x14ac:dyDescent="0.3">
      <c r="A986" s="10" t="str">
        <f>基本属性!$B$15&amp;"|"&amp;基本属性!$C$15</f>
        <v>110|5</v>
      </c>
      <c r="B986" s="10" t="str">
        <f>参数调整!$J$35</f>
        <v>BOSS掉落</v>
      </c>
      <c r="C986" s="8" t="str">
        <f>材料产出!$AD$2</f>
        <v>凡品升星石</v>
      </c>
      <c r="D986" s="224">
        <f>参数调整!$K$35*怪物掉落配置方案!$D5090</f>
        <v>6.8614626959907401</v>
      </c>
    </row>
    <row r="987" spans="1:4" ht="16.5" hidden="1" x14ac:dyDescent="0.3">
      <c r="A987" s="10" t="str">
        <f>基本属性!$B$16&amp;"|"&amp;基本属性!$C$16</f>
        <v>120|6</v>
      </c>
      <c r="B987" s="10" t="str">
        <f>参数调整!$J$35</f>
        <v>BOSS掉落</v>
      </c>
      <c r="C987" s="8" t="str">
        <f>材料产出!$AD$2</f>
        <v>凡品升星石</v>
      </c>
      <c r="D987" s="224">
        <f>参数调整!$K$35*怪物掉落配置方案!$D5091</f>
        <v>8.860359886351679</v>
      </c>
    </row>
    <row r="988" spans="1:4" ht="16.5" hidden="1" x14ac:dyDescent="0.3">
      <c r="A988" s="10" t="str">
        <f>基本属性!$B$17&amp;"|"&amp;基本属性!$C$17</f>
        <v>135|7</v>
      </c>
      <c r="B988" s="10" t="str">
        <f>参数调整!$J$35</f>
        <v>BOSS掉落</v>
      </c>
      <c r="C988" s="8" t="str">
        <f>材料产出!$AD$2</f>
        <v>凡品升星石</v>
      </c>
      <c r="D988" s="224">
        <f>参数调整!$K$35*怪物掉落配置方案!$D5092</f>
        <v>12.758918236346418</v>
      </c>
    </row>
    <row r="989" spans="1:4" ht="16.5" hidden="1" x14ac:dyDescent="0.3">
      <c r="A989" s="10" t="str">
        <f>基本属性!$B$18&amp;"|"&amp;基本属性!$C$18</f>
        <v>155|8</v>
      </c>
      <c r="B989" s="10" t="str">
        <f>参数调整!$J$35</f>
        <v>BOSS掉落</v>
      </c>
      <c r="C989" s="8" t="str">
        <f>材料产出!$AD$2</f>
        <v>凡品升星石</v>
      </c>
      <c r="D989" s="224">
        <f>参数调整!$K$35*怪物掉落配置方案!$D5093</f>
        <v>17.366305377249294</v>
      </c>
    </row>
    <row r="990" spans="1:4" ht="16.5" hidden="1" x14ac:dyDescent="0.3">
      <c r="A990" s="10" t="str">
        <f>基本属性!$B$19&amp;"|"&amp;基本属性!$C$19</f>
        <v>190|9</v>
      </c>
      <c r="B990" s="10" t="str">
        <f>参数调整!$J$35</f>
        <v>BOSS掉落</v>
      </c>
      <c r="C990" s="8" t="str">
        <f>材料产出!$AD$2</f>
        <v>凡品升星石</v>
      </c>
      <c r="D990" s="224">
        <f>参数调整!$K$35*怪物掉落配置方案!$D5094</f>
        <v>19.407732295064722</v>
      </c>
    </row>
    <row r="991" spans="1:4" ht="16.5" hidden="1" x14ac:dyDescent="0.3">
      <c r="A991" s="10" t="str">
        <f>基本属性!$B$20&amp;"|"&amp;基本属性!$C$20</f>
        <v>200|10</v>
      </c>
      <c r="B991" s="10" t="str">
        <f>参数调整!$J$35</f>
        <v>BOSS掉落</v>
      </c>
      <c r="C991" s="8" t="str">
        <f>材料产出!$AD$2</f>
        <v>凡品升星石</v>
      </c>
      <c r="D991" s="224">
        <f>参数调整!$K$35*怪物掉落配置方案!$D5095</f>
        <v>22.682521309060295</v>
      </c>
    </row>
    <row r="992" spans="1:4" ht="16.5" hidden="1" x14ac:dyDescent="0.3">
      <c r="A992" s="10" t="str">
        <f>基本属性!$B$21&amp;"|"&amp;基本属性!$C$21</f>
        <v>200|11</v>
      </c>
      <c r="B992" s="10" t="str">
        <f>参数调整!$J$35</f>
        <v>BOSS掉落</v>
      </c>
      <c r="C992" s="8" t="str">
        <f>材料产出!$AD$2</f>
        <v>凡品升星石</v>
      </c>
      <c r="D992" s="224">
        <f>参数调整!$K$35*怪物掉落配置方案!$D5096</f>
        <v>26.212488687782802</v>
      </c>
    </row>
    <row r="993" spans="1:4" ht="16.5" hidden="1" x14ac:dyDescent="0.3">
      <c r="A993" s="10" t="str">
        <f>基本属性!$B$22&amp;"|"&amp;基本属性!$C$22</f>
        <v>210|12</v>
      </c>
      <c r="B993" s="10" t="str">
        <f>参数调整!$J$35</f>
        <v>BOSS掉落</v>
      </c>
      <c r="C993" s="8" t="str">
        <f>材料产出!$AD$2</f>
        <v>凡品升星石</v>
      </c>
      <c r="D993" s="224">
        <f>参数调整!$K$35*怪物掉落配置方案!$D5097</f>
        <v>29.997634431232239</v>
      </c>
    </row>
    <row r="994" spans="1:4" ht="16.5" hidden="1" x14ac:dyDescent="0.3">
      <c r="A994" s="10" t="str">
        <f>基本属性!$B$23&amp;"|"&amp;基本属性!$C$23</f>
        <v>210|13</v>
      </c>
      <c r="B994" s="10" t="str">
        <f>参数调整!$J$35</f>
        <v>BOSS掉落</v>
      </c>
      <c r="C994" s="8" t="str">
        <f>材料产出!$AD$2</f>
        <v>凡品升星石</v>
      </c>
      <c r="D994" s="224">
        <f>参数调整!$K$35*怪物掉落配置方案!$D5098</f>
        <v>34.037958539408606</v>
      </c>
    </row>
    <row r="995" spans="1:4" ht="16.5" hidden="1" x14ac:dyDescent="0.3">
      <c r="A995" s="10" t="str">
        <f>基本属性!$B$24&amp;"|"&amp;基本属性!$C$24</f>
        <v>220|14</v>
      </c>
      <c r="B995" s="10" t="str">
        <f>参数调整!$J$35</f>
        <v>BOSS掉落</v>
      </c>
      <c r="C995" s="8" t="str">
        <f>材料产出!$AD$2</f>
        <v>凡品升星石</v>
      </c>
      <c r="D995" s="224">
        <f>参数调整!$K$35*怪物掉落配置方案!$D5099</f>
        <v>38.333461012311908</v>
      </c>
    </row>
    <row r="996" spans="1:4" ht="16.5" hidden="1" x14ac:dyDescent="0.3">
      <c r="A996" s="10" t="str">
        <f>基本属性!$B$25&amp;"|"&amp;基本属性!$C$25</f>
        <v>220|15</v>
      </c>
      <c r="B996" s="10" t="str">
        <f>参数调整!$J$35</f>
        <v>BOSS掉落</v>
      </c>
      <c r="C996" s="8" t="str">
        <f>材料产出!$AD$2</f>
        <v>凡品升星石</v>
      </c>
      <c r="D996" s="224">
        <f>参数调整!$K$35*怪物掉落配置方案!$D5100</f>
        <v>42.884141849942111</v>
      </c>
    </row>
    <row r="997" spans="1:4" ht="16.5" hidden="1" x14ac:dyDescent="0.3">
      <c r="A997" s="10" t="str">
        <f>基本属性!$B$26&amp;"|"&amp;基本属性!$C$26</f>
        <v>230|16</v>
      </c>
      <c r="B997" s="10" t="str">
        <f>参数调整!$J$35</f>
        <v>BOSS掉落</v>
      </c>
      <c r="C997" s="8" t="str">
        <f>材料产出!$AD$2</f>
        <v>凡品升星石</v>
      </c>
      <c r="D997" s="224">
        <f>参数调整!$K$35*怪物掉落配置方案!$D5101</f>
        <v>47.690001052299273</v>
      </c>
    </row>
    <row r="998" spans="1:4" ht="16.5" hidden="1" x14ac:dyDescent="0.3">
      <c r="A998" s="10" t="str">
        <f>基本属性!$B$27&amp;"|"&amp;基本属性!$C$27</f>
        <v>230|17</v>
      </c>
      <c r="B998" s="10" t="str">
        <f>参数调整!$J$35</f>
        <v>BOSS掉落</v>
      </c>
      <c r="C998" s="8" t="str">
        <f>材料产出!$AD$2</f>
        <v>凡品升星石</v>
      </c>
      <c r="D998" s="224">
        <f>参数调整!$K$35*怪物掉落配置方案!$D5102</f>
        <v>52.751038619383351</v>
      </c>
    </row>
    <row r="999" spans="1:4" ht="16.5" hidden="1" x14ac:dyDescent="0.3">
      <c r="A999" s="10" t="str">
        <f>基本属性!$B$28&amp;"|"&amp;基本属性!$C$28</f>
        <v>240|18</v>
      </c>
      <c r="B999" s="10" t="str">
        <f>参数调整!$J$35</f>
        <v>BOSS掉落</v>
      </c>
      <c r="C999" s="8" t="str">
        <f>材料产出!$AD$2</f>
        <v>凡品升星石</v>
      </c>
      <c r="D999" s="224">
        <f>参数调整!$K$35*怪物掉落配置方案!$D5103</f>
        <v>58.067254551194367</v>
      </c>
    </row>
    <row r="1000" spans="1:4" ht="16.5" hidden="1" x14ac:dyDescent="0.3">
      <c r="A1000" s="10" t="str">
        <f>基本属性!$B$29&amp;"|"&amp;基本属性!$C$29</f>
        <v>240|19</v>
      </c>
      <c r="B1000" s="10" t="str">
        <f>参数调整!$J$35</f>
        <v>BOSS掉落</v>
      </c>
      <c r="C1000" s="8" t="str">
        <f>材料产出!$AD$2</f>
        <v>凡品升星石</v>
      </c>
      <c r="D1000" s="224">
        <f>参数调整!$K$35*怪物掉落配置方案!$D5104</f>
        <v>63.638648847732306</v>
      </c>
    </row>
    <row r="1001" spans="1:4" ht="16.5" hidden="1" x14ac:dyDescent="0.3">
      <c r="A1001" s="10" t="str">
        <f>基本属性!$B$30&amp;"|"&amp;基本属性!$C$30</f>
        <v>250|20</v>
      </c>
      <c r="B1001" s="10" t="str">
        <f>参数调整!$J$35</f>
        <v>BOSS掉落</v>
      </c>
      <c r="C1001" s="8" t="str">
        <f>材料产出!$AD$2</f>
        <v>凡品升星石</v>
      </c>
      <c r="D1001" s="224">
        <f>参数调整!$K$35*怪物掉落配置方案!$D5105</f>
        <v>69.465221508997161</v>
      </c>
    </row>
    <row r="1002" spans="1:4" ht="16.5" hidden="1" x14ac:dyDescent="0.3">
      <c r="A1002" s="10" t="str">
        <f>基本属性!$B$4&amp;"|"&amp;基本属性!$C$4</f>
        <v>35|0</v>
      </c>
      <c r="B1002" s="10" t="str">
        <f>参数调整!$J$35</f>
        <v>BOSS掉落</v>
      </c>
      <c r="C1002" s="8" t="str">
        <f>材料产出!$Z$2</f>
        <v>恶魔头颅</v>
      </c>
      <c r="D1002" s="224">
        <f>参数调整!$K$35*怪物掉落配置方案!$D5106</f>
        <v>0.11814868792596499</v>
      </c>
    </row>
    <row r="1003" spans="1:4" ht="16.5" hidden="1" x14ac:dyDescent="0.3">
      <c r="A1003" s="10" t="str">
        <f>基本属性!$B$5&amp;"|"&amp;基本属性!$C$5</f>
        <v>40|0</v>
      </c>
      <c r="B1003" s="10" t="str">
        <f>参数调整!$J$35</f>
        <v>BOSS掉落</v>
      </c>
      <c r="C1003" s="8" t="str">
        <f>材料产出!$Z$2</f>
        <v>恶魔头颅</v>
      </c>
      <c r="D1003" s="224">
        <f>参数调整!$K$35*怪物掉落配置方案!$D5107</f>
        <v>0.14953193315629945</v>
      </c>
    </row>
    <row r="1004" spans="1:4" ht="16.5" hidden="1" x14ac:dyDescent="0.3">
      <c r="A1004" s="10" t="str">
        <f>基本属性!$B$6&amp;"|"&amp;基本属性!$C$6</f>
        <v>50|0</v>
      </c>
      <c r="B1004" s="10" t="str">
        <f>参数调整!$J$35</f>
        <v>BOSS掉落</v>
      </c>
      <c r="C1004" s="8" t="str">
        <f>材料产出!$Z$2</f>
        <v>恶魔头颅</v>
      </c>
      <c r="D1004" s="224">
        <f>参数调整!$K$35*怪物掉落配置方案!$D5108</f>
        <v>0.1846073248843203</v>
      </c>
    </row>
    <row r="1005" spans="1:4" ht="16.5" hidden="1" x14ac:dyDescent="0.3">
      <c r="A1005" s="10" t="str">
        <f>基本属性!$B$7&amp;"|"&amp;基本属性!$C$7</f>
        <v>60|0</v>
      </c>
      <c r="B1005" s="10" t="str">
        <f>参数调整!$J$35</f>
        <v>BOSS掉落</v>
      </c>
      <c r="C1005" s="8" t="str">
        <f>材料产出!$Z$2</f>
        <v>恶魔头颅</v>
      </c>
      <c r="D1005" s="224">
        <f>参数调整!$K$35*怪物掉落配置方案!$D5109</f>
        <v>0.2233748631100276</v>
      </c>
    </row>
    <row r="1006" spans="1:4" ht="16.5" hidden="1" x14ac:dyDescent="0.3">
      <c r="A1006" s="10" t="str">
        <f>基本属性!$B$8&amp;"|"&amp;基本属性!$C$8</f>
        <v>65|0</v>
      </c>
      <c r="B1006" s="10" t="str">
        <f>参数调整!$J$35</f>
        <v>BOSS掉落</v>
      </c>
      <c r="C1006" s="8" t="str">
        <f>材料产出!$Z$2</f>
        <v>恶魔头颅</v>
      </c>
      <c r="D1006" s="224">
        <f>参数调整!$K$35*怪物掉落配置方案!$D5110</f>
        <v>0.26583454783342125</v>
      </c>
    </row>
    <row r="1007" spans="1:4" ht="16.5" hidden="1" x14ac:dyDescent="0.3">
      <c r="A1007" s="10" t="str">
        <f>基本属性!$B$9&amp;"|"&amp;基本属性!$C$9</f>
        <v>70|0</v>
      </c>
      <c r="B1007" s="10" t="str">
        <f>参数调整!$J$35</f>
        <v>BOSS掉落</v>
      </c>
      <c r="C1007" s="8" t="str">
        <f>材料产出!$Z$2</f>
        <v>恶魔头颅</v>
      </c>
      <c r="D1007" s="224">
        <f>参数调整!$K$35*怪物掉落配置方案!$D5111</f>
        <v>0.31198637905450133</v>
      </c>
    </row>
    <row r="1008" spans="1:4" ht="16.5" hidden="1" x14ac:dyDescent="0.3">
      <c r="A1008" s="10" t="str">
        <f>基本属性!$B$10&amp;"|"&amp;基本属性!$C$10</f>
        <v>75|0</v>
      </c>
      <c r="B1008" s="10" t="str">
        <f>参数调整!$J$35</f>
        <v>BOSS掉落</v>
      </c>
      <c r="C1008" s="8" t="str">
        <f>材料产出!$Z$2</f>
        <v>恶魔头颅</v>
      </c>
      <c r="D1008" s="224">
        <f>参数调整!$K$35*怪物掉落配置方案!$D5112</f>
        <v>0.36183035677326775</v>
      </c>
    </row>
    <row r="1009" spans="1:4" ht="16.5" hidden="1" x14ac:dyDescent="0.3">
      <c r="A1009" s="10" t="str">
        <f>基本属性!$B$11&amp;"|"&amp;基本属性!$C$11</f>
        <v>80|1</v>
      </c>
      <c r="B1009" s="10" t="str">
        <f>参数调整!$J$35</f>
        <v>BOSS掉落</v>
      </c>
      <c r="C1009" s="8" t="str">
        <f>材料产出!$Z$2</f>
        <v>恶魔头颅</v>
      </c>
      <c r="D1009" s="224">
        <f>参数调整!$K$35*怪物掉落配置方案!$D5113</f>
        <v>0.41536648098972073</v>
      </c>
    </row>
    <row r="1010" spans="1:4" ht="16.5" hidden="1" x14ac:dyDescent="0.3">
      <c r="A1010" s="10" t="str">
        <f>基本属性!$B$12&amp;"|"&amp;基本属性!$C$12</f>
        <v>90|2</v>
      </c>
      <c r="B1010" s="10" t="str">
        <f>参数调整!$J$35</f>
        <v>BOSS掉落</v>
      </c>
      <c r="C1010" s="8" t="str">
        <f>材料产出!$Z$2</f>
        <v>恶魔头颅</v>
      </c>
      <c r="D1010" s="224">
        <f>参数调整!$K$35*怪物掉落配置方案!$D5114</f>
        <v>0.47259475170386006</v>
      </c>
    </row>
    <row r="1011" spans="1:4" ht="16.5" hidden="1" x14ac:dyDescent="0.3">
      <c r="A1011" s="10" t="str">
        <f>基本属性!$B$13&amp;"|"&amp;基本属性!$C$13</f>
        <v>100|3</v>
      </c>
      <c r="B1011" s="10" t="str">
        <f>参数调整!$J$35</f>
        <v>BOSS掉落</v>
      </c>
      <c r="C1011" s="8" t="str">
        <f>材料产出!$Z$2</f>
        <v>恶魔头颅</v>
      </c>
      <c r="D1011" s="224">
        <f>参数调整!$K$35*怪物掉落配置方案!$D5115</f>
        <v>0.59812773262519792</v>
      </c>
    </row>
    <row r="1012" spans="1:4" ht="16.5" hidden="1" x14ac:dyDescent="0.3">
      <c r="A1012" s="10" t="str">
        <f>基本属性!$B$14&amp;"|"&amp;基本属性!$C$14</f>
        <v>105|4</v>
      </c>
      <c r="B1012" s="10" t="str">
        <f>参数调整!$J$35</f>
        <v>BOSS掉落</v>
      </c>
      <c r="C1012" s="8" t="str">
        <f>材料产出!$Z$2</f>
        <v>恶魔头颅</v>
      </c>
      <c r="D1012" s="224">
        <f>参数调整!$K$35*怪物掉落配置方案!$D5116</f>
        <v>0.7384292995372812</v>
      </c>
    </row>
    <row r="1013" spans="1:4" ht="16.5" hidden="1" x14ac:dyDescent="0.3">
      <c r="A1013" s="10" t="str">
        <f>基本属性!$B$15&amp;"|"&amp;基本属性!$C$15</f>
        <v>110|5</v>
      </c>
      <c r="B1013" s="10" t="str">
        <f>参数调整!$J$35</f>
        <v>BOSS掉落</v>
      </c>
      <c r="C1013" s="8" t="str">
        <f>材料产出!$Z$2</f>
        <v>恶魔头颅</v>
      </c>
      <c r="D1013" s="224">
        <f>参数调整!$K$35*怪物掉落配置方案!$D5117</f>
        <v>0.89349945244011042</v>
      </c>
    </row>
    <row r="1014" spans="1:4" ht="16.5" hidden="1" x14ac:dyDescent="0.3">
      <c r="A1014" s="10" t="str">
        <f>基本属性!$B$16&amp;"|"&amp;基本属性!$C$16</f>
        <v>120|6</v>
      </c>
      <c r="B1014" s="10" t="str">
        <f>参数调整!$J$35</f>
        <v>BOSS掉落</v>
      </c>
      <c r="C1014" s="8" t="str">
        <f>材料产出!$Z$2</f>
        <v>恶魔头颅</v>
      </c>
      <c r="D1014" s="224">
        <f>参数调整!$K$35*怪物掉落配置方案!$D5118</f>
        <v>1.1537957805270018</v>
      </c>
    </row>
    <row r="1015" spans="1:4" ht="16.5" hidden="1" x14ac:dyDescent="0.3">
      <c r="A1015" s="10" t="str">
        <f>基本属性!$B$17&amp;"|"&amp;基本属性!$C$17</f>
        <v>135|7</v>
      </c>
      <c r="B1015" s="10" t="str">
        <f>参数调整!$J$35</f>
        <v>BOSS掉落</v>
      </c>
      <c r="C1015" s="8" t="str">
        <f>材料产出!$Z$2</f>
        <v>恶魔头颅</v>
      </c>
      <c r="D1015" s="224">
        <f>参数调整!$K$35*怪物掉落配置方案!$D5119</f>
        <v>1.6614659239588829</v>
      </c>
    </row>
    <row r="1016" spans="1:4" ht="16.5" hidden="1" x14ac:dyDescent="0.3">
      <c r="A1016" s="10" t="str">
        <f>基本属性!$B$18&amp;"|"&amp;基本属性!$C$18</f>
        <v>155|8</v>
      </c>
      <c r="B1016" s="10" t="str">
        <f>参数调整!$J$35</f>
        <v>BOSS掉落</v>
      </c>
      <c r="C1016" s="8" t="str">
        <f>材料产出!$Z$2</f>
        <v>恶魔头颅</v>
      </c>
      <c r="D1016" s="224">
        <f>参数调整!$K$35*怪物掉落配置方案!$D5120</f>
        <v>2.2614397298329241</v>
      </c>
    </row>
    <row r="1017" spans="1:4" ht="16.5" hidden="1" x14ac:dyDescent="0.3">
      <c r="A1017" s="10" t="str">
        <f>基本属性!$B$19&amp;"|"&amp;基本属性!$C$19</f>
        <v>190|9</v>
      </c>
      <c r="B1017" s="10" t="str">
        <f>参数调整!$J$35</f>
        <v>BOSS掉落</v>
      </c>
      <c r="C1017" s="8" t="str">
        <f>材料产出!$Z$2</f>
        <v>恶魔头颅</v>
      </c>
      <c r="D1017" s="224">
        <f>参数调整!$K$35*怪物掉落配置方案!$D5121</f>
        <v>2.5272742776663453</v>
      </c>
    </row>
    <row r="1018" spans="1:4" ht="16.5" hidden="1" x14ac:dyDescent="0.3">
      <c r="A1018" s="10" t="str">
        <f>基本属性!$B$20&amp;"|"&amp;基本属性!$C$20</f>
        <v>200|10</v>
      </c>
      <c r="B1018" s="10" t="str">
        <f>参数调整!$J$35</f>
        <v>BOSS掉落</v>
      </c>
      <c r="C1018" s="8" t="str">
        <f>材料产出!$Z$2</f>
        <v>恶魔头颅</v>
      </c>
      <c r="D1018" s="224">
        <f>参数调整!$K$35*怪物掉落配置方案!$D5122</f>
        <v>2.9537171981491248</v>
      </c>
    </row>
    <row r="1019" spans="1:4" ht="16.5" hidden="1" x14ac:dyDescent="0.3">
      <c r="A1019" s="10" t="str">
        <f>基本属性!$B$21&amp;"|"&amp;基本属性!$C$21</f>
        <v>200|11</v>
      </c>
      <c r="B1019" s="10" t="str">
        <f>参数调整!$J$35</f>
        <v>BOSS掉落</v>
      </c>
      <c r="C1019" s="8" t="str">
        <f>材料产出!$Z$2</f>
        <v>恶魔头颅</v>
      </c>
      <c r="D1019" s="224">
        <f>参数调整!$K$35*怪物掉落配置方案!$D5123</f>
        <v>3.4133894371110816</v>
      </c>
    </row>
    <row r="1020" spans="1:4" ht="16.5" hidden="1" x14ac:dyDescent="0.3">
      <c r="A1020" s="10" t="str">
        <f>基本属性!$B$22&amp;"|"&amp;基本属性!$C$22</f>
        <v>210|12</v>
      </c>
      <c r="B1020" s="10" t="str">
        <f>参数调整!$J$35</f>
        <v>BOSS掉落</v>
      </c>
      <c r="C1020" s="8" t="str">
        <f>材料产出!$Z$2</f>
        <v>恶魔头颅</v>
      </c>
      <c r="D1020" s="224">
        <f>参数调整!$K$35*怪物掉落配置方案!$D5124</f>
        <v>3.9062909945522168</v>
      </c>
    </row>
    <row r="1021" spans="1:4" ht="16.5" hidden="1" x14ac:dyDescent="0.3">
      <c r="A1021" s="10" t="str">
        <f>基本属性!$B$23&amp;"|"&amp;基本属性!$C$23</f>
        <v>210|13</v>
      </c>
      <c r="B1021" s="10" t="str">
        <f>参数调整!$J$35</f>
        <v>BOSS掉落</v>
      </c>
      <c r="C1021" s="8" t="str">
        <f>材料产出!$Z$2</f>
        <v>恶魔头颅</v>
      </c>
      <c r="D1021" s="224">
        <f>参数调整!$K$35*怪物掉落配置方案!$D5125</f>
        <v>4.4324218704725311</v>
      </c>
    </row>
    <row r="1022" spans="1:4" ht="16.5" hidden="1" x14ac:dyDescent="0.3">
      <c r="A1022" s="10" t="str">
        <f>基本属性!$B$24&amp;"|"&amp;基本属性!$C$24</f>
        <v>220|14</v>
      </c>
      <c r="B1022" s="10" t="str">
        <f>参数调整!$J$35</f>
        <v>BOSS掉落</v>
      </c>
      <c r="C1022" s="8" t="str">
        <f>材料产出!$Z$2</f>
        <v>恶魔头颅</v>
      </c>
      <c r="D1022" s="224">
        <f>参数调整!$K$35*怪物掉落配置方案!$D5126</f>
        <v>4.9917820648720213</v>
      </c>
    </row>
    <row r="1023" spans="1:4" ht="16.5" hidden="1" x14ac:dyDescent="0.3">
      <c r="A1023" s="10" t="str">
        <f>基本属性!$B$25&amp;"|"&amp;基本属性!$C$25</f>
        <v>220|15</v>
      </c>
      <c r="B1023" s="10" t="str">
        <f>参数调整!$J$35</f>
        <v>BOSS掉落</v>
      </c>
      <c r="C1023" s="8" t="str">
        <f>材料产出!$Z$2</f>
        <v>恶魔头颅</v>
      </c>
      <c r="D1023" s="224">
        <f>参数调整!$K$35*怪物掉落配置方案!$D5127</f>
        <v>5.584371577750689</v>
      </c>
    </row>
    <row r="1024" spans="1:4" ht="16.5" hidden="1" x14ac:dyDescent="0.3">
      <c r="A1024" s="10" t="str">
        <f>基本属性!$B$26&amp;"|"&amp;基本属性!$C$26</f>
        <v>230|16</v>
      </c>
      <c r="B1024" s="10" t="str">
        <f>参数调整!$J$35</f>
        <v>BOSS掉落</v>
      </c>
      <c r="C1024" s="8" t="str">
        <f>材料产出!$Z$2</f>
        <v>恶魔头颅</v>
      </c>
      <c r="D1024" s="224">
        <f>参数调整!$K$35*怪物掉落配置方案!$D5128</f>
        <v>6.2101904091085345</v>
      </c>
    </row>
    <row r="1025" spans="1:4" ht="16.5" hidden="1" x14ac:dyDescent="0.3">
      <c r="A1025" s="10" t="str">
        <f>基本属性!$B$27&amp;"|"&amp;基本属性!$C$27</f>
        <v>230|17</v>
      </c>
      <c r="B1025" s="10" t="str">
        <f>参数调整!$J$35</f>
        <v>BOSS掉落</v>
      </c>
      <c r="C1025" s="8" t="str">
        <f>材料产出!$Z$2</f>
        <v>恶魔头颅</v>
      </c>
      <c r="D1025" s="224">
        <f>参数调整!$K$35*怪物掉落配置方案!$D5129</f>
        <v>6.8692385589455576</v>
      </c>
    </row>
    <row r="1026" spans="1:4" ht="16.5" hidden="1" x14ac:dyDescent="0.3">
      <c r="A1026" s="10" t="str">
        <f>基本属性!$B$28&amp;"|"&amp;基本属性!$C$28</f>
        <v>240|18</v>
      </c>
      <c r="B1026" s="10" t="str">
        <f>参数调整!$J$35</f>
        <v>BOSS掉落</v>
      </c>
      <c r="C1026" s="8" t="str">
        <f>材料产出!$Z$2</f>
        <v>恶魔头颅</v>
      </c>
      <c r="D1026" s="224">
        <f>参数调整!$K$35*怪物掉落配置方案!$D5130</f>
        <v>7.561516027261761</v>
      </c>
    </row>
    <row r="1027" spans="1:4" ht="16.5" hidden="1" x14ac:dyDescent="0.3">
      <c r="A1027" s="10" t="str">
        <f>基本属性!$B$29&amp;"|"&amp;基本属性!$C$29</f>
        <v>240|19</v>
      </c>
      <c r="B1027" s="10" t="str">
        <f>参数调整!$J$35</f>
        <v>BOSS掉落</v>
      </c>
      <c r="C1027" s="8" t="str">
        <f>材料产出!$Z$2</f>
        <v>恶魔头颅</v>
      </c>
      <c r="D1027" s="224">
        <f>参数调整!$K$35*怪物掉落配置方案!$D5131</f>
        <v>8.2870228140571385</v>
      </c>
    </row>
    <row r="1028" spans="1:4" ht="16.5" hidden="1" x14ac:dyDescent="0.3">
      <c r="A1028" s="10" t="str">
        <f>基本属性!$B$30&amp;"|"&amp;基本属性!$C$30</f>
        <v>250|20</v>
      </c>
      <c r="B1028" s="10" t="str">
        <f>参数调整!$J$35</f>
        <v>BOSS掉落</v>
      </c>
      <c r="C1028" s="8" t="str">
        <f>材料产出!$Z$2</f>
        <v>恶魔头颅</v>
      </c>
      <c r="D1028" s="224">
        <f>参数调整!$K$35*怪物掉落配置方案!$D5132</f>
        <v>9.0457589193316945</v>
      </c>
    </row>
    <row r="1029" spans="1:4" ht="16.5" hidden="1" x14ac:dyDescent="0.3">
      <c r="A1029" s="10" t="str">
        <f>基本属性!$B$4&amp;"|"&amp;基本属性!$C$4</f>
        <v>35|0</v>
      </c>
      <c r="B1029" s="10" t="str">
        <f>参数调整!$J$32</f>
        <v>精英掉落</v>
      </c>
      <c r="C1029" s="8" t="str">
        <f>材料产出!$R$2</f>
        <v>转生精华</v>
      </c>
      <c r="D1029" s="224">
        <f>参数调整!$K$32*怪物掉落配置方案!$D4107</f>
        <v>3.9560216851598521E-3</v>
      </c>
    </row>
    <row r="1030" spans="1:4" ht="16.5" hidden="1" x14ac:dyDescent="0.3">
      <c r="A1030" s="10" t="str">
        <f>基本属性!$B$5&amp;"|"&amp;基本属性!$C$5</f>
        <v>40|0</v>
      </c>
      <c r="B1030" s="10" t="str">
        <f>参数调整!$J$32</f>
        <v>精英掉落</v>
      </c>
      <c r="C1030" s="8" t="str">
        <f>材料产出!$R$2</f>
        <v>转生精华</v>
      </c>
      <c r="D1030" s="224">
        <f>参数调整!$K$32*怪物掉落配置方案!$D4108</f>
        <v>5.0068399452804372E-3</v>
      </c>
    </row>
    <row r="1031" spans="1:4" ht="16.5" hidden="1" x14ac:dyDescent="0.3">
      <c r="A1031" s="10" t="str">
        <f>基本属性!$B$6&amp;"|"&amp;基本属性!$C$6</f>
        <v>50|0</v>
      </c>
      <c r="B1031" s="10" t="str">
        <f>参数调整!$J$32</f>
        <v>精英掉落</v>
      </c>
      <c r="C1031" s="8" t="str">
        <f>材料产出!$R$2</f>
        <v>转生精华</v>
      </c>
      <c r="D1031" s="224">
        <f>参数调整!$K$32*怪物掉落配置方案!$D4109</f>
        <v>6.1812838830622692E-3</v>
      </c>
    </row>
    <row r="1032" spans="1:4" ht="16.5" hidden="1" x14ac:dyDescent="0.3">
      <c r="A1032" s="10" t="str">
        <f>基本属性!$B$7&amp;"|"&amp;基本属性!$C$7</f>
        <v>60|0</v>
      </c>
      <c r="B1032" s="10" t="str">
        <f>参数调整!$J$32</f>
        <v>精英掉落</v>
      </c>
      <c r="C1032" s="8" t="str">
        <f>材料产出!$R$2</f>
        <v>转生精华</v>
      </c>
      <c r="D1032" s="224">
        <f>参数调整!$K$32*怪物掉落配置方案!$D4110</f>
        <v>7.4793534985053466E-3</v>
      </c>
    </row>
    <row r="1033" spans="1:4" ht="16.5" hidden="1" x14ac:dyDescent="0.3">
      <c r="A1033" s="10" t="str">
        <f>基本属性!$B$8&amp;"|"&amp;基本属性!$C$8</f>
        <v>65|0</v>
      </c>
      <c r="B1033" s="10" t="str">
        <f>参数调整!$J$32</f>
        <v>精英掉落</v>
      </c>
      <c r="C1033" s="8" t="str">
        <f>材料产出!$R$2</f>
        <v>转生精华</v>
      </c>
      <c r="D1033" s="224">
        <f>参数调整!$K$32*怪物掉落配置方案!$D4111</f>
        <v>8.9010487916096667E-3</v>
      </c>
    </row>
    <row r="1034" spans="1:4" ht="16.5" hidden="1" x14ac:dyDescent="0.3">
      <c r="A1034" s="10" t="str">
        <f>基本属性!$B$9&amp;"|"&amp;基本属性!$C$9</f>
        <v>70|0</v>
      </c>
      <c r="B1034" s="10" t="str">
        <f>参数调整!$J$32</f>
        <v>精英掉落</v>
      </c>
      <c r="C1034" s="8" t="str">
        <f>材料产出!$R$2</f>
        <v>转生精华</v>
      </c>
      <c r="D1034" s="224">
        <f>参数调整!$K$32*怪物掉落配置方案!$D4112</f>
        <v>1.0446369762375233E-2</v>
      </c>
    </row>
    <row r="1035" spans="1:4" ht="16.5" hidden="1" x14ac:dyDescent="0.3">
      <c r="A1035" s="10" t="str">
        <f>基本属性!$B$10&amp;"|"&amp;基本属性!$C$10</f>
        <v>75|0</v>
      </c>
      <c r="B1035" s="10" t="str">
        <f>参数调整!$J$32</f>
        <v>精英掉落</v>
      </c>
      <c r="C1035" s="8" t="str">
        <f>材料产出!$R$2</f>
        <v>转生精华</v>
      </c>
      <c r="D1035" s="224">
        <f>参数调整!$K$32*怪物掉落配置方案!$D4113</f>
        <v>1.2115316410802044E-2</v>
      </c>
    </row>
    <row r="1036" spans="1:4" ht="16.5" hidden="1" x14ac:dyDescent="0.3">
      <c r="A1036" s="10" t="str">
        <f>基本属性!$B$11&amp;"|"&amp;基本属性!$C$11</f>
        <v>80|1</v>
      </c>
      <c r="B1036" s="10" t="str">
        <f>参数调整!$J$32</f>
        <v>精英掉落</v>
      </c>
      <c r="C1036" s="8" t="str">
        <f>材料产出!$R$2</f>
        <v>转生精华</v>
      </c>
      <c r="D1036" s="224">
        <f>参数调整!$K$32*怪物掉落配置方案!$D4114</f>
        <v>1.3907888736890105E-2</v>
      </c>
    </row>
    <row r="1037" spans="1:4" ht="16.5" hidden="1" x14ac:dyDescent="0.3">
      <c r="A1037" s="10" t="str">
        <f>基本属性!$B$12&amp;"|"&amp;基本属性!$C$12</f>
        <v>90|2</v>
      </c>
      <c r="B1037" s="10" t="str">
        <f>参数调整!$J$32</f>
        <v>精英掉落</v>
      </c>
      <c r="C1037" s="8" t="str">
        <f>材料产出!$R$2</f>
        <v>转生精华</v>
      </c>
      <c r="D1037" s="224">
        <f>参数调整!$K$32*怪物掉落配置方案!$D4115</f>
        <v>1.5824086740639412E-2</v>
      </c>
    </row>
    <row r="1038" spans="1:4" ht="16.5" hidden="1" x14ac:dyDescent="0.3">
      <c r="A1038" s="10" t="str">
        <f>基本属性!$B$13&amp;"|"&amp;基本属性!$C$13</f>
        <v>100|3</v>
      </c>
      <c r="B1038" s="10" t="str">
        <f>参数调整!$J$32</f>
        <v>精英掉落</v>
      </c>
      <c r="C1038" s="8" t="str">
        <f>材料产出!$R$2</f>
        <v>转生精华</v>
      </c>
      <c r="D1038" s="224">
        <f>参数调整!$K$32*怪物掉落配置方案!$D4116</f>
        <v>2.0027359781121752E-2</v>
      </c>
    </row>
    <row r="1039" spans="1:4" ht="16.5" hidden="1" x14ac:dyDescent="0.3">
      <c r="A1039" s="10" t="str">
        <f>基本属性!$B$14&amp;"|"&amp;基本属性!$C$14</f>
        <v>105|4</v>
      </c>
      <c r="B1039" s="10" t="str">
        <f>参数调整!$J$32</f>
        <v>精英掉落</v>
      </c>
      <c r="C1039" s="8" t="str">
        <f>材料产出!$R$2</f>
        <v>转生精华</v>
      </c>
      <c r="D1039" s="224">
        <f>参数调整!$K$32*怪物掉落配置方案!$D4117</f>
        <v>2.4725135532249077E-2</v>
      </c>
    </row>
    <row r="1040" spans="1:4" ht="16.5" hidden="1" x14ac:dyDescent="0.3">
      <c r="A1040" s="10" t="str">
        <f>基本属性!$B$15&amp;"|"&amp;基本属性!$C$15</f>
        <v>110|5</v>
      </c>
      <c r="B1040" s="10" t="str">
        <f>参数调整!$J$32</f>
        <v>精英掉落</v>
      </c>
      <c r="C1040" s="8" t="str">
        <f>材料产出!$R$2</f>
        <v>转生精华</v>
      </c>
      <c r="D1040" s="224">
        <f>参数调整!$K$32*怪物掉落配置方案!$D4118</f>
        <v>2.991741399402139E-2</v>
      </c>
    </row>
    <row r="1041" spans="1:4" ht="16.5" hidden="1" x14ac:dyDescent="0.3">
      <c r="A1041" s="10" t="str">
        <f>基本属性!$B$16&amp;"|"&amp;基本属性!$C$16</f>
        <v>120|6</v>
      </c>
      <c r="B1041" s="10" t="str">
        <f>参数调整!$J$32</f>
        <v>精英掉落</v>
      </c>
      <c r="C1041" s="8" t="str">
        <f>材料产出!$R$2</f>
        <v>转生精华</v>
      </c>
      <c r="D1041" s="224">
        <f>参数调整!$K$32*怪物掉落配置方案!$D4119</f>
        <v>3.8633024269139185E-2</v>
      </c>
    </row>
    <row r="1042" spans="1:4" ht="16.5" hidden="1" x14ac:dyDescent="0.3">
      <c r="A1042" s="10" t="str">
        <f>基本属性!$B$17&amp;"|"&amp;基本属性!$C$17</f>
        <v>135|7</v>
      </c>
      <c r="B1042" s="10" t="str">
        <f>参数调整!$J$32</f>
        <v>精英掉落</v>
      </c>
      <c r="C1042" s="8" t="str">
        <f>材料产出!$R$2</f>
        <v>转生精华</v>
      </c>
      <c r="D1042" s="224">
        <f>参数调整!$K$32*怪物掉落配置方案!$D4120</f>
        <v>5.5631554947560419E-2</v>
      </c>
    </row>
    <row r="1043" spans="1:4" ht="16.5" hidden="1" x14ac:dyDescent="0.3">
      <c r="A1043" s="10" t="str">
        <f>基本属性!$B$18&amp;"|"&amp;基本属性!$C$18</f>
        <v>155|8</v>
      </c>
      <c r="B1043" s="10" t="str">
        <f>参数调整!$J$32</f>
        <v>精英掉落</v>
      </c>
      <c r="C1043" s="8" t="str">
        <f>材料产出!$R$2</f>
        <v>转生精华</v>
      </c>
      <c r="D1043" s="224">
        <f>参数调整!$K$32*怪物掉落配置方案!$D4121</f>
        <v>7.5720727567512802E-2</v>
      </c>
    </row>
    <row r="1044" spans="1:4" ht="16.5" hidden="1" x14ac:dyDescent="0.3">
      <c r="A1044" s="10" t="str">
        <f>基本属性!$B$19&amp;"|"&amp;基本属性!$C$19</f>
        <v>190|9</v>
      </c>
      <c r="B1044" s="10" t="str">
        <f>参数调整!$J$32</f>
        <v>精英掉落</v>
      </c>
      <c r="C1044" s="8" t="str">
        <f>材料产出!$R$2</f>
        <v>转生精华</v>
      </c>
      <c r="D1044" s="224">
        <f>参数调整!$K$32*怪物掉落配置方案!$D4122</f>
        <v>8.4621776359122464E-2</v>
      </c>
    </row>
    <row r="1045" spans="1:4" ht="16.5" hidden="1" x14ac:dyDescent="0.3">
      <c r="A1045" s="10" t="str">
        <f>基本属性!$B$20&amp;"|"&amp;基本属性!$C$20</f>
        <v>200|10</v>
      </c>
      <c r="B1045" s="10" t="str">
        <f>参数调整!$J$32</f>
        <v>精英掉落</v>
      </c>
      <c r="C1045" s="8" t="str">
        <f>材料产出!$R$2</f>
        <v>转生精华</v>
      </c>
      <c r="D1045" s="224">
        <f>参数调整!$K$32*怪物掉落配置方案!$D4123</f>
        <v>9.8900542128996308E-2</v>
      </c>
    </row>
    <row r="1046" spans="1:4" ht="16.5" hidden="1" x14ac:dyDescent="0.3">
      <c r="A1046" s="10" t="str">
        <f>基本属性!$B$21&amp;"|"&amp;基本属性!$C$21</f>
        <v>200|11</v>
      </c>
      <c r="B1046" s="10" t="str">
        <f>参数调整!$J$32</f>
        <v>精英掉落</v>
      </c>
      <c r="C1046" s="8" t="str">
        <f>材料产出!$R$2</f>
        <v>转生精华</v>
      </c>
      <c r="D1046" s="224">
        <f>参数调整!$K$32*怪物掉落配置方案!$D4124</f>
        <v>0.11429193899782134</v>
      </c>
    </row>
    <row r="1047" spans="1:4" ht="16.5" hidden="1" x14ac:dyDescent="0.3">
      <c r="A1047" s="10" t="str">
        <f>基本属性!$B$22&amp;"|"&amp;基本属性!$C$22</f>
        <v>210|12</v>
      </c>
      <c r="B1047" s="10" t="str">
        <f>参数调整!$J$32</f>
        <v>精英掉落</v>
      </c>
      <c r="C1047" s="8" t="str">
        <f>材料产出!$R$2</f>
        <v>转生精华</v>
      </c>
      <c r="D1047" s="224">
        <f>参数调整!$K$32*怪物掉落配置方案!$D4125</f>
        <v>0.13079596696559756</v>
      </c>
    </row>
    <row r="1048" spans="1:4" ht="16.5" hidden="1" x14ac:dyDescent="0.3">
      <c r="A1048" s="10" t="str">
        <f>基本属性!$B$23&amp;"|"&amp;基本属性!$C$23</f>
        <v>210|13</v>
      </c>
      <c r="B1048" s="10" t="str">
        <f>参数调整!$J$32</f>
        <v>精英掉落</v>
      </c>
      <c r="C1048" s="8" t="str">
        <f>材料产出!$R$2</f>
        <v>转生精华</v>
      </c>
      <c r="D1048" s="224">
        <f>参数调整!$K$32*怪物掉落配置方案!$D4126</f>
        <v>0.14841262603232511</v>
      </c>
    </row>
    <row r="1049" spans="1:4" ht="16.5" hidden="1" x14ac:dyDescent="0.3">
      <c r="A1049" s="10" t="str">
        <f>基本属性!$B$24&amp;"|"&amp;基本属性!$C$24</f>
        <v>220|14</v>
      </c>
      <c r="B1049" s="10" t="str">
        <f>参数调整!$J$32</f>
        <v>精英掉落</v>
      </c>
      <c r="C1049" s="8" t="str">
        <f>材料产出!$R$2</f>
        <v>转生精华</v>
      </c>
      <c r="D1049" s="224">
        <f>参数调整!$K$32*怪物掉落配置方案!$D4127</f>
        <v>0.16714191619800378</v>
      </c>
    </row>
    <row r="1050" spans="1:4" ht="16.5" hidden="1" x14ac:dyDescent="0.3">
      <c r="A1050" s="10" t="str">
        <f>基本属性!$B$25&amp;"|"&amp;基本属性!$C$25</f>
        <v>220|15</v>
      </c>
      <c r="B1050" s="10" t="str">
        <f>参数调整!$J$32</f>
        <v>精英掉落</v>
      </c>
      <c r="C1050" s="8" t="str">
        <f>材料产出!$R$2</f>
        <v>转生精华</v>
      </c>
      <c r="D1050" s="224">
        <f>参数调整!$K$32*怪物掉落配置方案!$D4128</f>
        <v>0.18698383746263364</v>
      </c>
    </row>
    <row r="1051" spans="1:4" ht="16.5" hidden="1" x14ac:dyDescent="0.3">
      <c r="A1051" s="10" t="str">
        <f>基本属性!$B$26&amp;"|"&amp;基本属性!$C$26</f>
        <v>230|16</v>
      </c>
      <c r="B1051" s="10" t="str">
        <f>参数调整!$J$32</f>
        <v>精英掉落</v>
      </c>
      <c r="C1051" s="8" t="str">
        <f>材料产出!$R$2</f>
        <v>转生精华</v>
      </c>
      <c r="D1051" s="224">
        <f>参数调整!$K$32*怪物掉落配置方案!$D4129</f>
        <v>0.20793838982621471</v>
      </c>
    </row>
    <row r="1052" spans="1:4" ht="16.5" hidden="1" x14ac:dyDescent="0.3">
      <c r="A1052" s="10" t="str">
        <f>基本属性!$B$27&amp;"|"&amp;基本属性!$C$27</f>
        <v>230|17</v>
      </c>
      <c r="B1052" s="10" t="str">
        <f>参数调整!$J$32</f>
        <v>精英掉落</v>
      </c>
      <c r="C1052" s="8" t="str">
        <f>材料产出!$R$2</f>
        <v>转生精华</v>
      </c>
      <c r="D1052" s="224">
        <f>参数调整!$K$32*怪物掉落配置方案!$D4130</f>
        <v>0.23000557328874699</v>
      </c>
    </row>
    <row r="1053" spans="1:4" ht="16.5" hidden="1" x14ac:dyDescent="0.3">
      <c r="A1053" s="10" t="str">
        <f>基本属性!$B$28&amp;"|"&amp;基本属性!$C$28</f>
        <v>240|18</v>
      </c>
      <c r="B1053" s="10" t="str">
        <f>参数调整!$J$32</f>
        <v>精英掉落</v>
      </c>
      <c r="C1053" s="8" t="str">
        <f>材料产出!$R$2</f>
        <v>转生精华</v>
      </c>
      <c r="D1053" s="224">
        <f>参数调整!$K$32*怪物掉落配置方案!$D4131</f>
        <v>0.25318538785023054</v>
      </c>
    </row>
    <row r="1054" spans="1:4" ht="16.5" hidden="1" x14ac:dyDescent="0.3">
      <c r="A1054" s="10" t="str">
        <f>基本属性!$B$29&amp;"|"&amp;基本属性!$C$29</f>
        <v>240|19</v>
      </c>
      <c r="B1054" s="10" t="str">
        <f>参数调整!$J$32</f>
        <v>精英掉落</v>
      </c>
      <c r="C1054" s="8" t="str">
        <f>材料产出!$R$2</f>
        <v>转生精华</v>
      </c>
      <c r="D1054" s="224">
        <f>参数调整!$K$32*怪物掉落配置方案!$D4132</f>
        <v>0.27747783351066524</v>
      </c>
    </row>
    <row r="1055" spans="1:4" ht="16.5" hidden="1" x14ac:dyDescent="0.3">
      <c r="A1055" s="10" t="str">
        <f>基本属性!$B$30&amp;"|"&amp;基本属性!$C$30</f>
        <v>250|20</v>
      </c>
      <c r="B1055" s="10" t="str">
        <f>参数调整!$J$32</f>
        <v>精英掉落</v>
      </c>
      <c r="C1055" s="8" t="str">
        <f>材料产出!$R$2</f>
        <v>转生精华</v>
      </c>
      <c r="D1055" s="224">
        <f>参数调整!$K$32*怪物掉落配置方案!$D4133</f>
        <v>0.3028829102700511</v>
      </c>
    </row>
    <row r="1056" spans="1:4" ht="16.5" hidden="1" x14ac:dyDescent="0.3">
      <c r="A1056" s="10" t="str">
        <f>基本属性!$B$4&amp;"|"&amp;基本属性!$C$4</f>
        <v>35|0</v>
      </c>
      <c r="B1056" s="10" t="str">
        <f>参数调整!$J$32</f>
        <v>精英掉落</v>
      </c>
      <c r="C1056" s="8" t="str">
        <f>材料产出!$AJ$2</f>
        <v>中品注灵石</v>
      </c>
      <c r="D1056" s="224">
        <f>参数调整!$K$32*怪物掉落配置方案!$D4134</f>
        <v>5.1844102894235661E-2</v>
      </c>
    </row>
    <row r="1057" spans="1:4" ht="16.5" hidden="1" x14ac:dyDescent="0.3">
      <c r="A1057" s="10" t="str">
        <f>基本属性!$B$5&amp;"|"&amp;基本属性!$C$5</f>
        <v>40|0</v>
      </c>
      <c r="B1057" s="10" t="str">
        <f>参数调整!$J$32</f>
        <v>精英掉落</v>
      </c>
      <c r="C1057" s="8" t="str">
        <f>材料产出!$AJ$2</f>
        <v>中品注灵石</v>
      </c>
      <c r="D1057" s="224">
        <f>参数调整!$K$32*怪物掉落配置方案!$D4135</f>
        <v>6.5615192725517024E-2</v>
      </c>
    </row>
    <row r="1058" spans="1:4" ht="16.5" hidden="1" x14ac:dyDescent="0.3">
      <c r="A1058" s="10" t="str">
        <f>基本属性!$B$6&amp;"|"&amp;基本属性!$C$6</f>
        <v>50|0</v>
      </c>
      <c r="B1058" s="10" t="str">
        <f>参数调整!$J$32</f>
        <v>精英掉落</v>
      </c>
      <c r="C1058" s="8" t="str">
        <f>材料产出!$AJ$2</f>
        <v>中品注灵石</v>
      </c>
      <c r="D1058" s="224">
        <f>参数调整!$K$32*怪物掉落配置方案!$D4136</f>
        <v>8.1006410772243229E-2</v>
      </c>
    </row>
    <row r="1059" spans="1:4" ht="16.5" hidden="1" x14ac:dyDescent="0.3">
      <c r="A1059" s="10" t="str">
        <f>基本属性!$B$7&amp;"|"&amp;基本属性!$C$7</f>
        <v>60|0</v>
      </c>
      <c r="B1059" s="10" t="str">
        <f>参数调整!$J$32</f>
        <v>精英掉落</v>
      </c>
      <c r="C1059" s="8" t="str">
        <f>材料产出!$AJ$2</f>
        <v>中品注灵石</v>
      </c>
      <c r="D1059" s="224">
        <f>参数调整!$K$32*怪物掉落配置方案!$D4137</f>
        <v>9.8017757034414316E-2</v>
      </c>
    </row>
    <row r="1060" spans="1:4" ht="16.5" hidden="1" x14ac:dyDescent="0.3">
      <c r="A1060" s="10" t="str">
        <f>基本属性!$B$8&amp;"|"&amp;基本属性!$C$8</f>
        <v>65|0</v>
      </c>
      <c r="B1060" s="10" t="str">
        <f>参数调整!$J$32</f>
        <v>精英掉落</v>
      </c>
      <c r="C1060" s="8" t="str">
        <f>材料产出!$AJ$2</f>
        <v>中品注灵石</v>
      </c>
      <c r="D1060" s="224">
        <f>参数调整!$K$32*怪物掉落配置方案!$D4138</f>
        <v>0.11664923151203023</v>
      </c>
    </row>
    <row r="1061" spans="1:4" ht="16.5" hidden="1" x14ac:dyDescent="0.3">
      <c r="A1061" s="10" t="str">
        <f>基本属性!$B$9&amp;"|"&amp;基本属性!$C$9</f>
        <v>70|0</v>
      </c>
      <c r="B1061" s="10" t="str">
        <f>参数调整!$J$32</f>
        <v>精英掉落</v>
      </c>
      <c r="C1061" s="8" t="str">
        <f>材料产出!$AJ$2</f>
        <v>中品注灵石</v>
      </c>
      <c r="D1061" s="224">
        <f>参数调整!$K$32*怪物掉落配置方案!$D4139</f>
        <v>0.13690083420509105</v>
      </c>
    </row>
    <row r="1062" spans="1:4" ht="16.5" hidden="1" x14ac:dyDescent="0.3">
      <c r="A1062" s="10" t="str">
        <f>基本属性!$B$10&amp;"|"&amp;基本属性!$C$10</f>
        <v>75|0</v>
      </c>
      <c r="B1062" s="10" t="str">
        <f>参数调整!$J$32</f>
        <v>精英掉落</v>
      </c>
      <c r="C1062" s="8" t="str">
        <f>材料产出!$AJ$2</f>
        <v>中品注灵石</v>
      </c>
      <c r="D1062" s="224">
        <f>参数调整!$K$32*怪物掉落配置方案!$D4140</f>
        <v>0.15877256511359669</v>
      </c>
    </row>
    <row r="1063" spans="1:4" ht="16.5" hidden="1" x14ac:dyDescent="0.3">
      <c r="A1063" s="10" t="str">
        <f>基本属性!$B$11&amp;"|"&amp;基本属性!$C$11</f>
        <v>80|1</v>
      </c>
      <c r="B1063" s="10" t="str">
        <f>参数调整!$J$32</f>
        <v>精英掉落</v>
      </c>
      <c r="C1063" s="8" t="str">
        <f>材料产出!$AJ$2</f>
        <v>中品注灵石</v>
      </c>
      <c r="D1063" s="224">
        <f>参数调整!$K$32*怪物掉落配置方案!$D4141</f>
        <v>0.1822644242375473</v>
      </c>
    </row>
    <row r="1064" spans="1:4" ht="16.5" hidden="1" x14ac:dyDescent="0.3">
      <c r="A1064" s="10" t="str">
        <f>基本属性!$B$12&amp;"|"&amp;基本属性!$C$12</f>
        <v>90|2</v>
      </c>
      <c r="B1064" s="10" t="str">
        <f>参数调整!$J$32</f>
        <v>精英掉落</v>
      </c>
      <c r="C1064" s="8" t="str">
        <f>材料产出!$AJ$2</f>
        <v>中品注灵石</v>
      </c>
      <c r="D1064" s="224">
        <f>参数调整!$K$32*怪物掉落配置方案!$D4142</f>
        <v>0.2073764115769427</v>
      </c>
    </row>
    <row r="1065" spans="1:4" ht="16.5" hidden="1" x14ac:dyDescent="0.3">
      <c r="A1065" s="10" t="str">
        <f>基本属性!$B$13&amp;"|"&amp;基本属性!$C$13</f>
        <v>100|3</v>
      </c>
      <c r="B1065" s="10" t="str">
        <f>参数调整!$J$32</f>
        <v>精英掉落</v>
      </c>
      <c r="C1065" s="8" t="str">
        <f>材料产出!$AJ$2</f>
        <v>中品注灵石</v>
      </c>
      <c r="D1065" s="224">
        <f>参数调整!$K$32*怪物掉落配置方案!$D4143</f>
        <v>0.2624607709020681</v>
      </c>
    </row>
    <row r="1066" spans="1:4" ht="16.5" hidden="1" x14ac:dyDescent="0.3">
      <c r="A1066" s="10" t="str">
        <f>基本属性!$B$14&amp;"|"&amp;基本属性!$C$14</f>
        <v>105|4</v>
      </c>
      <c r="B1066" s="10" t="str">
        <f>参数调整!$J$32</f>
        <v>精英掉落</v>
      </c>
      <c r="C1066" s="8" t="str">
        <f>材料产出!$AJ$2</f>
        <v>中品注灵石</v>
      </c>
      <c r="D1066" s="224">
        <f>参数调整!$K$32*怪物掉落配置方案!$D4144</f>
        <v>0.32402564308897291</v>
      </c>
    </row>
    <row r="1067" spans="1:4" ht="16.5" hidden="1" x14ac:dyDescent="0.3">
      <c r="A1067" s="10" t="str">
        <f>基本属性!$B$15&amp;"|"&amp;基本属性!$C$15</f>
        <v>110|5</v>
      </c>
      <c r="B1067" s="10" t="str">
        <f>参数调整!$J$32</f>
        <v>精英掉落</v>
      </c>
      <c r="C1067" s="8" t="str">
        <f>材料产出!$AJ$2</f>
        <v>中品注灵石</v>
      </c>
      <c r="D1067" s="224">
        <f>参数调整!$K$32*怪物掉落配置方案!$D4145</f>
        <v>0.39207102813765726</v>
      </c>
    </row>
    <row r="1068" spans="1:4" ht="16.5" hidden="1" x14ac:dyDescent="0.3">
      <c r="A1068" s="10" t="str">
        <f>基本属性!$B$16&amp;"|"&amp;基本属性!$C$16</f>
        <v>120|6</v>
      </c>
      <c r="B1068" s="10" t="str">
        <f>参数调整!$J$32</f>
        <v>精英掉落</v>
      </c>
      <c r="C1068" s="8" t="str">
        <f>材料产出!$AJ$2</f>
        <v>中品注灵石</v>
      </c>
      <c r="D1068" s="224">
        <f>参数调整!$K$32*怪物掉落配置方案!$D4146</f>
        <v>0.50629006732652015</v>
      </c>
    </row>
    <row r="1069" spans="1:4" ht="16.5" hidden="1" x14ac:dyDescent="0.3">
      <c r="A1069" s="10" t="str">
        <f>基本属性!$B$17&amp;"|"&amp;基本属性!$C$17</f>
        <v>135|7</v>
      </c>
      <c r="B1069" s="10" t="str">
        <f>参数调整!$J$32</f>
        <v>精英掉落</v>
      </c>
      <c r="C1069" s="8" t="str">
        <f>材料产出!$AJ$2</f>
        <v>中品注灵石</v>
      </c>
      <c r="D1069" s="224">
        <f>参数调整!$K$32*怪物掉落配置方案!$D4147</f>
        <v>0.72905769695018918</v>
      </c>
    </row>
    <row r="1070" spans="1:4" ht="16.5" hidden="1" x14ac:dyDescent="0.3">
      <c r="A1070" s="10" t="str">
        <f>基本属性!$B$18&amp;"|"&amp;基本属性!$C$18</f>
        <v>155|8</v>
      </c>
      <c r="B1070" s="10" t="str">
        <f>参数调整!$J$32</f>
        <v>精英掉落</v>
      </c>
      <c r="C1070" s="8" t="str">
        <f>材料产出!$AJ$2</f>
        <v>中品注灵石</v>
      </c>
      <c r="D1070" s="224">
        <f>参数调整!$K$32*怪物掉落配置方案!$D4148</f>
        <v>0.9923285319599795</v>
      </c>
    </row>
    <row r="1071" spans="1:4" ht="16.5" hidden="1" x14ac:dyDescent="0.3">
      <c r="A1071" s="10" t="str">
        <f>基本属性!$B$19&amp;"|"&amp;基本属性!$C$19</f>
        <v>190|9</v>
      </c>
      <c r="B1071" s="10" t="str">
        <f>参数调整!$J$32</f>
        <v>精英掉落</v>
      </c>
      <c r="C1071" s="8" t="str">
        <f>材料产出!$AJ$2</f>
        <v>中品注灵石</v>
      </c>
      <c r="D1071" s="224">
        <f>参数调整!$K$32*怪物掉落配置方案!$D4149</f>
        <v>1.1089777634720099</v>
      </c>
    </row>
    <row r="1072" spans="1:4" ht="16.5" hidden="1" x14ac:dyDescent="0.3">
      <c r="A1072" s="10" t="str">
        <f>基本属性!$B$20&amp;"|"&amp;基本属性!$C$20</f>
        <v>200|10</v>
      </c>
      <c r="B1072" s="10" t="str">
        <f>参数调整!$J$32</f>
        <v>精英掉落</v>
      </c>
      <c r="C1072" s="8" t="str">
        <f>材料产出!$AJ$2</f>
        <v>中品注灵石</v>
      </c>
      <c r="D1072" s="224">
        <f>参数调整!$K$32*怪物掉落配置方案!$D4150</f>
        <v>1.2961025723558917</v>
      </c>
    </row>
    <row r="1073" spans="1:4" ht="16.5" hidden="1" x14ac:dyDescent="0.3">
      <c r="A1073" s="10" t="str">
        <f>基本属性!$B$21&amp;"|"&amp;基本属性!$C$21</f>
        <v>200|11</v>
      </c>
      <c r="B1073" s="10" t="str">
        <f>参数调整!$J$32</f>
        <v>精英掉落</v>
      </c>
      <c r="C1073" s="8" t="str">
        <f>材料产出!$AJ$2</f>
        <v>中品注灵石</v>
      </c>
      <c r="D1073" s="224">
        <f>参数调整!$K$32*怪物掉落配置方案!$D4151</f>
        <v>1.4978085351787771</v>
      </c>
    </row>
    <row r="1074" spans="1:4" ht="16.5" hidden="1" x14ac:dyDescent="0.3">
      <c r="A1074" s="10" t="str">
        <f>基本属性!$B$22&amp;"|"&amp;基本属性!$C$22</f>
        <v>210|12</v>
      </c>
      <c r="B1074" s="10" t="str">
        <f>参数调整!$J$32</f>
        <v>精英掉落</v>
      </c>
      <c r="C1074" s="8" t="str">
        <f>材料产出!$AJ$2</f>
        <v>中品注灵石</v>
      </c>
      <c r="D1074" s="224">
        <f>参数调整!$K$32*怪物掉落配置方案!$D4152</f>
        <v>1.714095651940666</v>
      </c>
    </row>
    <row r="1075" spans="1:4" ht="16.5" hidden="1" x14ac:dyDescent="0.3">
      <c r="A1075" s="10" t="str">
        <f>基本属性!$B$23&amp;"|"&amp;基本属性!$C$23</f>
        <v>210|13</v>
      </c>
      <c r="B1075" s="10" t="str">
        <f>参数调整!$J$32</f>
        <v>精英掉落</v>
      </c>
      <c r="C1075" s="8" t="str">
        <f>材料产出!$AJ$2</f>
        <v>中品注灵石</v>
      </c>
      <c r="D1075" s="224">
        <f>参数调整!$K$32*怪物掉落配置方案!$D4153</f>
        <v>1.94496392264156</v>
      </c>
    </row>
    <row r="1076" spans="1:4" ht="16.5" hidden="1" x14ac:dyDescent="0.3">
      <c r="A1076" s="10" t="str">
        <f>基本属性!$B$24&amp;"|"&amp;基本属性!$C$24</f>
        <v>220|14</v>
      </c>
      <c r="B1076" s="10" t="str">
        <f>参数调整!$J$32</f>
        <v>精英掉落</v>
      </c>
      <c r="C1076" s="8" t="str">
        <f>材料产出!$AJ$2</f>
        <v>中品注灵石</v>
      </c>
      <c r="D1076" s="224">
        <f>参数调整!$K$32*怪物掉落配置方案!$D4154</f>
        <v>2.1904133472814569</v>
      </c>
    </row>
    <row r="1077" spans="1:4" ht="16.5" hidden="1" x14ac:dyDescent="0.3">
      <c r="A1077" s="10" t="str">
        <f>基本属性!$B$25&amp;"|"&amp;基本属性!$C$25</f>
        <v>220|15</v>
      </c>
      <c r="B1077" s="10" t="str">
        <f>参数调整!$J$32</f>
        <v>精英掉落</v>
      </c>
      <c r="C1077" s="8" t="str">
        <f>材料产出!$AJ$2</f>
        <v>中品注灵石</v>
      </c>
      <c r="D1077" s="224">
        <f>参数调整!$K$32*怪物掉落配置方案!$D4155</f>
        <v>2.4504439258603576</v>
      </c>
    </row>
    <row r="1078" spans="1:4" ht="16.5" hidden="1" x14ac:dyDescent="0.3">
      <c r="A1078" s="10" t="str">
        <f>基本属性!$B$26&amp;"|"&amp;基本属性!$C$26</f>
        <v>230|16</v>
      </c>
      <c r="B1078" s="10" t="str">
        <f>参数调整!$J$32</f>
        <v>精英掉落</v>
      </c>
      <c r="C1078" s="8" t="str">
        <f>材料产出!$AJ$2</f>
        <v>中品注灵石</v>
      </c>
      <c r="D1078" s="224">
        <f>参数调整!$K$32*怪物掉落配置方案!$D4156</f>
        <v>2.7250556583782615</v>
      </c>
    </row>
    <row r="1079" spans="1:4" ht="16.5" hidden="1" x14ac:dyDescent="0.3">
      <c r="A1079" s="10" t="str">
        <f>基本属性!$B$27&amp;"|"&amp;基本属性!$C$27</f>
        <v>230|17</v>
      </c>
      <c r="B1079" s="10" t="str">
        <f>参数调整!$J$32</f>
        <v>精英掉落</v>
      </c>
      <c r="C1079" s="8" t="str">
        <f>材料产出!$AJ$2</f>
        <v>中品注灵石</v>
      </c>
      <c r="D1079" s="224">
        <f>参数调整!$K$32*怪物掉落配置方案!$D4157</f>
        <v>3.0142485448351701</v>
      </c>
    </row>
    <row r="1080" spans="1:4" ht="16.5" hidden="1" x14ac:dyDescent="0.3">
      <c r="A1080" s="10" t="str">
        <f>基本属性!$B$28&amp;"|"&amp;基本属性!$C$28</f>
        <v>240|18</v>
      </c>
      <c r="B1080" s="10" t="str">
        <f>参数调整!$J$32</f>
        <v>精英掉落</v>
      </c>
      <c r="C1080" s="8" t="str">
        <f>材料产出!$AJ$2</f>
        <v>中品注灵石</v>
      </c>
      <c r="D1080" s="224">
        <f>参数调整!$K$32*怪物掉落配置方案!$D4158</f>
        <v>3.3180225852310832</v>
      </c>
    </row>
    <row r="1081" spans="1:4" ht="16.5" hidden="1" x14ac:dyDescent="0.3">
      <c r="A1081" s="10" t="str">
        <f>基本属性!$B$29&amp;"|"&amp;基本属性!$C$29</f>
        <v>240|19</v>
      </c>
      <c r="B1081" s="10" t="str">
        <f>参数调整!$J$32</f>
        <v>精英掉落</v>
      </c>
      <c r="C1081" s="8" t="str">
        <f>材料产出!$AJ$2</f>
        <v>中品注灵石</v>
      </c>
      <c r="D1081" s="224">
        <f>参数调整!$K$32*怪物掉落配置方案!$D4159</f>
        <v>3.6363777795659984</v>
      </c>
    </row>
    <row r="1082" spans="1:4" ht="16.5" hidden="1" x14ac:dyDescent="0.3">
      <c r="A1082" s="10" t="str">
        <f>基本属性!$B$30&amp;"|"&amp;基本属性!$C$30</f>
        <v>250|20</v>
      </c>
      <c r="B1082" s="10" t="str">
        <f>参数调整!$J$32</f>
        <v>精英掉落</v>
      </c>
      <c r="C1082" s="8" t="str">
        <f>材料产出!$AJ$2</f>
        <v>中品注灵石</v>
      </c>
      <c r="D1082" s="224">
        <f>参数调整!$K$32*怪物掉落配置方案!$D4160</f>
        <v>3.969314127839918</v>
      </c>
    </row>
    <row r="1083" spans="1:4" ht="16.5" hidden="1" x14ac:dyDescent="0.3">
      <c r="A1083" s="10" t="str">
        <f>基本属性!$B$4&amp;"|"&amp;基本属性!$C$4</f>
        <v>35|0</v>
      </c>
      <c r="B1083" s="10" t="str">
        <f>参数调整!$J$32</f>
        <v>精英掉落</v>
      </c>
      <c r="C1083" s="8" t="str">
        <f>材料产出!$J$2</f>
        <v>元宝</v>
      </c>
      <c r="D1083" s="224">
        <f>参数调整!$K$32*怪物掉落配置方案!$D4161</f>
        <v>670</v>
      </c>
    </row>
    <row r="1084" spans="1:4" ht="16.5" hidden="1" x14ac:dyDescent="0.3">
      <c r="A1084" s="10" t="str">
        <f>基本属性!$B$5&amp;"|"&amp;基本属性!$C$5</f>
        <v>40|0</v>
      </c>
      <c r="B1084" s="10" t="str">
        <f>参数调整!$J$32</f>
        <v>精英掉落</v>
      </c>
      <c r="C1084" s="8" t="str">
        <f>材料产出!$J$2</f>
        <v>元宝</v>
      </c>
      <c r="D1084" s="224">
        <f>参数调整!$K$32*怪物掉落配置方案!$D4162</f>
        <v>850</v>
      </c>
    </row>
    <row r="1085" spans="1:4" ht="16.5" hidden="1" x14ac:dyDescent="0.3">
      <c r="A1085" s="10" t="str">
        <f>基本属性!$B$6&amp;"|"&amp;基本属性!$C$6</f>
        <v>50|0</v>
      </c>
      <c r="B1085" s="10" t="str">
        <f>参数调整!$J$32</f>
        <v>精英掉落</v>
      </c>
      <c r="C1085" s="8" t="str">
        <f>材料产出!$J$2</f>
        <v>元宝</v>
      </c>
      <c r="D1085" s="224">
        <f>参数调整!$K$32*怪物掉落配置方案!$D4163</f>
        <v>1050</v>
      </c>
    </row>
    <row r="1086" spans="1:4" ht="16.5" hidden="1" x14ac:dyDescent="0.3">
      <c r="A1086" s="10" t="str">
        <f>基本属性!$B$7&amp;"|"&amp;基本属性!$C$7</f>
        <v>60|0</v>
      </c>
      <c r="B1086" s="10" t="str">
        <f>参数调整!$J$32</f>
        <v>精英掉落</v>
      </c>
      <c r="C1086" s="8" t="str">
        <f>材料产出!$J$2</f>
        <v>元宝</v>
      </c>
      <c r="D1086" s="224">
        <f>参数调整!$K$32*怪物掉落配置方案!$D4164</f>
        <v>1270</v>
      </c>
    </row>
    <row r="1087" spans="1:4" ht="16.5" hidden="1" x14ac:dyDescent="0.3">
      <c r="A1087" s="10" t="str">
        <f>基本属性!$B$8&amp;"|"&amp;基本属性!$C$8</f>
        <v>65|0</v>
      </c>
      <c r="B1087" s="10" t="str">
        <f>参数调整!$J$32</f>
        <v>精英掉落</v>
      </c>
      <c r="C1087" s="8" t="str">
        <f>材料产出!$J$2</f>
        <v>元宝</v>
      </c>
      <c r="D1087" s="224">
        <f>参数调整!$K$32*怪物掉落配置方案!$D4165</f>
        <v>1510</v>
      </c>
    </row>
    <row r="1088" spans="1:4" ht="16.5" hidden="1" x14ac:dyDescent="0.3">
      <c r="A1088" s="10" t="str">
        <f>基本属性!$B$9&amp;"|"&amp;基本属性!$C$9</f>
        <v>70|0</v>
      </c>
      <c r="B1088" s="10" t="str">
        <f>参数调整!$J$32</f>
        <v>精英掉落</v>
      </c>
      <c r="C1088" s="8" t="str">
        <f>材料产出!$J$2</f>
        <v>元宝</v>
      </c>
      <c r="D1088" s="224">
        <f>参数调整!$K$32*怪物掉落配置方案!$D4166</f>
        <v>1770</v>
      </c>
    </row>
    <row r="1089" spans="1:4" ht="16.5" hidden="1" x14ac:dyDescent="0.3">
      <c r="A1089" s="10" t="str">
        <f>基本属性!$B$10&amp;"|"&amp;基本属性!$C$10</f>
        <v>75|0</v>
      </c>
      <c r="B1089" s="10" t="str">
        <f>参数调整!$J$32</f>
        <v>精英掉落</v>
      </c>
      <c r="C1089" s="8" t="str">
        <f>材料产出!$J$2</f>
        <v>元宝</v>
      </c>
      <c r="D1089" s="224">
        <f>参数调整!$K$32*怪物掉落配置方案!$D4167</f>
        <v>2050</v>
      </c>
    </row>
    <row r="1090" spans="1:4" ht="16.5" hidden="1" x14ac:dyDescent="0.3">
      <c r="A1090" s="10" t="str">
        <f>基本属性!$B$11&amp;"|"&amp;基本属性!$C$11</f>
        <v>80|1</v>
      </c>
      <c r="B1090" s="10" t="str">
        <f>参数调整!$J$32</f>
        <v>精英掉落</v>
      </c>
      <c r="C1090" s="8" t="str">
        <f>材料产出!$J$2</f>
        <v>元宝</v>
      </c>
      <c r="D1090" s="224">
        <f>参数调整!$K$32*怪物掉落配置方案!$D4168</f>
        <v>2360</v>
      </c>
    </row>
    <row r="1091" spans="1:4" ht="16.5" hidden="1" x14ac:dyDescent="0.3">
      <c r="A1091" s="10" t="str">
        <f>基本属性!$B$12&amp;"|"&amp;基本属性!$C$12</f>
        <v>90|2</v>
      </c>
      <c r="B1091" s="10" t="str">
        <f>参数调整!$J$32</f>
        <v>精英掉落</v>
      </c>
      <c r="C1091" s="8" t="str">
        <f>材料产出!$J$2</f>
        <v>元宝</v>
      </c>
      <c r="D1091" s="224">
        <f>参数调整!$K$32*怪物掉落配置方案!$D4169</f>
        <v>2680</v>
      </c>
    </row>
    <row r="1092" spans="1:4" ht="16.5" hidden="1" x14ac:dyDescent="0.3">
      <c r="A1092" s="10" t="str">
        <f>基本属性!$B$13&amp;"|"&amp;基本属性!$C$13</f>
        <v>100|3</v>
      </c>
      <c r="B1092" s="10" t="str">
        <f>参数调整!$J$32</f>
        <v>精英掉落</v>
      </c>
      <c r="C1092" s="8" t="str">
        <f>材料产出!$J$2</f>
        <v>元宝</v>
      </c>
      <c r="D1092" s="224">
        <f>参数调整!$K$32*怪物掉落配置方案!$D4170</f>
        <v>3390</v>
      </c>
    </row>
    <row r="1093" spans="1:4" ht="16.5" hidden="1" x14ac:dyDescent="0.3">
      <c r="A1093" s="10" t="str">
        <f>基本属性!$B$14&amp;"|"&amp;基本属性!$C$14</f>
        <v>105|4</v>
      </c>
      <c r="B1093" s="10" t="str">
        <f>参数调整!$J$32</f>
        <v>精英掉落</v>
      </c>
      <c r="C1093" s="8" t="str">
        <f>材料产出!$J$2</f>
        <v>元宝</v>
      </c>
      <c r="D1093" s="224">
        <f>参数调整!$K$32*怪物掉落配置方案!$D4171</f>
        <v>4190</v>
      </c>
    </row>
    <row r="1094" spans="1:4" ht="16.5" hidden="1" x14ac:dyDescent="0.3">
      <c r="A1094" s="10" t="str">
        <f>基本属性!$B$15&amp;"|"&amp;基本属性!$C$15</f>
        <v>110|5</v>
      </c>
      <c r="B1094" s="10" t="str">
        <f>参数调整!$J$32</f>
        <v>精英掉落</v>
      </c>
      <c r="C1094" s="8" t="str">
        <f>材料产出!$J$2</f>
        <v>元宝</v>
      </c>
      <c r="D1094" s="224">
        <f>参数调整!$K$32*怪物掉落配置方案!$D4172</f>
        <v>5070</v>
      </c>
    </row>
    <row r="1095" spans="1:4" ht="16.5" hidden="1" x14ac:dyDescent="0.3">
      <c r="A1095" s="10" t="str">
        <f>基本属性!$B$16&amp;"|"&amp;基本属性!$C$16</f>
        <v>120|6</v>
      </c>
      <c r="B1095" s="10" t="str">
        <f>参数调整!$J$32</f>
        <v>精英掉落</v>
      </c>
      <c r="C1095" s="8" t="str">
        <f>材料产出!$J$2</f>
        <v>元宝</v>
      </c>
      <c r="D1095" s="224">
        <f>参数调整!$K$32*怪物掉落配置方案!$D4173</f>
        <v>6550</v>
      </c>
    </row>
    <row r="1096" spans="1:4" ht="16.5" hidden="1" x14ac:dyDescent="0.3">
      <c r="A1096" s="10" t="str">
        <f>基本属性!$B$17&amp;"|"&amp;基本属性!$C$17</f>
        <v>135|7</v>
      </c>
      <c r="B1096" s="10" t="str">
        <f>参数调整!$J$32</f>
        <v>精英掉落</v>
      </c>
      <c r="C1096" s="8" t="str">
        <f>材料产出!$J$2</f>
        <v>元宝</v>
      </c>
      <c r="D1096" s="224">
        <f>参数调整!$K$32*怪物掉落配置方案!$D4174</f>
        <v>9430</v>
      </c>
    </row>
    <row r="1097" spans="1:4" ht="16.5" hidden="1" x14ac:dyDescent="0.3">
      <c r="A1097" s="10" t="str">
        <f>基本属性!$B$18&amp;"|"&amp;基本属性!$C$18</f>
        <v>155|8</v>
      </c>
      <c r="B1097" s="10" t="str">
        <f>参数调整!$J$32</f>
        <v>精英掉落</v>
      </c>
      <c r="C1097" s="8" t="str">
        <f>材料产出!$J$2</f>
        <v>元宝</v>
      </c>
      <c r="D1097" s="224">
        <f>参数调整!$K$32*怪物掉落配置方案!$D4175</f>
        <v>12840</v>
      </c>
    </row>
    <row r="1098" spans="1:4" ht="16.5" hidden="1" x14ac:dyDescent="0.3">
      <c r="A1098" s="10" t="str">
        <f>基本属性!$B$19&amp;"|"&amp;基本属性!$C$19</f>
        <v>190|9</v>
      </c>
      <c r="B1098" s="10" t="str">
        <f>参数调整!$J$32</f>
        <v>精英掉落</v>
      </c>
      <c r="C1098" s="8" t="str">
        <f>材料产出!$J$2</f>
        <v>元宝</v>
      </c>
      <c r="D1098" s="224">
        <f>参数调整!$K$32*怪物掉落配置方案!$D4176</f>
        <v>14340</v>
      </c>
    </row>
    <row r="1099" spans="1:4" ht="16.5" hidden="1" x14ac:dyDescent="0.3">
      <c r="A1099" s="10" t="str">
        <f>基本属性!$B$20&amp;"|"&amp;基本属性!$C$20</f>
        <v>200|10</v>
      </c>
      <c r="B1099" s="10" t="str">
        <f>参数调整!$J$32</f>
        <v>精英掉落</v>
      </c>
      <c r="C1099" s="8" t="str">
        <f>材料产出!$J$2</f>
        <v>元宝</v>
      </c>
      <c r="D1099" s="224">
        <f>参数调整!$K$32*怪物掉落配置方案!$D4177</f>
        <v>16770</v>
      </c>
    </row>
    <row r="1100" spans="1:4" ht="16.5" hidden="1" x14ac:dyDescent="0.3">
      <c r="A1100" s="10" t="str">
        <f>基本属性!$B$21&amp;"|"&amp;基本属性!$C$21</f>
        <v>200|11</v>
      </c>
      <c r="B1100" s="10" t="str">
        <f>参数调整!$J$32</f>
        <v>精英掉落</v>
      </c>
      <c r="C1100" s="8" t="str">
        <f>材料产出!$J$2</f>
        <v>元宝</v>
      </c>
      <c r="D1100" s="224">
        <f>参数调整!$K$32*怪物掉落配置方案!$D4178</f>
        <v>19370</v>
      </c>
    </row>
    <row r="1101" spans="1:4" ht="16.5" hidden="1" x14ac:dyDescent="0.3">
      <c r="A1101" s="10" t="str">
        <f>基本属性!$B$22&amp;"|"&amp;基本属性!$C$22</f>
        <v>210|12</v>
      </c>
      <c r="B1101" s="10" t="str">
        <f>参数调整!$J$32</f>
        <v>精英掉落</v>
      </c>
      <c r="C1101" s="8" t="str">
        <f>材料产出!$J$2</f>
        <v>元宝</v>
      </c>
      <c r="D1101" s="224">
        <f>参数调整!$K$32*怪物掉落配置方案!$D4179</f>
        <v>22170</v>
      </c>
    </row>
    <row r="1102" spans="1:4" ht="16.5" hidden="1" x14ac:dyDescent="0.3">
      <c r="A1102" s="10" t="str">
        <f>基本属性!$B$23&amp;"|"&amp;基本属性!$C$23</f>
        <v>210|13</v>
      </c>
      <c r="B1102" s="10" t="str">
        <f>参数调整!$J$32</f>
        <v>精英掉落</v>
      </c>
      <c r="C1102" s="8" t="str">
        <f>材料产出!$J$2</f>
        <v>元宝</v>
      </c>
      <c r="D1102" s="224">
        <f>参数调整!$K$32*怪物掉落配置方案!$D4180</f>
        <v>25160</v>
      </c>
    </row>
    <row r="1103" spans="1:4" ht="16.5" hidden="1" x14ac:dyDescent="0.3">
      <c r="A1103" s="10" t="str">
        <f>基本属性!$B$24&amp;"|"&amp;基本属性!$C$24</f>
        <v>220|14</v>
      </c>
      <c r="B1103" s="10" t="str">
        <f>参数调整!$J$32</f>
        <v>精英掉落</v>
      </c>
      <c r="C1103" s="8" t="str">
        <f>材料产出!$J$2</f>
        <v>元宝</v>
      </c>
      <c r="D1103" s="224">
        <f>参数调整!$K$32*怪物掉落配置方案!$D4181</f>
        <v>28330</v>
      </c>
    </row>
    <row r="1104" spans="1:4" ht="16.5" hidden="1" x14ac:dyDescent="0.3">
      <c r="A1104" s="10" t="str">
        <f>基本属性!$B$25&amp;"|"&amp;基本属性!$C$25</f>
        <v>220|15</v>
      </c>
      <c r="B1104" s="10" t="str">
        <f>参数调整!$J$32</f>
        <v>精英掉落</v>
      </c>
      <c r="C1104" s="8" t="str">
        <f>材料产出!$J$2</f>
        <v>元宝</v>
      </c>
      <c r="D1104" s="224">
        <f>参数调整!$K$32*怪物掉落配置方案!$D4182</f>
        <v>31700</v>
      </c>
    </row>
    <row r="1105" spans="1:4" ht="16.5" hidden="1" x14ac:dyDescent="0.3">
      <c r="A1105" s="10" t="str">
        <f>基本属性!$B$26&amp;"|"&amp;基本属性!$C$26</f>
        <v>230|16</v>
      </c>
      <c r="B1105" s="10" t="str">
        <f>参数调整!$J$32</f>
        <v>精英掉落</v>
      </c>
      <c r="C1105" s="8" t="str">
        <f>材料产出!$J$2</f>
        <v>元宝</v>
      </c>
      <c r="D1105" s="224">
        <f>参数调整!$K$32*怪物掉落配置方案!$D4183</f>
        <v>35250</v>
      </c>
    </row>
    <row r="1106" spans="1:4" ht="16.5" hidden="1" x14ac:dyDescent="0.3">
      <c r="A1106" s="10" t="str">
        <f>基本属性!$B$27&amp;"|"&amp;基本属性!$C$27</f>
        <v>230|17</v>
      </c>
      <c r="B1106" s="10" t="str">
        <f>参数调整!$J$32</f>
        <v>精英掉落</v>
      </c>
      <c r="C1106" s="8" t="str">
        <f>材料产出!$J$2</f>
        <v>元宝</v>
      </c>
      <c r="D1106" s="224">
        <f>参数调整!$K$32*怪物掉落配置方案!$D4184</f>
        <v>38990</v>
      </c>
    </row>
    <row r="1107" spans="1:4" ht="16.5" hidden="1" x14ac:dyDescent="0.3">
      <c r="A1107" s="10" t="str">
        <f>基本属性!$B$28&amp;"|"&amp;基本属性!$C$28</f>
        <v>240|18</v>
      </c>
      <c r="B1107" s="10" t="str">
        <f>参数调整!$J$32</f>
        <v>精英掉落</v>
      </c>
      <c r="C1107" s="8" t="str">
        <f>材料产出!$J$2</f>
        <v>元宝</v>
      </c>
      <c r="D1107" s="224">
        <f>参数调整!$K$32*怪物掉落配置方案!$D4185</f>
        <v>42920</v>
      </c>
    </row>
    <row r="1108" spans="1:4" ht="16.5" hidden="1" x14ac:dyDescent="0.3">
      <c r="A1108" s="10" t="str">
        <f>基本属性!$B$29&amp;"|"&amp;基本属性!$C$29</f>
        <v>240|19</v>
      </c>
      <c r="B1108" s="10" t="str">
        <f>参数调整!$J$32</f>
        <v>精英掉落</v>
      </c>
      <c r="C1108" s="8" t="str">
        <f>材料产出!$J$2</f>
        <v>元宝</v>
      </c>
      <c r="D1108" s="224">
        <f>参数调整!$K$32*怪物掉落配置方案!$D4186</f>
        <v>47040</v>
      </c>
    </row>
    <row r="1109" spans="1:4" ht="16.5" hidden="1" x14ac:dyDescent="0.3">
      <c r="A1109" s="10" t="str">
        <f>基本属性!$B$30&amp;"|"&amp;基本属性!$C$30</f>
        <v>250|20</v>
      </c>
      <c r="B1109" s="10" t="str">
        <f>参数调整!$J$32</f>
        <v>精英掉落</v>
      </c>
      <c r="C1109" s="8" t="str">
        <f>材料产出!$J$2</f>
        <v>元宝</v>
      </c>
      <c r="D1109" s="224">
        <f>参数调整!$K$32*怪物掉落配置方案!$D4187</f>
        <v>51340</v>
      </c>
    </row>
    <row r="1110" spans="1:4" ht="16.5" hidden="1" x14ac:dyDescent="0.3">
      <c r="A1110" s="10" t="str">
        <f>基本属性!$B$4&amp;"|"&amp;基本属性!$C$4</f>
        <v>35|0</v>
      </c>
      <c r="B1110" s="10" t="str">
        <f>参数调整!$J$32</f>
        <v>精英掉落</v>
      </c>
      <c r="C1110" s="8" t="str">
        <f>材料产出!$BB$2</f>
        <v>衣服碎片</v>
      </c>
      <c r="D1110" s="224">
        <f>参数调整!$K$32*怪物掉落配置方案!$D4188</f>
        <v>8.1166972083899542E-5</v>
      </c>
    </row>
    <row r="1111" spans="1:4" ht="16.5" hidden="1" x14ac:dyDescent="0.3">
      <c r="A1111" s="10" t="str">
        <f>基本属性!$B$5&amp;"|"&amp;基本属性!$C$5</f>
        <v>40|0</v>
      </c>
      <c r="B1111" s="10" t="str">
        <f>参数调整!$J$32</f>
        <v>精英掉落</v>
      </c>
      <c r="C1111" s="8" t="str">
        <f>材料产出!$BB$2</f>
        <v>衣服碎片</v>
      </c>
      <c r="D1111" s="224">
        <f>参数调整!$K$32*怪物掉落配置方案!$D4189</f>
        <v>1.0272694904368536E-4</v>
      </c>
    </row>
    <row r="1112" spans="1:4" ht="16.5" hidden="1" x14ac:dyDescent="0.3">
      <c r="A1112" s="10" t="str">
        <f>基本属性!$B$6&amp;"|"&amp;基本属性!$C$6</f>
        <v>50|0</v>
      </c>
      <c r="B1112" s="10" t="str">
        <f>参数调整!$J$32</f>
        <v>精英掉落</v>
      </c>
      <c r="C1112" s="8" t="str">
        <f>材料产出!$BB$2</f>
        <v>衣服碎片</v>
      </c>
      <c r="D1112" s="224">
        <f>参数调整!$K$32*怪物掉落配置方案!$D4190</f>
        <v>1.2682339388109305E-4</v>
      </c>
    </row>
    <row r="1113" spans="1:4" ht="16.5" hidden="1" x14ac:dyDescent="0.3">
      <c r="A1113" s="10" t="str">
        <f>基本属性!$B$7&amp;"|"&amp;基本属性!$C$7</f>
        <v>60|0</v>
      </c>
      <c r="B1113" s="10" t="str">
        <f>参数调整!$J$32</f>
        <v>精英掉落</v>
      </c>
      <c r="C1113" s="8" t="str">
        <f>材料产出!$BB$2</f>
        <v>衣服碎片</v>
      </c>
      <c r="D1113" s="224">
        <f>参数调整!$K$32*怪物掉落配置方案!$D4191</f>
        <v>1.5345630659612257E-4</v>
      </c>
    </row>
    <row r="1114" spans="1:4" ht="16.5" hidden="1" x14ac:dyDescent="0.3">
      <c r="A1114" s="10" t="str">
        <f>基本属性!$B$8&amp;"|"&amp;基本属性!$C$8</f>
        <v>65|0</v>
      </c>
      <c r="B1114" s="10" t="str">
        <f>参数调整!$J$32</f>
        <v>精英掉落</v>
      </c>
      <c r="C1114" s="8" t="str">
        <f>材料产出!$BB$2</f>
        <v>衣服碎片</v>
      </c>
      <c r="D1114" s="224">
        <f>参数调整!$K$32*怪物掉落配置方案!$D4192</f>
        <v>1.8262568718877396E-4</v>
      </c>
    </row>
    <row r="1115" spans="1:4" ht="16.5" hidden="1" x14ac:dyDescent="0.3">
      <c r="A1115" s="10" t="str">
        <f>基本属性!$B$9&amp;"|"&amp;基本属性!$C$9</f>
        <v>70|0</v>
      </c>
      <c r="B1115" s="10" t="str">
        <f>参数调整!$J$32</f>
        <v>精英掉落</v>
      </c>
      <c r="C1115" s="8" t="str">
        <f>材料产出!$BB$2</f>
        <v>衣服碎片</v>
      </c>
      <c r="D1115" s="224">
        <f>参数调整!$K$32*怪物掉落配置方案!$D4193</f>
        <v>2.1433153565904723E-4</v>
      </c>
    </row>
    <row r="1116" spans="1:4" ht="16.5" hidden="1" x14ac:dyDescent="0.3">
      <c r="A1116" s="10" t="str">
        <f>基本属性!$B$10&amp;"|"&amp;基本属性!$C$10</f>
        <v>75|0</v>
      </c>
      <c r="B1116" s="10" t="str">
        <f>参数调整!$J$32</f>
        <v>精英掉落</v>
      </c>
      <c r="C1116" s="8" t="str">
        <f>材料产出!$BB$2</f>
        <v>衣服碎片</v>
      </c>
      <c r="D1116" s="224">
        <f>参数调整!$K$32*怪物掉落配置方案!$D4194</f>
        <v>2.485738520069423E-4</v>
      </c>
    </row>
    <row r="1117" spans="1:4" ht="16.5" hidden="1" x14ac:dyDescent="0.3">
      <c r="A1117" s="10" t="str">
        <f>基本属性!$B$11&amp;"|"&amp;基本属性!$C$11</f>
        <v>80|1</v>
      </c>
      <c r="B1117" s="10" t="str">
        <f>参数调整!$J$32</f>
        <v>精英掉落</v>
      </c>
      <c r="C1117" s="8" t="str">
        <f>材料产出!$BB$2</f>
        <v>衣服碎片</v>
      </c>
      <c r="D1117" s="224">
        <f>参数调整!$K$32*怪物掉落配置方案!$D4195</f>
        <v>2.853526362324593E-4</v>
      </c>
    </row>
    <row r="1118" spans="1:4" ht="16.5" hidden="1" x14ac:dyDescent="0.3">
      <c r="A1118" s="10" t="str">
        <f>基本属性!$B$12&amp;"|"&amp;基本属性!$C$12</f>
        <v>90|2</v>
      </c>
      <c r="B1118" s="10" t="str">
        <f>参数调整!$J$32</f>
        <v>精英掉落</v>
      </c>
      <c r="C1118" s="8" t="str">
        <f>材料产出!$BB$2</f>
        <v>衣服碎片</v>
      </c>
      <c r="D1118" s="224">
        <f>参数调整!$K$32*怪物掉落配置方案!$D4196</f>
        <v>3.2466788833559822E-4</v>
      </c>
    </row>
    <row r="1119" spans="1:4" ht="16.5" hidden="1" x14ac:dyDescent="0.3">
      <c r="A1119" s="10" t="str">
        <f>基本属性!$B$13&amp;"|"&amp;基本属性!$C$13</f>
        <v>100|3</v>
      </c>
      <c r="B1119" s="10" t="str">
        <f>参数调整!$J$32</f>
        <v>精英掉落</v>
      </c>
      <c r="C1119" s="8" t="str">
        <f>材料产出!$BB$2</f>
        <v>衣服碎片</v>
      </c>
      <c r="D1119" s="224">
        <f>参数调整!$K$32*怪物掉落配置方案!$D4197</f>
        <v>4.1090779617474149E-4</v>
      </c>
    </row>
    <row r="1120" spans="1:4" ht="16.5" hidden="1" x14ac:dyDescent="0.3">
      <c r="A1120" s="10" t="str">
        <f>基本属性!$B$14&amp;"|"&amp;基本属性!$C$14</f>
        <v>105|4</v>
      </c>
      <c r="B1120" s="10" t="str">
        <f>参数调整!$J$32</f>
        <v>精英掉落</v>
      </c>
      <c r="C1120" s="8" t="str">
        <f>材料产出!$BB$2</f>
        <v>衣服碎片</v>
      </c>
      <c r="D1120" s="224">
        <f>参数调整!$K$32*怪物掉落配置方案!$D4198</f>
        <v>5.0729357552437221E-4</v>
      </c>
    </row>
    <row r="1121" spans="1:4" ht="16.5" hidden="1" x14ac:dyDescent="0.3">
      <c r="A1121" s="10" t="str">
        <f>基本属性!$B$15&amp;"|"&amp;基本属性!$C$15</f>
        <v>110|5</v>
      </c>
      <c r="B1121" s="10" t="str">
        <f>参数调整!$J$32</f>
        <v>精英掉落</v>
      </c>
      <c r="C1121" s="8" t="str">
        <f>材料产出!$BB$2</f>
        <v>衣服碎片</v>
      </c>
      <c r="D1121" s="224">
        <f>参数调整!$K$32*怪物掉落配置方案!$D4199</f>
        <v>6.1382522638449039E-4</v>
      </c>
    </row>
    <row r="1122" spans="1:4" ht="16.5" hidden="1" x14ac:dyDescent="0.3">
      <c r="A1122" s="10" t="str">
        <f>基本属性!$B$16&amp;"|"&amp;基本属性!$C$16</f>
        <v>120|6</v>
      </c>
      <c r="B1122" s="10" t="str">
        <f>参数调整!$J$32</f>
        <v>精英掉落</v>
      </c>
      <c r="C1122" s="8" t="str">
        <f>材料产出!$BB$2</f>
        <v>衣服碎片</v>
      </c>
      <c r="D1122" s="224">
        <f>参数调整!$K$32*怪物掉落配置方案!$D4200</f>
        <v>7.9264621175683162E-4</v>
      </c>
    </row>
    <row r="1123" spans="1:4" ht="16.5" hidden="1" x14ac:dyDescent="0.3">
      <c r="A1123" s="10" t="str">
        <f>基本属性!$B$17&amp;"|"&amp;基本属性!$C$17</f>
        <v>135|7</v>
      </c>
      <c r="B1123" s="10" t="str">
        <f>参数调整!$J$32</f>
        <v>精英掉落</v>
      </c>
      <c r="C1123" s="8" t="str">
        <f>材料产出!$BB$2</f>
        <v>衣服碎片</v>
      </c>
      <c r="D1123" s="224">
        <f>参数调整!$K$32*怪物掉落配置方案!$D4201</f>
        <v>1.1414105449298372E-3</v>
      </c>
    </row>
    <row r="1124" spans="1:4" ht="16.5" hidden="1" x14ac:dyDescent="0.3">
      <c r="A1124" s="10" t="str">
        <f>基本属性!$B$18&amp;"|"&amp;基本属性!$C$18</f>
        <v>155|8</v>
      </c>
      <c r="B1124" s="10" t="str">
        <f>参数调整!$J$32</f>
        <v>精英掉落</v>
      </c>
      <c r="C1124" s="8" t="str">
        <f>材料产出!$BB$2</f>
        <v>衣服碎片</v>
      </c>
      <c r="D1124" s="224">
        <f>参数调整!$K$32*怪物掉落配置方案!$D4202</f>
        <v>1.5535865750433897E-3</v>
      </c>
    </row>
    <row r="1125" spans="1:4" ht="16.5" hidden="1" x14ac:dyDescent="0.3">
      <c r="A1125" s="10" t="str">
        <f>基本属性!$B$19&amp;"|"&amp;基本属性!$C$19</f>
        <v>190|9</v>
      </c>
      <c r="B1125" s="10" t="str">
        <f>参数调整!$J$32</f>
        <v>精英掉落</v>
      </c>
      <c r="C1125" s="8" t="str">
        <f>材料产出!$BB$2</f>
        <v>衣服碎片</v>
      </c>
      <c r="D1125" s="224">
        <f>参数调整!$K$32*怪物掉落配置方案!$D4203</f>
        <v>1.7362122622321637E-3</v>
      </c>
    </row>
    <row r="1126" spans="1:4" ht="16.5" hidden="1" x14ac:dyDescent="0.3">
      <c r="A1126" s="10" t="str">
        <f>基本属性!$B$20&amp;"|"&amp;基本属性!$C$20</f>
        <v>200|10</v>
      </c>
      <c r="B1126" s="10" t="str">
        <f>参数调整!$J$32</f>
        <v>精英掉落</v>
      </c>
      <c r="C1126" s="8" t="str">
        <f>材料产出!$BB$2</f>
        <v>衣服碎片</v>
      </c>
      <c r="D1126" s="224">
        <f>参数调整!$K$32*怪物掉落配置方案!$D4204</f>
        <v>2.0291743020974889E-3</v>
      </c>
    </row>
    <row r="1127" spans="1:4" ht="16.5" hidden="1" x14ac:dyDescent="0.3">
      <c r="A1127" s="10" t="str">
        <f>基本属性!$B$21&amp;"|"&amp;基本属性!$C$21</f>
        <v>200|11</v>
      </c>
      <c r="B1127" s="10" t="str">
        <f>参数调整!$J$32</f>
        <v>精英掉落</v>
      </c>
      <c r="C1127" s="8" t="str">
        <f>材料产出!$BB$2</f>
        <v>衣服碎片</v>
      </c>
      <c r="D1127" s="224">
        <f>参数调整!$K$32*怪物掉落配置方案!$D4205</f>
        <v>2.3449645528614096E-3</v>
      </c>
    </row>
    <row r="1128" spans="1:4" ht="16.5" hidden="1" x14ac:dyDescent="0.3">
      <c r="A1128" s="10" t="str">
        <f>基本属性!$B$22&amp;"|"&amp;基本属性!$C$22</f>
        <v>210|12</v>
      </c>
      <c r="B1128" s="10" t="str">
        <f>参数调整!$J$32</f>
        <v>精英掉落</v>
      </c>
      <c r="C1128" s="8" t="str">
        <f>材料产出!$BB$2</f>
        <v>衣服碎片</v>
      </c>
      <c r="D1128" s="224">
        <f>参数调整!$K$32*怪物掉落配置方案!$D4206</f>
        <v>2.6835830145239279E-3</v>
      </c>
    </row>
    <row r="1129" spans="1:4" ht="16.5" hidden="1" x14ac:dyDescent="0.3">
      <c r="A1129" s="10" t="str">
        <f>基本属性!$B$23&amp;"|"&amp;基本属性!$C$23</f>
        <v>210|13</v>
      </c>
      <c r="B1129" s="10" t="str">
        <f>参数调整!$J$32</f>
        <v>精英掉落</v>
      </c>
      <c r="C1129" s="8" t="str">
        <f>材料产出!$BB$2</f>
        <v>衣服碎片</v>
      </c>
      <c r="D1129" s="224">
        <f>参数调整!$K$32*怪物掉落配置方案!$D4207</f>
        <v>3.0450296870850441E-3</v>
      </c>
    </row>
    <row r="1130" spans="1:4" ht="16.5" hidden="1" x14ac:dyDescent="0.3">
      <c r="A1130" s="10" t="str">
        <f>基本属性!$B$24&amp;"|"&amp;基本属性!$C$24</f>
        <v>220|14</v>
      </c>
      <c r="B1130" s="10" t="str">
        <f>参数调整!$J$32</f>
        <v>精英掉落</v>
      </c>
      <c r="C1130" s="8" t="str">
        <f>材料产出!$BB$2</f>
        <v>衣服碎片</v>
      </c>
      <c r="D1130" s="224">
        <f>参数调整!$K$32*怪物掉落配置方案!$D4208</f>
        <v>3.4293045705447557E-3</v>
      </c>
    </row>
    <row r="1131" spans="1:4" ht="16.5" hidden="1" x14ac:dyDescent="0.3">
      <c r="A1131" s="10" t="str">
        <f>基本属性!$B$25&amp;"|"&amp;基本属性!$C$25</f>
        <v>220|15</v>
      </c>
      <c r="B1131" s="10" t="str">
        <f>参数调整!$J$32</f>
        <v>精英掉落</v>
      </c>
      <c r="C1131" s="8" t="str">
        <f>材料产出!$BB$2</f>
        <v>衣服碎片</v>
      </c>
      <c r="D1131" s="224">
        <f>参数调整!$K$32*怪物掉落配置方案!$D4209</f>
        <v>3.8364076649030632E-3</v>
      </c>
    </row>
    <row r="1132" spans="1:4" ht="16.5" hidden="1" x14ac:dyDescent="0.3">
      <c r="A1132" s="10" t="str">
        <f>基本属性!$B$26&amp;"|"&amp;基本属性!$C$26</f>
        <v>230|16</v>
      </c>
      <c r="B1132" s="10" t="str">
        <f>参数调整!$J$32</f>
        <v>精英掉落</v>
      </c>
      <c r="C1132" s="8" t="str">
        <f>材料产出!$BB$2</f>
        <v>衣服碎片</v>
      </c>
      <c r="D1132" s="224">
        <f>参数调整!$K$32*怪物掉落配置方案!$D4210</f>
        <v>4.2663389701599694E-3</v>
      </c>
    </row>
    <row r="1133" spans="1:4" ht="16.5" hidden="1" x14ac:dyDescent="0.3">
      <c r="A1133" s="10" t="str">
        <f>基本属性!$B$27&amp;"|"&amp;基本属性!$C$27</f>
        <v>230|17</v>
      </c>
      <c r="B1133" s="10" t="str">
        <f>参数调整!$J$32</f>
        <v>精英掉落</v>
      </c>
      <c r="C1133" s="8" t="str">
        <f>材料产出!$BB$2</f>
        <v>衣服碎片</v>
      </c>
      <c r="D1133" s="224">
        <f>参数调整!$K$32*怪物掉落配置方案!$D4211</f>
        <v>4.7190984863154711E-3</v>
      </c>
    </row>
    <row r="1134" spans="1:4" ht="16.5" hidden="1" x14ac:dyDescent="0.3">
      <c r="A1134" s="10" t="str">
        <f>基本属性!$B$28&amp;"|"&amp;基本属性!$C$28</f>
        <v>240|18</v>
      </c>
      <c r="B1134" s="10" t="str">
        <f>参数调整!$J$32</f>
        <v>精英掉落</v>
      </c>
      <c r="C1134" s="8" t="str">
        <f>材料产出!$BB$2</f>
        <v>衣服碎片</v>
      </c>
      <c r="D1134" s="224">
        <f>参数调整!$K$32*怪物掉落配置方案!$D4212</f>
        <v>5.1946862133695707E-3</v>
      </c>
    </row>
    <row r="1135" spans="1:4" ht="16.5" hidden="1" x14ac:dyDescent="0.3">
      <c r="A1135" s="10" t="str">
        <f>基本属性!$B$29&amp;"|"&amp;基本属性!$C$29</f>
        <v>240|19</v>
      </c>
      <c r="B1135" s="10" t="str">
        <f>参数调整!$J$32</f>
        <v>精英掉落</v>
      </c>
      <c r="C1135" s="8" t="str">
        <f>材料产出!$BB$2</f>
        <v>衣服碎片</v>
      </c>
      <c r="D1135" s="224">
        <f>参数调整!$K$32*怪物掉落配置方案!$D4213</f>
        <v>5.6931021513222666E-3</v>
      </c>
    </row>
    <row r="1136" spans="1:4" ht="16.5" hidden="1" x14ac:dyDescent="0.3">
      <c r="A1136" s="10" t="str">
        <f>基本属性!$B$30&amp;"|"&amp;基本属性!$C$30</f>
        <v>250|20</v>
      </c>
      <c r="B1136" s="10" t="str">
        <f>参数调整!$J$32</f>
        <v>精英掉落</v>
      </c>
      <c r="C1136" s="8" t="str">
        <f>材料产出!$BB$2</f>
        <v>衣服碎片</v>
      </c>
      <c r="D1136" s="224">
        <f>参数调整!$K$32*怪物掉落配置方案!$D4214</f>
        <v>6.214346300173557E-3</v>
      </c>
    </row>
    <row r="1137" spans="1:4" ht="16.5" hidden="1" x14ac:dyDescent="0.3">
      <c r="A1137" s="10" t="str">
        <f>基本属性!$B$4&amp;"|"&amp;基本属性!$C$4</f>
        <v>35|0</v>
      </c>
      <c r="B1137" s="10" t="str">
        <f>参数调整!$J$32</f>
        <v>精英掉落</v>
      </c>
      <c r="C1137" s="8" t="str">
        <f>材料产出!$HX$2</f>
        <v>星座装备</v>
      </c>
      <c r="D1137" s="224">
        <f>参数调整!$K$32*怪物掉落配置方案!$D4215</f>
        <v>0</v>
      </c>
    </row>
    <row r="1138" spans="1:4" ht="16.5" hidden="1" x14ac:dyDescent="0.3">
      <c r="A1138" s="10" t="str">
        <f>基本属性!$B$5&amp;"|"&amp;基本属性!$C$5</f>
        <v>40|0</v>
      </c>
      <c r="B1138" s="10" t="str">
        <f>参数调整!$J$32</f>
        <v>精英掉落</v>
      </c>
      <c r="C1138" s="8" t="str">
        <f>材料产出!$HX$2</f>
        <v>星座装备</v>
      </c>
      <c r="D1138" s="224">
        <f>参数调整!$K$32*怪物掉落配置方案!$D4216</f>
        <v>0</v>
      </c>
    </row>
    <row r="1139" spans="1:4" ht="16.5" hidden="1" x14ac:dyDescent="0.3">
      <c r="A1139" s="10" t="str">
        <f>基本属性!$B$6&amp;"|"&amp;基本属性!$C$6</f>
        <v>50|0</v>
      </c>
      <c r="B1139" s="10" t="str">
        <f>参数调整!$J$32</f>
        <v>精英掉落</v>
      </c>
      <c r="C1139" s="8" t="str">
        <f>材料产出!$HX$2</f>
        <v>星座装备</v>
      </c>
      <c r="D1139" s="224">
        <f>参数调整!$K$32*怪物掉落配置方案!$D4217</f>
        <v>0</v>
      </c>
    </row>
    <row r="1140" spans="1:4" ht="16.5" hidden="1" x14ac:dyDescent="0.3">
      <c r="A1140" s="10" t="str">
        <f>基本属性!$B$7&amp;"|"&amp;基本属性!$C$7</f>
        <v>60|0</v>
      </c>
      <c r="B1140" s="10" t="str">
        <f>参数调整!$J$32</f>
        <v>精英掉落</v>
      </c>
      <c r="C1140" s="8" t="str">
        <f>材料产出!$HX$2</f>
        <v>星座装备</v>
      </c>
      <c r="D1140" s="224">
        <f>参数调整!$K$32*怪物掉落配置方案!$D4218</f>
        <v>0</v>
      </c>
    </row>
    <row r="1141" spans="1:4" ht="16.5" hidden="1" x14ac:dyDescent="0.3">
      <c r="A1141" s="10" t="str">
        <f>基本属性!$B$8&amp;"|"&amp;基本属性!$C$8</f>
        <v>65|0</v>
      </c>
      <c r="B1141" s="10" t="str">
        <f>参数调整!$J$32</f>
        <v>精英掉落</v>
      </c>
      <c r="C1141" s="8" t="str">
        <f>材料产出!$HX$2</f>
        <v>星座装备</v>
      </c>
      <c r="D1141" s="224">
        <f>参数调整!$K$32*怪物掉落配置方案!$D4219</f>
        <v>0</v>
      </c>
    </row>
    <row r="1142" spans="1:4" ht="16.5" hidden="1" x14ac:dyDescent="0.3">
      <c r="A1142" s="10" t="str">
        <f>基本属性!$B$9&amp;"|"&amp;基本属性!$C$9</f>
        <v>70|0</v>
      </c>
      <c r="B1142" s="10" t="str">
        <f>参数调整!$J$32</f>
        <v>精英掉落</v>
      </c>
      <c r="C1142" s="8" t="str">
        <f>材料产出!$HX$2</f>
        <v>星座装备</v>
      </c>
      <c r="D1142" s="224">
        <f>参数调整!$K$32*怪物掉落配置方案!$D4220</f>
        <v>0</v>
      </c>
    </row>
    <row r="1143" spans="1:4" ht="16.5" hidden="1" x14ac:dyDescent="0.3">
      <c r="A1143" s="10" t="str">
        <f>基本属性!$B$10&amp;"|"&amp;基本属性!$C$10</f>
        <v>75|0</v>
      </c>
      <c r="B1143" s="10" t="str">
        <f>参数调整!$J$32</f>
        <v>精英掉落</v>
      </c>
      <c r="C1143" s="8" t="str">
        <f>材料产出!$HX$2</f>
        <v>星座装备</v>
      </c>
      <c r="D1143" s="224">
        <f>参数调整!$K$32*怪物掉落配置方案!$D4221</f>
        <v>0</v>
      </c>
    </row>
    <row r="1144" spans="1:4" ht="16.5" hidden="1" x14ac:dyDescent="0.3">
      <c r="A1144" s="10" t="str">
        <f>基本属性!$B$11&amp;"|"&amp;基本属性!$C$11</f>
        <v>80|1</v>
      </c>
      <c r="B1144" s="10" t="str">
        <f>参数调整!$J$32</f>
        <v>精英掉落</v>
      </c>
      <c r="C1144" s="8" t="str">
        <f>材料产出!$HX$2</f>
        <v>星座装备</v>
      </c>
      <c r="D1144" s="224">
        <f>参数调整!$K$32*怪物掉落配置方案!$D4222</f>
        <v>0</v>
      </c>
    </row>
    <row r="1145" spans="1:4" ht="16.5" hidden="1" x14ac:dyDescent="0.3">
      <c r="A1145" s="10" t="str">
        <f>基本属性!$B$12&amp;"|"&amp;基本属性!$C$12</f>
        <v>90|2</v>
      </c>
      <c r="B1145" s="10" t="str">
        <f>参数调整!$J$32</f>
        <v>精英掉落</v>
      </c>
      <c r="C1145" s="8" t="str">
        <f>材料产出!$HX$2</f>
        <v>星座装备</v>
      </c>
      <c r="D1145" s="224">
        <f>参数调整!$K$32*怪物掉落配置方案!$D4223</f>
        <v>0</v>
      </c>
    </row>
    <row r="1146" spans="1:4" ht="16.5" hidden="1" x14ac:dyDescent="0.3">
      <c r="A1146" s="10" t="str">
        <f>基本属性!$B$13&amp;"|"&amp;基本属性!$C$13</f>
        <v>100|3</v>
      </c>
      <c r="B1146" s="10" t="str">
        <f>参数调整!$J$32</f>
        <v>精英掉落</v>
      </c>
      <c r="C1146" s="8" t="str">
        <f>材料产出!$HX$2</f>
        <v>星座装备</v>
      </c>
      <c r="D1146" s="224">
        <f>参数调整!$K$32*怪物掉落配置方案!$D4224</f>
        <v>0</v>
      </c>
    </row>
    <row r="1147" spans="1:4" ht="16.5" hidden="1" x14ac:dyDescent="0.3">
      <c r="A1147" s="10" t="str">
        <f>基本属性!$B$14&amp;"|"&amp;基本属性!$C$14</f>
        <v>105|4</v>
      </c>
      <c r="B1147" s="10" t="str">
        <f>参数调整!$J$32</f>
        <v>精英掉落</v>
      </c>
      <c r="C1147" s="8" t="str">
        <f>材料产出!$HX$2</f>
        <v>星座装备</v>
      </c>
      <c r="D1147" s="224">
        <f>参数调整!$K$32*怪物掉落配置方案!$D4225</f>
        <v>0</v>
      </c>
    </row>
    <row r="1148" spans="1:4" ht="16.5" hidden="1" x14ac:dyDescent="0.3">
      <c r="A1148" s="10" t="str">
        <f>基本属性!$B$15&amp;"|"&amp;基本属性!$C$15</f>
        <v>110|5</v>
      </c>
      <c r="B1148" s="10" t="str">
        <f>参数调整!$J$32</f>
        <v>精英掉落</v>
      </c>
      <c r="C1148" s="8" t="str">
        <f>材料产出!$HX$2</f>
        <v>星座装备</v>
      </c>
      <c r="D1148" s="224">
        <f>参数调整!$K$32*怪物掉落配置方案!$D4226</f>
        <v>0</v>
      </c>
    </row>
    <row r="1149" spans="1:4" ht="16.5" hidden="1" x14ac:dyDescent="0.3">
      <c r="A1149" s="10" t="str">
        <f>基本属性!$B$16&amp;"|"&amp;基本属性!$C$16</f>
        <v>120|6</v>
      </c>
      <c r="B1149" s="10" t="str">
        <f>参数调整!$J$32</f>
        <v>精英掉落</v>
      </c>
      <c r="C1149" s="8" t="str">
        <f>材料产出!$HX$2</f>
        <v>星座装备</v>
      </c>
      <c r="D1149" s="224">
        <f>参数调整!$K$32*怪物掉落配置方案!$D4227</f>
        <v>0</v>
      </c>
    </row>
    <row r="1150" spans="1:4" ht="16.5" hidden="1" x14ac:dyDescent="0.3">
      <c r="A1150" s="10" t="str">
        <f>基本属性!$B$17&amp;"|"&amp;基本属性!$C$17</f>
        <v>135|7</v>
      </c>
      <c r="B1150" s="10" t="str">
        <f>参数调整!$J$32</f>
        <v>精英掉落</v>
      </c>
      <c r="C1150" s="8" t="str">
        <f>材料产出!$HX$2</f>
        <v>星座装备</v>
      </c>
      <c r="D1150" s="224">
        <f>参数调整!$K$32*怪物掉落配置方案!$D4228</f>
        <v>0</v>
      </c>
    </row>
    <row r="1151" spans="1:4" ht="16.5" hidden="1" x14ac:dyDescent="0.3">
      <c r="A1151" s="10" t="str">
        <f>基本属性!$B$18&amp;"|"&amp;基本属性!$C$18</f>
        <v>155|8</v>
      </c>
      <c r="B1151" s="10" t="str">
        <f>参数调整!$J$32</f>
        <v>精英掉落</v>
      </c>
      <c r="C1151" s="8" t="str">
        <f>材料产出!$HX$2</f>
        <v>星座装备</v>
      </c>
      <c r="D1151" s="224">
        <f>参数调整!$K$32*怪物掉落配置方案!$D4229</f>
        <v>0</v>
      </c>
    </row>
    <row r="1152" spans="1:4" ht="16.5" hidden="1" x14ac:dyDescent="0.3">
      <c r="A1152" s="10" t="str">
        <f>基本属性!$B$19&amp;"|"&amp;基本属性!$C$19</f>
        <v>190|9</v>
      </c>
      <c r="B1152" s="10" t="str">
        <f>参数调整!$J$32</f>
        <v>精英掉落</v>
      </c>
      <c r="C1152" s="8" t="str">
        <f>材料产出!$HX$2</f>
        <v>星座装备</v>
      </c>
      <c r="D1152" s="224">
        <f>参数调整!$K$32*怪物掉落配置方案!$D4230</f>
        <v>0</v>
      </c>
    </row>
    <row r="1153" spans="1:4" ht="16.5" hidden="1" x14ac:dyDescent="0.3">
      <c r="A1153" s="10" t="str">
        <f>基本属性!$B$20&amp;"|"&amp;基本属性!$C$20</f>
        <v>200|10</v>
      </c>
      <c r="B1153" s="10" t="str">
        <f>参数调整!$J$32</f>
        <v>精英掉落</v>
      </c>
      <c r="C1153" s="8" t="str">
        <f>材料产出!$HX$2</f>
        <v>星座装备</v>
      </c>
      <c r="D1153" s="224">
        <f>参数调整!$K$32*怪物掉落配置方案!$D4231</f>
        <v>0</v>
      </c>
    </row>
    <row r="1154" spans="1:4" ht="16.5" hidden="1" x14ac:dyDescent="0.3">
      <c r="A1154" s="10" t="str">
        <f>基本属性!$B$21&amp;"|"&amp;基本属性!$C$21</f>
        <v>200|11</v>
      </c>
      <c r="B1154" s="10" t="str">
        <f>参数调整!$J$32</f>
        <v>精英掉落</v>
      </c>
      <c r="C1154" s="8" t="str">
        <f>材料产出!$HX$2</f>
        <v>星座装备</v>
      </c>
      <c r="D1154" s="224">
        <f>参数调整!$K$32*怪物掉落配置方案!$D4232</f>
        <v>0</v>
      </c>
    </row>
    <row r="1155" spans="1:4" ht="16.5" hidden="1" x14ac:dyDescent="0.3">
      <c r="A1155" s="10" t="str">
        <f>基本属性!$B$22&amp;"|"&amp;基本属性!$C$22</f>
        <v>210|12</v>
      </c>
      <c r="B1155" s="10" t="str">
        <f>参数调整!$J$32</f>
        <v>精英掉落</v>
      </c>
      <c r="C1155" s="8" t="str">
        <f>材料产出!$HX$2</f>
        <v>星座装备</v>
      </c>
      <c r="D1155" s="224">
        <f>参数调整!$K$32*怪物掉落配置方案!$D4233</f>
        <v>0</v>
      </c>
    </row>
    <row r="1156" spans="1:4" ht="16.5" hidden="1" x14ac:dyDescent="0.3">
      <c r="A1156" s="10" t="str">
        <f>基本属性!$B$23&amp;"|"&amp;基本属性!$C$23</f>
        <v>210|13</v>
      </c>
      <c r="B1156" s="10" t="str">
        <f>参数调整!$J$32</f>
        <v>精英掉落</v>
      </c>
      <c r="C1156" s="8" t="str">
        <f>材料产出!$HX$2</f>
        <v>星座装备</v>
      </c>
      <c r="D1156" s="224">
        <f>参数调整!$K$32*怪物掉落配置方案!$D4234</f>
        <v>0</v>
      </c>
    </row>
    <row r="1157" spans="1:4" ht="16.5" hidden="1" x14ac:dyDescent="0.3">
      <c r="A1157" s="10" t="str">
        <f>基本属性!$B$24&amp;"|"&amp;基本属性!$C$24</f>
        <v>220|14</v>
      </c>
      <c r="B1157" s="10" t="str">
        <f>参数调整!$J$32</f>
        <v>精英掉落</v>
      </c>
      <c r="C1157" s="8" t="str">
        <f>材料产出!$HX$2</f>
        <v>星座装备</v>
      </c>
      <c r="D1157" s="224">
        <f>参数调整!$K$32*怪物掉落配置方案!$D4235</f>
        <v>0</v>
      </c>
    </row>
    <row r="1158" spans="1:4" ht="16.5" hidden="1" x14ac:dyDescent="0.3">
      <c r="A1158" s="10" t="str">
        <f>基本属性!$B$25&amp;"|"&amp;基本属性!$C$25</f>
        <v>220|15</v>
      </c>
      <c r="B1158" s="10" t="str">
        <f>参数调整!$J$32</f>
        <v>精英掉落</v>
      </c>
      <c r="C1158" s="8" t="str">
        <f>材料产出!$HX$2</f>
        <v>星座装备</v>
      </c>
      <c r="D1158" s="224">
        <f>参数调整!$K$32*怪物掉落配置方案!$D4236</f>
        <v>0</v>
      </c>
    </row>
    <row r="1159" spans="1:4" ht="16.5" hidden="1" x14ac:dyDescent="0.3">
      <c r="A1159" s="10" t="str">
        <f>基本属性!$B$26&amp;"|"&amp;基本属性!$C$26</f>
        <v>230|16</v>
      </c>
      <c r="B1159" s="10" t="str">
        <f>参数调整!$J$32</f>
        <v>精英掉落</v>
      </c>
      <c r="C1159" s="8" t="str">
        <f>材料产出!$HX$2</f>
        <v>星座装备</v>
      </c>
      <c r="D1159" s="224">
        <f>参数调整!$K$32*怪物掉落配置方案!$D4237</f>
        <v>0</v>
      </c>
    </row>
    <row r="1160" spans="1:4" ht="16.5" hidden="1" x14ac:dyDescent="0.3">
      <c r="A1160" s="10" t="str">
        <f>基本属性!$B$27&amp;"|"&amp;基本属性!$C$27</f>
        <v>230|17</v>
      </c>
      <c r="B1160" s="10" t="str">
        <f>参数调整!$J$32</f>
        <v>精英掉落</v>
      </c>
      <c r="C1160" s="8" t="str">
        <f>材料产出!$HX$2</f>
        <v>星座装备</v>
      </c>
      <c r="D1160" s="224">
        <f>参数调整!$K$32*怪物掉落配置方案!$D4238</f>
        <v>0</v>
      </c>
    </row>
    <row r="1161" spans="1:4" ht="16.5" hidden="1" x14ac:dyDescent="0.3">
      <c r="A1161" s="10" t="str">
        <f>基本属性!$B$28&amp;"|"&amp;基本属性!$C$28</f>
        <v>240|18</v>
      </c>
      <c r="B1161" s="10" t="str">
        <f>参数调整!$J$32</f>
        <v>精英掉落</v>
      </c>
      <c r="C1161" s="8" t="str">
        <f>材料产出!$HX$2</f>
        <v>星座装备</v>
      </c>
      <c r="D1161" s="224">
        <f>参数调整!$K$32*怪物掉落配置方案!$D4239</f>
        <v>0</v>
      </c>
    </row>
    <row r="1162" spans="1:4" ht="16.5" hidden="1" x14ac:dyDescent="0.3">
      <c r="A1162" s="10" t="str">
        <f>基本属性!$B$29&amp;"|"&amp;基本属性!$C$29</f>
        <v>240|19</v>
      </c>
      <c r="B1162" s="10" t="str">
        <f>参数调整!$J$32</f>
        <v>精英掉落</v>
      </c>
      <c r="C1162" s="8" t="str">
        <f>材料产出!$HX$2</f>
        <v>星座装备</v>
      </c>
      <c r="D1162" s="224">
        <f>参数调整!$K$32*怪物掉落配置方案!$D4240</f>
        <v>0</v>
      </c>
    </row>
    <row r="1163" spans="1:4" ht="16.5" hidden="1" x14ac:dyDescent="0.3">
      <c r="A1163" s="10" t="str">
        <f>基本属性!$B$30&amp;"|"&amp;基本属性!$C$30</f>
        <v>250|20</v>
      </c>
      <c r="B1163" s="10" t="str">
        <f>参数调整!$J$32</f>
        <v>精英掉落</v>
      </c>
      <c r="C1163" s="8" t="str">
        <f>材料产出!$HX$2</f>
        <v>星座装备</v>
      </c>
      <c r="D1163" s="224">
        <f>参数调整!$K$32*怪物掉落配置方案!$D4241</f>
        <v>0</v>
      </c>
    </row>
    <row r="1164" spans="1:4" ht="16.5" hidden="1" x14ac:dyDescent="0.3">
      <c r="A1164" s="10" t="str">
        <f>基本属性!$B$4&amp;"|"&amp;基本属性!$C$4</f>
        <v>35|0</v>
      </c>
      <c r="B1164" s="10" t="str">
        <f>参数调整!$J$32</f>
        <v>精英掉落</v>
      </c>
      <c r="C1164" s="8" t="str">
        <f>材料产出!$BX$2</f>
        <v>新增材料9</v>
      </c>
      <c r="D1164" s="224">
        <f>参数调整!$K$32*怪物掉落配置方案!$D4242</f>
        <v>0</v>
      </c>
    </row>
    <row r="1165" spans="1:4" ht="16.5" hidden="1" x14ac:dyDescent="0.3">
      <c r="A1165" s="10" t="str">
        <f>基本属性!$B$5&amp;"|"&amp;基本属性!$C$5</f>
        <v>40|0</v>
      </c>
      <c r="B1165" s="10" t="str">
        <f>参数调整!$J$32</f>
        <v>精英掉落</v>
      </c>
      <c r="C1165" s="8" t="str">
        <f>材料产出!$BX$2</f>
        <v>新增材料9</v>
      </c>
      <c r="D1165" s="224">
        <f>参数调整!$K$32*怪物掉落配置方案!$D4243</f>
        <v>0</v>
      </c>
    </row>
    <row r="1166" spans="1:4" ht="16.5" hidden="1" x14ac:dyDescent="0.3">
      <c r="A1166" s="10" t="str">
        <f>基本属性!$B$6&amp;"|"&amp;基本属性!$C$6</f>
        <v>50|0</v>
      </c>
      <c r="B1166" s="10" t="str">
        <f>参数调整!$J$32</f>
        <v>精英掉落</v>
      </c>
      <c r="C1166" s="8" t="str">
        <f>材料产出!$BX$2</f>
        <v>新增材料9</v>
      </c>
      <c r="D1166" s="224">
        <f>参数调整!$K$32*怪物掉落配置方案!$D4244</f>
        <v>0</v>
      </c>
    </row>
    <row r="1167" spans="1:4" ht="16.5" hidden="1" x14ac:dyDescent="0.3">
      <c r="A1167" s="10" t="str">
        <f>基本属性!$B$7&amp;"|"&amp;基本属性!$C$7</f>
        <v>60|0</v>
      </c>
      <c r="B1167" s="10" t="str">
        <f>参数调整!$J$32</f>
        <v>精英掉落</v>
      </c>
      <c r="C1167" s="8" t="str">
        <f>材料产出!$BX$2</f>
        <v>新增材料9</v>
      </c>
      <c r="D1167" s="224">
        <f>参数调整!$K$32*怪物掉落配置方案!$D4245</f>
        <v>0</v>
      </c>
    </row>
    <row r="1168" spans="1:4" ht="16.5" hidden="1" x14ac:dyDescent="0.3">
      <c r="A1168" s="10" t="str">
        <f>基本属性!$B$8&amp;"|"&amp;基本属性!$C$8</f>
        <v>65|0</v>
      </c>
      <c r="B1168" s="10" t="str">
        <f>参数调整!$J$32</f>
        <v>精英掉落</v>
      </c>
      <c r="C1168" s="8" t="str">
        <f>材料产出!$BX$2</f>
        <v>新增材料9</v>
      </c>
      <c r="D1168" s="224">
        <f>参数调整!$K$32*怪物掉落配置方案!$D4246</f>
        <v>0</v>
      </c>
    </row>
    <row r="1169" spans="1:4" ht="16.5" hidden="1" x14ac:dyDescent="0.3">
      <c r="A1169" s="10" t="str">
        <f>基本属性!$B$9&amp;"|"&amp;基本属性!$C$9</f>
        <v>70|0</v>
      </c>
      <c r="B1169" s="10" t="str">
        <f>参数调整!$J$32</f>
        <v>精英掉落</v>
      </c>
      <c r="C1169" s="8" t="str">
        <f>材料产出!$BX$2</f>
        <v>新增材料9</v>
      </c>
      <c r="D1169" s="224">
        <f>参数调整!$K$32*怪物掉落配置方案!$D4247</f>
        <v>0</v>
      </c>
    </row>
    <row r="1170" spans="1:4" ht="16.5" hidden="1" x14ac:dyDescent="0.3">
      <c r="A1170" s="10" t="str">
        <f>基本属性!$B$10&amp;"|"&amp;基本属性!$C$10</f>
        <v>75|0</v>
      </c>
      <c r="B1170" s="10" t="str">
        <f>参数调整!$J$32</f>
        <v>精英掉落</v>
      </c>
      <c r="C1170" s="8" t="str">
        <f>材料产出!$BX$2</f>
        <v>新增材料9</v>
      </c>
      <c r="D1170" s="224">
        <f>参数调整!$K$32*怪物掉落配置方案!$D4248</f>
        <v>0</v>
      </c>
    </row>
    <row r="1171" spans="1:4" ht="16.5" hidden="1" x14ac:dyDescent="0.3">
      <c r="A1171" s="10" t="str">
        <f>基本属性!$B$11&amp;"|"&amp;基本属性!$C$11</f>
        <v>80|1</v>
      </c>
      <c r="B1171" s="10" t="str">
        <f>参数调整!$J$32</f>
        <v>精英掉落</v>
      </c>
      <c r="C1171" s="8" t="str">
        <f>材料产出!$BX$2</f>
        <v>新增材料9</v>
      </c>
      <c r="D1171" s="224">
        <f>参数调整!$K$32*怪物掉落配置方案!$D4249</f>
        <v>0</v>
      </c>
    </row>
    <row r="1172" spans="1:4" ht="16.5" hidden="1" x14ac:dyDescent="0.3">
      <c r="A1172" s="10" t="str">
        <f>基本属性!$B$12&amp;"|"&amp;基本属性!$C$12</f>
        <v>90|2</v>
      </c>
      <c r="B1172" s="10" t="str">
        <f>参数调整!$J$32</f>
        <v>精英掉落</v>
      </c>
      <c r="C1172" s="8" t="str">
        <f>材料产出!$BX$2</f>
        <v>新增材料9</v>
      </c>
      <c r="D1172" s="224">
        <f>参数调整!$K$32*怪物掉落配置方案!$D4250</f>
        <v>0</v>
      </c>
    </row>
    <row r="1173" spans="1:4" ht="16.5" hidden="1" x14ac:dyDescent="0.3">
      <c r="A1173" s="10" t="str">
        <f>基本属性!$B$13&amp;"|"&amp;基本属性!$C$13</f>
        <v>100|3</v>
      </c>
      <c r="B1173" s="10" t="str">
        <f>参数调整!$J$32</f>
        <v>精英掉落</v>
      </c>
      <c r="C1173" s="8" t="str">
        <f>材料产出!$BX$2</f>
        <v>新增材料9</v>
      </c>
      <c r="D1173" s="224">
        <f>参数调整!$K$32*怪物掉落配置方案!$D4251</f>
        <v>0</v>
      </c>
    </row>
    <row r="1174" spans="1:4" ht="16.5" hidden="1" x14ac:dyDescent="0.3">
      <c r="A1174" s="10" t="str">
        <f>基本属性!$B$14&amp;"|"&amp;基本属性!$C$14</f>
        <v>105|4</v>
      </c>
      <c r="B1174" s="10" t="str">
        <f>参数调整!$J$32</f>
        <v>精英掉落</v>
      </c>
      <c r="C1174" s="8" t="str">
        <f>材料产出!$BX$2</f>
        <v>新增材料9</v>
      </c>
      <c r="D1174" s="224">
        <f>参数调整!$K$32*怪物掉落配置方案!$D4252</f>
        <v>0</v>
      </c>
    </row>
    <row r="1175" spans="1:4" ht="16.5" hidden="1" x14ac:dyDescent="0.3">
      <c r="A1175" s="10" t="str">
        <f>基本属性!$B$15&amp;"|"&amp;基本属性!$C$15</f>
        <v>110|5</v>
      </c>
      <c r="B1175" s="10" t="str">
        <f>参数调整!$J$32</f>
        <v>精英掉落</v>
      </c>
      <c r="C1175" s="8" t="str">
        <f>材料产出!$BX$2</f>
        <v>新增材料9</v>
      </c>
      <c r="D1175" s="224">
        <f>参数调整!$K$32*怪物掉落配置方案!$D4253</f>
        <v>0</v>
      </c>
    </row>
    <row r="1176" spans="1:4" ht="16.5" hidden="1" x14ac:dyDescent="0.3">
      <c r="A1176" s="10" t="str">
        <f>基本属性!$B$16&amp;"|"&amp;基本属性!$C$16</f>
        <v>120|6</v>
      </c>
      <c r="B1176" s="10" t="str">
        <f>参数调整!$J$32</f>
        <v>精英掉落</v>
      </c>
      <c r="C1176" s="8" t="str">
        <f>材料产出!$BX$2</f>
        <v>新增材料9</v>
      </c>
      <c r="D1176" s="224">
        <f>参数调整!$K$32*怪物掉落配置方案!$D4254</f>
        <v>0</v>
      </c>
    </row>
    <row r="1177" spans="1:4" ht="16.5" hidden="1" x14ac:dyDescent="0.3">
      <c r="A1177" s="10" t="str">
        <f>基本属性!$B$17&amp;"|"&amp;基本属性!$C$17</f>
        <v>135|7</v>
      </c>
      <c r="B1177" s="10" t="str">
        <f>参数调整!$J$32</f>
        <v>精英掉落</v>
      </c>
      <c r="C1177" s="8" t="str">
        <f>材料产出!$BX$2</f>
        <v>新增材料9</v>
      </c>
      <c r="D1177" s="224">
        <f>参数调整!$K$32*怪物掉落配置方案!$D4255</f>
        <v>0</v>
      </c>
    </row>
    <row r="1178" spans="1:4" ht="16.5" hidden="1" x14ac:dyDescent="0.3">
      <c r="A1178" s="10" t="str">
        <f>基本属性!$B$18&amp;"|"&amp;基本属性!$C$18</f>
        <v>155|8</v>
      </c>
      <c r="B1178" s="10" t="str">
        <f>参数调整!$J$32</f>
        <v>精英掉落</v>
      </c>
      <c r="C1178" s="8" t="str">
        <f>材料产出!$BX$2</f>
        <v>新增材料9</v>
      </c>
      <c r="D1178" s="224">
        <f>参数调整!$K$32*怪物掉落配置方案!$D4256</f>
        <v>0</v>
      </c>
    </row>
    <row r="1179" spans="1:4" ht="16.5" hidden="1" x14ac:dyDescent="0.3">
      <c r="A1179" s="10" t="str">
        <f>基本属性!$B$19&amp;"|"&amp;基本属性!$C$19</f>
        <v>190|9</v>
      </c>
      <c r="B1179" s="10" t="str">
        <f>参数调整!$J$32</f>
        <v>精英掉落</v>
      </c>
      <c r="C1179" s="8" t="str">
        <f>材料产出!$BX$2</f>
        <v>新增材料9</v>
      </c>
      <c r="D1179" s="224">
        <f>参数调整!$K$32*怪物掉落配置方案!$D4257</f>
        <v>0</v>
      </c>
    </row>
    <row r="1180" spans="1:4" ht="16.5" hidden="1" x14ac:dyDescent="0.3">
      <c r="A1180" s="10" t="str">
        <f>基本属性!$B$20&amp;"|"&amp;基本属性!$C$20</f>
        <v>200|10</v>
      </c>
      <c r="B1180" s="10" t="str">
        <f>参数调整!$J$32</f>
        <v>精英掉落</v>
      </c>
      <c r="C1180" s="8" t="str">
        <f>材料产出!$BX$2</f>
        <v>新增材料9</v>
      </c>
      <c r="D1180" s="224">
        <f>参数调整!$K$32*怪物掉落配置方案!$D4258</f>
        <v>0</v>
      </c>
    </row>
    <row r="1181" spans="1:4" ht="16.5" hidden="1" x14ac:dyDescent="0.3">
      <c r="A1181" s="10" t="str">
        <f>基本属性!$B$21&amp;"|"&amp;基本属性!$C$21</f>
        <v>200|11</v>
      </c>
      <c r="B1181" s="10" t="str">
        <f>参数调整!$J$32</f>
        <v>精英掉落</v>
      </c>
      <c r="C1181" s="8" t="str">
        <f>材料产出!$BX$2</f>
        <v>新增材料9</v>
      </c>
      <c r="D1181" s="224">
        <f>参数调整!$K$32*怪物掉落配置方案!$D4259</f>
        <v>0</v>
      </c>
    </row>
    <row r="1182" spans="1:4" ht="16.5" hidden="1" x14ac:dyDescent="0.3">
      <c r="A1182" s="10" t="str">
        <f>基本属性!$B$22&amp;"|"&amp;基本属性!$C$22</f>
        <v>210|12</v>
      </c>
      <c r="B1182" s="10" t="str">
        <f>参数调整!$J$32</f>
        <v>精英掉落</v>
      </c>
      <c r="C1182" s="8" t="str">
        <f>材料产出!$BX$2</f>
        <v>新增材料9</v>
      </c>
      <c r="D1182" s="224">
        <f>参数调整!$K$32*怪物掉落配置方案!$D4260</f>
        <v>0</v>
      </c>
    </row>
    <row r="1183" spans="1:4" ht="16.5" hidden="1" x14ac:dyDescent="0.3">
      <c r="A1183" s="10" t="str">
        <f>基本属性!$B$23&amp;"|"&amp;基本属性!$C$23</f>
        <v>210|13</v>
      </c>
      <c r="B1183" s="10" t="str">
        <f>参数调整!$J$32</f>
        <v>精英掉落</v>
      </c>
      <c r="C1183" s="8" t="str">
        <f>材料产出!$BX$2</f>
        <v>新增材料9</v>
      </c>
      <c r="D1183" s="224">
        <f>参数调整!$K$32*怪物掉落配置方案!$D4261</f>
        <v>0</v>
      </c>
    </row>
    <row r="1184" spans="1:4" ht="16.5" hidden="1" x14ac:dyDescent="0.3">
      <c r="A1184" s="10" t="str">
        <f>基本属性!$B$24&amp;"|"&amp;基本属性!$C$24</f>
        <v>220|14</v>
      </c>
      <c r="B1184" s="10" t="str">
        <f>参数调整!$J$32</f>
        <v>精英掉落</v>
      </c>
      <c r="C1184" s="8" t="str">
        <f>材料产出!$BX$2</f>
        <v>新增材料9</v>
      </c>
      <c r="D1184" s="224">
        <f>参数调整!$K$32*怪物掉落配置方案!$D4262</f>
        <v>0</v>
      </c>
    </row>
    <row r="1185" spans="1:4" ht="16.5" hidden="1" x14ac:dyDescent="0.3">
      <c r="A1185" s="10" t="str">
        <f>基本属性!$B$25&amp;"|"&amp;基本属性!$C$25</f>
        <v>220|15</v>
      </c>
      <c r="B1185" s="10" t="str">
        <f>参数调整!$J$32</f>
        <v>精英掉落</v>
      </c>
      <c r="C1185" s="8" t="str">
        <f>材料产出!$BX$2</f>
        <v>新增材料9</v>
      </c>
      <c r="D1185" s="224">
        <f>参数调整!$K$32*怪物掉落配置方案!$D4263</f>
        <v>0</v>
      </c>
    </row>
    <row r="1186" spans="1:4" ht="16.5" hidden="1" x14ac:dyDescent="0.3">
      <c r="A1186" s="10" t="str">
        <f>基本属性!$B$26&amp;"|"&amp;基本属性!$C$26</f>
        <v>230|16</v>
      </c>
      <c r="B1186" s="10" t="str">
        <f>参数调整!$J$32</f>
        <v>精英掉落</v>
      </c>
      <c r="C1186" s="8" t="str">
        <f>材料产出!$BX$2</f>
        <v>新增材料9</v>
      </c>
      <c r="D1186" s="224">
        <f>参数调整!$K$32*怪物掉落配置方案!$D4264</f>
        <v>0</v>
      </c>
    </row>
    <row r="1187" spans="1:4" ht="16.5" hidden="1" x14ac:dyDescent="0.3">
      <c r="A1187" s="10" t="str">
        <f>基本属性!$B$27&amp;"|"&amp;基本属性!$C$27</f>
        <v>230|17</v>
      </c>
      <c r="B1187" s="10" t="str">
        <f>参数调整!$J$32</f>
        <v>精英掉落</v>
      </c>
      <c r="C1187" s="8" t="str">
        <f>材料产出!$BX$2</f>
        <v>新增材料9</v>
      </c>
      <c r="D1187" s="224">
        <f>参数调整!$K$32*怪物掉落配置方案!$D4265</f>
        <v>0</v>
      </c>
    </row>
    <row r="1188" spans="1:4" ht="16.5" hidden="1" x14ac:dyDescent="0.3">
      <c r="A1188" s="10" t="str">
        <f>基本属性!$B$28&amp;"|"&amp;基本属性!$C$28</f>
        <v>240|18</v>
      </c>
      <c r="B1188" s="10" t="str">
        <f>参数调整!$J$32</f>
        <v>精英掉落</v>
      </c>
      <c r="C1188" s="8" t="str">
        <f>材料产出!$BX$2</f>
        <v>新增材料9</v>
      </c>
      <c r="D1188" s="224">
        <f>参数调整!$K$32*怪物掉落配置方案!$D4266</f>
        <v>0</v>
      </c>
    </row>
    <row r="1189" spans="1:4" ht="16.5" hidden="1" x14ac:dyDescent="0.3">
      <c r="A1189" s="10" t="str">
        <f>基本属性!$B$29&amp;"|"&amp;基本属性!$C$29</f>
        <v>240|19</v>
      </c>
      <c r="B1189" s="10" t="str">
        <f>参数调整!$J$32</f>
        <v>精英掉落</v>
      </c>
      <c r="C1189" s="8" t="str">
        <f>材料产出!$BX$2</f>
        <v>新增材料9</v>
      </c>
      <c r="D1189" s="224">
        <f>参数调整!$K$32*怪物掉落配置方案!$D4267</f>
        <v>0</v>
      </c>
    </row>
    <row r="1190" spans="1:4" ht="16.5" hidden="1" x14ac:dyDescent="0.3">
      <c r="A1190" s="10" t="str">
        <f>基本属性!$B$30&amp;"|"&amp;基本属性!$C$30</f>
        <v>250|20</v>
      </c>
      <c r="B1190" s="10" t="str">
        <f>参数调整!$J$32</f>
        <v>精英掉落</v>
      </c>
      <c r="C1190" s="8" t="str">
        <f>材料产出!$BX$2</f>
        <v>新增材料9</v>
      </c>
      <c r="D1190" s="224">
        <f>参数调整!$K$32*怪物掉落配置方案!$D4268</f>
        <v>0</v>
      </c>
    </row>
    <row r="1191" spans="1:4" ht="16.5" hidden="1" x14ac:dyDescent="0.3">
      <c r="A1191" s="10" t="str">
        <f>基本属性!$B$4&amp;"|"&amp;基本属性!$C$4</f>
        <v>35|0</v>
      </c>
      <c r="B1191" s="10" t="str">
        <f>参数调整!$J$32</f>
        <v>精英掉落</v>
      </c>
      <c r="C1191" s="8" t="str">
        <f>材料产出!$BV$2</f>
        <v>新增材料8</v>
      </c>
      <c r="D1191" s="224">
        <f>参数调整!$K$32*怪物掉落配置方案!$D4269</f>
        <v>0</v>
      </c>
    </row>
    <row r="1192" spans="1:4" ht="16.5" hidden="1" x14ac:dyDescent="0.3">
      <c r="A1192" s="10" t="str">
        <f>基本属性!$B$5&amp;"|"&amp;基本属性!$C$5</f>
        <v>40|0</v>
      </c>
      <c r="B1192" s="10" t="str">
        <f>参数调整!$J$32</f>
        <v>精英掉落</v>
      </c>
      <c r="C1192" s="8" t="str">
        <f>材料产出!$BV$2</f>
        <v>新增材料8</v>
      </c>
      <c r="D1192" s="224">
        <f>参数调整!$K$32*怪物掉落配置方案!$D4270</f>
        <v>0</v>
      </c>
    </row>
    <row r="1193" spans="1:4" ht="16.5" hidden="1" x14ac:dyDescent="0.3">
      <c r="A1193" s="10" t="str">
        <f>基本属性!$B$6&amp;"|"&amp;基本属性!$C$6</f>
        <v>50|0</v>
      </c>
      <c r="B1193" s="10" t="str">
        <f>参数调整!$J$32</f>
        <v>精英掉落</v>
      </c>
      <c r="C1193" s="8" t="str">
        <f>材料产出!$BV$2</f>
        <v>新增材料8</v>
      </c>
      <c r="D1193" s="224">
        <f>参数调整!$K$32*怪物掉落配置方案!$D4271</f>
        <v>0</v>
      </c>
    </row>
    <row r="1194" spans="1:4" ht="16.5" hidden="1" x14ac:dyDescent="0.3">
      <c r="A1194" s="10" t="str">
        <f>基本属性!$B$7&amp;"|"&amp;基本属性!$C$7</f>
        <v>60|0</v>
      </c>
      <c r="B1194" s="10" t="str">
        <f>参数调整!$J$32</f>
        <v>精英掉落</v>
      </c>
      <c r="C1194" s="8" t="str">
        <f>材料产出!$BV$2</f>
        <v>新增材料8</v>
      </c>
      <c r="D1194" s="224">
        <f>参数调整!$K$32*怪物掉落配置方案!$D4272</f>
        <v>0</v>
      </c>
    </row>
    <row r="1195" spans="1:4" ht="16.5" hidden="1" x14ac:dyDescent="0.3">
      <c r="A1195" s="10" t="str">
        <f>基本属性!$B$8&amp;"|"&amp;基本属性!$C$8</f>
        <v>65|0</v>
      </c>
      <c r="B1195" s="10" t="str">
        <f>参数调整!$J$32</f>
        <v>精英掉落</v>
      </c>
      <c r="C1195" s="8" t="str">
        <f>材料产出!$BV$2</f>
        <v>新增材料8</v>
      </c>
      <c r="D1195" s="224">
        <f>参数调整!$K$32*怪物掉落配置方案!$D4273</f>
        <v>0</v>
      </c>
    </row>
    <row r="1196" spans="1:4" ht="16.5" hidden="1" x14ac:dyDescent="0.3">
      <c r="A1196" s="10" t="str">
        <f>基本属性!$B$9&amp;"|"&amp;基本属性!$C$9</f>
        <v>70|0</v>
      </c>
      <c r="B1196" s="10" t="str">
        <f>参数调整!$J$32</f>
        <v>精英掉落</v>
      </c>
      <c r="C1196" s="8" t="str">
        <f>材料产出!$BV$2</f>
        <v>新增材料8</v>
      </c>
      <c r="D1196" s="224">
        <f>参数调整!$K$32*怪物掉落配置方案!$D4274</f>
        <v>0</v>
      </c>
    </row>
    <row r="1197" spans="1:4" ht="16.5" hidden="1" x14ac:dyDescent="0.3">
      <c r="A1197" s="10" t="str">
        <f>基本属性!$B$10&amp;"|"&amp;基本属性!$C$10</f>
        <v>75|0</v>
      </c>
      <c r="B1197" s="10" t="str">
        <f>参数调整!$J$32</f>
        <v>精英掉落</v>
      </c>
      <c r="C1197" s="8" t="str">
        <f>材料产出!$BV$2</f>
        <v>新增材料8</v>
      </c>
      <c r="D1197" s="224">
        <f>参数调整!$K$32*怪物掉落配置方案!$D4275</f>
        <v>0</v>
      </c>
    </row>
    <row r="1198" spans="1:4" ht="16.5" hidden="1" x14ac:dyDescent="0.3">
      <c r="A1198" s="10" t="str">
        <f>基本属性!$B$11&amp;"|"&amp;基本属性!$C$11</f>
        <v>80|1</v>
      </c>
      <c r="B1198" s="10" t="str">
        <f>参数调整!$J$32</f>
        <v>精英掉落</v>
      </c>
      <c r="C1198" s="8" t="str">
        <f>材料产出!$BV$2</f>
        <v>新增材料8</v>
      </c>
      <c r="D1198" s="224">
        <f>参数调整!$K$32*怪物掉落配置方案!$D4276</f>
        <v>0</v>
      </c>
    </row>
    <row r="1199" spans="1:4" ht="16.5" hidden="1" x14ac:dyDescent="0.3">
      <c r="A1199" s="10" t="str">
        <f>基本属性!$B$12&amp;"|"&amp;基本属性!$C$12</f>
        <v>90|2</v>
      </c>
      <c r="B1199" s="10" t="str">
        <f>参数调整!$J$32</f>
        <v>精英掉落</v>
      </c>
      <c r="C1199" s="8" t="str">
        <f>材料产出!$BV$2</f>
        <v>新增材料8</v>
      </c>
      <c r="D1199" s="224">
        <f>参数调整!$K$32*怪物掉落配置方案!$D4277</f>
        <v>0</v>
      </c>
    </row>
    <row r="1200" spans="1:4" ht="16.5" hidden="1" x14ac:dyDescent="0.3">
      <c r="A1200" s="10" t="str">
        <f>基本属性!$B$13&amp;"|"&amp;基本属性!$C$13</f>
        <v>100|3</v>
      </c>
      <c r="B1200" s="10" t="str">
        <f>参数调整!$J$32</f>
        <v>精英掉落</v>
      </c>
      <c r="C1200" s="8" t="str">
        <f>材料产出!$BV$2</f>
        <v>新增材料8</v>
      </c>
      <c r="D1200" s="224">
        <f>参数调整!$K$32*怪物掉落配置方案!$D4278</f>
        <v>0</v>
      </c>
    </row>
    <row r="1201" spans="1:4" ht="16.5" hidden="1" x14ac:dyDescent="0.3">
      <c r="A1201" s="10" t="str">
        <f>基本属性!$B$14&amp;"|"&amp;基本属性!$C$14</f>
        <v>105|4</v>
      </c>
      <c r="B1201" s="10" t="str">
        <f>参数调整!$J$32</f>
        <v>精英掉落</v>
      </c>
      <c r="C1201" s="8" t="str">
        <f>材料产出!$BV$2</f>
        <v>新增材料8</v>
      </c>
      <c r="D1201" s="224">
        <f>参数调整!$K$32*怪物掉落配置方案!$D4279</f>
        <v>0</v>
      </c>
    </row>
    <row r="1202" spans="1:4" ht="16.5" hidden="1" x14ac:dyDescent="0.3">
      <c r="A1202" s="10" t="str">
        <f>基本属性!$B$15&amp;"|"&amp;基本属性!$C$15</f>
        <v>110|5</v>
      </c>
      <c r="B1202" s="10" t="str">
        <f>参数调整!$J$32</f>
        <v>精英掉落</v>
      </c>
      <c r="C1202" s="8" t="str">
        <f>材料产出!$BV$2</f>
        <v>新增材料8</v>
      </c>
      <c r="D1202" s="224">
        <f>参数调整!$K$32*怪物掉落配置方案!$D4280</f>
        <v>0</v>
      </c>
    </row>
    <row r="1203" spans="1:4" ht="16.5" hidden="1" x14ac:dyDescent="0.3">
      <c r="A1203" s="10" t="str">
        <f>基本属性!$B$16&amp;"|"&amp;基本属性!$C$16</f>
        <v>120|6</v>
      </c>
      <c r="B1203" s="10" t="str">
        <f>参数调整!$J$32</f>
        <v>精英掉落</v>
      </c>
      <c r="C1203" s="8" t="str">
        <f>材料产出!$BV$2</f>
        <v>新增材料8</v>
      </c>
      <c r="D1203" s="224">
        <f>参数调整!$K$32*怪物掉落配置方案!$D4281</f>
        <v>0</v>
      </c>
    </row>
    <row r="1204" spans="1:4" ht="16.5" hidden="1" x14ac:dyDescent="0.3">
      <c r="A1204" s="10" t="str">
        <f>基本属性!$B$17&amp;"|"&amp;基本属性!$C$17</f>
        <v>135|7</v>
      </c>
      <c r="B1204" s="10" t="str">
        <f>参数调整!$J$32</f>
        <v>精英掉落</v>
      </c>
      <c r="C1204" s="8" t="str">
        <f>材料产出!$BV$2</f>
        <v>新增材料8</v>
      </c>
      <c r="D1204" s="224">
        <f>参数调整!$K$32*怪物掉落配置方案!$D4282</f>
        <v>0</v>
      </c>
    </row>
    <row r="1205" spans="1:4" ht="16.5" hidden="1" x14ac:dyDescent="0.3">
      <c r="A1205" s="10" t="str">
        <f>基本属性!$B$18&amp;"|"&amp;基本属性!$C$18</f>
        <v>155|8</v>
      </c>
      <c r="B1205" s="10" t="str">
        <f>参数调整!$J$32</f>
        <v>精英掉落</v>
      </c>
      <c r="C1205" s="8" t="str">
        <f>材料产出!$BV$2</f>
        <v>新增材料8</v>
      </c>
      <c r="D1205" s="224">
        <f>参数调整!$K$32*怪物掉落配置方案!$D4283</f>
        <v>0</v>
      </c>
    </row>
    <row r="1206" spans="1:4" ht="16.5" hidden="1" x14ac:dyDescent="0.3">
      <c r="A1206" s="10" t="str">
        <f>基本属性!$B$19&amp;"|"&amp;基本属性!$C$19</f>
        <v>190|9</v>
      </c>
      <c r="B1206" s="10" t="str">
        <f>参数调整!$J$32</f>
        <v>精英掉落</v>
      </c>
      <c r="C1206" s="8" t="str">
        <f>材料产出!$BV$2</f>
        <v>新增材料8</v>
      </c>
      <c r="D1206" s="224">
        <f>参数调整!$K$32*怪物掉落配置方案!$D4284</f>
        <v>0</v>
      </c>
    </row>
    <row r="1207" spans="1:4" ht="16.5" hidden="1" x14ac:dyDescent="0.3">
      <c r="A1207" s="10" t="str">
        <f>基本属性!$B$20&amp;"|"&amp;基本属性!$C$20</f>
        <v>200|10</v>
      </c>
      <c r="B1207" s="10" t="str">
        <f>参数调整!$J$32</f>
        <v>精英掉落</v>
      </c>
      <c r="C1207" s="8" t="str">
        <f>材料产出!$BV$2</f>
        <v>新增材料8</v>
      </c>
      <c r="D1207" s="224">
        <f>参数调整!$K$32*怪物掉落配置方案!$D4285</f>
        <v>0</v>
      </c>
    </row>
    <row r="1208" spans="1:4" ht="16.5" hidden="1" x14ac:dyDescent="0.3">
      <c r="A1208" s="10" t="str">
        <f>基本属性!$B$21&amp;"|"&amp;基本属性!$C$21</f>
        <v>200|11</v>
      </c>
      <c r="B1208" s="10" t="str">
        <f>参数调整!$J$32</f>
        <v>精英掉落</v>
      </c>
      <c r="C1208" s="8" t="str">
        <f>材料产出!$BV$2</f>
        <v>新增材料8</v>
      </c>
      <c r="D1208" s="224">
        <f>参数调整!$K$32*怪物掉落配置方案!$D4286</f>
        <v>0</v>
      </c>
    </row>
    <row r="1209" spans="1:4" ht="16.5" hidden="1" x14ac:dyDescent="0.3">
      <c r="A1209" s="10" t="str">
        <f>基本属性!$B$22&amp;"|"&amp;基本属性!$C$22</f>
        <v>210|12</v>
      </c>
      <c r="B1209" s="10" t="str">
        <f>参数调整!$J$32</f>
        <v>精英掉落</v>
      </c>
      <c r="C1209" s="8" t="str">
        <f>材料产出!$BV$2</f>
        <v>新增材料8</v>
      </c>
      <c r="D1209" s="224">
        <f>参数调整!$K$32*怪物掉落配置方案!$D4287</f>
        <v>0</v>
      </c>
    </row>
    <row r="1210" spans="1:4" ht="16.5" hidden="1" x14ac:dyDescent="0.3">
      <c r="A1210" s="10" t="str">
        <f>基本属性!$B$23&amp;"|"&amp;基本属性!$C$23</f>
        <v>210|13</v>
      </c>
      <c r="B1210" s="10" t="str">
        <f>参数调整!$J$32</f>
        <v>精英掉落</v>
      </c>
      <c r="C1210" s="8" t="str">
        <f>材料产出!$BV$2</f>
        <v>新增材料8</v>
      </c>
      <c r="D1210" s="224">
        <f>参数调整!$K$32*怪物掉落配置方案!$D4288</f>
        <v>0</v>
      </c>
    </row>
    <row r="1211" spans="1:4" ht="16.5" hidden="1" x14ac:dyDescent="0.3">
      <c r="A1211" s="10" t="str">
        <f>基本属性!$B$24&amp;"|"&amp;基本属性!$C$24</f>
        <v>220|14</v>
      </c>
      <c r="B1211" s="10" t="str">
        <f>参数调整!$J$32</f>
        <v>精英掉落</v>
      </c>
      <c r="C1211" s="8" t="str">
        <f>材料产出!$BV$2</f>
        <v>新增材料8</v>
      </c>
      <c r="D1211" s="224">
        <f>参数调整!$K$32*怪物掉落配置方案!$D4289</f>
        <v>0</v>
      </c>
    </row>
    <row r="1212" spans="1:4" ht="16.5" hidden="1" x14ac:dyDescent="0.3">
      <c r="A1212" s="10" t="str">
        <f>基本属性!$B$25&amp;"|"&amp;基本属性!$C$25</f>
        <v>220|15</v>
      </c>
      <c r="B1212" s="10" t="str">
        <f>参数调整!$J$32</f>
        <v>精英掉落</v>
      </c>
      <c r="C1212" s="8" t="str">
        <f>材料产出!$BV$2</f>
        <v>新增材料8</v>
      </c>
      <c r="D1212" s="224">
        <f>参数调整!$K$32*怪物掉落配置方案!$D4290</f>
        <v>0</v>
      </c>
    </row>
    <row r="1213" spans="1:4" ht="16.5" hidden="1" x14ac:dyDescent="0.3">
      <c r="A1213" s="10" t="str">
        <f>基本属性!$B$26&amp;"|"&amp;基本属性!$C$26</f>
        <v>230|16</v>
      </c>
      <c r="B1213" s="10" t="str">
        <f>参数调整!$J$32</f>
        <v>精英掉落</v>
      </c>
      <c r="C1213" s="8" t="str">
        <f>材料产出!$BV$2</f>
        <v>新增材料8</v>
      </c>
      <c r="D1213" s="224">
        <f>参数调整!$K$32*怪物掉落配置方案!$D4291</f>
        <v>0</v>
      </c>
    </row>
    <row r="1214" spans="1:4" ht="16.5" hidden="1" x14ac:dyDescent="0.3">
      <c r="A1214" s="10" t="str">
        <f>基本属性!$B$27&amp;"|"&amp;基本属性!$C$27</f>
        <v>230|17</v>
      </c>
      <c r="B1214" s="10" t="str">
        <f>参数调整!$J$32</f>
        <v>精英掉落</v>
      </c>
      <c r="C1214" s="8" t="str">
        <f>材料产出!$BV$2</f>
        <v>新增材料8</v>
      </c>
      <c r="D1214" s="224">
        <f>参数调整!$K$32*怪物掉落配置方案!$D4292</f>
        <v>0</v>
      </c>
    </row>
    <row r="1215" spans="1:4" ht="16.5" hidden="1" x14ac:dyDescent="0.3">
      <c r="A1215" s="10" t="str">
        <f>基本属性!$B$28&amp;"|"&amp;基本属性!$C$28</f>
        <v>240|18</v>
      </c>
      <c r="B1215" s="10" t="str">
        <f>参数调整!$J$32</f>
        <v>精英掉落</v>
      </c>
      <c r="C1215" s="8" t="str">
        <f>材料产出!$BV$2</f>
        <v>新增材料8</v>
      </c>
      <c r="D1215" s="224">
        <f>参数调整!$K$32*怪物掉落配置方案!$D4293</f>
        <v>0</v>
      </c>
    </row>
    <row r="1216" spans="1:4" ht="16.5" hidden="1" x14ac:dyDescent="0.3">
      <c r="A1216" s="10" t="str">
        <f>基本属性!$B$29&amp;"|"&amp;基本属性!$C$29</f>
        <v>240|19</v>
      </c>
      <c r="B1216" s="10" t="str">
        <f>参数调整!$J$32</f>
        <v>精英掉落</v>
      </c>
      <c r="C1216" s="8" t="str">
        <f>材料产出!$BV$2</f>
        <v>新增材料8</v>
      </c>
      <c r="D1216" s="224">
        <f>参数调整!$K$32*怪物掉落配置方案!$D4294</f>
        <v>0</v>
      </c>
    </row>
    <row r="1217" spans="1:4" ht="16.5" hidden="1" x14ac:dyDescent="0.3">
      <c r="A1217" s="10" t="str">
        <f>基本属性!$B$30&amp;"|"&amp;基本属性!$C$30</f>
        <v>250|20</v>
      </c>
      <c r="B1217" s="10" t="str">
        <f>参数调整!$J$32</f>
        <v>精英掉落</v>
      </c>
      <c r="C1217" s="8" t="str">
        <f>材料产出!$BV$2</f>
        <v>新增材料8</v>
      </c>
      <c r="D1217" s="224">
        <f>参数调整!$K$32*怪物掉落配置方案!$D4295</f>
        <v>0</v>
      </c>
    </row>
    <row r="1218" spans="1:4" ht="16.5" hidden="1" x14ac:dyDescent="0.3">
      <c r="A1218" s="10" t="str">
        <f>基本属性!$B$4&amp;"|"&amp;基本属性!$C$4</f>
        <v>35|0</v>
      </c>
      <c r="B1218" s="10" t="str">
        <f>参数调整!$J$32</f>
        <v>精英掉落</v>
      </c>
      <c r="C1218" s="8" t="str">
        <f>材料产出!$BT$2</f>
        <v>新增材料7</v>
      </c>
      <c r="D1218" s="224">
        <f>参数调整!$K$32*怪物掉落配置方案!$D4296</f>
        <v>0</v>
      </c>
    </row>
    <row r="1219" spans="1:4" ht="16.5" hidden="1" x14ac:dyDescent="0.3">
      <c r="A1219" s="10" t="str">
        <f>基本属性!$B$5&amp;"|"&amp;基本属性!$C$5</f>
        <v>40|0</v>
      </c>
      <c r="B1219" s="10" t="str">
        <f>参数调整!$J$32</f>
        <v>精英掉落</v>
      </c>
      <c r="C1219" s="8" t="str">
        <f>材料产出!$BT$2</f>
        <v>新增材料7</v>
      </c>
      <c r="D1219" s="224">
        <f>参数调整!$K$32*怪物掉落配置方案!$D4297</f>
        <v>0</v>
      </c>
    </row>
    <row r="1220" spans="1:4" ht="16.5" hidden="1" x14ac:dyDescent="0.3">
      <c r="A1220" s="10" t="str">
        <f>基本属性!$B$6&amp;"|"&amp;基本属性!$C$6</f>
        <v>50|0</v>
      </c>
      <c r="B1220" s="10" t="str">
        <f>参数调整!$J$32</f>
        <v>精英掉落</v>
      </c>
      <c r="C1220" s="8" t="str">
        <f>材料产出!$BT$2</f>
        <v>新增材料7</v>
      </c>
      <c r="D1220" s="224">
        <f>参数调整!$K$32*怪物掉落配置方案!$D4298</f>
        <v>0</v>
      </c>
    </row>
    <row r="1221" spans="1:4" ht="16.5" hidden="1" x14ac:dyDescent="0.3">
      <c r="A1221" s="10" t="str">
        <f>基本属性!$B$7&amp;"|"&amp;基本属性!$C$7</f>
        <v>60|0</v>
      </c>
      <c r="B1221" s="10" t="str">
        <f>参数调整!$J$32</f>
        <v>精英掉落</v>
      </c>
      <c r="C1221" s="8" t="str">
        <f>材料产出!$BT$2</f>
        <v>新增材料7</v>
      </c>
      <c r="D1221" s="224">
        <f>参数调整!$K$32*怪物掉落配置方案!$D4299</f>
        <v>0</v>
      </c>
    </row>
    <row r="1222" spans="1:4" ht="16.5" hidden="1" x14ac:dyDescent="0.3">
      <c r="A1222" s="10" t="str">
        <f>基本属性!$B$8&amp;"|"&amp;基本属性!$C$8</f>
        <v>65|0</v>
      </c>
      <c r="B1222" s="10" t="str">
        <f>参数调整!$J$32</f>
        <v>精英掉落</v>
      </c>
      <c r="C1222" s="8" t="str">
        <f>材料产出!$BT$2</f>
        <v>新增材料7</v>
      </c>
      <c r="D1222" s="224">
        <f>参数调整!$K$32*怪物掉落配置方案!$D4300</f>
        <v>0</v>
      </c>
    </row>
    <row r="1223" spans="1:4" ht="16.5" hidden="1" x14ac:dyDescent="0.3">
      <c r="A1223" s="10" t="str">
        <f>基本属性!$B$9&amp;"|"&amp;基本属性!$C$9</f>
        <v>70|0</v>
      </c>
      <c r="B1223" s="10" t="str">
        <f>参数调整!$J$32</f>
        <v>精英掉落</v>
      </c>
      <c r="C1223" s="8" t="str">
        <f>材料产出!$BT$2</f>
        <v>新增材料7</v>
      </c>
      <c r="D1223" s="224">
        <f>参数调整!$K$32*怪物掉落配置方案!$D4301</f>
        <v>0</v>
      </c>
    </row>
    <row r="1224" spans="1:4" ht="16.5" hidden="1" x14ac:dyDescent="0.3">
      <c r="A1224" s="10" t="str">
        <f>基本属性!$B$10&amp;"|"&amp;基本属性!$C$10</f>
        <v>75|0</v>
      </c>
      <c r="B1224" s="10" t="str">
        <f>参数调整!$J$32</f>
        <v>精英掉落</v>
      </c>
      <c r="C1224" s="8" t="str">
        <f>材料产出!$BT$2</f>
        <v>新增材料7</v>
      </c>
      <c r="D1224" s="224">
        <f>参数调整!$K$32*怪物掉落配置方案!$D4302</f>
        <v>0</v>
      </c>
    </row>
    <row r="1225" spans="1:4" ht="16.5" hidden="1" x14ac:dyDescent="0.3">
      <c r="A1225" s="10" t="str">
        <f>基本属性!$B$11&amp;"|"&amp;基本属性!$C$11</f>
        <v>80|1</v>
      </c>
      <c r="B1225" s="10" t="str">
        <f>参数调整!$J$32</f>
        <v>精英掉落</v>
      </c>
      <c r="C1225" s="8" t="str">
        <f>材料产出!$BT$2</f>
        <v>新增材料7</v>
      </c>
      <c r="D1225" s="224">
        <f>参数调整!$K$32*怪物掉落配置方案!$D4303</f>
        <v>0</v>
      </c>
    </row>
    <row r="1226" spans="1:4" ht="16.5" hidden="1" x14ac:dyDescent="0.3">
      <c r="A1226" s="10" t="str">
        <f>基本属性!$B$12&amp;"|"&amp;基本属性!$C$12</f>
        <v>90|2</v>
      </c>
      <c r="B1226" s="10" t="str">
        <f>参数调整!$J$32</f>
        <v>精英掉落</v>
      </c>
      <c r="C1226" s="8" t="str">
        <f>材料产出!$BT$2</f>
        <v>新增材料7</v>
      </c>
      <c r="D1226" s="224">
        <f>参数调整!$K$32*怪物掉落配置方案!$D4304</f>
        <v>0</v>
      </c>
    </row>
    <row r="1227" spans="1:4" ht="16.5" hidden="1" x14ac:dyDescent="0.3">
      <c r="A1227" s="10" t="str">
        <f>基本属性!$B$13&amp;"|"&amp;基本属性!$C$13</f>
        <v>100|3</v>
      </c>
      <c r="B1227" s="10" t="str">
        <f>参数调整!$J$32</f>
        <v>精英掉落</v>
      </c>
      <c r="C1227" s="8" t="str">
        <f>材料产出!$BT$2</f>
        <v>新增材料7</v>
      </c>
      <c r="D1227" s="224">
        <f>参数调整!$K$32*怪物掉落配置方案!$D4305</f>
        <v>0</v>
      </c>
    </row>
    <row r="1228" spans="1:4" ht="16.5" hidden="1" x14ac:dyDescent="0.3">
      <c r="A1228" s="10" t="str">
        <f>基本属性!$B$14&amp;"|"&amp;基本属性!$C$14</f>
        <v>105|4</v>
      </c>
      <c r="B1228" s="10" t="str">
        <f>参数调整!$J$32</f>
        <v>精英掉落</v>
      </c>
      <c r="C1228" s="8" t="str">
        <f>材料产出!$BT$2</f>
        <v>新增材料7</v>
      </c>
      <c r="D1228" s="224">
        <f>参数调整!$K$32*怪物掉落配置方案!$D4306</f>
        <v>0</v>
      </c>
    </row>
    <row r="1229" spans="1:4" ht="16.5" hidden="1" x14ac:dyDescent="0.3">
      <c r="A1229" s="10" t="str">
        <f>基本属性!$B$15&amp;"|"&amp;基本属性!$C$15</f>
        <v>110|5</v>
      </c>
      <c r="B1229" s="10" t="str">
        <f>参数调整!$J$32</f>
        <v>精英掉落</v>
      </c>
      <c r="C1229" s="8" t="str">
        <f>材料产出!$BT$2</f>
        <v>新增材料7</v>
      </c>
      <c r="D1229" s="224">
        <f>参数调整!$K$32*怪物掉落配置方案!$D4307</f>
        <v>0</v>
      </c>
    </row>
    <row r="1230" spans="1:4" ht="16.5" hidden="1" x14ac:dyDescent="0.3">
      <c r="A1230" s="10" t="str">
        <f>基本属性!$B$16&amp;"|"&amp;基本属性!$C$16</f>
        <v>120|6</v>
      </c>
      <c r="B1230" s="10" t="str">
        <f>参数调整!$J$32</f>
        <v>精英掉落</v>
      </c>
      <c r="C1230" s="8" t="str">
        <f>材料产出!$BT$2</f>
        <v>新增材料7</v>
      </c>
      <c r="D1230" s="224">
        <f>参数调整!$K$32*怪物掉落配置方案!$D4308</f>
        <v>0</v>
      </c>
    </row>
    <row r="1231" spans="1:4" ht="16.5" hidden="1" x14ac:dyDescent="0.3">
      <c r="A1231" s="10" t="str">
        <f>基本属性!$B$17&amp;"|"&amp;基本属性!$C$17</f>
        <v>135|7</v>
      </c>
      <c r="B1231" s="10" t="str">
        <f>参数调整!$J$32</f>
        <v>精英掉落</v>
      </c>
      <c r="C1231" s="8" t="str">
        <f>材料产出!$BT$2</f>
        <v>新增材料7</v>
      </c>
      <c r="D1231" s="224">
        <f>参数调整!$K$32*怪物掉落配置方案!$D4309</f>
        <v>0</v>
      </c>
    </row>
    <row r="1232" spans="1:4" ht="16.5" hidden="1" x14ac:dyDescent="0.3">
      <c r="A1232" s="10" t="str">
        <f>基本属性!$B$18&amp;"|"&amp;基本属性!$C$18</f>
        <v>155|8</v>
      </c>
      <c r="B1232" s="10" t="str">
        <f>参数调整!$J$32</f>
        <v>精英掉落</v>
      </c>
      <c r="C1232" s="8" t="str">
        <f>材料产出!$BT$2</f>
        <v>新增材料7</v>
      </c>
      <c r="D1232" s="224">
        <f>参数调整!$K$32*怪物掉落配置方案!$D4310</f>
        <v>0</v>
      </c>
    </row>
    <row r="1233" spans="1:4" ht="16.5" hidden="1" x14ac:dyDescent="0.3">
      <c r="A1233" s="10" t="str">
        <f>基本属性!$B$19&amp;"|"&amp;基本属性!$C$19</f>
        <v>190|9</v>
      </c>
      <c r="B1233" s="10" t="str">
        <f>参数调整!$J$32</f>
        <v>精英掉落</v>
      </c>
      <c r="C1233" s="8" t="str">
        <f>材料产出!$BT$2</f>
        <v>新增材料7</v>
      </c>
      <c r="D1233" s="224">
        <f>参数调整!$K$32*怪物掉落配置方案!$D4311</f>
        <v>0</v>
      </c>
    </row>
    <row r="1234" spans="1:4" ht="16.5" hidden="1" x14ac:dyDescent="0.3">
      <c r="A1234" s="10" t="str">
        <f>基本属性!$B$20&amp;"|"&amp;基本属性!$C$20</f>
        <v>200|10</v>
      </c>
      <c r="B1234" s="10" t="str">
        <f>参数调整!$J$32</f>
        <v>精英掉落</v>
      </c>
      <c r="C1234" s="8" t="str">
        <f>材料产出!$BT$2</f>
        <v>新增材料7</v>
      </c>
      <c r="D1234" s="224">
        <f>参数调整!$K$32*怪物掉落配置方案!$D4312</f>
        <v>0</v>
      </c>
    </row>
    <row r="1235" spans="1:4" ht="16.5" hidden="1" x14ac:dyDescent="0.3">
      <c r="A1235" s="10" t="str">
        <f>基本属性!$B$21&amp;"|"&amp;基本属性!$C$21</f>
        <v>200|11</v>
      </c>
      <c r="B1235" s="10" t="str">
        <f>参数调整!$J$32</f>
        <v>精英掉落</v>
      </c>
      <c r="C1235" s="8" t="str">
        <f>材料产出!$BT$2</f>
        <v>新增材料7</v>
      </c>
      <c r="D1235" s="224">
        <f>参数调整!$K$32*怪物掉落配置方案!$D4313</f>
        <v>0</v>
      </c>
    </row>
    <row r="1236" spans="1:4" ht="16.5" hidden="1" x14ac:dyDescent="0.3">
      <c r="A1236" s="10" t="str">
        <f>基本属性!$B$22&amp;"|"&amp;基本属性!$C$22</f>
        <v>210|12</v>
      </c>
      <c r="B1236" s="10" t="str">
        <f>参数调整!$J$32</f>
        <v>精英掉落</v>
      </c>
      <c r="C1236" s="8" t="str">
        <f>材料产出!$BT$2</f>
        <v>新增材料7</v>
      </c>
      <c r="D1236" s="224">
        <f>参数调整!$K$32*怪物掉落配置方案!$D4314</f>
        <v>0</v>
      </c>
    </row>
    <row r="1237" spans="1:4" ht="16.5" hidden="1" x14ac:dyDescent="0.3">
      <c r="A1237" s="10" t="str">
        <f>基本属性!$B$23&amp;"|"&amp;基本属性!$C$23</f>
        <v>210|13</v>
      </c>
      <c r="B1237" s="10" t="str">
        <f>参数调整!$J$32</f>
        <v>精英掉落</v>
      </c>
      <c r="C1237" s="8" t="str">
        <f>材料产出!$BT$2</f>
        <v>新增材料7</v>
      </c>
      <c r="D1237" s="224">
        <f>参数调整!$K$32*怪物掉落配置方案!$D4315</f>
        <v>0</v>
      </c>
    </row>
    <row r="1238" spans="1:4" ht="16.5" hidden="1" x14ac:dyDescent="0.3">
      <c r="A1238" s="10" t="str">
        <f>基本属性!$B$24&amp;"|"&amp;基本属性!$C$24</f>
        <v>220|14</v>
      </c>
      <c r="B1238" s="10" t="str">
        <f>参数调整!$J$32</f>
        <v>精英掉落</v>
      </c>
      <c r="C1238" s="8" t="str">
        <f>材料产出!$BT$2</f>
        <v>新增材料7</v>
      </c>
      <c r="D1238" s="224">
        <f>参数调整!$K$32*怪物掉落配置方案!$D4316</f>
        <v>0</v>
      </c>
    </row>
    <row r="1239" spans="1:4" ht="16.5" hidden="1" x14ac:dyDescent="0.3">
      <c r="A1239" s="10" t="str">
        <f>基本属性!$B$25&amp;"|"&amp;基本属性!$C$25</f>
        <v>220|15</v>
      </c>
      <c r="B1239" s="10" t="str">
        <f>参数调整!$J$32</f>
        <v>精英掉落</v>
      </c>
      <c r="C1239" s="8" t="str">
        <f>材料产出!$BT$2</f>
        <v>新增材料7</v>
      </c>
      <c r="D1239" s="224">
        <f>参数调整!$K$32*怪物掉落配置方案!$D4317</f>
        <v>0</v>
      </c>
    </row>
    <row r="1240" spans="1:4" ht="16.5" hidden="1" x14ac:dyDescent="0.3">
      <c r="A1240" s="10" t="str">
        <f>基本属性!$B$26&amp;"|"&amp;基本属性!$C$26</f>
        <v>230|16</v>
      </c>
      <c r="B1240" s="10" t="str">
        <f>参数调整!$J$32</f>
        <v>精英掉落</v>
      </c>
      <c r="C1240" s="8" t="str">
        <f>材料产出!$BT$2</f>
        <v>新增材料7</v>
      </c>
      <c r="D1240" s="224">
        <f>参数调整!$K$32*怪物掉落配置方案!$D4318</f>
        <v>0</v>
      </c>
    </row>
    <row r="1241" spans="1:4" ht="16.5" hidden="1" x14ac:dyDescent="0.3">
      <c r="A1241" s="10" t="str">
        <f>基本属性!$B$27&amp;"|"&amp;基本属性!$C$27</f>
        <v>230|17</v>
      </c>
      <c r="B1241" s="10" t="str">
        <f>参数调整!$J$32</f>
        <v>精英掉落</v>
      </c>
      <c r="C1241" s="8" t="str">
        <f>材料产出!$BT$2</f>
        <v>新增材料7</v>
      </c>
      <c r="D1241" s="224">
        <f>参数调整!$K$32*怪物掉落配置方案!$D4319</f>
        <v>0</v>
      </c>
    </row>
    <row r="1242" spans="1:4" ht="16.5" hidden="1" x14ac:dyDescent="0.3">
      <c r="A1242" s="10" t="str">
        <f>基本属性!$B$28&amp;"|"&amp;基本属性!$C$28</f>
        <v>240|18</v>
      </c>
      <c r="B1242" s="10" t="str">
        <f>参数调整!$J$32</f>
        <v>精英掉落</v>
      </c>
      <c r="C1242" s="8" t="str">
        <f>材料产出!$BT$2</f>
        <v>新增材料7</v>
      </c>
      <c r="D1242" s="224">
        <f>参数调整!$K$32*怪物掉落配置方案!$D4320</f>
        <v>0</v>
      </c>
    </row>
    <row r="1243" spans="1:4" ht="16.5" hidden="1" x14ac:dyDescent="0.3">
      <c r="A1243" s="10" t="str">
        <f>基本属性!$B$29&amp;"|"&amp;基本属性!$C$29</f>
        <v>240|19</v>
      </c>
      <c r="B1243" s="10" t="str">
        <f>参数调整!$J$32</f>
        <v>精英掉落</v>
      </c>
      <c r="C1243" s="8" t="str">
        <f>材料产出!$BT$2</f>
        <v>新增材料7</v>
      </c>
      <c r="D1243" s="224">
        <f>参数调整!$K$32*怪物掉落配置方案!$D4321</f>
        <v>0</v>
      </c>
    </row>
    <row r="1244" spans="1:4" ht="16.5" hidden="1" x14ac:dyDescent="0.3">
      <c r="A1244" s="10" t="str">
        <f>基本属性!$B$30&amp;"|"&amp;基本属性!$C$30</f>
        <v>250|20</v>
      </c>
      <c r="B1244" s="10" t="str">
        <f>参数调整!$J$32</f>
        <v>精英掉落</v>
      </c>
      <c r="C1244" s="8" t="str">
        <f>材料产出!$BT$2</f>
        <v>新增材料7</v>
      </c>
      <c r="D1244" s="224">
        <f>参数调整!$K$32*怪物掉落配置方案!$D4322</f>
        <v>0</v>
      </c>
    </row>
    <row r="1245" spans="1:4" ht="16.5" hidden="1" x14ac:dyDescent="0.3">
      <c r="A1245" s="10" t="str">
        <f>基本属性!$B$4&amp;"|"&amp;基本属性!$C$4</f>
        <v>35|0</v>
      </c>
      <c r="B1245" s="10" t="str">
        <f>参数调整!$J$32</f>
        <v>精英掉落</v>
      </c>
      <c r="C1245" s="8" t="str">
        <f>材料产出!$BR$2</f>
        <v>新增材料6</v>
      </c>
      <c r="D1245" s="224">
        <f>参数调整!$K$32*怪物掉落配置方案!$D4323</f>
        <v>0</v>
      </c>
    </row>
    <row r="1246" spans="1:4" ht="16.5" hidden="1" x14ac:dyDescent="0.3">
      <c r="A1246" s="10" t="str">
        <f>基本属性!$B$5&amp;"|"&amp;基本属性!$C$5</f>
        <v>40|0</v>
      </c>
      <c r="B1246" s="10" t="str">
        <f>参数调整!$J$32</f>
        <v>精英掉落</v>
      </c>
      <c r="C1246" s="8" t="str">
        <f>材料产出!$BR$2</f>
        <v>新增材料6</v>
      </c>
      <c r="D1246" s="224">
        <f>参数调整!$K$32*怪物掉落配置方案!$D4324</f>
        <v>0</v>
      </c>
    </row>
    <row r="1247" spans="1:4" ht="16.5" hidden="1" x14ac:dyDescent="0.3">
      <c r="A1247" s="10" t="str">
        <f>基本属性!$B$6&amp;"|"&amp;基本属性!$C$6</f>
        <v>50|0</v>
      </c>
      <c r="B1247" s="10" t="str">
        <f>参数调整!$J$32</f>
        <v>精英掉落</v>
      </c>
      <c r="C1247" s="8" t="str">
        <f>材料产出!$BR$2</f>
        <v>新增材料6</v>
      </c>
      <c r="D1247" s="224">
        <f>参数调整!$K$32*怪物掉落配置方案!$D4325</f>
        <v>0</v>
      </c>
    </row>
    <row r="1248" spans="1:4" ht="16.5" hidden="1" x14ac:dyDescent="0.3">
      <c r="A1248" s="10" t="str">
        <f>基本属性!$B$7&amp;"|"&amp;基本属性!$C$7</f>
        <v>60|0</v>
      </c>
      <c r="B1248" s="10" t="str">
        <f>参数调整!$J$32</f>
        <v>精英掉落</v>
      </c>
      <c r="C1248" s="8" t="str">
        <f>材料产出!$BR$2</f>
        <v>新增材料6</v>
      </c>
      <c r="D1248" s="224">
        <f>参数调整!$K$32*怪物掉落配置方案!$D4326</f>
        <v>0</v>
      </c>
    </row>
    <row r="1249" spans="1:4" ht="16.5" hidden="1" x14ac:dyDescent="0.3">
      <c r="A1249" s="10" t="str">
        <f>基本属性!$B$8&amp;"|"&amp;基本属性!$C$8</f>
        <v>65|0</v>
      </c>
      <c r="B1249" s="10" t="str">
        <f>参数调整!$J$32</f>
        <v>精英掉落</v>
      </c>
      <c r="C1249" s="8" t="str">
        <f>材料产出!$BR$2</f>
        <v>新增材料6</v>
      </c>
      <c r="D1249" s="224">
        <f>参数调整!$K$32*怪物掉落配置方案!$D4327</f>
        <v>0</v>
      </c>
    </row>
    <row r="1250" spans="1:4" ht="16.5" hidden="1" x14ac:dyDescent="0.3">
      <c r="A1250" s="10" t="str">
        <f>基本属性!$B$9&amp;"|"&amp;基本属性!$C$9</f>
        <v>70|0</v>
      </c>
      <c r="B1250" s="10" t="str">
        <f>参数调整!$J$32</f>
        <v>精英掉落</v>
      </c>
      <c r="C1250" s="8" t="str">
        <f>材料产出!$BR$2</f>
        <v>新增材料6</v>
      </c>
      <c r="D1250" s="224">
        <f>参数调整!$K$32*怪物掉落配置方案!$D4328</f>
        <v>0</v>
      </c>
    </row>
    <row r="1251" spans="1:4" ht="16.5" hidden="1" x14ac:dyDescent="0.3">
      <c r="A1251" s="10" t="str">
        <f>基本属性!$B$10&amp;"|"&amp;基本属性!$C$10</f>
        <v>75|0</v>
      </c>
      <c r="B1251" s="10" t="str">
        <f>参数调整!$J$32</f>
        <v>精英掉落</v>
      </c>
      <c r="C1251" s="8" t="str">
        <f>材料产出!$BR$2</f>
        <v>新增材料6</v>
      </c>
      <c r="D1251" s="224">
        <f>参数调整!$K$32*怪物掉落配置方案!$D4329</f>
        <v>0</v>
      </c>
    </row>
    <row r="1252" spans="1:4" ht="16.5" hidden="1" x14ac:dyDescent="0.3">
      <c r="A1252" s="10" t="str">
        <f>基本属性!$B$11&amp;"|"&amp;基本属性!$C$11</f>
        <v>80|1</v>
      </c>
      <c r="B1252" s="10" t="str">
        <f>参数调整!$J$32</f>
        <v>精英掉落</v>
      </c>
      <c r="C1252" s="8" t="str">
        <f>材料产出!$BR$2</f>
        <v>新增材料6</v>
      </c>
      <c r="D1252" s="224">
        <f>参数调整!$K$32*怪物掉落配置方案!$D4330</f>
        <v>0</v>
      </c>
    </row>
    <row r="1253" spans="1:4" ht="16.5" hidden="1" x14ac:dyDescent="0.3">
      <c r="A1253" s="10" t="str">
        <f>基本属性!$B$12&amp;"|"&amp;基本属性!$C$12</f>
        <v>90|2</v>
      </c>
      <c r="B1253" s="10" t="str">
        <f>参数调整!$J$32</f>
        <v>精英掉落</v>
      </c>
      <c r="C1253" s="8" t="str">
        <f>材料产出!$BR$2</f>
        <v>新增材料6</v>
      </c>
      <c r="D1253" s="224">
        <f>参数调整!$K$32*怪物掉落配置方案!$D4331</f>
        <v>0</v>
      </c>
    </row>
    <row r="1254" spans="1:4" ht="16.5" hidden="1" x14ac:dyDescent="0.3">
      <c r="A1254" s="10" t="str">
        <f>基本属性!$B$13&amp;"|"&amp;基本属性!$C$13</f>
        <v>100|3</v>
      </c>
      <c r="B1254" s="10" t="str">
        <f>参数调整!$J$32</f>
        <v>精英掉落</v>
      </c>
      <c r="C1254" s="8" t="str">
        <f>材料产出!$BR$2</f>
        <v>新增材料6</v>
      </c>
      <c r="D1254" s="224">
        <f>参数调整!$K$32*怪物掉落配置方案!$D4332</f>
        <v>0</v>
      </c>
    </row>
    <row r="1255" spans="1:4" ht="16.5" hidden="1" x14ac:dyDescent="0.3">
      <c r="A1255" s="10" t="str">
        <f>基本属性!$B$14&amp;"|"&amp;基本属性!$C$14</f>
        <v>105|4</v>
      </c>
      <c r="B1255" s="10" t="str">
        <f>参数调整!$J$32</f>
        <v>精英掉落</v>
      </c>
      <c r="C1255" s="8" t="str">
        <f>材料产出!$BR$2</f>
        <v>新增材料6</v>
      </c>
      <c r="D1255" s="224">
        <f>参数调整!$K$32*怪物掉落配置方案!$D4333</f>
        <v>0</v>
      </c>
    </row>
    <row r="1256" spans="1:4" ht="16.5" hidden="1" x14ac:dyDescent="0.3">
      <c r="A1256" s="10" t="str">
        <f>基本属性!$B$15&amp;"|"&amp;基本属性!$C$15</f>
        <v>110|5</v>
      </c>
      <c r="B1256" s="10" t="str">
        <f>参数调整!$J$32</f>
        <v>精英掉落</v>
      </c>
      <c r="C1256" s="8" t="str">
        <f>材料产出!$BR$2</f>
        <v>新增材料6</v>
      </c>
      <c r="D1256" s="224">
        <f>参数调整!$K$32*怪物掉落配置方案!$D4334</f>
        <v>0</v>
      </c>
    </row>
    <row r="1257" spans="1:4" ht="16.5" hidden="1" x14ac:dyDescent="0.3">
      <c r="A1257" s="10" t="str">
        <f>基本属性!$B$16&amp;"|"&amp;基本属性!$C$16</f>
        <v>120|6</v>
      </c>
      <c r="B1257" s="10" t="str">
        <f>参数调整!$J$32</f>
        <v>精英掉落</v>
      </c>
      <c r="C1257" s="8" t="str">
        <f>材料产出!$BR$2</f>
        <v>新增材料6</v>
      </c>
      <c r="D1257" s="224">
        <f>参数调整!$K$32*怪物掉落配置方案!$D4335</f>
        <v>0</v>
      </c>
    </row>
    <row r="1258" spans="1:4" ht="16.5" hidden="1" x14ac:dyDescent="0.3">
      <c r="A1258" s="10" t="str">
        <f>基本属性!$B$17&amp;"|"&amp;基本属性!$C$17</f>
        <v>135|7</v>
      </c>
      <c r="B1258" s="10" t="str">
        <f>参数调整!$J$32</f>
        <v>精英掉落</v>
      </c>
      <c r="C1258" s="8" t="str">
        <f>材料产出!$BR$2</f>
        <v>新增材料6</v>
      </c>
      <c r="D1258" s="224">
        <f>参数调整!$K$32*怪物掉落配置方案!$D4336</f>
        <v>0</v>
      </c>
    </row>
    <row r="1259" spans="1:4" ht="16.5" hidden="1" x14ac:dyDescent="0.3">
      <c r="A1259" s="10" t="str">
        <f>基本属性!$B$18&amp;"|"&amp;基本属性!$C$18</f>
        <v>155|8</v>
      </c>
      <c r="B1259" s="10" t="str">
        <f>参数调整!$J$32</f>
        <v>精英掉落</v>
      </c>
      <c r="C1259" s="8" t="str">
        <f>材料产出!$BR$2</f>
        <v>新增材料6</v>
      </c>
      <c r="D1259" s="224">
        <f>参数调整!$K$32*怪物掉落配置方案!$D4337</f>
        <v>0</v>
      </c>
    </row>
    <row r="1260" spans="1:4" ht="16.5" hidden="1" x14ac:dyDescent="0.3">
      <c r="A1260" s="10" t="str">
        <f>基本属性!$B$19&amp;"|"&amp;基本属性!$C$19</f>
        <v>190|9</v>
      </c>
      <c r="B1260" s="10" t="str">
        <f>参数调整!$J$32</f>
        <v>精英掉落</v>
      </c>
      <c r="C1260" s="8" t="str">
        <f>材料产出!$BR$2</f>
        <v>新增材料6</v>
      </c>
      <c r="D1260" s="224">
        <f>参数调整!$K$32*怪物掉落配置方案!$D4338</f>
        <v>0</v>
      </c>
    </row>
    <row r="1261" spans="1:4" ht="16.5" hidden="1" x14ac:dyDescent="0.3">
      <c r="A1261" s="10" t="str">
        <f>基本属性!$B$20&amp;"|"&amp;基本属性!$C$20</f>
        <v>200|10</v>
      </c>
      <c r="B1261" s="10" t="str">
        <f>参数调整!$J$32</f>
        <v>精英掉落</v>
      </c>
      <c r="C1261" s="8" t="str">
        <f>材料产出!$BR$2</f>
        <v>新增材料6</v>
      </c>
      <c r="D1261" s="224">
        <f>参数调整!$K$32*怪物掉落配置方案!$D4339</f>
        <v>0</v>
      </c>
    </row>
    <row r="1262" spans="1:4" ht="16.5" hidden="1" x14ac:dyDescent="0.3">
      <c r="A1262" s="10" t="str">
        <f>基本属性!$B$21&amp;"|"&amp;基本属性!$C$21</f>
        <v>200|11</v>
      </c>
      <c r="B1262" s="10" t="str">
        <f>参数调整!$J$32</f>
        <v>精英掉落</v>
      </c>
      <c r="C1262" s="8" t="str">
        <f>材料产出!$BR$2</f>
        <v>新增材料6</v>
      </c>
      <c r="D1262" s="224">
        <f>参数调整!$K$32*怪物掉落配置方案!$D4340</f>
        <v>0</v>
      </c>
    </row>
    <row r="1263" spans="1:4" ht="16.5" hidden="1" x14ac:dyDescent="0.3">
      <c r="A1263" s="10" t="str">
        <f>基本属性!$B$22&amp;"|"&amp;基本属性!$C$22</f>
        <v>210|12</v>
      </c>
      <c r="B1263" s="10" t="str">
        <f>参数调整!$J$32</f>
        <v>精英掉落</v>
      </c>
      <c r="C1263" s="8" t="str">
        <f>材料产出!$BR$2</f>
        <v>新增材料6</v>
      </c>
      <c r="D1263" s="224">
        <f>参数调整!$K$32*怪物掉落配置方案!$D4341</f>
        <v>0</v>
      </c>
    </row>
    <row r="1264" spans="1:4" ht="16.5" hidden="1" x14ac:dyDescent="0.3">
      <c r="A1264" s="10" t="str">
        <f>基本属性!$B$23&amp;"|"&amp;基本属性!$C$23</f>
        <v>210|13</v>
      </c>
      <c r="B1264" s="10" t="str">
        <f>参数调整!$J$32</f>
        <v>精英掉落</v>
      </c>
      <c r="C1264" s="8" t="str">
        <f>材料产出!$BR$2</f>
        <v>新增材料6</v>
      </c>
      <c r="D1264" s="224">
        <f>参数调整!$K$32*怪物掉落配置方案!$D4342</f>
        <v>0</v>
      </c>
    </row>
    <row r="1265" spans="1:4" ht="16.5" hidden="1" x14ac:dyDescent="0.3">
      <c r="A1265" s="10" t="str">
        <f>基本属性!$B$24&amp;"|"&amp;基本属性!$C$24</f>
        <v>220|14</v>
      </c>
      <c r="B1265" s="10" t="str">
        <f>参数调整!$J$32</f>
        <v>精英掉落</v>
      </c>
      <c r="C1265" s="8" t="str">
        <f>材料产出!$BR$2</f>
        <v>新增材料6</v>
      </c>
      <c r="D1265" s="224">
        <f>参数调整!$K$32*怪物掉落配置方案!$D4343</f>
        <v>0</v>
      </c>
    </row>
    <row r="1266" spans="1:4" ht="16.5" hidden="1" x14ac:dyDescent="0.3">
      <c r="A1266" s="10" t="str">
        <f>基本属性!$B$25&amp;"|"&amp;基本属性!$C$25</f>
        <v>220|15</v>
      </c>
      <c r="B1266" s="10" t="str">
        <f>参数调整!$J$32</f>
        <v>精英掉落</v>
      </c>
      <c r="C1266" s="8" t="str">
        <f>材料产出!$BR$2</f>
        <v>新增材料6</v>
      </c>
      <c r="D1266" s="224">
        <f>参数调整!$K$32*怪物掉落配置方案!$D4344</f>
        <v>0</v>
      </c>
    </row>
    <row r="1267" spans="1:4" ht="16.5" hidden="1" x14ac:dyDescent="0.3">
      <c r="A1267" s="10" t="str">
        <f>基本属性!$B$26&amp;"|"&amp;基本属性!$C$26</f>
        <v>230|16</v>
      </c>
      <c r="B1267" s="10" t="str">
        <f>参数调整!$J$32</f>
        <v>精英掉落</v>
      </c>
      <c r="C1267" s="8" t="str">
        <f>材料产出!$BR$2</f>
        <v>新增材料6</v>
      </c>
      <c r="D1267" s="224">
        <f>参数调整!$K$32*怪物掉落配置方案!$D4345</f>
        <v>0</v>
      </c>
    </row>
    <row r="1268" spans="1:4" ht="16.5" hidden="1" x14ac:dyDescent="0.3">
      <c r="A1268" s="10" t="str">
        <f>基本属性!$B$27&amp;"|"&amp;基本属性!$C$27</f>
        <v>230|17</v>
      </c>
      <c r="B1268" s="10" t="str">
        <f>参数调整!$J$32</f>
        <v>精英掉落</v>
      </c>
      <c r="C1268" s="8" t="str">
        <f>材料产出!$BR$2</f>
        <v>新增材料6</v>
      </c>
      <c r="D1268" s="224">
        <f>参数调整!$K$32*怪物掉落配置方案!$D4346</f>
        <v>0</v>
      </c>
    </row>
    <row r="1269" spans="1:4" ht="16.5" hidden="1" x14ac:dyDescent="0.3">
      <c r="A1269" s="10" t="str">
        <f>基本属性!$B$28&amp;"|"&amp;基本属性!$C$28</f>
        <v>240|18</v>
      </c>
      <c r="B1269" s="10" t="str">
        <f>参数调整!$J$32</f>
        <v>精英掉落</v>
      </c>
      <c r="C1269" s="8" t="str">
        <f>材料产出!$BR$2</f>
        <v>新增材料6</v>
      </c>
      <c r="D1269" s="224">
        <f>参数调整!$K$32*怪物掉落配置方案!$D4347</f>
        <v>0</v>
      </c>
    </row>
    <row r="1270" spans="1:4" ht="16.5" hidden="1" x14ac:dyDescent="0.3">
      <c r="A1270" s="10" t="str">
        <f>基本属性!$B$29&amp;"|"&amp;基本属性!$C$29</f>
        <v>240|19</v>
      </c>
      <c r="B1270" s="10" t="str">
        <f>参数调整!$J$32</f>
        <v>精英掉落</v>
      </c>
      <c r="C1270" s="8" t="str">
        <f>材料产出!$BR$2</f>
        <v>新增材料6</v>
      </c>
      <c r="D1270" s="224">
        <f>参数调整!$K$32*怪物掉落配置方案!$D4348</f>
        <v>0</v>
      </c>
    </row>
    <row r="1271" spans="1:4" ht="16.5" hidden="1" x14ac:dyDescent="0.3">
      <c r="A1271" s="10" t="str">
        <f>基本属性!$B$30&amp;"|"&amp;基本属性!$C$30</f>
        <v>250|20</v>
      </c>
      <c r="B1271" s="10" t="str">
        <f>参数调整!$J$32</f>
        <v>精英掉落</v>
      </c>
      <c r="C1271" s="8" t="str">
        <f>材料产出!$BR$2</f>
        <v>新增材料6</v>
      </c>
      <c r="D1271" s="224">
        <f>参数调整!$K$32*怪物掉落配置方案!$D4349</f>
        <v>0</v>
      </c>
    </row>
    <row r="1272" spans="1:4" ht="16.5" hidden="1" x14ac:dyDescent="0.3">
      <c r="A1272" s="10" t="str">
        <f>基本属性!$B$4&amp;"|"&amp;基本属性!$C$4</f>
        <v>35|0</v>
      </c>
      <c r="B1272" s="10" t="str">
        <f>参数调整!$J$32</f>
        <v>精英掉落</v>
      </c>
      <c r="C1272" s="8" t="str">
        <f>材料产出!$BP$2</f>
        <v>新增材料5</v>
      </c>
      <c r="D1272" s="224">
        <f>参数调整!$K$32*怪物掉落配置方案!$D4350</f>
        <v>0</v>
      </c>
    </row>
    <row r="1273" spans="1:4" ht="16.5" hidden="1" x14ac:dyDescent="0.3">
      <c r="A1273" s="10" t="str">
        <f>基本属性!$B$5&amp;"|"&amp;基本属性!$C$5</f>
        <v>40|0</v>
      </c>
      <c r="B1273" s="10" t="str">
        <f>参数调整!$J$32</f>
        <v>精英掉落</v>
      </c>
      <c r="C1273" s="8" t="str">
        <f>材料产出!$BP$2</f>
        <v>新增材料5</v>
      </c>
      <c r="D1273" s="224">
        <f>参数调整!$K$32*怪物掉落配置方案!$D4351</f>
        <v>0</v>
      </c>
    </row>
    <row r="1274" spans="1:4" ht="16.5" hidden="1" x14ac:dyDescent="0.3">
      <c r="A1274" s="10" t="str">
        <f>基本属性!$B$6&amp;"|"&amp;基本属性!$C$6</f>
        <v>50|0</v>
      </c>
      <c r="B1274" s="10" t="str">
        <f>参数调整!$J$32</f>
        <v>精英掉落</v>
      </c>
      <c r="C1274" s="8" t="str">
        <f>材料产出!$BP$2</f>
        <v>新增材料5</v>
      </c>
      <c r="D1274" s="224">
        <f>参数调整!$K$32*怪物掉落配置方案!$D4352</f>
        <v>0</v>
      </c>
    </row>
    <row r="1275" spans="1:4" ht="16.5" hidden="1" x14ac:dyDescent="0.3">
      <c r="A1275" s="10" t="str">
        <f>基本属性!$B$7&amp;"|"&amp;基本属性!$C$7</f>
        <v>60|0</v>
      </c>
      <c r="B1275" s="10" t="str">
        <f>参数调整!$J$32</f>
        <v>精英掉落</v>
      </c>
      <c r="C1275" s="8" t="str">
        <f>材料产出!$BP$2</f>
        <v>新增材料5</v>
      </c>
      <c r="D1275" s="224">
        <f>参数调整!$K$32*怪物掉落配置方案!$D4353</f>
        <v>0</v>
      </c>
    </row>
    <row r="1276" spans="1:4" ht="16.5" hidden="1" x14ac:dyDescent="0.3">
      <c r="A1276" s="10" t="str">
        <f>基本属性!$B$8&amp;"|"&amp;基本属性!$C$8</f>
        <v>65|0</v>
      </c>
      <c r="B1276" s="10" t="str">
        <f>参数调整!$J$32</f>
        <v>精英掉落</v>
      </c>
      <c r="C1276" s="8" t="str">
        <f>材料产出!$BP$2</f>
        <v>新增材料5</v>
      </c>
      <c r="D1276" s="224">
        <f>参数调整!$K$32*怪物掉落配置方案!$D4354</f>
        <v>0</v>
      </c>
    </row>
    <row r="1277" spans="1:4" ht="16.5" hidden="1" x14ac:dyDescent="0.3">
      <c r="A1277" s="10" t="str">
        <f>基本属性!$B$9&amp;"|"&amp;基本属性!$C$9</f>
        <v>70|0</v>
      </c>
      <c r="B1277" s="10" t="str">
        <f>参数调整!$J$32</f>
        <v>精英掉落</v>
      </c>
      <c r="C1277" s="8" t="str">
        <f>材料产出!$BP$2</f>
        <v>新增材料5</v>
      </c>
      <c r="D1277" s="224">
        <f>参数调整!$K$32*怪物掉落配置方案!$D4355</f>
        <v>0</v>
      </c>
    </row>
    <row r="1278" spans="1:4" ht="16.5" hidden="1" x14ac:dyDescent="0.3">
      <c r="A1278" s="10" t="str">
        <f>基本属性!$B$10&amp;"|"&amp;基本属性!$C$10</f>
        <v>75|0</v>
      </c>
      <c r="B1278" s="10" t="str">
        <f>参数调整!$J$32</f>
        <v>精英掉落</v>
      </c>
      <c r="C1278" s="8" t="str">
        <f>材料产出!$BP$2</f>
        <v>新增材料5</v>
      </c>
      <c r="D1278" s="224">
        <f>参数调整!$K$32*怪物掉落配置方案!$D4356</f>
        <v>0</v>
      </c>
    </row>
    <row r="1279" spans="1:4" ht="16.5" hidden="1" x14ac:dyDescent="0.3">
      <c r="A1279" s="10" t="str">
        <f>基本属性!$B$11&amp;"|"&amp;基本属性!$C$11</f>
        <v>80|1</v>
      </c>
      <c r="B1279" s="10" t="str">
        <f>参数调整!$J$32</f>
        <v>精英掉落</v>
      </c>
      <c r="C1279" s="8" t="str">
        <f>材料产出!$BP$2</f>
        <v>新增材料5</v>
      </c>
      <c r="D1279" s="224">
        <f>参数调整!$K$32*怪物掉落配置方案!$D4357</f>
        <v>0</v>
      </c>
    </row>
    <row r="1280" spans="1:4" ht="16.5" hidden="1" x14ac:dyDescent="0.3">
      <c r="A1280" s="10" t="str">
        <f>基本属性!$B$12&amp;"|"&amp;基本属性!$C$12</f>
        <v>90|2</v>
      </c>
      <c r="B1280" s="10" t="str">
        <f>参数调整!$J$32</f>
        <v>精英掉落</v>
      </c>
      <c r="C1280" s="8" t="str">
        <f>材料产出!$BP$2</f>
        <v>新增材料5</v>
      </c>
      <c r="D1280" s="224">
        <f>参数调整!$K$32*怪物掉落配置方案!$D4358</f>
        <v>0</v>
      </c>
    </row>
    <row r="1281" spans="1:4" ht="16.5" hidden="1" x14ac:dyDescent="0.3">
      <c r="A1281" s="10" t="str">
        <f>基本属性!$B$13&amp;"|"&amp;基本属性!$C$13</f>
        <v>100|3</v>
      </c>
      <c r="B1281" s="10" t="str">
        <f>参数调整!$J$32</f>
        <v>精英掉落</v>
      </c>
      <c r="C1281" s="8" t="str">
        <f>材料产出!$BP$2</f>
        <v>新增材料5</v>
      </c>
      <c r="D1281" s="224">
        <f>参数调整!$K$32*怪物掉落配置方案!$D4359</f>
        <v>0</v>
      </c>
    </row>
    <row r="1282" spans="1:4" ht="16.5" hidden="1" x14ac:dyDescent="0.3">
      <c r="A1282" s="10" t="str">
        <f>基本属性!$B$14&amp;"|"&amp;基本属性!$C$14</f>
        <v>105|4</v>
      </c>
      <c r="B1282" s="10" t="str">
        <f>参数调整!$J$32</f>
        <v>精英掉落</v>
      </c>
      <c r="C1282" s="8" t="str">
        <f>材料产出!$BP$2</f>
        <v>新增材料5</v>
      </c>
      <c r="D1282" s="224">
        <f>参数调整!$K$32*怪物掉落配置方案!$D4360</f>
        <v>0</v>
      </c>
    </row>
    <row r="1283" spans="1:4" ht="16.5" hidden="1" x14ac:dyDescent="0.3">
      <c r="A1283" s="10" t="str">
        <f>基本属性!$B$15&amp;"|"&amp;基本属性!$C$15</f>
        <v>110|5</v>
      </c>
      <c r="B1283" s="10" t="str">
        <f>参数调整!$J$32</f>
        <v>精英掉落</v>
      </c>
      <c r="C1283" s="8" t="str">
        <f>材料产出!$BP$2</f>
        <v>新增材料5</v>
      </c>
      <c r="D1283" s="224">
        <f>参数调整!$K$32*怪物掉落配置方案!$D4361</f>
        <v>0</v>
      </c>
    </row>
    <row r="1284" spans="1:4" ht="16.5" hidden="1" x14ac:dyDescent="0.3">
      <c r="A1284" s="10" t="str">
        <f>基本属性!$B$16&amp;"|"&amp;基本属性!$C$16</f>
        <v>120|6</v>
      </c>
      <c r="B1284" s="10" t="str">
        <f>参数调整!$J$32</f>
        <v>精英掉落</v>
      </c>
      <c r="C1284" s="8" t="str">
        <f>材料产出!$BP$2</f>
        <v>新增材料5</v>
      </c>
      <c r="D1284" s="224">
        <f>参数调整!$K$32*怪物掉落配置方案!$D4362</f>
        <v>0</v>
      </c>
    </row>
    <row r="1285" spans="1:4" ht="16.5" hidden="1" x14ac:dyDescent="0.3">
      <c r="A1285" s="10" t="str">
        <f>基本属性!$B$17&amp;"|"&amp;基本属性!$C$17</f>
        <v>135|7</v>
      </c>
      <c r="B1285" s="10" t="str">
        <f>参数调整!$J$32</f>
        <v>精英掉落</v>
      </c>
      <c r="C1285" s="8" t="str">
        <f>材料产出!$BP$2</f>
        <v>新增材料5</v>
      </c>
      <c r="D1285" s="224">
        <f>参数调整!$K$32*怪物掉落配置方案!$D4363</f>
        <v>0</v>
      </c>
    </row>
    <row r="1286" spans="1:4" ht="16.5" hidden="1" x14ac:dyDescent="0.3">
      <c r="A1286" s="10" t="str">
        <f>基本属性!$B$18&amp;"|"&amp;基本属性!$C$18</f>
        <v>155|8</v>
      </c>
      <c r="B1286" s="10" t="str">
        <f>参数调整!$J$32</f>
        <v>精英掉落</v>
      </c>
      <c r="C1286" s="8" t="str">
        <f>材料产出!$BP$2</f>
        <v>新增材料5</v>
      </c>
      <c r="D1286" s="224">
        <f>参数调整!$K$32*怪物掉落配置方案!$D4364</f>
        <v>0</v>
      </c>
    </row>
    <row r="1287" spans="1:4" ht="16.5" hidden="1" x14ac:dyDescent="0.3">
      <c r="A1287" s="10" t="str">
        <f>基本属性!$B$19&amp;"|"&amp;基本属性!$C$19</f>
        <v>190|9</v>
      </c>
      <c r="B1287" s="10" t="str">
        <f>参数调整!$J$32</f>
        <v>精英掉落</v>
      </c>
      <c r="C1287" s="8" t="str">
        <f>材料产出!$BP$2</f>
        <v>新增材料5</v>
      </c>
      <c r="D1287" s="224">
        <f>参数调整!$K$32*怪物掉落配置方案!$D4365</f>
        <v>0</v>
      </c>
    </row>
    <row r="1288" spans="1:4" ht="16.5" hidden="1" x14ac:dyDescent="0.3">
      <c r="A1288" s="10" t="str">
        <f>基本属性!$B$20&amp;"|"&amp;基本属性!$C$20</f>
        <v>200|10</v>
      </c>
      <c r="B1288" s="10" t="str">
        <f>参数调整!$J$32</f>
        <v>精英掉落</v>
      </c>
      <c r="C1288" s="8" t="str">
        <f>材料产出!$BP$2</f>
        <v>新增材料5</v>
      </c>
      <c r="D1288" s="224">
        <f>参数调整!$K$32*怪物掉落配置方案!$D4366</f>
        <v>0</v>
      </c>
    </row>
    <row r="1289" spans="1:4" ht="16.5" hidden="1" x14ac:dyDescent="0.3">
      <c r="A1289" s="10" t="str">
        <f>基本属性!$B$21&amp;"|"&amp;基本属性!$C$21</f>
        <v>200|11</v>
      </c>
      <c r="B1289" s="10" t="str">
        <f>参数调整!$J$32</f>
        <v>精英掉落</v>
      </c>
      <c r="C1289" s="8" t="str">
        <f>材料产出!$BP$2</f>
        <v>新增材料5</v>
      </c>
      <c r="D1289" s="224">
        <f>参数调整!$K$32*怪物掉落配置方案!$D4367</f>
        <v>0</v>
      </c>
    </row>
    <row r="1290" spans="1:4" ht="16.5" hidden="1" x14ac:dyDescent="0.3">
      <c r="A1290" s="10" t="str">
        <f>基本属性!$B$22&amp;"|"&amp;基本属性!$C$22</f>
        <v>210|12</v>
      </c>
      <c r="B1290" s="10" t="str">
        <f>参数调整!$J$32</f>
        <v>精英掉落</v>
      </c>
      <c r="C1290" s="8" t="str">
        <f>材料产出!$BP$2</f>
        <v>新增材料5</v>
      </c>
      <c r="D1290" s="224">
        <f>参数调整!$K$32*怪物掉落配置方案!$D4368</f>
        <v>0</v>
      </c>
    </row>
    <row r="1291" spans="1:4" ht="16.5" hidden="1" x14ac:dyDescent="0.3">
      <c r="A1291" s="10" t="str">
        <f>基本属性!$B$23&amp;"|"&amp;基本属性!$C$23</f>
        <v>210|13</v>
      </c>
      <c r="B1291" s="10" t="str">
        <f>参数调整!$J$32</f>
        <v>精英掉落</v>
      </c>
      <c r="C1291" s="8" t="str">
        <f>材料产出!$BP$2</f>
        <v>新增材料5</v>
      </c>
      <c r="D1291" s="224">
        <f>参数调整!$K$32*怪物掉落配置方案!$D4369</f>
        <v>0</v>
      </c>
    </row>
    <row r="1292" spans="1:4" ht="16.5" hidden="1" x14ac:dyDescent="0.3">
      <c r="A1292" s="10" t="str">
        <f>基本属性!$B$24&amp;"|"&amp;基本属性!$C$24</f>
        <v>220|14</v>
      </c>
      <c r="B1292" s="10" t="str">
        <f>参数调整!$J$32</f>
        <v>精英掉落</v>
      </c>
      <c r="C1292" s="8" t="str">
        <f>材料产出!$BP$2</f>
        <v>新增材料5</v>
      </c>
      <c r="D1292" s="224">
        <f>参数调整!$K$32*怪物掉落配置方案!$D4370</f>
        <v>0</v>
      </c>
    </row>
    <row r="1293" spans="1:4" ht="16.5" hidden="1" x14ac:dyDescent="0.3">
      <c r="A1293" s="10" t="str">
        <f>基本属性!$B$25&amp;"|"&amp;基本属性!$C$25</f>
        <v>220|15</v>
      </c>
      <c r="B1293" s="10" t="str">
        <f>参数调整!$J$32</f>
        <v>精英掉落</v>
      </c>
      <c r="C1293" s="8" t="str">
        <f>材料产出!$BP$2</f>
        <v>新增材料5</v>
      </c>
      <c r="D1293" s="224">
        <f>参数调整!$K$32*怪物掉落配置方案!$D4371</f>
        <v>0</v>
      </c>
    </row>
    <row r="1294" spans="1:4" ht="16.5" hidden="1" x14ac:dyDescent="0.3">
      <c r="A1294" s="10" t="str">
        <f>基本属性!$B$26&amp;"|"&amp;基本属性!$C$26</f>
        <v>230|16</v>
      </c>
      <c r="B1294" s="10" t="str">
        <f>参数调整!$J$32</f>
        <v>精英掉落</v>
      </c>
      <c r="C1294" s="8" t="str">
        <f>材料产出!$BP$2</f>
        <v>新增材料5</v>
      </c>
      <c r="D1294" s="224">
        <f>参数调整!$K$32*怪物掉落配置方案!$D4372</f>
        <v>0</v>
      </c>
    </row>
    <row r="1295" spans="1:4" ht="16.5" hidden="1" x14ac:dyDescent="0.3">
      <c r="A1295" s="10" t="str">
        <f>基本属性!$B$27&amp;"|"&amp;基本属性!$C$27</f>
        <v>230|17</v>
      </c>
      <c r="B1295" s="10" t="str">
        <f>参数调整!$J$32</f>
        <v>精英掉落</v>
      </c>
      <c r="C1295" s="8" t="str">
        <f>材料产出!$BP$2</f>
        <v>新增材料5</v>
      </c>
      <c r="D1295" s="224">
        <f>参数调整!$K$32*怪物掉落配置方案!$D4373</f>
        <v>0</v>
      </c>
    </row>
    <row r="1296" spans="1:4" ht="16.5" hidden="1" x14ac:dyDescent="0.3">
      <c r="A1296" s="10" t="str">
        <f>基本属性!$B$28&amp;"|"&amp;基本属性!$C$28</f>
        <v>240|18</v>
      </c>
      <c r="B1296" s="10" t="str">
        <f>参数调整!$J$32</f>
        <v>精英掉落</v>
      </c>
      <c r="C1296" s="8" t="str">
        <f>材料产出!$BP$2</f>
        <v>新增材料5</v>
      </c>
      <c r="D1296" s="224">
        <f>参数调整!$K$32*怪物掉落配置方案!$D4374</f>
        <v>0</v>
      </c>
    </row>
    <row r="1297" spans="1:4" ht="16.5" hidden="1" x14ac:dyDescent="0.3">
      <c r="A1297" s="10" t="str">
        <f>基本属性!$B$29&amp;"|"&amp;基本属性!$C$29</f>
        <v>240|19</v>
      </c>
      <c r="B1297" s="10" t="str">
        <f>参数调整!$J$32</f>
        <v>精英掉落</v>
      </c>
      <c r="C1297" s="8" t="str">
        <f>材料产出!$BP$2</f>
        <v>新增材料5</v>
      </c>
      <c r="D1297" s="224">
        <f>参数调整!$K$32*怪物掉落配置方案!$D4375</f>
        <v>0</v>
      </c>
    </row>
    <row r="1298" spans="1:4" ht="16.5" hidden="1" x14ac:dyDescent="0.3">
      <c r="A1298" s="10" t="str">
        <f>基本属性!$B$30&amp;"|"&amp;基本属性!$C$30</f>
        <v>250|20</v>
      </c>
      <c r="B1298" s="10" t="str">
        <f>参数调整!$J$32</f>
        <v>精英掉落</v>
      </c>
      <c r="C1298" s="8" t="str">
        <f>材料产出!$BP$2</f>
        <v>新增材料5</v>
      </c>
      <c r="D1298" s="224">
        <f>参数调整!$K$32*怪物掉落配置方案!$D4376</f>
        <v>0</v>
      </c>
    </row>
    <row r="1299" spans="1:4" ht="16.5" hidden="1" x14ac:dyDescent="0.3">
      <c r="A1299" s="10" t="str">
        <f>基本属性!$B$4&amp;"|"&amp;基本属性!$C$4</f>
        <v>35|0</v>
      </c>
      <c r="B1299" s="10" t="str">
        <f>参数调整!$J$32</f>
        <v>精英掉落</v>
      </c>
      <c r="C1299" s="8" t="str">
        <f>材料产出!$BN$2</f>
        <v>新增材料4</v>
      </c>
      <c r="D1299" s="224">
        <f>参数调整!$K$32*怪物掉落配置方案!$D4377</f>
        <v>0</v>
      </c>
    </row>
    <row r="1300" spans="1:4" ht="16.5" hidden="1" x14ac:dyDescent="0.3">
      <c r="A1300" s="10" t="str">
        <f>基本属性!$B$5&amp;"|"&amp;基本属性!$C$5</f>
        <v>40|0</v>
      </c>
      <c r="B1300" s="10" t="str">
        <f>参数调整!$J$32</f>
        <v>精英掉落</v>
      </c>
      <c r="C1300" s="8" t="str">
        <f>材料产出!$BN$2</f>
        <v>新增材料4</v>
      </c>
      <c r="D1300" s="224">
        <f>参数调整!$K$32*怪物掉落配置方案!$D4378</f>
        <v>0</v>
      </c>
    </row>
    <row r="1301" spans="1:4" ht="16.5" hidden="1" x14ac:dyDescent="0.3">
      <c r="A1301" s="10" t="str">
        <f>基本属性!$B$6&amp;"|"&amp;基本属性!$C$6</f>
        <v>50|0</v>
      </c>
      <c r="B1301" s="10" t="str">
        <f>参数调整!$J$32</f>
        <v>精英掉落</v>
      </c>
      <c r="C1301" s="8" t="str">
        <f>材料产出!$BN$2</f>
        <v>新增材料4</v>
      </c>
      <c r="D1301" s="224">
        <f>参数调整!$K$32*怪物掉落配置方案!$D4379</f>
        <v>0</v>
      </c>
    </row>
    <row r="1302" spans="1:4" ht="16.5" hidden="1" x14ac:dyDescent="0.3">
      <c r="A1302" s="10" t="str">
        <f>基本属性!$B$7&amp;"|"&amp;基本属性!$C$7</f>
        <v>60|0</v>
      </c>
      <c r="B1302" s="10" t="str">
        <f>参数调整!$J$32</f>
        <v>精英掉落</v>
      </c>
      <c r="C1302" s="8" t="str">
        <f>材料产出!$BN$2</f>
        <v>新增材料4</v>
      </c>
      <c r="D1302" s="224">
        <f>参数调整!$K$32*怪物掉落配置方案!$D4380</f>
        <v>0</v>
      </c>
    </row>
    <row r="1303" spans="1:4" ht="16.5" hidden="1" x14ac:dyDescent="0.3">
      <c r="A1303" s="10" t="str">
        <f>基本属性!$B$8&amp;"|"&amp;基本属性!$C$8</f>
        <v>65|0</v>
      </c>
      <c r="B1303" s="10" t="str">
        <f>参数调整!$J$32</f>
        <v>精英掉落</v>
      </c>
      <c r="C1303" s="8" t="str">
        <f>材料产出!$BN$2</f>
        <v>新增材料4</v>
      </c>
      <c r="D1303" s="224">
        <f>参数调整!$K$32*怪物掉落配置方案!$D4381</f>
        <v>0</v>
      </c>
    </row>
    <row r="1304" spans="1:4" ht="16.5" hidden="1" x14ac:dyDescent="0.3">
      <c r="A1304" s="10" t="str">
        <f>基本属性!$B$9&amp;"|"&amp;基本属性!$C$9</f>
        <v>70|0</v>
      </c>
      <c r="B1304" s="10" t="str">
        <f>参数调整!$J$32</f>
        <v>精英掉落</v>
      </c>
      <c r="C1304" s="8" t="str">
        <f>材料产出!$BN$2</f>
        <v>新增材料4</v>
      </c>
      <c r="D1304" s="224">
        <f>参数调整!$K$32*怪物掉落配置方案!$D4382</f>
        <v>0</v>
      </c>
    </row>
    <row r="1305" spans="1:4" ht="16.5" hidden="1" x14ac:dyDescent="0.3">
      <c r="A1305" s="10" t="str">
        <f>基本属性!$B$10&amp;"|"&amp;基本属性!$C$10</f>
        <v>75|0</v>
      </c>
      <c r="B1305" s="10" t="str">
        <f>参数调整!$J$32</f>
        <v>精英掉落</v>
      </c>
      <c r="C1305" s="8" t="str">
        <f>材料产出!$BN$2</f>
        <v>新增材料4</v>
      </c>
      <c r="D1305" s="224">
        <f>参数调整!$K$32*怪物掉落配置方案!$D4383</f>
        <v>0</v>
      </c>
    </row>
    <row r="1306" spans="1:4" ht="16.5" hidden="1" x14ac:dyDescent="0.3">
      <c r="A1306" s="10" t="str">
        <f>基本属性!$B$11&amp;"|"&amp;基本属性!$C$11</f>
        <v>80|1</v>
      </c>
      <c r="B1306" s="10" t="str">
        <f>参数调整!$J$32</f>
        <v>精英掉落</v>
      </c>
      <c r="C1306" s="8" t="str">
        <f>材料产出!$BN$2</f>
        <v>新增材料4</v>
      </c>
      <c r="D1306" s="224">
        <f>参数调整!$K$32*怪物掉落配置方案!$D4384</f>
        <v>0</v>
      </c>
    </row>
    <row r="1307" spans="1:4" ht="16.5" hidden="1" x14ac:dyDescent="0.3">
      <c r="A1307" s="10" t="str">
        <f>基本属性!$B$12&amp;"|"&amp;基本属性!$C$12</f>
        <v>90|2</v>
      </c>
      <c r="B1307" s="10" t="str">
        <f>参数调整!$J$32</f>
        <v>精英掉落</v>
      </c>
      <c r="C1307" s="8" t="str">
        <f>材料产出!$BN$2</f>
        <v>新增材料4</v>
      </c>
      <c r="D1307" s="224">
        <f>参数调整!$K$32*怪物掉落配置方案!$D4385</f>
        <v>0</v>
      </c>
    </row>
    <row r="1308" spans="1:4" ht="16.5" hidden="1" x14ac:dyDescent="0.3">
      <c r="A1308" s="10" t="str">
        <f>基本属性!$B$13&amp;"|"&amp;基本属性!$C$13</f>
        <v>100|3</v>
      </c>
      <c r="B1308" s="10" t="str">
        <f>参数调整!$J$32</f>
        <v>精英掉落</v>
      </c>
      <c r="C1308" s="8" t="str">
        <f>材料产出!$BN$2</f>
        <v>新增材料4</v>
      </c>
      <c r="D1308" s="224">
        <f>参数调整!$K$32*怪物掉落配置方案!$D4386</f>
        <v>0</v>
      </c>
    </row>
    <row r="1309" spans="1:4" ht="16.5" hidden="1" x14ac:dyDescent="0.3">
      <c r="A1309" s="10" t="str">
        <f>基本属性!$B$14&amp;"|"&amp;基本属性!$C$14</f>
        <v>105|4</v>
      </c>
      <c r="B1309" s="10" t="str">
        <f>参数调整!$J$32</f>
        <v>精英掉落</v>
      </c>
      <c r="C1309" s="8" t="str">
        <f>材料产出!$BN$2</f>
        <v>新增材料4</v>
      </c>
      <c r="D1309" s="224">
        <f>参数调整!$K$32*怪物掉落配置方案!$D4387</f>
        <v>0</v>
      </c>
    </row>
    <row r="1310" spans="1:4" ht="16.5" hidden="1" x14ac:dyDescent="0.3">
      <c r="A1310" s="10" t="str">
        <f>基本属性!$B$15&amp;"|"&amp;基本属性!$C$15</f>
        <v>110|5</v>
      </c>
      <c r="B1310" s="10" t="str">
        <f>参数调整!$J$32</f>
        <v>精英掉落</v>
      </c>
      <c r="C1310" s="8" t="str">
        <f>材料产出!$BN$2</f>
        <v>新增材料4</v>
      </c>
      <c r="D1310" s="224">
        <f>参数调整!$K$32*怪物掉落配置方案!$D4388</f>
        <v>0</v>
      </c>
    </row>
    <row r="1311" spans="1:4" ht="16.5" hidden="1" x14ac:dyDescent="0.3">
      <c r="A1311" s="10" t="str">
        <f>基本属性!$B$16&amp;"|"&amp;基本属性!$C$16</f>
        <v>120|6</v>
      </c>
      <c r="B1311" s="10" t="str">
        <f>参数调整!$J$32</f>
        <v>精英掉落</v>
      </c>
      <c r="C1311" s="8" t="str">
        <f>材料产出!$BN$2</f>
        <v>新增材料4</v>
      </c>
      <c r="D1311" s="224">
        <f>参数调整!$K$32*怪物掉落配置方案!$D4389</f>
        <v>0</v>
      </c>
    </row>
    <row r="1312" spans="1:4" ht="16.5" hidden="1" x14ac:dyDescent="0.3">
      <c r="A1312" s="10" t="str">
        <f>基本属性!$B$17&amp;"|"&amp;基本属性!$C$17</f>
        <v>135|7</v>
      </c>
      <c r="B1312" s="10" t="str">
        <f>参数调整!$J$32</f>
        <v>精英掉落</v>
      </c>
      <c r="C1312" s="8" t="str">
        <f>材料产出!$BN$2</f>
        <v>新增材料4</v>
      </c>
      <c r="D1312" s="224">
        <f>参数调整!$K$32*怪物掉落配置方案!$D4390</f>
        <v>0</v>
      </c>
    </row>
    <row r="1313" spans="1:4" ht="16.5" hidden="1" x14ac:dyDescent="0.3">
      <c r="A1313" s="10" t="str">
        <f>基本属性!$B$18&amp;"|"&amp;基本属性!$C$18</f>
        <v>155|8</v>
      </c>
      <c r="B1313" s="10" t="str">
        <f>参数调整!$J$32</f>
        <v>精英掉落</v>
      </c>
      <c r="C1313" s="8" t="str">
        <f>材料产出!$BN$2</f>
        <v>新增材料4</v>
      </c>
      <c r="D1313" s="224">
        <f>参数调整!$K$32*怪物掉落配置方案!$D4391</f>
        <v>0</v>
      </c>
    </row>
    <row r="1314" spans="1:4" ht="16.5" hidden="1" x14ac:dyDescent="0.3">
      <c r="A1314" s="10" t="str">
        <f>基本属性!$B$19&amp;"|"&amp;基本属性!$C$19</f>
        <v>190|9</v>
      </c>
      <c r="B1314" s="10" t="str">
        <f>参数调整!$J$32</f>
        <v>精英掉落</v>
      </c>
      <c r="C1314" s="8" t="str">
        <f>材料产出!$BN$2</f>
        <v>新增材料4</v>
      </c>
      <c r="D1314" s="224">
        <f>参数调整!$K$32*怪物掉落配置方案!$D4392</f>
        <v>0</v>
      </c>
    </row>
    <row r="1315" spans="1:4" ht="16.5" hidden="1" x14ac:dyDescent="0.3">
      <c r="A1315" s="10" t="str">
        <f>基本属性!$B$20&amp;"|"&amp;基本属性!$C$20</f>
        <v>200|10</v>
      </c>
      <c r="B1315" s="10" t="str">
        <f>参数调整!$J$32</f>
        <v>精英掉落</v>
      </c>
      <c r="C1315" s="8" t="str">
        <f>材料产出!$BN$2</f>
        <v>新增材料4</v>
      </c>
      <c r="D1315" s="224">
        <f>参数调整!$K$32*怪物掉落配置方案!$D4393</f>
        <v>0</v>
      </c>
    </row>
    <row r="1316" spans="1:4" ht="16.5" hidden="1" x14ac:dyDescent="0.3">
      <c r="A1316" s="10" t="str">
        <f>基本属性!$B$21&amp;"|"&amp;基本属性!$C$21</f>
        <v>200|11</v>
      </c>
      <c r="B1316" s="10" t="str">
        <f>参数调整!$J$32</f>
        <v>精英掉落</v>
      </c>
      <c r="C1316" s="8" t="str">
        <f>材料产出!$BN$2</f>
        <v>新增材料4</v>
      </c>
      <c r="D1316" s="224">
        <f>参数调整!$K$32*怪物掉落配置方案!$D4394</f>
        <v>0</v>
      </c>
    </row>
    <row r="1317" spans="1:4" ht="16.5" hidden="1" x14ac:dyDescent="0.3">
      <c r="A1317" s="10" t="str">
        <f>基本属性!$B$22&amp;"|"&amp;基本属性!$C$22</f>
        <v>210|12</v>
      </c>
      <c r="B1317" s="10" t="str">
        <f>参数调整!$J$32</f>
        <v>精英掉落</v>
      </c>
      <c r="C1317" s="8" t="str">
        <f>材料产出!$BN$2</f>
        <v>新增材料4</v>
      </c>
      <c r="D1317" s="224">
        <f>参数调整!$K$32*怪物掉落配置方案!$D4395</f>
        <v>0</v>
      </c>
    </row>
    <row r="1318" spans="1:4" ht="16.5" hidden="1" x14ac:dyDescent="0.3">
      <c r="A1318" s="10" t="str">
        <f>基本属性!$B$23&amp;"|"&amp;基本属性!$C$23</f>
        <v>210|13</v>
      </c>
      <c r="B1318" s="10" t="str">
        <f>参数调整!$J$32</f>
        <v>精英掉落</v>
      </c>
      <c r="C1318" s="8" t="str">
        <f>材料产出!$BN$2</f>
        <v>新增材料4</v>
      </c>
      <c r="D1318" s="224">
        <f>参数调整!$K$32*怪物掉落配置方案!$D4396</f>
        <v>0</v>
      </c>
    </row>
    <row r="1319" spans="1:4" ht="16.5" hidden="1" x14ac:dyDescent="0.3">
      <c r="A1319" s="10" t="str">
        <f>基本属性!$B$24&amp;"|"&amp;基本属性!$C$24</f>
        <v>220|14</v>
      </c>
      <c r="B1319" s="10" t="str">
        <f>参数调整!$J$32</f>
        <v>精英掉落</v>
      </c>
      <c r="C1319" s="8" t="str">
        <f>材料产出!$BN$2</f>
        <v>新增材料4</v>
      </c>
      <c r="D1319" s="224">
        <f>参数调整!$K$32*怪物掉落配置方案!$D4397</f>
        <v>0</v>
      </c>
    </row>
    <row r="1320" spans="1:4" ht="16.5" hidden="1" x14ac:dyDescent="0.3">
      <c r="A1320" s="10" t="str">
        <f>基本属性!$B$25&amp;"|"&amp;基本属性!$C$25</f>
        <v>220|15</v>
      </c>
      <c r="B1320" s="10" t="str">
        <f>参数调整!$J$32</f>
        <v>精英掉落</v>
      </c>
      <c r="C1320" s="8" t="str">
        <f>材料产出!$BN$2</f>
        <v>新增材料4</v>
      </c>
      <c r="D1320" s="224">
        <f>参数调整!$K$32*怪物掉落配置方案!$D4398</f>
        <v>0</v>
      </c>
    </row>
    <row r="1321" spans="1:4" ht="16.5" hidden="1" x14ac:dyDescent="0.3">
      <c r="A1321" s="10" t="str">
        <f>基本属性!$B$26&amp;"|"&amp;基本属性!$C$26</f>
        <v>230|16</v>
      </c>
      <c r="B1321" s="10" t="str">
        <f>参数调整!$J$32</f>
        <v>精英掉落</v>
      </c>
      <c r="C1321" s="8" t="str">
        <f>材料产出!$BN$2</f>
        <v>新增材料4</v>
      </c>
      <c r="D1321" s="224">
        <f>参数调整!$K$32*怪物掉落配置方案!$D4399</f>
        <v>0</v>
      </c>
    </row>
    <row r="1322" spans="1:4" ht="16.5" hidden="1" x14ac:dyDescent="0.3">
      <c r="A1322" s="10" t="str">
        <f>基本属性!$B$27&amp;"|"&amp;基本属性!$C$27</f>
        <v>230|17</v>
      </c>
      <c r="B1322" s="10" t="str">
        <f>参数调整!$J$32</f>
        <v>精英掉落</v>
      </c>
      <c r="C1322" s="8" t="str">
        <f>材料产出!$BN$2</f>
        <v>新增材料4</v>
      </c>
      <c r="D1322" s="224">
        <f>参数调整!$K$32*怪物掉落配置方案!$D4400</f>
        <v>0</v>
      </c>
    </row>
    <row r="1323" spans="1:4" ht="16.5" hidden="1" x14ac:dyDescent="0.3">
      <c r="A1323" s="10" t="str">
        <f>基本属性!$B$28&amp;"|"&amp;基本属性!$C$28</f>
        <v>240|18</v>
      </c>
      <c r="B1323" s="10" t="str">
        <f>参数调整!$J$32</f>
        <v>精英掉落</v>
      </c>
      <c r="C1323" s="8" t="str">
        <f>材料产出!$BN$2</f>
        <v>新增材料4</v>
      </c>
      <c r="D1323" s="224">
        <f>参数调整!$K$32*怪物掉落配置方案!$D4401</f>
        <v>0</v>
      </c>
    </row>
    <row r="1324" spans="1:4" ht="16.5" hidden="1" x14ac:dyDescent="0.3">
      <c r="A1324" s="10" t="str">
        <f>基本属性!$B$29&amp;"|"&amp;基本属性!$C$29</f>
        <v>240|19</v>
      </c>
      <c r="B1324" s="10" t="str">
        <f>参数调整!$J$32</f>
        <v>精英掉落</v>
      </c>
      <c r="C1324" s="8" t="str">
        <f>材料产出!$BN$2</f>
        <v>新增材料4</v>
      </c>
      <c r="D1324" s="224">
        <f>参数调整!$K$32*怪物掉落配置方案!$D4402</f>
        <v>0</v>
      </c>
    </row>
    <row r="1325" spans="1:4" ht="16.5" hidden="1" x14ac:dyDescent="0.3">
      <c r="A1325" s="10" t="str">
        <f>基本属性!$B$30&amp;"|"&amp;基本属性!$C$30</f>
        <v>250|20</v>
      </c>
      <c r="B1325" s="10" t="str">
        <f>参数调整!$J$32</f>
        <v>精英掉落</v>
      </c>
      <c r="C1325" s="8" t="str">
        <f>材料产出!$BN$2</f>
        <v>新增材料4</v>
      </c>
      <c r="D1325" s="224">
        <f>参数调整!$K$32*怪物掉落配置方案!$D4403</f>
        <v>0</v>
      </c>
    </row>
    <row r="1326" spans="1:4" ht="16.5" hidden="1" x14ac:dyDescent="0.3">
      <c r="A1326" s="10" t="str">
        <f>基本属性!$B$4&amp;"|"&amp;基本属性!$C$4</f>
        <v>35|0</v>
      </c>
      <c r="B1326" s="10" t="str">
        <f>参数调整!$J$32</f>
        <v>精英掉落</v>
      </c>
      <c r="C1326" s="8" t="str">
        <f>材料产出!$BL$2</f>
        <v>新增材料3</v>
      </c>
      <c r="D1326" s="224">
        <f>参数调整!$K$32*怪物掉落配置方案!$D4404</f>
        <v>0</v>
      </c>
    </row>
    <row r="1327" spans="1:4" ht="16.5" hidden="1" x14ac:dyDescent="0.3">
      <c r="A1327" s="10" t="str">
        <f>基本属性!$B$5&amp;"|"&amp;基本属性!$C$5</f>
        <v>40|0</v>
      </c>
      <c r="B1327" s="10" t="str">
        <f>参数调整!$J$32</f>
        <v>精英掉落</v>
      </c>
      <c r="C1327" s="8" t="str">
        <f>材料产出!$BL$2</f>
        <v>新增材料3</v>
      </c>
      <c r="D1327" s="224">
        <f>参数调整!$K$32*怪物掉落配置方案!$D4405</f>
        <v>0</v>
      </c>
    </row>
    <row r="1328" spans="1:4" ht="16.5" hidden="1" x14ac:dyDescent="0.3">
      <c r="A1328" s="10" t="str">
        <f>基本属性!$B$6&amp;"|"&amp;基本属性!$C$6</f>
        <v>50|0</v>
      </c>
      <c r="B1328" s="10" t="str">
        <f>参数调整!$J$32</f>
        <v>精英掉落</v>
      </c>
      <c r="C1328" s="8" t="str">
        <f>材料产出!$BL$2</f>
        <v>新增材料3</v>
      </c>
      <c r="D1328" s="224">
        <f>参数调整!$K$32*怪物掉落配置方案!$D4406</f>
        <v>0</v>
      </c>
    </row>
    <row r="1329" spans="1:4" ht="16.5" hidden="1" x14ac:dyDescent="0.3">
      <c r="A1329" s="10" t="str">
        <f>基本属性!$B$7&amp;"|"&amp;基本属性!$C$7</f>
        <v>60|0</v>
      </c>
      <c r="B1329" s="10" t="str">
        <f>参数调整!$J$32</f>
        <v>精英掉落</v>
      </c>
      <c r="C1329" s="8" t="str">
        <f>材料产出!$BL$2</f>
        <v>新增材料3</v>
      </c>
      <c r="D1329" s="224">
        <f>参数调整!$K$32*怪物掉落配置方案!$D4407</f>
        <v>0</v>
      </c>
    </row>
    <row r="1330" spans="1:4" ht="16.5" hidden="1" x14ac:dyDescent="0.3">
      <c r="A1330" s="10" t="str">
        <f>基本属性!$B$8&amp;"|"&amp;基本属性!$C$8</f>
        <v>65|0</v>
      </c>
      <c r="B1330" s="10" t="str">
        <f>参数调整!$J$32</f>
        <v>精英掉落</v>
      </c>
      <c r="C1330" s="8" t="str">
        <f>材料产出!$BL$2</f>
        <v>新增材料3</v>
      </c>
      <c r="D1330" s="224">
        <f>参数调整!$K$32*怪物掉落配置方案!$D4408</f>
        <v>0</v>
      </c>
    </row>
    <row r="1331" spans="1:4" ht="16.5" hidden="1" x14ac:dyDescent="0.3">
      <c r="A1331" s="10" t="str">
        <f>基本属性!$B$9&amp;"|"&amp;基本属性!$C$9</f>
        <v>70|0</v>
      </c>
      <c r="B1331" s="10" t="str">
        <f>参数调整!$J$32</f>
        <v>精英掉落</v>
      </c>
      <c r="C1331" s="8" t="str">
        <f>材料产出!$BL$2</f>
        <v>新增材料3</v>
      </c>
      <c r="D1331" s="224">
        <f>参数调整!$K$32*怪物掉落配置方案!$D4409</f>
        <v>0</v>
      </c>
    </row>
    <row r="1332" spans="1:4" ht="16.5" hidden="1" x14ac:dyDescent="0.3">
      <c r="A1332" s="10" t="str">
        <f>基本属性!$B$10&amp;"|"&amp;基本属性!$C$10</f>
        <v>75|0</v>
      </c>
      <c r="B1332" s="10" t="str">
        <f>参数调整!$J$32</f>
        <v>精英掉落</v>
      </c>
      <c r="C1332" s="8" t="str">
        <f>材料产出!$BL$2</f>
        <v>新增材料3</v>
      </c>
      <c r="D1332" s="224">
        <f>参数调整!$K$32*怪物掉落配置方案!$D4410</f>
        <v>0</v>
      </c>
    </row>
    <row r="1333" spans="1:4" ht="16.5" hidden="1" x14ac:dyDescent="0.3">
      <c r="A1333" s="10" t="str">
        <f>基本属性!$B$11&amp;"|"&amp;基本属性!$C$11</f>
        <v>80|1</v>
      </c>
      <c r="B1333" s="10" t="str">
        <f>参数调整!$J$32</f>
        <v>精英掉落</v>
      </c>
      <c r="C1333" s="8" t="str">
        <f>材料产出!$BL$2</f>
        <v>新增材料3</v>
      </c>
      <c r="D1333" s="224">
        <f>参数调整!$K$32*怪物掉落配置方案!$D4411</f>
        <v>0</v>
      </c>
    </row>
    <row r="1334" spans="1:4" ht="16.5" hidden="1" x14ac:dyDescent="0.3">
      <c r="A1334" s="10" t="str">
        <f>基本属性!$B$12&amp;"|"&amp;基本属性!$C$12</f>
        <v>90|2</v>
      </c>
      <c r="B1334" s="10" t="str">
        <f>参数调整!$J$32</f>
        <v>精英掉落</v>
      </c>
      <c r="C1334" s="8" t="str">
        <f>材料产出!$BL$2</f>
        <v>新增材料3</v>
      </c>
      <c r="D1334" s="224">
        <f>参数调整!$K$32*怪物掉落配置方案!$D4412</f>
        <v>0</v>
      </c>
    </row>
    <row r="1335" spans="1:4" ht="16.5" hidden="1" x14ac:dyDescent="0.3">
      <c r="A1335" s="10" t="str">
        <f>基本属性!$B$13&amp;"|"&amp;基本属性!$C$13</f>
        <v>100|3</v>
      </c>
      <c r="B1335" s="10" t="str">
        <f>参数调整!$J$32</f>
        <v>精英掉落</v>
      </c>
      <c r="C1335" s="8" t="str">
        <f>材料产出!$BL$2</f>
        <v>新增材料3</v>
      </c>
      <c r="D1335" s="224">
        <f>参数调整!$K$32*怪物掉落配置方案!$D4413</f>
        <v>0</v>
      </c>
    </row>
    <row r="1336" spans="1:4" ht="16.5" hidden="1" x14ac:dyDescent="0.3">
      <c r="A1336" s="10" t="str">
        <f>基本属性!$B$14&amp;"|"&amp;基本属性!$C$14</f>
        <v>105|4</v>
      </c>
      <c r="B1336" s="10" t="str">
        <f>参数调整!$J$32</f>
        <v>精英掉落</v>
      </c>
      <c r="C1336" s="8" t="str">
        <f>材料产出!$BL$2</f>
        <v>新增材料3</v>
      </c>
      <c r="D1336" s="224">
        <f>参数调整!$K$32*怪物掉落配置方案!$D4414</f>
        <v>0</v>
      </c>
    </row>
    <row r="1337" spans="1:4" ht="16.5" hidden="1" x14ac:dyDescent="0.3">
      <c r="A1337" s="10" t="str">
        <f>基本属性!$B$15&amp;"|"&amp;基本属性!$C$15</f>
        <v>110|5</v>
      </c>
      <c r="B1337" s="10" t="str">
        <f>参数调整!$J$32</f>
        <v>精英掉落</v>
      </c>
      <c r="C1337" s="8" t="str">
        <f>材料产出!$BL$2</f>
        <v>新增材料3</v>
      </c>
      <c r="D1337" s="224">
        <f>参数调整!$K$32*怪物掉落配置方案!$D4415</f>
        <v>0</v>
      </c>
    </row>
    <row r="1338" spans="1:4" ht="16.5" hidden="1" x14ac:dyDescent="0.3">
      <c r="A1338" s="10" t="str">
        <f>基本属性!$B$16&amp;"|"&amp;基本属性!$C$16</f>
        <v>120|6</v>
      </c>
      <c r="B1338" s="10" t="str">
        <f>参数调整!$J$32</f>
        <v>精英掉落</v>
      </c>
      <c r="C1338" s="8" t="str">
        <f>材料产出!$BL$2</f>
        <v>新增材料3</v>
      </c>
      <c r="D1338" s="224">
        <f>参数调整!$K$32*怪物掉落配置方案!$D4416</f>
        <v>0</v>
      </c>
    </row>
    <row r="1339" spans="1:4" ht="16.5" hidden="1" x14ac:dyDescent="0.3">
      <c r="A1339" s="10" t="str">
        <f>基本属性!$B$17&amp;"|"&amp;基本属性!$C$17</f>
        <v>135|7</v>
      </c>
      <c r="B1339" s="10" t="str">
        <f>参数调整!$J$32</f>
        <v>精英掉落</v>
      </c>
      <c r="C1339" s="8" t="str">
        <f>材料产出!$BL$2</f>
        <v>新增材料3</v>
      </c>
      <c r="D1339" s="224">
        <f>参数调整!$K$32*怪物掉落配置方案!$D4417</f>
        <v>0</v>
      </c>
    </row>
    <row r="1340" spans="1:4" ht="16.5" hidden="1" x14ac:dyDescent="0.3">
      <c r="A1340" s="10" t="str">
        <f>基本属性!$B$18&amp;"|"&amp;基本属性!$C$18</f>
        <v>155|8</v>
      </c>
      <c r="B1340" s="10" t="str">
        <f>参数调整!$J$32</f>
        <v>精英掉落</v>
      </c>
      <c r="C1340" s="8" t="str">
        <f>材料产出!$BL$2</f>
        <v>新增材料3</v>
      </c>
      <c r="D1340" s="224">
        <f>参数调整!$K$32*怪物掉落配置方案!$D4418</f>
        <v>0</v>
      </c>
    </row>
    <row r="1341" spans="1:4" ht="16.5" hidden="1" x14ac:dyDescent="0.3">
      <c r="A1341" s="10" t="str">
        <f>基本属性!$B$19&amp;"|"&amp;基本属性!$C$19</f>
        <v>190|9</v>
      </c>
      <c r="B1341" s="10" t="str">
        <f>参数调整!$J$32</f>
        <v>精英掉落</v>
      </c>
      <c r="C1341" s="8" t="str">
        <f>材料产出!$BL$2</f>
        <v>新增材料3</v>
      </c>
      <c r="D1341" s="224">
        <f>参数调整!$K$32*怪物掉落配置方案!$D4419</f>
        <v>0</v>
      </c>
    </row>
    <row r="1342" spans="1:4" ht="16.5" hidden="1" x14ac:dyDescent="0.3">
      <c r="A1342" s="10" t="str">
        <f>基本属性!$B$20&amp;"|"&amp;基本属性!$C$20</f>
        <v>200|10</v>
      </c>
      <c r="B1342" s="10" t="str">
        <f>参数调整!$J$32</f>
        <v>精英掉落</v>
      </c>
      <c r="C1342" s="8" t="str">
        <f>材料产出!$BL$2</f>
        <v>新增材料3</v>
      </c>
      <c r="D1342" s="224">
        <f>参数调整!$K$32*怪物掉落配置方案!$D4420</f>
        <v>0</v>
      </c>
    </row>
    <row r="1343" spans="1:4" ht="16.5" hidden="1" x14ac:dyDescent="0.3">
      <c r="A1343" s="10" t="str">
        <f>基本属性!$B$21&amp;"|"&amp;基本属性!$C$21</f>
        <v>200|11</v>
      </c>
      <c r="B1343" s="10" t="str">
        <f>参数调整!$J$32</f>
        <v>精英掉落</v>
      </c>
      <c r="C1343" s="8" t="str">
        <f>材料产出!$BL$2</f>
        <v>新增材料3</v>
      </c>
      <c r="D1343" s="224">
        <f>参数调整!$K$32*怪物掉落配置方案!$D4421</f>
        <v>0</v>
      </c>
    </row>
    <row r="1344" spans="1:4" ht="16.5" hidden="1" x14ac:dyDescent="0.3">
      <c r="A1344" s="10" t="str">
        <f>基本属性!$B$22&amp;"|"&amp;基本属性!$C$22</f>
        <v>210|12</v>
      </c>
      <c r="B1344" s="10" t="str">
        <f>参数调整!$J$32</f>
        <v>精英掉落</v>
      </c>
      <c r="C1344" s="8" t="str">
        <f>材料产出!$BL$2</f>
        <v>新增材料3</v>
      </c>
      <c r="D1344" s="224">
        <f>参数调整!$K$32*怪物掉落配置方案!$D4422</f>
        <v>0</v>
      </c>
    </row>
    <row r="1345" spans="1:4" ht="16.5" hidden="1" x14ac:dyDescent="0.3">
      <c r="A1345" s="10" t="str">
        <f>基本属性!$B$23&amp;"|"&amp;基本属性!$C$23</f>
        <v>210|13</v>
      </c>
      <c r="B1345" s="10" t="str">
        <f>参数调整!$J$32</f>
        <v>精英掉落</v>
      </c>
      <c r="C1345" s="8" t="str">
        <f>材料产出!$BL$2</f>
        <v>新增材料3</v>
      </c>
      <c r="D1345" s="224">
        <f>参数调整!$K$32*怪物掉落配置方案!$D4423</f>
        <v>0</v>
      </c>
    </row>
    <row r="1346" spans="1:4" ht="16.5" hidden="1" x14ac:dyDescent="0.3">
      <c r="A1346" s="10" t="str">
        <f>基本属性!$B$24&amp;"|"&amp;基本属性!$C$24</f>
        <v>220|14</v>
      </c>
      <c r="B1346" s="10" t="str">
        <f>参数调整!$J$32</f>
        <v>精英掉落</v>
      </c>
      <c r="C1346" s="8" t="str">
        <f>材料产出!$BL$2</f>
        <v>新增材料3</v>
      </c>
      <c r="D1346" s="224">
        <f>参数调整!$K$32*怪物掉落配置方案!$D4424</f>
        <v>0</v>
      </c>
    </row>
    <row r="1347" spans="1:4" ht="16.5" hidden="1" x14ac:dyDescent="0.3">
      <c r="A1347" s="10" t="str">
        <f>基本属性!$B$25&amp;"|"&amp;基本属性!$C$25</f>
        <v>220|15</v>
      </c>
      <c r="B1347" s="10" t="str">
        <f>参数调整!$J$32</f>
        <v>精英掉落</v>
      </c>
      <c r="C1347" s="8" t="str">
        <f>材料产出!$BL$2</f>
        <v>新增材料3</v>
      </c>
      <c r="D1347" s="224">
        <f>参数调整!$K$32*怪物掉落配置方案!$D4425</f>
        <v>0</v>
      </c>
    </row>
    <row r="1348" spans="1:4" ht="16.5" hidden="1" x14ac:dyDescent="0.3">
      <c r="A1348" s="10" t="str">
        <f>基本属性!$B$26&amp;"|"&amp;基本属性!$C$26</f>
        <v>230|16</v>
      </c>
      <c r="B1348" s="10" t="str">
        <f>参数调整!$J$32</f>
        <v>精英掉落</v>
      </c>
      <c r="C1348" s="8" t="str">
        <f>材料产出!$BL$2</f>
        <v>新增材料3</v>
      </c>
      <c r="D1348" s="224">
        <f>参数调整!$K$32*怪物掉落配置方案!$D4426</f>
        <v>0</v>
      </c>
    </row>
    <row r="1349" spans="1:4" ht="16.5" hidden="1" x14ac:dyDescent="0.3">
      <c r="A1349" s="10" t="str">
        <f>基本属性!$B$27&amp;"|"&amp;基本属性!$C$27</f>
        <v>230|17</v>
      </c>
      <c r="B1349" s="10" t="str">
        <f>参数调整!$J$32</f>
        <v>精英掉落</v>
      </c>
      <c r="C1349" s="8" t="str">
        <f>材料产出!$BL$2</f>
        <v>新增材料3</v>
      </c>
      <c r="D1349" s="224">
        <f>参数调整!$K$32*怪物掉落配置方案!$D4427</f>
        <v>0</v>
      </c>
    </row>
    <row r="1350" spans="1:4" ht="16.5" hidden="1" x14ac:dyDescent="0.3">
      <c r="A1350" s="10" t="str">
        <f>基本属性!$B$28&amp;"|"&amp;基本属性!$C$28</f>
        <v>240|18</v>
      </c>
      <c r="B1350" s="10" t="str">
        <f>参数调整!$J$32</f>
        <v>精英掉落</v>
      </c>
      <c r="C1350" s="8" t="str">
        <f>材料产出!$BL$2</f>
        <v>新增材料3</v>
      </c>
      <c r="D1350" s="224">
        <f>参数调整!$K$32*怪物掉落配置方案!$D4428</f>
        <v>0</v>
      </c>
    </row>
    <row r="1351" spans="1:4" ht="16.5" hidden="1" x14ac:dyDescent="0.3">
      <c r="A1351" s="10" t="str">
        <f>基本属性!$B$29&amp;"|"&amp;基本属性!$C$29</f>
        <v>240|19</v>
      </c>
      <c r="B1351" s="10" t="str">
        <f>参数调整!$J$32</f>
        <v>精英掉落</v>
      </c>
      <c r="C1351" s="8" t="str">
        <f>材料产出!$BL$2</f>
        <v>新增材料3</v>
      </c>
      <c r="D1351" s="224">
        <f>参数调整!$K$32*怪物掉落配置方案!$D4429</f>
        <v>0</v>
      </c>
    </row>
    <row r="1352" spans="1:4" ht="16.5" hidden="1" x14ac:dyDescent="0.3">
      <c r="A1352" s="10" t="str">
        <f>基本属性!$B$30&amp;"|"&amp;基本属性!$C$30</f>
        <v>250|20</v>
      </c>
      <c r="B1352" s="10" t="str">
        <f>参数调整!$J$32</f>
        <v>精英掉落</v>
      </c>
      <c r="C1352" s="8" t="str">
        <f>材料产出!$BL$2</f>
        <v>新增材料3</v>
      </c>
      <c r="D1352" s="224">
        <f>参数调整!$K$32*怪物掉落配置方案!$D4430</f>
        <v>0</v>
      </c>
    </row>
    <row r="1353" spans="1:4" ht="16.5" hidden="1" x14ac:dyDescent="0.3">
      <c r="A1353" s="10" t="str">
        <f>基本属性!$B$4&amp;"|"&amp;基本属性!$C$4</f>
        <v>35|0</v>
      </c>
      <c r="B1353" s="10" t="str">
        <f>参数调整!$J$32</f>
        <v>精英掉落</v>
      </c>
      <c r="C1353" s="8" t="str">
        <f>材料产出!$BJ$2</f>
        <v>新增材料2</v>
      </c>
      <c r="D1353" s="224">
        <f>参数调整!$K$32*怪物掉落配置方案!$D4431</f>
        <v>0</v>
      </c>
    </row>
    <row r="1354" spans="1:4" ht="16.5" hidden="1" x14ac:dyDescent="0.3">
      <c r="A1354" s="10" t="str">
        <f>基本属性!$B$5&amp;"|"&amp;基本属性!$C$5</f>
        <v>40|0</v>
      </c>
      <c r="B1354" s="10" t="str">
        <f>参数调整!$J$32</f>
        <v>精英掉落</v>
      </c>
      <c r="C1354" s="8" t="str">
        <f>材料产出!$BJ$2</f>
        <v>新增材料2</v>
      </c>
      <c r="D1354" s="224">
        <f>参数调整!$K$32*怪物掉落配置方案!$D4432</f>
        <v>0</v>
      </c>
    </row>
    <row r="1355" spans="1:4" ht="16.5" hidden="1" x14ac:dyDescent="0.3">
      <c r="A1355" s="10" t="str">
        <f>基本属性!$B$6&amp;"|"&amp;基本属性!$C$6</f>
        <v>50|0</v>
      </c>
      <c r="B1355" s="10" t="str">
        <f>参数调整!$J$32</f>
        <v>精英掉落</v>
      </c>
      <c r="C1355" s="8" t="str">
        <f>材料产出!$BJ$2</f>
        <v>新增材料2</v>
      </c>
      <c r="D1355" s="224">
        <f>参数调整!$K$32*怪物掉落配置方案!$D4433</f>
        <v>0</v>
      </c>
    </row>
    <row r="1356" spans="1:4" ht="16.5" hidden="1" x14ac:dyDescent="0.3">
      <c r="A1356" s="10" t="str">
        <f>基本属性!$B$7&amp;"|"&amp;基本属性!$C$7</f>
        <v>60|0</v>
      </c>
      <c r="B1356" s="10" t="str">
        <f>参数调整!$J$32</f>
        <v>精英掉落</v>
      </c>
      <c r="C1356" s="8" t="str">
        <f>材料产出!$BJ$2</f>
        <v>新增材料2</v>
      </c>
      <c r="D1356" s="224">
        <f>参数调整!$K$32*怪物掉落配置方案!$D4434</f>
        <v>0</v>
      </c>
    </row>
    <row r="1357" spans="1:4" ht="16.5" hidden="1" x14ac:dyDescent="0.3">
      <c r="A1357" s="10" t="str">
        <f>基本属性!$B$8&amp;"|"&amp;基本属性!$C$8</f>
        <v>65|0</v>
      </c>
      <c r="B1357" s="10" t="str">
        <f>参数调整!$J$32</f>
        <v>精英掉落</v>
      </c>
      <c r="C1357" s="8" t="str">
        <f>材料产出!$BJ$2</f>
        <v>新增材料2</v>
      </c>
      <c r="D1357" s="224">
        <f>参数调整!$K$32*怪物掉落配置方案!$D4435</f>
        <v>0</v>
      </c>
    </row>
    <row r="1358" spans="1:4" ht="16.5" hidden="1" x14ac:dyDescent="0.3">
      <c r="A1358" s="10" t="str">
        <f>基本属性!$B$9&amp;"|"&amp;基本属性!$C$9</f>
        <v>70|0</v>
      </c>
      <c r="B1358" s="10" t="str">
        <f>参数调整!$J$32</f>
        <v>精英掉落</v>
      </c>
      <c r="C1358" s="8" t="str">
        <f>材料产出!$BJ$2</f>
        <v>新增材料2</v>
      </c>
      <c r="D1358" s="224">
        <f>参数调整!$K$32*怪物掉落配置方案!$D4436</f>
        <v>0</v>
      </c>
    </row>
    <row r="1359" spans="1:4" ht="16.5" hidden="1" x14ac:dyDescent="0.3">
      <c r="A1359" s="10" t="str">
        <f>基本属性!$B$10&amp;"|"&amp;基本属性!$C$10</f>
        <v>75|0</v>
      </c>
      <c r="B1359" s="10" t="str">
        <f>参数调整!$J$32</f>
        <v>精英掉落</v>
      </c>
      <c r="C1359" s="8" t="str">
        <f>材料产出!$BJ$2</f>
        <v>新增材料2</v>
      </c>
      <c r="D1359" s="224">
        <f>参数调整!$K$32*怪物掉落配置方案!$D4437</f>
        <v>0</v>
      </c>
    </row>
    <row r="1360" spans="1:4" ht="16.5" hidden="1" x14ac:dyDescent="0.3">
      <c r="A1360" s="10" t="str">
        <f>基本属性!$B$11&amp;"|"&amp;基本属性!$C$11</f>
        <v>80|1</v>
      </c>
      <c r="B1360" s="10" t="str">
        <f>参数调整!$J$32</f>
        <v>精英掉落</v>
      </c>
      <c r="C1360" s="8" t="str">
        <f>材料产出!$BJ$2</f>
        <v>新增材料2</v>
      </c>
      <c r="D1360" s="224">
        <f>参数调整!$K$32*怪物掉落配置方案!$D4438</f>
        <v>0</v>
      </c>
    </row>
    <row r="1361" spans="1:4" ht="16.5" hidden="1" x14ac:dyDescent="0.3">
      <c r="A1361" s="10" t="str">
        <f>基本属性!$B$12&amp;"|"&amp;基本属性!$C$12</f>
        <v>90|2</v>
      </c>
      <c r="B1361" s="10" t="str">
        <f>参数调整!$J$32</f>
        <v>精英掉落</v>
      </c>
      <c r="C1361" s="8" t="str">
        <f>材料产出!$BJ$2</f>
        <v>新增材料2</v>
      </c>
      <c r="D1361" s="224">
        <f>参数调整!$K$32*怪物掉落配置方案!$D4439</f>
        <v>0</v>
      </c>
    </row>
    <row r="1362" spans="1:4" ht="16.5" hidden="1" x14ac:dyDescent="0.3">
      <c r="A1362" s="10" t="str">
        <f>基本属性!$B$13&amp;"|"&amp;基本属性!$C$13</f>
        <v>100|3</v>
      </c>
      <c r="B1362" s="10" t="str">
        <f>参数调整!$J$32</f>
        <v>精英掉落</v>
      </c>
      <c r="C1362" s="8" t="str">
        <f>材料产出!$BJ$2</f>
        <v>新增材料2</v>
      </c>
      <c r="D1362" s="224">
        <f>参数调整!$K$32*怪物掉落配置方案!$D4440</f>
        <v>0</v>
      </c>
    </row>
    <row r="1363" spans="1:4" ht="16.5" hidden="1" x14ac:dyDescent="0.3">
      <c r="A1363" s="10" t="str">
        <f>基本属性!$B$14&amp;"|"&amp;基本属性!$C$14</f>
        <v>105|4</v>
      </c>
      <c r="B1363" s="10" t="str">
        <f>参数调整!$J$32</f>
        <v>精英掉落</v>
      </c>
      <c r="C1363" s="8" t="str">
        <f>材料产出!$BJ$2</f>
        <v>新增材料2</v>
      </c>
      <c r="D1363" s="224">
        <f>参数调整!$K$32*怪物掉落配置方案!$D4441</f>
        <v>0</v>
      </c>
    </row>
    <row r="1364" spans="1:4" ht="16.5" hidden="1" x14ac:dyDescent="0.3">
      <c r="A1364" s="10" t="str">
        <f>基本属性!$B$15&amp;"|"&amp;基本属性!$C$15</f>
        <v>110|5</v>
      </c>
      <c r="B1364" s="10" t="str">
        <f>参数调整!$J$32</f>
        <v>精英掉落</v>
      </c>
      <c r="C1364" s="8" t="str">
        <f>材料产出!$BJ$2</f>
        <v>新增材料2</v>
      </c>
      <c r="D1364" s="224">
        <f>参数调整!$K$32*怪物掉落配置方案!$D4442</f>
        <v>0</v>
      </c>
    </row>
    <row r="1365" spans="1:4" ht="16.5" hidden="1" x14ac:dyDescent="0.3">
      <c r="A1365" s="10" t="str">
        <f>基本属性!$B$16&amp;"|"&amp;基本属性!$C$16</f>
        <v>120|6</v>
      </c>
      <c r="B1365" s="10" t="str">
        <f>参数调整!$J$32</f>
        <v>精英掉落</v>
      </c>
      <c r="C1365" s="8" t="str">
        <f>材料产出!$BJ$2</f>
        <v>新增材料2</v>
      </c>
      <c r="D1365" s="224">
        <f>参数调整!$K$32*怪物掉落配置方案!$D4443</f>
        <v>0</v>
      </c>
    </row>
    <row r="1366" spans="1:4" ht="16.5" hidden="1" x14ac:dyDescent="0.3">
      <c r="A1366" s="10" t="str">
        <f>基本属性!$B$17&amp;"|"&amp;基本属性!$C$17</f>
        <v>135|7</v>
      </c>
      <c r="B1366" s="10" t="str">
        <f>参数调整!$J$32</f>
        <v>精英掉落</v>
      </c>
      <c r="C1366" s="8" t="str">
        <f>材料产出!$BJ$2</f>
        <v>新增材料2</v>
      </c>
      <c r="D1366" s="224">
        <f>参数调整!$K$32*怪物掉落配置方案!$D4444</f>
        <v>0</v>
      </c>
    </row>
    <row r="1367" spans="1:4" ht="16.5" hidden="1" x14ac:dyDescent="0.3">
      <c r="A1367" s="10" t="str">
        <f>基本属性!$B$18&amp;"|"&amp;基本属性!$C$18</f>
        <v>155|8</v>
      </c>
      <c r="B1367" s="10" t="str">
        <f>参数调整!$J$32</f>
        <v>精英掉落</v>
      </c>
      <c r="C1367" s="8" t="str">
        <f>材料产出!$BJ$2</f>
        <v>新增材料2</v>
      </c>
      <c r="D1367" s="224">
        <f>参数调整!$K$32*怪物掉落配置方案!$D4445</f>
        <v>0</v>
      </c>
    </row>
    <row r="1368" spans="1:4" ht="16.5" hidden="1" x14ac:dyDescent="0.3">
      <c r="A1368" s="10" t="str">
        <f>基本属性!$B$19&amp;"|"&amp;基本属性!$C$19</f>
        <v>190|9</v>
      </c>
      <c r="B1368" s="10" t="str">
        <f>参数调整!$J$32</f>
        <v>精英掉落</v>
      </c>
      <c r="C1368" s="8" t="str">
        <f>材料产出!$BJ$2</f>
        <v>新增材料2</v>
      </c>
      <c r="D1368" s="224">
        <f>参数调整!$K$32*怪物掉落配置方案!$D4446</f>
        <v>0</v>
      </c>
    </row>
    <row r="1369" spans="1:4" ht="16.5" hidden="1" x14ac:dyDescent="0.3">
      <c r="A1369" s="10" t="str">
        <f>基本属性!$B$20&amp;"|"&amp;基本属性!$C$20</f>
        <v>200|10</v>
      </c>
      <c r="B1369" s="10" t="str">
        <f>参数调整!$J$32</f>
        <v>精英掉落</v>
      </c>
      <c r="C1369" s="8" t="str">
        <f>材料产出!$BJ$2</f>
        <v>新增材料2</v>
      </c>
      <c r="D1369" s="224">
        <f>参数调整!$K$32*怪物掉落配置方案!$D4447</f>
        <v>0</v>
      </c>
    </row>
    <row r="1370" spans="1:4" ht="16.5" hidden="1" x14ac:dyDescent="0.3">
      <c r="A1370" s="10" t="str">
        <f>基本属性!$B$21&amp;"|"&amp;基本属性!$C$21</f>
        <v>200|11</v>
      </c>
      <c r="B1370" s="10" t="str">
        <f>参数调整!$J$32</f>
        <v>精英掉落</v>
      </c>
      <c r="C1370" s="8" t="str">
        <f>材料产出!$BJ$2</f>
        <v>新增材料2</v>
      </c>
      <c r="D1370" s="224">
        <f>参数调整!$K$32*怪物掉落配置方案!$D4448</f>
        <v>0</v>
      </c>
    </row>
    <row r="1371" spans="1:4" ht="16.5" hidden="1" x14ac:dyDescent="0.3">
      <c r="A1371" s="10" t="str">
        <f>基本属性!$B$22&amp;"|"&amp;基本属性!$C$22</f>
        <v>210|12</v>
      </c>
      <c r="B1371" s="10" t="str">
        <f>参数调整!$J$32</f>
        <v>精英掉落</v>
      </c>
      <c r="C1371" s="8" t="str">
        <f>材料产出!$BJ$2</f>
        <v>新增材料2</v>
      </c>
      <c r="D1371" s="224">
        <f>参数调整!$K$32*怪物掉落配置方案!$D4449</f>
        <v>0</v>
      </c>
    </row>
    <row r="1372" spans="1:4" ht="16.5" hidden="1" x14ac:dyDescent="0.3">
      <c r="A1372" s="10" t="str">
        <f>基本属性!$B$23&amp;"|"&amp;基本属性!$C$23</f>
        <v>210|13</v>
      </c>
      <c r="B1372" s="10" t="str">
        <f>参数调整!$J$32</f>
        <v>精英掉落</v>
      </c>
      <c r="C1372" s="8" t="str">
        <f>材料产出!$BJ$2</f>
        <v>新增材料2</v>
      </c>
      <c r="D1372" s="224">
        <f>参数调整!$K$32*怪物掉落配置方案!$D4450</f>
        <v>0</v>
      </c>
    </row>
    <row r="1373" spans="1:4" ht="16.5" hidden="1" x14ac:dyDescent="0.3">
      <c r="A1373" s="10" t="str">
        <f>基本属性!$B$24&amp;"|"&amp;基本属性!$C$24</f>
        <v>220|14</v>
      </c>
      <c r="B1373" s="10" t="str">
        <f>参数调整!$J$32</f>
        <v>精英掉落</v>
      </c>
      <c r="C1373" s="8" t="str">
        <f>材料产出!$BJ$2</f>
        <v>新增材料2</v>
      </c>
      <c r="D1373" s="224">
        <f>参数调整!$K$32*怪物掉落配置方案!$D4451</f>
        <v>0</v>
      </c>
    </row>
    <row r="1374" spans="1:4" ht="16.5" hidden="1" x14ac:dyDescent="0.3">
      <c r="A1374" s="10" t="str">
        <f>基本属性!$B$25&amp;"|"&amp;基本属性!$C$25</f>
        <v>220|15</v>
      </c>
      <c r="B1374" s="10" t="str">
        <f>参数调整!$J$32</f>
        <v>精英掉落</v>
      </c>
      <c r="C1374" s="8" t="str">
        <f>材料产出!$BJ$2</f>
        <v>新增材料2</v>
      </c>
      <c r="D1374" s="224">
        <f>参数调整!$K$32*怪物掉落配置方案!$D4452</f>
        <v>0</v>
      </c>
    </row>
    <row r="1375" spans="1:4" ht="16.5" hidden="1" x14ac:dyDescent="0.3">
      <c r="A1375" s="10" t="str">
        <f>基本属性!$B$26&amp;"|"&amp;基本属性!$C$26</f>
        <v>230|16</v>
      </c>
      <c r="B1375" s="10" t="str">
        <f>参数调整!$J$32</f>
        <v>精英掉落</v>
      </c>
      <c r="C1375" s="8" t="str">
        <f>材料产出!$BJ$2</f>
        <v>新增材料2</v>
      </c>
      <c r="D1375" s="224">
        <f>参数调整!$K$32*怪物掉落配置方案!$D4453</f>
        <v>0</v>
      </c>
    </row>
    <row r="1376" spans="1:4" ht="16.5" hidden="1" x14ac:dyDescent="0.3">
      <c r="A1376" s="10" t="str">
        <f>基本属性!$B$27&amp;"|"&amp;基本属性!$C$27</f>
        <v>230|17</v>
      </c>
      <c r="B1376" s="10" t="str">
        <f>参数调整!$J$32</f>
        <v>精英掉落</v>
      </c>
      <c r="C1376" s="8" t="str">
        <f>材料产出!$BJ$2</f>
        <v>新增材料2</v>
      </c>
      <c r="D1376" s="224">
        <f>参数调整!$K$32*怪物掉落配置方案!$D4454</f>
        <v>0</v>
      </c>
    </row>
    <row r="1377" spans="1:4" ht="16.5" hidden="1" x14ac:dyDescent="0.3">
      <c r="A1377" s="10" t="str">
        <f>基本属性!$B$28&amp;"|"&amp;基本属性!$C$28</f>
        <v>240|18</v>
      </c>
      <c r="B1377" s="10" t="str">
        <f>参数调整!$J$32</f>
        <v>精英掉落</v>
      </c>
      <c r="C1377" s="8" t="str">
        <f>材料产出!$BJ$2</f>
        <v>新增材料2</v>
      </c>
      <c r="D1377" s="224">
        <f>参数调整!$K$32*怪物掉落配置方案!$D4455</f>
        <v>0</v>
      </c>
    </row>
    <row r="1378" spans="1:4" ht="16.5" hidden="1" x14ac:dyDescent="0.3">
      <c r="A1378" s="10" t="str">
        <f>基本属性!$B$29&amp;"|"&amp;基本属性!$C$29</f>
        <v>240|19</v>
      </c>
      <c r="B1378" s="10" t="str">
        <f>参数调整!$J$32</f>
        <v>精英掉落</v>
      </c>
      <c r="C1378" s="8" t="str">
        <f>材料产出!$BJ$2</f>
        <v>新增材料2</v>
      </c>
      <c r="D1378" s="224">
        <f>参数调整!$K$32*怪物掉落配置方案!$D4456</f>
        <v>0</v>
      </c>
    </row>
    <row r="1379" spans="1:4" ht="16.5" hidden="1" x14ac:dyDescent="0.3">
      <c r="A1379" s="10" t="str">
        <f>基本属性!$B$30&amp;"|"&amp;基本属性!$C$30</f>
        <v>250|20</v>
      </c>
      <c r="B1379" s="10" t="str">
        <f>参数调整!$J$32</f>
        <v>精英掉落</v>
      </c>
      <c r="C1379" s="8" t="str">
        <f>材料产出!$BJ$2</f>
        <v>新增材料2</v>
      </c>
      <c r="D1379" s="224">
        <f>参数调整!$K$32*怪物掉落配置方案!$D4457</f>
        <v>0</v>
      </c>
    </row>
    <row r="1380" spans="1:4" ht="16.5" hidden="1" x14ac:dyDescent="0.3">
      <c r="A1380" s="10" t="str">
        <f>基本属性!$B$4&amp;"|"&amp;基本属性!$C$4</f>
        <v>35|0</v>
      </c>
      <c r="B1380" s="10" t="str">
        <f>参数调整!$J$32</f>
        <v>精英掉落</v>
      </c>
      <c r="C1380" s="8" t="str">
        <f>材料产出!$BH$2</f>
        <v>新增材料1</v>
      </c>
      <c r="D1380" s="224">
        <f>参数调整!$K$32*怪物掉落配置方案!$D4458</f>
        <v>0</v>
      </c>
    </row>
    <row r="1381" spans="1:4" ht="16.5" hidden="1" x14ac:dyDescent="0.3">
      <c r="A1381" s="10" t="str">
        <f>基本属性!$B$5&amp;"|"&amp;基本属性!$C$5</f>
        <v>40|0</v>
      </c>
      <c r="B1381" s="10" t="str">
        <f>参数调整!$J$32</f>
        <v>精英掉落</v>
      </c>
      <c r="C1381" s="8" t="str">
        <f>材料产出!$BH$2</f>
        <v>新增材料1</v>
      </c>
      <c r="D1381" s="224">
        <f>参数调整!$K$32*怪物掉落配置方案!$D4459</f>
        <v>0</v>
      </c>
    </row>
    <row r="1382" spans="1:4" ht="16.5" hidden="1" x14ac:dyDescent="0.3">
      <c r="A1382" s="10" t="str">
        <f>基本属性!$B$6&amp;"|"&amp;基本属性!$C$6</f>
        <v>50|0</v>
      </c>
      <c r="B1382" s="10" t="str">
        <f>参数调整!$J$32</f>
        <v>精英掉落</v>
      </c>
      <c r="C1382" s="8" t="str">
        <f>材料产出!$BH$2</f>
        <v>新增材料1</v>
      </c>
      <c r="D1382" s="224">
        <f>参数调整!$K$32*怪物掉落配置方案!$D4460</f>
        <v>0</v>
      </c>
    </row>
    <row r="1383" spans="1:4" ht="16.5" hidden="1" x14ac:dyDescent="0.3">
      <c r="A1383" s="10" t="str">
        <f>基本属性!$B$7&amp;"|"&amp;基本属性!$C$7</f>
        <v>60|0</v>
      </c>
      <c r="B1383" s="10" t="str">
        <f>参数调整!$J$32</f>
        <v>精英掉落</v>
      </c>
      <c r="C1383" s="8" t="str">
        <f>材料产出!$BH$2</f>
        <v>新增材料1</v>
      </c>
      <c r="D1383" s="224">
        <f>参数调整!$K$32*怪物掉落配置方案!$D4461</f>
        <v>0</v>
      </c>
    </row>
    <row r="1384" spans="1:4" ht="16.5" hidden="1" x14ac:dyDescent="0.3">
      <c r="A1384" s="10" t="str">
        <f>基本属性!$B$8&amp;"|"&amp;基本属性!$C$8</f>
        <v>65|0</v>
      </c>
      <c r="B1384" s="10" t="str">
        <f>参数调整!$J$32</f>
        <v>精英掉落</v>
      </c>
      <c r="C1384" s="8" t="str">
        <f>材料产出!$BH$2</f>
        <v>新增材料1</v>
      </c>
      <c r="D1384" s="224">
        <f>参数调整!$K$32*怪物掉落配置方案!$D4462</f>
        <v>0</v>
      </c>
    </row>
    <row r="1385" spans="1:4" ht="16.5" hidden="1" x14ac:dyDescent="0.3">
      <c r="A1385" s="10" t="str">
        <f>基本属性!$B$9&amp;"|"&amp;基本属性!$C$9</f>
        <v>70|0</v>
      </c>
      <c r="B1385" s="10" t="str">
        <f>参数调整!$J$32</f>
        <v>精英掉落</v>
      </c>
      <c r="C1385" s="8" t="str">
        <f>材料产出!$BH$2</f>
        <v>新增材料1</v>
      </c>
      <c r="D1385" s="224">
        <f>参数调整!$K$32*怪物掉落配置方案!$D4463</f>
        <v>0</v>
      </c>
    </row>
    <row r="1386" spans="1:4" ht="16.5" hidden="1" x14ac:dyDescent="0.3">
      <c r="A1386" s="10" t="str">
        <f>基本属性!$B$10&amp;"|"&amp;基本属性!$C$10</f>
        <v>75|0</v>
      </c>
      <c r="B1386" s="10" t="str">
        <f>参数调整!$J$32</f>
        <v>精英掉落</v>
      </c>
      <c r="C1386" s="8" t="str">
        <f>材料产出!$BH$2</f>
        <v>新增材料1</v>
      </c>
      <c r="D1386" s="224">
        <f>参数调整!$K$32*怪物掉落配置方案!$D4464</f>
        <v>0</v>
      </c>
    </row>
    <row r="1387" spans="1:4" ht="16.5" hidden="1" x14ac:dyDescent="0.3">
      <c r="A1387" s="10" t="str">
        <f>基本属性!$B$11&amp;"|"&amp;基本属性!$C$11</f>
        <v>80|1</v>
      </c>
      <c r="B1387" s="10" t="str">
        <f>参数调整!$J$32</f>
        <v>精英掉落</v>
      </c>
      <c r="C1387" s="8" t="str">
        <f>材料产出!$BH$2</f>
        <v>新增材料1</v>
      </c>
      <c r="D1387" s="224">
        <f>参数调整!$K$32*怪物掉落配置方案!$D4465</f>
        <v>0</v>
      </c>
    </row>
    <row r="1388" spans="1:4" ht="16.5" hidden="1" x14ac:dyDescent="0.3">
      <c r="A1388" s="10" t="str">
        <f>基本属性!$B$12&amp;"|"&amp;基本属性!$C$12</f>
        <v>90|2</v>
      </c>
      <c r="B1388" s="10" t="str">
        <f>参数调整!$J$32</f>
        <v>精英掉落</v>
      </c>
      <c r="C1388" s="8" t="str">
        <f>材料产出!$BH$2</f>
        <v>新增材料1</v>
      </c>
      <c r="D1388" s="224">
        <f>参数调整!$K$32*怪物掉落配置方案!$D4466</f>
        <v>0</v>
      </c>
    </row>
    <row r="1389" spans="1:4" ht="16.5" hidden="1" x14ac:dyDescent="0.3">
      <c r="A1389" s="10" t="str">
        <f>基本属性!$B$13&amp;"|"&amp;基本属性!$C$13</f>
        <v>100|3</v>
      </c>
      <c r="B1389" s="10" t="str">
        <f>参数调整!$J$32</f>
        <v>精英掉落</v>
      </c>
      <c r="C1389" s="8" t="str">
        <f>材料产出!$BH$2</f>
        <v>新增材料1</v>
      </c>
      <c r="D1389" s="224">
        <f>参数调整!$K$32*怪物掉落配置方案!$D4467</f>
        <v>0</v>
      </c>
    </row>
    <row r="1390" spans="1:4" ht="16.5" hidden="1" x14ac:dyDescent="0.3">
      <c r="A1390" s="10" t="str">
        <f>基本属性!$B$14&amp;"|"&amp;基本属性!$C$14</f>
        <v>105|4</v>
      </c>
      <c r="B1390" s="10" t="str">
        <f>参数调整!$J$32</f>
        <v>精英掉落</v>
      </c>
      <c r="C1390" s="8" t="str">
        <f>材料产出!$BH$2</f>
        <v>新增材料1</v>
      </c>
      <c r="D1390" s="224">
        <f>参数调整!$K$32*怪物掉落配置方案!$D4468</f>
        <v>0</v>
      </c>
    </row>
    <row r="1391" spans="1:4" ht="16.5" hidden="1" x14ac:dyDescent="0.3">
      <c r="A1391" s="10" t="str">
        <f>基本属性!$B$15&amp;"|"&amp;基本属性!$C$15</f>
        <v>110|5</v>
      </c>
      <c r="B1391" s="10" t="str">
        <f>参数调整!$J$32</f>
        <v>精英掉落</v>
      </c>
      <c r="C1391" s="8" t="str">
        <f>材料产出!$BH$2</f>
        <v>新增材料1</v>
      </c>
      <c r="D1391" s="224">
        <f>参数调整!$K$32*怪物掉落配置方案!$D4469</f>
        <v>0</v>
      </c>
    </row>
    <row r="1392" spans="1:4" ht="16.5" hidden="1" x14ac:dyDescent="0.3">
      <c r="A1392" s="10" t="str">
        <f>基本属性!$B$16&amp;"|"&amp;基本属性!$C$16</f>
        <v>120|6</v>
      </c>
      <c r="B1392" s="10" t="str">
        <f>参数调整!$J$32</f>
        <v>精英掉落</v>
      </c>
      <c r="C1392" s="8" t="str">
        <f>材料产出!$BH$2</f>
        <v>新增材料1</v>
      </c>
      <c r="D1392" s="224">
        <f>参数调整!$K$32*怪物掉落配置方案!$D4470</f>
        <v>0</v>
      </c>
    </row>
    <row r="1393" spans="1:4" ht="16.5" hidden="1" x14ac:dyDescent="0.3">
      <c r="A1393" s="10" t="str">
        <f>基本属性!$B$17&amp;"|"&amp;基本属性!$C$17</f>
        <v>135|7</v>
      </c>
      <c r="B1393" s="10" t="str">
        <f>参数调整!$J$32</f>
        <v>精英掉落</v>
      </c>
      <c r="C1393" s="8" t="str">
        <f>材料产出!$BH$2</f>
        <v>新增材料1</v>
      </c>
      <c r="D1393" s="224">
        <f>参数调整!$K$32*怪物掉落配置方案!$D4471</f>
        <v>0</v>
      </c>
    </row>
    <row r="1394" spans="1:4" ht="16.5" hidden="1" x14ac:dyDescent="0.3">
      <c r="A1394" s="10" t="str">
        <f>基本属性!$B$18&amp;"|"&amp;基本属性!$C$18</f>
        <v>155|8</v>
      </c>
      <c r="B1394" s="10" t="str">
        <f>参数调整!$J$32</f>
        <v>精英掉落</v>
      </c>
      <c r="C1394" s="8" t="str">
        <f>材料产出!$BH$2</f>
        <v>新增材料1</v>
      </c>
      <c r="D1394" s="224">
        <f>参数调整!$K$32*怪物掉落配置方案!$D4472</f>
        <v>0</v>
      </c>
    </row>
    <row r="1395" spans="1:4" ht="16.5" hidden="1" x14ac:dyDescent="0.3">
      <c r="A1395" s="10" t="str">
        <f>基本属性!$B$19&amp;"|"&amp;基本属性!$C$19</f>
        <v>190|9</v>
      </c>
      <c r="B1395" s="10" t="str">
        <f>参数调整!$J$32</f>
        <v>精英掉落</v>
      </c>
      <c r="C1395" s="8" t="str">
        <f>材料产出!$BH$2</f>
        <v>新增材料1</v>
      </c>
      <c r="D1395" s="224">
        <f>参数调整!$K$32*怪物掉落配置方案!$D4473</f>
        <v>0</v>
      </c>
    </row>
    <row r="1396" spans="1:4" ht="16.5" hidden="1" x14ac:dyDescent="0.3">
      <c r="A1396" s="10" t="str">
        <f>基本属性!$B$20&amp;"|"&amp;基本属性!$C$20</f>
        <v>200|10</v>
      </c>
      <c r="B1396" s="10" t="str">
        <f>参数调整!$J$32</f>
        <v>精英掉落</v>
      </c>
      <c r="C1396" s="8" t="str">
        <f>材料产出!$BH$2</f>
        <v>新增材料1</v>
      </c>
      <c r="D1396" s="224">
        <f>参数调整!$K$32*怪物掉落配置方案!$D4474</f>
        <v>0</v>
      </c>
    </row>
    <row r="1397" spans="1:4" ht="16.5" hidden="1" x14ac:dyDescent="0.3">
      <c r="A1397" s="10" t="str">
        <f>基本属性!$B$21&amp;"|"&amp;基本属性!$C$21</f>
        <v>200|11</v>
      </c>
      <c r="B1397" s="10" t="str">
        <f>参数调整!$J$32</f>
        <v>精英掉落</v>
      </c>
      <c r="C1397" s="8" t="str">
        <f>材料产出!$BH$2</f>
        <v>新增材料1</v>
      </c>
      <c r="D1397" s="224">
        <f>参数调整!$K$32*怪物掉落配置方案!$D4475</f>
        <v>0</v>
      </c>
    </row>
    <row r="1398" spans="1:4" ht="16.5" hidden="1" x14ac:dyDescent="0.3">
      <c r="A1398" s="10" t="str">
        <f>基本属性!$B$22&amp;"|"&amp;基本属性!$C$22</f>
        <v>210|12</v>
      </c>
      <c r="B1398" s="10" t="str">
        <f>参数调整!$J$32</f>
        <v>精英掉落</v>
      </c>
      <c r="C1398" s="8" t="str">
        <f>材料产出!$BH$2</f>
        <v>新增材料1</v>
      </c>
      <c r="D1398" s="224">
        <f>参数调整!$K$32*怪物掉落配置方案!$D4476</f>
        <v>0</v>
      </c>
    </row>
    <row r="1399" spans="1:4" ht="16.5" hidden="1" x14ac:dyDescent="0.3">
      <c r="A1399" s="10" t="str">
        <f>基本属性!$B$23&amp;"|"&amp;基本属性!$C$23</f>
        <v>210|13</v>
      </c>
      <c r="B1399" s="10" t="str">
        <f>参数调整!$J$32</f>
        <v>精英掉落</v>
      </c>
      <c r="C1399" s="8" t="str">
        <f>材料产出!$BH$2</f>
        <v>新增材料1</v>
      </c>
      <c r="D1399" s="224">
        <f>参数调整!$K$32*怪物掉落配置方案!$D4477</f>
        <v>0</v>
      </c>
    </row>
    <row r="1400" spans="1:4" ht="16.5" hidden="1" x14ac:dyDescent="0.3">
      <c r="A1400" s="10" t="str">
        <f>基本属性!$B$24&amp;"|"&amp;基本属性!$C$24</f>
        <v>220|14</v>
      </c>
      <c r="B1400" s="10" t="str">
        <f>参数调整!$J$32</f>
        <v>精英掉落</v>
      </c>
      <c r="C1400" s="8" t="str">
        <f>材料产出!$BH$2</f>
        <v>新增材料1</v>
      </c>
      <c r="D1400" s="224">
        <f>参数调整!$K$32*怪物掉落配置方案!$D4478</f>
        <v>0</v>
      </c>
    </row>
    <row r="1401" spans="1:4" ht="16.5" hidden="1" x14ac:dyDescent="0.3">
      <c r="A1401" s="10" t="str">
        <f>基本属性!$B$25&amp;"|"&amp;基本属性!$C$25</f>
        <v>220|15</v>
      </c>
      <c r="B1401" s="10" t="str">
        <f>参数调整!$J$32</f>
        <v>精英掉落</v>
      </c>
      <c r="C1401" s="8" t="str">
        <f>材料产出!$BH$2</f>
        <v>新增材料1</v>
      </c>
      <c r="D1401" s="224">
        <f>参数调整!$K$32*怪物掉落配置方案!$D4479</f>
        <v>0</v>
      </c>
    </row>
    <row r="1402" spans="1:4" ht="16.5" hidden="1" x14ac:dyDescent="0.3">
      <c r="A1402" s="10" t="str">
        <f>基本属性!$B$26&amp;"|"&amp;基本属性!$C$26</f>
        <v>230|16</v>
      </c>
      <c r="B1402" s="10" t="str">
        <f>参数调整!$J$32</f>
        <v>精英掉落</v>
      </c>
      <c r="C1402" s="8" t="str">
        <f>材料产出!$BH$2</f>
        <v>新增材料1</v>
      </c>
      <c r="D1402" s="224">
        <f>参数调整!$K$32*怪物掉落配置方案!$D4480</f>
        <v>0</v>
      </c>
    </row>
    <row r="1403" spans="1:4" ht="16.5" hidden="1" x14ac:dyDescent="0.3">
      <c r="A1403" s="10" t="str">
        <f>基本属性!$B$27&amp;"|"&amp;基本属性!$C$27</f>
        <v>230|17</v>
      </c>
      <c r="B1403" s="10" t="str">
        <f>参数调整!$J$32</f>
        <v>精英掉落</v>
      </c>
      <c r="C1403" s="8" t="str">
        <f>材料产出!$BH$2</f>
        <v>新增材料1</v>
      </c>
      <c r="D1403" s="224">
        <f>参数调整!$K$32*怪物掉落配置方案!$D4481</f>
        <v>0</v>
      </c>
    </row>
    <row r="1404" spans="1:4" ht="16.5" hidden="1" x14ac:dyDescent="0.3">
      <c r="A1404" s="10" t="str">
        <f>基本属性!$B$28&amp;"|"&amp;基本属性!$C$28</f>
        <v>240|18</v>
      </c>
      <c r="B1404" s="10" t="str">
        <f>参数调整!$J$32</f>
        <v>精英掉落</v>
      </c>
      <c r="C1404" s="8" t="str">
        <f>材料产出!$BH$2</f>
        <v>新增材料1</v>
      </c>
      <c r="D1404" s="224">
        <f>参数调整!$K$32*怪物掉落配置方案!$D4482</f>
        <v>0</v>
      </c>
    </row>
    <row r="1405" spans="1:4" ht="16.5" hidden="1" x14ac:dyDescent="0.3">
      <c r="A1405" s="10" t="str">
        <f>基本属性!$B$29&amp;"|"&amp;基本属性!$C$29</f>
        <v>240|19</v>
      </c>
      <c r="B1405" s="10" t="str">
        <f>参数调整!$J$32</f>
        <v>精英掉落</v>
      </c>
      <c r="C1405" s="8" t="str">
        <f>材料产出!$BH$2</f>
        <v>新增材料1</v>
      </c>
      <c r="D1405" s="224">
        <f>参数调整!$K$32*怪物掉落配置方案!$D4483</f>
        <v>0</v>
      </c>
    </row>
    <row r="1406" spans="1:4" ht="16.5" hidden="1" x14ac:dyDescent="0.3">
      <c r="A1406" s="10" t="str">
        <f>基本属性!$B$30&amp;"|"&amp;基本属性!$C$30</f>
        <v>250|20</v>
      </c>
      <c r="B1406" s="10" t="str">
        <f>参数调整!$J$32</f>
        <v>精英掉落</v>
      </c>
      <c r="C1406" s="8" t="str">
        <f>材料产出!$BH$2</f>
        <v>新增材料1</v>
      </c>
      <c r="D1406" s="224">
        <f>参数调整!$K$32*怪物掉落配置方案!$D4484</f>
        <v>0</v>
      </c>
    </row>
    <row r="1407" spans="1:4" ht="16.5" hidden="1" x14ac:dyDescent="0.3">
      <c r="A1407" s="10" t="str">
        <f>基本属性!$B$4&amp;"|"&amp;基本属性!$C$4</f>
        <v>35|0</v>
      </c>
      <c r="B1407" s="10" t="str">
        <f>参数调整!$J$32</f>
        <v>精英掉落</v>
      </c>
      <c r="C1407" s="8" t="str">
        <f>材料产出!$AF$2</f>
        <v>仙品升星石</v>
      </c>
      <c r="D1407" s="224">
        <f>参数调整!$K$32*怪物掉落配置方案!$D4485</f>
        <v>2.2682521309060295E-2</v>
      </c>
    </row>
    <row r="1408" spans="1:4" ht="16.5" hidden="1" x14ac:dyDescent="0.3">
      <c r="A1408" s="10" t="str">
        <f>基本属性!$B$5&amp;"|"&amp;基本属性!$C$5</f>
        <v>40|0</v>
      </c>
      <c r="B1408" s="10" t="str">
        <f>参数调整!$J$32</f>
        <v>精英掉落</v>
      </c>
      <c r="C1408" s="8" t="str">
        <f>材料产出!$AF$2</f>
        <v>仙品升星石</v>
      </c>
      <c r="D1408" s="224">
        <f>参数调整!$K$32*怪物掉落配置方案!$D4486</f>
        <v>2.8707566031779444E-2</v>
      </c>
    </row>
    <row r="1409" spans="1:4" ht="16.5" hidden="1" x14ac:dyDescent="0.3">
      <c r="A1409" s="10" t="str">
        <f>基本属性!$B$6&amp;"|"&amp;基本属性!$C$6</f>
        <v>50|0</v>
      </c>
      <c r="B1409" s="10" t="str">
        <f>参数调整!$J$32</f>
        <v>精英掉落</v>
      </c>
      <c r="C1409" s="8" t="str">
        <f>材料产出!$AF$2</f>
        <v>仙品升星石</v>
      </c>
      <c r="D1409" s="224">
        <f>参数调整!$K$32*怪物掉落配置方案!$D4487</f>
        <v>3.5441439545406718E-2</v>
      </c>
    </row>
    <row r="1410" spans="1:4" ht="16.5" hidden="1" x14ac:dyDescent="0.3">
      <c r="A1410" s="10" t="str">
        <f>基本属性!$B$7&amp;"|"&amp;基本属性!$C$7</f>
        <v>60|0</v>
      </c>
      <c r="B1410" s="10" t="str">
        <f>参数调整!$J$32</f>
        <v>精英掉落</v>
      </c>
      <c r="C1410" s="8" t="str">
        <f>材料产出!$AF$2</f>
        <v>仙品升星石</v>
      </c>
      <c r="D1410" s="224">
        <f>参数调整!$K$32*怪物掉落配置方案!$D4488</f>
        <v>4.2884141849942124E-2</v>
      </c>
    </row>
    <row r="1411" spans="1:4" ht="16.5" hidden="1" x14ac:dyDescent="0.3">
      <c r="A1411" s="10" t="str">
        <f>基本属性!$B$8&amp;"|"&amp;基本属性!$C$8</f>
        <v>65|0</v>
      </c>
      <c r="B1411" s="10" t="str">
        <f>参数调整!$J$32</f>
        <v>精英掉落</v>
      </c>
      <c r="C1411" s="8" t="str">
        <f>材料产出!$AF$2</f>
        <v>仙品升星石</v>
      </c>
      <c r="D1411" s="224">
        <f>参数调整!$K$32*怪物掉落配置方案!$D4489</f>
        <v>5.103567294538567E-2</v>
      </c>
    </row>
    <row r="1412" spans="1:4" ht="16.5" hidden="1" x14ac:dyDescent="0.3">
      <c r="A1412" s="10" t="str">
        <f>基本属性!$B$9&amp;"|"&amp;基本属性!$C$9</f>
        <v>70|0</v>
      </c>
      <c r="B1412" s="10" t="str">
        <f>参数调整!$J$32</f>
        <v>精英掉落</v>
      </c>
      <c r="C1412" s="8" t="str">
        <f>材料产出!$AF$2</f>
        <v>仙品升星石</v>
      </c>
      <c r="D1412" s="224">
        <f>参数调整!$K$32*怪物掉落配置方案!$D4490</f>
        <v>5.9896032831737347E-2</v>
      </c>
    </row>
    <row r="1413" spans="1:4" ht="16.5" hidden="1" x14ac:dyDescent="0.3">
      <c r="A1413" s="10" t="str">
        <f>基本属性!$B$10&amp;"|"&amp;基本属性!$C$10</f>
        <v>75|0</v>
      </c>
      <c r="B1413" s="10" t="str">
        <f>参数调整!$J$32</f>
        <v>精英掉落</v>
      </c>
      <c r="C1413" s="8" t="str">
        <f>材料产出!$AF$2</f>
        <v>仙品升星石</v>
      </c>
      <c r="D1413" s="224">
        <f>参数调整!$K$32*怪物掉落配置方案!$D4491</f>
        <v>6.9465221508997158E-2</v>
      </c>
    </row>
    <row r="1414" spans="1:4" ht="16.5" hidden="1" x14ac:dyDescent="0.3">
      <c r="A1414" s="10" t="str">
        <f>基本属性!$B$11&amp;"|"&amp;基本属性!$C$11</f>
        <v>80|1</v>
      </c>
      <c r="B1414" s="10" t="str">
        <f>参数调整!$J$32</f>
        <v>精英掉落</v>
      </c>
      <c r="C1414" s="8" t="str">
        <f>材料产出!$AF$2</f>
        <v>仙品升星石</v>
      </c>
      <c r="D1414" s="224">
        <f>参数调整!$K$32*怪物掉落配置方案!$D4492</f>
        <v>7.9743238977165107E-2</v>
      </c>
    </row>
    <row r="1415" spans="1:4" ht="16.5" hidden="1" x14ac:dyDescent="0.3">
      <c r="A1415" s="10" t="str">
        <f>基本属性!$B$12&amp;"|"&amp;基本属性!$C$12</f>
        <v>90|2</v>
      </c>
      <c r="B1415" s="10" t="str">
        <f>参数调整!$J$32</f>
        <v>精英掉落</v>
      </c>
      <c r="C1415" s="8" t="str">
        <f>材料产出!$AF$2</f>
        <v>仙品升星石</v>
      </c>
      <c r="D1415" s="224">
        <f>参数调整!$K$32*怪物掉落配置方案!$D4493</f>
        <v>9.0730085236241223E-2</v>
      </c>
    </row>
    <row r="1416" spans="1:4" ht="16.5" hidden="1" x14ac:dyDescent="0.3">
      <c r="A1416" s="10" t="str">
        <f>基本属性!$B$13&amp;"|"&amp;基本属性!$C$13</f>
        <v>100|3</v>
      </c>
      <c r="B1416" s="10" t="str">
        <f>参数调整!$J$32</f>
        <v>精英掉落</v>
      </c>
      <c r="C1416" s="8" t="str">
        <f>材料产出!$AF$2</f>
        <v>仙品升星石</v>
      </c>
      <c r="D1416" s="224">
        <f>参数调整!$K$32*怪物掉落配置方案!$D4494</f>
        <v>0.11483026412711778</v>
      </c>
    </row>
    <row r="1417" spans="1:4" ht="16.5" hidden="1" x14ac:dyDescent="0.3">
      <c r="A1417" s="10" t="str">
        <f>基本属性!$B$14&amp;"|"&amp;基本属性!$C$14</f>
        <v>105|4</v>
      </c>
      <c r="B1417" s="10" t="str">
        <f>参数调整!$J$32</f>
        <v>精英掉落</v>
      </c>
      <c r="C1417" s="8" t="str">
        <f>材料产出!$AF$2</f>
        <v>仙品升星石</v>
      </c>
      <c r="D1417" s="224">
        <f>参数调整!$K$32*怪物掉落配置方案!$D4495</f>
        <v>0.14176575818162684</v>
      </c>
    </row>
    <row r="1418" spans="1:4" ht="16.5" hidden="1" x14ac:dyDescent="0.3">
      <c r="A1418" s="10" t="str">
        <f>基本属性!$B$15&amp;"|"&amp;基本属性!$C$15</f>
        <v>110|5</v>
      </c>
      <c r="B1418" s="10" t="str">
        <f>参数调整!$J$32</f>
        <v>精英掉落</v>
      </c>
      <c r="C1418" s="8" t="str">
        <f>材料产出!$AF$2</f>
        <v>仙品升星石</v>
      </c>
      <c r="D1418" s="224">
        <f>参数调整!$K$32*怪物掉落配置方案!$D4496</f>
        <v>0.1715365673997685</v>
      </c>
    </row>
    <row r="1419" spans="1:4" ht="16.5" hidden="1" x14ac:dyDescent="0.3">
      <c r="A1419" s="10" t="str">
        <f>基本属性!$B$16&amp;"|"&amp;基本属性!$C$16</f>
        <v>120|6</v>
      </c>
      <c r="B1419" s="10" t="str">
        <f>参数调整!$J$32</f>
        <v>精英掉落</v>
      </c>
      <c r="C1419" s="8" t="str">
        <f>材料产出!$AF$2</f>
        <v>仙品升星石</v>
      </c>
      <c r="D1419" s="224">
        <f>参数调整!$K$32*怪物掉落配置方案!$D4497</f>
        <v>0.22150899715879196</v>
      </c>
    </row>
    <row r="1420" spans="1:4" ht="16.5" hidden="1" x14ac:dyDescent="0.3">
      <c r="A1420" s="10" t="str">
        <f>基本属性!$B$17&amp;"|"&amp;基本属性!$C$17</f>
        <v>135|7</v>
      </c>
      <c r="B1420" s="10" t="str">
        <f>参数调整!$J$32</f>
        <v>精英掉落</v>
      </c>
      <c r="C1420" s="8" t="str">
        <f>材料产出!$AF$2</f>
        <v>仙品升星石</v>
      </c>
      <c r="D1420" s="224">
        <f>参数调整!$K$32*怪物掉落配置方案!$D4498</f>
        <v>0.31897295590866043</v>
      </c>
    </row>
    <row r="1421" spans="1:4" ht="16.5" hidden="1" x14ac:dyDescent="0.3">
      <c r="A1421" s="10" t="str">
        <f>基本属性!$B$18&amp;"|"&amp;基本属性!$C$18</f>
        <v>155|8</v>
      </c>
      <c r="B1421" s="10" t="str">
        <f>参数调整!$J$32</f>
        <v>精英掉落</v>
      </c>
      <c r="C1421" s="8" t="str">
        <f>材料产出!$AF$2</f>
        <v>仙品升星石</v>
      </c>
      <c r="D1421" s="224">
        <f>参数调整!$K$32*怪物掉落配置方案!$D4499</f>
        <v>0.43415763443123234</v>
      </c>
    </row>
    <row r="1422" spans="1:4" ht="16.5" hidden="1" x14ac:dyDescent="0.3">
      <c r="A1422" s="10" t="str">
        <f>基本属性!$B$19&amp;"|"&amp;基本属性!$C$19</f>
        <v>190|9</v>
      </c>
      <c r="B1422" s="10" t="str">
        <f>参数调整!$J$32</f>
        <v>精英掉落</v>
      </c>
      <c r="C1422" s="8" t="str">
        <f>材料产出!$AF$2</f>
        <v>仙品升星石</v>
      </c>
      <c r="D1422" s="224">
        <f>参数调整!$K$32*怪物掉落配置方案!$D4500</f>
        <v>0.48519330737661803</v>
      </c>
    </row>
    <row r="1423" spans="1:4" ht="16.5" hidden="1" x14ac:dyDescent="0.3">
      <c r="A1423" s="10" t="str">
        <f>基本属性!$B$20&amp;"|"&amp;基本属性!$C$20</f>
        <v>200|10</v>
      </c>
      <c r="B1423" s="10" t="str">
        <f>参数调整!$J$32</f>
        <v>精英掉落</v>
      </c>
      <c r="C1423" s="8" t="str">
        <f>材料产出!$AF$2</f>
        <v>仙品升星石</v>
      </c>
      <c r="D1423" s="224">
        <f>参数调整!$K$32*怪物掉落配置方案!$D4501</f>
        <v>0.56706303272650738</v>
      </c>
    </row>
    <row r="1424" spans="1:4" ht="16.5" hidden="1" x14ac:dyDescent="0.3">
      <c r="A1424" s="10" t="str">
        <f>基本属性!$B$21&amp;"|"&amp;基本属性!$C$21</f>
        <v>200|11</v>
      </c>
      <c r="B1424" s="10" t="str">
        <f>参数调整!$J$32</f>
        <v>精英掉落</v>
      </c>
      <c r="C1424" s="8" t="str">
        <f>材料产出!$AF$2</f>
        <v>仙品升星石</v>
      </c>
      <c r="D1424" s="224">
        <f>参数调整!$K$32*怪物掉落配置方案!$D4502</f>
        <v>0.65531221719457011</v>
      </c>
    </row>
    <row r="1425" spans="1:4" ht="16.5" hidden="1" x14ac:dyDescent="0.3">
      <c r="A1425" s="10" t="str">
        <f>基本属性!$B$22&amp;"|"&amp;基本属性!$C$22</f>
        <v>210|12</v>
      </c>
      <c r="B1425" s="10" t="str">
        <f>参数调整!$J$32</f>
        <v>精英掉落</v>
      </c>
      <c r="C1425" s="8" t="str">
        <f>材料产出!$AF$2</f>
        <v>仙品升星石</v>
      </c>
      <c r="D1425" s="224">
        <f>参数调整!$K$32*怪物掉落配置方案!$D4503</f>
        <v>0.74994086078080602</v>
      </c>
    </row>
    <row r="1426" spans="1:4" ht="16.5" hidden="1" x14ac:dyDescent="0.3">
      <c r="A1426" s="10" t="str">
        <f>基本属性!$B$23&amp;"|"&amp;基本属性!$C$23</f>
        <v>210|13</v>
      </c>
      <c r="B1426" s="10" t="str">
        <f>参数调整!$J$32</f>
        <v>精英掉落</v>
      </c>
      <c r="C1426" s="8" t="str">
        <f>材料产出!$AF$2</f>
        <v>仙品升星石</v>
      </c>
      <c r="D1426" s="224">
        <f>参数调整!$K$32*怪物掉落配置方案!$D4504</f>
        <v>0.8509489634852152</v>
      </c>
    </row>
    <row r="1427" spans="1:4" ht="16.5" hidden="1" x14ac:dyDescent="0.3">
      <c r="A1427" s="10" t="str">
        <f>基本属性!$B$24&amp;"|"&amp;基本属性!$C$24</f>
        <v>220|14</v>
      </c>
      <c r="B1427" s="10" t="str">
        <f>参数调整!$J$32</f>
        <v>精英掉落</v>
      </c>
      <c r="C1427" s="8" t="str">
        <f>材料产出!$AF$2</f>
        <v>仙品升星石</v>
      </c>
      <c r="D1427" s="224">
        <f>参数调整!$K$32*怪物掉落配置方案!$D4505</f>
        <v>0.95833652530779778</v>
      </c>
    </row>
    <row r="1428" spans="1:4" ht="16.5" hidden="1" x14ac:dyDescent="0.3">
      <c r="A1428" s="10" t="str">
        <f>基本属性!$B$25&amp;"|"&amp;基本属性!$C$25</f>
        <v>220|15</v>
      </c>
      <c r="B1428" s="10" t="str">
        <f>参数调整!$J$32</f>
        <v>精英掉落</v>
      </c>
      <c r="C1428" s="8" t="str">
        <f>材料产出!$AF$2</f>
        <v>仙品升星石</v>
      </c>
      <c r="D1428" s="224">
        <f>参数调整!$K$32*怪物掉落配置方案!$D4506</f>
        <v>1.0721035462485529</v>
      </c>
    </row>
    <row r="1429" spans="1:4" ht="16.5" hidden="1" x14ac:dyDescent="0.3">
      <c r="A1429" s="10" t="str">
        <f>基本属性!$B$26&amp;"|"&amp;基本属性!$C$26</f>
        <v>230|16</v>
      </c>
      <c r="B1429" s="10" t="str">
        <f>参数调整!$J$32</f>
        <v>精英掉落</v>
      </c>
      <c r="C1429" s="8" t="str">
        <f>材料产出!$AF$2</f>
        <v>仙品升星石</v>
      </c>
      <c r="D1429" s="224">
        <f>参数调整!$K$32*怪物掉落配置方案!$D4507</f>
        <v>1.1922500263074818</v>
      </c>
    </row>
    <row r="1430" spans="1:4" ht="16.5" hidden="1" x14ac:dyDescent="0.3">
      <c r="A1430" s="10" t="str">
        <f>基本属性!$B$27&amp;"|"&amp;基本属性!$C$27</f>
        <v>230|17</v>
      </c>
      <c r="B1430" s="10" t="str">
        <f>参数调整!$J$32</f>
        <v>精英掉落</v>
      </c>
      <c r="C1430" s="8" t="str">
        <f>材料产出!$AF$2</f>
        <v>仙品升星石</v>
      </c>
      <c r="D1430" s="224">
        <f>参数调整!$K$32*怪物掉落配置方案!$D4508</f>
        <v>1.3187759654845839</v>
      </c>
    </row>
    <row r="1431" spans="1:4" ht="16.5" hidden="1" x14ac:dyDescent="0.3">
      <c r="A1431" s="10" t="str">
        <f>基本属性!$B$28&amp;"|"&amp;基本属性!$C$28</f>
        <v>240|18</v>
      </c>
      <c r="B1431" s="10" t="str">
        <f>参数调整!$J$32</f>
        <v>精英掉落</v>
      </c>
      <c r="C1431" s="8" t="str">
        <f>材料产出!$AF$2</f>
        <v>仙品升星石</v>
      </c>
      <c r="D1431" s="224">
        <f>参数调整!$K$32*怪物掉落配置方案!$D4509</f>
        <v>1.4516813637798593</v>
      </c>
    </row>
    <row r="1432" spans="1:4" ht="16.5" hidden="1" x14ac:dyDescent="0.3">
      <c r="A1432" s="10" t="str">
        <f>基本属性!$B$29&amp;"|"&amp;基本属性!$C$29</f>
        <v>240|19</v>
      </c>
      <c r="B1432" s="10" t="str">
        <f>参数调整!$J$32</f>
        <v>精英掉落</v>
      </c>
      <c r="C1432" s="8" t="str">
        <f>材料产出!$AF$2</f>
        <v>仙品升星石</v>
      </c>
      <c r="D1432" s="224">
        <f>参数调整!$K$32*怪物掉落配置方案!$D4510</f>
        <v>1.5909662211933076</v>
      </c>
    </row>
    <row r="1433" spans="1:4" ht="16.5" hidden="1" x14ac:dyDescent="0.3">
      <c r="A1433" s="10" t="str">
        <f>基本属性!$B$30&amp;"|"&amp;基本属性!$C$30</f>
        <v>250|20</v>
      </c>
      <c r="B1433" s="10" t="str">
        <f>参数调整!$J$32</f>
        <v>精英掉落</v>
      </c>
      <c r="C1433" s="8" t="str">
        <f>材料产出!$AF$2</f>
        <v>仙品升星石</v>
      </c>
      <c r="D1433" s="224">
        <f>参数调整!$K$32*怪物掉落配置方案!$D4511</f>
        <v>1.7366305377249289</v>
      </c>
    </row>
    <row r="1434" spans="1:4" ht="16.5" hidden="1" x14ac:dyDescent="0.3">
      <c r="A1434" s="10" t="str">
        <f>基本属性!$B$4&amp;"|"&amp;基本属性!$C$4</f>
        <v>35|0</v>
      </c>
      <c r="B1434" s="10" t="str">
        <f>参数调整!$J$32</f>
        <v>精英掉落</v>
      </c>
      <c r="C1434" s="8" t="str">
        <f>材料产出!$T$2</f>
        <v>洗髓丹</v>
      </c>
      <c r="D1434" s="224">
        <f>参数调整!$K$32*怪物掉落配置方案!$D4512</f>
        <v>5.9074343962982499E-3</v>
      </c>
    </row>
    <row r="1435" spans="1:4" ht="16.5" hidden="1" x14ac:dyDescent="0.3">
      <c r="A1435" s="10" t="str">
        <f>基本属性!$B$5&amp;"|"&amp;基本属性!$C$5</f>
        <v>40|0</v>
      </c>
      <c r="B1435" s="10" t="str">
        <f>参数调整!$J$32</f>
        <v>精英掉落</v>
      </c>
      <c r="C1435" s="8" t="str">
        <f>材料产出!$T$2</f>
        <v>洗髓丹</v>
      </c>
      <c r="D1435" s="224">
        <f>参数调整!$K$32*怪物掉落配置方案!$D4513</f>
        <v>7.476596657814972E-3</v>
      </c>
    </row>
    <row r="1436" spans="1:4" ht="16.5" hidden="1" x14ac:dyDescent="0.3">
      <c r="A1436" s="10" t="str">
        <f>基本属性!$B$6&amp;"|"&amp;基本属性!$C$6</f>
        <v>50|0</v>
      </c>
      <c r="B1436" s="10" t="str">
        <f>参数调整!$J$32</f>
        <v>精英掉落</v>
      </c>
      <c r="C1436" s="8" t="str">
        <f>材料产出!$T$2</f>
        <v>洗髓丹</v>
      </c>
      <c r="D1436" s="224">
        <f>参数调整!$K$32*怪物掉落配置方案!$D4514</f>
        <v>9.230366244216014E-3</v>
      </c>
    </row>
    <row r="1437" spans="1:4" ht="16.5" hidden="1" x14ac:dyDescent="0.3">
      <c r="A1437" s="10" t="str">
        <f>基本属性!$B$7&amp;"|"&amp;基本属性!$C$7</f>
        <v>60|0</v>
      </c>
      <c r="B1437" s="10" t="str">
        <f>参数调整!$J$32</f>
        <v>精英掉落</v>
      </c>
      <c r="C1437" s="8" t="str">
        <f>材料产出!$T$2</f>
        <v>洗髓丹</v>
      </c>
      <c r="D1437" s="224">
        <f>参数调整!$K$32*怪物掉落配置方案!$D4515</f>
        <v>1.1168743155501381E-2</v>
      </c>
    </row>
    <row r="1438" spans="1:4" ht="16.5" hidden="1" x14ac:dyDescent="0.3">
      <c r="A1438" s="10" t="str">
        <f>基本属性!$B$8&amp;"|"&amp;基本属性!$C$8</f>
        <v>65|0</v>
      </c>
      <c r="B1438" s="10" t="str">
        <f>参数调整!$J$32</f>
        <v>精英掉落</v>
      </c>
      <c r="C1438" s="8" t="str">
        <f>材料产出!$T$2</f>
        <v>洗髓丹</v>
      </c>
      <c r="D1438" s="224">
        <f>参数调整!$K$32*怪物掉落配置方案!$D4516</f>
        <v>1.3291727391671062E-2</v>
      </c>
    </row>
    <row r="1439" spans="1:4" ht="16.5" hidden="1" x14ac:dyDescent="0.3">
      <c r="A1439" s="10" t="str">
        <f>基本属性!$B$9&amp;"|"&amp;基本属性!$C$9</f>
        <v>70|0</v>
      </c>
      <c r="B1439" s="10" t="str">
        <f>参数调整!$J$32</f>
        <v>精英掉落</v>
      </c>
      <c r="C1439" s="8" t="str">
        <f>材料产出!$T$2</f>
        <v>洗髓丹</v>
      </c>
      <c r="D1439" s="224">
        <f>参数调整!$K$32*怪物掉落配置方案!$D4517</f>
        <v>1.5599318952725066E-2</v>
      </c>
    </row>
    <row r="1440" spans="1:4" ht="16.5" hidden="1" x14ac:dyDescent="0.3">
      <c r="A1440" s="10" t="str">
        <f>基本属性!$B$10&amp;"|"&amp;基本属性!$C$10</f>
        <v>75|0</v>
      </c>
      <c r="B1440" s="10" t="str">
        <f>参数调整!$J$32</f>
        <v>精英掉落</v>
      </c>
      <c r="C1440" s="8" t="str">
        <f>材料产出!$T$2</f>
        <v>洗髓丹</v>
      </c>
      <c r="D1440" s="224">
        <f>参数调整!$K$32*怪物掉落配置方案!$D4518</f>
        <v>1.8091517838663387E-2</v>
      </c>
    </row>
    <row r="1441" spans="1:4" ht="16.5" hidden="1" x14ac:dyDescent="0.3">
      <c r="A1441" s="10" t="str">
        <f>基本属性!$B$11&amp;"|"&amp;基本属性!$C$11</f>
        <v>80|1</v>
      </c>
      <c r="B1441" s="10" t="str">
        <f>参数调整!$J$32</f>
        <v>精英掉落</v>
      </c>
      <c r="C1441" s="8" t="str">
        <f>材料产出!$T$2</f>
        <v>洗髓丹</v>
      </c>
      <c r="D1441" s="224">
        <f>参数调整!$K$32*怪物掉落配置方案!$D4519</f>
        <v>2.0768324049486035E-2</v>
      </c>
    </row>
    <row r="1442" spans="1:4" ht="16.5" hidden="1" x14ac:dyDescent="0.3">
      <c r="A1442" s="10" t="str">
        <f>基本属性!$B$12&amp;"|"&amp;基本属性!$C$12</f>
        <v>90|2</v>
      </c>
      <c r="B1442" s="10" t="str">
        <f>参数调整!$J$32</f>
        <v>精英掉落</v>
      </c>
      <c r="C1442" s="8" t="str">
        <f>材料产出!$T$2</f>
        <v>洗髓丹</v>
      </c>
      <c r="D1442" s="224">
        <f>参数调整!$K$32*怪物掉落配置方案!$D4520</f>
        <v>2.3629737585193003E-2</v>
      </c>
    </row>
    <row r="1443" spans="1:4" ht="16.5" hidden="1" x14ac:dyDescent="0.3">
      <c r="A1443" s="10" t="str">
        <f>基本属性!$B$13&amp;"|"&amp;基本属性!$C$13</f>
        <v>100|3</v>
      </c>
      <c r="B1443" s="10" t="str">
        <f>参数调整!$J$32</f>
        <v>精英掉落</v>
      </c>
      <c r="C1443" s="8" t="str">
        <f>材料产出!$T$2</f>
        <v>洗髓丹</v>
      </c>
      <c r="D1443" s="224">
        <f>参数调整!$K$32*怪物掉落配置方案!$D4521</f>
        <v>2.9906386631259892E-2</v>
      </c>
    </row>
    <row r="1444" spans="1:4" ht="16.5" hidden="1" x14ac:dyDescent="0.3">
      <c r="A1444" s="10" t="str">
        <f>基本属性!$B$14&amp;"|"&amp;基本属性!$C$14</f>
        <v>105|4</v>
      </c>
      <c r="B1444" s="10" t="str">
        <f>参数调整!$J$32</f>
        <v>精英掉落</v>
      </c>
      <c r="C1444" s="8" t="str">
        <f>材料产出!$T$2</f>
        <v>洗髓丹</v>
      </c>
      <c r="D1444" s="224">
        <f>参数调整!$K$32*怪物掉落配置方案!$D4522</f>
        <v>3.6921464976864056E-2</v>
      </c>
    </row>
    <row r="1445" spans="1:4" ht="16.5" hidden="1" x14ac:dyDescent="0.3">
      <c r="A1445" s="10" t="str">
        <f>基本属性!$B$15&amp;"|"&amp;基本属性!$C$15</f>
        <v>110|5</v>
      </c>
      <c r="B1445" s="10" t="str">
        <f>参数调整!$J$32</f>
        <v>精英掉落</v>
      </c>
      <c r="C1445" s="8" t="str">
        <f>材料产出!$T$2</f>
        <v>洗髓丹</v>
      </c>
      <c r="D1445" s="224">
        <f>参数调整!$K$32*怪物掉落配置方案!$D4523</f>
        <v>4.4674972622005524E-2</v>
      </c>
    </row>
    <row r="1446" spans="1:4" ht="16.5" hidden="1" x14ac:dyDescent="0.3">
      <c r="A1446" s="10" t="str">
        <f>基本属性!$B$16&amp;"|"&amp;基本属性!$C$16</f>
        <v>120|6</v>
      </c>
      <c r="B1446" s="10" t="str">
        <f>参数调整!$J$32</f>
        <v>精英掉落</v>
      </c>
      <c r="C1446" s="8" t="str">
        <f>材料产出!$T$2</f>
        <v>洗髓丹</v>
      </c>
      <c r="D1446" s="224">
        <f>参数调整!$K$32*怪物掉落配置方案!$D4524</f>
        <v>5.7689789026350094E-2</v>
      </c>
    </row>
    <row r="1447" spans="1:4" ht="16.5" hidden="1" x14ac:dyDescent="0.3">
      <c r="A1447" s="10" t="str">
        <f>基本属性!$B$17&amp;"|"&amp;基本属性!$C$17</f>
        <v>135|7</v>
      </c>
      <c r="B1447" s="10" t="str">
        <f>参数调整!$J$32</f>
        <v>精英掉落</v>
      </c>
      <c r="C1447" s="8" t="str">
        <f>材料产出!$T$2</f>
        <v>洗髓丹</v>
      </c>
      <c r="D1447" s="224">
        <f>参数调整!$K$32*怪物掉落配置方案!$D4525</f>
        <v>8.3073296197944138E-2</v>
      </c>
    </row>
    <row r="1448" spans="1:4" ht="16.5" hidden="1" x14ac:dyDescent="0.3">
      <c r="A1448" s="10" t="str">
        <f>基本属性!$B$18&amp;"|"&amp;基本属性!$C$18</f>
        <v>155|8</v>
      </c>
      <c r="B1448" s="10" t="str">
        <f>参数调整!$J$32</f>
        <v>精英掉落</v>
      </c>
      <c r="C1448" s="8" t="str">
        <f>材料产出!$T$2</f>
        <v>洗髓丹</v>
      </c>
      <c r="D1448" s="224">
        <f>参数调整!$K$32*怪物掉落配置方案!$D4526</f>
        <v>0.11307198649164621</v>
      </c>
    </row>
    <row r="1449" spans="1:4" ht="16.5" hidden="1" x14ac:dyDescent="0.3">
      <c r="A1449" s="10" t="str">
        <f>基本属性!$B$19&amp;"|"&amp;基本属性!$C$19</f>
        <v>190|9</v>
      </c>
      <c r="B1449" s="10" t="str">
        <f>参数调整!$J$32</f>
        <v>精英掉落</v>
      </c>
      <c r="C1449" s="8" t="str">
        <f>材料产出!$T$2</f>
        <v>洗髓丹</v>
      </c>
      <c r="D1449" s="224">
        <f>参数调整!$K$32*怪物掉落配置方案!$D4527</f>
        <v>0.12636371388331727</v>
      </c>
    </row>
    <row r="1450" spans="1:4" ht="16.5" hidden="1" x14ac:dyDescent="0.3">
      <c r="A1450" s="10" t="str">
        <f>基本属性!$B$20&amp;"|"&amp;基本属性!$C$20</f>
        <v>200|10</v>
      </c>
      <c r="B1450" s="10" t="str">
        <f>参数调整!$J$32</f>
        <v>精英掉落</v>
      </c>
      <c r="C1450" s="8" t="str">
        <f>材料产出!$T$2</f>
        <v>洗髓丹</v>
      </c>
      <c r="D1450" s="224">
        <f>参数调整!$K$32*怪物掉落配置方案!$D4528</f>
        <v>0.14768585990745622</v>
      </c>
    </row>
    <row r="1451" spans="1:4" ht="16.5" hidden="1" x14ac:dyDescent="0.3">
      <c r="A1451" s="10" t="str">
        <f>基本属性!$B$21&amp;"|"&amp;基本属性!$C$21</f>
        <v>200|11</v>
      </c>
      <c r="B1451" s="10" t="str">
        <f>参数调整!$J$32</f>
        <v>精英掉落</v>
      </c>
      <c r="C1451" s="8" t="str">
        <f>材料产出!$T$2</f>
        <v>洗髓丹</v>
      </c>
      <c r="D1451" s="224">
        <f>参数调整!$K$32*怪物掉落配置方案!$D4529</f>
        <v>0.17066947185555406</v>
      </c>
    </row>
    <row r="1452" spans="1:4" ht="16.5" hidden="1" x14ac:dyDescent="0.3">
      <c r="A1452" s="10" t="str">
        <f>基本属性!$B$22&amp;"|"&amp;基本属性!$C$22</f>
        <v>210|12</v>
      </c>
      <c r="B1452" s="10" t="str">
        <f>参数调整!$J$32</f>
        <v>精英掉落</v>
      </c>
      <c r="C1452" s="8" t="str">
        <f>材料产出!$T$2</f>
        <v>洗髓丹</v>
      </c>
      <c r="D1452" s="224">
        <f>参数调整!$K$32*怪物掉落配置方案!$D4530</f>
        <v>0.19531454972761084</v>
      </c>
    </row>
    <row r="1453" spans="1:4" ht="16.5" hidden="1" x14ac:dyDescent="0.3">
      <c r="A1453" s="10" t="str">
        <f>基本属性!$B$23&amp;"|"&amp;基本属性!$C$23</f>
        <v>210|13</v>
      </c>
      <c r="B1453" s="10" t="str">
        <f>参数调整!$J$32</f>
        <v>精英掉落</v>
      </c>
      <c r="C1453" s="8" t="str">
        <f>材料产出!$T$2</f>
        <v>洗髓丹</v>
      </c>
      <c r="D1453" s="224">
        <f>参数调整!$K$32*怪物掉落配置方案!$D4531</f>
        <v>0.22162109352362655</v>
      </c>
    </row>
    <row r="1454" spans="1:4" ht="16.5" hidden="1" x14ac:dyDescent="0.3">
      <c r="A1454" s="10" t="str">
        <f>基本属性!$B$24&amp;"|"&amp;基本属性!$C$24</f>
        <v>220|14</v>
      </c>
      <c r="B1454" s="10" t="str">
        <f>参数调整!$J$32</f>
        <v>精英掉落</v>
      </c>
      <c r="C1454" s="8" t="str">
        <f>材料产出!$T$2</f>
        <v>洗髓丹</v>
      </c>
      <c r="D1454" s="224">
        <f>参数调整!$K$32*怪物掉落配置方案!$D4532</f>
        <v>0.24958910324360106</v>
      </c>
    </row>
    <row r="1455" spans="1:4" ht="16.5" hidden="1" x14ac:dyDescent="0.3">
      <c r="A1455" s="10" t="str">
        <f>基本属性!$B$25&amp;"|"&amp;基本属性!$C$25</f>
        <v>220|15</v>
      </c>
      <c r="B1455" s="10" t="str">
        <f>参数调整!$J$32</f>
        <v>精英掉落</v>
      </c>
      <c r="C1455" s="8" t="str">
        <f>材料产出!$T$2</f>
        <v>洗髓丹</v>
      </c>
      <c r="D1455" s="224">
        <f>参数调整!$K$32*怪物掉落配置方案!$D4533</f>
        <v>0.27921857888753443</v>
      </c>
    </row>
    <row r="1456" spans="1:4" ht="16.5" hidden="1" x14ac:dyDescent="0.3">
      <c r="A1456" s="10" t="str">
        <f>基本属性!$B$26&amp;"|"&amp;基本属性!$C$26</f>
        <v>230|16</v>
      </c>
      <c r="B1456" s="10" t="str">
        <f>参数调整!$J$32</f>
        <v>精英掉落</v>
      </c>
      <c r="C1456" s="8" t="str">
        <f>材料产出!$T$2</f>
        <v>洗髓丹</v>
      </c>
      <c r="D1456" s="224">
        <f>参数调整!$K$32*怪物掉落配置方案!$D4534</f>
        <v>0.31050952045542674</v>
      </c>
    </row>
    <row r="1457" spans="1:4" ht="16.5" hidden="1" x14ac:dyDescent="0.3">
      <c r="A1457" s="10" t="str">
        <f>基本属性!$B$27&amp;"|"&amp;基本属性!$C$27</f>
        <v>230|17</v>
      </c>
      <c r="B1457" s="10" t="str">
        <f>参数调整!$J$32</f>
        <v>精英掉落</v>
      </c>
      <c r="C1457" s="8" t="str">
        <f>材料产出!$T$2</f>
        <v>洗髓丹</v>
      </c>
      <c r="D1457" s="224">
        <f>参数调整!$K$32*怪物掉落配置方案!$D4535</f>
        <v>0.34346192794727787</v>
      </c>
    </row>
    <row r="1458" spans="1:4" ht="16.5" hidden="1" x14ac:dyDescent="0.3">
      <c r="A1458" s="10" t="str">
        <f>基本属性!$B$28&amp;"|"&amp;基本属性!$C$28</f>
        <v>240|18</v>
      </c>
      <c r="B1458" s="10" t="str">
        <f>参数调整!$J$32</f>
        <v>精英掉落</v>
      </c>
      <c r="C1458" s="8" t="str">
        <f>材料产出!$T$2</f>
        <v>洗髓丹</v>
      </c>
      <c r="D1458" s="224">
        <f>参数调整!$K$32*怪物掉落配置方案!$D4536</f>
        <v>0.37807580136308805</v>
      </c>
    </row>
    <row r="1459" spans="1:4" ht="16.5" hidden="1" x14ac:dyDescent="0.3">
      <c r="A1459" s="10" t="str">
        <f>基本属性!$B$29&amp;"|"&amp;基本属性!$C$29</f>
        <v>240|19</v>
      </c>
      <c r="B1459" s="10" t="str">
        <f>参数调整!$J$32</f>
        <v>精英掉落</v>
      </c>
      <c r="C1459" s="8" t="str">
        <f>材料产出!$T$2</f>
        <v>洗髓丹</v>
      </c>
      <c r="D1459" s="224">
        <f>参数调整!$K$32*怪物掉落配置方案!$D4537</f>
        <v>0.41435114070285695</v>
      </c>
    </row>
    <row r="1460" spans="1:4" ht="16.5" hidden="1" x14ac:dyDescent="0.3">
      <c r="A1460" s="10" t="str">
        <f>基本属性!$B$30&amp;"|"&amp;基本属性!$C$30</f>
        <v>250|20</v>
      </c>
      <c r="B1460" s="10" t="str">
        <f>参数调整!$J$32</f>
        <v>精英掉落</v>
      </c>
      <c r="C1460" s="8" t="str">
        <f>材料产出!$T$2</f>
        <v>洗髓丹</v>
      </c>
      <c r="D1460" s="224">
        <f>参数调整!$K$32*怪物掉落配置方案!$D4538</f>
        <v>0.45228794596658467</v>
      </c>
    </row>
    <row r="1461" spans="1:4" ht="16.5" hidden="1" x14ac:dyDescent="0.3">
      <c r="A1461" s="10" t="str">
        <f>基本属性!$B$4&amp;"|"&amp;基本属性!$C$4</f>
        <v>35|0</v>
      </c>
      <c r="B1461" s="10" t="str">
        <f>参数调整!$J$32</f>
        <v>精英掉落</v>
      </c>
      <c r="C1461" s="8" t="str">
        <f>材料产出!$AZ$2</f>
        <v>武器碎片</v>
      </c>
      <c r="D1461" s="224">
        <f>参数调整!$K$32*怪物掉落配置方案!$D4539</f>
        <v>8.1166972083899542E-5</v>
      </c>
    </row>
    <row r="1462" spans="1:4" ht="16.5" hidden="1" x14ac:dyDescent="0.3">
      <c r="A1462" s="10" t="str">
        <f>基本属性!$B$5&amp;"|"&amp;基本属性!$C$5</f>
        <v>40|0</v>
      </c>
      <c r="B1462" s="10" t="str">
        <f>参数调整!$J$32</f>
        <v>精英掉落</v>
      </c>
      <c r="C1462" s="8" t="str">
        <f>材料产出!$AZ$2</f>
        <v>武器碎片</v>
      </c>
      <c r="D1462" s="224">
        <f>参数调整!$K$32*怪物掉落配置方案!$D4540</f>
        <v>1.0272694904368536E-4</v>
      </c>
    </row>
    <row r="1463" spans="1:4" ht="16.5" hidden="1" x14ac:dyDescent="0.3">
      <c r="A1463" s="10" t="str">
        <f>基本属性!$B$6&amp;"|"&amp;基本属性!$C$6</f>
        <v>50|0</v>
      </c>
      <c r="B1463" s="10" t="str">
        <f>参数调整!$J$32</f>
        <v>精英掉落</v>
      </c>
      <c r="C1463" s="8" t="str">
        <f>材料产出!$AZ$2</f>
        <v>武器碎片</v>
      </c>
      <c r="D1463" s="224">
        <f>参数调整!$K$32*怪物掉落配置方案!$D4541</f>
        <v>1.2682339388109305E-4</v>
      </c>
    </row>
    <row r="1464" spans="1:4" ht="16.5" hidden="1" x14ac:dyDescent="0.3">
      <c r="A1464" s="10" t="str">
        <f>基本属性!$B$7&amp;"|"&amp;基本属性!$C$7</f>
        <v>60|0</v>
      </c>
      <c r="B1464" s="10" t="str">
        <f>参数调整!$J$32</f>
        <v>精英掉落</v>
      </c>
      <c r="C1464" s="8" t="str">
        <f>材料产出!$AZ$2</f>
        <v>武器碎片</v>
      </c>
      <c r="D1464" s="224">
        <f>参数调整!$K$32*怪物掉落配置方案!$D4542</f>
        <v>1.5345630659612257E-4</v>
      </c>
    </row>
    <row r="1465" spans="1:4" ht="16.5" hidden="1" x14ac:dyDescent="0.3">
      <c r="A1465" s="10" t="str">
        <f>基本属性!$B$8&amp;"|"&amp;基本属性!$C$8</f>
        <v>65|0</v>
      </c>
      <c r="B1465" s="10" t="str">
        <f>参数调整!$J$32</f>
        <v>精英掉落</v>
      </c>
      <c r="C1465" s="8" t="str">
        <f>材料产出!$AZ$2</f>
        <v>武器碎片</v>
      </c>
      <c r="D1465" s="224">
        <f>参数调整!$K$32*怪物掉落配置方案!$D4543</f>
        <v>1.8262568718877396E-4</v>
      </c>
    </row>
    <row r="1466" spans="1:4" ht="16.5" hidden="1" x14ac:dyDescent="0.3">
      <c r="A1466" s="10" t="str">
        <f>基本属性!$B$9&amp;"|"&amp;基本属性!$C$9</f>
        <v>70|0</v>
      </c>
      <c r="B1466" s="10" t="str">
        <f>参数调整!$J$32</f>
        <v>精英掉落</v>
      </c>
      <c r="C1466" s="8" t="str">
        <f>材料产出!$AZ$2</f>
        <v>武器碎片</v>
      </c>
      <c r="D1466" s="224">
        <f>参数调整!$K$32*怪物掉落配置方案!$D4544</f>
        <v>2.1433153565904723E-4</v>
      </c>
    </row>
    <row r="1467" spans="1:4" ht="16.5" hidden="1" x14ac:dyDescent="0.3">
      <c r="A1467" s="10" t="str">
        <f>基本属性!$B$10&amp;"|"&amp;基本属性!$C$10</f>
        <v>75|0</v>
      </c>
      <c r="B1467" s="10" t="str">
        <f>参数调整!$J$32</f>
        <v>精英掉落</v>
      </c>
      <c r="C1467" s="8" t="str">
        <f>材料产出!$AZ$2</f>
        <v>武器碎片</v>
      </c>
      <c r="D1467" s="224">
        <f>参数调整!$K$32*怪物掉落配置方案!$D4545</f>
        <v>2.485738520069423E-4</v>
      </c>
    </row>
    <row r="1468" spans="1:4" ht="16.5" hidden="1" x14ac:dyDescent="0.3">
      <c r="A1468" s="10" t="str">
        <f>基本属性!$B$11&amp;"|"&amp;基本属性!$C$11</f>
        <v>80|1</v>
      </c>
      <c r="B1468" s="10" t="str">
        <f>参数调整!$J$32</f>
        <v>精英掉落</v>
      </c>
      <c r="C1468" s="8" t="str">
        <f>材料产出!$AZ$2</f>
        <v>武器碎片</v>
      </c>
      <c r="D1468" s="224">
        <f>参数调整!$K$32*怪物掉落配置方案!$D4546</f>
        <v>2.853526362324593E-4</v>
      </c>
    </row>
    <row r="1469" spans="1:4" ht="16.5" hidden="1" x14ac:dyDescent="0.3">
      <c r="A1469" s="10" t="str">
        <f>基本属性!$B$12&amp;"|"&amp;基本属性!$C$12</f>
        <v>90|2</v>
      </c>
      <c r="B1469" s="10" t="str">
        <f>参数调整!$J$32</f>
        <v>精英掉落</v>
      </c>
      <c r="C1469" s="8" t="str">
        <f>材料产出!$AZ$2</f>
        <v>武器碎片</v>
      </c>
      <c r="D1469" s="224">
        <f>参数调整!$K$32*怪物掉落配置方案!$D4547</f>
        <v>3.2466788833559822E-4</v>
      </c>
    </row>
    <row r="1470" spans="1:4" ht="16.5" hidden="1" x14ac:dyDescent="0.3">
      <c r="A1470" s="10" t="str">
        <f>基本属性!$B$13&amp;"|"&amp;基本属性!$C$13</f>
        <v>100|3</v>
      </c>
      <c r="B1470" s="10" t="str">
        <f>参数调整!$J$32</f>
        <v>精英掉落</v>
      </c>
      <c r="C1470" s="8" t="str">
        <f>材料产出!$AZ$2</f>
        <v>武器碎片</v>
      </c>
      <c r="D1470" s="224">
        <f>参数调整!$K$32*怪物掉落配置方案!$D4548</f>
        <v>4.1090779617474149E-4</v>
      </c>
    </row>
    <row r="1471" spans="1:4" ht="16.5" hidden="1" x14ac:dyDescent="0.3">
      <c r="A1471" s="10" t="str">
        <f>基本属性!$B$14&amp;"|"&amp;基本属性!$C$14</f>
        <v>105|4</v>
      </c>
      <c r="B1471" s="10" t="str">
        <f>参数调整!$J$32</f>
        <v>精英掉落</v>
      </c>
      <c r="C1471" s="8" t="str">
        <f>材料产出!$AZ$2</f>
        <v>武器碎片</v>
      </c>
      <c r="D1471" s="224">
        <f>参数调整!$K$32*怪物掉落配置方案!$D4549</f>
        <v>5.0729357552437221E-4</v>
      </c>
    </row>
    <row r="1472" spans="1:4" ht="16.5" hidden="1" x14ac:dyDescent="0.3">
      <c r="A1472" s="10" t="str">
        <f>基本属性!$B$15&amp;"|"&amp;基本属性!$C$15</f>
        <v>110|5</v>
      </c>
      <c r="B1472" s="10" t="str">
        <f>参数调整!$J$32</f>
        <v>精英掉落</v>
      </c>
      <c r="C1472" s="8" t="str">
        <f>材料产出!$AZ$2</f>
        <v>武器碎片</v>
      </c>
      <c r="D1472" s="224">
        <f>参数调整!$K$32*怪物掉落配置方案!$D4550</f>
        <v>6.1382522638449039E-4</v>
      </c>
    </row>
    <row r="1473" spans="1:4" ht="16.5" hidden="1" x14ac:dyDescent="0.3">
      <c r="A1473" s="10" t="str">
        <f>基本属性!$B$16&amp;"|"&amp;基本属性!$C$16</f>
        <v>120|6</v>
      </c>
      <c r="B1473" s="10" t="str">
        <f>参数调整!$J$32</f>
        <v>精英掉落</v>
      </c>
      <c r="C1473" s="8" t="str">
        <f>材料产出!$AZ$2</f>
        <v>武器碎片</v>
      </c>
      <c r="D1473" s="224">
        <f>参数调整!$K$32*怪物掉落配置方案!$D4551</f>
        <v>7.9264621175683162E-4</v>
      </c>
    </row>
    <row r="1474" spans="1:4" ht="16.5" hidden="1" x14ac:dyDescent="0.3">
      <c r="A1474" s="10" t="str">
        <f>基本属性!$B$17&amp;"|"&amp;基本属性!$C$17</f>
        <v>135|7</v>
      </c>
      <c r="B1474" s="10" t="str">
        <f>参数调整!$J$32</f>
        <v>精英掉落</v>
      </c>
      <c r="C1474" s="8" t="str">
        <f>材料产出!$AZ$2</f>
        <v>武器碎片</v>
      </c>
      <c r="D1474" s="224">
        <f>参数调整!$K$32*怪物掉落配置方案!$D4552</f>
        <v>1.1414105449298372E-3</v>
      </c>
    </row>
    <row r="1475" spans="1:4" ht="16.5" hidden="1" x14ac:dyDescent="0.3">
      <c r="A1475" s="10" t="str">
        <f>基本属性!$B$18&amp;"|"&amp;基本属性!$C$18</f>
        <v>155|8</v>
      </c>
      <c r="B1475" s="10" t="str">
        <f>参数调整!$J$32</f>
        <v>精英掉落</v>
      </c>
      <c r="C1475" s="8" t="str">
        <f>材料产出!$AZ$2</f>
        <v>武器碎片</v>
      </c>
      <c r="D1475" s="224">
        <f>参数调整!$K$32*怪物掉落配置方案!$D4553</f>
        <v>1.5535865750433897E-3</v>
      </c>
    </row>
    <row r="1476" spans="1:4" ht="16.5" hidden="1" x14ac:dyDescent="0.3">
      <c r="A1476" s="10" t="str">
        <f>基本属性!$B$19&amp;"|"&amp;基本属性!$C$19</f>
        <v>190|9</v>
      </c>
      <c r="B1476" s="10" t="str">
        <f>参数调整!$J$32</f>
        <v>精英掉落</v>
      </c>
      <c r="C1476" s="8" t="str">
        <f>材料产出!$AZ$2</f>
        <v>武器碎片</v>
      </c>
      <c r="D1476" s="224">
        <f>参数调整!$K$32*怪物掉落配置方案!$D4554</f>
        <v>1.7362122622321637E-3</v>
      </c>
    </row>
    <row r="1477" spans="1:4" ht="16.5" hidden="1" x14ac:dyDescent="0.3">
      <c r="A1477" s="10" t="str">
        <f>基本属性!$B$20&amp;"|"&amp;基本属性!$C$20</f>
        <v>200|10</v>
      </c>
      <c r="B1477" s="10" t="str">
        <f>参数调整!$J$32</f>
        <v>精英掉落</v>
      </c>
      <c r="C1477" s="8" t="str">
        <f>材料产出!$AZ$2</f>
        <v>武器碎片</v>
      </c>
      <c r="D1477" s="224">
        <f>参数调整!$K$32*怪物掉落配置方案!$D4555</f>
        <v>2.0291743020974889E-3</v>
      </c>
    </row>
    <row r="1478" spans="1:4" ht="16.5" hidden="1" x14ac:dyDescent="0.3">
      <c r="A1478" s="10" t="str">
        <f>基本属性!$B$21&amp;"|"&amp;基本属性!$C$21</f>
        <v>200|11</v>
      </c>
      <c r="B1478" s="10" t="str">
        <f>参数调整!$J$32</f>
        <v>精英掉落</v>
      </c>
      <c r="C1478" s="8" t="str">
        <f>材料产出!$AZ$2</f>
        <v>武器碎片</v>
      </c>
      <c r="D1478" s="224">
        <f>参数调整!$K$32*怪物掉落配置方案!$D4556</f>
        <v>2.3449645528614096E-3</v>
      </c>
    </row>
    <row r="1479" spans="1:4" ht="16.5" hidden="1" x14ac:dyDescent="0.3">
      <c r="A1479" s="10" t="str">
        <f>基本属性!$B$22&amp;"|"&amp;基本属性!$C$22</f>
        <v>210|12</v>
      </c>
      <c r="B1479" s="10" t="str">
        <f>参数调整!$J$32</f>
        <v>精英掉落</v>
      </c>
      <c r="C1479" s="8" t="str">
        <f>材料产出!$AZ$2</f>
        <v>武器碎片</v>
      </c>
      <c r="D1479" s="224">
        <f>参数调整!$K$32*怪物掉落配置方案!$D4557</f>
        <v>2.6835830145239279E-3</v>
      </c>
    </row>
    <row r="1480" spans="1:4" ht="16.5" hidden="1" x14ac:dyDescent="0.3">
      <c r="A1480" s="10" t="str">
        <f>基本属性!$B$23&amp;"|"&amp;基本属性!$C$23</f>
        <v>210|13</v>
      </c>
      <c r="B1480" s="10" t="str">
        <f>参数调整!$J$32</f>
        <v>精英掉落</v>
      </c>
      <c r="C1480" s="8" t="str">
        <f>材料产出!$AZ$2</f>
        <v>武器碎片</v>
      </c>
      <c r="D1480" s="224">
        <f>参数调整!$K$32*怪物掉落配置方案!$D4558</f>
        <v>3.0450296870850441E-3</v>
      </c>
    </row>
    <row r="1481" spans="1:4" ht="16.5" hidden="1" x14ac:dyDescent="0.3">
      <c r="A1481" s="10" t="str">
        <f>基本属性!$B$24&amp;"|"&amp;基本属性!$C$24</f>
        <v>220|14</v>
      </c>
      <c r="B1481" s="10" t="str">
        <f>参数调整!$J$32</f>
        <v>精英掉落</v>
      </c>
      <c r="C1481" s="8" t="str">
        <f>材料产出!$AZ$2</f>
        <v>武器碎片</v>
      </c>
      <c r="D1481" s="224">
        <f>参数调整!$K$32*怪物掉落配置方案!$D4559</f>
        <v>3.4293045705447557E-3</v>
      </c>
    </row>
    <row r="1482" spans="1:4" ht="16.5" hidden="1" x14ac:dyDescent="0.3">
      <c r="A1482" s="10" t="str">
        <f>基本属性!$B$25&amp;"|"&amp;基本属性!$C$25</f>
        <v>220|15</v>
      </c>
      <c r="B1482" s="10" t="str">
        <f>参数调整!$J$32</f>
        <v>精英掉落</v>
      </c>
      <c r="C1482" s="8" t="str">
        <f>材料产出!$AZ$2</f>
        <v>武器碎片</v>
      </c>
      <c r="D1482" s="224">
        <f>参数调整!$K$32*怪物掉落配置方案!$D4560</f>
        <v>3.8364076649030632E-3</v>
      </c>
    </row>
    <row r="1483" spans="1:4" ht="16.5" hidden="1" x14ac:dyDescent="0.3">
      <c r="A1483" s="10" t="str">
        <f>基本属性!$B$26&amp;"|"&amp;基本属性!$C$26</f>
        <v>230|16</v>
      </c>
      <c r="B1483" s="10" t="str">
        <f>参数调整!$J$32</f>
        <v>精英掉落</v>
      </c>
      <c r="C1483" s="8" t="str">
        <f>材料产出!$AZ$2</f>
        <v>武器碎片</v>
      </c>
      <c r="D1483" s="224">
        <f>参数调整!$K$32*怪物掉落配置方案!$D4561</f>
        <v>4.2663389701599694E-3</v>
      </c>
    </row>
    <row r="1484" spans="1:4" ht="16.5" hidden="1" x14ac:dyDescent="0.3">
      <c r="A1484" s="10" t="str">
        <f>基本属性!$B$27&amp;"|"&amp;基本属性!$C$27</f>
        <v>230|17</v>
      </c>
      <c r="B1484" s="10" t="str">
        <f>参数调整!$J$32</f>
        <v>精英掉落</v>
      </c>
      <c r="C1484" s="8" t="str">
        <f>材料产出!$AZ$2</f>
        <v>武器碎片</v>
      </c>
      <c r="D1484" s="224">
        <f>参数调整!$K$32*怪物掉落配置方案!$D4562</f>
        <v>4.7190984863154711E-3</v>
      </c>
    </row>
    <row r="1485" spans="1:4" ht="16.5" hidden="1" x14ac:dyDescent="0.3">
      <c r="A1485" s="10" t="str">
        <f>基本属性!$B$28&amp;"|"&amp;基本属性!$C$28</f>
        <v>240|18</v>
      </c>
      <c r="B1485" s="10" t="str">
        <f>参数调整!$J$32</f>
        <v>精英掉落</v>
      </c>
      <c r="C1485" s="8" t="str">
        <f>材料产出!$AZ$2</f>
        <v>武器碎片</v>
      </c>
      <c r="D1485" s="224">
        <f>参数调整!$K$32*怪物掉落配置方案!$D4563</f>
        <v>5.1946862133695707E-3</v>
      </c>
    </row>
    <row r="1486" spans="1:4" ht="16.5" hidden="1" x14ac:dyDescent="0.3">
      <c r="A1486" s="10" t="str">
        <f>基本属性!$B$29&amp;"|"&amp;基本属性!$C$29</f>
        <v>240|19</v>
      </c>
      <c r="B1486" s="10" t="str">
        <f>参数调整!$J$32</f>
        <v>精英掉落</v>
      </c>
      <c r="C1486" s="8" t="str">
        <f>材料产出!$AZ$2</f>
        <v>武器碎片</v>
      </c>
      <c r="D1486" s="224">
        <f>参数调整!$K$32*怪物掉落配置方案!$D4564</f>
        <v>5.6931021513222666E-3</v>
      </c>
    </row>
    <row r="1487" spans="1:4" ht="16.5" hidden="1" x14ac:dyDescent="0.3">
      <c r="A1487" s="10" t="str">
        <f>基本属性!$B$30&amp;"|"&amp;基本属性!$C$30</f>
        <v>250|20</v>
      </c>
      <c r="B1487" s="10" t="str">
        <f>参数调整!$J$32</f>
        <v>精英掉落</v>
      </c>
      <c r="C1487" s="8" t="str">
        <f>材料产出!$AZ$2</f>
        <v>武器碎片</v>
      </c>
      <c r="D1487" s="224">
        <f>参数调整!$K$32*怪物掉落配置方案!$D4565</f>
        <v>6.214346300173557E-3</v>
      </c>
    </row>
    <row r="1488" spans="1:4" ht="16.5" hidden="1" x14ac:dyDescent="0.3">
      <c r="A1488" s="10" t="str">
        <f>基本属性!$B$4&amp;"|"&amp;基本属性!$C$4</f>
        <v>35|0</v>
      </c>
      <c r="B1488" s="10" t="str">
        <f>参数调整!$J$32</f>
        <v>精英掉落</v>
      </c>
      <c r="C1488" s="8" t="str">
        <f>材料产出!$HW$2</f>
        <v>特戒装备</v>
      </c>
      <c r="D1488" s="224">
        <f>参数调整!$K$32*怪物掉落配置方案!$D4566</f>
        <v>0</v>
      </c>
    </row>
    <row r="1489" spans="1:4" ht="16.5" hidden="1" x14ac:dyDescent="0.3">
      <c r="A1489" s="10" t="str">
        <f>基本属性!$B$5&amp;"|"&amp;基本属性!$C$5</f>
        <v>40|0</v>
      </c>
      <c r="B1489" s="10" t="str">
        <f>参数调整!$J$32</f>
        <v>精英掉落</v>
      </c>
      <c r="C1489" s="8" t="str">
        <f>材料产出!$HW$2</f>
        <v>特戒装备</v>
      </c>
      <c r="D1489" s="224">
        <f>参数调整!$K$32*怪物掉落配置方案!$D4567</f>
        <v>0</v>
      </c>
    </row>
    <row r="1490" spans="1:4" ht="16.5" hidden="1" x14ac:dyDescent="0.3">
      <c r="A1490" s="10" t="str">
        <f>基本属性!$B$6&amp;"|"&amp;基本属性!$C$6</f>
        <v>50|0</v>
      </c>
      <c r="B1490" s="10" t="str">
        <f>参数调整!$J$32</f>
        <v>精英掉落</v>
      </c>
      <c r="C1490" s="8" t="str">
        <f>材料产出!$HW$2</f>
        <v>特戒装备</v>
      </c>
      <c r="D1490" s="224">
        <f>参数调整!$K$32*怪物掉落配置方案!$D4568</f>
        <v>0</v>
      </c>
    </row>
    <row r="1491" spans="1:4" ht="16.5" hidden="1" x14ac:dyDescent="0.3">
      <c r="A1491" s="10" t="str">
        <f>基本属性!$B$7&amp;"|"&amp;基本属性!$C$7</f>
        <v>60|0</v>
      </c>
      <c r="B1491" s="10" t="str">
        <f>参数调整!$J$32</f>
        <v>精英掉落</v>
      </c>
      <c r="C1491" s="8" t="str">
        <f>材料产出!$HW$2</f>
        <v>特戒装备</v>
      </c>
      <c r="D1491" s="224">
        <f>参数调整!$K$32*怪物掉落配置方案!$D4569</f>
        <v>0</v>
      </c>
    </row>
    <row r="1492" spans="1:4" ht="16.5" hidden="1" x14ac:dyDescent="0.3">
      <c r="A1492" s="10" t="str">
        <f>基本属性!$B$8&amp;"|"&amp;基本属性!$C$8</f>
        <v>65|0</v>
      </c>
      <c r="B1492" s="10" t="str">
        <f>参数调整!$J$32</f>
        <v>精英掉落</v>
      </c>
      <c r="C1492" s="8" t="str">
        <f>材料产出!$HW$2</f>
        <v>特戒装备</v>
      </c>
      <c r="D1492" s="224">
        <f>参数调整!$K$32*怪物掉落配置方案!$D4570</f>
        <v>0</v>
      </c>
    </row>
    <row r="1493" spans="1:4" ht="16.5" hidden="1" x14ac:dyDescent="0.3">
      <c r="A1493" s="10" t="str">
        <f>基本属性!$B$9&amp;"|"&amp;基本属性!$C$9</f>
        <v>70|0</v>
      </c>
      <c r="B1493" s="10" t="str">
        <f>参数调整!$J$32</f>
        <v>精英掉落</v>
      </c>
      <c r="C1493" s="8" t="str">
        <f>材料产出!$HW$2</f>
        <v>特戒装备</v>
      </c>
      <c r="D1493" s="224">
        <f>参数调整!$K$32*怪物掉落配置方案!$D4571</f>
        <v>0</v>
      </c>
    </row>
    <row r="1494" spans="1:4" ht="16.5" hidden="1" x14ac:dyDescent="0.3">
      <c r="A1494" s="10" t="str">
        <f>基本属性!$B$10&amp;"|"&amp;基本属性!$C$10</f>
        <v>75|0</v>
      </c>
      <c r="B1494" s="10" t="str">
        <f>参数调整!$J$32</f>
        <v>精英掉落</v>
      </c>
      <c r="C1494" s="8" t="str">
        <f>材料产出!$HW$2</f>
        <v>特戒装备</v>
      </c>
      <c r="D1494" s="224">
        <f>参数调整!$K$32*怪物掉落配置方案!$D4572</f>
        <v>0</v>
      </c>
    </row>
    <row r="1495" spans="1:4" ht="16.5" hidden="1" x14ac:dyDescent="0.3">
      <c r="A1495" s="10" t="str">
        <f>基本属性!$B$11&amp;"|"&amp;基本属性!$C$11</f>
        <v>80|1</v>
      </c>
      <c r="B1495" s="10" t="str">
        <f>参数调整!$J$32</f>
        <v>精英掉落</v>
      </c>
      <c r="C1495" s="8" t="str">
        <f>材料产出!$HW$2</f>
        <v>特戒装备</v>
      </c>
      <c r="D1495" s="224">
        <f>参数调整!$K$32*怪物掉落配置方案!$D4573</f>
        <v>0</v>
      </c>
    </row>
    <row r="1496" spans="1:4" ht="16.5" hidden="1" x14ac:dyDescent="0.3">
      <c r="A1496" s="10" t="str">
        <f>基本属性!$B$12&amp;"|"&amp;基本属性!$C$12</f>
        <v>90|2</v>
      </c>
      <c r="B1496" s="10" t="str">
        <f>参数调整!$J$32</f>
        <v>精英掉落</v>
      </c>
      <c r="C1496" s="8" t="str">
        <f>材料产出!$HW$2</f>
        <v>特戒装备</v>
      </c>
      <c r="D1496" s="224">
        <f>参数调整!$K$32*怪物掉落配置方案!$D4574</f>
        <v>0</v>
      </c>
    </row>
    <row r="1497" spans="1:4" ht="16.5" hidden="1" x14ac:dyDescent="0.3">
      <c r="A1497" s="10" t="str">
        <f>基本属性!$B$13&amp;"|"&amp;基本属性!$C$13</f>
        <v>100|3</v>
      </c>
      <c r="B1497" s="10" t="str">
        <f>参数调整!$J$32</f>
        <v>精英掉落</v>
      </c>
      <c r="C1497" s="8" t="str">
        <f>材料产出!$HW$2</f>
        <v>特戒装备</v>
      </c>
      <c r="D1497" s="224">
        <f>参数调整!$K$32*怪物掉落配置方案!$D4575</f>
        <v>0</v>
      </c>
    </row>
    <row r="1498" spans="1:4" ht="16.5" hidden="1" x14ac:dyDescent="0.3">
      <c r="A1498" s="10" t="str">
        <f>基本属性!$B$14&amp;"|"&amp;基本属性!$C$14</f>
        <v>105|4</v>
      </c>
      <c r="B1498" s="10" t="str">
        <f>参数调整!$J$32</f>
        <v>精英掉落</v>
      </c>
      <c r="C1498" s="8" t="str">
        <f>材料产出!$HW$2</f>
        <v>特戒装备</v>
      </c>
      <c r="D1498" s="224">
        <f>参数调整!$K$32*怪物掉落配置方案!$D4576</f>
        <v>0</v>
      </c>
    </row>
    <row r="1499" spans="1:4" ht="16.5" hidden="1" x14ac:dyDescent="0.3">
      <c r="A1499" s="10" t="str">
        <f>基本属性!$B$15&amp;"|"&amp;基本属性!$C$15</f>
        <v>110|5</v>
      </c>
      <c r="B1499" s="10" t="str">
        <f>参数调整!$J$32</f>
        <v>精英掉落</v>
      </c>
      <c r="C1499" s="8" t="str">
        <f>材料产出!$HW$2</f>
        <v>特戒装备</v>
      </c>
      <c r="D1499" s="224">
        <f>参数调整!$K$32*怪物掉落配置方案!$D4577</f>
        <v>0</v>
      </c>
    </row>
    <row r="1500" spans="1:4" ht="16.5" hidden="1" x14ac:dyDescent="0.3">
      <c r="A1500" s="10" t="str">
        <f>基本属性!$B$16&amp;"|"&amp;基本属性!$C$16</f>
        <v>120|6</v>
      </c>
      <c r="B1500" s="10" t="str">
        <f>参数调整!$J$32</f>
        <v>精英掉落</v>
      </c>
      <c r="C1500" s="8" t="str">
        <f>材料产出!$HW$2</f>
        <v>特戒装备</v>
      </c>
      <c r="D1500" s="224">
        <f>参数调整!$K$32*怪物掉落配置方案!$D4578</f>
        <v>0</v>
      </c>
    </row>
    <row r="1501" spans="1:4" ht="16.5" hidden="1" x14ac:dyDescent="0.3">
      <c r="A1501" s="10" t="str">
        <f>基本属性!$B$17&amp;"|"&amp;基本属性!$C$17</f>
        <v>135|7</v>
      </c>
      <c r="B1501" s="10" t="str">
        <f>参数调整!$J$32</f>
        <v>精英掉落</v>
      </c>
      <c r="C1501" s="8" t="str">
        <f>材料产出!$HW$2</f>
        <v>特戒装备</v>
      </c>
      <c r="D1501" s="224">
        <f>参数调整!$K$32*怪物掉落配置方案!$D4579</f>
        <v>0</v>
      </c>
    </row>
    <row r="1502" spans="1:4" ht="16.5" hidden="1" x14ac:dyDescent="0.3">
      <c r="A1502" s="10" t="str">
        <f>基本属性!$B$18&amp;"|"&amp;基本属性!$C$18</f>
        <v>155|8</v>
      </c>
      <c r="B1502" s="10" t="str">
        <f>参数调整!$J$32</f>
        <v>精英掉落</v>
      </c>
      <c r="C1502" s="8" t="str">
        <f>材料产出!$HW$2</f>
        <v>特戒装备</v>
      </c>
      <c r="D1502" s="224">
        <f>参数调整!$K$32*怪物掉落配置方案!$D4580</f>
        <v>0</v>
      </c>
    </row>
    <row r="1503" spans="1:4" ht="16.5" hidden="1" x14ac:dyDescent="0.3">
      <c r="A1503" s="10" t="str">
        <f>基本属性!$B$19&amp;"|"&amp;基本属性!$C$19</f>
        <v>190|9</v>
      </c>
      <c r="B1503" s="10" t="str">
        <f>参数调整!$J$32</f>
        <v>精英掉落</v>
      </c>
      <c r="C1503" s="8" t="str">
        <f>材料产出!$HW$2</f>
        <v>特戒装备</v>
      </c>
      <c r="D1503" s="224">
        <f>参数调整!$K$32*怪物掉落配置方案!$D4581</f>
        <v>0</v>
      </c>
    </row>
    <row r="1504" spans="1:4" ht="16.5" hidden="1" x14ac:dyDescent="0.3">
      <c r="A1504" s="10" t="str">
        <f>基本属性!$B$20&amp;"|"&amp;基本属性!$C$20</f>
        <v>200|10</v>
      </c>
      <c r="B1504" s="10" t="str">
        <f>参数调整!$J$32</f>
        <v>精英掉落</v>
      </c>
      <c r="C1504" s="8" t="str">
        <f>材料产出!$HW$2</f>
        <v>特戒装备</v>
      </c>
      <c r="D1504" s="224">
        <f>参数调整!$K$32*怪物掉落配置方案!$D4582</f>
        <v>0</v>
      </c>
    </row>
    <row r="1505" spans="1:4" ht="16.5" hidden="1" x14ac:dyDescent="0.3">
      <c r="A1505" s="10" t="str">
        <f>基本属性!$B$21&amp;"|"&amp;基本属性!$C$21</f>
        <v>200|11</v>
      </c>
      <c r="B1505" s="10" t="str">
        <f>参数调整!$J$32</f>
        <v>精英掉落</v>
      </c>
      <c r="C1505" s="8" t="str">
        <f>材料产出!$HW$2</f>
        <v>特戒装备</v>
      </c>
      <c r="D1505" s="224">
        <f>参数调整!$K$32*怪物掉落配置方案!$D4583</f>
        <v>0</v>
      </c>
    </row>
    <row r="1506" spans="1:4" ht="16.5" hidden="1" x14ac:dyDescent="0.3">
      <c r="A1506" s="10" t="str">
        <f>基本属性!$B$22&amp;"|"&amp;基本属性!$C$22</f>
        <v>210|12</v>
      </c>
      <c r="B1506" s="10" t="str">
        <f>参数调整!$J$32</f>
        <v>精英掉落</v>
      </c>
      <c r="C1506" s="8" t="str">
        <f>材料产出!$HW$2</f>
        <v>特戒装备</v>
      </c>
      <c r="D1506" s="224">
        <f>参数调整!$K$32*怪物掉落配置方案!$D4584</f>
        <v>0</v>
      </c>
    </row>
    <row r="1507" spans="1:4" ht="16.5" hidden="1" x14ac:dyDescent="0.3">
      <c r="A1507" s="10" t="str">
        <f>基本属性!$B$23&amp;"|"&amp;基本属性!$C$23</f>
        <v>210|13</v>
      </c>
      <c r="B1507" s="10" t="str">
        <f>参数调整!$J$32</f>
        <v>精英掉落</v>
      </c>
      <c r="C1507" s="8" t="str">
        <f>材料产出!$HW$2</f>
        <v>特戒装备</v>
      </c>
      <c r="D1507" s="224">
        <f>参数调整!$K$32*怪物掉落配置方案!$D4585</f>
        <v>0</v>
      </c>
    </row>
    <row r="1508" spans="1:4" ht="16.5" hidden="1" x14ac:dyDescent="0.3">
      <c r="A1508" s="10" t="str">
        <f>基本属性!$B$24&amp;"|"&amp;基本属性!$C$24</f>
        <v>220|14</v>
      </c>
      <c r="B1508" s="10" t="str">
        <f>参数调整!$J$32</f>
        <v>精英掉落</v>
      </c>
      <c r="C1508" s="8" t="str">
        <f>材料产出!$HW$2</f>
        <v>特戒装备</v>
      </c>
      <c r="D1508" s="224">
        <f>参数调整!$K$32*怪物掉落配置方案!$D4586</f>
        <v>0</v>
      </c>
    </row>
    <row r="1509" spans="1:4" ht="16.5" hidden="1" x14ac:dyDescent="0.3">
      <c r="A1509" s="10" t="str">
        <f>基本属性!$B$25&amp;"|"&amp;基本属性!$C$25</f>
        <v>220|15</v>
      </c>
      <c r="B1509" s="10" t="str">
        <f>参数调整!$J$32</f>
        <v>精英掉落</v>
      </c>
      <c r="C1509" s="8" t="str">
        <f>材料产出!$HW$2</f>
        <v>特戒装备</v>
      </c>
      <c r="D1509" s="224">
        <f>参数调整!$K$32*怪物掉落配置方案!$D4587</f>
        <v>0</v>
      </c>
    </row>
    <row r="1510" spans="1:4" ht="16.5" hidden="1" x14ac:dyDescent="0.3">
      <c r="A1510" s="10" t="str">
        <f>基本属性!$B$26&amp;"|"&amp;基本属性!$C$26</f>
        <v>230|16</v>
      </c>
      <c r="B1510" s="10" t="str">
        <f>参数调整!$J$32</f>
        <v>精英掉落</v>
      </c>
      <c r="C1510" s="8" t="str">
        <f>材料产出!$HW$2</f>
        <v>特戒装备</v>
      </c>
      <c r="D1510" s="224">
        <f>参数调整!$K$32*怪物掉落配置方案!$D4588</f>
        <v>0</v>
      </c>
    </row>
    <row r="1511" spans="1:4" ht="16.5" hidden="1" x14ac:dyDescent="0.3">
      <c r="A1511" s="10" t="str">
        <f>基本属性!$B$27&amp;"|"&amp;基本属性!$C$27</f>
        <v>230|17</v>
      </c>
      <c r="B1511" s="10" t="str">
        <f>参数调整!$J$32</f>
        <v>精英掉落</v>
      </c>
      <c r="C1511" s="8" t="str">
        <f>材料产出!$HW$2</f>
        <v>特戒装备</v>
      </c>
      <c r="D1511" s="224">
        <f>参数调整!$K$32*怪物掉落配置方案!$D4589</f>
        <v>0</v>
      </c>
    </row>
    <row r="1512" spans="1:4" ht="16.5" hidden="1" x14ac:dyDescent="0.3">
      <c r="A1512" s="10" t="str">
        <f>基本属性!$B$28&amp;"|"&amp;基本属性!$C$28</f>
        <v>240|18</v>
      </c>
      <c r="B1512" s="10" t="str">
        <f>参数调整!$J$32</f>
        <v>精英掉落</v>
      </c>
      <c r="C1512" s="8" t="str">
        <f>材料产出!$HW$2</f>
        <v>特戒装备</v>
      </c>
      <c r="D1512" s="224">
        <f>参数调整!$K$32*怪物掉落配置方案!$D4590</f>
        <v>0</v>
      </c>
    </row>
    <row r="1513" spans="1:4" ht="16.5" hidden="1" x14ac:dyDescent="0.3">
      <c r="A1513" s="10" t="str">
        <f>基本属性!$B$29&amp;"|"&amp;基本属性!$C$29</f>
        <v>240|19</v>
      </c>
      <c r="B1513" s="10" t="str">
        <f>参数调整!$J$32</f>
        <v>精英掉落</v>
      </c>
      <c r="C1513" s="8" t="str">
        <f>材料产出!$HW$2</f>
        <v>特戒装备</v>
      </c>
      <c r="D1513" s="224">
        <f>参数调整!$K$32*怪物掉落配置方案!$D4591</f>
        <v>0</v>
      </c>
    </row>
    <row r="1514" spans="1:4" ht="16.5" hidden="1" x14ac:dyDescent="0.3">
      <c r="A1514" s="10" t="str">
        <f>基本属性!$B$30&amp;"|"&amp;基本属性!$C$30</f>
        <v>250|20</v>
      </c>
      <c r="B1514" s="10" t="str">
        <f>参数调整!$J$32</f>
        <v>精英掉落</v>
      </c>
      <c r="C1514" s="8" t="str">
        <f>材料产出!$HW$2</f>
        <v>特戒装备</v>
      </c>
      <c r="D1514" s="224">
        <f>参数调整!$K$32*怪物掉落配置方案!$D4592</f>
        <v>0</v>
      </c>
    </row>
    <row r="1515" spans="1:4" ht="16.5" hidden="1" x14ac:dyDescent="0.3">
      <c r="A1515" s="10" t="str">
        <f>基本属性!$B$4&amp;"|"&amp;基本属性!$C$4</f>
        <v>35|0</v>
      </c>
      <c r="B1515" s="10" t="str">
        <f>参数调整!$J$32</f>
        <v>精英掉落</v>
      </c>
      <c r="C1515" s="8" t="str">
        <f>材料产出!$BF$2</f>
        <v>首饰碎片</v>
      </c>
      <c r="D1515" s="224">
        <f>参数调整!$K$32*怪物掉落配置方案!$D4593</f>
        <v>4.0583486041949769E-4</v>
      </c>
    </row>
    <row r="1516" spans="1:4" ht="16.5" hidden="1" x14ac:dyDescent="0.3">
      <c r="A1516" s="10" t="str">
        <f>基本属性!$B$5&amp;"|"&amp;基本属性!$C$5</f>
        <v>40|0</v>
      </c>
      <c r="B1516" s="10" t="str">
        <f>参数调整!$J$32</f>
        <v>精英掉落</v>
      </c>
      <c r="C1516" s="8" t="str">
        <f>材料产出!$BF$2</f>
        <v>首饰碎片</v>
      </c>
      <c r="D1516" s="224">
        <f>参数调整!$K$32*怪物掉落配置方案!$D4594</f>
        <v>5.136347452184268E-4</v>
      </c>
    </row>
    <row r="1517" spans="1:4" ht="16.5" hidden="1" x14ac:dyDescent="0.3">
      <c r="A1517" s="10" t="str">
        <f>基本属性!$B$6&amp;"|"&amp;基本属性!$C$6</f>
        <v>50|0</v>
      </c>
      <c r="B1517" s="10" t="str">
        <f>参数调整!$J$32</f>
        <v>精英掉落</v>
      </c>
      <c r="C1517" s="8" t="str">
        <f>材料产出!$BF$2</f>
        <v>首饰碎片</v>
      </c>
      <c r="D1517" s="224">
        <f>参数调整!$K$32*怪物掉落配置方案!$D4595</f>
        <v>6.3411696940546508E-4</v>
      </c>
    </row>
    <row r="1518" spans="1:4" ht="16.5" hidden="1" x14ac:dyDescent="0.3">
      <c r="A1518" s="10" t="str">
        <f>基本属性!$B$7&amp;"|"&amp;基本属性!$C$7</f>
        <v>60|0</v>
      </c>
      <c r="B1518" s="10" t="str">
        <f>参数调整!$J$32</f>
        <v>精英掉落</v>
      </c>
      <c r="C1518" s="8" t="str">
        <f>材料产出!$BF$2</f>
        <v>首饰碎片</v>
      </c>
      <c r="D1518" s="224">
        <f>参数调整!$K$32*怪物掉落配置方案!$D4596</f>
        <v>7.6728153298061296E-4</v>
      </c>
    </row>
    <row r="1519" spans="1:4" ht="16.5" hidden="1" x14ac:dyDescent="0.3">
      <c r="A1519" s="10" t="str">
        <f>基本属性!$B$8&amp;"|"&amp;基本属性!$C$8</f>
        <v>65|0</v>
      </c>
      <c r="B1519" s="10" t="str">
        <f>参数调整!$J$32</f>
        <v>精英掉落</v>
      </c>
      <c r="C1519" s="8" t="str">
        <f>材料产出!$BF$2</f>
        <v>首饰碎片</v>
      </c>
      <c r="D1519" s="224">
        <f>参数调整!$K$32*怪物掉落配置方案!$D4597</f>
        <v>9.1312843594386979E-4</v>
      </c>
    </row>
    <row r="1520" spans="1:4" ht="16.5" hidden="1" x14ac:dyDescent="0.3">
      <c r="A1520" s="10" t="str">
        <f>基本属性!$B$9&amp;"|"&amp;基本属性!$C$9</f>
        <v>70|0</v>
      </c>
      <c r="B1520" s="10" t="str">
        <f>参数调整!$J$32</f>
        <v>精英掉落</v>
      </c>
      <c r="C1520" s="8" t="str">
        <f>材料产出!$BF$2</f>
        <v>首饰碎片</v>
      </c>
      <c r="D1520" s="224">
        <f>参数调整!$K$32*怪物掉落配置方案!$D4598</f>
        <v>1.0716576782952361E-3</v>
      </c>
    </row>
    <row r="1521" spans="1:4" ht="16.5" hidden="1" x14ac:dyDescent="0.3">
      <c r="A1521" s="10" t="str">
        <f>基本属性!$B$10&amp;"|"&amp;基本属性!$C$10</f>
        <v>75|0</v>
      </c>
      <c r="B1521" s="10" t="str">
        <f>参数调整!$J$32</f>
        <v>精英掉落</v>
      </c>
      <c r="C1521" s="8" t="str">
        <f>材料产出!$BF$2</f>
        <v>首饰碎片</v>
      </c>
      <c r="D1521" s="224">
        <f>参数调整!$K$32*怪物掉落配置方案!$D4599</f>
        <v>1.2428692600347114E-3</v>
      </c>
    </row>
    <row r="1522" spans="1:4" ht="16.5" hidden="1" x14ac:dyDescent="0.3">
      <c r="A1522" s="10" t="str">
        <f>基本属性!$B$11&amp;"|"&amp;基本属性!$C$11</f>
        <v>80|1</v>
      </c>
      <c r="B1522" s="10" t="str">
        <f>参数调整!$J$32</f>
        <v>精英掉落</v>
      </c>
      <c r="C1522" s="8" t="str">
        <f>材料产出!$BF$2</f>
        <v>首饰碎片</v>
      </c>
      <c r="D1522" s="224">
        <f>参数调整!$K$32*怪物掉落配置方案!$D4600</f>
        <v>1.4267631811622967E-3</v>
      </c>
    </row>
    <row r="1523" spans="1:4" ht="16.5" hidden="1" x14ac:dyDescent="0.3">
      <c r="A1523" s="10" t="str">
        <f>基本属性!$B$12&amp;"|"&amp;基本属性!$C$12</f>
        <v>90|2</v>
      </c>
      <c r="B1523" s="10" t="str">
        <f>参数调整!$J$32</f>
        <v>精英掉落</v>
      </c>
      <c r="C1523" s="8" t="str">
        <f>材料产出!$BF$2</f>
        <v>首饰碎片</v>
      </c>
      <c r="D1523" s="224">
        <f>参数调整!$K$32*怪物掉落配置方案!$D4601</f>
        <v>1.6233394416779914E-3</v>
      </c>
    </row>
    <row r="1524" spans="1:4" ht="16.5" hidden="1" x14ac:dyDescent="0.3">
      <c r="A1524" s="10" t="str">
        <f>基本属性!$B$13&amp;"|"&amp;基本属性!$C$13</f>
        <v>100|3</v>
      </c>
      <c r="B1524" s="10" t="str">
        <f>参数调整!$J$32</f>
        <v>精英掉落</v>
      </c>
      <c r="C1524" s="8" t="str">
        <f>材料产出!$BF$2</f>
        <v>首饰碎片</v>
      </c>
      <c r="D1524" s="224">
        <f>参数调整!$K$32*怪物掉落配置方案!$D4602</f>
        <v>2.0545389808737076E-3</v>
      </c>
    </row>
    <row r="1525" spans="1:4" ht="16.5" hidden="1" x14ac:dyDescent="0.3">
      <c r="A1525" s="10" t="str">
        <f>基本属性!$B$14&amp;"|"&amp;基本属性!$C$14</f>
        <v>105|4</v>
      </c>
      <c r="B1525" s="10" t="str">
        <f>参数调整!$J$32</f>
        <v>精英掉落</v>
      </c>
      <c r="C1525" s="8" t="str">
        <f>材料产出!$BF$2</f>
        <v>首饰碎片</v>
      </c>
      <c r="D1525" s="224">
        <f>参数调整!$K$32*怪物掉落配置方案!$D4603</f>
        <v>2.5364678776218612E-3</v>
      </c>
    </row>
    <row r="1526" spans="1:4" ht="16.5" hidden="1" x14ac:dyDescent="0.3">
      <c r="A1526" s="10" t="str">
        <f>基本属性!$B$15&amp;"|"&amp;基本属性!$C$15</f>
        <v>110|5</v>
      </c>
      <c r="B1526" s="10" t="str">
        <f>参数调整!$J$32</f>
        <v>精英掉落</v>
      </c>
      <c r="C1526" s="8" t="str">
        <f>材料产出!$BF$2</f>
        <v>首饰碎片</v>
      </c>
      <c r="D1526" s="224">
        <f>参数调整!$K$32*怪物掉落配置方案!$D4604</f>
        <v>3.0691261319224518E-3</v>
      </c>
    </row>
    <row r="1527" spans="1:4" ht="16.5" hidden="1" x14ac:dyDescent="0.3">
      <c r="A1527" s="10" t="str">
        <f>基本属性!$B$16&amp;"|"&amp;基本属性!$C$16</f>
        <v>120|6</v>
      </c>
      <c r="B1527" s="10" t="str">
        <f>参数调整!$J$32</f>
        <v>精英掉落</v>
      </c>
      <c r="C1527" s="8" t="str">
        <f>材料产出!$BF$2</f>
        <v>首饰碎片</v>
      </c>
      <c r="D1527" s="224">
        <f>参数调整!$K$32*怪物掉落配置方案!$D4605</f>
        <v>3.9632310587841574E-3</v>
      </c>
    </row>
    <row r="1528" spans="1:4" ht="16.5" hidden="1" x14ac:dyDescent="0.3">
      <c r="A1528" s="10" t="str">
        <f>基本属性!$B$17&amp;"|"&amp;基本属性!$C$17</f>
        <v>135|7</v>
      </c>
      <c r="B1528" s="10" t="str">
        <f>参数调整!$J$32</f>
        <v>精英掉落</v>
      </c>
      <c r="C1528" s="8" t="str">
        <f>材料产出!$BF$2</f>
        <v>首饰碎片</v>
      </c>
      <c r="D1528" s="224">
        <f>参数调整!$K$32*怪物掉落配置方案!$D4606</f>
        <v>5.7070527246491859E-3</v>
      </c>
    </row>
    <row r="1529" spans="1:4" ht="16.5" hidden="1" x14ac:dyDescent="0.3">
      <c r="A1529" s="10" t="str">
        <f>基本属性!$B$18&amp;"|"&amp;基本属性!$C$18</f>
        <v>155|8</v>
      </c>
      <c r="B1529" s="10" t="str">
        <f>参数调整!$J$32</f>
        <v>精英掉落</v>
      </c>
      <c r="C1529" s="8" t="str">
        <f>材料产出!$BF$2</f>
        <v>首饰碎片</v>
      </c>
      <c r="D1529" s="224">
        <f>参数调整!$K$32*怪物掉落配置方案!$D4607</f>
        <v>7.7679328752169492E-3</v>
      </c>
    </row>
    <row r="1530" spans="1:4" ht="16.5" hidden="1" x14ac:dyDescent="0.3">
      <c r="A1530" s="10" t="str">
        <f>基本属性!$B$19&amp;"|"&amp;基本属性!$C$19</f>
        <v>190|9</v>
      </c>
      <c r="B1530" s="10" t="str">
        <f>参数调整!$J$32</f>
        <v>精英掉落</v>
      </c>
      <c r="C1530" s="8" t="str">
        <f>材料产出!$BF$2</f>
        <v>首饰碎片</v>
      </c>
      <c r="D1530" s="224">
        <f>参数调整!$K$32*怪物掉落配置方案!$D4608</f>
        <v>8.6810613111608179E-3</v>
      </c>
    </row>
    <row r="1531" spans="1:4" ht="16.5" hidden="1" x14ac:dyDescent="0.3">
      <c r="A1531" s="10" t="str">
        <f>基本属性!$B$20&amp;"|"&amp;基本属性!$C$20</f>
        <v>200|10</v>
      </c>
      <c r="B1531" s="10" t="str">
        <f>参数调整!$J$32</f>
        <v>精英掉落</v>
      </c>
      <c r="C1531" s="8" t="str">
        <f>材料产出!$BF$2</f>
        <v>首饰碎片</v>
      </c>
      <c r="D1531" s="224">
        <f>参数调整!$K$32*怪物掉落配置方案!$D4609</f>
        <v>1.0145871510487445E-2</v>
      </c>
    </row>
    <row r="1532" spans="1:4" ht="16.5" hidden="1" x14ac:dyDescent="0.3">
      <c r="A1532" s="10" t="str">
        <f>基本属性!$B$21&amp;"|"&amp;基本属性!$C$21</f>
        <v>200|11</v>
      </c>
      <c r="B1532" s="10" t="str">
        <f>参数调整!$J$32</f>
        <v>精英掉落</v>
      </c>
      <c r="C1532" s="8" t="str">
        <f>材料产出!$BF$2</f>
        <v>首饰碎片</v>
      </c>
      <c r="D1532" s="224">
        <f>参数调整!$K$32*怪物掉落配置方案!$D4610</f>
        <v>1.1724822764307048E-2</v>
      </c>
    </row>
    <row r="1533" spans="1:4" ht="16.5" hidden="1" x14ac:dyDescent="0.3">
      <c r="A1533" s="10" t="str">
        <f>基本属性!$B$22&amp;"|"&amp;基本属性!$C$22</f>
        <v>210|12</v>
      </c>
      <c r="B1533" s="10" t="str">
        <f>参数调整!$J$32</f>
        <v>精英掉落</v>
      </c>
      <c r="C1533" s="8" t="str">
        <f>材料产出!$BF$2</f>
        <v>首饰碎片</v>
      </c>
      <c r="D1533" s="224">
        <f>参数调整!$K$32*怪物掉落配置方案!$D4611</f>
        <v>1.3417915072619638E-2</v>
      </c>
    </row>
    <row r="1534" spans="1:4" ht="16.5" hidden="1" x14ac:dyDescent="0.3">
      <c r="A1534" s="10" t="str">
        <f>基本属性!$B$23&amp;"|"&amp;基本属性!$C$23</f>
        <v>210|13</v>
      </c>
      <c r="B1534" s="10" t="str">
        <f>参数调整!$J$32</f>
        <v>精英掉落</v>
      </c>
      <c r="C1534" s="8" t="str">
        <f>材料产出!$BF$2</f>
        <v>首饰碎片</v>
      </c>
      <c r="D1534" s="224">
        <f>参数调整!$K$32*怪物掉落配置方案!$D4612</f>
        <v>1.5225148435425221E-2</v>
      </c>
    </row>
    <row r="1535" spans="1:4" ht="16.5" hidden="1" x14ac:dyDescent="0.3">
      <c r="A1535" s="10" t="str">
        <f>基本属性!$B$24&amp;"|"&amp;基本属性!$C$24</f>
        <v>220|14</v>
      </c>
      <c r="B1535" s="10" t="str">
        <f>参数调整!$J$32</f>
        <v>精英掉落</v>
      </c>
      <c r="C1535" s="8" t="str">
        <f>材料产出!$BF$2</f>
        <v>首饰碎片</v>
      </c>
      <c r="D1535" s="224">
        <f>参数调整!$K$32*怪物掉落配置方案!$D4613</f>
        <v>1.7146522852723778E-2</v>
      </c>
    </row>
    <row r="1536" spans="1:4" ht="16.5" hidden="1" x14ac:dyDescent="0.3">
      <c r="A1536" s="10" t="str">
        <f>基本属性!$B$25&amp;"|"&amp;基本属性!$C$25</f>
        <v>220|15</v>
      </c>
      <c r="B1536" s="10" t="str">
        <f>参数调整!$J$32</f>
        <v>精英掉落</v>
      </c>
      <c r="C1536" s="8" t="str">
        <f>材料产出!$BF$2</f>
        <v>首饰碎片</v>
      </c>
      <c r="D1536" s="224">
        <f>参数调整!$K$32*怪物掉落配置方案!$D4614</f>
        <v>1.9182038324515319E-2</v>
      </c>
    </row>
    <row r="1537" spans="1:4" ht="16.5" hidden="1" x14ac:dyDescent="0.3">
      <c r="A1537" s="10" t="str">
        <f>基本属性!$B$26&amp;"|"&amp;基本属性!$C$26</f>
        <v>230|16</v>
      </c>
      <c r="B1537" s="10" t="str">
        <f>参数调整!$J$32</f>
        <v>精英掉落</v>
      </c>
      <c r="C1537" s="8" t="str">
        <f>材料产出!$BF$2</f>
        <v>首饰碎片</v>
      </c>
      <c r="D1537" s="224">
        <f>参数调整!$K$32*怪物掉落配置方案!$D4615</f>
        <v>2.1331694850799842E-2</v>
      </c>
    </row>
    <row r="1538" spans="1:4" ht="16.5" hidden="1" x14ac:dyDescent="0.3">
      <c r="A1538" s="10" t="str">
        <f>基本属性!$B$27&amp;"|"&amp;基本属性!$C$27</f>
        <v>230|17</v>
      </c>
      <c r="B1538" s="10" t="str">
        <f>参数调整!$J$32</f>
        <v>精英掉落</v>
      </c>
      <c r="C1538" s="8" t="str">
        <f>材料产出!$BF$2</f>
        <v>首饰碎片</v>
      </c>
      <c r="D1538" s="224">
        <f>参数调整!$K$32*怪物掉落配置方案!$D4616</f>
        <v>2.3595492431577356E-2</v>
      </c>
    </row>
    <row r="1539" spans="1:4" ht="16.5" hidden="1" x14ac:dyDescent="0.3">
      <c r="A1539" s="10" t="str">
        <f>基本属性!$B$28&amp;"|"&amp;基本属性!$C$28</f>
        <v>240|18</v>
      </c>
      <c r="B1539" s="10" t="str">
        <f>参数调整!$J$32</f>
        <v>精英掉落</v>
      </c>
      <c r="C1539" s="8" t="str">
        <f>材料产出!$BF$2</f>
        <v>首饰碎片</v>
      </c>
      <c r="D1539" s="224">
        <f>参数调整!$K$32*怪物掉落配置方案!$D4617</f>
        <v>2.5973431066847859E-2</v>
      </c>
    </row>
    <row r="1540" spans="1:4" ht="16.5" hidden="1" x14ac:dyDescent="0.3">
      <c r="A1540" s="10" t="str">
        <f>基本属性!$B$29&amp;"|"&amp;基本属性!$C$29</f>
        <v>240|19</v>
      </c>
      <c r="B1540" s="10" t="str">
        <f>参数调整!$J$32</f>
        <v>精英掉落</v>
      </c>
      <c r="C1540" s="8" t="str">
        <f>材料产出!$BF$2</f>
        <v>首饰碎片</v>
      </c>
      <c r="D1540" s="224">
        <f>参数调整!$K$32*怪物掉落配置方案!$D4618</f>
        <v>2.8465510756611332E-2</v>
      </c>
    </row>
    <row r="1541" spans="1:4" ht="16.5" hidden="1" x14ac:dyDescent="0.3">
      <c r="A1541" s="10" t="str">
        <f>基本属性!$B$30&amp;"|"&amp;基本属性!$C$30</f>
        <v>250|20</v>
      </c>
      <c r="B1541" s="10" t="str">
        <f>参数调整!$J$32</f>
        <v>精英掉落</v>
      </c>
      <c r="C1541" s="8" t="str">
        <f>材料产出!$BF$2</f>
        <v>首饰碎片</v>
      </c>
      <c r="D1541" s="224">
        <f>参数调整!$K$32*怪物掉落配置方案!$D4619</f>
        <v>3.107173150086779E-2</v>
      </c>
    </row>
    <row r="1542" spans="1:4" ht="16.5" hidden="1" x14ac:dyDescent="0.3">
      <c r="A1542" s="10" t="str">
        <f>基本属性!$B$4&amp;"|"&amp;基本属性!$C$4</f>
        <v>35|0</v>
      </c>
      <c r="B1542" s="10" t="str">
        <f>参数调整!$J$32</f>
        <v>精英掉落</v>
      </c>
      <c r="C1542" s="8" t="str">
        <f>材料产出!$P$2</f>
        <v>声望</v>
      </c>
      <c r="D1542" s="224">
        <f>参数调整!$K$32*怪物掉落配置方案!$D4620</f>
        <v>6.495009373258348E-2</v>
      </c>
    </row>
    <row r="1543" spans="1:4" ht="16.5" hidden="1" x14ac:dyDescent="0.3">
      <c r="A1543" s="10" t="str">
        <f>基本属性!$B$5&amp;"|"&amp;基本属性!$C$5</f>
        <v>40|0</v>
      </c>
      <c r="B1543" s="10" t="str">
        <f>参数调整!$J$32</f>
        <v>精英掉落</v>
      </c>
      <c r="C1543" s="8" t="str">
        <f>材料产出!$P$2</f>
        <v>声望</v>
      </c>
      <c r="D1543" s="224">
        <f>参数调整!$K$32*怪物掉落配置方案!$D4621</f>
        <v>8.2202462380300961E-2</v>
      </c>
    </row>
    <row r="1544" spans="1:4" ht="16.5" hidden="1" x14ac:dyDescent="0.3">
      <c r="A1544" s="10" t="str">
        <f>基本属性!$B$6&amp;"|"&amp;基本属性!$C$6</f>
        <v>50|0</v>
      </c>
      <c r="B1544" s="10" t="str">
        <f>参数调整!$J$32</f>
        <v>精英掉落</v>
      </c>
      <c r="C1544" s="8" t="str">
        <f>材料产出!$P$2</f>
        <v>声望</v>
      </c>
      <c r="D1544" s="224">
        <f>参数调整!$K$32*怪物掉落配置方案!$D4622</f>
        <v>0.10148452145716166</v>
      </c>
    </row>
    <row r="1545" spans="1:4" ht="16.5" hidden="1" x14ac:dyDescent="0.3">
      <c r="A1545" s="10" t="str">
        <f>基本属性!$B$7&amp;"|"&amp;基本属性!$C$7</f>
        <v>60|0</v>
      </c>
      <c r="B1545" s="10" t="str">
        <f>参数调整!$J$32</f>
        <v>精英掉落</v>
      </c>
      <c r="C1545" s="8" t="str">
        <f>材料产出!$P$2</f>
        <v>声望</v>
      </c>
      <c r="D1545" s="224">
        <f>参数调整!$K$32*怪物掉落配置方案!$D4623</f>
        <v>0.12279627096316564</v>
      </c>
    </row>
    <row r="1546" spans="1:4" ht="16.5" hidden="1" x14ac:dyDescent="0.3">
      <c r="A1546" s="10" t="str">
        <f>基本属性!$B$8&amp;"|"&amp;基本属性!$C$8</f>
        <v>65|0</v>
      </c>
      <c r="B1546" s="10" t="str">
        <f>参数调整!$J$32</f>
        <v>精英掉落</v>
      </c>
      <c r="C1546" s="8" t="str">
        <f>材料产出!$P$2</f>
        <v>声望</v>
      </c>
      <c r="D1546" s="224">
        <f>参数调整!$K$32*怪物掉落配置方案!$D4624</f>
        <v>0.14613771089831282</v>
      </c>
    </row>
    <row r="1547" spans="1:4" ht="16.5" hidden="1" x14ac:dyDescent="0.3">
      <c r="A1547" s="10" t="str">
        <f>基本属性!$B$9&amp;"|"&amp;基本属性!$C$9</f>
        <v>70|0</v>
      </c>
      <c r="B1547" s="10" t="str">
        <f>参数调整!$J$32</f>
        <v>精英掉落</v>
      </c>
      <c r="C1547" s="8" t="str">
        <f>材料产出!$P$2</f>
        <v>声望</v>
      </c>
      <c r="D1547" s="224">
        <f>参数调整!$K$32*怪物掉落配置方案!$D4625</f>
        <v>0.17150884126260324</v>
      </c>
    </row>
    <row r="1548" spans="1:4" ht="16.5" hidden="1" x14ac:dyDescent="0.3">
      <c r="A1548" s="10" t="str">
        <f>基本属性!$B$10&amp;"|"&amp;基本属性!$C$10</f>
        <v>75|0</v>
      </c>
      <c r="B1548" s="10" t="str">
        <f>参数调整!$J$32</f>
        <v>精英掉落</v>
      </c>
      <c r="C1548" s="8" t="str">
        <f>材料产出!$P$2</f>
        <v>声望</v>
      </c>
      <c r="D1548" s="224">
        <f>参数调整!$K$32*怪物掉落配置方案!$D4626</f>
        <v>0.19890966205603686</v>
      </c>
    </row>
    <row r="1549" spans="1:4" ht="16.5" hidden="1" x14ac:dyDescent="0.3">
      <c r="A1549" s="10" t="str">
        <f>基本属性!$B$11&amp;"|"&amp;基本属性!$C$11</f>
        <v>80|1</v>
      </c>
      <c r="B1549" s="10" t="str">
        <f>参数调整!$J$32</f>
        <v>精英掉落</v>
      </c>
      <c r="C1549" s="8" t="str">
        <f>材料产出!$P$2</f>
        <v>声望</v>
      </c>
      <c r="D1549" s="224">
        <f>参数调整!$K$32*怪物掉落配置方案!$D4627</f>
        <v>0.22834017327861375</v>
      </c>
    </row>
    <row r="1550" spans="1:4" ht="16.5" hidden="1" x14ac:dyDescent="0.3">
      <c r="A1550" s="10" t="str">
        <f>基本属性!$B$12&amp;"|"&amp;基本属性!$C$12</f>
        <v>90|2</v>
      </c>
      <c r="B1550" s="10" t="str">
        <f>参数调整!$J$32</f>
        <v>精英掉落</v>
      </c>
      <c r="C1550" s="8" t="str">
        <f>材料产出!$P$2</f>
        <v>声望</v>
      </c>
      <c r="D1550" s="224">
        <f>参数调整!$K$32*怪物掉落配置方案!$D4628</f>
        <v>0.25980037493033392</v>
      </c>
    </row>
    <row r="1551" spans="1:4" ht="16.5" hidden="1" x14ac:dyDescent="0.3">
      <c r="A1551" s="10" t="str">
        <f>基本属性!$B$13&amp;"|"&amp;基本属性!$C$13</f>
        <v>100|3</v>
      </c>
      <c r="B1551" s="10" t="str">
        <f>参数调整!$J$32</f>
        <v>精英掉落</v>
      </c>
      <c r="C1551" s="8" t="str">
        <f>材料产出!$P$2</f>
        <v>声望</v>
      </c>
      <c r="D1551" s="224">
        <f>参数调整!$K$32*怪物掉落配置方案!$D4629</f>
        <v>0.32880984952120385</v>
      </c>
    </row>
    <row r="1552" spans="1:4" ht="16.5" hidden="1" x14ac:dyDescent="0.3">
      <c r="A1552" s="10" t="str">
        <f>基本属性!$B$14&amp;"|"&amp;基本属性!$C$14</f>
        <v>105|4</v>
      </c>
      <c r="B1552" s="10" t="str">
        <f>参数调整!$J$32</f>
        <v>精英掉落</v>
      </c>
      <c r="C1552" s="8" t="str">
        <f>材料产出!$P$2</f>
        <v>声望</v>
      </c>
      <c r="D1552" s="224">
        <f>参数调整!$K$32*怪物掉落配置方案!$D4630</f>
        <v>0.40593808582864677</v>
      </c>
    </row>
    <row r="1553" spans="1:4" ht="16.5" hidden="1" x14ac:dyDescent="0.3">
      <c r="A1553" s="10" t="str">
        <f>基本属性!$B$15&amp;"|"&amp;基本属性!$C$15</f>
        <v>110|5</v>
      </c>
      <c r="B1553" s="10" t="str">
        <f>参数调整!$J$32</f>
        <v>精英掉落</v>
      </c>
      <c r="C1553" s="8" t="str">
        <f>材料产出!$P$2</f>
        <v>声望</v>
      </c>
      <c r="D1553" s="224">
        <f>参数调整!$K$32*怪物掉落配置方案!$D4631</f>
        <v>0.49118508385266257</v>
      </c>
    </row>
    <row r="1554" spans="1:4" ht="16.5" hidden="1" x14ac:dyDescent="0.3">
      <c r="A1554" s="10" t="str">
        <f>基本属性!$B$16&amp;"|"&amp;基本属性!$C$16</f>
        <v>120|6</v>
      </c>
      <c r="B1554" s="10" t="str">
        <f>参数调整!$J$32</f>
        <v>精英掉落</v>
      </c>
      <c r="C1554" s="8" t="str">
        <f>材料产出!$P$2</f>
        <v>声望</v>
      </c>
      <c r="D1554" s="224">
        <f>参数调整!$K$32*怪物掉落配置方案!$D4632</f>
        <v>0.63427825910726043</v>
      </c>
    </row>
    <row r="1555" spans="1:4" ht="16.5" hidden="1" x14ac:dyDescent="0.3">
      <c r="A1555" s="10" t="str">
        <f>基本属性!$B$17&amp;"|"&amp;基本属性!$C$17</f>
        <v>135|7</v>
      </c>
      <c r="B1555" s="10" t="str">
        <f>参数调整!$J$32</f>
        <v>精英掉落</v>
      </c>
      <c r="C1555" s="8" t="str">
        <f>材料产出!$P$2</f>
        <v>声望</v>
      </c>
      <c r="D1555" s="224">
        <f>参数调整!$K$32*怪物掉落配置方案!$D4633</f>
        <v>0.913360693114455</v>
      </c>
    </row>
    <row r="1556" spans="1:4" ht="16.5" hidden="1" x14ac:dyDescent="0.3">
      <c r="A1556" s="10" t="str">
        <f>基本属性!$B$18&amp;"|"&amp;基本属性!$C$18</f>
        <v>155|8</v>
      </c>
      <c r="B1556" s="10" t="str">
        <f>参数调整!$J$32</f>
        <v>精英掉落</v>
      </c>
      <c r="C1556" s="8" t="str">
        <f>材料产出!$P$2</f>
        <v>声望</v>
      </c>
      <c r="D1556" s="224">
        <f>参数调整!$K$32*怪物掉落配置方案!$D4634</f>
        <v>1.2431853878502306</v>
      </c>
    </row>
    <row r="1557" spans="1:4" ht="16.5" hidden="1" x14ac:dyDescent="0.3">
      <c r="A1557" s="10" t="str">
        <f>基本属性!$B$19&amp;"|"&amp;基本属性!$C$19</f>
        <v>190|9</v>
      </c>
      <c r="B1557" s="10" t="str">
        <f>参数调整!$J$32</f>
        <v>精英掉落</v>
      </c>
      <c r="C1557" s="8" t="str">
        <f>材料产出!$P$2</f>
        <v>声望</v>
      </c>
      <c r="D1557" s="224">
        <f>参数调整!$K$32*怪物掉落配置方案!$D4635</f>
        <v>1.3893230987485437</v>
      </c>
    </row>
    <row r="1558" spans="1:4" ht="16.5" hidden="1" x14ac:dyDescent="0.3">
      <c r="A1558" s="10" t="str">
        <f>基本属性!$B$20&amp;"|"&amp;基本属性!$C$20</f>
        <v>200|10</v>
      </c>
      <c r="B1558" s="10" t="str">
        <f>参数调整!$J$32</f>
        <v>精英掉落</v>
      </c>
      <c r="C1558" s="8" t="str">
        <f>材料产出!$P$2</f>
        <v>声望</v>
      </c>
      <c r="D1558" s="224">
        <f>参数调整!$K$32*怪物掉落配置方案!$D4636</f>
        <v>1.6237523433145871</v>
      </c>
    </row>
    <row r="1559" spans="1:4" ht="16.5" hidden="1" x14ac:dyDescent="0.3">
      <c r="A1559" s="10" t="str">
        <f>基本属性!$B$21&amp;"|"&amp;基本属性!$C$21</f>
        <v>200|11</v>
      </c>
      <c r="B1559" s="10" t="str">
        <f>参数调整!$J$32</f>
        <v>精英掉落</v>
      </c>
      <c r="C1559" s="8" t="str">
        <f>材料产出!$P$2</f>
        <v>声望</v>
      </c>
      <c r="D1559" s="224">
        <f>参数调整!$K$32*怪物掉落配置方案!$D4637</f>
        <v>1.8764488017429191</v>
      </c>
    </row>
    <row r="1560" spans="1:4" ht="16.5" hidden="1" x14ac:dyDescent="0.3">
      <c r="A1560" s="10" t="str">
        <f>基本属性!$B$22&amp;"|"&amp;基本属性!$C$22</f>
        <v>210|12</v>
      </c>
      <c r="B1560" s="10" t="str">
        <f>参数调整!$J$32</f>
        <v>精英掉落</v>
      </c>
      <c r="C1560" s="8" t="str">
        <f>材料产出!$P$2</f>
        <v>声望</v>
      </c>
      <c r="D1560" s="224">
        <f>参数调整!$K$32*怪物掉落配置方案!$D4638</f>
        <v>2.1474124740335405</v>
      </c>
    </row>
    <row r="1561" spans="1:4" ht="16.5" hidden="1" x14ac:dyDescent="0.3">
      <c r="A1561" s="10" t="str">
        <f>基本属性!$B$23&amp;"|"&amp;基本属性!$C$23</f>
        <v>210|13</v>
      </c>
      <c r="B1561" s="10" t="str">
        <f>参数调整!$J$32</f>
        <v>精英掉落</v>
      </c>
      <c r="C1561" s="8" t="str">
        <f>材料产出!$P$2</f>
        <v>声望</v>
      </c>
      <c r="D1561" s="224">
        <f>参数调整!$K$32*怪物掉落配置方案!$D4639</f>
        <v>2.4366433601864523</v>
      </c>
    </row>
    <row r="1562" spans="1:4" ht="16.5" hidden="1" x14ac:dyDescent="0.3">
      <c r="A1562" s="10" t="str">
        <f>基本属性!$B$24&amp;"|"&amp;基本属性!$C$24</f>
        <v>220|14</v>
      </c>
      <c r="B1562" s="10" t="str">
        <f>参数调整!$J$32</f>
        <v>精英掉落</v>
      </c>
      <c r="C1562" s="8" t="str">
        <f>材料产出!$P$2</f>
        <v>声望</v>
      </c>
      <c r="D1562" s="224">
        <f>参数调整!$K$32*怪物掉落配置方案!$D4640</f>
        <v>2.7441414602016518</v>
      </c>
    </row>
    <row r="1563" spans="1:4" ht="16.5" hidden="1" x14ac:dyDescent="0.3">
      <c r="A1563" s="10" t="str">
        <f>基本属性!$B$25&amp;"|"&amp;基本属性!$C$25</f>
        <v>220|15</v>
      </c>
      <c r="B1563" s="10" t="str">
        <f>参数调整!$J$32</f>
        <v>精英掉落</v>
      </c>
      <c r="C1563" s="8" t="str">
        <f>材料产出!$P$2</f>
        <v>声望</v>
      </c>
      <c r="D1563" s="224">
        <f>参数调整!$K$32*怪物掉落配置方案!$D4641</f>
        <v>3.0699067740791404</v>
      </c>
    </row>
    <row r="1564" spans="1:4" ht="16.5" hidden="1" x14ac:dyDescent="0.3">
      <c r="A1564" s="10" t="str">
        <f>基本属性!$B$26&amp;"|"&amp;基本属性!$C$26</f>
        <v>230|16</v>
      </c>
      <c r="B1564" s="10" t="str">
        <f>参数调整!$J$32</f>
        <v>精英掉落</v>
      </c>
      <c r="C1564" s="8" t="str">
        <f>材料产出!$P$2</f>
        <v>声望</v>
      </c>
      <c r="D1564" s="224">
        <f>参数调整!$K$32*怪物掉落配置方案!$D4642</f>
        <v>3.4139393018189192</v>
      </c>
    </row>
    <row r="1565" spans="1:4" ht="16.5" hidden="1" x14ac:dyDescent="0.3">
      <c r="A1565" s="10" t="str">
        <f>基本属性!$B$27&amp;"|"&amp;基本属性!$C$27</f>
        <v>230|17</v>
      </c>
      <c r="B1565" s="10" t="str">
        <f>参数调整!$J$32</f>
        <v>精英掉落</v>
      </c>
      <c r="C1565" s="8" t="str">
        <f>材料产出!$P$2</f>
        <v>声望</v>
      </c>
      <c r="D1565" s="224">
        <f>参数调整!$K$32*怪物掉落配置方案!$D4643</f>
        <v>3.7762390434209854</v>
      </c>
    </row>
    <row r="1566" spans="1:4" ht="16.5" hidden="1" x14ac:dyDescent="0.3">
      <c r="A1566" s="10" t="str">
        <f>基本属性!$B$28&amp;"|"&amp;基本属性!$C$28</f>
        <v>240|18</v>
      </c>
      <c r="B1566" s="10" t="str">
        <f>参数调整!$J$32</f>
        <v>精英掉落</v>
      </c>
      <c r="C1566" s="8" t="str">
        <f>材料产出!$P$2</f>
        <v>声望</v>
      </c>
      <c r="D1566" s="224">
        <f>参数调整!$K$32*怪物掉落配置方案!$D4644</f>
        <v>4.1568059988853427</v>
      </c>
    </row>
    <row r="1567" spans="1:4" ht="16.5" hidden="1" x14ac:dyDescent="0.3">
      <c r="A1567" s="10" t="str">
        <f>基本属性!$B$29&amp;"|"&amp;基本属性!$C$29</f>
        <v>240|19</v>
      </c>
      <c r="B1567" s="10" t="str">
        <f>参数调整!$J$32</f>
        <v>精英掉落</v>
      </c>
      <c r="C1567" s="8" t="str">
        <f>材料产出!$P$2</f>
        <v>声望</v>
      </c>
      <c r="D1567" s="224">
        <f>参数调整!$K$32*怪物掉落配置方案!$D4645</f>
        <v>4.5556401682119878</v>
      </c>
    </row>
    <row r="1568" spans="1:4" ht="16.5" hidden="1" x14ac:dyDescent="0.3">
      <c r="A1568" s="10" t="str">
        <f>基本属性!$B$30&amp;"|"&amp;基本属性!$C$30</f>
        <v>250|20</v>
      </c>
      <c r="B1568" s="10" t="str">
        <f>参数调整!$J$32</f>
        <v>精英掉落</v>
      </c>
      <c r="C1568" s="8" t="str">
        <f>材料产出!$P$2</f>
        <v>声望</v>
      </c>
      <c r="D1568" s="224">
        <f>参数调整!$K$32*怪物掉落配置方案!$D4646</f>
        <v>4.9727415514009206</v>
      </c>
    </row>
    <row r="1569" spans="1:4" ht="16.5" hidden="1" x14ac:dyDescent="0.3">
      <c r="A1569" s="10" t="str">
        <f>基本属性!$B$4&amp;"|"&amp;基本属性!$C$4</f>
        <v>35|0</v>
      </c>
      <c r="B1569" s="10" t="str">
        <f>参数调整!$J$32</f>
        <v>精英掉落</v>
      </c>
      <c r="C1569" s="8" t="str">
        <f>材料产出!$AV$2</f>
        <v>神器图纸</v>
      </c>
      <c r="D1569" s="224">
        <f>参数调整!$K$32*怪物掉落配置方案!$D4647</f>
        <v>2.922010995020383E-4</v>
      </c>
    </row>
    <row r="1570" spans="1:4" ht="16.5" hidden="1" x14ac:dyDescent="0.3">
      <c r="A1570" s="10" t="str">
        <f>基本属性!$B$5&amp;"|"&amp;基本属性!$C$5</f>
        <v>40|0</v>
      </c>
      <c r="B1570" s="10" t="str">
        <f>参数调整!$J$32</f>
        <v>精英掉落</v>
      </c>
      <c r="C1570" s="8" t="str">
        <f>材料产出!$AV$2</f>
        <v>神器图纸</v>
      </c>
      <c r="D1570" s="224">
        <f>参数调整!$K$32*怪物掉落配置方案!$D4648</f>
        <v>3.6981701655726721E-4</v>
      </c>
    </row>
    <row r="1571" spans="1:4" ht="16.5" hidden="1" x14ac:dyDescent="0.3">
      <c r="A1571" s="10" t="str">
        <f>基本属性!$B$6&amp;"|"&amp;基本属性!$C$6</f>
        <v>50|0</v>
      </c>
      <c r="B1571" s="10" t="str">
        <f>参数调整!$J$32</f>
        <v>精英掉落</v>
      </c>
      <c r="C1571" s="8" t="str">
        <f>材料产出!$AV$2</f>
        <v>神器图纸</v>
      </c>
      <c r="D1571" s="224">
        <f>参数调整!$K$32*怪物掉落配置方案!$D4649</f>
        <v>4.5656421797193484E-4</v>
      </c>
    </row>
    <row r="1572" spans="1:4" ht="16.5" hidden="1" x14ac:dyDescent="0.3">
      <c r="A1572" s="10" t="str">
        <f>基本属性!$B$7&amp;"|"&amp;基本属性!$C$7</f>
        <v>60|0</v>
      </c>
      <c r="B1572" s="10" t="str">
        <f>参数调整!$J$32</f>
        <v>精英掉落</v>
      </c>
      <c r="C1572" s="8" t="str">
        <f>材料产出!$AV$2</f>
        <v>神器图纸</v>
      </c>
      <c r="D1572" s="224">
        <f>参数调整!$K$32*怪物掉落配置方案!$D4650</f>
        <v>5.5244270374604125E-4</v>
      </c>
    </row>
    <row r="1573" spans="1:4" ht="16.5" hidden="1" x14ac:dyDescent="0.3">
      <c r="A1573" s="10" t="str">
        <f>基本属性!$B$8&amp;"|"&amp;基本属性!$C$8</f>
        <v>65|0</v>
      </c>
      <c r="B1573" s="10" t="str">
        <f>参数调整!$J$32</f>
        <v>精英掉落</v>
      </c>
      <c r="C1573" s="8" t="str">
        <f>材料产出!$AV$2</f>
        <v>神器图纸</v>
      </c>
      <c r="D1573" s="224">
        <f>参数调整!$K$32*怪物掉落配置方案!$D4651</f>
        <v>6.5745247387958617E-4</v>
      </c>
    </row>
    <row r="1574" spans="1:4" ht="16.5" hidden="1" x14ac:dyDescent="0.3">
      <c r="A1574" s="10" t="str">
        <f>基本属性!$B$9&amp;"|"&amp;基本属性!$C$9</f>
        <v>70|0</v>
      </c>
      <c r="B1574" s="10" t="str">
        <f>参数调整!$J$32</f>
        <v>精英掉落</v>
      </c>
      <c r="C1574" s="8" t="str">
        <f>材料产出!$AV$2</f>
        <v>神器图纸</v>
      </c>
      <c r="D1574" s="224">
        <f>参数调整!$K$32*怪物掉落配置方案!$D4652</f>
        <v>7.7159352837256998E-4</v>
      </c>
    </row>
    <row r="1575" spans="1:4" ht="16.5" hidden="1" x14ac:dyDescent="0.3">
      <c r="A1575" s="10" t="str">
        <f>基本属性!$B$10&amp;"|"&amp;基本属性!$C$10</f>
        <v>75|0</v>
      </c>
      <c r="B1575" s="10" t="str">
        <f>参数调整!$J$32</f>
        <v>精英掉落</v>
      </c>
      <c r="C1575" s="8" t="str">
        <f>材料产出!$AV$2</f>
        <v>神器图纸</v>
      </c>
      <c r="D1575" s="224">
        <f>参数调整!$K$32*怪物掉落配置方案!$D4653</f>
        <v>8.9486586722499224E-4</v>
      </c>
    </row>
    <row r="1576" spans="1:4" ht="16.5" hidden="1" x14ac:dyDescent="0.3">
      <c r="A1576" s="10" t="str">
        <f>基本属性!$B$11&amp;"|"&amp;基本属性!$C$11</f>
        <v>80|1</v>
      </c>
      <c r="B1576" s="10" t="str">
        <f>参数调整!$J$32</f>
        <v>精英掉落</v>
      </c>
      <c r="C1576" s="8" t="str">
        <f>材料产出!$AV$2</f>
        <v>神器图纸</v>
      </c>
      <c r="D1576" s="224">
        <f>参数调整!$K$32*怪物掉落配置方案!$D4654</f>
        <v>1.0272694904368534E-3</v>
      </c>
    </row>
    <row r="1577" spans="1:4" ht="16.5" hidden="1" x14ac:dyDescent="0.3">
      <c r="A1577" s="10" t="str">
        <f>基本属性!$B$12&amp;"|"&amp;基本属性!$C$12</f>
        <v>90|2</v>
      </c>
      <c r="B1577" s="10" t="str">
        <f>参数调整!$J$32</f>
        <v>精英掉落</v>
      </c>
      <c r="C1577" s="8" t="str">
        <f>材料产出!$AV$2</f>
        <v>神器图纸</v>
      </c>
      <c r="D1577" s="224">
        <f>参数调整!$K$32*怪物掉落配置方案!$D4655</f>
        <v>1.1688043980081534E-3</v>
      </c>
    </row>
    <row r="1578" spans="1:4" ht="16.5" hidden="1" x14ac:dyDescent="0.3">
      <c r="A1578" s="10" t="str">
        <f>基本属性!$B$13&amp;"|"&amp;基本属性!$C$13</f>
        <v>100|3</v>
      </c>
      <c r="B1578" s="10" t="str">
        <f>参数调整!$J$32</f>
        <v>精英掉落</v>
      </c>
      <c r="C1578" s="8" t="str">
        <f>材料产出!$AV$2</f>
        <v>神器图纸</v>
      </c>
      <c r="D1578" s="224">
        <f>参数调整!$K$32*怪物掉落配置方案!$D4656</f>
        <v>1.4792680662290693E-3</v>
      </c>
    </row>
    <row r="1579" spans="1:4" ht="16.5" hidden="1" x14ac:dyDescent="0.3">
      <c r="A1579" s="10" t="str">
        <f>基本属性!$B$14&amp;"|"&amp;基本属性!$C$14</f>
        <v>105|4</v>
      </c>
      <c r="B1579" s="10" t="str">
        <f>参数调整!$J$32</f>
        <v>精英掉落</v>
      </c>
      <c r="C1579" s="8" t="str">
        <f>材料产出!$AV$2</f>
        <v>神器图纸</v>
      </c>
      <c r="D1579" s="224">
        <f>参数调整!$K$32*怪物掉落配置方案!$D4657</f>
        <v>1.8262568718877396E-3</v>
      </c>
    </row>
    <row r="1580" spans="1:4" ht="16.5" hidden="1" x14ac:dyDescent="0.3">
      <c r="A1580" s="10" t="str">
        <f>基本属性!$B$15&amp;"|"&amp;基本属性!$C$15</f>
        <v>110|5</v>
      </c>
      <c r="B1580" s="10" t="str">
        <f>参数调整!$J$32</f>
        <v>精英掉落</v>
      </c>
      <c r="C1580" s="8" t="str">
        <f>材料产出!$AV$2</f>
        <v>神器图纸</v>
      </c>
      <c r="D1580" s="224">
        <f>参数调整!$K$32*怪物掉落配置方案!$D4658</f>
        <v>2.209770814984165E-3</v>
      </c>
    </row>
    <row r="1581" spans="1:4" ht="16.5" hidden="1" x14ac:dyDescent="0.3">
      <c r="A1581" s="10" t="str">
        <f>基本属性!$B$16&amp;"|"&amp;基本属性!$C$16</f>
        <v>120|6</v>
      </c>
      <c r="B1581" s="10" t="str">
        <f>参数调整!$J$32</f>
        <v>精英掉落</v>
      </c>
      <c r="C1581" s="8" t="str">
        <f>材料产出!$AV$2</f>
        <v>神器图纸</v>
      </c>
      <c r="D1581" s="224">
        <f>参数调整!$K$32*怪物掉落配置方案!$D4659</f>
        <v>2.853526362324593E-3</v>
      </c>
    </row>
    <row r="1582" spans="1:4" ht="16.5" hidden="1" x14ac:dyDescent="0.3">
      <c r="A1582" s="10" t="str">
        <f>基本属性!$B$17&amp;"|"&amp;基本属性!$C$17</f>
        <v>135|7</v>
      </c>
      <c r="B1582" s="10" t="str">
        <f>参数调整!$J$32</f>
        <v>精英掉落</v>
      </c>
      <c r="C1582" s="8" t="str">
        <f>材料产出!$AV$2</f>
        <v>神器图纸</v>
      </c>
      <c r="D1582" s="224">
        <f>参数调整!$K$32*怪物掉落配置方案!$D4660</f>
        <v>4.1090779617474135E-3</v>
      </c>
    </row>
    <row r="1583" spans="1:4" ht="16.5" hidden="1" x14ac:dyDescent="0.3">
      <c r="A1583" s="10" t="str">
        <f>基本属性!$B$18&amp;"|"&amp;基本属性!$C$18</f>
        <v>155|8</v>
      </c>
      <c r="B1583" s="10" t="str">
        <f>参数调整!$J$32</f>
        <v>精英掉落</v>
      </c>
      <c r="C1583" s="8" t="str">
        <f>材料产出!$AV$2</f>
        <v>神器图纸</v>
      </c>
      <c r="D1583" s="224">
        <f>参数调整!$K$32*怪物掉落配置方案!$D4661</f>
        <v>5.5929116701562021E-3</v>
      </c>
    </row>
    <row r="1584" spans="1:4" ht="16.5" hidden="1" x14ac:dyDescent="0.3">
      <c r="A1584" s="10" t="str">
        <f>基本属性!$B$19&amp;"|"&amp;基本属性!$C$19</f>
        <v>190|9</v>
      </c>
      <c r="B1584" s="10" t="str">
        <f>参数调整!$J$32</f>
        <v>精英掉落</v>
      </c>
      <c r="C1584" s="8" t="str">
        <f>材料产出!$AV$2</f>
        <v>神器图纸</v>
      </c>
      <c r="D1584" s="224">
        <f>参数调整!$K$32*怪物掉落配置方案!$D4662</f>
        <v>6.2503641440357889E-3</v>
      </c>
    </row>
    <row r="1585" spans="1:4" ht="16.5" hidden="1" x14ac:dyDescent="0.3">
      <c r="A1585" s="10" t="str">
        <f>基本属性!$B$20&amp;"|"&amp;基本属性!$C$20</f>
        <v>200|10</v>
      </c>
      <c r="B1585" s="10" t="str">
        <f>参数调整!$J$32</f>
        <v>精英掉落</v>
      </c>
      <c r="C1585" s="8" t="str">
        <f>材料产出!$AV$2</f>
        <v>神器图纸</v>
      </c>
      <c r="D1585" s="224">
        <f>参数调整!$K$32*怪物掉落配置方案!$D4663</f>
        <v>7.3050274875509583E-3</v>
      </c>
    </row>
    <row r="1586" spans="1:4" ht="16.5" hidden="1" x14ac:dyDescent="0.3">
      <c r="A1586" s="10" t="str">
        <f>基本属性!$B$21&amp;"|"&amp;基本属性!$C$21</f>
        <v>200|11</v>
      </c>
      <c r="B1586" s="10" t="str">
        <f>参数调整!$J$32</f>
        <v>精英掉落</v>
      </c>
      <c r="C1586" s="8" t="str">
        <f>材料产出!$AV$2</f>
        <v>神器图纸</v>
      </c>
      <c r="D1586" s="224">
        <f>参数调整!$K$32*怪物掉落配置方案!$D4664</f>
        <v>8.441872390301074E-3</v>
      </c>
    </row>
    <row r="1587" spans="1:4" ht="16.5" hidden="1" x14ac:dyDescent="0.3">
      <c r="A1587" s="10" t="str">
        <f>基本属性!$B$22&amp;"|"&amp;基本属性!$C$22</f>
        <v>210|12</v>
      </c>
      <c r="B1587" s="10" t="str">
        <f>参数调整!$J$32</f>
        <v>精英掉落</v>
      </c>
      <c r="C1587" s="8" t="str">
        <f>材料产出!$AV$2</f>
        <v>神器图纸</v>
      </c>
      <c r="D1587" s="224">
        <f>参数调整!$K$32*怪物掉落配置方案!$D4665</f>
        <v>9.6608988522861386E-3</v>
      </c>
    </row>
    <row r="1588" spans="1:4" ht="16.5" hidden="1" x14ac:dyDescent="0.3">
      <c r="A1588" s="10" t="str">
        <f>基本属性!$B$23&amp;"|"&amp;基本属性!$C$23</f>
        <v>210|13</v>
      </c>
      <c r="B1588" s="10" t="str">
        <f>参数调整!$J$32</f>
        <v>精英掉落</v>
      </c>
      <c r="C1588" s="8" t="str">
        <f>材料产出!$AV$2</f>
        <v>神器图纸</v>
      </c>
      <c r="D1588" s="224">
        <f>参数调整!$K$32*怪物掉落配置方案!$D4666</f>
        <v>1.0962106873506159E-2</v>
      </c>
    </row>
    <row r="1589" spans="1:4" ht="16.5" hidden="1" x14ac:dyDescent="0.3">
      <c r="A1589" s="10" t="str">
        <f>基本属性!$B$24&amp;"|"&amp;基本属性!$C$24</f>
        <v>220|14</v>
      </c>
      <c r="B1589" s="10" t="str">
        <f>参数调整!$J$32</f>
        <v>精英掉落</v>
      </c>
      <c r="C1589" s="8" t="str">
        <f>材料产出!$AV$2</f>
        <v>神器图纸</v>
      </c>
      <c r="D1589" s="224">
        <f>参数调整!$K$32*怪物掉落配置方案!$D4667</f>
        <v>1.234549645396112E-2</v>
      </c>
    </row>
    <row r="1590" spans="1:4" ht="16.5" hidden="1" x14ac:dyDescent="0.3">
      <c r="A1590" s="10" t="str">
        <f>基本属性!$B$25&amp;"|"&amp;基本属性!$C$25</f>
        <v>220|15</v>
      </c>
      <c r="B1590" s="10" t="str">
        <f>参数调整!$J$32</f>
        <v>精英掉落</v>
      </c>
      <c r="C1590" s="8" t="str">
        <f>材料产出!$AV$2</f>
        <v>神器图纸</v>
      </c>
      <c r="D1590" s="224">
        <f>参数调整!$K$32*怪物掉落配置方案!$D4668</f>
        <v>1.3811067593651027E-2</v>
      </c>
    </row>
    <row r="1591" spans="1:4" ht="16.5" hidden="1" x14ac:dyDescent="0.3">
      <c r="A1591" s="10" t="str">
        <f>基本属性!$B$26&amp;"|"&amp;基本属性!$C$26</f>
        <v>230|16</v>
      </c>
      <c r="B1591" s="10" t="str">
        <f>参数调整!$J$32</f>
        <v>精英掉落</v>
      </c>
      <c r="C1591" s="8" t="str">
        <f>材料产出!$AV$2</f>
        <v>神器图纸</v>
      </c>
      <c r="D1591" s="224">
        <f>参数调整!$K$32*怪物掉落配置方案!$D4669</f>
        <v>1.5358820292575886E-2</v>
      </c>
    </row>
    <row r="1592" spans="1:4" ht="16.5" hidden="1" x14ac:dyDescent="0.3">
      <c r="A1592" s="10" t="str">
        <f>基本属性!$B$27&amp;"|"&amp;基本属性!$C$27</f>
        <v>230|17</v>
      </c>
      <c r="B1592" s="10" t="str">
        <f>参数调整!$J$32</f>
        <v>精英掉落</v>
      </c>
      <c r="C1592" s="8" t="str">
        <f>材料产出!$AV$2</f>
        <v>神器图纸</v>
      </c>
      <c r="D1592" s="224">
        <f>参数调整!$K$32*怪物掉落配置方案!$D4670</f>
        <v>1.6988754550735695E-2</v>
      </c>
    </row>
    <row r="1593" spans="1:4" ht="16.5" hidden="1" x14ac:dyDescent="0.3">
      <c r="A1593" s="10" t="str">
        <f>基本属性!$B$28&amp;"|"&amp;基本属性!$C$28</f>
        <v>240|18</v>
      </c>
      <c r="B1593" s="10" t="str">
        <f>参数调整!$J$32</f>
        <v>精英掉落</v>
      </c>
      <c r="C1593" s="8" t="str">
        <f>材料产出!$AV$2</f>
        <v>神器图纸</v>
      </c>
      <c r="D1593" s="224">
        <f>参数调整!$K$32*怪物掉落配置方案!$D4671</f>
        <v>1.8700870368130455E-2</v>
      </c>
    </row>
    <row r="1594" spans="1:4" ht="16.5" hidden="1" x14ac:dyDescent="0.3">
      <c r="A1594" s="10" t="str">
        <f>基本属性!$B$29&amp;"|"&amp;基本属性!$C$29</f>
        <v>240|19</v>
      </c>
      <c r="B1594" s="10" t="str">
        <f>参数调整!$J$32</f>
        <v>精英掉落</v>
      </c>
      <c r="C1594" s="8" t="str">
        <f>材料产出!$AV$2</f>
        <v>神器图纸</v>
      </c>
      <c r="D1594" s="224">
        <f>参数调整!$K$32*怪物掉落配置方案!$D4672</f>
        <v>2.0495167744760158E-2</v>
      </c>
    </row>
    <row r="1595" spans="1:4" ht="16.5" hidden="1" x14ac:dyDescent="0.3">
      <c r="A1595" s="10" t="str">
        <f>基本属性!$B$30&amp;"|"&amp;基本属性!$C$30</f>
        <v>250|20</v>
      </c>
      <c r="B1595" s="10" t="str">
        <f>参数调整!$J$32</f>
        <v>精英掉落</v>
      </c>
      <c r="C1595" s="8" t="str">
        <f>材料产出!$AV$2</f>
        <v>神器图纸</v>
      </c>
      <c r="D1595" s="224">
        <f>参数调整!$K$32*怪物掉落配置方案!$D4673</f>
        <v>2.2371646680624805E-2</v>
      </c>
    </row>
    <row r="1596" spans="1:4" ht="16.5" hidden="1" x14ac:dyDescent="0.3">
      <c r="A1596" s="10" t="str">
        <f>基本属性!$B$4&amp;"|"&amp;基本属性!$C$4</f>
        <v>35|0</v>
      </c>
      <c r="B1596" s="10" t="str">
        <f>参数调整!$J$32</f>
        <v>精英掉落</v>
      </c>
      <c r="C1596" s="8" t="str">
        <f>材料产出!$AH$2</f>
        <v>神品升星石</v>
      </c>
      <c r="D1596" s="224">
        <f>参数调整!$K$32*怪物掉落配置方案!$D4674</f>
        <v>4.5365042618120592E-3</v>
      </c>
    </row>
    <row r="1597" spans="1:4" ht="16.5" hidden="1" x14ac:dyDescent="0.3">
      <c r="A1597" s="10" t="str">
        <f>基本属性!$B$5&amp;"|"&amp;基本属性!$C$5</f>
        <v>40|0</v>
      </c>
      <c r="B1597" s="10" t="str">
        <f>参数调整!$J$32</f>
        <v>精英掉落</v>
      </c>
      <c r="C1597" s="8" t="str">
        <f>材料产出!$AH$2</f>
        <v>神品升星石</v>
      </c>
      <c r="D1597" s="224">
        <f>参数调整!$K$32*怪物掉落配置方案!$D4675</f>
        <v>5.7415132063558874E-3</v>
      </c>
    </row>
    <row r="1598" spans="1:4" ht="16.5" hidden="1" x14ac:dyDescent="0.3">
      <c r="A1598" s="10" t="str">
        <f>基本属性!$B$6&amp;"|"&amp;基本属性!$C$6</f>
        <v>50|0</v>
      </c>
      <c r="B1598" s="10" t="str">
        <f>参数调整!$J$32</f>
        <v>精英掉落</v>
      </c>
      <c r="C1598" s="8" t="str">
        <f>材料产出!$AH$2</f>
        <v>神品升星石</v>
      </c>
      <c r="D1598" s="224">
        <f>参数调整!$K$32*怪物掉落配置方案!$D4676</f>
        <v>7.0882879090813419E-3</v>
      </c>
    </row>
    <row r="1599" spans="1:4" ht="16.5" hidden="1" x14ac:dyDescent="0.3">
      <c r="A1599" s="10" t="str">
        <f>基本属性!$B$7&amp;"|"&amp;基本属性!$C$7</f>
        <v>60|0</v>
      </c>
      <c r="B1599" s="10" t="str">
        <f>参数调整!$J$32</f>
        <v>精英掉落</v>
      </c>
      <c r="C1599" s="8" t="str">
        <f>材料产出!$AH$2</f>
        <v>神品升星石</v>
      </c>
      <c r="D1599" s="224">
        <f>参数调整!$K$32*怪物掉落配置方案!$D4677</f>
        <v>8.5768283699884252E-3</v>
      </c>
    </row>
    <row r="1600" spans="1:4" ht="16.5" hidden="1" x14ac:dyDescent="0.3">
      <c r="A1600" s="10" t="str">
        <f>基本属性!$B$8&amp;"|"&amp;基本属性!$C$8</f>
        <v>65|0</v>
      </c>
      <c r="B1600" s="10" t="str">
        <f>参数调整!$J$32</f>
        <v>精英掉落</v>
      </c>
      <c r="C1600" s="8" t="str">
        <f>材料产出!$AH$2</f>
        <v>神品升星石</v>
      </c>
      <c r="D1600" s="224">
        <f>参数调整!$K$32*怪物掉落配置方案!$D4678</f>
        <v>1.0207134589077134E-2</v>
      </c>
    </row>
    <row r="1601" spans="1:4" ht="16.5" hidden="1" x14ac:dyDescent="0.3">
      <c r="A1601" s="10" t="str">
        <f>基本属性!$B$9&amp;"|"&amp;基本属性!$C$9</f>
        <v>70|0</v>
      </c>
      <c r="B1601" s="10" t="str">
        <f>参数调整!$J$32</f>
        <v>精英掉落</v>
      </c>
      <c r="C1601" s="8" t="str">
        <f>材料产出!$AH$2</f>
        <v>神品升星石</v>
      </c>
      <c r="D1601" s="224">
        <f>参数调整!$K$32*怪物掉落配置方案!$D4679</f>
        <v>1.1979206566347472E-2</v>
      </c>
    </row>
    <row r="1602" spans="1:4" ht="16.5" hidden="1" x14ac:dyDescent="0.3">
      <c r="A1602" s="10" t="str">
        <f>基本属性!$B$10&amp;"|"&amp;基本属性!$C$10</f>
        <v>75|0</v>
      </c>
      <c r="B1602" s="10" t="str">
        <f>参数调整!$J$32</f>
        <v>精英掉落</v>
      </c>
      <c r="C1602" s="8" t="str">
        <f>材料产出!$AH$2</f>
        <v>神品升星石</v>
      </c>
      <c r="D1602" s="224">
        <f>参数调整!$K$32*怪物掉落配置方案!$D4680</f>
        <v>1.3893044301799429E-2</v>
      </c>
    </row>
    <row r="1603" spans="1:4" ht="16.5" hidden="1" x14ac:dyDescent="0.3">
      <c r="A1603" s="10" t="str">
        <f>基本属性!$B$11&amp;"|"&amp;基本属性!$C$11</f>
        <v>80|1</v>
      </c>
      <c r="B1603" s="10" t="str">
        <f>参数调整!$J$32</f>
        <v>精英掉落</v>
      </c>
      <c r="C1603" s="8" t="str">
        <f>材料产出!$AH$2</f>
        <v>神品升星石</v>
      </c>
      <c r="D1603" s="224">
        <f>参数调整!$K$32*怪物掉落配置方案!$D4681</f>
        <v>1.5948647795433021E-2</v>
      </c>
    </row>
    <row r="1604" spans="1:4" ht="16.5" hidden="1" x14ac:dyDescent="0.3">
      <c r="A1604" s="10" t="str">
        <f>基本属性!$B$12&amp;"|"&amp;基本属性!$C$12</f>
        <v>90|2</v>
      </c>
      <c r="B1604" s="10" t="str">
        <f>参数调整!$J$32</f>
        <v>精英掉落</v>
      </c>
      <c r="C1604" s="8" t="str">
        <f>材料产出!$AH$2</f>
        <v>神品升星石</v>
      </c>
      <c r="D1604" s="224">
        <f>参数调整!$K$32*怪物掉落配置方案!$D4682</f>
        <v>1.814601704724824E-2</v>
      </c>
    </row>
    <row r="1605" spans="1:4" ht="16.5" hidden="1" x14ac:dyDescent="0.3">
      <c r="A1605" s="10" t="str">
        <f>基本属性!$B$13&amp;"|"&amp;基本属性!$C$13</f>
        <v>100|3</v>
      </c>
      <c r="B1605" s="10" t="str">
        <f>参数调整!$J$32</f>
        <v>精英掉落</v>
      </c>
      <c r="C1605" s="8" t="str">
        <f>材料产出!$AH$2</f>
        <v>神品升星石</v>
      </c>
      <c r="D1605" s="224">
        <f>参数调整!$K$32*怪物掉落配置方案!$D4683</f>
        <v>2.2966052825423557E-2</v>
      </c>
    </row>
    <row r="1606" spans="1:4" ht="16.5" hidden="1" x14ac:dyDescent="0.3">
      <c r="A1606" s="10" t="str">
        <f>基本属性!$B$14&amp;"|"&amp;基本属性!$C$14</f>
        <v>105|4</v>
      </c>
      <c r="B1606" s="10" t="str">
        <f>参数调整!$J$32</f>
        <v>精英掉落</v>
      </c>
      <c r="C1606" s="8" t="str">
        <f>材料产出!$AH$2</f>
        <v>神品升星石</v>
      </c>
      <c r="D1606" s="224">
        <f>参数调整!$K$32*怪物掉落配置方案!$D4684</f>
        <v>2.8353151636325367E-2</v>
      </c>
    </row>
    <row r="1607" spans="1:4" ht="16.5" hidden="1" x14ac:dyDescent="0.3">
      <c r="A1607" s="10" t="str">
        <f>基本属性!$B$15&amp;"|"&amp;基本属性!$C$15</f>
        <v>110|5</v>
      </c>
      <c r="B1607" s="10" t="str">
        <f>参数调整!$J$32</f>
        <v>精英掉落</v>
      </c>
      <c r="C1607" s="8" t="str">
        <f>材料产出!$AH$2</f>
        <v>神品升星石</v>
      </c>
      <c r="D1607" s="224">
        <f>参数调整!$K$32*怪物掉落配置方案!$D4685</f>
        <v>3.4307313479953708E-2</v>
      </c>
    </row>
    <row r="1608" spans="1:4" ht="16.5" hidden="1" x14ac:dyDescent="0.3">
      <c r="A1608" s="10" t="str">
        <f>基本属性!$B$16&amp;"|"&amp;基本属性!$C$16</f>
        <v>120|6</v>
      </c>
      <c r="B1608" s="10" t="str">
        <f>参数调整!$J$32</f>
        <v>精英掉落</v>
      </c>
      <c r="C1608" s="8" t="str">
        <f>材料产出!$AH$2</f>
        <v>神品升星石</v>
      </c>
      <c r="D1608" s="224">
        <f>参数调整!$K$32*怪物掉落配置方案!$D4686</f>
        <v>4.430179943175841E-2</v>
      </c>
    </row>
    <row r="1609" spans="1:4" ht="16.5" hidden="1" x14ac:dyDescent="0.3">
      <c r="A1609" s="10" t="str">
        <f>基本属性!$B$17&amp;"|"&amp;基本属性!$C$17</f>
        <v>135|7</v>
      </c>
      <c r="B1609" s="10" t="str">
        <f>参数调整!$J$32</f>
        <v>精英掉落</v>
      </c>
      <c r="C1609" s="8" t="str">
        <f>材料产出!$AH$2</f>
        <v>神品升星石</v>
      </c>
      <c r="D1609" s="224">
        <f>参数调整!$K$32*怪物掉落配置方案!$D4687</f>
        <v>6.3794591181732085E-2</v>
      </c>
    </row>
    <row r="1610" spans="1:4" ht="16.5" hidden="1" x14ac:dyDescent="0.3">
      <c r="A1610" s="10" t="str">
        <f>基本属性!$B$18&amp;"|"&amp;基本属性!$C$18</f>
        <v>155|8</v>
      </c>
      <c r="B1610" s="10" t="str">
        <f>参数调整!$J$32</f>
        <v>精英掉落</v>
      </c>
      <c r="C1610" s="8" t="str">
        <f>材料产出!$AH$2</f>
        <v>神品升星石</v>
      </c>
      <c r="D1610" s="224">
        <f>参数调整!$K$32*怪物掉落配置方案!$D4688</f>
        <v>8.6831526886246457E-2</v>
      </c>
    </row>
    <row r="1611" spans="1:4" ht="16.5" hidden="1" x14ac:dyDescent="0.3">
      <c r="A1611" s="10" t="str">
        <f>基本属性!$B$19&amp;"|"&amp;基本属性!$C$19</f>
        <v>190|9</v>
      </c>
      <c r="B1611" s="10" t="str">
        <f>参数调整!$J$32</f>
        <v>精英掉落</v>
      </c>
      <c r="C1611" s="8" t="str">
        <f>材料产出!$AH$2</f>
        <v>神品升星石</v>
      </c>
      <c r="D1611" s="224">
        <f>参数调整!$K$32*怪物掉落配置方案!$D4689</f>
        <v>9.7038661475323598E-2</v>
      </c>
    </row>
    <row r="1612" spans="1:4" ht="16.5" hidden="1" x14ac:dyDescent="0.3">
      <c r="A1612" s="10" t="str">
        <f>基本属性!$B$20&amp;"|"&amp;基本属性!$C$20</f>
        <v>200|10</v>
      </c>
      <c r="B1612" s="10" t="str">
        <f>参数调整!$J$32</f>
        <v>精英掉落</v>
      </c>
      <c r="C1612" s="8" t="str">
        <f>材料产出!$AH$2</f>
        <v>神品升星石</v>
      </c>
      <c r="D1612" s="224">
        <f>参数调整!$K$32*怪物掉落配置方案!$D4690</f>
        <v>0.11341260654530147</v>
      </c>
    </row>
    <row r="1613" spans="1:4" ht="16.5" hidden="1" x14ac:dyDescent="0.3">
      <c r="A1613" s="10" t="str">
        <f>基本属性!$B$21&amp;"|"&amp;基本属性!$C$21</f>
        <v>200|11</v>
      </c>
      <c r="B1613" s="10" t="str">
        <f>参数调整!$J$32</f>
        <v>精英掉落</v>
      </c>
      <c r="C1613" s="8" t="str">
        <f>材料产出!$AH$2</f>
        <v>神品升星石</v>
      </c>
      <c r="D1613" s="224">
        <f>参数调整!$K$32*怪物掉落配置方案!$D4691</f>
        <v>0.13106244343891402</v>
      </c>
    </row>
    <row r="1614" spans="1:4" ht="16.5" hidden="1" x14ac:dyDescent="0.3">
      <c r="A1614" s="10" t="str">
        <f>基本属性!$B$22&amp;"|"&amp;基本属性!$C$22</f>
        <v>210|12</v>
      </c>
      <c r="B1614" s="10" t="str">
        <f>参数调整!$J$32</f>
        <v>精英掉落</v>
      </c>
      <c r="C1614" s="8" t="str">
        <f>材料产出!$AH$2</f>
        <v>神品升星石</v>
      </c>
      <c r="D1614" s="224">
        <f>参数调整!$K$32*怪物掉落配置方案!$D4692</f>
        <v>0.14998817215616117</v>
      </c>
    </row>
    <row r="1615" spans="1:4" ht="16.5" hidden="1" x14ac:dyDescent="0.3">
      <c r="A1615" s="10" t="str">
        <f>基本属性!$B$23&amp;"|"&amp;基本属性!$C$23</f>
        <v>210|13</v>
      </c>
      <c r="B1615" s="10" t="str">
        <f>参数调整!$J$32</f>
        <v>精英掉落</v>
      </c>
      <c r="C1615" s="8" t="str">
        <f>材料产出!$AH$2</f>
        <v>神品升星石</v>
      </c>
      <c r="D1615" s="224">
        <f>参数调整!$K$32*怪物掉落配置方案!$D4693</f>
        <v>0.17018979269704307</v>
      </c>
    </row>
    <row r="1616" spans="1:4" ht="16.5" hidden="1" x14ac:dyDescent="0.3">
      <c r="A1616" s="10" t="str">
        <f>基本属性!$B$24&amp;"|"&amp;基本属性!$C$24</f>
        <v>220|14</v>
      </c>
      <c r="B1616" s="10" t="str">
        <f>参数调整!$J$32</f>
        <v>精英掉落</v>
      </c>
      <c r="C1616" s="8" t="str">
        <f>材料产出!$AH$2</f>
        <v>神品升星石</v>
      </c>
      <c r="D1616" s="224">
        <f>参数调整!$K$32*怪物掉落配置方案!$D4694</f>
        <v>0.19166730506155955</v>
      </c>
    </row>
    <row r="1617" spans="1:4" ht="16.5" hidden="1" x14ac:dyDescent="0.3">
      <c r="A1617" s="10" t="str">
        <f>基本属性!$B$25&amp;"|"&amp;基本属性!$C$25</f>
        <v>220|15</v>
      </c>
      <c r="B1617" s="10" t="str">
        <f>参数调整!$J$32</f>
        <v>精英掉落</v>
      </c>
      <c r="C1617" s="8" t="str">
        <f>材料产出!$AH$2</f>
        <v>神品升星石</v>
      </c>
      <c r="D1617" s="224">
        <f>参数调整!$K$32*怪物掉落配置方案!$D4695</f>
        <v>0.21442070924971063</v>
      </c>
    </row>
    <row r="1618" spans="1:4" ht="16.5" hidden="1" x14ac:dyDescent="0.3">
      <c r="A1618" s="10" t="str">
        <f>基本属性!$B$26&amp;"|"&amp;基本属性!$C$26</f>
        <v>230|16</v>
      </c>
      <c r="B1618" s="10" t="str">
        <f>参数调整!$J$32</f>
        <v>精英掉落</v>
      </c>
      <c r="C1618" s="8" t="str">
        <f>材料产出!$AH$2</f>
        <v>神品升星石</v>
      </c>
      <c r="D1618" s="224">
        <f>参数调整!$K$32*怪物掉落配置方案!$D4696</f>
        <v>0.23845000526149635</v>
      </c>
    </row>
    <row r="1619" spans="1:4" ht="16.5" hidden="1" x14ac:dyDescent="0.3">
      <c r="A1619" s="10" t="str">
        <f>基本属性!$B$27&amp;"|"&amp;基本属性!$C$27</f>
        <v>230|17</v>
      </c>
      <c r="B1619" s="10" t="str">
        <f>参数调整!$J$32</f>
        <v>精英掉落</v>
      </c>
      <c r="C1619" s="8" t="str">
        <f>材料产出!$AH$2</f>
        <v>神品升星石</v>
      </c>
      <c r="D1619" s="224">
        <f>参数调整!$K$32*怪物掉落配置方案!$D4697</f>
        <v>0.26375519309691675</v>
      </c>
    </row>
    <row r="1620" spans="1:4" ht="16.5" hidden="1" x14ac:dyDescent="0.3">
      <c r="A1620" s="10" t="str">
        <f>基本属性!$B$28&amp;"|"&amp;基本属性!$C$28</f>
        <v>240|18</v>
      </c>
      <c r="B1620" s="10" t="str">
        <f>参数调整!$J$32</f>
        <v>精英掉落</v>
      </c>
      <c r="C1620" s="8" t="str">
        <f>材料产出!$AH$2</f>
        <v>神品升星石</v>
      </c>
      <c r="D1620" s="224">
        <f>参数调整!$K$32*怪物掉落配置方案!$D4698</f>
        <v>0.29033627275597179</v>
      </c>
    </row>
    <row r="1621" spans="1:4" ht="16.5" hidden="1" x14ac:dyDescent="0.3">
      <c r="A1621" s="10" t="str">
        <f>基本属性!$B$29&amp;"|"&amp;基本属性!$C$29</f>
        <v>240|19</v>
      </c>
      <c r="B1621" s="10" t="str">
        <f>参数调整!$J$32</f>
        <v>精英掉落</v>
      </c>
      <c r="C1621" s="8" t="str">
        <f>材料产出!$AH$2</f>
        <v>神品升星石</v>
      </c>
      <c r="D1621" s="224">
        <f>参数调整!$K$32*怪物掉落配置方案!$D4699</f>
        <v>0.31819324423866152</v>
      </c>
    </row>
    <row r="1622" spans="1:4" ht="16.5" hidden="1" x14ac:dyDescent="0.3">
      <c r="A1622" s="10" t="str">
        <f>基本属性!$B$30&amp;"|"&amp;基本属性!$C$30</f>
        <v>250|20</v>
      </c>
      <c r="B1622" s="10" t="str">
        <f>参数调整!$J$32</f>
        <v>精英掉落</v>
      </c>
      <c r="C1622" s="8" t="str">
        <f>材料产出!$AH$2</f>
        <v>神品升星石</v>
      </c>
      <c r="D1622" s="224">
        <f>参数调整!$K$32*怪物掉落配置方案!$D4700</f>
        <v>0.34732610754498572</v>
      </c>
    </row>
    <row r="1623" spans="1:4" ht="16.5" hidden="1" x14ac:dyDescent="0.3">
      <c r="A1623" s="10" t="str">
        <f>基本属性!$B$4&amp;"|"&amp;基本属性!$C$4</f>
        <v>35|0</v>
      </c>
      <c r="B1623" s="10" t="str">
        <f>参数调整!$J$32</f>
        <v>精英掉落</v>
      </c>
      <c r="C1623" s="8" t="str">
        <f>材料产出!$AL$2</f>
        <v>上品注灵石</v>
      </c>
      <c r="D1623" s="224">
        <f>参数调整!$K$32*怪物掉落配置方案!$D4701</f>
        <v>2.592205144711783E-2</v>
      </c>
    </row>
    <row r="1624" spans="1:4" ht="16.5" hidden="1" x14ac:dyDescent="0.3">
      <c r="A1624" s="10" t="str">
        <f>基本属性!$B$5&amp;"|"&amp;基本属性!$C$5</f>
        <v>40|0</v>
      </c>
      <c r="B1624" s="10" t="str">
        <f>参数调整!$J$32</f>
        <v>精英掉落</v>
      </c>
      <c r="C1624" s="8" t="str">
        <f>材料产出!$AL$2</f>
        <v>上品注灵石</v>
      </c>
      <c r="D1624" s="224">
        <f>参数调整!$K$32*怪物掉落配置方案!$D4702</f>
        <v>3.2807596362758512E-2</v>
      </c>
    </row>
    <row r="1625" spans="1:4" ht="16.5" hidden="1" x14ac:dyDescent="0.3">
      <c r="A1625" s="10" t="str">
        <f>基本属性!$B$6&amp;"|"&amp;基本属性!$C$6</f>
        <v>50|0</v>
      </c>
      <c r="B1625" s="10" t="str">
        <f>参数调整!$J$32</f>
        <v>精英掉落</v>
      </c>
      <c r="C1625" s="8" t="str">
        <f>材料产出!$AL$2</f>
        <v>上品注灵石</v>
      </c>
      <c r="D1625" s="224">
        <f>参数调整!$K$32*怪物掉落配置方案!$D4703</f>
        <v>4.0503205386121614E-2</v>
      </c>
    </row>
    <row r="1626" spans="1:4" ht="16.5" hidden="1" x14ac:dyDescent="0.3">
      <c r="A1626" s="10" t="str">
        <f>基本属性!$B$7&amp;"|"&amp;基本属性!$C$7</f>
        <v>60|0</v>
      </c>
      <c r="B1626" s="10" t="str">
        <f>参数调整!$J$32</f>
        <v>精英掉落</v>
      </c>
      <c r="C1626" s="8" t="str">
        <f>材料产出!$AL$2</f>
        <v>上品注灵石</v>
      </c>
      <c r="D1626" s="224">
        <f>参数调整!$K$32*怪物掉落配置方案!$D4704</f>
        <v>4.9008878517207158E-2</v>
      </c>
    </row>
    <row r="1627" spans="1:4" ht="16.5" hidden="1" x14ac:dyDescent="0.3">
      <c r="A1627" s="10" t="str">
        <f>基本属性!$B$8&amp;"|"&amp;基本属性!$C$8</f>
        <v>65|0</v>
      </c>
      <c r="B1627" s="10" t="str">
        <f>参数调整!$J$32</f>
        <v>精英掉落</v>
      </c>
      <c r="C1627" s="8" t="str">
        <f>材料产出!$AL$2</f>
        <v>上品注灵石</v>
      </c>
      <c r="D1627" s="224">
        <f>参数调整!$K$32*怪物掉落配置方案!$D4705</f>
        <v>5.8324615756015115E-2</v>
      </c>
    </row>
    <row r="1628" spans="1:4" ht="16.5" hidden="1" x14ac:dyDescent="0.3">
      <c r="A1628" s="10" t="str">
        <f>基本属性!$B$9&amp;"|"&amp;基本属性!$C$9</f>
        <v>70|0</v>
      </c>
      <c r="B1628" s="10" t="str">
        <f>参数调整!$J$32</f>
        <v>精英掉落</v>
      </c>
      <c r="C1628" s="8" t="str">
        <f>材料产出!$AL$2</f>
        <v>上品注灵石</v>
      </c>
      <c r="D1628" s="224">
        <f>参数调整!$K$32*怪物掉落配置方案!$D4706</f>
        <v>6.8450417102545527E-2</v>
      </c>
    </row>
    <row r="1629" spans="1:4" ht="16.5" hidden="1" x14ac:dyDescent="0.3">
      <c r="A1629" s="10" t="str">
        <f>基本属性!$B$10&amp;"|"&amp;基本属性!$C$10</f>
        <v>75|0</v>
      </c>
      <c r="B1629" s="10" t="str">
        <f>参数调整!$J$32</f>
        <v>精英掉落</v>
      </c>
      <c r="C1629" s="8" t="str">
        <f>材料产出!$AL$2</f>
        <v>上品注灵石</v>
      </c>
      <c r="D1629" s="224">
        <f>参数调整!$K$32*怪物掉落配置方案!$D4707</f>
        <v>7.9386282556798346E-2</v>
      </c>
    </row>
    <row r="1630" spans="1:4" ht="16.5" hidden="1" x14ac:dyDescent="0.3">
      <c r="A1630" s="10" t="str">
        <f>基本属性!$B$11&amp;"|"&amp;基本属性!$C$11</f>
        <v>80|1</v>
      </c>
      <c r="B1630" s="10" t="str">
        <f>参数调整!$J$32</f>
        <v>精英掉落</v>
      </c>
      <c r="C1630" s="8" t="str">
        <f>材料产出!$AL$2</f>
        <v>上品注灵石</v>
      </c>
      <c r="D1630" s="224">
        <f>参数调整!$K$32*怪物掉落配置方案!$D4708</f>
        <v>9.1132212118773648E-2</v>
      </c>
    </row>
    <row r="1631" spans="1:4" ht="16.5" hidden="1" x14ac:dyDescent="0.3">
      <c r="A1631" s="10" t="str">
        <f>基本属性!$B$12&amp;"|"&amp;基本属性!$C$12</f>
        <v>90|2</v>
      </c>
      <c r="B1631" s="10" t="str">
        <f>参数调整!$J$32</f>
        <v>精英掉落</v>
      </c>
      <c r="C1631" s="8" t="str">
        <f>材料产出!$AL$2</f>
        <v>上品注灵石</v>
      </c>
      <c r="D1631" s="224">
        <f>参数调整!$K$32*怪物掉落配置方案!$D4709</f>
        <v>0.10368820578847135</v>
      </c>
    </row>
    <row r="1632" spans="1:4" ht="16.5" hidden="1" x14ac:dyDescent="0.3">
      <c r="A1632" s="10" t="str">
        <f>基本属性!$B$13&amp;"|"&amp;基本属性!$C$13</f>
        <v>100|3</v>
      </c>
      <c r="B1632" s="10" t="str">
        <f>参数调整!$J$32</f>
        <v>精英掉落</v>
      </c>
      <c r="C1632" s="8" t="str">
        <f>材料产出!$AL$2</f>
        <v>上品注灵石</v>
      </c>
      <c r="D1632" s="224">
        <f>参数调整!$K$32*怪物掉落配置方案!$D4710</f>
        <v>0.13123038545103405</v>
      </c>
    </row>
    <row r="1633" spans="1:4" ht="16.5" hidden="1" x14ac:dyDescent="0.3">
      <c r="A1633" s="10" t="str">
        <f>基本属性!$B$14&amp;"|"&amp;基本属性!$C$14</f>
        <v>105|4</v>
      </c>
      <c r="B1633" s="10" t="str">
        <f>参数调整!$J$32</f>
        <v>精英掉落</v>
      </c>
      <c r="C1633" s="8" t="str">
        <f>材料产出!$AL$2</f>
        <v>上品注灵石</v>
      </c>
      <c r="D1633" s="224">
        <f>参数调整!$K$32*怪物掉落配置方案!$D4711</f>
        <v>0.16201282154448646</v>
      </c>
    </row>
    <row r="1634" spans="1:4" ht="16.5" hidden="1" x14ac:dyDescent="0.3">
      <c r="A1634" s="10" t="str">
        <f>基本属性!$B$15&amp;"|"&amp;基本属性!$C$15</f>
        <v>110|5</v>
      </c>
      <c r="B1634" s="10" t="str">
        <f>参数调整!$J$32</f>
        <v>精英掉落</v>
      </c>
      <c r="C1634" s="8" t="str">
        <f>材料产出!$AL$2</f>
        <v>上品注灵石</v>
      </c>
      <c r="D1634" s="224">
        <f>参数调整!$K$32*怪物掉落配置方案!$D4712</f>
        <v>0.19603551406882863</v>
      </c>
    </row>
    <row r="1635" spans="1:4" ht="16.5" hidden="1" x14ac:dyDescent="0.3">
      <c r="A1635" s="10" t="str">
        <f>基本属性!$B$16&amp;"|"&amp;基本属性!$C$16</f>
        <v>120|6</v>
      </c>
      <c r="B1635" s="10" t="str">
        <f>参数调整!$J$32</f>
        <v>精英掉落</v>
      </c>
      <c r="C1635" s="8" t="str">
        <f>材料产出!$AL$2</f>
        <v>上品注灵石</v>
      </c>
      <c r="D1635" s="224">
        <f>参数调整!$K$32*怪物掉落配置方案!$D4713</f>
        <v>0.25314503366326008</v>
      </c>
    </row>
    <row r="1636" spans="1:4" ht="16.5" hidden="1" x14ac:dyDescent="0.3">
      <c r="A1636" s="10" t="str">
        <f>基本属性!$B$17&amp;"|"&amp;基本属性!$C$17</f>
        <v>135|7</v>
      </c>
      <c r="B1636" s="10" t="str">
        <f>参数调整!$J$32</f>
        <v>精英掉落</v>
      </c>
      <c r="C1636" s="8" t="str">
        <f>材料产出!$AL$2</f>
        <v>上品注灵石</v>
      </c>
      <c r="D1636" s="224">
        <f>参数调整!$K$32*怪物掉落配置方案!$D4714</f>
        <v>0.36452884847509459</v>
      </c>
    </row>
    <row r="1637" spans="1:4" ht="16.5" hidden="1" x14ac:dyDescent="0.3">
      <c r="A1637" s="10" t="str">
        <f>基本属性!$B$18&amp;"|"&amp;基本属性!$C$18</f>
        <v>155|8</v>
      </c>
      <c r="B1637" s="10" t="str">
        <f>参数调整!$J$32</f>
        <v>精英掉落</v>
      </c>
      <c r="C1637" s="8" t="str">
        <f>材料产出!$AL$2</f>
        <v>上品注灵石</v>
      </c>
      <c r="D1637" s="224">
        <f>参数调整!$K$32*怪物掉落配置方案!$D4715</f>
        <v>0.49616426597998975</v>
      </c>
    </row>
    <row r="1638" spans="1:4" ht="16.5" hidden="1" x14ac:dyDescent="0.3">
      <c r="A1638" s="10" t="str">
        <f>基本属性!$B$19&amp;"|"&amp;基本属性!$C$19</f>
        <v>190|9</v>
      </c>
      <c r="B1638" s="10" t="str">
        <f>参数调整!$J$32</f>
        <v>精英掉落</v>
      </c>
      <c r="C1638" s="8" t="str">
        <f>材料产出!$AL$2</f>
        <v>上品注灵石</v>
      </c>
      <c r="D1638" s="224">
        <f>参数调整!$K$32*怪物掉落配置方案!$D4716</f>
        <v>0.55448888173600497</v>
      </c>
    </row>
    <row r="1639" spans="1:4" ht="16.5" hidden="1" x14ac:dyDescent="0.3">
      <c r="A1639" s="10" t="str">
        <f>基本属性!$B$20&amp;"|"&amp;基本属性!$C$20</f>
        <v>200|10</v>
      </c>
      <c r="B1639" s="10" t="str">
        <f>参数调整!$J$32</f>
        <v>精英掉落</v>
      </c>
      <c r="C1639" s="8" t="str">
        <f>材料产出!$AL$2</f>
        <v>上品注灵石</v>
      </c>
      <c r="D1639" s="224">
        <f>参数调整!$K$32*怪物掉落配置方案!$D4717</f>
        <v>0.64805128617794583</v>
      </c>
    </row>
    <row r="1640" spans="1:4" ht="16.5" hidden="1" x14ac:dyDescent="0.3">
      <c r="A1640" s="10" t="str">
        <f>基本属性!$B$21&amp;"|"&amp;基本属性!$C$21</f>
        <v>200|11</v>
      </c>
      <c r="B1640" s="10" t="str">
        <f>参数调整!$J$32</f>
        <v>精英掉落</v>
      </c>
      <c r="C1640" s="8" t="str">
        <f>材料产出!$AL$2</f>
        <v>上品注灵石</v>
      </c>
      <c r="D1640" s="224">
        <f>参数调整!$K$32*怪物掉落配置方案!$D4718</f>
        <v>0.74890426758938855</v>
      </c>
    </row>
    <row r="1641" spans="1:4" ht="16.5" hidden="1" x14ac:dyDescent="0.3">
      <c r="A1641" s="10" t="str">
        <f>基本属性!$B$22&amp;"|"&amp;基本属性!$C$22</f>
        <v>210|12</v>
      </c>
      <c r="B1641" s="10" t="str">
        <f>参数调整!$J$32</f>
        <v>精英掉落</v>
      </c>
      <c r="C1641" s="8" t="str">
        <f>材料产出!$AL$2</f>
        <v>上品注灵石</v>
      </c>
      <c r="D1641" s="224">
        <f>参数调整!$K$32*怪物掉落配置方案!$D4719</f>
        <v>0.85704782597033302</v>
      </c>
    </row>
    <row r="1642" spans="1:4" ht="16.5" hidden="1" x14ac:dyDescent="0.3">
      <c r="A1642" s="10" t="str">
        <f>基本属性!$B$23&amp;"|"&amp;基本属性!$C$23</f>
        <v>210|13</v>
      </c>
      <c r="B1642" s="10" t="str">
        <f>参数调整!$J$32</f>
        <v>精英掉落</v>
      </c>
      <c r="C1642" s="8" t="str">
        <f>材料产出!$AL$2</f>
        <v>上品注灵石</v>
      </c>
      <c r="D1642" s="224">
        <f>参数调整!$K$32*怪物掉落配置方案!$D4720</f>
        <v>0.97248196132078002</v>
      </c>
    </row>
    <row r="1643" spans="1:4" ht="16.5" hidden="1" x14ac:dyDescent="0.3">
      <c r="A1643" s="10" t="str">
        <f>基本属性!$B$24&amp;"|"&amp;基本属性!$C$24</f>
        <v>220|14</v>
      </c>
      <c r="B1643" s="10" t="str">
        <f>参数调整!$J$32</f>
        <v>精英掉落</v>
      </c>
      <c r="C1643" s="8" t="str">
        <f>材料产出!$AL$2</f>
        <v>上品注灵石</v>
      </c>
      <c r="D1643" s="224">
        <f>参数调整!$K$32*怪物掉落配置方案!$D4721</f>
        <v>1.0952066736407284</v>
      </c>
    </row>
    <row r="1644" spans="1:4" ht="16.5" hidden="1" x14ac:dyDescent="0.3">
      <c r="A1644" s="10" t="str">
        <f>基本属性!$B$25&amp;"|"&amp;基本属性!$C$25</f>
        <v>220|15</v>
      </c>
      <c r="B1644" s="10" t="str">
        <f>参数调整!$J$32</f>
        <v>精英掉落</v>
      </c>
      <c r="C1644" s="8" t="str">
        <f>材料产出!$AL$2</f>
        <v>上品注灵石</v>
      </c>
      <c r="D1644" s="224">
        <f>参数调整!$K$32*怪物掉落配置方案!$D4722</f>
        <v>1.2252219629301788</v>
      </c>
    </row>
    <row r="1645" spans="1:4" ht="16.5" hidden="1" x14ac:dyDescent="0.3">
      <c r="A1645" s="10" t="str">
        <f>基本属性!$B$26&amp;"|"&amp;基本属性!$C$26</f>
        <v>230|16</v>
      </c>
      <c r="B1645" s="10" t="str">
        <f>参数调整!$J$32</f>
        <v>精英掉落</v>
      </c>
      <c r="C1645" s="8" t="str">
        <f>材料产出!$AL$2</f>
        <v>上品注灵石</v>
      </c>
      <c r="D1645" s="224">
        <f>参数调整!$K$32*怪物掉落配置方案!$D4723</f>
        <v>1.3625278291891307</v>
      </c>
    </row>
    <row r="1646" spans="1:4" ht="16.5" hidden="1" x14ac:dyDescent="0.3">
      <c r="A1646" s="10" t="str">
        <f>基本属性!$B$27&amp;"|"&amp;基本属性!$C$27</f>
        <v>230|17</v>
      </c>
      <c r="B1646" s="10" t="str">
        <f>参数调整!$J$32</f>
        <v>精英掉落</v>
      </c>
      <c r="C1646" s="8" t="str">
        <f>材料产出!$AL$2</f>
        <v>上品注灵石</v>
      </c>
      <c r="D1646" s="224">
        <f>参数调整!$K$32*怪物掉落配置方案!$D4724</f>
        <v>1.5071242724175851</v>
      </c>
    </row>
    <row r="1647" spans="1:4" ht="16.5" hidden="1" x14ac:dyDescent="0.3">
      <c r="A1647" s="10" t="str">
        <f>基本属性!$B$28&amp;"|"&amp;基本属性!$C$28</f>
        <v>240|18</v>
      </c>
      <c r="B1647" s="10" t="str">
        <f>参数调整!$J$32</f>
        <v>精英掉落</v>
      </c>
      <c r="C1647" s="8" t="str">
        <f>材料产出!$AL$2</f>
        <v>上品注灵石</v>
      </c>
      <c r="D1647" s="224">
        <f>参数调整!$K$32*怪物掉落配置方案!$D4725</f>
        <v>1.6590112926155416</v>
      </c>
    </row>
    <row r="1648" spans="1:4" ht="16.5" hidden="1" x14ac:dyDescent="0.3">
      <c r="A1648" s="10" t="str">
        <f>基本属性!$B$29&amp;"|"&amp;基本属性!$C$29</f>
        <v>240|19</v>
      </c>
      <c r="B1648" s="10" t="str">
        <f>参数调整!$J$32</f>
        <v>精英掉落</v>
      </c>
      <c r="C1648" s="8" t="str">
        <f>材料产出!$AL$2</f>
        <v>上品注灵石</v>
      </c>
      <c r="D1648" s="224">
        <f>参数调整!$K$32*怪物掉落配置方案!$D4726</f>
        <v>1.8181888897829992</v>
      </c>
    </row>
    <row r="1649" spans="1:4" ht="16.5" hidden="1" x14ac:dyDescent="0.3">
      <c r="A1649" s="10" t="str">
        <f>基本属性!$B$30&amp;"|"&amp;基本属性!$C$30</f>
        <v>250|20</v>
      </c>
      <c r="B1649" s="10" t="str">
        <f>参数调整!$J$32</f>
        <v>精英掉落</v>
      </c>
      <c r="C1649" s="8" t="str">
        <f>材料产出!$AL$2</f>
        <v>上品注灵石</v>
      </c>
      <c r="D1649" s="224">
        <f>参数调整!$K$32*怪物掉落配置方案!$D4727</f>
        <v>1.984657063919959</v>
      </c>
    </row>
    <row r="1650" spans="1:4" ht="16.5" hidden="1" x14ac:dyDescent="0.3">
      <c r="A1650" s="10" t="str">
        <f>基本属性!$B$4&amp;"|"&amp;基本属性!$C$4</f>
        <v>35|0</v>
      </c>
      <c r="B1650" s="10" t="str">
        <f>参数调整!$J$32</f>
        <v>精英掉落</v>
      </c>
      <c r="C1650" s="8" t="str">
        <f>材料产出!$AT$2</f>
        <v>魔龙之心</v>
      </c>
      <c r="D1650" s="224">
        <f>参数调整!$K$32*怪物掉落配置方案!$D4728</f>
        <v>3.2466788833559817E-5</v>
      </c>
    </row>
    <row r="1651" spans="1:4" ht="16.5" hidden="1" x14ac:dyDescent="0.3">
      <c r="A1651" s="10" t="str">
        <f>基本属性!$B$5&amp;"|"&amp;基本属性!$C$5</f>
        <v>40|0</v>
      </c>
      <c r="B1651" s="10" t="str">
        <f>参数调整!$J$32</f>
        <v>精英掉落</v>
      </c>
      <c r="C1651" s="8" t="str">
        <f>材料产出!$AT$2</f>
        <v>魔龙之心</v>
      </c>
      <c r="D1651" s="224">
        <f>参数调整!$K$32*怪物掉落配置方案!$D4729</f>
        <v>4.1090779617474143E-5</v>
      </c>
    </row>
    <row r="1652" spans="1:4" ht="16.5" hidden="1" x14ac:dyDescent="0.3">
      <c r="A1652" s="10" t="str">
        <f>基本属性!$B$6&amp;"|"&amp;基本属性!$C$6</f>
        <v>50|0</v>
      </c>
      <c r="B1652" s="10" t="str">
        <f>参数调整!$J$32</f>
        <v>精英掉落</v>
      </c>
      <c r="C1652" s="8" t="str">
        <f>材料产出!$AT$2</f>
        <v>魔龙之心</v>
      </c>
      <c r="D1652" s="224">
        <f>参数调整!$K$32*怪物掉落配置方案!$D4730</f>
        <v>5.0729357552437211E-5</v>
      </c>
    </row>
    <row r="1653" spans="1:4" ht="16.5" hidden="1" x14ac:dyDescent="0.3">
      <c r="A1653" s="10" t="str">
        <f>基本属性!$B$7&amp;"|"&amp;基本属性!$C$7</f>
        <v>60|0</v>
      </c>
      <c r="B1653" s="10" t="str">
        <f>参数调整!$J$32</f>
        <v>精英掉落</v>
      </c>
      <c r="C1653" s="8" t="str">
        <f>材料产出!$AT$2</f>
        <v>魔龙之心</v>
      </c>
      <c r="D1653" s="224">
        <f>参数调整!$K$32*怪物掉落配置方案!$D4731</f>
        <v>6.1382522638449042E-5</v>
      </c>
    </row>
    <row r="1654" spans="1:4" ht="16.5" hidden="1" x14ac:dyDescent="0.3">
      <c r="A1654" s="10" t="str">
        <f>基本属性!$B$8&amp;"|"&amp;基本属性!$C$8</f>
        <v>65|0</v>
      </c>
      <c r="B1654" s="10" t="str">
        <f>参数调整!$J$32</f>
        <v>精英掉落</v>
      </c>
      <c r="C1654" s="8" t="str">
        <f>材料产出!$AT$2</f>
        <v>魔龙之心</v>
      </c>
      <c r="D1654" s="224">
        <f>参数调整!$K$32*怪物掉落配置方案!$D4732</f>
        <v>7.3050274875509588E-5</v>
      </c>
    </row>
    <row r="1655" spans="1:4" ht="16.5" hidden="1" x14ac:dyDescent="0.3">
      <c r="A1655" s="10" t="str">
        <f>基本属性!$B$9&amp;"|"&amp;基本属性!$C$9</f>
        <v>70|0</v>
      </c>
      <c r="B1655" s="10" t="str">
        <f>参数调整!$J$32</f>
        <v>精英掉落</v>
      </c>
      <c r="C1655" s="8" t="str">
        <f>材料产出!$AT$2</f>
        <v>魔龙之心</v>
      </c>
      <c r="D1655" s="224">
        <f>参数调整!$K$32*怪物掉落配置方案!$D4733</f>
        <v>8.5732614263618891E-5</v>
      </c>
    </row>
    <row r="1656" spans="1:4" ht="16.5" hidden="1" x14ac:dyDescent="0.3">
      <c r="A1656" s="10" t="str">
        <f>基本属性!$B$10&amp;"|"&amp;基本属性!$C$10</f>
        <v>75|0</v>
      </c>
      <c r="B1656" s="10" t="str">
        <f>参数调整!$J$32</f>
        <v>精英掉落</v>
      </c>
      <c r="C1656" s="8" t="str">
        <f>材料产出!$AT$2</f>
        <v>魔龙之心</v>
      </c>
      <c r="D1656" s="224">
        <f>参数调整!$K$32*怪物掉落配置方案!$D4734</f>
        <v>9.9429540802776923E-5</v>
      </c>
    </row>
    <row r="1657" spans="1:4" ht="16.5" hidden="1" x14ac:dyDescent="0.3">
      <c r="A1657" s="10" t="str">
        <f>基本属性!$B$11&amp;"|"&amp;基本属性!$C$11</f>
        <v>80|1</v>
      </c>
      <c r="B1657" s="10" t="str">
        <f>参数调整!$J$32</f>
        <v>精英掉落</v>
      </c>
      <c r="C1657" s="8" t="str">
        <f>材料产出!$AT$2</f>
        <v>魔龙之心</v>
      </c>
      <c r="D1657" s="224">
        <f>参数调整!$K$32*怪物掉落配置方案!$D4735</f>
        <v>1.1414105449298371E-4</v>
      </c>
    </row>
    <row r="1658" spans="1:4" ht="16.5" hidden="1" x14ac:dyDescent="0.3">
      <c r="A1658" s="10" t="str">
        <f>基本属性!$B$12&amp;"|"&amp;基本属性!$C$12</f>
        <v>90|2</v>
      </c>
      <c r="B1658" s="10" t="str">
        <f>参数调整!$J$32</f>
        <v>精英掉落</v>
      </c>
      <c r="C1658" s="8" t="str">
        <f>材料产出!$AT$2</f>
        <v>魔龙之心</v>
      </c>
      <c r="D1658" s="224">
        <f>参数调整!$K$32*怪物掉落配置方案!$D4736</f>
        <v>1.298671553342393E-4</v>
      </c>
    </row>
    <row r="1659" spans="1:4" ht="16.5" hidden="1" x14ac:dyDescent="0.3">
      <c r="A1659" s="10" t="str">
        <f>基本属性!$B$13&amp;"|"&amp;基本属性!$C$13</f>
        <v>100|3</v>
      </c>
      <c r="B1659" s="10" t="str">
        <f>参数调整!$J$32</f>
        <v>精英掉落</v>
      </c>
      <c r="C1659" s="8" t="str">
        <f>材料产出!$AT$2</f>
        <v>魔龙之心</v>
      </c>
      <c r="D1659" s="224">
        <f>参数调整!$K$32*怪物掉落配置方案!$D4737</f>
        <v>1.643631184698966E-4</v>
      </c>
    </row>
    <row r="1660" spans="1:4" ht="16.5" hidden="1" x14ac:dyDescent="0.3">
      <c r="A1660" s="10" t="str">
        <f>基本属性!$B$14&amp;"|"&amp;基本属性!$C$14</f>
        <v>105|4</v>
      </c>
      <c r="B1660" s="10" t="str">
        <f>参数调整!$J$32</f>
        <v>精英掉落</v>
      </c>
      <c r="C1660" s="8" t="str">
        <f>材料产出!$AT$2</f>
        <v>魔龙之心</v>
      </c>
      <c r="D1660" s="224">
        <f>参数调整!$K$32*怪物掉落配置方案!$D4738</f>
        <v>2.0291743020974884E-4</v>
      </c>
    </row>
    <row r="1661" spans="1:4" ht="16.5" hidden="1" x14ac:dyDescent="0.3">
      <c r="A1661" s="10" t="str">
        <f>基本属性!$B$15&amp;"|"&amp;基本属性!$C$15</f>
        <v>110|5</v>
      </c>
      <c r="B1661" s="10" t="str">
        <f>参数调整!$J$32</f>
        <v>精英掉落</v>
      </c>
      <c r="C1661" s="8" t="str">
        <f>材料产出!$AT$2</f>
        <v>魔龙之心</v>
      </c>
      <c r="D1661" s="224">
        <f>参数调整!$K$32*怪物掉落配置方案!$D4739</f>
        <v>2.4553009055379617E-4</v>
      </c>
    </row>
    <row r="1662" spans="1:4" ht="16.5" hidden="1" x14ac:dyDescent="0.3">
      <c r="A1662" s="10" t="str">
        <f>基本属性!$B$16&amp;"|"&amp;基本属性!$C$16</f>
        <v>120|6</v>
      </c>
      <c r="B1662" s="10" t="str">
        <f>参数调整!$J$32</f>
        <v>精英掉落</v>
      </c>
      <c r="C1662" s="8" t="str">
        <f>材料产出!$AT$2</f>
        <v>魔龙之心</v>
      </c>
      <c r="D1662" s="224">
        <f>参数调整!$K$32*怪物掉落配置方案!$D4740</f>
        <v>3.1705848470273265E-4</v>
      </c>
    </row>
    <row r="1663" spans="1:4" ht="16.5" hidden="1" x14ac:dyDescent="0.3">
      <c r="A1663" s="10" t="str">
        <f>基本属性!$B$17&amp;"|"&amp;基本属性!$C$17</f>
        <v>135|7</v>
      </c>
      <c r="B1663" s="10" t="str">
        <f>参数调整!$J$32</f>
        <v>精英掉落</v>
      </c>
      <c r="C1663" s="8" t="str">
        <f>材料产出!$AT$2</f>
        <v>魔龙之心</v>
      </c>
      <c r="D1663" s="224">
        <f>参数调整!$K$32*怪物掉落配置方案!$D4741</f>
        <v>4.565642179719349E-4</v>
      </c>
    </row>
    <row r="1664" spans="1:4" ht="16.5" hidden="1" x14ac:dyDescent="0.3">
      <c r="A1664" s="10" t="str">
        <f>基本属性!$B$18&amp;"|"&amp;基本属性!$C$18</f>
        <v>155|8</v>
      </c>
      <c r="B1664" s="10" t="str">
        <f>参数调整!$J$32</f>
        <v>精英掉落</v>
      </c>
      <c r="C1664" s="8" t="str">
        <f>材料产出!$AT$2</f>
        <v>魔龙之心</v>
      </c>
      <c r="D1664" s="224">
        <f>参数调整!$K$32*怪物掉落配置方案!$D4742</f>
        <v>6.2143463001735602E-4</v>
      </c>
    </row>
    <row r="1665" spans="1:4" ht="16.5" hidden="1" x14ac:dyDescent="0.3">
      <c r="A1665" s="10" t="str">
        <f>基本属性!$B$19&amp;"|"&amp;基本属性!$C$19</f>
        <v>190|9</v>
      </c>
      <c r="B1665" s="10" t="str">
        <f>参数调整!$J$32</f>
        <v>精英掉落</v>
      </c>
      <c r="C1665" s="8" t="str">
        <f>材料产出!$AT$2</f>
        <v>魔龙之心</v>
      </c>
      <c r="D1665" s="224">
        <f>参数调整!$K$32*怪物掉落配置方案!$D4743</f>
        <v>6.9448490489286549E-4</v>
      </c>
    </row>
    <row r="1666" spans="1:4" ht="16.5" hidden="1" x14ac:dyDescent="0.3">
      <c r="A1666" s="10" t="str">
        <f>基本属性!$B$20&amp;"|"&amp;基本属性!$C$20</f>
        <v>200|10</v>
      </c>
      <c r="B1666" s="10" t="str">
        <f>参数调整!$J$32</f>
        <v>精英掉落</v>
      </c>
      <c r="C1666" s="8" t="str">
        <f>材料产出!$AT$2</f>
        <v>魔龙之心</v>
      </c>
      <c r="D1666" s="224">
        <f>参数调整!$K$32*怪物掉落配置方案!$D4744</f>
        <v>8.1166972083899537E-4</v>
      </c>
    </row>
    <row r="1667" spans="1:4" ht="16.5" hidden="1" x14ac:dyDescent="0.3">
      <c r="A1667" s="10" t="str">
        <f>基本属性!$B$21&amp;"|"&amp;基本属性!$C$21</f>
        <v>200|11</v>
      </c>
      <c r="B1667" s="10" t="str">
        <f>参数调整!$J$32</f>
        <v>精英掉落</v>
      </c>
      <c r="C1667" s="8" t="str">
        <f>材料产出!$AT$2</f>
        <v>魔龙之心</v>
      </c>
      <c r="D1667" s="224">
        <f>参数调整!$K$32*怪物掉落配置方案!$D4745</f>
        <v>9.3798582114456392E-4</v>
      </c>
    </row>
    <row r="1668" spans="1:4" ht="16.5" hidden="1" x14ac:dyDescent="0.3">
      <c r="A1668" s="10" t="str">
        <f>基本属性!$B$22&amp;"|"&amp;基本属性!$C$22</f>
        <v>210|12</v>
      </c>
      <c r="B1668" s="10" t="str">
        <f>参数调整!$J$32</f>
        <v>精英掉落</v>
      </c>
      <c r="C1668" s="8" t="str">
        <f>材料产出!$AT$2</f>
        <v>魔龙之心</v>
      </c>
      <c r="D1668" s="224">
        <f>参数调整!$K$32*怪物掉落配置方案!$D4746</f>
        <v>1.0734332058095714E-3</v>
      </c>
    </row>
    <row r="1669" spans="1:4" ht="16.5" hidden="1" x14ac:dyDescent="0.3">
      <c r="A1669" s="10" t="str">
        <f>基本属性!$B$23&amp;"|"&amp;基本属性!$C$23</f>
        <v>210|13</v>
      </c>
      <c r="B1669" s="10" t="str">
        <f>参数调整!$J$32</f>
        <v>精英掉落</v>
      </c>
      <c r="C1669" s="8" t="str">
        <f>材料产出!$AT$2</f>
        <v>魔龙之心</v>
      </c>
      <c r="D1669" s="224">
        <f>参数调整!$K$32*怪物掉落配置方案!$D4747</f>
        <v>1.2180118748340177E-3</v>
      </c>
    </row>
    <row r="1670" spans="1:4" ht="16.5" hidden="1" x14ac:dyDescent="0.3">
      <c r="A1670" s="10" t="str">
        <f>基本属性!$B$24&amp;"|"&amp;基本属性!$C$24</f>
        <v>220|14</v>
      </c>
      <c r="B1670" s="10" t="str">
        <f>参数调整!$J$32</f>
        <v>精英掉落</v>
      </c>
      <c r="C1670" s="8" t="str">
        <f>材料产出!$AT$2</f>
        <v>魔龙之心</v>
      </c>
      <c r="D1670" s="224">
        <f>参数调整!$K$32*怪物掉落配置方案!$D4748</f>
        <v>1.3717218282179023E-3</v>
      </c>
    </row>
    <row r="1671" spans="1:4" ht="16.5" hidden="1" x14ac:dyDescent="0.3">
      <c r="A1671" s="10" t="str">
        <f>基本属性!$B$25&amp;"|"&amp;基本属性!$C$25</f>
        <v>220|15</v>
      </c>
      <c r="B1671" s="10" t="str">
        <f>参数调整!$J$32</f>
        <v>精英掉落</v>
      </c>
      <c r="C1671" s="8" t="str">
        <f>材料产出!$AT$2</f>
        <v>魔龙之心</v>
      </c>
      <c r="D1671" s="224">
        <f>参数调整!$K$32*怪物掉落配置方案!$D4749</f>
        <v>1.5345630659612255E-3</v>
      </c>
    </row>
    <row r="1672" spans="1:4" ht="16.5" hidden="1" x14ac:dyDescent="0.3">
      <c r="A1672" s="10" t="str">
        <f>基本属性!$B$26&amp;"|"&amp;基本属性!$C$26</f>
        <v>230|16</v>
      </c>
      <c r="B1672" s="10" t="str">
        <f>参数调整!$J$32</f>
        <v>精英掉落</v>
      </c>
      <c r="C1672" s="8" t="str">
        <f>材料产出!$AT$2</f>
        <v>魔龙之心</v>
      </c>
      <c r="D1672" s="224">
        <f>参数调整!$K$32*怪物掉落配置方案!$D4750</f>
        <v>1.7065355880639874E-3</v>
      </c>
    </row>
    <row r="1673" spans="1:4" ht="16.5" hidden="1" x14ac:dyDescent="0.3">
      <c r="A1673" s="10" t="str">
        <f>基本属性!$B$27&amp;"|"&amp;基本属性!$C$27</f>
        <v>230|17</v>
      </c>
      <c r="B1673" s="10" t="str">
        <f>参数调整!$J$32</f>
        <v>精英掉落</v>
      </c>
      <c r="C1673" s="8" t="str">
        <f>材料产出!$AT$2</f>
        <v>魔龙之心</v>
      </c>
      <c r="D1673" s="224">
        <f>参数调整!$K$32*怪物掉落配置方案!$D4751</f>
        <v>1.8876393945261882E-3</v>
      </c>
    </row>
    <row r="1674" spans="1:4" ht="16.5" hidden="1" x14ac:dyDescent="0.3">
      <c r="A1674" s="10" t="str">
        <f>基本属性!$B$28&amp;"|"&amp;基本属性!$C$28</f>
        <v>240|18</v>
      </c>
      <c r="B1674" s="10" t="str">
        <f>参数调整!$J$32</f>
        <v>精英掉落</v>
      </c>
      <c r="C1674" s="8" t="str">
        <f>材料产出!$AT$2</f>
        <v>魔龙之心</v>
      </c>
      <c r="D1674" s="224">
        <f>参数调整!$K$32*怪物掉落配置方案!$D4752</f>
        <v>2.0778744853478283E-3</v>
      </c>
    </row>
    <row r="1675" spans="1:4" ht="16.5" hidden="1" x14ac:dyDescent="0.3">
      <c r="A1675" s="10" t="str">
        <f>基本属性!$B$29&amp;"|"&amp;基本属性!$C$29</f>
        <v>240|19</v>
      </c>
      <c r="B1675" s="10" t="str">
        <f>参数调整!$J$32</f>
        <v>精英掉落</v>
      </c>
      <c r="C1675" s="8" t="str">
        <f>材料产出!$AT$2</f>
        <v>魔龙之心</v>
      </c>
      <c r="D1675" s="224">
        <f>参数调整!$K$32*怪物掉落配置方案!$D4753</f>
        <v>2.2772408605289071E-3</v>
      </c>
    </row>
    <row r="1676" spans="1:4" ht="16.5" hidden="1" x14ac:dyDescent="0.3">
      <c r="A1676" s="10" t="str">
        <f>基本属性!$B$30&amp;"|"&amp;基本属性!$C$30</f>
        <v>250|20</v>
      </c>
      <c r="B1676" s="10" t="str">
        <f>参数调整!$J$32</f>
        <v>精英掉落</v>
      </c>
      <c r="C1676" s="8" t="str">
        <f>材料产出!$AT$2</f>
        <v>魔龙之心</v>
      </c>
      <c r="D1676" s="224">
        <f>参数调整!$K$32*怪物掉落配置方案!$D4754</f>
        <v>2.4857385200694228E-3</v>
      </c>
    </row>
    <row r="1677" spans="1:4" ht="16.5" hidden="1" x14ac:dyDescent="0.3">
      <c r="A1677" s="10" t="str">
        <f>基本属性!$B$4&amp;"|"&amp;基本属性!$C$4</f>
        <v>35|0</v>
      </c>
      <c r="B1677" s="10" t="str">
        <f>参数调整!$J$32</f>
        <v>精英掉落</v>
      </c>
      <c r="C1677" s="8" t="str">
        <f>材料产出!$X$2</f>
        <v>龍の心</v>
      </c>
      <c r="D1677" s="224">
        <f>参数调整!$K$32*怪物掉落配置方案!$D4755</f>
        <v>5.9074343962982499E-3</v>
      </c>
    </row>
    <row r="1678" spans="1:4" ht="16.5" hidden="1" x14ac:dyDescent="0.3">
      <c r="A1678" s="10" t="str">
        <f>基本属性!$B$5&amp;"|"&amp;基本属性!$C$5</f>
        <v>40|0</v>
      </c>
      <c r="B1678" s="10" t="str">
        <f>参数调整!$J$32</f>
        <v>精英掉落</v>
      </c>
      <c r="C1678" s="8" t="str">
        <f>材料产出!$X$2</f>
        <v>龍の心</v>
      </c>
      <c r="D1678" s="224">
        <f>参数调整!$K$32*怪物掉落配置方案!$D4756</f>
        <v>7.476596657814972E-3</v>
      </c>
    </row>
    <row r="1679" spans="1:4" ht="16.5" hidden="1" x14ac:dyDescent="0.3">
      <c r="A1679" s="10" t="str">
        <f>基本属性!$B$6&amp;"|"&amp;基本属性!$C$6</f>
        <v>50|0</v>
      </c>
      <c r="B1679" s="10" t="str">
        <f>参数调整!$J$32</f>
        <v>精英掉落</v>
      </c>
      <c r="C1679" s="8" t="str">
        <f>材料产出!$X$2</f>
        <v>龍の心</v>
      </c>
      <c r="D1679" s="224">
        <f>参数调整!$K$32*怪物掉落配置方案!$D4757</f>
        <v>9.230366244216014E-3</v>
      </c>
    </row>
    <row r="1680" spans="1:4" ht="16.5" hidden="1" x14ac:dyDescent="0.3">
      <c r="A1680" s="10" t="str">
        <f>基本属性!$B$7&amp;"|"&amp;基本属性!$C$7</f>
        <v>60|0</v>
      </c>
      <c r="B1680" s="10" t="str">
        <f>参数调整!$J$32</f>
        <v>精英掉落</v>
      </c>
      <c r="C1680" s="8" t="str">
        <f>材料产出!$X$2</f>
        <v>龍の心</v>
      </c>
      <c r="D1680" s="224">
        <f>参数调整!$K$32*怪物掉落配置方案!$D4758</f>
        <v>1.1168743155501381E-2</v>
      </c>
    </row>
    <row r="1681" spans="1:4" ht="16.5" hidden="1" x14ac:dyDescent="0.3">
      <c r="A1681" s="10" t="str">
        <f>基本属性!$B$8&amp;"|"&amp;基本属性!$C$8</f>
        <v>65|0</v>
      </c>
      <c r="B1681" s="10" t="str">
        <f>参数调整!$J$32</f>
        <v>精英掉落</v>
      </c>
      <c r="C1681" s="8" t="str">
        <f>材料产出!$X$2</f>
        <v>龍の心</v>
      </c>
      <c r="D1681" s="224">
        <f>参数调整!$K$32*怪物掉落配置方案!$D4759</f>
        <v>1.3291727391671062E-2</v>
      </c>
    </row>
    <row r="1682" spans="1:4" ht="16.5" hidden="1" x14ac:dyDescent="0.3">
      <c r="A1682" s="10" t="str">
        <f>基本属性!$B$9&amp;"|"&amp;基本属性!$C$9</f>
        <v>70|0</v>
      </c>
      <c r="B1682" s="10" t="str">
        <f>参数调整!$J$32</f>
        <v>精英掉落</v>
      </c>
      <c r="C1682" s="8" t="str">
        <f>材料产出!$X$2</f>
        <v>龍の心</v>
      </c>
      <c r="D1682" s="224">
        <f>参数调整!$K$32*怪物掉落配置方案!$D4760</f>
        <v>1.5599318952725066E-2</v>
      </c>
    </row>
    <row r="1683" spans="1:4" ht="16.5" hidden="1" x14ac:dyDescent="0.3">
      <c r="A1683" s="10" t="str">
        <f>基本属性!$B$10&amp;"|"&amp;基本属性!$C$10</f>
        <v>75|0</v>
      </c>
      <c r="B1683" s="10" t="str">
        <f>参数调整!$J$32</f>
        <v>精英掉落</v>
      </c>
      <c r="C1683" s="8" t="str">
        <f>材料产出!$X$2</f>
        <v>龍の心</v>
      </c>
      <c r="D1683" s="224">
        <f>参数调整!$K$32*怪物掉落配置方案!$D4761</f>
        <v>1.8091517838663387E-2</v>
      </c>
    </row>
    <row r="1684" spans="1:4" ht="16.5" hidden="1" x14ac:dyDescent="0.3">
      <c r="A1684" s="10" t="str">
        <f>基本属性!$B$11&amp;"|"&amp;基本属性!$C$11</f>
        <v>80|1</v>
      </c>
      <c r="B1684" s="10" t="str">
        <f>参数调整!$J$32</f>
        <v>精英掉落</v>
      </c>
      <c r="C1684" s="8" t="str">
        <f>材料产出!$X$2</f>
        <v>龍の心</v>
      </c>
      <c r="D1684" s="224">
        <f>参数调整!$K$32*怪物掉落配置方案!$D4762</f>
        <v>2.0768324049486035E-2</v>
      </c>
    </row>
    <row r="1685" spans="1:4" ht="16.5" hidden="1" x14ac:dyDescent="0.3">
      <c r="A1685" s="10" t="str">
        <f>基本属性!$B$12&amp;"|"&amp;基本属性!$C$12</f>
        <v>90|2</v>
      </c>
      <c r="B1685" s="10" t="str">
        <f>参数调整!$J$32</f>
        <v>精英掉落</v>
      </c>
      <c r="C1685" s="8" t="str">
        <f>材料产出!$X$2</f>
        <v>龍の心</v>
      </c>
      <c r="D1685" s="224">
        <f>参数调整!$K$32*怪物掉落配置方案!$D4763</f>
        <v>2.3629737585193003E-2</v>
      </c>
    </row>
    <row r="1686" spans="1:4" ht="16.5" hidden="1" x14ac:dyDescent="0.3">
      <c r="A1686" s="10" t="str">
        <f>基本属性!$B$13&amp;"|"&amp;基本属性!$C$13</f>
        <v>100|3</v>
      </c>
      <c r="B1686" s="10" t="str">
        <f>参数调整!$J$32</f>
        <v>精英掉落</v>
      </c>
      <c r="C1686" s="8" t="str">
        <f>材料产出!$X$2</f>
        <v>龍の心</v>
      </c>
      <c r="D1686" s="224">
        <f>参数调整!$K$32*怪物掉落配置方案!$D4764</f>
        <v>2.9906386631259892E-2</v>
      </c>
    </row>
    <row r="1687" spans="1:4" ht="16.5" hidden="1" x14ac:dyDescent="0.3">
      <c r="A1687" s="10" t="str">
        <f>基本属性!$B$14&amp;"|"&amp;基本属性!$C$14</f>
        <v>105|4</v>
      </c>
      <c r="B1687" s="10" t="str">
        <f>参数调整!$J$32</f>
        <v>精英掉落</v>
      </c>
      <c r="C1687" s="8" t="str">
        <f>材料产出!$X$2</f>
        <v>龍の心</v>
      </c>
      <c r="D1687" s="224">
        <f>参数调整!$K$32*怪物掉落配置方案!$D4765</f>
        <v>3.6921464976864056E-2</v>
      </c>
    </row>
    <row r="1688" spans="1:4" ht="16.5" hidden="1" x14ac:dyDescent="0.3">
      <c r="A1688" s="10" t="str">
        <f>基本属性!$B$15&amp;"|"&amp;基本属性!$C$15</f>
        <v>110|5</v>
      </c>
      <c r="B1688" s="10" t="str">
        <f>参数调整!$J$32</f>
        <v>精英掉落</v>
      </c>
      <c r="C1688" s="8" t="str">
        <f>材料产出!$X$2</f>
        <v>龍の心</v>
      </c>
      <c r="D1688" s="224">
        <f>参数调整!$K$32*怪物掉落配置方案!$D4766</f>
        <v>4.4674972622005524E-2</v>
      </c>
    </row>
    <row r="1689" spans="1:4" ht="16.5" hidden="1" x14ac:dyDescent="0.3">
      <c r="A1689" s="10" t="str">
        <f>基本属性!$B$16&amp;"|"&amp;基本属性!$C$16</f>
        <v>120|6</v>
      </c>
      <c r="B1689" s="10" t="str">
        <f>参数调整!$J$32</f>
        <v>精英掉落</v>
      </c>
      <c r="C1689" s="8" t="str">
        <f>材料产出!$X$2</f>
        <v>龍の心</v>
      </c>
      <c r="D1689" s="224">
        <f>参数调整!$K$32*怪物掉落配置方案!$D4767</f>
        <v>5.7689789026350094E-2</v>
      </c>
    </row>
    <row r="1690" spans="1:4" ht="16.5" hidden="1" x14ac:dyDescent="0.3">
      <c r="A1690" s="10" t="str">
        <f>基本属性!$B$17&amp;"|"&amp;基本属性!$C$17</f>
        <v>135|7</v>
      </c>
      <c r="B1690" s="10" t="str">
        <f>参数调整!$J$32</f>
        <v>精英掉落</v>
      </c>
      <c r="C1690" s="8" t="str">
        <f>材料产出!$X$2</f>
        <v>龍の心</v>
      </c>
      <c r="D1690" s="224">
        <f>参数调整!$K$32*怪物掉落配置方案!$D4768</f>
        <v>8.3073296197944138E-2</v>
      </c>
    </row>
    <row r="1691" spans="1:4" ht="16.5" hidden="1" x14ac:dyDescent="0.3">
      <c r="A1691" s="10" t="str">
        <f>基本属性!$B$18&amp;"|"&amp;基本属性!$C$18</f>
        <v>155|8</v>
      </c>
      <c r="B1691" s="10" t="str">
        <f>参数调整!$J$32</f>
        <v>精英掉落</v>
      </c>
      <c r="C1691" s="8" t="str">
        <f>材料产出!$X$2</f>
        <v>龍の心</v>
      </c>
      <c r="D1691" s="224">
        <f>参数调整!$K$32*怪物掉落配置方案!$D4769</f>
        <v>0.11307198649164621</v>
      </c>
    </row>
    <row r="1692" spans="1:4" ht="16.5" hidden="1" x14ac:dyDescent="0.3">
      <c r="A1692" s="10" t="str">
        <f>基本属性!$B$19&amp;"|"&amp;基本属性!$C$19</f>
        <v>190|9</v>
      </c>
      <c r="B1692" s="10" t="str">
        <f>参数调整!$J$32</f>
        <v>精英掉落</v>
      </c>
      <c r="C1692" s="8" t="str">
        <f>材料产出!$X$2</f>
        <v>龍の心</v>
      </c>
      <c r="D1692" s="224">
        <f>参数调整!$K$32*怪物掉落配置方案!$D4770</f>
        <v>0.12636371388331727</v>
      </c>
    </row>
    <row r="1693" spans="1:4" ht="16.5" hidden="1" x14ac:dyDescent="0.3">
      <c r="A1693" s="10" t="str">
        <f>基本属性!$B$20&amp;"|"&amp;基本属性!$C$20</f>
        <v>200|10</v>
      </c>
      <c r="B1693" s="10" t="str">
        <f>参数调整!$J$32</f>
        <v>精英掉落</v>
      </c>
      <c r="C1693" s="8" t="str">
        <f>材料产出!$X$2</f>
        <v>龍の心</v>
      </c>
      <c r="D1693" s="224">
        <f>参数调整!$K$32*怪物掉落配置方案!$D4771</f>
        <v>0.14768585990745622</v>
      </c>
    </row>
    <row r="1694" spans="1:4" ht="16.5" hidden="1" x14ac:dyDescent="0.3">
      <c r="A1694" s="10" t="str">
        <f>基本属性!$B$21&amp;"|"&amp;基本属性!$C$21</f>
        <v>200|11</v>
      </c>
      <c r="B1694" s="10" t="str">
        <f>参数调整!$J$32</f>
        <v>精英掉落</v>
      </c>
      <c r="C1694" s="8" t="str">
        <f>材料产出!$X$2</f>
        <v>龍の心</v>
      </c>
      <c r="D1694" s="224">
        <f>参数调整!$K$32*怪物掉落配置方案!$D4772</f>
        <v>0.17066947185555406</v>
      </c>
    </row>
    <row r="1695" spans="1:4" ht="16.5" hidden="1" x14ac:dyDescent="0.3">
      <c r="A1695" s="10" t="str">
        <f>基本属性!$B$22&amp;"|"&amp;基本属性!$C$22</f>
        <v>210|12</v>
      </c>
      <c r="B1695" s="10" t="str">
        <f>参数调整!$J$32</f>
        <v>精英掉落</v>
      </c>
      <c r="C1695" s="8" t="str">
        <f>材料产出!$X$2</f>
        <v>龍の心</v>
      </c>
      <c r="D1695" s="224">
        <f>参数调整!$K$32*怪物掉落配置方案!$D4773</f>
        <v>0.19531454972761084</v>
      </c>
    </row>
    <row r="1696" spans="1:4" ht="16.5" hidden="1" x14ac:dyDescent="0.3">
      <c r="A1696" s="10" t="str">
        <f>基本属性!$B$23&amp;"|"&amp;基本属性!$C$23</f>
        <v>210|13</v>
      </c>
      <c r="B1696" s="10" t="str">
        <f>参数调整!$J$32</f>
        <v>精英掉落</v>
      </c>
      <c r="C1696" s="8" t="str">
        <f>材料产出!$X$2</f>
        <v>龍の心</v>
      </c>
      <c r="D1696" s="224">
        <f>参数调整!$K$32*怪物掉落配置方案!$D4774</f>
        <v>0.22162109352362655</v>
      </c>
    </row>
    <row r="1697" spans="1:4" ht="16.5" hidden="1" x14ac:dyDescent="0.3">
      <c r="A1697" s="10" t="str">
        <f>基本属性!$B$24&amp;"|"&amp;基本属性!$C$24</f>
        <v>220|14</v>
      </c>
      <c r="B1697" s="10" t="str">
        <f>参数调整!$J$32</f>
        <v>精英掉落</v>
      </c>
      <c r="C1697" s="8" t="str">
        <f>材料产出!$X$2</f>
        <v>龍の心</v>
      </c>
      <c r="D1697" s="224">
        <f>参数调整!$K$32*怪物掉落配置方案!$D4775</f>
        <v>0.24958910324360106</v>
      </c>
    </row>
    <row r="1698" spans="1:4" ht="16.5" hidden="1" x14ac:dyDescent="0.3">
      <c r="A1698" s="10" t="str">
        <f>基本属性!$B$25&amp;"|"&amp;基本属性!$C$25</f>
        <v>220|15</v>
      </c>
      <c r="B1698" s="10" t="str">
        <f>参数调整!$J$32</f>
        <v>精英掉落</v>
      </c>
      <c r="C1698" s="8" t="str">
        <f>材料产出!$X$2</f>
        <v>龍の心</v>
      </c>
      <c r="D1698" s="224">
        <f>参数调整!$K$32*怪物掉落配置方案!$D4776</f>
        <v>0.27921857888753443</v>
      </c>
    </row>
    <row r="1699" spans="1:4" ht="16.5" hidden="1" x14ac:dyDescent="0.3">
      <c r="A1699" s="10" t="str">
        <f>基本属性!$B$26&amp;"|"&amp;基本属性!$C$26</f>
        <v>230|16</v>
      </c>
      <c r="B1699" s="10" t="str">
        <f>参数调整!$J$32</f>
        <v>精英掉落</v>
      </c>
      <c r="C1699" s="8" t="str">
        <f>材料产出!$X$2</f>
        <v>龍の心</v>
      </c>
      <c r="D1699" s="224">
        <f>参数调整!$K$32*怪物掉落配置方案!$D4777</f>
        <v>0.31050952045542674</v>
      </c>
    </row>
    <row r="1700" spans="1:4" ht="16.5" hidden="1" x14ac:dyDescent="0.3">
      <c r="A1700" s="10" t="str">
        <f>基本属性!$B$27&amp;"|"&amp;基本属性!$C$27</f>
        <v>230|17</v>
      </c>
      <c r="B1700" s="10" t="str">
        <f>参数调整!$J$32</f>
        <v>精英掉落</v>
      </c>
      <c r="C1700" s="8" t="str">
        <f>材料产出!$X$2</f>
        <v>龍の心</v>
      </c>
      <c r="D1700" s="224">
        <f>参数调整!$K$32*怪物掉落配置方案!$D4778</f>
        <v>0.34346192794727787</v>
      </c>
    </row>
    <row r="1701" spans="1:4" ht="16.5" hidden="1" x14ac:dyDescent="0.3">
      <c r="A1701" s="10" t="str">
        <f>基本属性!$B$28&amp;"|"&amp;基本属性!$C$28</f>
        <v>240|18</v>
      </c>
      <c r="B1701" s="10" t="str">
        <f>参数调整!$J$32</f>
        <v>精英掉落</v>
      </c>
      <c r="C1701" s="8" t="str">
        <f>材料产出!$X$2</f>
        <v>龍の心</v>
      </c>
      <c r="D1701" s="224">
        <f>参数调整!$K$32*怪物掉落配置方案!$D4779</f>
        <v>0.37807580136308805</v>
      </c>
    </row>
    <row r="1702" spans="1:4" ht="16.5" hidden="1" x14ac:dyDescent="0.3">
      <c r="A1702" s="10" t="str">
        <f>基本属性!$B$29&amp;"|"&amp;基本属性!$C$29</f>
        <v>240|19</v>
      </c>
      <c r="B1702" s="10" t="str">
        <f>参数调整!$J$32</f>
        <v>精英掉落</v>
      </c>
      <c r="C1702" s="8" t="str">
        <f>材料产出!$X$2</f>
        <v>龍の心</v>
      </c>
      <c r="D1702" s="224">
        <f>参数调整!$K$32*怪物掉落配置方案!$D4780</f>
        <v>0.41435114070285695</v>
      </c>
    </row>
    <row r="1703" spans="1:4" ht="16.5" hidden="1" x14ac:dyDescent="0.3">
      <c r="A1703" s="10" t="str">
        <f>基本属性!$B$30&amp;"|"&amp;基本属性!$C$30</f>
        <v>250|20</v>
      </c>
      <c r="B1703" s="10" t="str">
        <f>参数调整!$J$32</f>
        <v>精英掉落</v>
      </c>
      <c r="C1703" s="8" t="str">
        <f>材料产出!$X$2</f>
        <v>龍の心</v>
      </c>
      <c r="D1703" s="224">
        <f>参数调整!$K$32*怪物掉落配置方案!$D4781</f>
        <v>0.45228794596658467</v>
      </c>
    </row>
    <row r="1704" spans="1:4" ht="16.5" hidden="1" x14ac:dyDescent="0.3">
      <c r="A1704" s="10" t="str">
        <f>基本属性!$B$4&amp;"|"&amp;基本属性!$C$4</f>
        <v>35|0</v>
      </c>
      <c r="B1704" s="10" t="str">
        <f>参数调整!$J$32</f>
        <v>精英掉落</v>
      </c>
      <c r="C1704" s="8" t="str">
        <f>材料产出!$V$2</f>
        <v>龍の魄</v>
      </c>
      <c r="D1704" s="224">
        <f>参数调整!$K$32*怪物掉落配置方案!$D4782</f>
        <v>5.9074343962982499E-3</v>
      </c>
    </row>
    <row r="1705" spans="1:4" ht="16.5" hidden="1" x14ac:dyDescent="0.3">
      <c r="A1705" s="10" t="str">
        <f>基本属性!$B$5&amp;"|"&amp;基本属性!$C$5</f>
        <v>40|0</v>
      </c>
      <c r="B1705" s="10" t="str">
        <f>参数调整!$J$32</f>
        <v>精英掉落</v>
      </c>
      <c r="C1705" s="8" t="str">
        <f>材料产出!$V$2</f>
        <v>龍の魄</v>
      </c>
      <c r="D1705" s="224">
        <f>参数调整!$K$32*怪物掉落配置方案!$D4783</f>
        <v>7.476596657814972E-3</v>
      </c>
    </row>
    <row r="1706" spans="1:4" ht="16.5" hidden="1" x14ac:dyDescent="0.3">
      <c r="A1706" s="10" t="str">
        <f>基本属性!$B$6&amp;"|"&amp;基本属性!$C$6</f>
        <v>50|0</v>
      </c>
      <c r="B1706" s="10" t="str">
        <f>参数调整!$J$32</f>
        <v>精英掉落</v>
      </c>
      <c r="C1706" s="8" t="str">
        <f>材料产出!$V$2</f>
        <v>龍の魄</v>
      </c>
      <c r="D1706" s="224">
        <f>参数调整!$K$32*怪物掉落配置方案!$D4784</f>
        <v>9.230366244216014E-3</v>
      </c>
    </row>
    <row r="1707" spans="1:4" ht="16.5" hidden="1" x14ac:dyDescent="0.3">
      <c r="A1707" s="10" t="str">
        <f>基本属性!$B$7&amp;"|"&amp;基本属性!$C$7</f>
        <v>60|0</v>
      </c>
      <c r="B1707" s="10" t="str">
        <f>参数调整!$J$32</f>
        <v>精英掉落</v>
      </c>
      <c r="C1707" s="8" t="str">
        <f>材料产出!$V$2</f>
        <v>龍の魄</v>
      </c>
      <c r="D1707" s="224">
        <f>参数调整!$K$32*怪物掉落配置方案!$D4785</f>
        <v>1.1168743155501381E-2</v>
      </c>
    </row>
    <row r="1708" spans="1:4" ht="16.5" hidden="1" x14ac:dyDescent="0.3">
      <c r="A1708" s="10" t="str">
        <f>基本属性!$B$8&amp;"|"&amp;基本属性!$C$8</f>
        <v>65|0</v>
      </c>
      <c r="B1708" s="10" t="str">
        <f>参数调整!$J$32</f>
        <v>精英掉落</v>
      </c>
      <c r="C1708" s="8" t="str">
        <f>材料产出!$V$2</f>
        <v>龍の魄</v>
      </c>
      <c r="D1708" s="224">
        <f>参数调整!$K$32*怪物掉落配置方案!$D4786</f>
        <v>1.3291727391671062E-2</v>
      </c>
    </row>
    <row r="1709" spans="1:4" ht="16.5" hidden="1" x14ac:dyDescent="0.3">
      <c r="A1709" s="10" t="str">
        <f>基本属性!$B$9&amp;"|"&amp;基本属性!$C$9</f>
        <v>70|0</v>
      </c>
      <c r="B1709" s="10" t="str">
        <f>参数调整!$J$32</f>
        <v>精英掉落</v>
      </c>
      <c r="C1709" s="8" t="str">
        <f>材料产出!$V$2</f>
        <v>龍の魄</v>
      </c>
      <c r="D1709" s="224">
        <f>参数调整!$K$32*怪物掉落配置方案!$D4787</f>
        <v>1.5599318952725066E-2</v>
      </c>
    </row>
    <row r="1710" spans="1:4" ht="16.5" hidden="1" x14ac:dyDescent="0.3">
      <c r="A1710" s="10" t="str">
        <f>基本属性!$B$10&amp;"|"&amp;基本属性!$C$10</f>
        <v>75|0</v>
      </c>
      <c r="B1710" s="10" t="str">
        <f>参数调整!$J$32</f>
        <v>精英掉落</v>
      </c>
      <c r="C1710" s="8" t="str">
        <f>材料产出!$V$2</f>
        <v>龍の魄</v>
      </c>
      <c r="D1710" s="224">
        <f>参数调整!$K$32*怪物掉落配置方案!$D4788</f>
        <v>1.8091517838663387E-2</v>
      </c>
    </row>
    <row r="1711" spans="1:4" ht="16.5" hidden="1" x14ac:dyDescent="0.3">
      <c r="A1711" s="10" t="str">
        <f>基本属性!$B$11&amp;"|"&amp;基本属性!$C$11</f>
        <v>80|1</v>
      </c>
      <c r="B1711" s="10" t="str">
        <f>参数调整!$J$32</f>
        <v>精英掉落</v>
      </c>
      <c r="C1711" s="8" t="str">
        <f>材料产出!$V$2</f>
        <v>龍の魄</v>
      </c>
      <c r="D1711" s="224">
        <f>参数调整!$K$32*怪物掉落配置方案!$D4789</f>
        <v>2.0768324049486035E-2</v>
      </c>
    </row>
    <row r="1712" spans="1:4" ht="16.5" hidden="1" x14ac:dyDescent="0.3">
      <c r="A1712" s="10" t="str">
        <f>基本属性!$B$12&amp;"|"&amp;基本属性!$C$12</f>
        <v>90|2</v>
      </c>
      <c r="B1712" s="10" t="str">
        <f>参数调整!$J$32</f>
        <v>精英掉落</v>
      </c>
      <c r="C1712" s="8" t="str">
        <f>材料产出!$V$2</f>
        <v>龍の魄</v>
      </c>
      <c r="D1712" s="224">
        <f>参数调整!$K$32*怪物掉落配置方案!$D4790</f>
        <v>2.3629737585193003E-2</v>
      </c>
    </row>
    <row r="1713" spans="1:4" ht="16.5" hidden="1" x14ac:dyDescent="0.3">
      <c r="A1713" s="10" t="str">
        <f>基本属性!$B$13&amp;"|"&amp;基本属性!$C$13</f>
        <v>100|3</v>
      </c>
      <c r="B1713" s="10" t="str">
        <f>参数调整!$J$32</f>
        <v>精英掉落</v>
      </c>
      <c r="C1713" s="8" t="str">
        <f>材料产出!$V$2</f>
        <v>龍の魄</v>
      </c>
      <c r="D1713" s="224">
        <f>参数调整!$K$32*怪物掉落配置方案!$D4791</f>
        <v>2.9906386631259892E-2</v>
      </c>
    </row>
    <row r="1714" spans="1:4" ht="16.5" hidden="1" x14ac:dyDescent="0.3">
      <c r="A1714" s="10" t="str">
        <f>基本属性!$B$14&amp;"|"&amp;基本属性!$C$14</f>
        <v>105|4</v>
      </c>
      <c r="B1714" s="10" t="str">
        <f>参数调整!$J$32</f>
        <v>精英掉落</v>
      </c>
      <c r="C1714" s="8" t="str">
        <f>材料产出!$V$2</f>
        <v>龍の魄</v>
      </c>
      <c r="D1714" s="224">
        <f>参数调整!$K$32*怪物掉落配置方案!$D4792</f>
        <v>3.6921464976864056E-2</v>
      </c>
    </row>
    <row r="1715" spans="1:4" ht="16.5" hidden="1" x14ac:dyDescent="0.3">
      <c r="A1715" s="10" t="str">
        <f>基本属性!$B$15&amp;"|"&amp;基本属性!$C$15</f>
        <v>110|5</v>
      </c>
      <c r="B1715" s="10" t="str">
        <f>参数调整!$J$32</f>
        <v>精英掉落</v>
      </c>
      <c r="C1715" s="8" t="str">
        <f>材料产出!$V$2</f>
        <v>龍の魄</v>
      </c>
      <c r="D1715" s="224">
        <f>参数调整!$K$32*怪物掉落配置方案!$D4793</f>
        <v>4.4674972622005524E-2</v>
      </c>
    </row>
    <row r="1716" spans="1:4" ht="16.5" hidden="1" x14ac:dyDescent="0.3">
      <c r="A1716" s="10" t="str">
        <f>基本属性!$B$16&amp;"|"&amp;基本属性!$C$16</f>
        <v>120|6</v>
      </c>
      <c r="B1716" s="10" t="str">
        <f>参数调整!$J$32</f>
        <v>精英掉落</v>
      </c>
      <c r="C1716" s="8" t="str">
        <f>材料产出!$V$2</f>
        <v>龍の魄</v>
      </c>
      <c r="D1716" s="224">
        <f>参数调整!$K$32*怪物掉落配置方案!$D4794</f>
        <v>5.7689789026350094E-2</v>
      </c>
    </row>
    <row r="1717" spans="1:4" ht="16.5" hidden="1" x14ac:dyDescent="0.3">
      <c r="A1717" s="10" t="str">
        <f>基本属性!$B$17&amp;"|"&amp;基本属性!$C$17</f>
        <v>135|7</v>
      </c>
      <c r="B1717" s="10" t="str">
        <f>参数调整!$J$32</f>
        <v>精英掉落</v>
      </c>
      <c r="C1717" s="8" t="str">
        <f>材料产出!$V$2</f>
        <v>龍の魄</v>
      </c>
      <c r="D1717" s="224">
        <f>参数调整!$K$32*怪物掉落配置方案!$D4795</f>
        <v>8.3073296197944138E-2</v>
      </c>
    </row>
    <row r="1718" spans="1:4" ht="16.5" hidden="1" x14ac:dyDescent="0.3">
      <c r="A1718" s="10" t="str">
        <f>基本属性!$B$18&amp;"|"&amp;基本属性!$C$18</f>
        <v>155|8</v>
      </c>
      <c r="B1718" s="10" t="str">
        <f>参数调整!$J$32</f>
        <v>精英掉落</v>
      </c>
      <c r="C1718" s="8" t="str">
        <f>材料产出!$V$2</f>
        <v>龍の魄</v>
      </c>
      <c r="D1718" s="224">
        <f>参数调整!$K$32*怪物掉落配置方案!$D4796</f>
        <v>0.11307198649164621</v>
      </c>
    </row>
    <row r="1719" spans="1:4" ht="16.5" hidden="1" x14ac:dyDescent="0.3">
      <c r="A1719" s="10" t="str">
        <f>基本属性!$B$19&amp;"|"&amp;基本属性!$C$19</f>
        <v>190|9</v>
      </c>
      <c r="B1719" s="10" t="str">
        <f>参数调整!$J$32</f>
        <v>精英掉落</v>
      </c>
      <c r="C1719" s="8" t="str">
        <f>材料产出!$V$2</f>
        <v>龍の魄</v>
      </c>
      <c r="D1719" s="224">
        <f>参数调整!$K$32*怪物掉落配置方案!$D4797</f>
        <v>0.12636371388331727</v>
      </c>
    </row>
    <row r="1720" spans="1:4" ht="16.5" hidden="1" x14ac:dyDescent="0.3">
      <c r="A1720" s="10" t="str">
        <f>基本属性!$B$20&amp;"|"&amp;基本属性!$C$20</f>
        <v>200|10</v>
      </c>
      <c r="B1720" s="10" t="str">
        <f>参数调整!$J$32</f>
        <v>精英掉落</v>
      </c>
      <c r="C1720" s="8" t="str">
        <f>材料产出!$V$2</f>
        <v>龍の魄</v>
      </c>
      <c r="D1720" s="224">
        <f>参数调整!$K$32*怪物掉落配置方案!$D4798</f>
        <v>0.14768585990745622</v>
      </c>
    </row>
    <row r="1721" spans="1:4" ht="16.5" hidden="1" x14ac:dyDescent="0.3">
      <c r="A1721" s="10" t="str">
        <f>基本属性!$B$21&amp;"|"&amp;基本属性!$C$21</f>
        <v>200|11</v>
      </c>
      <c r="B1721" s="10" t="str">
        <f>参数调整!$J$32</f>
        <v>精英掉落</v>
      </c>
      <c r="C1721" s="8" t="str">
        <f>材料产出!$V$2</f>
        <v>龍の魄</v>
      </c>
      <c r="D1721" s="224">
        <f>参数调整!$K$32*怪物掉落配置方案!$D4799</f>
        <v>0.17066947185555406</v>
      </c>
    </row>
    <row r="1722" spans="1:4" ht="16.5" hidden="1" x14ac:dyDescent="0.3">
      <c r="A1722" s="10" t="str">
        <f>基本属性!$B$22&amp;"|"&amp;基本属性!$C$22</f>
        <v>210|12</v>
      </c>
      <c r="B1722" s="10" t="str">
        <f>参数调整!$J$32</f>
        <v>精英掉落</v>
      </c>
      <c r="C1722" s="8" t="str">
        <f>材料产出!$V$2</f>
        <v>龍の魄</v>
      </c>
      <c r="D1722" s="224">
        <f>参数调整!$K$32*怪物掉落配置方案!$D4800</f>
        <v>0.19531454972761084</v>
      </c>
    </row>
    <row r="1723" spans="1:4" ht="16.5" hidden="1" x14ac:dyDescent="0.3">
      <c r="A1723" s="10" t="str">
        <f>基本属性!$B$23&amp;"|"&amp;基本属性!$C$23</f>
        <v>210|13</v>
      </c>
      <c r="B1723" s="10" t="str">
        <f>参数调整!$J$32</f>
        <v>精英掉落</v>
      </c>
      <c r="C1723" s="8" t="str">
        <f>材料产出!$V$2</f>
        <v>龍の魄</v>
      </c>
      <c r="D1723" s="224">
        <f>参数调整!$K$32*怪物掉落配置方案!$D4801</f>
        <v>0.22162109352362655</v>
      </c>
    </row>
    <row r="1724" spans="1:4" ht="16.5" hidden="1" x14ac:dyDescent="0.3">
      <c r="A1724" s="10" t="str">
        <f>基本属性!$B$24&amp;"|"&amp;基本属性!$C$24</f>
        <v>220|14</v>
      </c>
      <c r="B1724" s="10" t="str">
        <f>参数调整!$J$32</f>
        <v>精英掉落</v>
      </c>
      <c r="C1724" s="8" t="str">
        <f>材料产出!$V$2</f>
        <v>龍の魄</v>
      </c>
      <c r="D1724" s="224">
        <f>参数调整!$K$32*怪物掉落配置方案!$D4802</f>
        <v>0.24958910324360106</v>
      </c>
    </row>
    <row r="1725" spans="1:4" ht="16.5" hidden="1" x14ac:dyDescent="0.3">
      <c r="A1725" s="10" t="str">
        <f>基本属性!$B$25&amp;"|"&amp;基本属性!$C$25</f>
        <v>220|15</v>
      </c>
      <c r="B1725" s="10" t="str">
        <f>参数调整!$J$32</f>
        <v>精英掉落</v>
      </c>
      <c r="C1725" s="8" t="str">
        <f>材料产出!$V$2</f>
        <v>龍の魄</v>
      </c>
      <c r="D1725" s="224">
        <f>参数调整!$K$32*怪物掉落配置方案!$D4803</f>
        <v>0.27921857888753443</v>
      </c>
    </row>
    <row r="1726" spans="1:4" ht="16.5" hidden="1" x14ac:dyDescent="0.3">
      <c r="A1726" s="10" t="str">
        <f>基本属性!$B$26&amp;"|"&amp;基本属性!$C$26</f>
        <v>230|16</v>
      </c>
      <c r="B1726" s="10" t="str">
        <f>参数调整!$J$32</f>
        <v>精英掉落</v>
      </c>
      <c r="C1726" s="8" t="str">
        <f>材料产出!$V$2</f>
        <v>龍の魄</v>
      </c>
      <c r="D1726" s="224">
        <f>参数调整!$K$32*怪物掉落配置方案!$D4804</f>
        <v>0.31050952045542674</v>
      </c>
    </row>
    <row r="1727" spans="1:4" ht="16.5" hidden="1" x14ac:dyDescent="0.3">
      <c r="A1727" s="10" t="str">
        <f>基本属性!$B$27&amp;"|"&amp;基本属性!$C$27</f>
        <v>230|17</v>
      </c>
      <c r="B1727" s="10" t="str">
        <f>参数调整!$J$32</f>
        <v>精英掉落</v>
      </c>
      <c r="C1727" s="8" t="str">
        <f>材料产出!$V$2</f>
        <v>龍の魄</v>
      </c>
      <c r="D1727" s="224">
        <f>参数调整!$K$32*怪物掉落配置方案!$D4805</f>
        <v>0.34346192794727787</v>
      </c>
    </row>
    <row r="1728" spans="1:4" ht="16.5" hidden="1" x14ac:dyDescent="0.3">
      <c r="A1728" s="10" t="str">
        <f>基本属性!$B$28&amp;"|"&amp;基本属性!$C$28</f>
        <v>240|18</v>
      </c>
      <c r="B1728" s="10" t="str">
        <f>参数调整!$J$32</f>
        <v>精英掉落</v>
      </c>
      <c r="C1728" s="8" t="str">
        <f>材料产出!$V$2</f>
        <v>龍の魄</v>
      </c>
      <c r="D1728" s="224">
        <f>参数调整!$K$32*怪物掉落配置方案!$D4806</f>
        <v>0.37807580136308805</v>
      </c>
    </row>
    <row r="1729" spans="1:4" ht="16.5" hidden="1" x14ac:dyDescent="0.3">
      <c r="A1729" s="10" t="str">
        <f>基本属性!$B$29&amp;"|"&amp;基本属性!$C$29</f>
        <v>240|19</v>
      </c>
      <c r="B1729" s="10" t="str">
        <f>参数调整!$J$32</f>
        <v>精英掉落</v>
      </c>
      <c r="C1729" s="8" t="str">
        <f>材料产出!$V$2</f>
        <v>龍の魄</v>
      </c>
      <c r="D1729" s="224">
        <f>参数调整!$K$32*怪物掉落配置方案!$D4807</f>
        <v>0.41435114070285695</v>
      </c>
    </row>
    <row r="1730" spans="1:4" ht="16.5" hidden="1" x14ac:dyDescent="0.3">
      <c r="A1730" s="10" t="str">
        <f>基本属性!$B$30&amp;"|"&amp;基本属性!$C$30</f>
        <v>250|20</v>
      </c>
      <c r="B1730" s="10" t="str">
        <f>参数调整!$J$32</f>
        <v>精英掉落</v>
      </c>
      <c r="C1730" s="8" t="str">
        <f>材料产出!$V$2</f>
        <v>龍の魄</v>
      </c>
      <c r="D1730" s="224">
        <f>参数调整!$K$32*怪物掉落配置方案!$D4808</f>
        <v>0.45228794596658467</v>
      </c>
    </row>
    <row r="1731" spans="1:4" ht="16.5" hidden="1" x14ac:dyDescent="0.3">
      <c r="A1731" s="10" t="str">
        <f>基本属性!$B$4&amp;"|"&amp;基本属性!$C$4</f>
        <v>35|0</v>
      </c>
      <c r="B1731" s="10" t="str">
        <f>参数调整!$J$32</f>
        <v>精英掉落</v>
      </c>
      <c r="C1731" s="8" t="str">
        <f>材料产出!$AB$2</f>
        <v>龙晶碎片</v>
      </c>
      <c r="D1731" s="224">
        <f>参数调整!$K$32*怪物掉落配置方案!$D4809</f>
        <v>0.15143132188275826</v>
      </c>
    </row>
    <row r="1732" spans="1:4" ht="16.5" hidden="1" x14ac:dyDescent="0.3">
      <c r="A1732" s="10" t="str">
        <f>基本属性!$B$5&amp;"|"&amp;基本属性!$C$5</f>
        <v>40|0</v>
      </c>
      <c r="B1732" s="10" t="str">
        <f>参数调整!$J$32</f>
        <v>精英掉落</v>
      </c>
      <c r="C1732" s="8" t="str">
        <f>材料产出!$AB$2</f>
        <v>龙晶碎片</v>
      </c>
      <c r="D1732" s="224">
        <f>参数调整!$K$32*怪物掉落配置方案!$D4810</f>
        <v>0.19165526675786596</v>
      </c>
    </row>
    <row r="1733" spans="1:4" ht="16.5" hidden="1" x14ac:dyDescent="0.3">
      <c r="A1733" s="10" t="str">
        <f>基本属性!$B$6&amp;"|"&amp;基本属性!$C$6</f>
        <v>50|0</v>
      </c>
      <c r="B1733" s="10" t="str">
        <f>参数调整!$J$32</f>
        <v>精英掉落</v>
      </c>
      <c r="C1733" s="8" t="str">
        <f>材料产出!$AB$2</f>
        <v>龙晶碎片</v>
      </c>
      <c r="D1733" s="224">
        <f>参数调整!$K$32*怪物掉落配置方案!$D4811</f>
        <v>0.23661144044180982</v>
      </c>
    </row>
    <row r="1734" spans="1:4" ht="16.5" hidden="1" x14ac:dyDescent="0.3">
      <c r="A1734" s="10" t="str">
        <f>基本属性!$B$7&amp;"|"&amp;基本属性!$C$7</f>
        <v>60|0</v>
      </c>
      <c r="B1734" s="10" t="str">
        <f>参数调整!$J$32</f>
        <v>精英掉落</v>
      </c>
      <c r="C1734" s="8" t="str">
        <f>材料产出!$AB$2</f>
        <v>龙晶碎片</v>
      </c>
      <c r="D1734" s="224">
        <f>参数调整!$K$32*怪物掉落配置方案!$D4812</f>
        <v>0.28629984293458988</v>
      </c>
    </row>
    <row r="1735" spans="1:4" ht="16.5" hidden="1" x14ac:dyDescent="0.3">
      <c r="A1735" s="10" t="str">
        <f>基本属性!$B$8&amp;"|"&amp;基本属性!$C$8</f>
        <v>65|0</v>
      </c>
      <c r="B1735" s="10" t="str">
        <f>参数调整!$J$32</f>
        <v>精英掉落</v>
      </c>
      <c r="C1735" s="8" t="str">
        <f>材料产出!$AB$2</f>
        <v>龙晶碎片</v>
      </c>
      <c r="D1735" s="224">
        <f>参数调整!$K$32*怪物掉落配置方案!$D4813</f>
        <v>0.34072047423620611</v>
      </c>
    </row>
    <row r="1736" spans="1:4" ht="16.5" hidden="1" x14ac:dyDescent="0.3">
      <c r="A1736" s="10" t="str">
        <f>基本属性!$B$9&amp;"|"&amp;基本属性!$C$9</f>
        <v>70|0</v>
      </c>
      <c r="B1736" s="10" t="str">
        <f>参数调整!$J$32</f>
        <v>精英掉落</v>
      </c>
      <c r="C1736" s="8" t="str">
        <f>材料产出!$AB$2</f>
        <v>龙晶碎片</v>
      </c>
      <c r="D1736" s="224">
        <f>参数调整!$K$32*怪物掉落配置方案!$D4814</f>
        <v>0.3998733343466585</v>
      </c>
    </row>
    <row r="1737" spans="1:4" ht="16.5" hidden="1" x14ac:dyDescent="0.3">
      <c r="A1737" s="10" t="str">
        <f>基本属性!$B$10&amp;"|"&amp;基本属性!$C$10</f>
        <v>75|0</v>
      </c>
      <c r="B1737" s="10" t="str">
        <f>参数调整!$J$32</f>
        <v>精英掉落</v>
      </c>
      <c r="C1737" s="8" t="str">
        <f>材料产出!$AB$2</f>
        <v>龙晶碎片</v>
      </c>
      <c r="D1737" s="224">
        <f>参数调整!$K$32*怪物掉落配置方案!$D4815</f>
        <v>0.46375842326594707</v>
      </c>
    </row>
    <row r="1738" spans="1:4" ht="16.5" hidden="1" x14ac:dyDescent="0.3">
      <c r="A1738" s="10" t="str">
        <f>基本属性!$B$11&amp;"|"&amp;基本属性!$C$11</f>
        <v>80|1</v>
      </c>
      <c r="B1738" s="10" t="str">
        <f>参数调整!$J$32</f>
        <v>精英掉落</v>
      </c>
      <c r="C1738" s="8" t="str">
        <f>材料产出!$AB$2</f>
        <v>龙晶碎片</v>
      </c>
      <c r="D1738" s="224">
        <f>参数调整!$K$32*怪物掉落配置方案!$D4816</f>
        <v>0.53237574099407203</v>
      </c>
    </row>
    <row r="1739" spans="1:4" ht="16.5" hidden="1" x14ac:dyDescent="0.3">
      <c r="A1739" s="10" t="str">
        <f>基本属性!$B$12&amp;"|"&amp;基本属性!$C$12</f>
        <v>90|2</v>
      </c>
      <c r="B1739" s="10" t="str">
        <f>参数调整!$J$32</f>
        <v>精英掉落</v>
      </c>
      <c r="C1739" s="8" t="str">
        <f>材料产出!$AB$2</f>
        <v>龙晶碎片</v>
      </c>
      <c r="D1739" s="224">
        <f>参数调整!$K$32*怪物掉落配置方案!$D4817</f>
        <v>0.60572528753103316</v>
      </c>
    </row>
    <row r="1740" spans="1:4" ht="16.5" hidden="1" x14ac:dyDescent="0.3">
      <c r="A1740" s="10" t="str">
        <f>基本属性!$B$13&amp;"|"&amp;基本属性!$C$13</f>
        <v>100|3</v>
      </c>
      <c r="B1740" s="10" t="str">
        <f>参数调整!$J$32</f>
        <v>精英掉落</v>
      </c>
      <c r="C1740" s="8" t="str">
        <f>材料产出!$AB$2</f>
        <v>龙晶碎片</v>
      </c>
      <c r="D1740" s="224">
        <f>参数调整!$K$32*怪物掉落配置方案!$D4818</f>
        <v>0.76662106703146382</v>
      </c>
    </row>
    <row r="1741" spans="1:4" ht="16.5" hidden="1" x14ac:dyDescent="0.3">
      <c r="A1741" s="10" t="str">
        <f>基本属性!$B$14&amp;"|"&amp;基本属性!$C$14</f>
        <v>105|4</v>
      </c>
      <c r="B1741" s="10" t="str">
        <f>参数调整!$J$32</f>
        <v>精英掉落</v>
      </c>
      <c r="C1741" s="8" t="str">
        <f>材料产出!$AB$2</f>
        <v>龙晶碎片</v>
      </c>
      <c r="D1741" s="224">
        <f>参数调整!$K$32*怪物掉落配置方案!$D4819</f>
        <v>0.94644576176723938</v>
      </c>
    </row>
    <row r="1742" spans="1:4" ht="16.5" hidden="1" x14ac:dyDescent="0.3">
      <c r="A1742" s="10" t="str">
        <f>基本属性!$B$15&amp;"|"&amp;基本属性!$C$15</f>
        <v>110|5</v>
      </c>
      <c r="B1742" s="10" t="str">
        <f>参数调整!$J$32</f>
        <v>精英掉落</v>
      </c>
      <c r="C1742" s="8" t="str">
        <f>材料产出!$AB$2</f>
        <v>龙晶碎片</v>
      </c>
      <c r="D1742" s="224">
        <f>参数调整!$K$32*怪物掉落配置方案!$D4820</f>
        <v>1.1451993717383597</v>
      </c>
    </row>
    <row r="1743" spans="1:4" ht="16.5" hidden="1" x14ac:dyDescent="0.3">
      <c r="A1743" s="10" t="str">
        <f>基本属性!$B$16&amp;"|"&amp;基本属性!$C$16</f>
        <v>120|6</v>
      </c>
      <c r="B1743" s="10" t="str">
        <f>参数调整!$J$32</f>
        <v>精英掉落</v>
      </c>
      <c r="C1743" s="8" t="str">
        <f>材料产出!$AB$2</f>
        <v>龙晶碎片</v>
      </c>
      <c r="D1743" s="224">
        <f>参数调整!$K$32*怪物掉落配置方案!$D4821</f>
        <v>1.4788215027613112</v>
      </c>
    </row>
    <row r="1744" spans="1:4" ht="16.5" hidden="1" x14ac:dyDescent="0.3">
      <c r="A1744" s="10" t="str">
        <f>基本属性!$B$17&amp;"|"&amp;基本属性!$C$17</f>
        <v>135|7</v>
      </c>
      <c r="B1744" s="10" t="str">
        <f>参数调整!$J$32</f>
        <v>精英掉落</v>
      </c>
      <c r="C1744" s="8" t="str">
        <f>材料产出!$AB$2</f>
        <v>龙晶碎片</v>
      </c>
      <c r="D1744" s="224">
        <f>参数调整!$K$32*怪物掉落配置方案!$D4822</f>
        <v>2.1295029639762881</v>
      </c>
    </row>
    <row r="1745" spans="1:4" ht="16.5" hidden="1" x14ac:dyDescent="0.3">
      <c r="A1745" s="10" t="str">
        <f>基本属性!$B$18&amp;"|"&amp;基本属性!$C$18</f>
        <v>155|8</v>
      </c>
      <c r="B1745" s="10" t="str">
        <f>参数调整!$J$32</f>
        <v>精英掉落</v>
      </c>
      <c r="C1745" s="8" t="str">
        <f>材料产出!$AB$2</f>
        <v>龙晶碎片</v>
      </c>
      <c r="D1745" s="224">
        <f>参数调整!$K$32*怪物掉落配置方案!$D4823</f>
        <v>2.8984901454121701</v>
      </c>
    </row>
    <row r="1746" spans="1:4" ht="16.5" hidden="1" x14ac:dyDescent="0.3">
      <c r="A1746" s="10" t="str">
        <f>基本属性!$B$19&amp;"|"&amp;基本属性!$C$19</f>
        <v>190|9</v>
      </c>
      <c r="B1746" s="10" t="str">
        <f>参数调整!$J$32</f>
        <v>精英掉落</v>
      </c>
      <c r="C1746" s="8" t="str">
        <f>材料产出!$AB$2</f>
        <v>龙晶碎片</v>
      </c>
      <c r="D1746" s="224">
        <f>参数调整!$K$32*怪物掉落配置方案!$D4824</f>
        <v>3.2392106196483765</v>
      </c>
    </row>
    <row r="1747" spans="1:4" ht="16.5" hidden="1" x14ac:dyDescent="0.3">
      <c r="A1747" s="10" t="str">
        <f>基本属性!$B$20&amp;"|"&amp;基本属性!$C$20</f>
        <v>200|10</v>
      </c>
      <c r="B1747" s="10" t="str">
        <f>参数调整!$J$32</f>
        <v>精英掉落</v>
      </c>
      <c r="C1747" s="8" t="str">
        <f>材料产出!$AB$2</f>
        <v>龙晶碎片</v>
      </c>
      <c r="D1747" s="224">
        <f>参数调整!$K$32*怪物掉落配置方案!$D4825</f>
        <v>3.7857830470689575</v>
      </c>
    </row>
    <row r="1748" spans="1:4" ht="16.5" hidden="1" x14ac:dyDescent="0.3">
      <c r="A1748" s="10" t="str">
        <f>基本属性!$B$21&amp;"|"&amp;基本属性!$C$21</f>
        <v>200|11</v>
      </c>
      <c r="B1748" s="10" t="str">
        <f>参数调整!$J$32</f>
        <v>精英掉落</v>
      </c>
      <c r="C1748" s="8" t="str">
        <f>材料产出!$AB$2</f>
        <v>龙晶碎片</v>
      </c>
      <c r="D1748" s="224">
        <f>参数调整!$K$32*怪物掉落配置方案!$D4826</f>
        <v>4.3749455337690621</v>
      </c>
    </row>
    <row r="1749" spans="1:4" ht="16.5" hidden="1" x14ac:dyDescent="0.3">
      <c r="A1749" s="10" t="str">
        <f>基本属性!$B$22&amp;"|"&amp;基本属性!$C$22</f>
        <v>210|12</v>
      </c>
      <c r="B1749" s="10" t="str">
        <f>参数调整!$J$32</f>
        <v>精英掉落</v>
      </c>
      <c r="C1749" s="8" t="str">
        <f>材料产出!$AB$2</f>
        <v>龙晶碎片</v>
      </c>
      <c r="D1749" s="224">
        <f>参数调整!$K$32*怪物掉落配置方案!$D4827</f>
        <v>5.0066980797486949</v>
      </c>
    </row>
    <row r="1750" spans="1:4" ht="16.5" hidden="1" x14ac:dyDescent="0.3">
      <c r="A1750" s="10" t="str">
        <f>基本属性!$B$23&amp;"|"&amp;基本属性!$C$23</f>
        <v>210|13</v>
      </c>
      <c r="B1750" s="10" t="str">
        <f>参数调整!$J$32</f>
        <v>精英掉落</v>
      </c>
      <c r="C1750" s="8" t="str">
        <f>材料产出!$AB$2</f>
        <v>龙晶碎片</v>
      </c>
      <c r="D1750" s="224">
        <f>参数调整!$K$32*怪物掉落配置方案!$D4828</f>
        <v>5.6810406850078534</v>
      </c>
    </row>
    <row r="1751" spans="1:4" ht="16.5" hidden="1" x14ac:dyDescent="0.3">
      <c r="A1751" s="10" t="str">
        <f>基本属性!$B$24&amp;"|"&amp;基本属性!$C$24</f>
        <v>220|14</v>
      </c>
      <c r="B1751" s="10" t="str">
        <f>参数调整!$J$32</f>
        <v>精英掉落</v>
      </c>
      <c r="C1751" s="8" t="str">
        <f>材料产出!$AB$2</f>
        <v>龙晶碎片</v>
      </c>
      <c r="D1751" s="224">
        <f>参数调整!$K$32*怪物掉落配置方案!$D4829</f>
        <v>6.3979733495465378</v>
      </c>
    </row>
    <row r="1752" spans="1:4" ht="16.5" hidden="1" x14ac:dyDescent="0.3">
      <c r="A1752" s="10" t="str">
        <f>基本属性!$B$25&amp;"|"&amp;基本属性!$C$25</f>
        <v>220|15</v>
      </c>
      <c r="B1752" s="10" t="str">
        <f>参数调整!$J$32</f>
        <v>精英掉落</v>
      </c>
      <c r="C1752" s="8" t="str">
        <f>材料产出!$AB$2</f>
        <v>龙晶碎片</v>
      </c>
      <c r="D1752" s="224">
        <f>参数调整!$K$32*怪物掉落配置方案!$D4830</f>
        <v>7.1574960733647455</v>
      </c>
    </row>
    <row r="1753" spans="1:4" ht="16.5" hidden="1" x14ac:dyDescent="0.3">
      <c r="A1753" s="10" t="str">
        <f>基本属性!$B$26&amp;"|"&amp;基本属性!$C$26</f>
        <v>230|16</v>
      </c>
      <c r="B1753" s="10" t="str">
        <f>参数调整!$J$32</f>
        <v>精英掉落</v>
      </c>
      <c r="C1753" s="8" t="str">
        <f>材料产出!$AB$2</f>
        <v>龙晶碎片</v>
      </c>
      <c r="D1753" s="224">
        <f>参数调整!$K$32*怪物掉落配置方案!$D4831</f>
        <v>7.9596088564624807</v>
      </c>
    </row>
    <row r="1754" spans="1:4" ht="16.5" hidden="1" x14ac:dyDescent="0.3">
      <c r="A1754" s="10" t="str">
        <f>基本属性!$B$27&amp;"|"&amp;基本属性!$C$27</f>
        <v>230|17</v>
      </c>
      <c r="B1754" s="10" t="str">
        <f>参数调整!$J$32</f>
        <v>精英掉落</v>
      </c>
      <c r="C1754" s="8" t="str">
        <f>材料产出!$AB$2</f>
        <v>龙晶碎片</v>
      </c>
      <c r="D1754" s="224">
        <f>参数调整!$K$32*怪物掉落配置方案!$D4832</f>
        <v>8.8043116988397419</v>
      </c>
    </row>
    <row r="1755" spans="1:4" ht="16.5" hidden="1" x14ac:dyDescent="0.3">
      <c r="A1755" s="10" t="str">
        <f>基本属性!$B$28&amp;"|"&amp;基本属性!$C$28</f>
        <v>240|18</v>
      </c>
      <c r="B1755" s="10" t="str">
        <f>参数调整!$J$32</f>
        <v>精英掉落</v>
      </c>
      <c r="C1755" s="8" t="str">
        <f>材料产出!$AB$2</f>
        <v>龙晶碎片</v>
      </c>
      <c r="D1755" s="224">
        <f>参数调整!$K$32*怪物掉落配置方案!$D4833</f>
        <v>9.6916046004965306</v>
      </c>
    </row>
    <row r="1756" spans="1:4" ht="16.5" hidden="1" x14ac:dyDescent="0.3">
      <c r="A1756" s="10" t="str">
        <f>基本属性!$B$29&amp;"|"&amp;基本属性!$C$29</f>
        <v>240|19</v>
      </c>
      <c r="B1756" s="10" t="str">
        <f>参数调整!$J$32</f>
        <v>精英掉落</v>
      </c>
      <c r="C1756" s="8" t="str">
        <f>材料产出!$AB$2</f>
        <v>龙晶碎片</v>
      </c>
      <c r="D1756" s="224">
        <f>参数调整!$K$32*怪物掉落配置方案!$D4834</f>
        <v>10.621487561432843</v>
      </c>
    </row>
    <row r="1757" spans="1:4" ht="16.5" hidden="1" x14ac:dyDescent="0.3">
      <c r="A1757" s="10" t="str">
        <f>基本属性!$B$30&amp;"|"&amp;基本属性!$C$30</f>
        <v>250|20</v>
      </c>
      <c r="B1757" s="10" t="str">
        <f>参数调整!$J$32</f>
        <v>精英掉落</v>
      </c>
      <c r="C1757" s="8" t="str">
        <f>材料产出!$AB$2</f>
        <v>龙晶碎片</v>
      </c>
      <c r="D1757" s="224">
        <f>参数调整!$K$32*怪物掉落配置方案!$D4835</f>
        <v>11.593960581648677</v>
      </c>
    </row>
    <row r="1758" spans="1:4" ht="16.5" hidden="1" x14ac:dyDescent="0.3">
      <c r="A1758" s="10" t="str">
        <f>基本属性!$B$4&amp;"|"&amp;基本属性!$C$4</f>
        <v>35|0</v>
      </c>
      <c r="B1758" s="10" t="str">
        <f>参数调整!$J$32</f>
        <v>精英掉落</v>
      </c>
      <c r="C1758" s="8" t="str">
        <f>材料产出!$AX$2</f>
        <v>烈焰玄铁</v>
      </c>
      <c r="D1758" s="224">
        <f>参数调整!$K$32*怪物掉落配置方案!$D4836</f>
        <v>8.9283669292289499E-4</v>
      </c>
    </row>
    <row r="1759" spans="1:4" ht="16.5" hidden="1" x14ac:dyDescent="0.3">
      <c r="A1759" s="10" t="str">
        <f>基本属性!$B$5&amp;"|"&amp;基本属性!$C$5</f>
        <v>40|0</v>
      </c>
      <c r="B1759" s="10" t="str">
        <f>参数调整!$J$32</f>
        <v>精英掉落</v>
      </c>
      <c r="C1759" s="8" t="str">
        <f>材料产出!$AX$2</f>
        <v>烈焰玄铁</v>
      </c>
      <c r="D1759" s="224">
        <f>参数调整!$K$32*怪物掉落配置方案!$D4837</f>
        <v>1.1299964394805388E-3</v>
      </c>
    </row>
    <row r="1760" spans="1:4" ht="16.5" hidden="1" x14ac:dyDescent="0.3">
      <c r="A1760" s="10" t="str">
        <f>基本属性!$B$6&amp;"|"&amp;基本属性!$C$6</f>
        <v>50|0</v>
      </c>
      <c r="B1760" s="10" t="str">
        <f>参数调整!$J$32</f>
        <v>精英掉落</v>
      </c>
      <c r="C1760" s="8" t="str">
        <f>材料产出!$AX$2</f>
        <v>烈焰玄铁</v>
      </c>
      <c r="D1760" s="224">
        <f>参数调整!$K$32*怪物掉落配置方案!$D4838</f>
        <v>1.3950573326920233E-3</v>
      </c>
    </row>
    <row r="1761" spans="1:4" ht="16.5" hidden="1" x14ac:dyDescent="0.3">
      <c r="A1761" s="10" t="str">
        <f>基本属性!$B$7&amp;"|"&amp;基本属性!$C$7</f>
        <v>60|0</v>
      </c>
      <c r="B1761" s="10" t="str">
        <f>参数调整!$J$32</f>
        <v>精英掉落</v>
      </c>
      <c r="C1761" s="8" t="str">
        <f>材料产出!$AX$2</f>
        <v>烈焰玄铁</v>
      </c>
      <c r="D1761" s="224">
        <f>参数调整!$K$32*怪物掉落配置方案!$D4839</f>
        <v>1.6880193725573485E-3</v>
      </c>
    </row>
    <row r="1762" spans="1:4" ht="16.5" hidden="1" x14ac:dyDescent="0.3">
      <c r="A1762" s="10" t="str">
        <f>基本属性!$B$8&amp;"|"&amp;基本属性!$C$8</f>
        <v>65|0</v>
      </c>
      <c r="B1762" s="10" t="str">
        <f>参数调整!$J$32</f>
        <v>精英掉落</v>
      </c>
      <c r="C1762" s="8" t="str">
        <f>材料产出!$AX$2</f>
        <v>烈焰玄铁</v>
      </c>
      <c r="D1762" s="224">
        <f>参数调整!$K$32*怪物掉落配置方案!$D4840</f>
        <v>2.0088825590765134E-3</v>
      </c>
    </row>
    <row r="1763" spans="1:4" ht="16.5" hidden="1" x14ac:dyDescent="0.3">
      <c r="A1763" s="10" t="str">
        <f>基本属性!$B$9&amp;"|"&amp;基本属性!$C$9</f>
        <v>70|0</v>
      </c>
      <c r="B1763" s="10" t="str">
        <f>参数调整!$J$32</f>
        <v>精英掉落</v>
      </c>
      <c r="C1763" s="8" t="str">
        <f>材料产出!$AX$2</f>
        <v>烈焰玄铁</v>
      </c>
      <c r="D1763" s="224">
        <f>参数调整!$K$32*怪物掉落配置方案!$D4841</f>
        <v>2.3576468922495196E-3</v>
      </c>
    </row>
    <row r="1764" spans="1:4" ht="16.5" hidden="1" x14ac:dyDescent="0.3">
      <c r="A1764" s="10" t="str">
        <f>基本属性!$B$10&amp;"|"&amp;基本属性!$C$10</f>
        <v>75|0</v>
      </c>
      <c r="B1764" s="10" t="str">
        <f>参数调整!$J$32</f>
        <v>精英掉落</v>
      </c>
      <c r="C1764" s="8" t="str">
        <f>材料产出!$AX$2</f>
        <v>烈焰玄铁</v>
      </c>
      <c r="D1764" s="224">
        <f>参数调整!$K$32*怪物掉落配置方案!$D4842</f>
        <v>2.7343123720763654E-3</v>
      </c>
    </row>
    <row r="1765" spans="1:4" ht="16.5" hidden="1" x14ac:dyDescent="0.3">
      <c r="A1765" s="10" t="str">
        <f>基本属性!$B$11&amp;"|"&amp;基本属性!$C$11</f>
        <v>80|1</v>
      </c>
      <c r="B1765" s="10" t="str">
        <f>参数调整!$J$32</f>
        <v>精英掉落</v>
      </c>
      <c r="C1765" s="8" t="str">
        <f>材料产出!$AX$2</f>
        <v>烈焰玄铁</v>
      </c>
      <c r="D1765" s="224">
        <f>参数调整!$K$32*怪物掉落配置方案!$D4843</f>
        <v>3.1388789985570525E-3</v>
      </c>
    </row>
    <row r="1766" spans="1:4" ht="16.5" hidden="1" x14ac:dyDescent="0.3">
      <c r="A1766" s="10" t="str">
        <f>基本属性!$B$12&amp;"|"&amp;基本属性!$C$12</f>
        <v>90|2</v>
      </c>
      <c r="B1766" s="10" t="str">
        <f>参数调整!$J$32</f>
        <v>精英掉落</v>
      </c>
      <c r="C1766" s="8" t="str">
        <f>材料产出!$AX$2</f>
        <v>烈焰玄铁</v>
      </c>
      <c r="D1766" s="224">
        <f>参数调整!$K$32*怪物掉落配置方案!$D4844</f>
        <v>3.5713467716915804E-3</v>
      </c>
    </row>
    <row r="1767" spans="1:4" ht="16.5" hidden="1" x14ac:dyDescent="0.3">
      <c r="A1767" s="10" t="str">
        <f>基本属性!$B$13&amp;"|"&amp;基本属性!$C$13</f>
        <v>100|3</v>
      </c>
      <c r="B1767" s="10" t="str">
        <f>参数调整!$J$32</f>
        <v>精英掉落</v>
      </c>
      <c r="C1767" s="8" t="str">
        <f>材料产出!$AX$2</f>
        <v>烈焰玄铁</v>
      </c>
      <c r="D1767" s="224">
        <f>参数调整!$K$32*怪物掉落配置方案!$D4845</f>
        <v>4.5199857579221563E-3</v>
      </c>
    </row>
    <row r="1768" spans="1:4" ht="16.5" hidden="1" x14ac:dyDescent="0.3">
      <c r="A1768" s="10" t="str">
        <f>基本属性!$B$14&amp;"|"&amp;基本属性!$C$14</f>
        <v>105|4</v>
      </c>
      <c r="B1768" s="10" t="str">
        <f>参数调整!$J$32</f>
        <v>精英掉落</v>
      </c>
      <c r="C1768" s="8" t="str">
        <f>材料产出!$AX$2</f>
        <v>烈焰玄铁</v>
      </c>
      <c r="D1768" s="224">
        <f>参数调整!$K$32*怪物掉落配置方案!$D4846</f>
        <v>5.5802293307680943E-3</v>
      </c>
    </row>
    <row r="1769" spans="1:4" ht="16.5" hidden="1" x14ac:dyDescent="0.3">
      <c r="A1769" s="10" t="str">
        <f>基本属性!$B$15&amp;"|"&amp;基本属性!$C$15</f>
        <v>110|5</v>
      </c>
      <c r="B1769" s="10" t="str">
        <f>参数调整!$J$32</f>
        <v>精英掉落</v>
      </c>
      <c r="C1769" s="8" t="str">
        <f>材料产出!$AX$2</f>
        <v>烈焰玄铁</v>
      </c>
      <c r="D1769" s="224">
        <f>参数调整!$K$32*怪物掉落配置方案!$D4847</f>
        <v>6.7520774902293957E-3</v>
      </c>
    </row>
    <row r="1770" spans="1:4" ht="16.5" hidden="1" x14ac:dyDescent="0.3">
      <c r="A1770" s="10" t="str">
        <f>基本属性!$B$16&amp;"|"&amp;基本属性!$C$16</f>
        <v>120|6</v>
      </c>
      <c r="B1770" s="10" t="str">
        <f>参数调整!$J$32</f>
        <v>精英掉落</v>
      </c>
      <c r="C1770" s="8" t="str">
        <f>材料产出!$AX$2</f>
        <v>烈焰玄铁</v>
      </c>
      <c r="D1770" s="224">
        <f>参数调整!$K$32*怪物掉落配置方案!$D4848</f>
        <v>8.719108329325145E-3</v>
      </c>
    </row>
    <row r="1771" spans="1:4" ht="16.5" hidden="1" x14ac:dyDescent="0.3">
      <c r="A1771" s="10" t="str">
        <f>基本属性!$B$17&amp;"|"&amp;基本属性!$C$17</f>
        <v>135|7</v>
      </c>
      <c r="B1771" s="10" t="str">
        <f>参数调整!$J$32</f>
        <v>精英掉落</v>
      </c>
      <c r="C1771" s="8" t="str">
        <f>材料产出!$AX$2</f>
        <v>烈焰玄铁</v>
      </c>
      <c r="D1771" s="224">
        <f>参数调整!$K$32*怪物掉落配置方案!$D4849</f>
        <v>1.255551599422821E-2</v>
      </c>
    </row>
    <row r="1772" spans="1:4" ht="16.5" hidden="1" x14ac:dyDescent="0.3">
      <c r="A1772" s="10" t="str">
        <f>基本属性!$B$18&amp;"|"&amp;基本属性!$C$18</f>
        <v>155|8</v>
      </c>
      <c r="B1772" s="10" t="str">
        <f>参数调整!$J$32</f>
        <v>精英掉落</v>
      </c>
      <c r="C1772" s="8" t="str">
        <f>材料产出!$AX$2</f>
        <v>烈焰玄铁</v>
      </c>
      <c r="D1772" s="224">
        <f>参数调整!$K$32*怪物掉落配置方案!$D4850</f>
        <v>1.7089452325477289E-2</v>
      </c>
    </row>
    <row r="1773" spans="1:4" ht="16.5" hidden="1" x14ac:dyDescent="0.3">
      <c r="A1773" s="10" t="str">
        <f>基本属性!$B$19&amp;"|"&amp;基本属性!$C$19</f>
        <v>190|9</v>
      </c>
      <c r="B1773" s="10" t="str">
        <f>参数调整!$J$32</f>
        <v>精英掉落</v>
      </c>
      <c r="C1773" s="8" t="str">
        <f>材料产出!$AX$2</f>
        <v>烈焰玄铁</v>
      </c>
      <c r="D1773" s="224">
        <f>参数调整!$K$32*怪物掉落配置方案!$D4851</f>
        <v>1.9098334884553803E-2</v>
      </c>
    </row>
    <row r="1774" spans="1:4" ht="16.5" hidden="1" x14ac:dyDescent="0.3">
      <c r="A1774" s="10" t="str">
        <f>基本属性!$B$20&amp;"|"&amp;基本属性!$C$20</f>
        <v>200|10</v>
      </c>
      <c r="B1774" s="10" t="str">
        <f>参数调整!$J$32</f>
        <v>精英掉落</v>
      </c>
      <c r="C1774" s="8" t="str">
        <f>材料产出!$AX$2</f>
        <v>烈焰玄铁</v>
      </c>
      <c r="D1774" s="224">
        <f>参数调整!$K$32*怪物掉落配置方案!$D4852</f>
        <v>2.2320917323072377E-2</v>
      </c>
    </row>
    <row r="1775" spans="1:4" ht="16.5" hidden="1" x14ac:dyDescent="0.3">
      <c r="A1775" s="10" t="str">
        <f>基本属性!$B$21&amp;"|"&amp;基本属性!$C$21</f>
        <v>200|11</v>
      </c>
      <c r="B1775" s="10" t="str">
        <f>参数调整!$J$32</f>
        <v>精英掉落</v>
      </c>
      <c r="C1775" s="8" t="str">
        <f>材料产出!$AX$2</f>
        <v>烈焰玄铁</v>
      </c>
      <c r="D1775" s="224">
        <f>参数调整!$K$32*怪物掉落配置方案!$D4853</f>
        <v>2.5794610081475506E-2</v>
      </c>
    </row>
    <row r="1776" spans="1:4" ht="16.5" hidden="1" x14ac:dyDescent="0.3">
      <c r="A1776" s="10" t="str">
        <f>基本属性!$B$22&amp;"|"&amp;基本属性!$C$22</f>
        <v>210|12</v>
      </c>
      <c r="B1776" s="10" t="str">
        <f>参数调整!$J$32</f>
        <v>精英掉落</v>
      </c>
      <c r="C1776" s="8" t="str">
        <f>材料产出!$AX$2</f>
        <v>烈焰玄铁</v>
      </c>
      <c r="D1776" s="224">
        <f>参数调整!$K$32*怪物掉落配置方案!$D4854</f>
        <v>2.9519413159763207E-2</v>
      </c>
    </row>
    <row r="1777" spans="1:4" ht="16.5" hidden="1" x14ac:dyDescent="0.3">
      <c r="A1777" s="10" t="str">
        <f>基本属性!$B$23&amp;"|"&amp;基本属性!$C$23</f>
        <v>210|13</v>
      </c>
      <c r="B1777" s="10" t="str">
        <f>参数调整!$J$32</f>
        <v>精英掉落</v>
      </c>
      <c r="C1777" s="8" t="str">
        <f>材料产出!$AX$2</f>
        <v>烈焰玄铁</v>
      </c>
      <c r="D1777" s="224">
        <f>参数调整!$K$32*怪物掉落配置方案!$D4855</f>
        <v>3.3495326557935481E-2</v>
      </c>
    </row>
    <row r="1778" spans="1:4" ht="16.5" hidden="1" x14ac:dyDescent="0.3">
      <c r="A1778" s="10" t="str">
        <f>基本属性!$B$24&amp;"|"&amp;基本属性!$C$24</f>
        <v>220|14</v>
      </c>
      <c r="B1778" s="10" t="str">
        <f>参数调整!$J$32</f>
        <v>精英掉落</v>
      </c>
      <c r="C1778" s="8" t="str">
        <f>材料产出!$AX$2</f>
        <v>烈焰玄铁</v>
      </c>
      <c r="D1778" s="224">
        <f>参数调整!$K$32*怪物掉落配置方案!$D4856</f>
        <v>3.7722350275992314E-2</v>
      </c>
    </row>
    <row r="1779" spans="1:4" ht="16.5" hidden="1" x14ac:dyDescent="0.3">
      <c r="A1779" s="10" t="str">
        <f>基本属性!$B$25&amp;"|"&amp;基本属性!$C$25</f>
        <v>220|15</v>
      </c>
      <c r="B1779" s="10" t="str">
        <f>参数调整!$J$32</f>
        <v>精英掉落</v>
      </c>
      <c r="C1779" s="8" t="str">
        <f>材料产出!$AX$2</f>
        <v>烈焰玄铁</v>
      </c>
      <c r="D1779" s="224">
        <f>参数调整!$K$32*怪物掉落配置方案!$D4857</f>
        <v>4.2200484313933702E-2</v>
      </c>
    </row>
    <row r="1780" spans="1:4" ht="16.5" hidden="1" x14ac:dyDescent="0.3">
      <c r="A1780" s="10" t="str">
        <f>基本属性!$B$26&amp;"|"&amp;基本属性!$C$26</f>
        <v>230|16</v>
      </c>
      <c r="B1780" s="10" t="str">
        <f>参数调整!$J$32</f>
        <v>精英掉落</v>
      </c>
      <c r="C1780" s="8" t="str">
        <f>材料产出!$AX$2</f>
        <v>烈焰玄铁</v>
      </c>
      <c r="D1780" s="224">
        <f>参数调整!$K$32*怪物掉落配置方案!$D4858</f>
        <v>4.6929728671759659E-2</v>
      </c>
    </row>
    <row r="1781" spans="1:4" ht="16.5" hidden="1" x14ac:dyDescent="0.3">
      <c r="A1781" s="10" t="str">
        <f>基本属性!$B$27&amp;"|"&amp;基本属性!$C$27</f>
        <v>230|17</v>
      </c>
      <c r="B1781" s="10" t="str">
        <f>参数调整!$J$32</f>
        <v>精英掉落</v>
      </c>
      <c r="C1781" s="8" t="str">
        <f>材料产出!$AX$2</f>
        <v>烈焰玄铁</v>
      </c>
      <c r="D1781" s="224">
        <f>参数调整!$K$32*怪物掉落配置方案!$D4859</f>
        <v>5.1910083349470178E-2</v>
      </c>
    </row>
    <row r="1782" spans="1:4" ht="16.5" hidden="1" x14ac:dyDescent="0.3">
      <c r="A1782" s="10" t="str">
        <f>基本属性!$B$28&amp;"|"&amp;基本属性!$C$28</f>
        <v>240|18</v>
      </c>
      <c r="B1782" s="10" t="str">
        <f>参数调整!$J$32</f>
        <v>精英掉落</v>
      </c>
      <c r="C1782" s="8" t="str">
        <f>材料产出!$AX$2</f>
        <v>烈焰玄铁</v>
      </c>
      <c r="D1782" s="224">
        <f>参数调整!$K$32*怪物掉落配置方案!$D4860</f>
        <v>5.7141548347065287E-2</v>
      </c>
    </row>
    <row r="1783" spans="1:4" ht="16.5" hidden="1" x14ac:dyDescent="0.3">
      <c r="A1783" s="10" t="str">
        <f>基本属性!$B$29&amp;"|"&amp;基本属性!$C$29</f>
        <v>240|19</v>
      </c>
      <c r="B1783" s="10" t="str">
        <f>参数调整!$J$32</f>
        <v>精英掉落</v>
      </c>
      <c r="C1783" s="8" t="str">
        <f>材料产出!$AX$2</f>
        <v>烈焰玄铁</v>
      </c>
      <c r="D1783" s="224">
        <f>参数调整!$K$32*怪物掉落配置方案!$D4861</f>
        <v>6.2624123664544923E-2</v>
      </c>
    </row>
    <row r="1784" spans="1:4" ht="16.5" hidden="1" x14ac:dyDescent="0.3">
      <c r="A1784" s="10" t="str">
        <f>基本属性!$B$30&amp;"|"&amp;基本属性!$C$30</f>
        <v>250|20</v>
      </c>
      <c r="B1784" s="10" t="str">
        <f>参数调整!$J$32</f>
        <v>精英掉落</v>
      </c>
      <c r="C1784" s="8" t="str">
        <f>材料产出!$AX$2</f>
        <v>烈焰玄铁</v>
      </c>
      <c r="D1784" s="224">
        <f>参数调整!$K$32*怪物掉落配置方案!$D4862</f>
        <v>6.8357809301909128E-2</v>
      </c>
    </row>
    <row r="1785" spans="1:4" ht="16.5" hidden="1" x14ac:dyDescent="0.3">
      <c r="A1785" s="10" t="str">
        <f>基本属性!$B$4&amp;"|"&amp;基本属性!$C$4</f>
        <v>35|0</v>
      </c>
      <c r="B1785" s="10" t="str">
        <f>参数调整!$J$32</f>
        <v>精英掉落</v>
      </c>
      <c r="C1785" s="8" t="str">
        <f>材料产出!$H$2</f>
        <v>经验</v>
      </c>
      <c r="D1785" s="224">
        <f>参数调整!$K$32*怪物掉落配置方案!$D4863</f>
        <v>8330</v>
      </c>
    </row>
    <row r="1786" spans="1:4" ht="16.5" hidden="1" x14ac:dyDescent="0.3">
      <c r="A1786" s="10" t="str">
        <f>基本属性!$B$5&amp;"|"&amp;基本属性!$C$5</f>
        <v>40|0</v>
      </c>
      <c r="B1786" s="10" t="str">
        <f>参数调整!$J$32</f>
        <v>精英掉落</v>
      </c>
      <c r="C1786" s="8" t="str">
        <f>材料产出!$H$2</f>
        <v>经验</v>
      </c>
      <c r="D1786" s="224">
        <f>参数调整!$K$32*怪物掉落配置方案!$D4864</f>
        <v>15970</v>
      </c>
    </row>
    <row r="1787" spans="1:4" ht="16.5" hidden="1" x14ac:dyDescent="0.3">
      <c r="A1787" s="10" t="str">
        <f>基本属性!$B$6&amp;"|"&amp;基本属性!$C$6</f>
        <v>50|0</v>
      </c>
      <c r="B1787" s="10" t="str">
        <f>参数调整!$J$32</f>
        <v>精英掉落</v>
      </c>
      <c r="C1787" s="8" t="str">
        <f>材料产出!$H$2</f>
        <v>经验</v>
      </c>
      <c r="D1787" s="224">
        <f>参数调整!$K$32*怪物掉落配置方案!$D4865</f>
        <v>43330</v>
      </c>
    </row>
    <row r="1788" spans="1:4" ht="16.5" hidden="1" x14ac:dyDescent="0.3">
      <c r="A1788" s="10" t="str">
        <f>基本属性!$B$7&amp;"|"&amp;基本属性!$C$7</f>
        <v>60|0</v>
      </c>
      <c r="B1788" s="10" t="str">
        <f>参数调整!$J$32</f>
        <v>精英掉落</v>
      </c>
      <c r="C1788" s="8" t="str">
        <f>材料产出!$H$2</f>
        <v>经验</v>
      </c>
      <c r="D1788" s="224">
        <f>参数调整!$K$32*怪物掉落配置方案!$D4866</f>
        <v>54170</v>
      </c>
    </row>
    <row r="1789" spans="1:4" ht="16.5" hidden="1" x14ac:dyDescent="0.3">
      <c r="A1789" s="10" t="str">
        <f>基本属性!$B$8&amp;"|"&amp;基本属性!$C$8</f>
        <v>65|0</v>
      </c>
      <c r="B1789" s="10" t="str">
        <f>参数调整!$J$32</f>
        <v>精英掉落</v>
      </c>
      <c r="C1789" s="8" t="str">
        <f>材料产出!$H$2</f>
        <v>经验</v>
      </c>
      <c r="D1789" s="224">
        <f>参数调整!$K$32*怪物掉落配置方案!$D4867</f>
        <v>54440</v>
      </c>
    </row>
    <row r="1790" spans="1:4" ht="16.5" hidden="1" x14ac:dyDescent="0.3">
      <c r="A1790" s="10" t="str">
        <f>基本属性!$B$9&amp;"|"&amp;基本属性!$C$9</f>
        <v>70|0</v>
      </c>
      <c r="B1790" s="10" t="str">
        <f>参数调整!$J$32</f>
        <v>精英掉落</v>
      </c>
      <c r="C1790" s="8" t="str">
        <f>材料产出!$H$2</f>
        <v>经验</v>
      </c>
      <c r="D1790" s="224">
        <f>参数调整!$K$32*怪物掉落配置方案!$D4868</f>
        <v>55740</v>
      </c>
    </row>
    <row r="1791" spans="1:4" ht="16.5" hidden="1" x14ac:dyDescent="0.3">
      <c r="A1791" s="10" t="str">
        <f>基本属性!$B$10&amp;"|"&amp;基本属性!$C$10</f>
        <v>75|0</v>
      </c>
      <c r="B1791" s="10" t="str">
        <f>参数调整!$J$32</f>
        <v>精英掉落</v>
      </c>
      <c r="C1791" s="8" t="str">
        <f>材料产出!$H$2</f>
        <v>经验</v>
      </c>
      <c r="D1791" s="224">
        <f>参数调整!$K$32*怪物掉落配置方案!$D4869</f>
        <v>62910</v>
      </c>
    </row>
    <row r="1792" spans="1:4" ht="16.5" hidden="1" x14ac:dyDescent="0.3">
      <c r="A1792" s="10" t="str">
        <f>基本属性!$B$11&amp;"|"&amp;基本属性!$C$11</f>
        <v>80|1</v>
      </c>
      <c r="B1792" s="10" t="str">
        <f>参数调整!$J$32</f>
        <v>精英掉落</v>
      </c>
      <c r="C1792" s="8" t="str">
        <f>材料产出!$H$2</f>
        <v>经验</v>
      </c>
      <c r="D1792" s="224">
        <f>参数调整!$K$32*怪物掉落配置方案!$D4870</f>
        <v>100810</v>
      </c>
    </row>
    <row r="1793" spans="1:4" ht="16.5" hidden="1" x14ac:dyDescent="0.3">
      <c r="A1793" s="10" t="str">
        <f>基本属性!$B$12&amp;"|"&amp;基本属性!$C$12</f>
        <v>90|2</v>
      </c>
      <c r="B1793" s="10" t="str">
        <f>参数调整!$J$32</f>
        <v>精英掉落</v>
      </c>
      <c r="C1793" s="8" t="str">
        <f>材料产出!$H$2</f>
        <v>经验</v>
      </c>
      <c r="D1793" s="224">
        <f>参数调整!$K$32*怪物掉落配置方案!$D4871</f>
        <v>173350</v>
      </c>
    </row>
    <row r="1794" spans="1:4" ht="16.5" hidden="1" x14ac:dyDescent="0.3">
      <c r="A1794" s="10" t="str">
        <f>基本属性!$B$13&amp;"|"&amp;基本属性!$C$13</f>
        <v>100|3</v>
      </c>
      <c r="B1794" s="10" t="str">
        <f>参数调整!$J$32</f>
        <v>精英掉落</v>
      </c>
      <c r="C1794" s="8" t="str">
        <f>材料产出!$H$2</f>
        <v>经验</v>
      </c>
      <c r="D1794" s="224">
        <f>参数调整!$K$32*怪物掉落配置方案!$D4872</f>
        <v>203970</v>
      </c>
    </row>
    <row r="1795" spans="1:4" ht="16.5" hidden="1" x14ac:dyDescent="0.3">
      <c r="A1795" s="10" t="str">
        <f>基本属性!$B$14&amp;"|"&amp;基本属性!$C$14</f>
        <v>105|4</v>
      </c>
      <c r="B1795" s="10" t="str">
        <f>参数调整!$J$32</f>
        <v>精英掉落</v>
      </c>
      <c r="C1795" s="8" t="str">
        <f>材料产出!$H$2</f>
        <v>经验</v>
      </c>
      <c r="D1795" s="224">
        <f>参数调整!$K$32*怪物掉落配置方案!$D4873</f>
        <v>315000</v>
      </c>
    </row>
    <row r="1796" spans="1:4" ht="16.5" hidden="1" x14ac:dyDescent="0.3">
      <c r="A1796" s="10" t="str">
        <f>基本属性!$B$15&amp;"|"&amp;基本属性!$C$15</f>
        <v>110|5</v>
      </c>
      <c r="B1796" s="10" t="str">
        <f>参数调整!$J$32</f>
        <v>精英掉落</v>
      </c>
      <c r="C1796" s="8" t="str">
        <f>材料产出!$H$2</f>
        <v>经验</v>
      </c>
      <c r="D1796" s="224">
        <f>参数调整!$K$32*怪物掉落配置方案!$D4874</f>
        <v>325560</v>
      </c>
    </row>
    <row r="1797" spans="1:4" ht="16.5" hidden="1" x14ac:dyDescent="0.3">
      <c r="A1797" s="10" t="str">
        <f>基本属性!$B$16&amp;"|"&amp;基本属性!$C$16</f>
        <v>120|6</v>
      </c>
      <c r="B1797" s="10" t="str">
        <f>参数调整!$J$32</f>
        <v>精英掉落</v>
      </c>
      <c r="C1797" s="8" t="str">
        <f>材料产出!$H$2</f>
        <v>经验</v>
      </c>
      <c r="D1797" s="224">
        <f>参数调整!$K$32*怪物掉落配置方案!$D4875</f>
        <v>1298140</v>
      </c>
    </row>
    <row r="1798" spans="1:4" ht="16.5" hidden="1" x14ac:dyDescent="0.3">
      <c r="A1798" s="10" t="str">
        <f>基本属性!$B$17&amp;"|"&amp;基本属性!$C$17</f>
        <v>135|7</v>
      </c>
      <c r="B1798" s="10" t="str">
        <f>参数调整!$J$32</f>
        <v>精英掉落</v>
      </c>
      <c r="C1798" s="8" t="str">
        <f>材料产出!$H$2</f>
        <v>经验</v>
      </c>
      <c r="D1798" s="224">
        <f>参数调整!$K$32*怪物掉落配置方案!$D4876</f>
        <v>4444170</v>
      </c>
    </row>
    <row r="1799" spans="1:4" ht="16.5" hidden="1" x14ac:dyDescent="0.3">
      <c r="A1799" s="10" t="str">
        <f>基本属性!$B$18&amp;"|"&amp;基本属性!$C$18</f>
        <v>155|8</v>
      </c>
      <c r="B1799" s="10" t="str">
        <f>参数调整!$J$32</f>
        <v>精英掉落</v>
      </c>
      <c r="C1799" s="8" t="str">
        <f>材料产出!$H$2</f>
        <v>经验</v>
      </c>
      <c r="D1799" s="224">
        <f>参数调整!$K$32*怪物掉落配置方案!$D4877</f>
        <v>53683890</v>
      </c>
    </row>
    <row r="1800" spans="1:4" ht="16.5" hidden="1" x14ac:dyDescent="0.3">
      <c r="A1800" s="10" t="str">
        <f>基本属性!$B$19&amp;"|"&amp;基本属性!$C$19</f>
        <v>190|9</v>
      </c>
      <c r="B1800" s="10" t="str">
        <f>参数调整!$J$32</f>
        <v>精英掉落</v>
      </c>
      <c r="C1800" s="8" t="str">
        <f>材料产出!$H$2</f>
        <v>经验</v>
      </c>
      <c r="D1800" s="224">
        <f>参数调整!$K$32*怪物掉落配置方案!$D4878</f>
        <v>48814670</v>
      </c>
    </row>
    <row r="1801" spans="1:4" ht="16.5" hidden="1" x14ac:dyDescent="0.3">
      <c r="A1801" s="10" t="str">
        <f>基本属性!$B$20&amp;"|"&amp;基本属性!$C$20</f>
        <v>200|10</v>
      </c>
      <c r="B1801" s="10" t="str">
        <f>参数调整!$J$32</f>
        <v>精英掉落</v>
      </c>
      <c r="C1801" s="8" t="str">
        <f>材料产出!$H$2</f>
        <v>经验</v>
      </c>
      <c r="D1801" s="224">
        <f>参数调整!$K$32*怪物掉落配置方案!$D4879</f>
        <v>58333330</v>
      </c>
    </row>
    <row r="1802" spans="1:4" ht="16.5" hidden="1" x14ac:dyDescent="0.3">
      <c r="A1802" s="10" t="str">
        <f>基本属性!$B$21&amp;"|"&amp;基本属性!$C$21</f>
        <v>200|11</v>
      </c>
      <c r="B1802" s="10" t="str">
        <f>参数调整!$J$32</f>
        <v>精英掉落</v>
      </c>
      <c r="C1802" s="8" t="str">
        <f>材料产出!$H$2</f>
        <v>经验</v>
      </c>
      <c r="D1802" s="224">
        <f>参数调整!$K$32*怪物掉落配置方案!$D4880</f>
        <v>11666670</v>
      </c>
    </row>
    <row r="1803" spans="1:4" ht="16.5" hidden="1" x14ac:dyDescent="0.3">
      <c r="A1803" s="10" t="str">
        <f>基本属性!$B$22&amp;"|"&amp;基本属性!$C$22</f>
        <v>210|12</v>
      </c>
      <c r="B1803" s="10" t="str">
        <f>参数调整!$J$32</f>
        <v>精英掉落</v>
      </c>
      <c r="C1803" s="8" t="str">
        <f>材料产出!$H$2</f>
        <v>经验</v>
      </c>
      <c r="D1803" s="224">
        <f>参数调整!$K$32*怪物掉落配置方案!$D4881</f>
        <v>11666670</v>
      </c>
    </row>
    <row r="1804" spans="1:4" ht="16.5" hidden="1" x14ac:dyDescent="0.3">
      <c r="A1804" s="10" t="str">
        <f>基本属性!$B$23&amp;"|"&amp;基本属性!$C$23</f>
        <v>210|13</v>
      </c>
      <c r="B1804" s="10" t="str">
        <f>参数调整!$J$32</f>
        <v>精英掉落</v>
      </c>
      <c r="C1804" s="8" t="str">
        <f>材料产出!$H$2</f>
        <v>经验</v>
      </c>
      <c r="D1804" s="224">
        <f>参数调整!$K$32*怪物掉落配置方案!$D4882</f>
        <v>11666670</v>
      </c>
    </row>
    <row r="1805" spans="1:4" ht="16.5" hidden="1" x14ac:dyDescent="0.3">
      <c r="A1805" s="10" t="str">
        <f>基本属性!$B$24&amp;"|"&amp;基本属性!$C$24</f>
        <v>220|14</v>
      </c>
      <c r="B1805" s="10" t="str">
        <f>参数调整!$J$32</f>
        <v>精英掉落</v>
      </c>
      <c r="C1805" s="8" t="str">
        <f>材料产出!$H$2</f>
        <v>经验</v>
      </c>
      <c r="D1805" s="224">
        <f>参数调整!$K$32*怪物掉落配置方案!$D4883</f>
        <v>11666670</v>
      </c>
    </row>
    <row r="1806" spans="1:4" ht="16.5" hidden="1" x14ac:dyDescent="0.3">
      <c r="A1806" s="10" t="str">
        <f>基本属性!$B$25&amp;"|"&amp;基本属性!$C$25</f>
        <v>220|15</v>
      </c>
      <c r="B1806" s="10" t="str">
        <f>参数调整!$J$32</f>
        <v>精英掉落</v>
      </c>
      <c r="C1806" s="8" t="str">
        <f>材料产出!$H$2</f>
        <v>经验</v>
      </c>
      <c r="D1806" s="224">
        <f>参数调整!$K$32*怪物掉落配置方案!$D4884</f>
        <v>11666670</v>
      </c>
    </row>
    <row r="1807" spans="1:4" ht="16.5" hidden="1" x14ac:dyDescent="0.3">
      <c r="A1807" s="10" t="str">
        <f>基本属性!$B$26&amp;"|"&amp;基本属性!$C$26</f>
        <v>230|16</v>
      </c>
      <c r="B1807" s="10" t="str">
        <f>参数调整!$J$32</f>
        <v>精英掉落</v>
      </c>
      <c r="C1807" s="8" t="str">
        <f>材料产出!$H$2</f>
        <v>经验</v>
      </c>
      <c r="D1807" s="224">
        <f>参数调整!$K$32*怪物掉落配置方案!$D4885</f>
        <v>5833330</v>
      </c>
    </row>
    <row r="1808" spans="1:4" ht="16.5" hidden="1" x14ac:dyDescent="0.3">
      <c r="A1808" s="10" t="str">
        <f>基本属性!$B$27&amp;"|"&amp;基本属性!$C$27</f>
        <v>230|17</v>
      </c>
      <c r="B1808" s="10" t="str">
        <f>参数调整!$J$32</f>
        <v>精英掉落</v>
      </c>
      <c r="C1808" s="8" t="str">
        <f>材料产出!$H$2</f>
        <v>经验</v>
      </c>
      <c r="D1808" s="224">
        <f>参数调整!$K$32*怪物掉落配置方案!$D4886</f>
        <v>5833330</v>
      </c>
    </row>
    <row r="1809" spans="1:4" ht="16.5" hidden="1" x14ac:dyDescent="0.3">
      <c r="A1809" s="10" t="str">
        <f>基本属性!$B$28&amp;"|"&amp;基本属性!$C$28</f>
        <v>240|18</v>
      </c>
      <c r="B1809" s="10" t="str">
        <f>参数调整!$J$32</f>
        <v>精英掉落</v>
      </c>
      <c r="C1809" s="8" t="str">
        <f>材料产出!$H$2</f>
        <v>经验</v>
      </c>
      <c r="D1809" s="224">
        <f>参数调整!$K$32*怪物掉落配置方案!$D4887</f>
        <v>5833330</v>
      </c>
    </row>
    <row r="1810" spans="1:4" ht="16.5" hidden="1" x14ac:dyDescent="0.3">
      <c r="A1810" s="10" t="str">
        <f>基本属性!$B$29&amp;"|"&amp;基本属性!$C$29</f>
        <v>240|19</v>
      </c>
      <c r="B1810" s="10" t="str">
        <f>参数调整!$J$32</f>
        <v>精英掉落</v>
      </c>
      <c r="C1810" s="8" t="str">
        <f>材料产出!$H$2</f>
        <v>经验</v>
      </c>
      <c r="D1810" s="224">
        <f>参数调整!$K$32*怪物掉落配置方案!$D4888</f>
        <v>5833330</v>
      </c>
    </row>
    <row r="1811" spans="1:4" ht="16.5" hidden="1" x14ac:dyDescent="0.3">
      <c r="A1811" s="10" t="str">
        <f>基本属性!$B$30&amp;"|"&amp;基本属性!$C$30</f>
        <v>250|20</v>
      </c>
      <c r="B1811" s="10" t="str">
        <f>参数调整!$J$32</f>
        <v>精英掉落</v>
      </c>
      <c r="C1811" s="8" t="str">
        <f>材料产出!$H$2</f>
        <v>经验</v>
      </c>
      <c r="D1811" s="224">
        <f>参数调整!$K$32*怪物掉落配置方案!$D4889</f>
        <v>5833330</v>
      </c>
    </row>
    <row r="1812" spans="1:4" ht="16.5" hidden="1" x14ac:dyDescent="0.3">
      <c r="A1812" s="10" t="str">
        <f>基本属性!$B$4&amp;"|"&amp;基本属性!$C$4</f>
        <v>35|0</v>
      </c>
      <c r="B1812" s="10" t="str">
        <f>参数调整!$J$32</f>
        <v>精英掉落</v>
      </c>
      <c r="C1812" s="8" t="str">
        <f>材料产出!$AN$2</f>
        <v>极品注灵石</v>
      </c>
      <c r="D1812" s="224">
        <f>参数调整!$K$32*怪物掉落配置方案!$D4890</f>
        <v>5.1844102894235671E-3</v>
      </c>
    </row>
    <row r="1813" spans="1:4" ht="16.5" hidden="1" x14ac:dyDescent="0.3">
      <c r="A1813" s="10" t="str">
        <f>基本属性!$B$5&amp;"|"&amp;基本属性!$C$5</f>
        <v>40|0</v>
      </c>
      <c r="B1813" s="10" t="str">
        <f>参数调整!$J$32</f>
        <v>精英掉落</v>
      </c>
      <c r="C1813" s="8" t="str">
        <f>材料产出!$AN$2</f>
        <v>极品注灵石</v>
      </c>
      <c r="D1813" s="224">
        <f>参数调整!$K$32*怪物掉落配置方案!$D4891</f>
        <v>6.5615192725517009E-3</v>
      </c>
    </row>
    <row r="1814" spans="1:4" ht="16.5" hidden="1" x14ac:dyDescent="0.3">
      <c r="A1814" s="10" t="str">
        <f>基本属性!$B$6&amp;"|"&amp;基本属性!$C$6</f>
        <v>50|0</v>
      </c>
      <c r="B1814" s="10" t="str">
        <f>参数调整!$J$32</f>
        <v>精英掉落</v>
      </c>
      <c r="C1814" s="8" t="str">
        <f>材料产出!$AN$2</f>
        <v>极品注灵石</v>
      </c>
      <c r="D1814" s="224">
        <f>参数调整!$K$32*怪物掉落配置方案!$D4892</f>
        <v>8.1006410772243229E-3</v>
      </c>
    </row>
    <row r="1815" spans="1:4" ht="16.5" hidden="1" x14ac:dyDescent="0.3">
      <c r="A1815" s="10" t="str">
        <f>基本属性!$B$7&amp;"|"&amp;基本属性!$C$7</f>
        <v>60|0</v>
      </c>
      <c r="B1815" s="10" t="str">
        <f>参数调整!$J$32</f>
        <v>精英掉落</v>
      </c>
      <c r="C1815" s="8" t="str">
        <f>材料产出!$AN$2</f>
        <v>极品注灵石</v>
      </c>
      <c r="D1815" s="224">
        <f>参数调整!$K$32*怪物掉落配置方案!$D4893</f>
        <v>9.8017757034414323E-3</v>
      </c>
    </row>
    <row r="1816" spans="1:4" ht="16.5" hidden="1" x14ac:dyDescent="0.3">
      <c r="A1816" s="10" t="str">
        <f>基本属性!$B$8&amp;"|"&amp;基本属性!$C$8</f>
        <v>65|0</v>
      </c>
      <c r="B1816" s="10" t="str">
        <f>参数调整!$J$32</f>
        <v>精英掉落</v>
      </c>
      <c r="C1816" s="8" t="str">
        <f>材料产出!$AN$2</f>
        <v>极品注灵石</v>
      </c>
      <c r="D1816" s="224">
        <f>参数调整!$K$32*怪物掉落配置方案!$D4894</f>
        <v>1.1664923151203023E-2</v>
      </c>
    </row>
    <row r="1817" spans="1:4" ht="16.5" hidden="1" x14ac:dyDescent="0.3">
      <c r="A1817" s="10" t="str">
        <f>基本属性!$B$9&amp;"|"&amp;基本属性!$C$9</f>
        <v>70|0</v>
      </c>
      <c r="B1817" s="10" t="str">
        <f>参数调整!$J$32</f>
        <v>精英掉落</v>
      </c>
      <c r="C1817" s="8" t="str">
        <f>材料产出!$AN$2</f>
        <v>极品注灵石</v>
      </c>
      <c r="D1817" s="224">
        <f>参数调整!$K$32*怪物掉落配置方案!$D4895</f>
        <v>1.3690083420509107E-2</v>
      </c>
    </row>
    <row r="1818" spans="1:4" ht="16.5" hidden="1" x14ac:dyDescent="0.3">
      <c r="A1818" s="10" t="str">
        <f>基本属性!$B$10&amp;"|"&amp;基本属性!$C$10</f>
        <v>75|0</v>
      </c>
      <c r="B1818" s="10" t="str">
        <f>参数调整!$J$32</f>
        <v>精英掉落</v>
      </c>
      <c r="C1818" s="8" t="str">
        <f>材料产出!$AN$2</f>
        <v>极品注灵石</v>
      </c>
      <c r="D1818" s="224">
        <f>参数调整!$K$32*怪物掉落配置方案!$D4896</f>
        <v>1.5877256511359669E-2</v>
      </c>
    </row>
    <row r="1819" spans="1:4" ht="16.5" hidden="1" x14ac:dyDescent="0.3">
      <c r="A1819" s="10" t="str">
        <f>基本属性!$B$11&amp;"|"&amp;基本属性!$C$11</f>
        <v>80|1</v>
      </c>
      <c r="B1819" s="10" t="str">
        <f>参数调整!$J$32</f>
        <v>精英掉落</v>
      </c>
      <c r="C1819" s="8" t="str">
        <f>材料产出!$AN$2</f>
        <v>极品注灵石</v>
      </c>
      <c r="D1819" s="224">
        <f>参数调整!$K$32*怪物掉落配置方案!$D4897</f>
        <v>1.8226442423754728E-2</v>
      </c>
    </row>
    <row r="1820" spans="1:4" ht="16.5" hidden="1" x14ac:dyDescent="0.3">
      <c r="A1820" s="10" t="str">
        <f>基本属性!$B$12&amp;"|"&amp;基本属性!$C$12</f>
        <v>90|2</v>
      </c>
      <c r="B1820" s="10" t="str">
        <f>参数调整!$J$32</f>
        <v>精英掉落</v>
      </c>
      <c r="C1820" s="8" t="str">
        <f>材料产出!$AN$2</f>
        <v>极品注灵石</v>
      </c>
      <c r="D1820" s="224">
        <f>参数调整!$K$32*怪物掉落配置方案!$D4898</f>
        <v>2.0737641157694272E-2</v>
      </c>
    </row>
    <row r="1821" spans="1:4" ht="16.5" hidden="1" x14ac:dyDescent="0.3">
      <c r="A1821" s="10" t="str">
        <f>基本属性!$B$13&amp;"|"&amp;基本属性!$C$13</f>
        <v>100|3</v>
      </c>
      <c r="B1821" s="10" t="str">
        <f>参数调整!$J$32</f>
        <v>精英掉落</v>
      </c>
      <c r="C1821" s="8" t="str">
        <f>材料产出!$AN$2</f>
        <v>极品注灵石</v>
      </c>
      <c r="D1821" s="224">
        <f>参数调整!$K$32*怪物掉落配置方案!$D4899</f>
        <v>2.6246077090206807E-2</v>
      </c>
    </row>
    <row r="1822" spans="1:4" ht="16.5" hidden="1" x14ac:dyDescent="0.3">
      <c r="A1822" s="10" t="str">
        <f>基本属性!$B$14&amp;"|"&amp;基本属性!$C$14</f>
        <v>105|4</v>
      </c>
      <c r="B1822" s="10" t="str">
        <f>参数调整!$J$32</f>
        <v>精英掉落</v>
      </c>
      <c r="C1822" s="8" t="str">
        <f>材料产出!$AN$2</f>
        <v>极品注灵石</v>
      </c>
      <c r="D1822" s="224">
        <f>参数调整!$K$32*怪物掉落配置方案!$D4900</f>
        <v>3.2402564308897291E-2</v>
      </c>
    </row>
    <row r="1823" spans="1:4" ht="16.5" hidden="1" x14ac:dyDescent="0.3">
      <c r="A1823" s="10" t="str">
        <f>基本属性!$B$15&amp;"|"&amp;基本属性!$C$15</f>
        <v>110|5</v>
      </c>
      <c r="B1823" s="10" t="str">
        <f>参数调整!$J$32</f>
        <v>精英掉落</v>
      </c>
      <c r="C1823" s="8" t="str">
        <f>材料产出!$AN$2</f>
        <v>极品注灵石</v>
      </c>
      <c r="D1823" s="224">
        <f>参数调整!$K$32*怪物掉落配置方案!$D4901</f>
        <v>3.9207102813765729E-2</v>
      </c>
    </row>
    <row r="1824" spans="1:4" ht="16.5" hidden="1" x14ac:dyDescent="0.3">
      <c r="A1824" s="10" t="str">
        <f>基本属性!$B$16&amp;"|"&amp;基本属性!$C$16</f>
        <v>120|6</v>
      </c>
      <c r="B1824" s="10" t="str">
        <f>参数调整!$J$32</f>
        <v>精英掉落</v>
      </c>
      <c r="C1824" s="8" t="str">
        <f>材料产出!$AN$2</f>
        <v>极品注灵石</v>
      </c>
      <c r="D1824" s="224">
        <f>参数调整!$K$32*怪物掉落配置方案!$D4902</f>
        <v>5.062900673265202E-2</v>
      </c>
    </row>
    <row r="1825" spans="1:4" ht="16.5" hidden="1" x14ac:dyDescent="0.3">
      <c r="A1825" s="10" t="str">
        <f>基本属性!$B$17&amp;"|"&amp;基本属性!$C$17</f>
        <v>135|7</v>
      </c>
      <c r="B1825" s="10" t="str">
        <f>参数调整!$J$32</f>
        <v>精英掉落</v>
      </c>
      <c r="C1825" s="8" t="str">
        <f>材料产出!$AN$2</f>
        <v>极品注灵石</v>
      </c>
      <c r="D1825" s="224">
        <f>参数调整!$K$32*怪物掉落配置方案!$D4903</f>
        <v>7.2905769695018899E-2</v>
      </c>
    </row>
    <row r="1826" spans="1:4" ht="16.5" hidden="1" x14ac:dyDescent="0.3">
      <c r="A1826" s="10" t="str">
        <f>基本属性!$B$18&amp;"|"&amp;基本属性!$C$18</f>
        <v>155|8</v>
      </c>
      <c r="B1826" s="10" t="str">
        <f>参数调整!$J$32</f>
        <v>精英掉落</v>
      </c>
      <c r="C1826" s="8" t="str">
        <f>材料产出!$AN$2</f>
        <v>极品注灵石</v>
      </c>
      <c r="D1826" s="224">
        <f>参数调整!$K$32*怪物掉落配置方案!$D4904</f>
        <v>9.9232853195997964E-2</v>
      </c>
    </row>
    <row r="1827" spans="1:4" ht="16.5" hidden="1" x14ac:dyDescent="0.3">
      <c r="A1827" s="10" t="str">
        <f>基本属性!$B$19&amp;"|"&amp;基本属性!$C$19</f>
        <v>190|9</v>
      </c>
      <c r="B1827" s="10" t="str">
        <f>参数调整!$J$32</f>
        <v>精英掉落</v>
      </c>
      <c r="C1827" s="8" t="str">
        <f>材料产出!$AN$2</f>
        <v>极品注灵石</v>
      </c>
      <c r="D1827" s="224">
        <f>参数调整!$K$32*怪物掉落配置方案!$D4905</f>
        <v>0.11089777634720099</v>
      </c>
    </row>
    <row r="1828" spans="1:4" ht="16.5" hidden="1" x14ac:dyDescent="0.3">
      <c r="A1828" s="10" t="str">
        <f>基本属性!$B$20&amp;"|"&amp;基本属性!$C$20</f>
        <v>200|10</v>
      </c>
      <c r="B1828" s="10" t="str">
        <f>参数调整!$J$32</f>
        <v>精英掉落</v>
      </c>
      <c r="C1828" s="8" t="str">
        <f>材料产出!$AN$2</f>
        <v>极品注灵石</v>
      </c>
      <c r="D1828" s="224">
        <f>参数调整!$K$32*怪物掉落配置方案!$D4906</f>
        <v>0.12961025723558917</v>
      </c>
    </row>
    <row r="1829" spans="1:4" ht="16.5" hidden="1" x14ac:dyDescent="0.3">
      <c r="A1829" s="10" t="str">
        <f>基本属性!$B$21&amp;"|"&amp;基本属性!$C$21</f>
        <v>200|11</v>
      </c>
      <c r="B1829" s="10" t="str">
        <f>参数调整!$J$32</f>
        <v>精英掉落</v>
      </c>
      <c r="C1829" s="8" t="str">
        <f>材料产出!$AN$2</f>
        <v>极品注灵石</v>
      </c>
      <c r="D1829" s="224">
        <f>参数调整!$K$32*怪物掉落配置方案!$D4907</f>
        <v>0.1497808535178777</v>
      </c>
    </row>
    <row r="1830" spans="1:4" ht="16.5" hidden="1" x14ac:dyDescent="0.3">
      <c r="A1830" s="10" t="str">
        <f>基本属性!$B$22&amp;"|"&amp;基本属性!$C$22</f>
        <v>210|12</v>
      </c>
      <c r="B1830" s="10" t="str">
        <f>参数调整!$J$32</f>
        <v>精英掉落</v>
      </c>
      <c r="C1830" s="8" t="str">
        <f>材料产出!$AN$2</f>
        <v>极品注灵石</v>
      </c>
      <c r="D1830" s="224">
        <f>参数调整!$K$32*怪物掉落配置方案!$D4908</f>
        <v>0.17140956519406667</v>
      </c>
    </row>
    <row r="1831" spans="1:4" ht="16.5" hidden="1" x14ac:dyDescent="0.3">
      <c r="A1831" s="10" t="str">
        <f>基本属性!$B$23&amp;"|"&amp;基本属性!$C$23</f>
        <v>210|13</v>
      </c>
      <c r="B1831" s="10" t="str">
        <f>参数调整!$J$32</f>
        <v>精英掉落</v>
      </c>
      <c r="C1831" s="8" t="str">
        <f>材料产出!$AN$2</f>
        <v>极品注灵石</v>
      </c>
      <c r="D1831" s="224">
        <f>参数调整!$K$32*怪物掉落配置方案!$D4909</f>
        <v>0.19449639226415599</v>
      </c>
    </row>
    <row r="1832" spans="1:4" ht="16.5" hidden="1" x14ac:dyDescent="0.3">
      <c r="A1832" s="10" t="str">
        <f>基本属性!$B$24&amp;"|"&amp;基本属性!$C$24</f>
        <v>220|14</v>
      </c>
      <c r="B1832" s="10" t="str">
        <f>参数调整!$J$32</f>
        <v>精英掉落</v>
      </c>
      <c r="C1832" s="8" t="str">
        <f>材料产出!$AN$2</f>
        <v>极品注灵石</v>
      </c>
      <c r="D1832" s="224">
        <f>参数调整!$K$32*怪物掉落配置方案!$D4910</f>
        <v>0.21904133472814571</v>
      </c>
    </row>
    <row r="1833" spans="1:4" ht="16.5" hidden="1" x14ac:dyDescent="0.3">
      <c r="A1833" s="10" t="str">
        <f>基本属性!$B$25&amp;"|"&amp;基本属性!$C$25</f>
        <v>220|15</v>
      </c>
      <c r="B1833" s="10" t="str">
        <f>参数调整!$J$32</f>
        <v>精英掉落</v>
      </c>
      <c r="C1833" s="8" t="str">
        <f>材料产出!$AN$2</f>
        <v>极品注灵石</v>
      </c>
      <c r="D1833" s="224">
        <f>参数调整!$K$32*怪物掉落配置方案!$D4911</f>
        <v>0.24504439258603572</v>
      </c>
    </row>
    <row r="1834" spans="1:4" ht="16.5" hidden="1" x14ac:dyDescent="0.3">
      <c r="A1834" s="10" t="str">
        <f>基本属性!$B$26&amp;"|"&amp;基本属性!$C$26</f>
        <v>230|16</v>
      </c>
      <c r="B1834" s="10" t="str">
        <f>参数调整!$J$32</f>
        <v>精英掉落</v>
      </c>
      <c r="C1834" s="8" t="str">
        <f>材料产出!$AN$2</f>
        <v>极品注灵石</v>
      </c>
      <c r="D1834" s="224">
        <f>参数调整!$K$32*怪物掉落配置方案!$D4912</f>
        <v>0.2725055658378262</v>
      </c>
    </row>
    <row r="1835" spans="1:4" ht="16.5" hidden="1" x14ac:dyDescent="0.3">
      <c r="A1835" s="10" t="str">
        <f>基本属性!$B$27&amp;"|"&amp;基本属性!$C$27</f>
        <v>230|17</v>
      </c>
      <c r="B1835" s="10" t="str">
        <f>参数调整!$J$32</f>
        <v>精英掉落</v>
      </c>
      <c r="C1835" s="8" t="str">
        <f>材料产出!$AN$2</f>
        <v>极品注灵石</v>
      </c>
      <c r="D1835" s="224">
        <f>参数调整!$K$32*怪物掉落配置方案!$D4913</f>
        <v>0.30142485448351697</v>
      </c>
    </row>
    <row r="1836" spans="1:4" ht="16.5" hidden="1" x14ac:dyDescent="0.3">
      <c r="A1836" s="10" t="str">
        <f>基本属性!$B$28&amp;"|"&amp;基本属性!$C$28</f>
        <v>240|18</v>
      </c>
      <c r="B1836" s="10" t="str">
        <f>参数调整!$J$32</f>
        <v>精英掉落</v>
      </c>
      <c r="C1836" s="8" t="str">
        <f>材料产出!$AN$2</f>
        <v>极品注灵石</v>
      </c>
      <c r="D1836" s="224">
        <f>参数调整!$K$32*怪物掉落配置方案!$D4914</f>
        <v>0.33180225852310835</v>
      </c>
    </row>
    <row r="1837" spans="1:4" ht="16.5" hidden="1" x14ac:dyDescent="0.3">
      <c r="A1837" s="10" t="str">
        <f>基本属性!$B$29&amp;"|"&amp;基本属性!$C$29</f>
        <v>240|19</v>
      </c>
      <c r="B1837" s="10" t="str">
        <f>参数调整!$J$32</f>
        <v>精英掉落</v>
      </c>
      <c r="C1837" s="8" t="str">
        <f>材料产出!$AN$2</f>
        <v>极品注灵石</v>
      </c>
      <c r="D1837" s="224">
        <f>参数调整!$K$32*怪物掉落配置方案!$D4915</f>
        <v>0.36363777795659991</v>
      </c>
    </row>
    <row r="1838" spans="1:4" ht="16.5" hidden="1" x14ac:dyDescent="0.3">
      <c r="A1838" s="10" t="str">
        <f>基本属性!$B$30&amp;"|"&amp;基本属性!$C$30</f>
        <v>250|20</v>
      </c>
      <c r="B1838" s="10" t="str">
        <f>参数调整!$J$32</f>
        <v>精英掉落</v>
      </c>
      <c r="C1838" s="8" t="str">
        <f>材料产出!$AN$2</f>
        <v>极品注灵石</v>
      </c>
      <c r="D1838" s="224">
        <f>参数调整!$K$32*怪物掉落配置方案!$D4916</f>
        <v>0.39693141278399174</v>
      </c>
    </row>
    <row r="1839" spans="1:4" ht="16.5" hidden="1" x14ac:dyDescent="0.3">
      <c r="A1839" s="10" t="str">
        <f>基本属性!$B$4&amp;"|"&amp;基本属性!$C$4</f>
        <v>35|0</v>
      </c>
      <c r="B1839" s="10" t="str">
        <f>参数调整!$J$32</f>
        <v>精英掉落</v>
      </c>
      <c r="C1839" s="8" t="str">
        <f>材料产出!$HV$2</f>
        <v>基本装备</v>
      </c>
      <c r="D1839" s="224">
        <f>参数调整!$K$32*怪物掉落配置方案!$D4917</f>
        <v>0</v>
      </c>
    </row>
    <row r="1840" spans="1:4" ht="16.5" hidden="1" x14ac:dyDescent="0.3">
      <c r="A1840" s="10" t="str">
        <f>基本属性!$B$5&amp;"|"&amp;基本属性!$C$5</f>
        <v>40|0</v>
      </c>
      <c r="B1840" s="10" t="str">
        <f>参数调整!$J$32</f>
        <v>精英掉落</v>
      </c>
      <c r="C1840" s="8" t="str">
        <f>材料产出!$HV$2</f>
        <v>基本装备</v>
      </c>
      <c r="D1840" s="224">
        <f>参数调整!$K$32*怪物掉落配置方案!$D4918</f>
        <v>0</v>
      </c>
    </row>
    <row r="1841" spans="1:4" ht="16.5" hidden="1" x14ac:dyDescent="0.3">
      <c r="A1841" s="10" t="str">
        <f>基本属性!$B$6&amp;"|"&amp;基本属性!$C$6</f>
        <v>50|0</v>
      </c>
      <c r="B1841" s="10" t="str">
        <f>参数调整!$J$32</f>
        <v>精英掉落</v>
      </c>
      <c r="C1841" s="8" t="str">
        <f>材料产出!$HV$2</f>
        <v>基本装备</v>
      </c>
      <c r="D1841" s="224">
        <f>参数调整!$K$32*怪物掉落配置方案!$D4919</f>
        <v>0</v>
      </c>
    </row>
    <row r="1842" spans="1:4" ht="16.5" hidden="1" x14ac:dyDescent="0.3">
      <c r="A1842" s="10" t="str">
        <f>基本属性!$B$7&amp;"|"&amp;基本属性!$C$7</f>
        <v>60|0</v>
      </c>
      <c r="B1842" s="10" t="str">
        <f>参数调整!$J$32</f>
        <v>精英掉落</v>
      </c>
      <c r="C1842" s="8" t="str">
        <f>材料产出!$HV$2</f>
        <v>基本装备</v>
      </c>
      <c r="D1842" s="224">
        <f>参数调整!$K$32*怪物掉落配置方案!$D4920</f>
        <v>0</v>
      </c>
    </row>
    <row r="1843" spans="1:4" ht="16.5" hidden="1" x14ac:dyDescent="0.3">
      <c r="A1843" s="10" t="str">
        <f>基本属性!$B$8&amp;"|"&amp;基本属性!$C$8</f>
        <v>65|0</v>
      </c>
      <c r="B1843" s="10" t="str">
        <f>参数调整!$J$32</f>
        <v>精英掉落</v>
      </c>
      <c r="C1843" s="8" t="str">
        <f>材料产出!$HV$2</f>
        <v>基本装备</v>
      </c>
      <c r="D1843" s="224">
        <f>参数调整!$K$32*怪物掉落配置方案!$D4921</f>
        <v>0</v>
      </c>
    </row>
    <row r="1844" spans="1:4" ht="16.5" hidden="1" x14ac:dyDescent="0.3">
      <c r="A1844" s="10" t="str">
        <f>基本属性!$B$9&amp;"|"&amp;基本属性!$C$9</f>
        <v>70|0</v>
      </c>
      <c r="B1844" s="10" t="str">
        <f>参数调整!$J$32</f>
        <v>精英掉落</v>
      </c>
      <c r="C1844" s="8" t="str">
        <f>材料产出!$HV$2</f>
        <v>基本装备</v>
      </c>
      <c r="D1844" s="224">
        <f>参数调整!$K$32*怪物掉落配置方案!$D4922</f>
        <v>0</v>
      </c>
    </row>
    <row r="1845" spans="1:4" ht="16.5" hidden="1" x14ac:dyDescent="0.3">
      <c r="A1845" s="10" t="str">
        <f>基本属性!$B$10&amp;"|"&amp;基本属性!$C$10</f>
        <v>75|0</v>
      </c>
      <c r="B1845" s="10" t="str">
        <f>参数调整!$J$32</f>
        <v>精英掉落</v>
      </c>
      <c r="C1845" s="8" t="str">
        <f>材料产出!$HV$2</f>
        <v>基本装备</v>
      </c>
      <c r="D1845" s="224">
        <f>参数调整!$K$32*怪物掉落配置方案!$D4923</f>
        <v>0</v>
      </c>
    </row>
    <row r="1846" spans="1:4" ht="16.5" hidden="1" x14ac:dyDescent="0.3">
      <c r="A1846" s="10" t="str">
        <f>基本属性!$B$11&amp;"|"&amp;基本属性!$C$11</f>
        <v>80|1</v>
      </c>
      <c r="B1846" s="10" t="str">
        <f>参数调整!$J$32</f>
        <v>精英掉落</v>
      </c>
      <c r="C1846" s="8" t="str">
        <f>材料产出!$HV$2</f>
        <v>基本装备</v>
      </c>
      <c r="D1846" s="224">
        <f>参数调整!$K$32*怪物掉落配置方案!$D4924</f>
        <v>0</v>
      </c>
    </row>
    <row r="1847" spans="1:4" ht="16.5" hidden="1" x14ac:dyDescent="0.3">
      <c r="A1847" s="10" t="str">
        <f>基本属性!$B$12&amp;"|"&amp;基本属性!$C$12</f>
        <v>90|2</v>
      </c>
      <c r="B1847" s="10" t="str">
        <f>参数调整!$J$32</f>
        <v>精英掉落</v>
      </c>
      <c r="C1847" s="8" t="str">
        <f>材料产出!$HV$2</f>
        <v>基本装备</v>
      </c>
      <c r="D1847" s="224">
        <f>参数调整!$K$32*怪物掉落配置方案!$D4925</f>
        <v>0</v>
      </c>
    </row>
    <row r="1848" spans="1:4" ht="16.5" hidden="1" x14ac:dyDescent="0.3">
      <c r="A1848" s="10" t="str">
        <f>基本属性!$B$13&amp;"|"&amp;基本属性!$C$13</f>
        <v>100|3</v>
      </c>
      <c r="B1848" s="10" t="str">
        <f>参数调整!$J$32</f>
        <v>精英掉落</v>
      </c>
      <c r="C1848" s="8" t="str">
        <f>材料产出!$HV$2</f>
        <v>基本装备</v>
      </c>
      <c r="D1848" s="224">
        <f>参数调整!$K$32*怪物掉落配置方案!$D4926</f>
        <v>0</v>
      </c>
    </row>
    <row r="1849" spans="1:4" ht="16.5" hidden="1" x14ac:dyDescent="0.3">
      <c r="A1849" s="10" t="str">
        <f>基本属性!$B$14&amp;"|"&amp;基本属性!$C$14</f>
        <v>105|4</v>
      </c>
      <c r="B1849" s="10" t="str">
        <f>参数调整!$J$32</f>
        <v>精英掉落</v>
      </c>
      <c r="C1849" s="8" t="str">
        <f>材料产出!$HV$2</f>
        <v>基本装备</v>
      </c>
      <c r="D1849" s="224">
        <f>参数调整!$K$32*怪物掉落配置方案!$D4927</f>
        <v>0</v>
      </c>
    </row>
    <row r="1850" spans="1:4" ht="16.5" hidden="1" x14ac:dyDescent="0.3">
      <c r="A1850" s="10" t="str">
        <f>基本属性!$B$15&amp;"|"&amp;基本属性!$C$15</f>
        <v>110|5</v>
      </c>
      <c r="B1850" s="10" t="str">
        <f>参数调整!$J$32</f>
        <v>精英掉落</v>
      </c>
      <c r="C1850" s="8" t="str">
        <f>材料产出!$HV$2</f>
        <v>基本装备</v>
      </c>
      <c r="D1850" s="224">
        <f>参数调整!$K$32*怪物掉落配置方案!$D4928</f>
        <v>0</v>
      </c>
    </row>
    <row r="1851" spans="1:4" ht="16.5" hidden="1" x14ac:dyDescent="0.3">
      <c r="A1851" s="10" t="str">
        <f>基本属性!$B$16&amp;"|"&amp;基本属性!$C$16</f>
        <v>120|6</v>
      </c>
      <c r="B1851" s="10" t="str">
        <f>参数调整!$J$32</f>
        <v>精英掉落</v>
      </c>
      <c r="C1851" s="8" t="str">
        <f>材料产出!$HV$2</f>
        <v>基本装备</v>
      </c>
      <c r="D1851" s="224">
        <f>参数调整!$K$32*怪物掉落配置方案!$D4929</f>
        <v>0</v>
      </c>
    </row>
    <row r="1852" spans="1:4" ht="16.5" hidden="1" x14ac:dyDescent="0.3">
      <c r="A1852" s="10" t="str">
        <f>基本属性!$B$17&amp;"|"&amp;基本属性!$C$17</f>
        <v>135|7</v>
      </c>
      <c r="B1852" s="10" t="str">
        <f>参数调整!$J$32</f>
        <v>精英掉落</v>
      </c>
      <c r="C1852" s="8" t="str">
        <f>材料产出!$HV$2</f>
        <v>基本装备</v>
      </c>
      <c r="D1852" s="224">
        <f>参数调整!$K$32*怪物掉落配置方案!$D4930</f>
        <v>0</v>
      </c>
    </row>
    <row r="1853" spans="1:4" ht="16.5" hidden="1" x14ac:dyDescent="0.3">
      <c r="A1853" s="10" t="str">
        <f>基本属性!$B$18&amp;"|"&amp;基本属性!$C$18</f>
        <v>155|8</v>
      </c>
      <c r="B1853" s="10" t="str">
        <f>参数调整!$J$32</f>
        <v>精英掉落</v>
      </c>
      <c r="C1853" s="8" t="str">
        <f>材料产出!$HV$2</f>
        <v>基本装备</v>
      </c>
      <c r="D1853" s="224">
        <f>参数调整!$K$32*怪物掉落配置方案!$D4931</f>
        <v>0</v>
      </c>
    </row>
    <row r="1854" spans="1:4" ht="16.5" hidden="1" x14ac:dyDescent="0.3">
      <c r="A1854" s="10" t="str">
        <f>基本属性!$B$19&amp;"|"&amp;基本属性!$C$19</f>
        <v>190|9</v>
      </c>
      <c r="B1854" s="10" t="str">
        <f>参数调整!$J$32</f>
        <v>精英掉落</v>
      </c>
      <c r="C1854" s="8" t="str">
        <f>材料产出!$HV$2</f>
        <v>基本装备</v>
      </c>
      <c r="D1854" s="224">
        <f>参数调整!$K$32*怪物掉落配置方案!$D4932</f>
        <v>0</v>
      </c>
    </row>
    <row r="1855" spans="1:4" ht="16.5" hidden="1" x14ac:dyDescent="0.3">
      <c r="A1855" s="10" t="str">
        <f>基本属性!$B$20&amp;"|"&amp;基本属性!$C$20</f>
        <v>200|10</v>
      </c>
      <c r="B1855" s="10" t="str">
        <f>参数调整!$J$32</f>
        <v>精英掉落</v>
      </c>
      <c r="C1855" s="8" t="str">
        <f>材料产出!$HV$2</f>
        <v>基本装备</v>
      </c>
      <c r="D1855" s="224">
        <f>参数调整!$K$32*怪物掉落配置方案!$D4933</f>
        <v>0</v>
      </c>
    </row>
    <row r="1856" spans="1:4" ht="16.5" hidden="1" x14ac:dyDescent="0.3">
      <c r="A1856" s="10" t="str">
        <f>基本属性!$B$21&amp;"|"&amp;基本属性!$C$21</f>
        <v>200|11</v>
      </c>
      <c r="B1856" s="10" t="str">
        <f>参数调整!$J$32</f>
        <v>精英掉落</v>
      </c>
      <c r="C1856" s="8" t="str">
        <f>材料产出!$HV$2</f>
        <v>基本装备</v>
      </c>
      <c r="D1856" s="224">
        <f>参数调整!$K$32*怪物掉落配置方案!$D4934</f>
        <v>0</v>
      </c>
    </row>
    <row r="1857" spans="1:4" ht="16.5" hidden="1" x14ac:dyDescent="0.3">
      <c r="A1857" s="10" t="str">
        <f>基本属性!$B$22&amp;"|"&amp;基本属性!$C$22</f>
        <v>210|12</v>
      </c>
      <c r="B1857" s="10" t="str">
        <f>参数调整!$J$32</f>
        <v>精英掉落</v>
      </c>
      <c r="C1857" s="8" t="str">
        <f>材料产出!$HV$2</f>
        <v>基本装备</v>
      </c>
      <c r="D1857" s="224">
        <f>参数调整!$K$32*怪物掉落配置方案!$D4935</f>
        <v>0</v>
      </c>
    </row>
    <row r="1858" spans="1:4" ht="16.5" hidden="1" x14ac:dyDescent="0.3">
      <c r="A1858" s="10" t="str">
        <f>基本属性!$B$23&amp;"|"&amp;基本属性!$C$23</f>
        <v>210|13</v>
      </c>
      <c r="B1858" s="10" t="str">
        <f>参数调整!$J$32</f>
        <v>精英掉落</v>
      </c>
      <c r="C1858" s="8" t="str">
        <f>材料产出!$HV$2</f>
        <v>基本装备</v>
      </c>
      <c r="D1858" s="224">
        <f>参数调整!$K$32*怪物掉落配置方案!$D4936</f>
        <v>0</v>
      </c>
    </row>
    <row r="1859" spans="1:4" ht="16.5" hidden="1" x14ac:dyDescent="0.3">
      <c r="A1859" s="10" t="str">
        <f>基本属性!$B$24&amp;"|"&amp;基本属性!$C$24</f>
        <v>220|14</v>
      </c>
      <c r="B1859" s="10" t="str">
        <f>参数调整!$J$32</f>
        <v>精英掉落</v>
      </c>
      <c r="C1859" s="8" t="str">
        <f>材料产出!$HV$2</f>
        <v>基本装备</v>
      </c>
      <c r="D1859" s="224">
        <f>参数调整!$K$32*怪物掉落配置方案!$D4937</f>
        <v>0</v>
      </c>
    </row>
    <row r="1860" spans="1:4" ht="16.5" hidden="1" x14ac:dyDescent="0.3">
      <c r="A1860" s="10" t="str">
        <f>基本属性!$B$25&amp;"|"&amp;基本属性!$C$25</f>
        <v>220|15</v>
      </c>
      <c r="B1860" s="10" t="str">
        <f>参数调整!$J$32</f>
        <v>精英掉落</v>
      </c>
      <c r="C1860" s="8" t="str">
        <f>材料产出!$HV$2</f>
        <v>基本装备</v>
      </c>
      <c r="D1860" s="224">
        <f>参数调整!$K$32*怪物掉落配置方案!$D4938</f>
        <v>0</v>
      </c>
    </row>
    <row r="1861" spans="1:4" ht="16.5" hidden="1" x14ac:dyDescent="0.3">
      <c r="A1861" s="10" t="str">
        <f>基本属性!$B$26&amp;"|"&amp;基本属性!$C$26</f>
        <v>230|16</v>
      </c>
      <c r="B1861" s="10" t="str">
        <f>参数调整!$J$32</f>
        <v>精英掉落</v>
      </c>
      <c r="C1861" s="8" t="str">
        <f>材料产出!$HV$2</f>
        <v>基本装备</v>
      </c>
      <c r="D1861" s="224">
        <f>参数调整!$K$32*怪物掉落配置方案!$D4939</f>
        <v>0</v>
      </c>
    </row>
    <row r="1862" spans="1:4" ht="16.5" hidden="1" x14ac:dyDescent="0.3">
      <c r="A1862" s="10" t="str">
        <f>基本属性!$B$27&amp;"|"&amp;基本属性!$C$27</f>
        <v>230|17</v>
      </c>
      <c r="B1862" s="10" t="str">
        <f>参数调整!$J$32</f>
        <v>精英掉落</v>
      </c>
      <c r="C1862" s="8" t="str">
        <f>材料产出!$HV$2</f>
        <v>基本装备</v>
      </c>
      <c r="D1862" s="224">
        <f>参数调整!$K$32*怪物掉落配置方案!$D4940</f>
        <v>0</v>
      </c>
    </row>
    <row r="1863" spans="1:4" ht="16.5" hidden="1" x14ac:dyDescent="0.3">
      <c r="A1863" s="10" t="str">
        <f>基本属性!$B$28&amp;"|"&amp;基本属性!$C$28</f>
        <v>240|18</v>
      </c>
      <c r="B1863" s="10" t="str">
        <f>参数调整!$J$32</f>
        <v>精英掉落</v>
      </c>
      <c r="C1863" s="8" t="str">
        <f>材料产出!$HV$2</f>
        <v>基本装备</v>
      </c>
      <c r="D1863" s="224">
        <f>参数调整!$K$32*怪物掉落配置方案!$D4941</f>
        <v>0</v>
      </c>
    </row>
    <row r="1864" spans="1:4" ht="16.5" hidden="1" x14ac:dyDescent="0.3">
      <c r="A1864" s="10" t="str">
        <f>基本属性!$B$29&amp;"|"&amp;基本属性!$C$29</f>
        <v>240|19</v>
      </c>
      <c r="B1864" s="10" t="str">
        <f>参数调整!$J$32</f>
        <v>精英掉落</v>
      </c>
      <c r="C1864" s="8" t="str">
        <f>材料产出!$HV$2</f>
        <v>基本装备</v>
      </c>
      <c r="D1864" s="224">
        <f>参数调整!$K$32*怪物掉落配置方案!$D4942</f>
        <v>0</v>
      </c>
    </row>
    <row r="1865" spans="1:4" ht="16.5" hidden="1" x14ac:dyDescent="0.3">
      <c r="A1865" s="10" t="str">
        <f>基本属性!$B$30&amp;"|"&amp;基本属性!$C$30</f>
        <v>250|20</v>
      </c>
      <c r="B1865" s="10" t="str">
        <f>参数调整!$J$32</f>
        <v>精英掉落</v>
      </c>
      <c r="C1865" s="8" t="str">
        <f>材料产出!$HV$2</f>
        <v>基本装备</v>
      </c>
      <c r="D1865" s="224">
        <f>参数调整!$K$32*怪物掉落配置方案!$D4943</f>
        <v>0</v>
      </c>
    </row>
    <row r="1866" spans="1:4" ht="16.5" hidden="1" x14ac:dyDescent="0.3">
      <c r="A1866" s="10" t="str">
        <f>基本属性!$B$4&amp;"|"&amp;基本属性!$C$4</f>
        <v>35|0</v>
      </c>
      <c r="B1866" s="10" t="str">
        <f>参数调整!$J$32</f>
        <v>精英掉落</v>
      </c>
      <c r="C1866" s="8" t="str">
        <f>材料产出!$AP$2</f>
        <v>火龙气息</v>
      </c>
      <c r="D1866" s="224">
        <f>参数调整!$K$32*怪物掉落配置方案!$D4944</f>
        <v>2.4596837411295851E-3</v>
      </c>
    </row>
    <row r="1867" spans="1:4" ht="16.5" hidden="1" x14ac:dyDescent="0.3">
      <c r="A1867" s="10" t="str">
        <f>基本属性!$B$5&amp;"|"&amp;基本属性!$C$5</f>
        <v>40|0</v>
      </c>
      <c r="B1867" s="10" t="str">
        <f>参数调整!$J$32</f>
        <v>精英掉落</v>
      </c>
      <c r="C1867" s="8" t="str">
        <f>材料产出!$AP$2</f>
        <v>火龙气息</v>
      </c>
      <c r="D1867" s="224">
        <f>参数调整!$K$32*怪物掉落配置方案!$D4945</f>
        <v>3.1130372348671309E-3</v>
      </c>
    </row>
    <row r="1868" spans="1:4" ht="16.5" hidden="1" x14ac:dyDescent="0.3">
      <c r="A1868" s="10" t="str">
        <f>基本属性!$B$6&amp;"|"&amp;基本属性!$C$6</f>
        <v>50|0</v>
      </c>
      <c r="B1868" s="10" t="str">
        <f>参数调整!$J$32</f>
        <v>精英掉落</v>
      </c>
      <c r="C1868" s="8" t="str">
        <f>材料产出!$AP$2</f>
        <v>火龙气息</v>
      </c>
      <c r="D1868" s="224">
        <f>参数调整!$K$32*怪物掉落配置方案!$D4946</f>
        <v>3.8432558455149769E-3</v>
      </c>
    </row>
    <row r="1869" spans="1:4" ht="16.5" hidden="1" x14ac:dyDescent="0.3">
      <c r="A1869" s="10" t="str">
        <f>基本属性!$B$7&amp;"|"&amp;基本属性!$C$7</f>
        <v>60|0</v>
      </c>
      <c r="B1869" s="10" t="str">
        <f>参数调整!$J$32</f>
        <v>精英掉落</v>
      </c>
      <c r="C1869" s="8" t="str">
        <f>材料产出!$AP$2</f>
        <v>火龙气息</v>
      </c>
      <c r="D1869" s="224">
        <f>参数调整!$K$32*怪物掉落配置方案!$D4947</f>
        <v>4.6503395730731227E-3</v>
      </c>
    </row>
    <row r="1870" spans="1:4" ht="16.5" hidden="1" x14ac:dyDescent="0.3">
      <c r="A1870" s="10" t="str">
        <f>基本属性!$B$8&amp;"|"&amp;基本属性!$C$8</f>
        <v>65|0</v>
      </c>
      <c r="B1870" s="10" t="str">
        <f>参数调整!$J$32</f>
        <v>精英掉落</v>
      </c>
      <c r="C1870" s="8" t="str">
        <f>材料产出!$AP$2</f>
        <v>火龙气息</v>
      </c>
      <c r="D1870" s="224">
        <f>参数调整!$K$32*怪物掉落配置方案!$D4948</f>
        <v>5.5342884175415665E-3</v>
      </c>
    </row>
    <row r="1871" spans="1:4" ht="16.5" hidden="1" x14ac:dyDescent="0.3">
      <c r="A1871" s="10" t="str">
        <f>基本属性!$B$9&amp;"|"&amp;基本属性!$C$9</f>
        <v>70|0</v>
      </c>
      <c r="B1871" s="10" t="str">
        <f>参数调整!$J$32</f>
        <v>精英掉落</v>
      </c>
      <c r="C1871" s="8" t="str">
        <f>材料产出!$AP$2</f>
        <v>火龙气息</v>
      </c>
      <c r="D1871" s="224">
        <f>参数调整!$K$32*怪物掉落配置方案!$D4949</f>
        <v>6.4951023789203101E-3</v>
      </c>
    </row>
    <row r="1872" spans="1:4" ht="16.5" hidden="1" x14ac:dyDescent="0.3">
      <c r="A1872" s="10" t="str">
        <f>基本属性!$B$10&amp;"|"&amp;基本属性!$C$10</f>
        <v>75|0</v>
      </c>
      <c r="B1872" s="10" t="str">
        <f>参数调整!$J$32</f>
        <v>精英掉落</v>
      </c>
      <c r="C1872" s="8" t="str">
        <f>材料产出!$AP$2</f>
        <v>火龙气息</v>
      </c>
      <c r="D1872" s="224">
        <f>参数调整!$K$32*怪物掉落配置方案!$D4950</f>
        <v>7.5327814572093525E-3</v>
      </c>
    </row>
    <row r="1873" spans="1:4" ht="16.5" hidden="1" x14ac:dyDescent="0.3">
      <c r="A1873" s="10" t="str">
        <f>基本属性!$B$11&amp;"|"&amp;基本属性!$C$11</f>
        <v>80|1</v>
      </c>
      <c r="B1873" s="10" t="str">
        <f>参数调整!$J$32</f>
        <v>精英掉落</v>
      </c>
      <c r="C1873" s="8" t="str">
        <f>材料产出!$AP$2</f>
        <v>火龙气息</v>
      </c>
      <c r="D1873" s="224">
        <f>参数调整!$K$32*怪物掉落配置方案!$D4951</f>
        <v>8.6473256524086974E-3</v>
      </c>
    </row>
    <row r="1874" spans="1:4" ht="16.5" hidden="1" x14ac:dyDescent="0.3">
      <c r="A1874" s="10" t="str">
        <f>基本属性!$B$12&amp;"|"&amp;基本属性!$C$12</f>
        <v>90|2</v>
      </c>
      <c r="B1874" s="10" t="str">
        <f>参数调整!$J$32</f>
        <v>精英掉落</v>
      </c>
      <c r="C1874" s="8" t="str">
        <f>材料产出!$AP$2</f>
        <v>火龙气息</v>
      </c>
      <c r="D1874" s="224">
        <f>参数调整!$K$32*怪物掉落配置方案!$D4952</f>
        <v>9.8387349645183402E-3</v>
      </c>
    </row>
    <row r="1875" spans="1:4" ht="16.5" hidden="1" x14ac:dyDescent="0.3">
      <c r="A1875" s="10" t="str">
        <f>基本属性!$B$13&amp;"|"&amp;基本属性!$C$13</f>
        <v>100|3</v>
      </c>
      <c r="B1875" s="10" t="str">
        <f>参数调整!$J$32</f>
        <v>精英掉落</v>
      </c>
      <c r="C1875" s="8" t="str">
        <f>材料产出!$AP$2</f>
        <v>火龙气息</v>
      </c>
      <c r="D1875" s="224">
        <f>参数调整!$K$32*怪物掉落配置方案!$D4953</f>
        <v>1.2452148939468523E-2</v>
      </c>
    </row>
    <row r="1876" spans="1:4" ht="16.5" hidden="1" x14ac:dyDescent="0.3">
      <c r="A1876" s="10" t="str">
        <f>基本属性!$B$14&amp;"|"&amp;基本属性!$C$14</f>
        <v>105|4</v>
      </c>
      <c r="B1876" s="10" t="str">
        <f>参数调整!$J$32</f>
        <v>精英掉落</v>
      </c>
      <c r="C1876" s="8" t="str">
        <f>材料产出!$AP$2</f>
        <v>火龙气息</v>
      </c>
      <c r="D1876" s="224">
        <f>参数调整!$K$32*怪物掉落配置方案!$D4954</f>
        <v>1.5373023382059908E-2</v>
      </c>
    </row>
    <row r="1877" spans="1:4" ht="16.5" hidden="1" x14ac:dyDescent="0.3">
      <c r="A1877" s="10" t="str">
        <f>基本属性!$B$15&amp;"|"&amp;基本属性!$C$15</f>
        <v>110|5</v>
      </c>
      <c r="B1877" s="10" t="str">
        <f>参数调整!$J$32</f>
        <v>精英掉落</v>
      </c>
      <c r="C1877" s="8" t="str">
        <f>材料产出!$AP$2</f>
        <v>火龙气息</v>
      </c>
      <c r="D1877" s="224">
        <f>参数调整!$K$32*怪物掉落配置方案!$D4955</f>
        <v>1.8601358292292491E-2</v>
      </c>
    </row>
    <row r="1878" spans="1:4" ht="16.5" hidden="1" x14ac:dyDescent="0.3">
      <c r="A1878" s="10" t="str">
        <f>基本属性!$B$16&amp;"|"&amp;基本属性!$C$16</f>
        <v>120|6</v>
      </c>
      <c r="B1878" s="10" t="str">
        <f>参数调整!$J$32</f>
        <v>精英掉落</v>
      </c>
      <c r="C1878" s="8" t="str">
        <f>材料产出!$AP$2</f>
        <v>火龙气息</v>
      </c>
      <c r="D1878" s="224">
        <f>参数调整!$K$32*怪物掉落配置方案!$D4956</f>
        <v>2.4020349034468601E-2</v>
      </c>
    </row>
    <row r="1879" spans="1:4" ht="16.5" hidden="1" x14ac:dyDescent="0.3">
      <c r="A1879" s="10" t="str">
        <f>基本属性!$B$17&amp;"|"&amp;基本属性!$C$17</f>
        <v>135|7</v>
      </c>
      <c r="B1879" s="10" t="str">
        <f>参数调整!$J$32</f>
        <v>精英掉落</v>
      </c>
      <c r="C1879" s="8" t="str">
        <f>材料产出!$AP$2</f>
        <v>火龙气息</v>
      </c>
      <c r="D1879" s="224">
        <f>参数调整!$K$32*怪物掉落配置方案!$D4957</f>
        <v>3.4589302609634789E-2</v>
      </c>
    </row>
    <row r="1880" spans="1:4" ht="16.5" hidden="1" x14ac:dyDescent="0.3">
      <c r="A1880" s="10" t="str">
        <f>基本属性!$B$18&amp;"|"&amp;基本属性!$C$18</f>
        <v>155|8</v>
      </c>
      <c r="B1880" s="10" t="str">
        <f>参数调整!$J$32</f>
        <v>精英掉落</v>
      </c>
      <c r="C1880" s="8" t="str">
        <f>材料产出!$AP$2</f>
        <v>火龙气息</v>
      </c>
      <c r="D1880" s="224">
        <f>参数调整!$K$32*怪物掉落配置方案!$D4958</f>
        <v>4.7079884107558465E-2</v>
      </c>
    </row>
    <row r="1881" spans="1:4" ht="16.5" hidden="1" x14ac:dyDescent="0.3">
      <c r="A1881" s="10" t="str">
        <f>基本属性!$B$19&amp;"|"&amp;基本属性!$C$19</f>
        <v>190|9</v>
      </c>
      <c r="B1881" s="10" t="str">
        <f>参数调整!$J$32</f>
        <v>精英掉落</v>
      </c>
      <c r="C1881" s="8" t="str">
        <f>材料产出!$AP$2</f>
        <v>火龙气息</v>
      </c>
      <c r="D1881" s="224">
        <f>参数调整!$K$32*怪物掉落配置方案!$D4959</f>
        <v>5.2614172525100034E-2</v>
      </c>
    </row>
    <row r="1882" spans="1:4" ht="16.5" hidden="1" x14ac:dyDescent="0.3">
      <c r="A1882" s="10" t="str">
        <f>基本属性!$B$20&amp;"|"&amp;基本属性!$C$20</f>
        <v>200|10</v>
      </c>
      <c r="B1882" s="10" t="str">
        <f>参数调整!$J$32</f>
        <v>精英掉落</v>
      </c>
      <c r="C1882" s="8" t="str">
        <f>材料产出!$AP$2</f>
        <v>火龙气息</v>
      </c>
      <c r="D1882" s="224">
        <f>参数调整!$K$32*怪物掉落配置方案!$D4960</f>
        <v>6.149209352823963E-2</v>
      </c>
    </row>
    <row r="1883" spans="1:4" ht="16.5" hidden="1" x14ac:dyDescent="0.3">
      <c r="A1883" s="10" t="str">
        <f>基本属性!$B$21&amp;"|"&amp;基本属性!$C$21</f>
        <v>200|11</v>
      </c>
      <c r="B1883" s="10" t="str">
        <f>参数调整!$J$32</f>
        <v>精英掉落</v>
      </c>
      <c r="C1883" s="8" t="str">
        <f>材料产出!$AP$2</f>
        <v>火龙气息</v>
      </c>
      <c r="D1883" s="224">
        <f>参数调整!$K$32*怪物掉落配置方案!$D4961</f>
        <v>7.1061800583571907E-2</v>
      </c>
    </row>
    <row r="1884" spans="1:4" ht="16.5" hidden="1" x14ac:dyDescent="0.3">
      <c r="A1884" s="10" t="str">
        <f>基本属性!$B$22&amp;"|"&amp;基本属性!$C$22</f>
        <v>210|12</v>
      </c>
      <c r="B1884" s="10" t="str">
        <f>参数调整!$J$32</f>
        <v>精英掉落</v>
      </c>
      <c r="C1884" s="8" t="str">
        <f>材料产出!$AP$2</f>
        <v>火龙气息</v>
      </c>
      <c r="D1884" s="224">
        <f>参数调整!$K$32*怪物掉落配置方案!$D4962</f>
        <v>8.1323293691096879E-2</v>
      </c>
    </row>
    <row r="1885" spans="1:4" ht="16.5" hidden="1" x14ac:dyDescent="0.3">
      <c r="A1885" s="10" t="str">
        <f>基本属性!$B$23&amp;"|"&amp;基本属性!$C$23</f>
        <v>210|13</v>
      </c>
      <c r="B1885" s="10" t="str">
        <f>参数调整!$J$32</f>
        <v>精英掉落</v>
      </c>
      <c r="C1885" s="8" t="str">
        <f>材料产出!$AP$2</f>
        <v>火龙气息</v>
      </c>
      <c r="D1885" s="224">
        <f>参数调整!$K$32*怪物掉落配置方案!$D4963</f>
        <v>9.22765728508146E-2</v>
      </c>
    </row>
    <row r="1886" spans="1:4" ht="16.5" hidden="1" x14ac:dyDescent="0.3">
      <c r="A1886" s="10" t="str">
        <f>基本属性!$B$24&amp;"|"&amp;基本属性!$C$24</f>
        <v>220|14</v>
      </c>
      <c r="B1886" s="10" t="str">
        <f>参数调整!$J$32</f>
        <v>精英掉落</v>
      </c>
      <c r="C1886" s="8" t="str">
        <f>材料产出!$AP$2</f>
        <v>火龙气息</v>
      </c>
      <c r="D1886" s="224">
        <f>参数调整!$K$32*怪物掉落配置方案!$D4964</f>
        <v>0.10392163806272496</v>
      </c>
    </row>
    <row r="1887" spans="1:4" ht="16.5" hidden="1" x14ac:dyDescent="0.3">
      <c r="A1887" s="10" t="str">
        <f>基本属性!$B$25&amp;"|"&amp;基本属性!$C$25</f>
        <v>220|15</v>
      </c>
      <c r="B1887" s="10" t="str">
        <f>参数调整!$J$32</f>
        <v>精英掉落</v>
      </c>
      <c r="C1887" s="8" t="str">
        <f>材料产出!$AP$2</f>
        <v>火龙气息</v>
      </c>
      <c r="D1887" s="224">
        <f>参数调整!$K$32*怪物掉落配置方案!$D4965</f>
        <v>0.11625848932682803</v>
      </c>
    </row>
    <row r="1888" spans="1:4" ht="16.5" hidden="1" x14ac:dyDescent="0.3">
      <c r="A1888" s="10" t="str">
        <f>基本属性!$B$26&amp;"|"&amp;基本属性!$C$26</f>
        <v>230|16</v>
      </c>
      <c r="B1888" s="10" t="str">
        <f>参数调整!$J$32</f>
        <v>精英掉落</v>
      </c>
      <c r="C1888" s="8" t="str">
        <f>材料产出!$AP$2</f>
        <v>火龙气息</v>
      </c>
      <c r="D1888" s="224">
        <f>参数调整!$K$32*怪物掉落配置方案!$D4966</f>
        <v>0.12928712664312381</v>
      </c>
    </row>
    <row r="1889" spans="1:4" ht="16.5" hidden="1" x14ac:dyDescent="0.3">
      <c r="A1889" s="10" t="str">
        <f>基本属性!$B$27&amp;"|"&amp;基本属性!$C$27</f>
        <v>230|17</v>
      </c>
      <c r="B1889" s="10" t="str">
        <f>参数调整!$J$32</f>
        <v>精英掉落</v>
      </c>
      <c r="C1889" s="8" t="str">
        <f>材料产出!$AP$2</f>
        <v>火龙气息</v>
      </c>
      <c r="D1889" s="224">
        <f>参数调整!$K$32*怪物掉落配置方案!$D4967</f>
        <v>0.14300755001161225</v>
      </c>
    </row>
    <row r="1890" spans="1:4" ht="16.5" hidden="1" x14ac:dyDescent="0.3">
      <c r="A1890" s="10" t="str">
        <f>基本属性!$B$28&amp;"|"&amp;基本属性!$C$28</f>
        <v>240|18</v>
      </c>
      <c r="B1890" s="10" t="str">
        <f>参数调整!$J$32</f>
        <v>精英掉落</v>
      </c>
      <c r="C1890" s="8" t="str">
        <f>材料产出!$AP$2</f>
        <v>火龙气息</v>
      </c>
      <c r="D1890" s="224">
        <f>参数调整!$K$32*怪物掉落配置方案!$D4968</f>
        <v>0.15741975943229344</v>
      </c>
    </row>
    <row r="1891" spans="1:4" ht="16.5" hidden="1" x14ac:dyDescent="0.3">
      <c r="A1891" s="10" t="str">
        <f>基本属性!$B$29&amp;"|"&amp;基本属性!$C$29</f>
        <v>240|19</v>
      </c>
      <c r="B1891" s="10" t="str">
        <f>参数调整!$J$32</f>
        <v>精英掉落</v>
      </c>
      <c r="C1891" s="8" t="str">
        <f>材料产出!$AP$2</f>
        <v>火龙气息</v>
      </c>
      <c r="D1891" s="224">
        <f>参数调整!$K$32*怪物掉落配置方案!$D4969</f>
        <v>0.1725237549051673</v>
      </c>
    </row>
    <row r="1892" spans="1:4" ht="16.5" hidden="1" x14ac:dyDescent="0.3">
      <c r="A1892" s="10" t="str">
        <f>基本属性!$B$30&amp;"|"&amp;基本属性!$C$30</f>
        <v>250|20</v>
      </c>
      <c r="B1892" s="10" t="str">
        <f>参数调整!$J$32</f>
        <v>精英掉落</v>
      </c>
      <c r="C1892" s="8" t="str">
        <f>材料产出!$AP$2</f>
        <v>火龙气息</v>
      </c>
      <c r="D1892" s="224">
        <f>参数调整!$K$32*怪物掉落配置方案!$D4970</f>
        <v>0.18831953643023383</v>
      </c>
    </row>
    <row r="1893" spans="1:4" ht="16.5" hidden="1" x14ac:dyDescent="0.3">
      <c r="A1893" s="10" t="str">
        <f>基本属性!$B$4&amp;"|"&amp;基本属性!$C$4</f>
        <v>35|0</v>
      </c>
      <c r="B1893" s="10" t="str">
        <f>参数调整!$J$32</f>
        <v>精英掉落</v>
      </c>
      <c r="C1893" s="8" t="str">
        <f>材料产出!$N$2</f>
        <v>火龙凭证</v>
      </c>
      <c r="D1893" s="224">
        <f>参数调整!$K$32*怪物掉落配置方案!$D4971</f>
        <v>6.495009373258348E-2</v>
      </c>
    </row>
    <row r="1894" spans="1:4" ht="16.5" hidden="1" x14ac:dyDescent="0.3">
      <c r="A1894" s="10" t="str">
        <f>基本属性!$B$5&amp;"|"&amp;基本属性!$C$5</f>
        <v>40|0</v>
      </c>
      <c r="B1894" s="10" t="str">
        <f>参数调整!$J$32</f>
        <v>精英掉落</v>
      </c>
      <c r="C1894" s="8" t="str">
        <f>材料产出!$N$2</f>
        <v>火龙凭证</v>
      </c>
      <c r="D1894" s="224">
        <f>参数调整!$K$32*怪物掉落配置方案!$D4972</f>
        <v>8.2202462380300961E-2</v>
      </c>
    </row>
    <row r="1895" spans="1:4" ht="16.5" hidden="1" x14ac:dyDescent="0.3">
      <c r="A1895" s="10" t="str">
        <f>基本属性!$B$6&amp;"|"&amp;基本属性!$C$6</f>
        <v>50|0</v>
      </c>
      <c r="B1895" s="10" t="str">
        <f>参数调整!$J$32</f>
        <v>精英掉落</v>
      </c>
      <c r="C1895" s="8" t="str">
        <f>材料产出!$N$2</f>
        <v>火龙凭证</v>
      </c>
      <c r="D1895" s="224">
        <f>参数调整!$K$32*怪物掉落配置方案!$D4973</f>
        <v>0.10148452145716166</v>
      </c>
    </row>
    <row r="1896" spans="1:4" ht="16.5" hidden="1" x14ac:dyDescent="0.3">
      <c r="A1896" s="10" t="str">
        <f>基本属性!$B$7&amp;"|"&amp;基本属性!$C$7</f>
        <v>60|0</v>
      </c>
      <c r="B1896" s="10" t="str">
        <f>参数调整!$J$32</f>
        <v>精英掉落</v>
      </c>
      <c r="C1896" s="8" t="str">
        <f>材料产出!$N$2</f>
        <v>火龙凭证</v>
      </c>
      <c r="D1896" s="224">
        <f>参数调整!$K$32*怪物掉落配置方案!$D4974</f>
        <v>0.12279627096316564</v>
      </c>
    </row>
    <row r="1897" spans="1:4" ht="16.5" hidden="1" x14ac:dyDescent="0.3">
      <c r="A1897" s="10" t="str">
        <f>基本属性!$B$8&amp;"|"&amp;基本属性!$C$8</f>
        <v>65|0</v>
      </c>
      <c r="B1897" s="10" t="str">
        <f>参数调整!$J$32</f>
        <v>精英掉落</v>
      </c>
      <c r="C1897" s="8" t="str">
        <f>材料产出!$N$2</f>
        <v>火龙凭证</v>
      </c>
      <c r="D1897" s="224">
        <f>参数调整!$K$32*怪物掉落配置方案!$D4975</f>
        <v>0.14613771089831282</v>
      </c>
    </row>
    <row r="1898" spans="1:4" ht="16.5" hidden="1" x14ac:dyDescent="0.3">
      <c r="A1898" s="10" t="str">
        <f>基本属性!$B$9&amp;"|"&amp;基本属性!$C$9</f>
        <v>70|0</v>
      </c>
      <c r="B1898" s="10" t="str">
        <f>参数调整!$J$32</f>
        <v>精英掉落</v>
      </c>
      <c r="C1898" s="8" t="str">
        <f>材料产出!$N$2</f>
        <v>火龙凭证</v>
      </c>
      <c r="D1898" s="224">
        <f>参数调整!$K$32*怪物掉落配置方案!$D4976</f>
        <v>0.17150884126260324</v>
      </c>
    </row>
    <row r="1899" spans="1:4" ht="16.5" hidden="1" x14ac:dyDescent="0.3">
      <c r="A1899" s="10" t="str">
        <f>基本属性!$B$10&amp;"|"&amp;基本属性!$C$10</f>
        <v>75|0</v>
      </c>
      <c r="B1899" s="10" t="str">
        <f>参数调整!$J$32</f>
        <v>精英掉落</v>
      </c>
      <c r="C1899" s="8" t="str">
        <f>材料产出!$N$2</f>
        <v>火龙凭证</v>
      </c>
      <c r="D1899" s="224">
        <f>参数调整!$K$32*怪物掉落配置方案!$D4977</f>
        <v>0.19890966205603686</v>
      </c>
    </row>
    <row r="1900" spans="1:4" ht="16.5" hidden="1" x14ac:dyDescent="0.3">
      <c r="A1900" s="10" t="str">
        <f>基本属性!$B$11&amp;"|"&amp;基本属性!$C$11</f>
        <v>80|1</v>
      </c>
      <c r="B1900" s="10" t="str">
        <f>参数调整!$J$32</f>
        <v>精英掉落</v>
      </c>
      <c r="C1900" s="8" t="str">
        <f>材料产出!$N$2</f>
        <v>火龙凭证</v>
      </c>
      <c r="D1900" s="224">
        <f>参数调整!$K$32*怪物掉落配置方案!$D4978</f>
        <v>0.22834017327861375</v>
      </c>
    </row>
    <row r="1901" spans="1:4" ht="16.5" hidden="1" x14ac:dyDescent="0.3">
      <c r="A1901" s="10" t="str">
        <f>基本属性!$B$12&amp;"|"&amp;基本属性!$C$12</f>
        <v>90|2</v>
      </c>
      <c r="B1901" s="10" t="str">
        <f>参数调整!$J$32</f>
        <v>精英掉落</v>
      </c>
      <c r="C1901" s="8" t="str">
        <f>材料产出!$N$2</f>
        <v>火龙凭证</v>
      </c>
      <c r="D1901" s="224">
        <f>参数调整!$K$32*怪物掉落配置方案!$D4979</f>
        <v>0.25980037493033392</v>
      </c>
    </row>
    <row r="1902" spans="1:4" ht="16.5" hidden="1" x14ac:dyDescent="0.3">
      <c r="A1902" s="10" t="str">
        <f>基本属性!$B$13&amp;"|"&amp;基本属性!$C$13</f>
        <v>100|3</v>
      </c>
      <c r="B1902" s="10" t="str">
        <f>参数调整!$J$32</f>
        <v>精英掉落</v>
      </c>
      <c r="C1902" s="8" t="str">
        <f>材料产出!$N$2</f>
        <v>火龙凭证</v>
      </c>
      <c r="D1902" s="224">
        <f>参数调整!$K$32*怪物掉落配置方案!$D4980</f>
        <v>0.32880984952120385</v>
      </c>
    </row>
    <row r="1903" spans="1:4" ht="16.5" hidden="1" x14ac:dyDescent="0.3">
      <c r="A1903" s="10" t="str">
        <f>基本属性!$B$14&amp;"|"&amp;基本属性!$C$14</f>
        <v>105|4</v>
      </c>
      <c r="B1903" s="10" t="str">
        <f>参数调整!$J$32</f>
        <v>精英掉落</v>
      </c>
      <c r="C1903" s="8" t="str">
        <f>材料产出!$N$2</f>
        <v>火龙凭证</v>
      </c>
      <c r="D1903" s="224">
        <f>参数调整!$K$32*怪物掉落配置方案!$D4981</f>
        <v>0.40593808582864677</v>
      </c>
    </row>
    <row r="1904" spans="1:4" ht="16.5" hidden="1" x14ac:dyDescent="0.3">
      <c r="A1904" s="10" t="str">
        <f>基本属性!$B$15&amp;"|"&amp;基本属性!$C$15</f>
        <v>110|5</v>
      </c>
      <c r="B1904" s="10" t="str">
        <f>参数调整!$J$32</f>
        <v>精英掉落</v>
      </c>
      <c r="C1904" s="8" t="str">
        <f>材料产出!$N$2</f>
        <v>火龙凭证</v>
      </c>
      <c r="D1904" s="224">
        <f>参数调整!$K$32*怪物掉落配置方案!$D4982</f>
        <v>0.49118508385266257</v>
      </c>
    </row>
    <row r="1905" spans="1:4" ht="16.5" hidden="1" x14ac:dyDescent="0.3">
      <c r="A1905" s="10" t="str">
        <f>基本属性!$B$16&amp;"|"&amp;基本属性!$C$16</f>
        <v>120|6</v>
      </c>
      <c r="B1905" s="10" t="str">
        <f>参数调整!$J$32</f>
        <v>精英掉落</v>
      </c>
      <c r="C1905" s="8" t="str">
        <f>材料产出!$N$2</f>
        <v>火龙凭证</v>
      </c>
      <c r="D1905" s="224">
        <f>参数调整!$K$32*怪物掉落配置方案!$D4983</f>
        <v>0.63427825910726043</v>
      </c>
    </row>
    <row r="1906" spans="1:4" ht="16.5" hidden="1" x14ac:dyDescent="0.3">
      <c r="A1906" s="10" t="str">
        <f>基本属性!$B$17&amp;"|"&amp;基本属性!$C$17</f>
        <v>135|7</v>
      </c>
      <c r="B1906" s="10" t="str">
        <f>参数调整!$J$32</f>
        <v>精英掉落</v>
      </c>
      <c r="C1906" s="8" t="str">
        <f>材料产出!$N$2</f>
        <v>火龙凭证</v>
      </c>
      <c r="D1906" s="224">
        <f>参数调整!$K$32*怪物掉落配置方案!$D4984</f>
        <v>0.913360693114455</v>
      </c>
    </row>
    <row r="1907" spans="1:4" ht="16.5" hidden="1" x14ac:dyDescent="0.3">
      <c r="A1907" s="10" t="str">
        <f>基本属性!$B$18&amp;"|"&amp;基本属性!$C$18</f>
        <v>155|8</v>
      </c>
      <c r="B1907" s="10" t="str">
        <f>参数调整!$J$32</f>
        <v>精英掉落</v>
      </c>
      <c r="C1907" s="8" t="str">
        <f>材料产出!$N$2</f>
        <v>火龙凭证</v>
      </c>
      <c r="D1907" s="224">
        <f>参数调整!$K$32*怪物掉落配置方案!$D4985</f>
        <v>1.2431853878502306</v>
      </c>
    </row>
    <row r="1908" spans="1:4" ht="16.5" hidden="1" x14ac:dyDescent="0.3">
      <c r="A1908" s="10" t="str">
        <f>基本属性!$B$19&amp;"|"&amp;基本属性!$C$19</f>
        <v>190|9</v>
      </c>
      <c r="B1908" s="10" t="str">
        <f>参数调整!$J$32</f>
        <v>精英掉落</v>
      </c>
      <c r="C1908" s="8" t="str">
        <f>材料产出!$N$2</f>
        <v>火龙凭证</v>
      </c>
      <c r="D1908" s="224">
        <f>参数调整!$K$32*怪物掉落配置方案!$D4986</f>
        <v>1.3893230987485437</v>
      </c>
    </row>
    <row r="1909" spans="1:4" ht="16.5" hidden="1" x14ac:dyDescent="0.3">
      <c r="A1909" s="10" t="str">
        <f>基本属性!$B$20&amp;"|"&amp;基本属性!$C$20</f>
        <v>200|10</v>
      </c>
      <c r="B1909" s="10" t="str">
        <f>参数调整!$J$32</f>
        <v>精英掉落</v>
      </c>
      <c r="C1909" s="8" t="str">
        <f>材料产出!$N$2</f>
        <v>火龙凭证</v>
      </c>
      <c r="D1909" s="224">
        <f>参数调整!$K$32*怪物掉落配置方案!$D4987</f>
        <v>1.6237523433145871</v>
      </c>
    </row>
    <row r="1910" spans="1:4" ht="16.5" hidden="1" x14ac:dyDescent="0.3">
      <c r="A1910" s="10" t="str">
        <f>基本属性!$B$21&amp;"|"&amp;基本属性!$C$21</f>
        <v>200|11</v>
      </c>
      <c r="B1910" s="10" t="str">
        <f>参数调整!$J$32</f>
        <v>精英掉落</v>
      </c>
      <c r="C1910" s="8" t="str">
        <f>材料产出!$N$2</f>
        <v>火龙凭证</v>
      </c>
      <c r="D1910" s="224">
        <f>参数调整!$K$32*怪物掉落配置方案!$D4988</f>
        <v>1.8764488017429191</v>
      </c>
    </row>
    <row r="1911" spans="1:4" ht="16.5" hidden="1" x14ac:dyDescent="0.3">
      <c r="A1911" s="10" t="str">
        <f>基本属性!$B$22&amp;"|"&amp;基本属性!$C$22</f>
        <v>210|12</v>
      </c>
      <c r="B1911" s="10" t="str">
        <f>参数调整!$J$32</f>
        <v>精英掉落</v>
      </c>
      <c r="C1911" s="8" t="str">
        <f>材料产出!$N$2</f>
        <v>火龙凭证</v>
      </c>
      <c r="D1911" s="224">
        <f>参数调整!$K$32*怪物掉落配置方案!$D4989</f>
        <v>2.1474124740335405</v>
      </c>
    </row>
    <row r="1912" spans="1:4" ht="16.5" hidden="1" x14ac:dyDescent="0.3">
      <c r="A1912" s="10" t="str">
        <f>基本属性!$B$23&amp;"|"&amp;基本属性!$C$23</f>
        <v>210|13</v>
      </c>
      <c r="B1912" s="10" t="str">
        <f>参数调整!$J$32</f>
        <v>精英掉落</v>
      </c>
      <c r="C1912" s="8" t="str">
        <f>材料产出!$N$2</f>
        <v>火龙凭证</v>
      </c>
      <c r="D1912" s="224">
        <f>参数调整!$K$32*怪物掉落配置方案!$D4990</f>
        <v>2.4366433601864523</v>
      </c>
    </row>
    <row r="1913" spans="1:4" ht="16.5" hidden="1" x14ac:dyDescent="0.3">
      <c r="A1913" s="10" t="str">
        <f>基本属性!$B$24&amp;"|"&amp;基本属性!$C$24</f>
        <v>220|14</v>
      </c>
      <c r="B1913" s="10" t="str">
        <f>参数调整!$J$32</f>
        <v>精英掉落</v>
      </c>
      <c r="C1913" s="8" t="str">
        <f>材料产出!$N$2</f>
        <v>火龙凭证</v>
      </c>
      <c r="D1913" s="224">
        <f>参数调整!$K$32*怪物掉落配置方案!$D4991</f>
        <v>2.7441414602016518</v>
      </c>
    </row>
    <row r="1914" spans="1:4" ht="16.5" hidden="1" x14ac:dyDescent="0.3">
      <c r="A1914" s="10" t="str">
        <f>基本属性!$B$25&amp;"|"&amp;基本属性!$C$25</f>
        <v>220|15</v>
      </c>
      <c r="B1914" s="10" t="str">
        <f>参数调整!$J$32</f>
        <v>精英掉落</v>
      </c>
      <c r="C1914" s="8" t="str">
        <f>材料产出!$N$2</f>
        <v>火龙凭证</v>
      </c>
      <c r="D1914" s="224">
        <f>参数调整!$K$32*怪物掉落配置方案!$D4992</f>
        <v>3.0699067740791404</v>
      </c>
    </row>
    <row r="1915" spans="1:4" ht="16.5" hidden="1" x14ac:dyDescent="0.3">
      <c r="A1915" s="10" t="str">
        <f>基本属性!$B$26&amp;"|"&amp;基本属性!$C$26</f>
        <v>230|16</v>
      </c>
      <c r="B1915" s="10" t="str">
        <f>参数调整!$J$32</f>
        <v>精英掉落</v>
      </c>
      <c r="C1915" s="8" t="str">
        <f>材料产出!$N$2</f>
        <v>火龙凭证</v>
      </c>
      <c r="D1915" s="224">
        <f>参数调整!$K$32*怪物掉落配置方案!$D4993</f>
        <v>3.4139393018189192</v>
      </c>
    </row>
    <row r="1916" spans="1:4" ht="16.5" hidden="1" x14ac:dyDescent="0.3">
      <c r="A1916" s="10" t="str">
        <f>基本属性!$B$27&amp;"|"&amp;基本属性!$C$27</f>
        <v>230|17</v>
      </c>
      <c r="B1916" s="10" t="str">
        <f>参数调整!$J$32</f>
        <v>精英掉落</v>
      </c>
      <c r="C1916" s="8" t="str">
        <f>材料产出!$N$2</f>
        <v>火龙凭证</v>
      </c>
      <c r="D1916" s="224">
        <f>参数调整!$K$32*怪物掉落配置方案!$D4994</f>
        <v>3.7762390434209854</v>
      </c>
    </row>
    <row r="1917" spans="1:4" ht="16.5" hidden="1" x14ac:dyDescent="0.3">
      <c r="A1917" s="10" t="str">
        <f>基本属性!$B$28&amp;"|"&amp;基本属性!$C$28</f>
        <v>240|18</v>
      </c>
      <c r="B1917" s="10" t="str">
        <f>参数调整!$J$32</f>
        <v>精英掉落</v>
      </c>
      <c r="C1917" s="8" t="str">
        <f>材料产出!$N$2</f>
        <v>火龙凭证</v>
      </c>
      <c r="D1917" s="224">
        <f>参数调整!$K$32*怪物掉落配置方案!$D4995</f>
        <v>4.1568059988853427</v>
      </c>
    </row>
    <row r="1918" spans="1:4" ht="16.5" hidden="1" x14ac:dyDescent="0.3">
      <c r="A1918" s="10" t="str">
        <f>基本属性!$B$29&amp;"|"&amp;基本属性!$C$29</f>
        <v>240|19</v>
      </c>
      <c r="B1918" s="10" t="str">
        <f>参数调整!$J$32</f>
        <v>精英掉落</v>
      </c>
      <c r="C1918" s="8" t="str">
        <f>材料产出!$N$2</f>
        <v>火龙凭证</v>
      </c>
      <c r="D1918" s="224">
        <f>参数调整!$K$32*怪物掉落配置方案!$D4996</f>
        <v>4.5556401682119878</v>
      </c>
    </row>
    <row r="1919" spans="1:4" ht="16.5" hidden="1" x14ac:dyDescent="0.3">
      <c r="A1919" s="10" t="str">
        <f>基本属性!$B$30&amp;"|"&amp;基本属性!$C$30</f>
        <v>250|20</v>
      </c>
      <c r="B1919" s="10" t="str">
        <f>参数调整!$J$32</f>
        <v>精英掉落</v>
      </c>
      <c r="C1919" s="8" t="str">
        <f>材料产出!$N$2</f>
        <v>火龙凭证</v>
      </c>
      <c r="D1919" s="224">
        <f>参数调整!$K$32*怪物掉落配置方案!$D4997</f>
        <v>4.9727415514009206</v>
      </c>
    </row>
    <row r="1920" spans="1:4" ht="16.5" hidden="1" x14ac:dyDescent="0.3">
      <c r="A1920" s="10" t="str">
        <f>基本属性!$B$4&amp;"|"&amp;基本属性!$C$4</f>
        <v>35|0</v>
      </c>
      <c r="B1920" s="10" t="str">
        <f>参数调整!$J$32</f>
        <v>精英掉落</v>
      </c>
      <c r="C1920" s="8" t="str">
        <f>材料产出!$AR$2</f>
        <v>火龙精魄</v>
      </c>
      <c r="D1920" s="224">
        <f>参数调整!$K$32*怪物掉落配置方案!$D4998</f>
        <v>3.2466788833559817E-5</v>
      </c>
    </row>
    <row r="1921" spans="1:4" ht="16.5" hidden="1" x14ac:dyDescent="0.3">
      <c r="A1921" s="10" t="str">
        <f>基本属性!$B$5&amp;"|"&amp;基本属性!$C$5</f>
        <v>40|0</v>
      </c>
      <c r="B1921" s="10" t="str">
        <f>参数调整!$J$32</f>
        <v>精英掉落</v>
      </c>
      <c r="C1921" s="8" t="str">
        <f>材料产出!$AR$2</f>
        <v>火龙精魄</v>
      </c>
      <c r="D1921" s="224">
        <f>参数调整!$K$32*怪物掉落配置方案!$D4999</f>
        <v>4.1090779617474143E-5</v>
      </c>
    </row>
    <row r="1922" spans="1:4" ht="16.5" hidden="1" x14ac:dyDescent="0.3">
      <c r="A1922" s="10" t="str">
        <f>基本属性!$B$6&amp;"|"&amp;基本属性!$C$6</f>
        <v>50|0</v>
      </c>
      <c r="B1922" s="10" t="str">
        <f>参数调整!$J$32</f>
        <v>精英掉落</v>
      </c>
      <c r="C1922" s="8" t="str">
        <f>材料产出!$AR$2</f>
        <v>火龙精魄</v>
      </c>
      <c r="D1922" s="224">
        <f>参数调整!$K$32*怪物掉落配置方案!$D5000</f>
        <v>5.0729357552437211E-5</v>
      </c>
    </row>
    <row r="1923" spans="1:4" ht="16.5" hidden="1" x14ac:dyDescent="0.3">
      <c r="A1923" s="10" t="str">
        <f>基本属性!$B$7&amp;"|"&amp;基本属性!$C$7</f>
        <v>60|0</v>
      </c>
      <c r="B1923" s="10" t="str">
        <f>参数调整!$J$32</f>
        <v>精英掉落</v>
      </c>
      <c r="C1923" s="8" t="str">
        <f>材料产出!$AR$2</f>
        <v>火龙精魄</v>
      </c>
      <c r="D1923" s="224">
        <f>参数调整!$K$32*怪物掉落配置方案!$D5001</f>
        <v>6.1382522638449042E-5</v>
      </c>
    </row>
    <row r="1924" spans="1:4" ht="16.5" hidden="1" x14ac:dyDescent="0.3">
      <c r="A1924" s="10" t="str">
        <f>基本属性!$B$8&amp;"|"&amp;基本属性!$C$8</f>
        <v>65|0</v>
      </c>
      <c r="B1924" s="10" t="str">
        <f>参数调整!$J$32</f>
        <v>精英掉落</v>
      </c>
      <c r="C1924" s="8" t="str">
        <f>材料产出!$AR$2</f>
        <v>火龙精魄</v>
      </c>
      <c r="D1924" s="224">
        <f>参数调整!$K$32*怪物掉落配置方案!$D5002</f>
        <v>7.3050274875509588E-5</v>
      </c>
    </row>
    <row r="1925" spans="1:4" ht="16.5" hidden="1" x14ac:dyDescent="0.3">
      <c r="A1925" s="10" t="str">
        <f>基本属性!$B$9&amp;"|"&amp;基本属性!$C$9</f>
        <v>70|0</v>
      </c>
      <c r="B1925" s="10" t="str">
        <f>参数调整!$J$32</f>
        <v>精英掉落</v>
      </c>
      <c r="C1925" s="8" t="str">
        <f>材料产出!$AR$2</f>
        <v>火龙精魄</v>
      </c>
      <c r="D1925" s="224">
        <f>参数调整!$K$32*怪物掉落配置方案!$D5003</f>
        <v>8.5732614263618891E-5</v>
      </c>
    </row>
    <row r="1926" spans="1:4" ht="16.5" hidden="1" x14ac:dyDescent="0.3">
      <c r="A1926" s="10" t="str">
        <f>基本属性!$B$10&amp;"|"&amp;基本属性!$C$10</f>
        <v>75|0</v>
      </c>
      <c r="B1926" s="10" t="str">
        <f>参数调整!$J$32</f>
        <v>精英掉落</v>
      </c>
      <c r="C1926" s="8" t="str">
        <f>材料产出!$AR$2</f>
        <v>火龙精魄</v>
      </c>
      <c r="D1926" s="224">
        <f>参数调整!$K$32*怪物掉落配置方案!$D5004</f>
        <v>9.9429540802776923E-5</v>
      </c>
    </row>
    <row r="1927" spans="1:4" ht="16.5" hidden="1" x14ac:dyDescent="0.3">
      <c r="A1927" s="10" t="str">
        <f>基本属性!$B$11&amp;"|"&amp;基本属性!$C$11</f>
        <v>80|1</v>
      </c>
      <c r="B1927" s="10" t="str">
        <f>参数调整!$J$32</f>
        <v>精英掉落</v>
      </c>
      <c r="C1927" s="8" t="str">
        <f>材料产出!$AR$2</f>
        <v>火龙精魄</v>
      </c>
      <c r="D1927" s="224">
        <f>参数调整!$K$32*怪物掉落配置方案!$D5005</f>
        <v>1.1414105449298371E-4</v>
      </c>
    </row>
    <row r="1928" spans="1:4" ht="16.5" hidden="1" x14ac:dyDescent="0.3">
      <c r="A1928" s="10" t="str">
        <f>基本属性!$B$12&amp;"|"&amp;基本属性!$C$12</f>
        <v>90|2</v>
      </c>
      <c r="B1928" s="10" t="str">
        <f>参数调整!$J$32</f>
        <v>精英掉落</v>
      </c>
      <c r="C1928" s="8" t="str">
        <f>材料产出!$AR$2</f>
        <v>火龙精魄</v>
      </c>
      <c r="D1928" s="224">
        <f>参数调整!$K$32*怪物掉落配置方案!$D5006</f>
        <v>1.298671553342393E-4</v>
      </c>
    </row>
    <row r="1929" spans="1:4" ht="16.5" hidden="1" x14ac:dyDescent="0.3">
      <c r="A1929" s="10" t="str">
        <f>基本属性!$B$13&amp;"|"&amp;基本属性!$C$13</f>
        <v>100|3</v>
      </c>
      <c r="B1929" s="10" t="str">
        <f>参数调整!$J$32</f>
        <v>精英掉落</v>
      </c>
      <c r="C1929" s="8" t="str">
        <f>材料产出!$AR$2</f>
        <v>火龙精魄</v>
      </c>
      <c r="D1929" s="224">
        <f>参数调整!$K$32*怪物掉落配置方案!$D5007</f>
        <v>1.643631184698966E-4</v>
      </c>
    </row>
    <row r="1930" spans="1:4" ht="16.5" hidden="1" x14ac:dyDescent="0.3">
      <c r="A1930" s="10" t="str">
        <f>基本属性!$B$14&amp;"|"&amp;基本属性!$C$14</f>
        <v>105|4</v>
      </c>
      <c r="B1930" s="10" t="str">
        <f>参数调整!$J$32</f>
        <v>精英掉落</v>
      </c>
      <c r="C1930" s="8" t="str">
        <f>材料产出!$AR$2</f>
        <v>火龙精魄</v>
      </c>
      <c r="D1930" s="224">
        <f>参数调整!$K$32*怪物掉落配置方案!$D5008</f>
        <v>2.0291743020974884E-4</v>
      </c>
    </row>
    <row r="1931" spans="1:4" ht="16.5" hidden="1" x14ac:dyDescent="0.3">
      <c r="A1931" s="10" t="str">
        <f>基本属性!$B$15&amp;"|"&amp;基本属性!$C$15</f>
        <v>110|5</v>
      </c>
      <c r="B1931" s="10" t="str">
        <f>参数调整!$J$32</f>
        <v>精英掉落</v>
      </c>
      <c r="C1931" s="8" t="str">
        <f>材料产出!$AR$2</f>
        <v>火龙精魄</v>
      </c>
      <c r="D1931" s="224">
        <f>参数调整!$K$32*怪物掉落配置方案!$D5009</f>
        <v>2.4553009055379617E-4</v>
      </c>
    </row>
    <row r="1932" spans="1:4" ht="16.5" hidden="1" x14ac:dyDescent="0.3">
      <c r="A1932" s="10" t="str">
        <f>基本属性!$B$16&amp;"|"&amp;基本属性!$C$16</f>
        <v>120|6</v>
      </c>
      <c r="B1932" s="10" t="str">
        <f>参数调整!$J$32</f>
        <v>精英掉落</v>
      </c>
      <c r="C1932" s="8" t="str">
        <f>材料产出!$AR$2</f>
        <v>火龙精魄</v>
      </c>
      <c r="D1932" s="224">
        <f>参数调整!$K$32*怪物掉落配置方案!$D5010</f>
        <v>3.1705848470273265E-4</v>
      </c>
    </row>
    <row r="1933" spans="1:4" ht="16.5" hidden="1" x14ac:dyDescent="0.3">
      <c r="A1933" s="10" t="str">
        <f>基本属性!$B$17&amp;"|"&amp;基本属性!$C$17</f>
        <v>135|7</v>
      </c>
      <c r="B1933" s="10" t="str">
        <f>参数调整!$J$32</f>
        <v>精英掉落</v>
      </c>
      <c r="C1933" s="8" t="str">
        <f>材料产出!$AR$2</f>
        <v>火龙精魄</v>
      </c>
      <c r="D1933" s="224">
        <f>参数调整!$K$32*怪物掉落配置方案!$D5011</f>
        <v>4.565642179719349E-4</v>
      </c>
    </row>
    <row r="1934" spans="1:4" ht="16.5" hidden="1" x14ac:dyDescent="0.3">
      <c r="A1934" s="10" t="str">
        <f>基本属性!$B$18&amp;"|"&amp;基本属性!$C$18</f>
        <v>155|8</v>
      </c>
      <c r="B1934" s="10" t="str">
        <f>参数调整!$J$32</f>
        <v>精英掉落</v>
      </c>
      <c r="C1934" s="8" t="str">
        <f>材料产出!$AR$2</f>
        <v>火龙精魄</v>
      </c>
      <c r="D1934" s="224">
        <f>参数调整!$K$32*怪物掉落配置方案!$D5012</f>
        <v>6.2143463001735602E-4</v>
      </c>
    </row>
    <row r="1935" spans="1:4" ht="16.5" hidden="1" x14ac:dyDescent="0.3">
      <c r="A1935" s="10" t="str">
        <f>基本属性!$B$19&amp;"|"&amp;基本属性!$C$19</f>
        <v>190|9</v>
      </c>
      <c r="B1935" s="10" t="str">
        <f>参数调整!$J$32</f>
        <v>精英掉落</v>
      </c>
      <c r="C1935" s="8" t="str">
        <f>材料产出!$AR$2</f>
        <v>火龙精魄</v>
      </c>
      <c r="D1935" s="224">
        <f>参数调整!$K$32*怪物掉落配置方案!$D5013</f>
        <v>6.9448490489286549E-4</v>
      </c>
    </row>
    <row r="1936" spans="1:4" ht="16.5" hidden="1" x14ac:dyDescent="0.3">
      <c r="A1936" s="10" t="str">
        <f>基本属性!$B$20&amp;"|"&amp;基本属性!$C$20</f>
        <v>200|10</v>
      </c>
      <c r="B1936" s="10" t="str">
        <f>参数调整!$J$32</f>
        <v>精英掉落</v>
      </c>
      <c r="C1936" s="8" t="str">
        <f>材料产出!$AR$2</f>
        <v>火龙精魄</v>
      </c>
      <c r="D1936" s="224">
        <f>参数调整!$K$32*怪物掉落配置方案!$D5014</f>
        <v>8.1166972083899537E-4</v>
      </c>
    </row>
    <row r="1937" spans="1:4" ht="16.5" hidden="1" x14ac:dyDescent="0.3">
      <c r="A1937" s="10" t="str">
        <f>基本属性!$B$21&amp;"|"&amp;基本属性!$C$21</f>
        <v>200|11</v>
      </c>
      <c r="B1937" s="10" t="str">
        <f>参数调整!$J$32</f>
        <v>精英掉落</v>
      </c>
      <c r="C1937" s="8" t="str">
        <f>材料产出!$AR$2</f>
        <v>火龙精魄</v>
      </c>
      <c r="D1937" s="224">
        <f>参数调整!$K$32*怪物掉落配置方案!$D5015</f>
        <v>9.3798582114456392E-4</v>
      </c>
    </row>
    <row r="1938" spans="1:4" ht="16.5" hidden="1" x14ac:dyDescent="0.3">
      <c r="A1938" s="10" t="str">
        <f>基本属性!$B$22&amp;"|"&amp;基本属性!$C$22</f>
        <v>210|12</v>
      </c>
      <c r="B1938" s="10" t="str">
        <f>参数调整!$J$32</f>
        <v>精英掉落</v>
      </c>
      <c r="C1938" s="8" t="str">
        <f>材料产出!$AR$2</f>
        <v>火龙精魄</v>
      </c>
      <c r="D1938" s="224">
        <f>参数调整!$K$32*怪物掉落配置方案!$D5016</f>
        <v>1.0734332058095714E-3</v>
      </c>
    </row>
    <row r="1939" spans="1:4" ht="16.5" hidden="1" x14ac:dyDescent="0.3">
      <c r="A1939" s="10" t="str">
        <f>基本属性!$B$23&amp;"|"&amp;基本属性!$C$23</f>
        <v>210|13</v>
      </c>
      <c r="B1939" s="10" t="str">
        <f>参数调整!$J$32</f>
        <v>精英掉落</v>
      </c>
      <c r="C1939" s="8" t="str">
        <f>材料产出!$AR$2</f>
        <v>火龙精魄</v>
      </c>
      <c r="D1939" s="224">
        <f>参数调整!$K$32*怪物掉落配置方案!$D5017</f>
        <v>1.2180118748340177E-3</v>
      </c>
    </row>
    <row r="1940" spans="1:4" ht="16.5" hidden="1" x14ac:dyDescent="0.3">
      <c r="A1940" s="10" t="str">
        <f>基本属性!$B$24&amp;"|"&amp;基本属性!$C$24</f>
        <v>220|14</v>
      </c>
      <c r="B1940" s="10" t="str">
        <f>参数调整!$J$32</f>
        <v>精英掉落</v>
      </c>
      <c r="C1940" s="8" t="str">
        <f>材料产出!$AR$2</f>
        <v>火龙精魄</v>
      </c>
      <c r="D1940" s="224">
        <f>参数调整!$K$32*怪物掉落配置方案!$D5018</f>
        <v>1.3717218282179023E-3</v>
      </c>
    </row>
    <row r="1941" spans="1:4" ht="16.5" hidden="1" x14ac:dyDescent="0.3">
      <c r="A1941" s="10" t="str">
        <f>基本属性!$B$25&amp;"|"&amp;基本属性!$C$25</f>
        <v>220|15</v>
      </c>
      <c r="B1941" s="10" t="str">
        <f>参数调整!$J$32</f>
        <v>精英掉落</v>
      </c>
      <c r="C1941" s="8" t="str">
        <f>材料产出!$AR$2</f>
        <v>火龙精魄</v>
      </c>
      <c r="D1941" s="224">
        <f>参数调整!$K$32*怪物掉落配置方案!$D5019</f>
        <v>1.5345630659612255E-3</v>
      </c>
    </row>
    <row r="1942" spans="1:4" ht="16.5" hidden="1" x14ac:dyDescent="0.3">
      <c r="A1942" s="10" t="str">
        <f>基本属性!$B$26&amp;"|"&amp;基本属性!$C$26</f>
        <v>230|16</v>
      </c>
      <c r="B1942" s="10" t="str">
        <f>参数调整!$J$32</f>
        <v>精英掉落</v>
      </c>
      <c r="C1942" s="8" t="str">
        <f>材料产出!$AR$2</f>
        <v>火龙精魄</v>
      </c>
      <c r="D1942" s="224">
        <f>参数调整!$K$32*怪物掉落配置方案!$D5020</f>
        <v>1.7065355880639874E-3</v>
      </c>
    </row>
    <row r="1943" spans="1:4" ht="16.5" hidden="1" x14ac:dyDescent="0.3">
      <c r="A1943" s="10" t="str">
        <f>基本属性!$B$27&amp;"|"&amp;基本属性!$C$27</f>
        <v>230|17</v>
      </c>
      <c r="B1943" s="10" t="str">
        <f>参数调整!$J$32</f>
        <v>精英掉落</v>
      </c>
      <c r="C1943" s="8" t="str">
        <f>材料产出!$AR$2</f>
        <v>火龙精魄</v>
      </c>
      <c r="D1943" s="224">
        <f>参数调整!$K$32*怪物掉落配置方案!$D5021</f>
        <v>1.8876393945261882E-3</v>
      </c>
    </row>
    <row r="1944" spans="1:4" ht="16.5" hidden="1" x14ac:dyDescent="0.3">
      <c r="A1944" s="10" t="str">
        <f>基本属性!$B$28&amp;"|"&amp;基本属性!$C$28</f>
        <v>240|18</v>
      </c>
      <c r="B1944" s="10" t="str">
        <f>参数调整!$J$32</f>
        <v>精英掉落</v>
      </c>
      <c r="C1944" s="8" t="str">
        <f>材料产出!$AR$2</f>
        <v>火龙精魄</v>
      </c>
      <c r="D1944" s="224">
        <f>参数调整!$K$32*怪物掉落配置方案!$D5022</f>
        <v>2.0778744853478283E-3</v>
      </c>
    </row>
    <row r="1945" spans="1:4" ht="16.5" hidden="1" x14ac:dyDescent="0.3">
      <c r="A1945" s="10" t="str">
        <f>基本属性!$B$29&amp;"|"&amp;基本属性!$C$29</f>
        <v>240|19</v>
      </c>
      <c r="B1945" s="10" t="str">
        <f>参数调整!$J$32</f>
        <v>精英掉落</v>
      </c>
      <c r="C1945" s="8" t="str">
        <f>材料产出!$AR$2</f>
        <v>火龙精魄</v>
      </c>
      <c r="D1945" s="224">
        <f>参数调整!$K$32*怪物掉落配置方案!$D5023</f>
        <v>2.2772408605289071E-3</v>
      </c>
    </row>
    <row r="1946" spans="1:4" ht="16.5" hidden="1" x14ac:dyDescent="0.3">
      <c r="A1946" s="10" t="str">
        <f>基本属性!$B$30&amp;"|"&amp;基本属性!$C$30</f>
        <v>250|20</v>
      </c>
      <c r="B1946" s="10" t="str">
        <f>参数调整!$J$32</f>
        <v>精英掉落</v>
      </c>
      <c r="C1946" s="8" t="str">
        <f>材料产出!$AR$2</f>
        <v>火龙精魄</v>
      </c>
      <c r="D1946" s="224">
        <f>参数调整!$K$32*怪物掉落配置方案!$D5024</f>
        <v>2.4857385200694228E-3</v>
      </c>
    </row>
    <row r="1947" spans="1:4" ht="16.5" hidden="1" x14ac:dyDescent="0.3">
      <c r="A1947" s="10" t="str">
        <f>基本属性!$B$4&amp;"|"&amp;基本属性!$C$4</f>
        <v>35|0</v>
      </c>
      <c r="B1947" s="10" t="str">
        <f>参数调整!$J$32</f>
        <v>精英掉落</v>
      </c>
      <c r="C1947" s="8" t="str">
        <f>材料产出!$L$2</f>
        <v>火龙币</v>
      </c>
      <c r="D1947" s="224">
        <f>参数调整!$K$32*怪物掉落配置方案!$D5025</f>
        <v>8.9283669292289508E-3</v>
      </c>
    </row>
    <row r="1948" spans="1:4" ht="16.5" hidden="1" x14ac:dyDescent="0.3">
      <c r="A1948" s="10" t="str">
        <f>基本属性!$B$5&amp;"|"&amp;基本属性!$C$5</f>
        <v>40|0</v>
      </c>
      <c r="B1948" s="10" t="str">
        <f>参数调整!$J$32</f>
        <v>精英掉落</v>
      </c>
      <c r="C1948" s="8" t="str">
        <f>材料产出!$L$2</f>
        <v>火龙币</v>
      </c>
      <c r="D1948" s="224">
        <f>参数调整!$K$32*怪物掉落配置方案!$D5026</f>
        <v>1.1299964394805389E-2</v>
      </c>
    </row>
    <row r="1949" spans="1:4" ht="16.5" hidden="1" x14ac:dyDescent="0.3">
      <c r="A1949" s="10" t="str">
        <f>基本属性!$B$6&amp;"|"&amp;基本属性!$C$6</f>
        <v>50|0</v>
      </c>
      <c r="B1949" s="10" t="str">
        <f>参数调整!$J$32</f>
        <v>精英掉落</v>
      </c>
      <c r="C1949" s="8" t="str">
        <f>材料产出!$L$2</f>
        <v>火龙币</v>
      </c>
      <c r="D1949" s="224">
        <f>参数调整!$K$32*怪物掉落配置方案!$D5027</f>
        <v>1.3950573326920233E-2</v>
      </c>
    </row>
    <row r="1950" spans="1:4" ht="16.5" hidden="1" x14ac:dyDescent="0.3">
      <c r="A1950" s="10" t="str">
        <f>基本属性!$B$7&amp;"|"&amp;基本属性!$C$7</f>
        <v>60|0</v>
      </c>
      <c r="B1950" s="10" t="str">
        <f>参数调整!$J$32</f>
        <v>精英掉落</v>
      </c>
      <c r="C1950" s="8" t="str">
        <f>材料产出!$L$2</f>
        <v>火龙币</v>
      </c>
      <c r="D1950" s="224">
        <f>参数调整!$K$32*怪物掉落配置方案!$D5028</f>
        <v>1.6880193725573481E-2</v>
      </c>
    </row>
    <row r="1951" spans="1:4" ht="16.5" hidden="1" x14ac:dyDescent="0.3">
      <c r="A1951" s="10" t="str">
        <f>基本属性!$B$8&amp;"|"&amp;基本属性!$C$8</f>
        <v>65|0</v>
      </c>
      <c r="B1951" s="10" t="str">
        <f>参数调整!$J$32</f>
        <v>精英掉落</v>
      </c>
      <c r="C1951" s="8" t="str">
        <f>材料产出!$L$2</f>
        <v>火龙币</v>
      </c>
      <c r="D1951" s="224">
        <f>参数调整!$K$32*怪物掉落配置方案!$D5029</f>
        <v>2.0088825590765136E-2</v>
      </c>
    </row>
    <row r="1952" spans="1:4" ht="16.5" hidden="1" x14ac:dyDescent="0.3">
      <c r="A1952" s="10" t="str">
        <f>基本属性!$B$9&amp;"|"&amp;基本属性!$C$9</f>
        <v>70|0</v>
      </c>
      <c r="B1952" s="10" t="str">
        <f>参数调整!$J$32</f>
        <v>精英掉落</v>
      </c>
      <c r="C1952" s="8" t="str">
        <f>材料产出!$L$2</f>
        <v>火龙币</v>
      </c>
      <c r="D1952" s="224">
        <f>参数调整!$K$32*怪物掉落配置方案!$D5030</f>
        <v>2.3576468922495191E-2</v>
      </c>
    </row>
    <row r="1953" spans="1:4" ht="16.5" hidden="1" x14ac:dyDescent="0.3">
      <c r="A1953" s="10" t="str">
        <f>基本属性!$B$10&amp;"|"&amp;基本属性!$C$10</f>
        <v>75|0</v>
      </c>
      <c r="B1953" s="10" t="str">
        <f>参数调整!$J$32</f>
        <v>精英掉落</v>
      </c>
      <c r="C1953" s="8" t="str">
        <f>材料产出!$L$2</f>
        <v>火龙币</v>
      </c>
      <c r="D1953" s="224">
        <f>参数调整!$K$32*怪物掉落配置方案!$D5031</f>
        <v>2.7343123720763651E-2</v>
      </c>
    </row>
    <row r="1954" spans="1:4" ht="16.5" hidden="1" x14ac:dyDescent="0.3">
      <c r="A1954" s="10" t="str">
        <f>基本属性!$B$11&amp;"|"&amp;基本属性!$C$11</f>
        <v>80|1</v>
      </c>
      <c r="B1954" s="10" t="str">
        <f>参数调整!$J$32</f>
        <v>精英掉落</v>
      </c>
      <c r="C1954" s="8" t="str">
        <f>材料产出!$L$2</f>
        <v>火龙币</v>
      </c>
      <c r="D1954" s="224">
        <f>参数调整!$K$32*怪物掉落配置方案!$D5032</f>
        <v>3.1388789985570521E-2</v>
      </c>
    </row>
    <row r="1955" spans="1:4" ht="16.5" hidden="1" x14ac:dyDescent="0.3">
      <c r="A1955" s="10" t="str">
        <f>基本属性!$B$12&amp;"|"&amp;基本属性!$C$12</f>
        <v>90|2</v>
      </c>
      <c r="B1955" s="10" t="str">
        <f>参数调整!$J$32</f>
        <v>精英掉落</v>
      </c>
      <c r="C1955" s="8" t="str">
        <f>材料产出!$L$2</f>
        <v>火龙币</v>
      </c>
      <c r="D1955" s="224">
        <f>参数调整!$K$32*怪物掉落配置方案!$D5033</f>
        <v>3.5713467716915803E-2</v>
      </c>
    </row>
    <row r="1956" spans="1:4" ht="16.5" hidden="1" x14ac:dyDescent="0.3">
      <c r="A1956" s="10" t="str">
        <f>基本属性!$B$13&amp;"|"&amp;基本属性!$C$13</f>
        <v>100|3</v>
      </c>
      <c r="B1956" s="10" t="str">
        <f>参数调整!$J$32</f>
        <v>精英掉落</v>
      </c>
      <c r="C1956" s="8" t="str">
        <f>材料产出!$L$2</f>
        <v>火龙币</v>
      </c>
      <c r="D1956" s="224">
        <f>参数调整!$K$32*怪物掉落配置方案!$D5034</f>
        <v>4.5199857579221563E-2</v>
      </c>
    </row>
    <row r="1957" spans="1:4" ht="16.5" hidden="1" x14ac:dyDescent="0.3">
      <c r="A1957" s="10" t="str">
        <f>基本属性!$B$14&amp;"|"&amp;基本属性!$C$14</f>
        <v>105|4</v>
      </c>
      <c r="B1957" s="10" t="str">
        <f>参数调整!$J$32</f>
        <v>精英掉落</v>
      </c>
      <c r="C1957" s="8" t="str">
        <f>材料产出!$L$2</f>
        <v>火龙币</v>
      </c>
      <c r="D1957" s="224">
        <f>参数调整!$K$32*怪物掉落配置方案!$D5035</f>
        <v>5.5802293307680932E-2</v>
      </c>
    </row>
    <row r="1958" spans="1:4" ht="16.5" hidden="1" x14ac:dyDescent="0.3">
      <c r="A1958" s="10" t="str">
        <f>基本属性!$B$15&amp;"|"&amp;基本属性!$C$15</f>
        <v>110|5</v>
      </c>
      <c r="B1958" s="10" t="str">
        <f>参数调整!$J$32</f>
        <v>精英掉落</v>
      </c>
      <c r="C1958" s="8" t="str">
        <f>材料产出!$L$2</f>
        <v>火龙币</v>
      </c>
      <c r="D1958" s="224">
        <f>参数调整!$K$32*怪物掉落配置方案!$D5036</f>
        <v>6.752077490229394E-2</v>
      </c>
    </row>
    <row r="1959" spans="1:4" ht="16.5" hidden="1" x14ac:dyDescent="0.3">
      <c r="A1959" s="10" t="str">
        <f>基本属性!$B$16&amp;"|"&amp;基本属性!$C$16</f>
        <v>120|6</v>
      </c>
      <c r="B1959" s="10" t="str">
        <f>参数调整!$J$32</f>
        <v>精英掉落</v>
      </c>
      <c r="C1959" s="8" t="str">
        <f>材料产出!$L$2</f>
        <v>火龙币</v>
      </c>
      <c r="D1959" s="224">
        <f>参数调整!$K$32*怪物掉落配置方案!$D5037</f>
        <v>8.7191083293251467E-2</v>
      </c>
    </row>
    <row r="1960" spans="1:4" ht="16.5" hidden="1" x14ac:dyDescent="0.3">
      <c r="A1960" s="10" t="str">
        <f>基本属性!$B$17&amp;"|"&amp;基本属性!$C$17</f>
        <v>135|7</v>
      </c>
      <c r="B1960" s="10" t="str">
        <f>参数调整!$J$32</f>
        <v>精英掉落</v>
      </c>
      <c r="C1960" s="8" t="str">
        <f>材料产出!$L$2</f>
        <v>火龙币</v>
      </c>
      <c r="D1960" s="224">
        <f>参数调整!$K$32*怪物掉落配置方案!$D5038</f>
        <v>0.12555515994228209</v>
      </c>
    </row>
    <row r="1961" spans="1:4" ht="16.5" hidden="1" x14ac:dyDescent="0.3">
      <c r="A1961" s="10" t="str">
        <f>基本属性!$B$18&amp;"|"&amp;基本属性!$C$18</f>
        <v>155|8</v>
      </c>
      <c r="B1961" s="10" t="str">
        <f>参数调整!$J$32</f>
        <v>精英掉落</v>
      </c>
      <c r="C1961" s="8" t="str">
        <f>材料产出!$L$2</f>
        <v>火龙币</v>
      </c>
      <c r="D1961" s="224">
        <f>参数调整!$K$32*怪物掉落配置方案!$D5039</f>
        <v>0.17089452325477286</v>
      </c>
    </row>
    <row r="1962" spans="1:4" ht="16.5" hidden="1" x14ac:dyDescent="0.3">
      <c r="A1962" s="10" t="str">
        <f>基本属性!$B$19&amp;"|"&amp;基本属性!$C$19</f>
        <v>190|9</v>
      </c>
      <c r="B1962" s="10" t="str">
        <f>参数调整!$J$32</f>
        <v>精英掉落</v>
      </c>
      <c r="C1962" s="8" t="str">
        <f>材料产出!$L$2</f>
        <v>火龙币</v>
      </c>
      <c r="D1962" s="224">
        <f>参数调整!$K$32*怪物掉落配置方案!$D5040</f>
        <v>0.190983348845538</v>
      </c>
    </row>
    <row r="1963" spans="1:4" ht="16.5" hidden="1" x14ac:dyDescent="0.3">
      <c r="A1963" s="10" t="str">
        <f>基本属性!$B$20&amp;"|"&amp;基本属性!$C$20</f>
        <v>200|10</v>
      </c>
      <c r="B1963" s="10" t="str">
        <f>参数调整!$J$32</f>
        <v>精英掉落</v>
      </c>
      <c r="C1963" s="8" t="str">
        <f>材料产出!$L$2</f>
        <v>火龙币</v>
      </c>
      <c r="D1963" s="224">
        <f>参数调整!$K$32*怪物掉落配置方案!$D5041</f>
        <v>0.22320917323072373</v>
      </c>
    </row>
    <row r="1964" spans="1:4" ht="16.5" hidden="1" x14ac:dyDescent="0.3">
      <c r="A1964" s="10" t="str">
        <f>基本属性!$B$21&amp;"|"&amp;基本属性!$C$21</f>
        <v>200|11</v>
      </c>
      <c r="B1964" s="10" t="str">
        <f>参数调整!$J$32</f>
        <v>精英掉落</v>
      </c>
      <c r="C1964" s="8" t="str">
        <f>材料产出!$L$2</f>
        <v>火龙币</v>
      </c>
      <c r="D1964" s="224">
        <f>参数调整!$K$32*怪物掉落配置方案!$D5042</f>
        <v>0.25794610081475505</v>
      </c>
    </row>
    <row r="1965" spans="1:4" ht="16.5" hidden="1" x14ac:dyDescent="0.3">
      <c r="A1965" s="10" t="str">
        <f>基本属性!$B$22&amp;"|"&amp;基本属性!$C$22</f>
        <v>210|12</v>
      </c>
      <c r="B1965" s="10" t="str">
        <f>参数调整!$J$32</f>
        <v>精英掉落</v>
      </c>
      <c r="C1965" s="8" t="str">
        <f>材料产出!$L$2</f>
        <v>火龙币</v>
      </c>
      <c r="D1965" s="224">
        <f>参数调整!$K$32*怪物掉落配置方案!$D5043</f>
        <v>0.29519413159763208</v>
      </c>
    </row>
    <row r="1966" spans="1:4" ht="16.5" hidden="1" x14ac:dyDescent="0.3">
      <c r="A1966" s="10" t="str">
        <f>基本属性!$B$23&amp;"|"&amp;基本属性!$C$23</f>
        <v>210|13</v>
      </c>
      <c r="B1966" s="10" t="str">
        <f>参数调整!$J$32</f>
        <v>精英掉落</v>
      </c>
      <c r="C1966" s="8" t="str">
        <f>材料产出!$L$2</f>
        <v>火龙币</v>
      </c>
      <c r="D1966" s="224">
        <f>参数调整!$K$32*怪物掉落配置方案!$D5044</f>
        <v>0.33495326557935479</v>
      </c>
    </row>
    <row r="1967" spans="1:4" ht="16.5" hidden="1" x14ac:dyDescent="0.3">
      <c r="A1967" s="10" t="str">
        <f>基本属性!$B$24&amp;"|"&amp;基本属性!$C$24</f>
        <v>220|14</v>
      </c>
      <c r="B1967" s="10" t="str">
        <f>参数调整!$J$32</f>
        <v>精英掉落</v>
      </c>
      <c r="C1967" s="8" t="str">
        <f>材料产出!$L$2</f>
        <v>火龙币</v>
      </c>
      <c r="D1967" s="224">
        <f>参数调整!$K$32*怪物掉落配置方案!$D5045</f>
        <v>0.37722350275992311</v>
      </c>
    </row>
    <row r="1968" spans="1:4" ht="16.5" hidden="1" x14ac:dyDescent="0.3">
      <c r="A1968" s="10" t="str">
        <f>基本属性!$B$25&amp;"|"&amp;基本属性!$C$25</f>
        <v>220|15</v>
      </c>
      <c r="B1968" s="10" t="str">
        <f>参数调整!$J$32</f>
        <v>精英掉落</v>
      </c>
      <c r="C1968" s="8" t="str">
        <f>材料产出!$L$2</f>
        <v>火龙币</v>
      </c>
      <c r="D1968" s="224">
        <f>参数调整!$K$32*怪物掉落配置方案!$D5046</f>
        <v>0.422004843139337</v>
      </c>
    </row>
    <row r="1969" spans="1:4" ht="16.5" hidden="1" x14ac:dyDescent="0.3">
      <c r="A1969" s="10" t="str">
        <f>基本属性!$B$26&amp;"|"&amp;基本属性!$C$26</f>
        <v>230|16</v>
      </c>
      <c r="B1969" s="10" t="str">
        <f>参数调整!$J$32</f>
        <v>精英掉落</v>
      </c>
      <c r="C1969" s="8" t="str">
        <f>材料产出!$L$2</f>
        <v>火龙币</v>
      </c>
      <c r="D1969" s="224">
        <f>参数调整!$K$32*怪物掉落配置方案!$D5047</f>
        <v>0.46929728671759657</v>
      </c>
    </row>
    <row r="1970" spans="1:4" ht="16.5" hidden="1" x14ac:dyDescent="0.3">
      <c r="A1970" s="10" t="str">
        <f>基本属性!$B$27&amp;"|"&amp;基本属性!$C$27</f>
        <v>230|17</v>
      </c>
      <c r="B1970" s="10" t="str">
        <f>参数调整!$J$32</f>
        <v>精英掉落</v>
      </c>
      <c r="C1970" s="8" t="str">
        <f>材料产出!$L$2</f>
        <v>火龙币</v>
      </c>
      <c r="D1970" s="224">
        <f>参数调整!$K$32*怪物掉落配置方案!$D5048</f>
        <v>0.51910083349470182</v>
      </c>
    </row>
    <row r="1971" spans="1:4" ht="16.5" hidden="1" x14ac:dyDescent="0.3">
      <c r="A1971" s="10" t="str">
        <f>基本属性!$B$28&amp;"|"&amp;基本属性!$C$28</f>
        <v>240|18</v>
      </c>
      <c r="B1971" s="10" t="str">
        <f>参数调整!$J$32</f>
        <v>精英掉落</v>
      </c>
      <c r="C1971" s="8" t="str">
        <f>材料产出!$L$2</f>
        <v>火龙币</v>
      </c>
      <c r="D1971" s="224">
        <f>参数调整!$K$32*怪物掉落配置方案!$D5049</f>
        <v>0.57141548347065285</v>
      </c>
    </row>
    <row r="1972" spans="1:4" ht="16.5" hidden="1" x14ac:dyDescent="0.3">
      <c r="A1972" s="10" t="str">
        <f>基本属性!$B$29&amp;"|"&amp;基本属性!$C$29</f>
        <v>240|19</v>
      </c>
      <c r="B1972" s="10" t="str">
        <f>参数调整!$J$32</f>
        <v>精英掉落</v>
      </c>
      <c r="C1972" s="8" t="str">
        <f>材料产出!$L$2</f>
        <v>火龙币</v>
      </c>
      <c r="D1972" s="224">
        <f>参数调整!$K$32*怪物掉落配置方案!$D5050</f>
        <v>0.62624123664544928</v>
      </c>
    </row>
    <row r="1973" spans="1:4" ht="16.5" hidden="1" x14ac:dyDescent="0.3">
      <c r="A1973" s="10" t="str">
        <f>基本属性!$B$30&amp;"|"&amp;基本属性!$C$30</f>
        <v>250|20</v>
      </c>
      <c r="B1973" s="10" t="str">
        <f>参数调整!$J$32</f>
        <v>精英掉落</v>
      </c>
      <c r="C1973" s="8" t="str">
        <f>材料产出!$L$2</f>
        <v>火龙币</v>
      </c>
      <c r="D1973" s="224">
        <f>参数调整!$K$32*怪物掉落配置方案!$D5051</f>
        <v>0.68357809301909134</v>
      </c>
    </row>
    <row r="1974" spans="1:4" ht="16.5" hidden="1" x14ac:dyDescent="0.3">
      <c r="A1974" s="10" t="str">
        <f>基本属性!$B$4&amp;"|"&amp;基本属性!$C$4</f>
        <v>35|0</v>
      </c>
      <c r="B1974" s="10" t="str">
        <f>参数调整!$J$32</f>
        <v>精英掉落</v>
      </c>
      <c r="C1974" s="8" t="str">
        <f>材料产出!$BD$2</f>
        <v>防具碎片</v>
      </c>
      <c r="D1974" s="224">
        <f>参数调整!$K$32*怪物掉落配置方案!$D5052</f>
        <v>3.2466788833559817E-4</v>
      </c>
    </row>
    <row r="1975" spans="1:4" ht="16.5" hidden="1" x14ac:dyDescent="0.3">
      <c r="A1975" s="10" t="str">
        <f>基本属性!$B$5&amp;"|"&amp;基本属性!$C$5</f>
        <v>40|0</v>
      </c>
      <c r="B1975" s="10" t="str">
        <f>参数调整!$J$32</f>
        <v>精英掉落</v>
      </c>
      <c r="C1975" s="8" t="str">
        <f>材料产出!$BD$2</f>
        <v>防具碎片</v>
      </c>
      <c r="D1975" s="224">
        <f>参数调整!$K$32*怪物掉落配置方案!$D5053</f>
        <v>4.1090779617474144E-4</v>
      </c>
    </row>
    <row r="1976" spans="1:4" ht="16.5" hidden="1" x14ac:dyDescent="0.3">
      <c r="A1976" s="10" t="str">
        <f>基本属性!$B$6&amp;"|"&amp;基本属性!$C$6</f>
        <v>50|0</v>
      </c>
      <c r="B1976" s="10" t="str">
        <f>参数调整!$J$32</f>
        <v>精英掉落</v>
      </c>
      <c r="C1976" s="8" t="str">
        <f>材料产出!$BD$2</f>
        <v>防具碎片</v>
      </c>
      <c r="D1976" s="224">
        <f>参数调整!$K$32*怪物掉落配置方案!$D5054</f>
        <v>5.0729357552437221E-4</v>
      </c>
    </row>
    <row r="1977" spans="1:4" ht="16.5" hidden="1" x14ac:dyDescent="0.3">
      <c r="A1977" s="10" t="str">
        <f>基本属性!$B$7&amp;"|"&amp;基本属性!$C$7</f>
        <v>60|0</v>
      </c>
      <c r="B1977" s="10" t="str">
        <f>参数调整!$J$32</f>
        <v>精英掉落</v>
      </c>
      <c r="C1977" s="8" t="str">
        <f>材料产出!$BD$2</f>
        <v>防具碎片</v>
      </c>
      <c r="D1977" s="224">
        <f>参数调整!$K$32*怪物掉落配置方案!$D5055</f>
        <v>6.1382522638449028E-4</v>
      </c>
    </row>
    <row r="1978" spans="1:4" ht="16.5" hidden="1" x14ac:dyDescent="0.3">
      <c r="A1978" s="10" t="str">
        <f>基本属性!$B$8&amp;"|"&amp;基本属性!$C$8</f>
        <v>65|0</v>
      </c>
      <c r="B1978" s="10" t="str">
        <f>参数调整!$J$32</f>
        <v>精英掉落</v>
      </c>
      <c r="C1978" s="8" t="str">
        <f>材料产出!$BD$2</f>
        <v>防具碎片</v>
      </c>
      <c r="D1978" s="224">
        <f>参数调整!$K$32*怪物掉落配置方案!$D5056</f>
        <v>7.3050274875509586E-4</v>
      </c>
    </row>
    <row r="1979" spans="1:4" ht="16.5" hidden="1" x14ac:dyDescent="0.3">
      <c r="A1979" s="10" t="str">
        <f>基本属性!$B$9&amp;"|"&amp;基本属性!$C$9</f>
        <v>70|0</v>
      </c>
      <c r="B1979" s="10" t="str">
        <f>参数调整!$J$32</f>
        <v>精英掉落</v>
      </c>
      <c r="C1979" s="8" t="str">
        <f>材料产出!$BD$2</f>
        <v>防具碎片</v>
      </c>
      <c r="D1979" s="224">
        <f>参数调整!$K$32*怪物掉落配置方案!$D5057</f>
        <v>8.5732614263618894E-4</v>
      </c>
    </row>
    <row r="1980" spans="1:4" ht="16.5" hidden="1" x14ac:dyDescent="0.3">
      <c r="A1980" s="10" t="str">
        <f>基本属性!$B$10&amp;"|"&amp;基本属性!$C$10</f>
        <v>75|0</v>
      </c>
      <c r="B1980" s="10" t="str">
        <f>参数调整!$J$32</f>
        <v>精英掉落</v>
      </c>
      <c r="C1980" s="8" t="str">
        <f>材料产出!$BD$2</f>
        <v>防具碎片</v>
      </c>
      <c r="D1980" s="224">
        <f>参数调整!$K$32*怪物掉落配置方案!$D5058</f>
        <v>9.942954080277692E-4</v>
      </c>
    </row>
    <row r="1981" spans="1:4" ht="16.5" hidden="1" x14ac:dyDescent="0.3">
      <c r="A1981" s="10" t="str">
        <f>基本属性!$B$11&amp;"|"&amp;基本属性!$C$11</f>
        <v>80|1</v>
      </c>
      <c r="B1981" s="10" t="str">
        <f>参数调整!$J$32</f>
        <v>精英掉落</v>
      </c>
      <c r="C1981" s="8" t="str">
        <f>材料产出!$BD$2</f>
        <v>防具碎片</v>
      </c>
      <c r="D1981" s="224">
        <f>参数调整!$K$32*怪物掉落配置方案!$D5059</f>
        <v>1.1414105449298372E-3</v>
      </c>
    </row>
    <row r="1982" spans="1:4" ht="16.5" hidden="1" x14ac:dyDescent="0.3">
      <c r="A1982" s="10" t="str">
        <f>基本属性!$B$12&amp;"|"&amp;基本属性!$C$12</f>
        <v>90|2</v>
      </c>
      <c r="B1982" s="10" t="str">
        <f>参数调整!$J$32</f>
        <v>精英掉落</v>
      </c>
      <c r="C1982" s="8" t="str">
        <f>材料产出!$BD$2</f>
        <v>防具碎片</v>
      </c>
      <c r="D1982" s="224">
        <f>参数调整!$K$32*怪物掉落配置方案!$D5060</f>
        <v>1.2986715533423929E-3</v>
      </c>
    </row>
    <row r="1983" spans="1:4" ht="16.5" hidden="1" x14ac:dyDescent="0.3">
      <c r="A1983" s="10" t="str">
        <f>基本属性!$B$13&amp;"|"&amp;基本属性!$C$13</f>
        <v>100|3</v>
      </c>
      <c r="B1983" s="10" t="str">
        <f>参数调整!$J$32</f>
        <v>精英掉落</v>
      </c>
      <c r="C1983" s="8" t="str">
        <f>材料产出!$BD$2</f>
        <v>防具碎片</v>
      </c>
      <c r="D1983" s="224">
        <f>参数调整!$K$32*怪物掉落配置方案!$D5061</f>
        <v>1.643631184698966E-3</v>
      </c>
    </row>
    <row r="1984" spans="1:4" ht="16.5" hidden="1" x14ac:dyDescent="0.3">
      <c r="A1984" s="10" t="str">
        <f>基本属性!$B$14&amp;"|"&amp;基本属性!$C$14</f>
        <v>105|4</v>
      </c>
      <c r="B1984" s="10" t="str">
        <f>参数调整!$J$32</f>
        <v>精英掉落</v>
      </c>
      <c r="C1984" s="8" t="str">
        <f>材料产出!$BD$2</f>
        <v>防具碎片</v>
      </c>
      <c r="D1984" s="224">
        <f>参数调整!$K$32*怪物掉落配置方案!$D5062</f>
        <v>2.0291743020974889E-3</v>
      </c>
    </row>
    <row r="1985" spans="1:4" ht="16.5" hidden="1" x14ac:dyDescent="0.3">
      <c r="A1985" s="10" t="str">
        <f>基本属性!$B$15&amp;"|"&amp;基本属性!$C$15</f>
        <v>110|5</v>
      </c>
      <c r="B1985" s="10" t="str">
        <f>参数调整!$J$32</f>
        <v>精英掉落</v>
      </c>
      <c r="C1985" s="8" t="str">
        <f>材料产出!$BD$2</f>
        <v>防具碎片</v>
      </c>
      <c r="D1985" s="224">
        <f>参数调整!$K$32*怪物掉落配置方案!$D5063</f>
        <v>2.4553009055379616E-3</v>
      </c>
    </row>
    <row r="1986" spans="1:4" ht="16.5" hidden="1" x14ac:dyDescent="0.3">
      <c r="A1986" s="10" t="str">
        <f>基本属性!$B$16&amp;"|"&amp;基本属性!$C$16</f>
        <v>120|6</v>
      </c>
      <c r="B1986" s="10" t="str">
        <f>参数调整!$J$32</f>
        <v>精英掉落</v>
      </c>
      <c r="C1986" s="8" t="str">
        <f>材料产出!$BD$2</f>
        <v>防具碎片</v>
      </c>
      <c r="D1986" s="224">
        <f>参数调整!$K$32*怪物掉落配置方案!$D5064</f>
        <v>3.1705848470273265E-3</v>
      </c>
    </row>
    <row r="1987" spans="1:4" ht="16.5" hidden="1" x14ac:dyDescent="0.3">
      <c r="A1987" s="10" t="str">
        <f>基本属性!$B$17&amp;"|"&amp;基本属性!$C$17</f>
        <v>135|7</v>
      </c>
      <c r="B1987" s="10" t="str">
        <f>参数调整!$J$32</f>
        <v>精英掉落</v>
      </c>
      <c r="C1987" s="8" t="str">
        <f>材料产出!$BD$2</f>
        <v>防具碎片</v>
      </c>
      <c r="D1987" s="224">
        <f>参数调整!$K$32*怪物掉落配置方案!$D5065</f>
        <v>4.5656421797193487E-3</v>
      </c>
    </row>
    <row r="1988" spans="1:4" ht="16.5" hidden="1" x14ac:dyDescent="0.3">
      <c r="A1988" s="10" t="str">
        <f>基本属性!$B$18&amp;"|"&amp;基本属性!$C$18</f>
        <v>155|8</v>
      </c>
      <c r="B1988" s="10" t="str">
        <f>参数调整!$J$32</f>
        <v>精英掉落</v>
      </c>
      <c r="C1988" s="8" t="str">
        <f>材料产出!$BD$2</f>
        <v>防具碎片</v>
      </c>
      <c r="D1988" s="224">
        <f>参数调整!$K$32*怪物掉落配置方案!$D5066</f>
        <v>6.2143463001735587E-3</v>
      </c>
    </row>
    <row r="1989" spans="1:4" ht="16.5" hidden="1" x14ac:dyDescent="0.3">
      <c r="A1989" s="10" t="str">
        <f>基本属性!$B$19&amp;"|"&amp;基本属性!$C$19</f>
        <v>190|9</v>
      </c>
      <c r="B1989" s="10" t="str">
        <f>参数调整!$J$32</f>
        <v>精英掉落</v>
      </c>
      <c r="C1989" s="8" t="str">
        <f>材料产出!$BD$2</f>
        <v>防具碎片</v>
      </c>
      <c r="D1989" s="224">
        <f>参数调整!$K$32*怪物掉落配置方案!$D5067</f>
        <v>6.9448490489286549E-3</v>
      </c>
    </row>
    <row r="1990" spans="1:4" ht="16.5" hidden="1" x14ac:dyDescent="0.3">
      <c r="A1990" s="10" t="str">
        <f>基本属性!$B$20&amp;"|"&amp;基本属性!$C$20</f>
        <v>200|10</v>
      </c>
      <c r="B1990" s="10" t="str">
        <f>参数调整!$J$32</f>
        <v>精英掉落</v>
      </c>
      <c r="C1990" s="8" t="str">
        <f>材料产出!$BD$2</f>
        <v>防具碎片</v>
      </c>
      <c r="D1990" s="224">
        <f>参数调整!$K$32*怪物掉落配置方案!$D5068</f>
        <v>8.1166972083899554E-3</v>
      </c>
    </row>
    <row r="1991" spans="1:4" ht="16.5" hidden="1" x14ac:dyDescent="0.3">
      <c r="A1991" s="10" t="str">
        <f>基本属性!$B$21&amp;"|"&amp;基本属性!$C$21</f>
        <v>200|11</v>
      </c>
      <c r="B1991" s="10" t="str">
        <f>参数调整!$J$32</f>
        <v>精英掉落</v>
      </c>
      <c r="C1991" s="8" t="str">
        <f>材料产出!$BD$2</f>
        <v>防具碎片</v>
      </c>
      <c r="D1991" s="224">
        <f>参数调整!$K$32*怪物掉落配置方案!$D5069</f>
        <v>9.3798582114456384E-3</v>
      </c>
    </row>
    <row r="1992" spans="1:4" ht="16.5" hidden="1" x14ac:dyDescent="0.3">
      <c r="A1992" s="10" t="str">
        <f>基本属性!$B$22&amp;"|"&amp;基本属性!$C$22</f>
        <v>210|12</v>
      </c>
      <c r="B1992" s="10" t="str">
        <f>参数调整!$J$32</f>
        <v>精英掉落</v>
      </c>
      <c r="C1992" s="8" t="str">
        <f>材料产出!$BD$2</f>
        <v>防具碎片</v>
      </c>
      <c r="D1992" s="224">
        <f>参数调整!$K$32*怪物掉落配置方案!$D5070</f>
        <v>1.0734332058095711E-2</v>
      </c>
    </row>
    <row r="1993" spans="1:4" ht="16.5" hidden="1" x14ac:dyDescent="0.3">
      <c r="A1993" s="10" t="str">
        <f>基本属性!$B$23&amp;"|"&amp;基本属性!$C$23</f>
        <v>210|13</v>
      </c>
      <c r="B1993" s="10" t="str">
        <f>参数调整!$J$32</f>
        <v>精英掉落</v>
      </c>
      <c r="C1993" s="8" t="str">
        <f>材料产出!$BD$2</f>
        <v>防具碎片</v>
      </c>
      <c r="D1993" s="224">
        <f>参数调整!$K$32*怪物掉落配置方案!$D5071</f>
        <v>1.2180118748340176E-2</v>
      </c>
    </row>
    <row r="1994" spans="1:4" ht="16.5" hidden="1" x14ac:dyDescent="0.3">
      <c r="A1994" s="10" t="str">
        <f>基本属性!$B$24&amp;"|"&amp;基本属性!$C$24</f>
        <v>220|14</v>
      </c>
      <c r="B1994" s="10" t="str">
        <f>参数调整!$J$32</f>
        <v>精英掉落</v>
      </c>
      <c r="C1994" s="8" t="str">
        <f>材料产出!$BD$2</f>
        <v>防具碎片</v>
      </c>
      <c r="D1994" s="224">
        <f>参数调整!$K$32*怪物掉落配置方案!$D5072</f>
        <v>1.3717218282179023E-2</v>
      </c>
    </row>
    <row r="1995" spans="1:4" ht="16.5" hidden="1" x14ac:dyDescent="0.3">
      <c r="A1995" s="10" t="str">
        <f>基本属性!$B$25&amp;"|"&amp;基本属性!$C$25</f>
        <v>220|15</v>
      </c>
      <c r="B1995" s="10" t="str">
        <f>参数调整!$J$32</f>
        <v>精英掉落</v>
      </c>
      <c r="C1995" s="8" t="str">
        <f>材料产出!$BD$2</f>
        <v>防具碎片</v>
      </c>
      <c r="D1995" s="224">
        <f>参数调整!$K$32*怪物掉落配置方案!$D5073</f>
        <v>1.5345630659612253E-2</v>
      </c>
    </row>
    <row r="1996" spans="1:4" ht="16.5" hidden="1" x14ac:dyDescent="0.3">
      <c r="A1996" s="10" t="str">
        <f>基本属性!$B$26&amp;"|"&amp;基本属性!$C$26</f>
        <v>230|16</v>
      </c>
      <c r="B1996" s="10" t="str">
        <f>参数调整!$J$32</f>
        <v>精英掉落</v>
      </c>
      <c r="C1996" s="8" t="str">
        <f>材料产出!$BD$2</f>
        <v>防具碎片</v>
      </c>
      <c r="D1996" s="224">
        <f>参数调整!$K$32*怪物掉落配置方案!$D5074</f>
        <v>1.7065355880639878E-2</v>
      </c>
    </row>
    <row r="1997" spans="1:4" ht="16.5" hidden="1" x14ac:dyDescent="0.3">
      <c r="A1997" s="10" t="str">
        <f>基本属性!$B$27&amp;"|"&amp;基本属性!$C$27</f>
        <v>230|17</v>
      </c>
      <c r="B1997" s="10" t="str">
        <f>参数调整!$J$32</f>
        <v>精英掉落</v>
      </c>
      <c r="C1997" s="8" t="str">
        <f>材料产出!$BD$2</f>
        <v>防具碎片</v>
      </c>
      <c r="D1997" s="224">
        <f>参数调整!$K$32*怪物掉落配置方案!$D5075</f>
        <v>1.8876393945261884E-2</v>
      </c>
    </row>
    <row r="1998" spans="1:4" ht="16.5" hidden="1" x14ac:dyDescent="0.3">
      <c r="A1998" s="10" t="str">
        <f>基本属性!$B$28&amp;"|"&amp;基本属性!$C$28</f>
        <v>240|18</v>
      </c>
      <c r="B1998" s="10" t="str">
        <f>参数调整!$J$32</f>
        <v>精英掉落</v>
      </c>
      <c r="C1998" s="8" t="str">
        <f>材料产出!$BD$2</f>
        <v>防具碎片</v>
      </c>
      <c r="D1998" s="224">
        <f>参数调整!$K$32*怪物掉落配置方案!$D5076</f>
        <v>2.0778744853478283E-2</v>
      </c>
    </row>
    <row r="1999" spans="1:4" ht="16.5" hidden="1" x14ac:dyDescent="0.3">
      <c r="A1999" s="10" t="str">
        <f>基本属性!$B$29&amp;"|"&amp;基本属性!$C$29</f>
        <v>240|19</v>
      </c>
      <c r="B1999" s="10" t="str">
        <f>参数调整!$J$32</f>
        <v>精英掉落</v>
      </c>
      <c r="C1999" s="8" t="str">
        <f>材料产出!$BD$2</f>
        <v>防具碎片</v>
      </c>
      <c r="D1999" s="224">
        <f>参数调整!$K$32*怪物掉落配置方案!$D5077</f>
        <v>2.2772408605289066E-2</v>
      </c>
    </row>
    <row r="2000" spans="1:4" ht="16.5" hidden="1" x14ac:dyDescent="0.3">
      <c r="A2000" s="10" t="str">
        <f>基本属性!$B$30&amp;"|"&amp;基本属性!$C$30</f>
        <v>250|20</v>
      </c>
      <c r="B2000" s="10" t="str">
        <f>参数调整!$J$32</f>
        <v>精英掉落</v>
      </c>
      <c r="C2000" s="8" t="str">
        <f>材料产出!$BD$2</f>
        <v>防具碎片</v>
      </c>
      <c r="D2000" s="224">
        <f>参数调整!$K$32*怪物掉落配置方案!$D5078</f>
        <v>2.4857385200694228E-2</v>
      </c>
    </row>
    <row r="2001" spans="1:4" ht="16.5" hidden="1" x14ac:dyDescent="0.3">
      <c r="A2001" s="10" t="str">
        <f>基本属性!$B$4&amp;"|"&amp;基本属性!$C$4</f>
        <v>35|0</v>
      </c>
      <c r="B2001" s="10" t="str">
        <f>参数调整!$J$32</f>
        <v>精英掉落</v>
      </c>
      <c r="C2001" s="8" t="str">
        <f>材料产出!$AD$2</f>
        <v>凡品升星石</v>
      </c>
      <c r="D2001" s="224">
        <f>参数调整!$K$32*怪物掉落配置方案!$D5079</f>
        <v>4.5365042618120591E-2</v>
      </c>
    </row>
    <row r="2002" spans="1:4" ht="16.5" hidden="1" x14ac:dyDescent="0.3">
      <c r="A2002" s="10" t="str">
        <f>基本属性!$B$5&amp;"|"&amp;基本属性!$C$5</f>
        <v>40|0</v>
      </c>
      <c r="B2002" s="10" t="str">
        <f>参数调整!$J$32</f>
        <v>精英掉落</v>
      </c>
      <c r="C2002" s="8" t="str">
        <f>材料产出!$AD$2</f>
        <v>凡品升星石</v>
      </c>
      <c r="D2002" s="224">
        <f>参数调整!$K$32*怪物掉落配置方案!$D5080</f>
        <v>5.7415132063558888E-2</v>
      </c>
    </row>
    <row r="2003" spans="1:4" ht="16.5" hidden="1" x14ac:dyDescent="0.3">
      <c r="A2003" s="10" t="str">
        <f>基本属性!$B$6&amp;"|"&amp;基本属性!$C$6</f>
        <v>50|0</v>
      </c>
      <c r="B2003" s="10" t="str">
        <f>参数调整!$J$32</f>
        <v>精英掉落</v>
      </c>
      <c r="C2003" s="8" t="str">
        <f>材料产出!$AD$2</f>
        <v>凡品升星石</v>
      </c>
      <c r="D2003" s="224">
        <f>参数调整!$K$32*怪物掉落配置方案!$D5081</f>
        <v>7.0882879090813436E-2</v>
      </c>
    </row>
    <row r="2004" spans="1:4" ht="16.5" hidden="1" x14ac:dyDescent="0.3">
      <c r="A2004" s="10" t="str">
        <f>基本属性!$B$7&amp;"|"&amp;基本属性!$C$7</f>
        <v>60|0</v>
      </c>
      <c r="B2004" s="10" t="str">
        <f>参数调整!$J$32</f>
        <v>精英掉落</v>
      </c>
      <c r="C2004" s="8" t="str">
        <f>材料产出!$AD$2</f>
        <v>凡品升星石</v>
      </c>
      <c r="D2004" s="224">
        <f>参数调整!$K$32*怪物掉落配置方案!$D5082</f>
        <v>8.5768283699884248E-2</v>
      </c>
    </row>
    <row r="2005" spans="1:4" ht="16.5" hidden="1" x14ac:dyDescent="0.3">
      <c r="A2005" s="10" t="str">
        <f>基本属性!$B$8&amp;"|"&amp;基本属性!$C$8</f>
        <v>65|0</v>
      </c>
      <c r="B2005" s="10" t="str">
        <f>参数调整!$J$32</f>
        <v>精英掉落</v>
      </c>
      <c r="C2005" s="8" t="str">
        <f>材料产出!$AD$2</f>
        <v>凡品升星石</v>
      </c>
      <c r="D2005" s="224">
        <f>参数调整!$K$32*怪物掉落配置方案!$D5083</f>
        <v>0.10207134589077134</v>
      </c>
    </row>
    <row r="2006" spans="1:4" ht="16.5" hidden="1" x14ac:dyDescent="0.3">
      <c r="A2006" s="10" t="str">
        <f>基本属性!$B$9&amp;"|"&amp;基本属性!$C$9</f>
        <v>70|0</v>
      </c>
      <c r="B2006" s="10" t="str">
        <f>参数调整!$J$32</f>
        <v>精英掉落</v>
      </c>
      <c r="C2006" s="8" t="str">
        <f>材料产出!$AD$2</f>
        <v>凡品升星石</v>
      </c>
      <c r="D2006" s="224">
        <f>参数调整!$K$32*怪物掉落配置方案!$D5084</f>
        <v>0.11979206566347469</v>
      </c>
    </row>
    <row r="2007" spans="1:4" ht="16.5" hidden="1" x14ac:dyDescent="0.3">
      <c r="A2007" s="10" t="str">
        <f>基本属性!$B$10&amp;"|"&amp;基本属性!$C$10</f>
        <v>75|0</v>
      </c>
      <c r="B2007" s="10" t="str">
        <f>参数调整!$J$32</f>
        <v>精英掉落</v>
      </c>
      <c r="C2007" s="8" t="str">
        <f>材料产出!$AD$2</f>
        <v>凡品升星石</v>
      </c>
      <c r="D2007" s="224">
        <f>参数调整!$K$32*怪物掉落配置方案!$D5085</f>
        <v>0.13893044301799432</v>
      </c>
    </row>
    <row r="2008" spans="1:4" ht="16.5" hidden="1" x14ac:dyDescent="0.3">
      <c r="A2008" s="10" t="str">
        <f>基本属性!$B$11&amp;"|"&amp;基本属性!$C$11</f>
        <v>80|1</v>
      </c>
      <c r="B2008" s="10" t="str">
        <f>参数调整!$J$32</f>
        <v>精英掉落</v>
      </c>
      <c r="C2008" s="8" t="str">
        <f>材料产出!$AD$2</f>
        <v>凡品升星石</v>
      </c>
      <c r="D2008" s="224">
        <f>参数调整!$K$32*怪物掉落配置方案!$D5086</f>
        <v>0.15948647795433021</v>
      </c>
    </row>
    <row r="2009" spans="1:4" ht="16.5" hidden="1" x14ac:dyDescent="0.3">
      <c r="A2009" s="10" t="str">
        <f>基本属性!$B$12&amp;"|"&amp;基本属性!$C$12</f>
        <v>90|2</v>
      </c>
      <c r="B2009" s="10" t="str">
        <f>参数调整!$J$32</f>
        <v>精英掉落</v>
      </c>
      <c r="C2009" s="8" t="str">
        <f>材料产出!$AD$2</f>
        <v>凡品升星石</v>
      </c>
      <c r="D2009" s="224">
        <f>参数调整!$K$32*怪物掉落配置方案!$D5087</f>
        <v>0.18146017047248245</v>
      </c>
    </row>
    <row r="2010" spans="1:4" ht="16.5" hidden="1" x14ac:dyDescent="0.3">
      <c r="A2010" s="10" t="str">
        <f>基本属性!$B$13&amp;"|"&amp;基本属性!$C$13</f>
        <v>100|3</v>
      </c>
      <c r="B2010" s="10" t="str">
        <f>参数调整!$J$32</f>
        <v>精英掉落</v>
      </c>
      <c r="C2010" s="8" t="str">
        <f>材料产出!$AD$2</f>
        <v>凡品升星石</v>
      </c>
      <c r="D2010" s="224">
        <f>参数调整!$K$32*怪物掉落配置方案!$D5088</f>
        <v>0.22966052825423555</v>
      </c>
    </row>
    <row r="2011" spans="1:4" ht="16.5" hidden="1" x14ac:dyDescent="0.3">
      <c r="A2011" s="10" t="str">
        <f>基本属性!$B$14&amp;"|"&amp;基本属性!$C$14</f>
        <v>105|4</v>
      </c>
      <c r="B2011" s="10" t="str">
        <f>参数调整!$J$32</f>
        <v>精英掉落</v>
      </c>
      <c r="C2011" s="8" t="str">
        <f>材料产出!$AD$2</f>
        <v>凡品升星石</v>
      </c>
      <c r="D2011" s="224">
        <f>参数调整!$K$32*怪物掉落配置方案!$D5089</f>
        <v>0.28353151636325369</v>
      </c>
    </row>
    <row r="2012" spans="1:4" ht="16.5" hidden="1" x14ac:dyDescent="0.3">
      <c r="A2012" s="10" t="str">
        <f>基本属性!$B$15&amp;"|"&amp;基本属性!$C$15</f>
        <v>110|5</v>
      </c>
      <c r="B2012" s="10" t="str">
        <f>参数调整!$J$32</f>
        <v>精英掉落</v>
      </c>
      <c r="C2012" s="8" t="str">
        <f>材料产出!$AD$2</f>
        <v>凡品升星石</v>
      </c>
      <c r="D2012" s="224">
        <f>参数调整!$K$32*怪物掉落配置方案!$D5090</f>
        <v>0.34307313479953699</v>
      </c>
    </row>
    <row r="2013" spans="1:4" ht="16.5" hidden="1" x14ac:dyDescent="0.3">
      <c r="A2013" s="10" t="str">
        <f>基本属性!$B$16&amp;"|"&amp;基本属性!$C$16</f>
        <v>120|6</v>
      </c>
      <c r="B2013" s="10" t="str">
        <f>参数调整!$J$32</f>
        <v>精英掉落</v>
      </c>
      <c r="C2013" s="8" t="str">
        <f>材料产出!$AD$2</f>
        <v>凡品升星石</v>
      </c>
      <c r="D2013" s="224">
        <f>参数调整!$K$32*怪物掉落配置方案!$D5091</f>
        <v>0.44301799431758393</v>
      </c>
    </row>
    <row r="2014" spans="1:4" ht="16.5" hidden="1" x14ac:dyDescent="0.3">
      <c r="A2014" s="10" t="str">
        <f>基本属性!$B$17&amp;"|"&amp;基本属性!$C$17</f>
        <v>135|7</v>
      </c>
      <c r="B2014" s="10" t="str">
        <f>参数调整!$J$32</f>
        <v>精英掉落</v>
      </c>
      <c r="C2014" s="8" t="str">
        <f>材料产出!$AD$2</f>
        <v>凡品升星石</v>
      </c>
      <c r="D2014" s="224">
        <f>参数调整!$K$32*怪物掉落配置方案!$D5092</f>
        <v>0.63794591181732085</v>
      </c>
    </row>
    <row r="2015" spans="1:4" ht="16.5" hidden="1" x14ac:dyDescent="0.3">
      <c r="A2015" s="10" t="str">
        <f>基本属性!$B$18&amp;"|"&amp;基本属性!$C$18</f>
        <v>155|8</v>
      </c>
      <c r="B2015" s="10" t="str">
        <f>参数调整!$J$32</f>
        <v>精英掉落</v>
      </c>
      <c r="C2015" s="8" t="str">
        <f>材料产出!$AD$2</f>
        <v>凡品升星石</v>
      </c>
      <c r="D2015" s="224">
        <f>参数调整!$K$32*怪物掉落配置方案!$D5093</f>
        <v>0.86831526886246468</v>
      </c>
    </row>
    <row r="2016" spans="1:4" ht="16.5" hidden="1" x14ac:dyDescent="0.3">
      <c r="A2016" s="10" t="str">
        <f>基本属性!$B$19&amp;"|"&amp;基本属性!$C$19</f>
        <v>190|9</v>
      </c>
      <c r="B2016" s="10" t="str">
        <f>参数调整!$J$32</f>
        <v>精英掉落</v>
      </c>
      <c r="C2016" s="8" t="str">
        <f>材料产出!$AD$2</f>
        <v>凡品升星石</v>
      </c>
      <c r="D2016" s="224">
        <f>参数调整!$K$32*怪物掉落配置方案!$D5094</f>
        <v>0.97038661475323607</v>
      </c>
    </row>
    <row r="2017" spans="1:4" ht="16.5" hidden="1" x14ac:dyDescent="0.3">
      <c r="A2017" s="10" t="str">
        <f>基本属性!$B$20&amp;"|"&amp;基本属性!$C$20</f>
        <v>200|10</v>
      </c>
      <c r="B2017" s="10" t="str">
        <f>参数调整!$J$32</f>
        <v>精英掉落</v>
      </c>
      <c r="C2017" s="8" t="str">
        <f>材料产出!$AD$2</f>
        <v>凡品升星石</v>
      </c>
      <c r="D2017" s="224">
        <f>参数调整!$K$32*怪物掉落配置方案!$D5095</f>
        <v>1.1341260654530148</v>
      </c>
    </row>
    <row r="2018" spans="1:4" ht="16.5" hidden="1" x14ac:dyDescent="0.3">
      <c r="A2018" s="10" t="str">
        <f>基本属性!$B$21&amp;"|"&amp;基本属性!$C$21</f>
        <v>200|11</v>
      </c>
      <c r="B2018" s="10" t="str">
        <f>参数调整!$J$32</f>
        <v>精英掉落</v>
      </c>
      <c r="C2018" s="8" t="str">
        <f>材料产出!$AD$2</f>
        <v>凡品升星石</v>
      </c>
      <c r="D2018" s="224">
        <f>参数调整!$K$32*怪物掉落配置方案!$D5096</f>
        <v>1.3106244343891402</v>
      </c>
    </row>
    <row r="2019" spans="1:4" ht="16.5" hidden="1" x14ac:dyDescent="0.3">
      <c r="A2019" s="10" t="str">
        <f>基本属性!$B$22&amp;"|"&amp;基本属性!$C$22</f>
        <v>210|12</v>
      </c>
      <c r="B2019" s="10" t="str">
        <f>参数调整!$J$32</f>
        <v>精英掉落</v>
      </c>
      <c r="C2019" s="8" t="str">
        <f>材料产出!$AD$2</f>
        <v>凡品升星石</v>
      </c>
      <c r="D2019" s="224">
        <f>参数调整!$K$32*怪物掉落配置方案!$D5097</f>
        <v>1.499881721561612</v>
      </c>
    </row>
    <row r="2020" spans="1:4" ht="16.5" hidden="1" x14ac:dyDescent="0.3">
      <c r="A2020" s="10" t="str">
        <f>基本属性!$B$23&amp;"|"&amp;基本属性!$C$23</f>
        <v>210|13</v>
      </c>
      <c r="B2020" s="10" t="str">
        <f>参数调整!$J$32</f>
        <v>精英掉落</v>
      </c>
      <c r="C2020" s="8" t="str">
        <f>材料产出!$AD$2</f>
        <v>凡品升星石</v>
      </c>
      <c r="D2020" s="224">
        <f>参数调整!$K$32*怪物掉落配置方案!$D5098</f>
        <v>1.7018979269704304</v>
      </c>
    </row>
    <row r="2021" spans="1:4" ht="16.5" hidden="1" x14ac:dyDescent="0.3">
      <c r="A2021" s="10" t="str">
        <f>基本属性!$B$24&amp;"|"&amp;基本属性!$C$24</f>
        <v>220|14</v>
      </c>
      <c r="B2021" s="10" t="str">
        <f>参数调整!$J$32</f>
        <v>精英掉落</v>
      </c>
      <c r="C2021" s="8" t="str">
        <f>材料产出!$AD$2</f>
        <v>凡品升星石</v>
      </c>
      <c r="D2021" s="224">
        <f>参数调整!$K$32*怪物掉落配置方案!$D5099</f>
        <v>1.9166730506155956</v>
      </c>
    </row>
    <row r="2022" spans="1:4" ht="16.5" hidden="1" x14ac:dyDescent="0.3">
      <c r="A2022" s="10" t="str">
        <f>基本属性!$B$25&amp;"|"&amp;基本属性!$C$25</f>
        <v>220|15</v>
      </c>
      <c r="B2022" s="10" t="str">
        <f>参数调整!$J$32</f>
        <v>精英掉落</v>
      </c>
      <c r="C2022" s="8" t="str">
        <f>材料产出!$AD$2</f>
        <v>凡品升星石</v>
      </c>
      <c r="D2022" s="224">
        <f>参数调整!$K$32*怪物掉落配置方案!$D5100</f>
        <v>2.1442070924971057</v>
      </c>
    </row>
    <row r="2023" spans="1:4" ht="16.5" hidden="1" x14ac:dyDescent="0.3">
      <c r="A2023" s="10" t="str">
        <f>基本属性!$B$26&amp;"|"&amp;基本属性!$C$26</f>
        <v>230|16</v>
      </c>
      <c r="B2023" s="10" t="str">
        <f>参数调整!$J$32</f>
        <v>精英掉落</v>
      </c>
      <c r="C2023" s="8" t="str">
        <f>材料产出!$AD$2</f>
        <v>凡品升星石</v>
      </c>
      <c r="D2023" s="224">
        <f>参数调整!$K$32*怪物掉落配置方案!$D5101</f>
        <v>2.3845000526149636</v>
      </c>
    </row>
    <row r="2024" spans="1:4" ht="16.5" hidden="1" x14ac:dyDescent="0.3">
      <c r="A2024" s="10" t="str">
        <f>基本属性!$B$27&amp;"|"&amp;基本属性!$C$27</f>
        <v>230|17</v>
      </c>
      <c r="B2024" s="10" t="str">
        <f>参数调整!$J$32</f>
        <v>精英掉落</v>
      </c>
      <c r="C2024" s="8" t="str">
        <f>材料产出!$AD$2</f>
        <v>凡品升星石</v>
      </c>
      <c r="D2024" s="224">
        <f>参数调整!$K$32*怪物掉落配置方案!$D5102</f>
        <v>2.6375519309691677</v>
      </c>
    </row>
    <row r="2025" spans="1:4" ht="16.5" hidden="1" x14ac:dyDescent="0.3">
      <c r="A2025" s="10" t="str">
        <f>基本属性!$B$28&amp;"|"&amp;基本属性!$C$28</f>
        <v>240|18</v>
      </c>
      <c r="B2025" s="10" t="str">
        <f>参数调整!$J$32</f>
        <v>精英掉落</v>
      </c>
      <c r="C2025" s="8" t="str">
        <f>材料产出!$AD$2</f>
        <v>凡品升星石</v>
      </c>
      <c r="D2025" s="224">
        <f>参数调整!$K$32*怪物掉落配置方案!$D5103</f>
        <v>2.9033627275597187</v>
      </c>
    </row>
    <row r="2026" spans="1:4" ht="16.5" hidden="1" x14ac:dyDescent="0.3">
      <c r="A2026" s="10" t="str">
        <f>基本属性!$B$29&amp;"|"&amp;基本属性!$C$29</f>
        <v>240|19</v>
      </c>
      <c r="B2026" s="10" t="str">
        <f>参数调整!$J$32</f>
        <v>精英掉落</v>
      </c>
      <c r="C2026" s="8" t="str">
        <f>材料产出!$AD$2</f>
        <v>凡品升星石</v>
      </c>
      <c r="D2026" s="224">
        <f>参数调整!$K$32*怪物掉落配置方案!$D5104</f>
        <v>3.1819324423866151</v>
      </c>
    </row>
    <row r="2027" spans="1:4" ht="16.5" hidden="1" x14ac:dyDescent="0.3">
      <c r="A2027" s="10" t="str">
        <f>基本属性!$B$30&amp;"|"&amp;基本属性!$C$30</f>
        <v>250|20</v>
      </c>
      <c r="B2027" s="10" t="str">
        <f>参数调整!$J$32</f>
        <v>精英掉落</v>
      </c>
      <c r="C2027" s="8" t="str">
        <f>材料产出!$AD$2</f>
        <v>凡品升星石</v>
      </c>
      <c r="D2027" s="224">
        <f>参数调整!$K$32*怪物掉落配置方案!$D5105</f>
        <v>3.4732610754498578</v>
      </c>
    </row>
    <row r="2028" spans="1:4" ht="16.5" hidden="1" x14ac:dyDescent="0.3">
      <c r="A2028" s="10" t="str">
        <f>基本属性!$B$4&amp;"|"&amp;基本属性!$C$4</f>
        <v>35|0</v>
      </c>
      <c r="B2028" s="10" t="str">
        <f>参数调整!$J$32</f>
        <v>精英掉落</v>
      </c>
      <c r="C2028" s="8" t="str">
        <f>材料产出!$Z$2</f>
        <v>恶魔头颅</v>
      </c>
      <c r="D2028" s="224">
        <f>参数调整!$K$32*怪物掉落配置方案!$D5106</f>
        <v>5.9074343962982499E-3</v>
      </c>
    </row>
    <row r="2029" spans="1:4" ht="16.5" hidden="1" x14ac:dyDescent="0.3">
      <c r="A2029" s="10" t="str">
        <f>基本属性!$B$5&amp;"|"&amp;基本属性!$C$5</f>
        <v>40|0</v>
      </c>
      <c r="B2029" s="10" t="str">
        <f>参数调整!$J$32</f>
        <v>精英掉落</v>
      </c>
      <c r="C2029" s="8" t="str">
        <f>材料产出!$Z$2</f>
        <v>恶魔头颅</v>
      </c>
      <c r="D2029" s="224">
        <f>参数调整!$K$32*怪物掉落配置方案!$D5107</f>
        <v>7.476596657814972E-3</v>
      </c>
    </row>
    <row r="2030" spans="1:4" ht="16.5" hidden="1" x14ac:dyDescent="0.3">
      <c r="A2030" s="10" t="str">
        <f>基本属性!$B$6&amp;"|"&amp;基本属性!$C$6</f>
        <v>50|0</v>
      </c>
      <c r="B2030" s="10" t="str">
        <f>参数调整!$J$32</f>
        <v>精英掉落</v>
      </c>
      <c r="C2030" s="8" t="str">
        <f>材料产出!$Z$2</f>
        <v>恶魔头颅</v>
      </c>
      <c r="D2030" s="224">
        <f>参数调整!$K$32*怪物掉落配置方案!$D5108</f>
        <v>9.230366244216014E-3</v>
      </c>
    </row>
    <row r="2031" spans="1:4" ht="16.5" hidden="1" x14ac:dyDescent="0.3">
      <c r="A2031" s="10" t="str">
        <f>基本属性!$B$7&amp;"|"&amp;基本属性!$C$7</f>
        <v>60|0</v>
      </c>
      <c r="B2031" s="10" t="str">
        <f>参数调整!$J$32</f>
        <v>精英掉落</v>
      </c>
      <c r="C2031" s="8" t="str">
        <f>材料产出!$Z$2</f>
        <v>恶魔头颅</v>
      </c>
      <c r="D2031" s="224">
        <f>参数调整!$K$32*怪物掉落配置方案!$D5109</f>
        <v>1.1168743155501381E-2</v>
      </c>
    </row>
    <row r="2032" spans="1:4" ht="16.5" hidden="1" x14ac:dyDescent="0.3">
      <c r="A2032" s="10" t="str">
        <f>基本属性!$B$8&amp;"|"&amp;基本属性!$C$8</f>
        <v>65|0</v>
      </c>
      <c r="B2032" s="10" t="str">
        <f>参数调整!$J$32</f>
        <v>精英掉落</v>
      </c>
      <c r="C2032" s="8" t="str">
        <f>材料产出!$Z$2</f>
        <v>恶魔头颅</v>
      </c>
      <c r="D2032" s="224">
        <f>参数调整!$K$32*怪物掉落配置方案!$D5110</f>
        <v>1.3291727391671062E-2</v>
      </c>
    </row>
    <row r="2033" spans="1:4" ht="16.5" hidden="1" x14ac:dyDescent="0.3">
      <c r="A2033" s="10" t="str">
        <f>基本属性!$B$9&amp;"|"&amp;基本属性!$C$9</f>
        <v>70|0</v>
      </c>
      <c r="B2033" s="10" t="str">
        <f>参数调整!$J$32</f>
        <v>精英掉落</v>
      </c>
      <c r="C2033" s="8" t="str">
        <f>材料产出!$Z$2</f>
        <v>恶魔头颅</v>
      </c>
      <c r="D2033" s="224">
        <f>参数调整!$K$32*怪物掉落配置方案!$D5111</f>
        <v>1.5599318952725066E-2</v>
      </c>
    </row>
    <row r="2034" spans="1:4" ht="16.5" hidden="1" x14ac:dyDescent="0.3">
      <c r="A2034" s="10" t="str">
        <f>基本属性!$B$10&amp;"|"&amp;基本属性!$C$10</f>
        <v>75|0</v>
      </c>
      <c r="B2034" s="10" t="str">
        <f>参数调整!$J$32</f>
        <v>精英掉落</v>
      </c>
      <c r="C2034" s="8" t="str">
        <f>材料产出!$Z$2</f>
        <v>恶魔头颅</v>
      </c>
      <c r="D2034" s="224">
        <f>参数调整!$K$32*怪物掉落配置方案!$D5112</f>
        <v>1.8091517838663387E-2</v>
      </c>
    </row>
    <row r="2035" spans="1:4" ht="16.5" hidden="1" x14ac:dyDescent="0.3">
      <c r="A2035" s="10" t="str">
        <f>基本属性!$B$11&amp;"|"&amp;基本属性!$C$11</f>
        <v>80|1</v>
      </c>
      <c r="B2035" s="10" t="str">
        <f>参数调整!$J$32</f>
        <v>精英掉落</v>
      </c>
      <c r="C2035" s="8" t="str">
        <f>材料产出!$Z$2</f>
        <v>恶魔头颅</v>
      </c>
      <c r="D2035" s="224">
        <f>参数调整!$K$32*怪物掉落配置方案!$D5113</f>
        <v>2.0768324049486035E-2</v>
      </c>
    </row>
    <row r="2036" spans="1:4" ht="16.5" hidden="1" x14ac:dyDescent="0.3">
      <c r="A2036" s="10" t="str">
        <f>基本属性!$B$12&amp;"|"&amp;基本属性!$C$12</f>
        <v>90|2</v>
      </c>
      <c r="B2036" s="10" t="str">
        <f>参数调整!$J$32</f>
        <v>精英掉落</v>
      </c>
      <c r="C2036" s="8" t="str">
        <f>材料产出!$Z$2</f>
        <v>恶魔头颅</v>
      </c>
      <c r="D2036" s="224">
        <f>参数调整!$K$32*怪物掉落配置方案!$D5114</f>
        <v>2.3629737585193003E-2</v>
      </c>
    </row>
    <row r="2037" spans="1:4" ht="16.5" hidden="1" x14ac:dyDescent="0.3">
      <c r="A2037" s="10" t="str">
        <f>基本属性!$B$13&amp;"|"&amp;基本属性!$C$13</f>
        <v>100|3</v>
      </c>
      <c r="B2037" s="10" t="str">
        <f>参数调整!$J$32</f>
        <v>精英掉落</v>
      </c>
      <c r="C2037" s="8" t="str">
        <f>材料产出!$Z$2</f>
        <v>恶魔头颅</v>
      </c>
      <c r="D2037" s="224">
        <f>参数调整!$K$32*怪物掉落配置方案!$D5115</f>
        <v>2.9906386631259892E-2</v>
      </c>
    </row>
    <row r="2038" spans="1:4" ht="16.5" hidden="1" x14ac:dyDescent="0.3">
      <c r="A2038" s="10" t="str">
        <f>基本属性!$B$14&amp;"|"&amp;基本属性!$C$14</f>
        <v>105|4</v>
      </c>
      <c r="B2038" s="10" t="str">
        <f>参数调整!$J$32</f>
        <v>精英掉落</v>
      </c>
      <c r="C2038" s="8" t="str">
        <f>材料产出!$Z$2</f>
        <v>恶魔头颅</v>
      </c>
      <c r="D2038" s="224">
        <f>参数调整!$K$32*怪物掉落配置方案!$D5116</f>
        <v>3.6921464976864056E-2</v>
      </c>
    </row>
    <row r="2039" spans="1:4" ht="16.5" hidden="1" x14ac:dyDescent="0.3">
      <c r="A2039" s="10" t="str">
        <f>基本属性!$B$15&amp;"|"&amp;基本属性!$C$15</f>
        <v>110|5</v>
      </c>
      <c r="B2039" s="10" t="str">
        <f>参数调整!$J$32</f>
        <v>精英掉落</v>
      </c>
      <c r="C2039" s="8" t="str">
        <f>材料产出!$Z$2</f>
        <v>恶魔头颅</v>
      </c>
      <c r="D2039" s="224">
        <f>参数调整!$K$32*怪物掉落配置方案!$D5117</f>
        <v>4.4674972622005524E-2</v>
      </c>
    </row>
    <row r="2040" spans="1:4" ht="16.5" hidden="1" x14ac:dyDescent="0.3">
      <c r="A2040" s="10" t="str">
        <f>基本属性!$B$16&amp;"|"&amp;基本属性!$C$16</f>
        <v>120|6</v>
      </c>
      <c r="B2040" s="10" t="str">
        <f>参数调整!$J$32</f>
        <v>精英掉落</v>
      </c>
      <c r="C2040" s="8" t="str">
        <f>材料产出!$Z$2</f>
        <v>恶魔头颅</v>
      </c>
      <c r="D2040" s="224">
        <f>参数调整!$K$32*怪物掉落配置方案!$D5118</f>
        <v>5.7689789026350094E-2</v>
      </c>
    </row>
    <row r="2041" spans="1:4" ht="16.5" hidden="1" x14ac:dyDescent="0.3">
      <c r="A2041" s="10" t="str">
        <f>基本属性!$B$17&amp;"|"&amp;基本属性!$C$17</f>
        <v>135|7</v>
      </c>
      <c r="B2041" s="10" t="str">
        <f>参数调整!$J$32</f>
        <v>精英掉落</v>
      </c>
      <c r="C2041" s="8" t="str">
        <f>材料产出!$Z$2</f>
        <v>恶魔头颅</v>
      </c>
      <c r="D2041" s="224">
        <f>参数调整!$K$32*怪物掉落配置方案!$D5119</f>
        <v>8.3073296197944138E-2</v>
      </c>
    </row>
    <row r="2042" spans="1:4" ht="16.5" hidden="1" x14ac:dyDescent="0.3">
      <c r="A2042" s="10" t="str">
        <f>基本属性!$B$18&amp;"|"&amp;基本属性!$C$18</f>
        <v>155|8</v>
      </c>
      <c r="B2042" s="10" t="str">
        <f>参数调整!$J$32</f>
        <v>精英掉落</v>
      </c>
      <c r="C2042" s="8" t="str">
        <f>材料产出!$Z$2</f>
        <v>恶魔头颅</v>
      </c>
      <c r="D2042" s="224">
        <f>参数调整!$K$32*怪物掉落配置方案!$D5120</f>
        <v>0.11307198649164621</v>
      </c>
    </row>
    <row r="2043" spans="1:4" ht="16.5" hidden="1" x14ac:dyDescent="0.3">
      <c r="A2043" s="10" t="str">
        <f>基本属性!$B$19&amp;"|"&amp;基本属性!$C$19</f>
        <v>190|9</v>
      </c>
      <c r="B2043" s="10" t="str">
        <f>参数调整!$J$32</f>
        <v>精英掉落</v>
      </c>
      <c r="C2043" s="8" t="str">
        <f>材料产出!$Z$2</f>
        <v>恶魔头颅</v>
      </c>
      <c r="D2043" s="224">
        <f>参数调整!$K$32*怪物掉落配置方案!$D5121</f>
        <v>0.12636371388331727</v>
      </c>
    </row>
    <row r="2044" spans="1:4" ht="16.5" hidden="1" x14ac:dyDescent="0.3">
      <c r="A2044" s="10" t="str">
        <f>基本属性!$B$20&amp;"|"&amp;基本属性!$C$20</f>
        <v>200|10</v>
      </c>
      <c r="B2044" s="10" t="str">
        <f>参数调整!$J$32</f>
        <v>精英掉落</v>
      </c>
      <c r="C2044" s="8" t="str">
        <f>材料产出!$Z$2</f>
        <v>恶魔头颅</v>
      </c>
      <c r="D2044" s="224">
        <f>参数调整!$K$32*怪物掉落配置方案!$D5122</f>
        <v>0.14768585990745622</v>
      </c>
    </row>
    <row r="2045" spans="1:4" ht="16.5" hidden="1" x14ac:dyDescent="0.3">
      <c r="A2045" s="10" t="str">
        <f>基本属性!$B$21&amp;"|"&amp;基本属性!$C$21</f>
        <v>200|11</v>
      </c>
      <c r="B2045" s="10" t="str">
        <f>参数调整!$J$32</f>
        <v>精英掉落</v>
      </c>
      <c r="C2045" s="8" t="str">
        <f>材料产出!$Z$2</f>
        <v>恶魔头颅</v>
      </c>
      <c r="D2045" s="224">
        <f>参数调整!$K$32*怪物掉落配置方案!$D5123</f>
        <v>0.17066947185555406</v>
      </c>
    </row>
    <row r="2046" spans="1:4" ht="16.5" hidden="1" x14ac:dyDescent="0.3">
      <c r="A2046" s="10" t="str">
        <f>基本属性!$B$22&amp;"|"&amp;基本属性!$C$22</f>
        <v>210|12</v>
      </c>
      <c r="B2046" s="10" t="str">
        <f>参数调整!$J$32</f>
        <v>精英掉落</v>
      </c>
      <c r="C2046" s="8" t="str">
        <f>材料产出!$Z$2</f>
        <v>恶魔头颅</v>
      </c>
      <c r="D2046" s="224">
        <f>参数调整!$K$32*怪物掉落配置方案!$D5124</f>
        <v>0.19531454972761084</v>
      </c>
    </row>
    <row r="2047" spans="1:4" ht="16.5" hidden="1" x14ac:dyDescent="0.3">
      <c r="A2047" s="10" t="str">
        <f>基本属性!$B$23&amp;"|"&amp;基本属性!$C$23</f>
        <v>210|13</v>
      </c>
      <c r="B2047" s="10" t="str">
        <f>参数调整!$J$32</f>
        <v>精英掉落</v>
      </c>
      <c r="C2047" s="8" t="str">
        <f>材料产出!$Z$2</f>
        <v>恶魔头颅</v>
      </c>
      <c r="D2047" s="224">
        <f>参数调整!$K$32*怪物掉落配置方案!$D5125</f>
        <v>0.22162109352362655</v>
      </c>
    </row>
    <row r="2048" spans="1:4" ht="16.5" hidden="1" x14ac:dyDescent="0.3">
      <c r="A2048" s="10" t="str">
        <f>基本属性!$B$24&amp;"|"&amp;基本属性!$C$24</f>
        <v>220|14</v>
      </c>
      <c r="B2048" s="10" t="str">
        <f>参数调整!$J$32</f>
        <v>精英掉落</v>
      </c>
      <c r="C2048" s="8" t="str">
        <f>材料产出!$Z$2</f>
        <v>恶魔头颅</v>
      </c>
      <c r="D2048" s="224">
        <f>参数调整!$K$32*怪物掉落配置方案!$D5126</f>
        <v>0.24958910324360106</v>
      </c>
    </row>
    <row r="2049" spans="1:4" ht="16.5" hidden="1" x14ac:dyDescent="0.3">
      <c r="A2049" s="10" t="str">
        <f>基本属性!$B$25&amp;"|"&amp;基本属性!$C$25</f>
        <v>220|15</v>
      </c>
      <c r="B2049" s="10" t="str">
        <f>参数调整!$J$32</f>
        <v>精英掉落</v>
      </c>
      <c r="C2049" s="8" t="str">
        <f>材料产出!$Z$2</f>
        <v>恶魔头颅</v>
      </c>
      <c r="D2049" s="224">
        <f>参数调整!$K$32*怪物掉落配置方案!$D5127</f>
        <v>0.27921857888753443</v>
      </c>
    </row>
    <row r="2050" spans="1:4" ht="16.5" hidden="1" x14ac:dyDescent="0.3">
      <c r="A2050" s="10" t="str">
        <f>基本属性!$B$26&amp;"|"&amp;基本属性!$C$26</f>
        <v>230|16</v>
      </c>
      <c r="B2050" s="10" t="str">
        <f>参数调整!$J$32</f>
        <v>精英掉落</v>
      </c>
      <c r="C2050" s="8" t="str">
        <f>材料产出!$Z$2</f>
        <v>恶魔头颅</v>
      </c>
      <c r="D2050" s="224">
        <f>参数调整!$K$32*怪物掉落配置方案!$D5128</f>
        <v>0.31050952045542674</v>
      </c>
    </row>
    <row r="2051" spans="1:4" ht="16.5" hidden="1" x14ac:dyDescent="0.3">
      <c r="A2051" s="10" t="str">
        <f>基本属性!$B$27&amp;"|"&amp;基本属性!$C$27</f>
        <v>230|17</v>
      </c>
      <c r="B2051" s="10" t="str">
        <f>参数调整!$J$32</f>
        <v>精英掉落</v>
      </c>
      <c r="C2051" s="8" t="str">
        <f>材料产出!$Z$2</f>
        <v>恶魔头颅</v>
      </c>
      <c r="D2051" s="224">
        <f>参数调整!$K$32*怪物掉落配置方案!$D5129</f>
        <v>0.34346192794727787</v>
      </c>
    </row>
    <row r="2052" spans="1:4" ht="16.5" hidden="1" x14ac:dyDescent="0.3">
      <c r="A2052" s="10" t="str">
        <f>基本属性!$B$28&amp;"|"&amp;基本属性!$C$28</f>
        <v>240|18</v>
      </c>
      <c r="B2052" s="10" t="str">
        <f>参数调整!$J$32</f>
        <v>精英掉落</v>
      </c>
      <c r="C2052" s="8" t="str">
        <f>材料产出!$Z$2</f>
        <v>恶魔头颅</v>
      </c>
      <c r="D2052" s="224">
        <f>参数调整!$K$32*怪物掉落配置方案!$D5130</f>
        <v>0.37807580136308805</v>
      </c>
    </row>
    <row r="2053" spans="1:4" ht="16.5" hidden="1" x14ac:dyDescent="0.3">
      <c r="A2053" s="10" t="str">
        <f>基本属性!$B$29&amp;"|"&amp;基本属性!$C$29</f>
        <v>240|19</v>
      </c>
      <c r="B2053" s="10" t="str">
        <f>参数调整!$J$32</f>
        <v>精英掉落</v>
      </c>
      <c r="C2053" s="8" t="str">
        <f>材料产出!$Z$2</f>
        <v>恶魔头颅</v>
      </c>
      <c r="D2053" s="224">
        <f>参数调整!$K$32*怪物掉落配置方案!$D5131</f>
        <v>0.41435114070285695</v>
      </c>
    </row>
    <row r="2054" spans="1:4" ht="16.5" hidden="1" x14ac:dyDescent="0.3">
      <c r="A2054" s="10" t="str">
        <f>基本属性!$B$30&amp;"|"&amp;基本属性!$C$30</f>
        <v>250|20</v>
      </c>
      <c r="B2054" s="10" t="str">
        <f>参数调整!$J$32</f>
        <v>精英掉落</v>
      </c>
      <c r="C2054" s="8" t="str">
        <f>材料产出!$Z$2</f>
        <v>恶魔头颅</v>
      </c>
      <c r="D2054" s="224">
        <f>参数调整!$K$32*怪物掉落配置方案!$D5132</f>
        <v>0.45228794596658467</v>
      </c>
    </row>
    <row r="2055" spans="1:4" ht="16.5" hidden="1" x14ac:dyDescent="0.3">
      <c r="A2055" s="10" t="str">
        <f>基本属性!$B$4&amp;"|"&amp;基本属性!$C$4</f>
        <v>35|0</v>
      </c>
      <c r="B2055" s="10" t="str">
        <f>参数调整!$J$34</f>
        <v>首领掉落</v>
      </c>
      <c r="C2055" s="8" t="str">
        <f>材料产出!$R$2</f>
        <v>转生精华</v>
      </c>
      <c r="D2055" s="224">
        <f>参数调整!$K$34*怪物掉落配置方案!$D4107</f>
        <v>3.9560216851598523E-2</v>
      </c>
    </row>
    <row r="2056" spans="1:4" ht="16.5" hidden="1" x14ac:dyDescent="0.3">
      <c r="A2056" s="10" t="str">
        <f>基本属性!$B$5&amp;"|"&amp;基本属性!$C$5</f>
        <v>40|0</v>
      </c>
      <c r="B2056" s="10" t="str">
        <f>参数调整!$J$34</f>
        <v>首领掉落</v>
      </c>
      <c r="C2056" s="8" t="str">
        <f>材料产出!$R$2</f>
        <v>转生精华</v>
      </c>
      <c r="D2056" s="224">
        <f>参数调整!$K$34*怪物掉落配置方案!$D4108</f>
        <v>5.006839945280437E-2</v>
      </c>
    </row>
    <row r="2057" spans="1:4" ht="16.5" hidden="1" x14ac:dyDescent="0.3">
      <c r="A2057" s="10" t="str">
        <f>基本属性!$B$6&amp;"|"&amp;基本属性!$C$6</f>
        <v>50|0</v>
      </c>
      <c r="B2057" s="10" t="str">
        <f>参数调整!$J$34</f>
        <v>首领掉落</v>
      </c>
      <c r="C2057" s="8" t="str">
        <f>材料产出!$R$2</f>
        <v>转生精华</v>
      </c>
      <c r="D2057" s="224">
        <f>参数调整!$K$34*怪物掉落配置方案!$D4109</f>
        <v>6.1812838830622691E-2</v>
      </c>
    </row>
    <row r="2058" spans="1:4" ht="16.5" hidden="1" x14ac:dyDescent="0.3">
      <c r="A2058" s="10" t="str">
        <f>基本属性!$B$7&amp;"|"&amp;基本属性!$C$7</f>
        <v>60|0</v>
      </c>
      <c r="B2058" s="10" t="str">
        <f>参数调整!$J$34</f>
        <v>首领掉落</v>
      </c>
      <c r="C2058" s="8" t="str">
        <f>材料产出!$R$2</f>
        <v>转生精华</v>
      </c>
      <c r="D2058" s="224">
        <f>参数调整!$K$34*怪物掉落配置方案!$D4110</f>
        <v>7.4793534985053464E-2</v>
      </c>
    </row>
    <row r="2059" spans="1:4" ht="16.5" hidden="1" x14ac:dyDescent="0.3">
      <c r="A2059" s="10" t="str">
        <f>基本属性!$B$8&amp;"|"&amp;基本属性!$C$8</f>
        <v>65|0</v>
      </c>
      <c r="B2059" s="10" t="str">
        <f>参数调整!$J$34</f>
        <v>首领掉落</v>
      </c>
      <c r="C2059" s="8" t="str">
        <f>材料产出!$R$2</f>
        <v>转生精华</v>
      </c>
      <c r="D2059" s="224">
        <f>参数调整!$K$34*怪物掉落配置方案!$D4111</f>
        <v>8.901048791609667E-2</v>
      </c>
    </row>
    <row r="2060" spans="1:4" ht="16.5" hidden="1" x14ac:dyDescent="0.3">
      <c r="A2060" s="10" t="str">
        <f>基本属性!$B$9&amp;"|"&amp;基本属性!$C$9</f>
        <v>70|0</v>
      </c>
      <c r="B2060" s="10" t="str">
        <f>参数调整!$J$34</f>
        <v>首领掉落</v>
      </c>
      <c r="C2060" s="8" t="str">
        <f>材料产出!$R$2</f>
        <v>转生精华</v>
      </c>
      <c r="D2060" s="224">
        <f>参数调整!$K$34*怪物掉落配置方案!$D4112</f>
        <v>0.10446369762375234</v>
      </c>
    </row>
    <row r="2061" spans="1:4" ht="16.5" hidden="1" x14ac:dyDescent="0.3">
      <c r="A2061" s="10" t="str">
        <f>基本属性!$B$10&amp;"|"&amp;基本属性!$C$10</f>
        <v>75|0</v>
      </c>
      <c r="B2061" s="10" t="str">
        <f>参数调整!$J$34</f>
        <v>首领掉落</v>
      </c>
      <c r="C2061" s="8" t="str">
        <f>材料产出!$R$2</f>
        <v>转生精华</v>
      </c>
      <c r="D2061" s="224">
        <f>参数调整!$K$34*怪物掉落配置方案!$D4113</f>
        <v>0.12115316410802043</v>
      </c>
    </row>
    <row r="2062" spans="1:4" ht="16.5" hidden="1" x14ac:dyDescent="0.3">
      <c r="A2062" s="10" t="str">
        <f>基本属性!$B$11&amp;"|"&amp;基本属性!$C$11</f>
        <v>80|1</v>
      </c>
      <c r="B2062" s="10" t="str">
        <f>参数调整!$J$34</f>
        <v>首领掉落</v>
      </c>
      <c r="C2062" s="8" t="str">
        <f>材料产出!$R$2</f>
        <v>转生精华</v>
      </c>
      <c r="D2062" s="224">
        <f>参数调整!$K$34*怪物掉落配置方案!$D4114</f>
        <v>0.13907888736890106</v>
      </c>
    </row>
    <row r="2063" spans="1:4" ht="16.5" hidden="1" x14ac:dyDescent="0.3">
      <c r="A2063" s="10" t="str">
        <f>基本属性!$B$12&amp;"|"&amp;基本属性!$C$12</f>
        <v>90|2</v>
      </c>
      <c r="B2063" s="10" t="str">
        <f>参数调整!$J$34</f>
        <v>首领掉落</v>
      </c>
      <c r="C2063" s="8" t="str">
        <f>材料产出!$R$2</f>
        <v>转生精华</v>
      </c>
      <c r="D2063" s="224">
        <f>参数调整!$K$34*怪物掉落配置方案!$D4115</f>
        <v>0.15824086740639415</v>
      </c>
    </row>
    <row r="2064" spans="1:4" ht="16.5" hidden="1" x14ac:dyDescent="0.3">
      <c r="A2064" s="10" t="str">
        <f>基本属性!$B$13&amp;"|"&amp;基本属性!$C$13</f>
        <v>100|3</v>
      </c>
      <c r="B2064" s="10" t="str">
        <f>参数调整!$J$34</f>
        <v>首领掉落</v>
      </c>
      <c r="C2064" s="8" t="str">
        <f>材料产出!$R$2</f>
        <v>转生精华</v>
      </c>
      <c r="D2064" s="224">
        <f>参数调整!$K$34*怪物掉落配置方案!$D4116</f>
        <v>0.20027359781121754</v>
      </c>
    </row>
    <row r="2065" spans="1:4" ht="16.5" hidden="1" x14ac:dyDescent="0.3">
      <c r="A2065" s="10" t="str">
        <f>基本属性!$B$14&amp;"|"&amp;基本属性!$C$14</f>
        <v>105|4</v>
      </c>
      <c r="B2065" s="10" t="str">
        <f>参数调整!$J$34</f>
        <v>首领掉落</v>
      </c>
      <c r="C2065" s="8" t="str">
        <f>材料产出!$R$2</f>
        <v>转生精华</v>
      </c>
      <c r="D2065" s="224">
        <f>参数调整!$K$34*怪物掉落配置方案!$D4117</f>
        <v>0.24725135532249076</v>
      </c>
    </row>
    <row r="2066" spans="1:4" ht="16.5" hidden="1" x14ac:dyDescent="0.3">
      <c r="A2066" s="10" t="str">
        <f>基本属性!$B$15&amp;"|"&amp;基本属性!$C$15</f>
        <v>110|5</v>
      </c>
      <c r="B2066" s="10" t="str">
        <f>参数调整!$J$34</f>
        <v>首领掉落</v>
      </c>
      <c r="C2066" s="8" t="str">
        <f>材料产出!$R$2</f>
        <v>转生精华</v>
      </c>
      <c r="D2066" s="224">
        <f>参数调整!$K$34*怪物掉落配置方案!$D4118</f>
        <v>0.29917413994021391</v>
      </c>
    </row>
    <row r="2067" spans="1:4" ht="16.5" hidden="1" x14ac:dyDescent="0.3">
      <c r="A2067" s="10" t="str">
        <f>基本属性!$B$16&amp;"|"&amp;基本属性!$C$16</f>
        <v>120|6</v>
      </c>
      <c r="B2067" s="10" t="str">
        <f>参数调整!$J$34</f>
        <v>首领掉落</v>
      </c>
      <c r="C2067" s="8" t="str">
        <f>材料产出!$R$2</f>
        <v>转生精华</v>
      </c>
      <c r="D2067" s="224">
        <f>参数调整!$K$34*怪物掉落配置方案!$D4119</f>
        <v>0.38633024269139182</v>
      </c>
    </row>
    <row r="2068" spans="1:4" ht="16.5" hidden="1" x14ac:dyDescent="0.3">
      <c r="A2068" s="10" t="str">
        <f>基本属性!$B$17&amp;"|"&amp;基本属性!$C$17</f>
        <v>135|7</v>
      </c>
      <c r="B2068" s="10" t="str">
        <f>参数调整!$J$34</f>
        <v>首领掉落</v>
      </c>
      <c r="C2068" s="8" t="str">
        <f>材料产出!$R$2</f>
        <v>转生精华</v>
      </c>
      <c r="D2068" s="224">
        <f>参数调整!$K$34*怪物掉落配置方案!$D4120</f>
        <v>0.55631554947560424</v>
      </c>
    </row>
    <row r="2069" spans="1:4" ht="16.5" hidden="1" x14ac:dyDescent="0.3">
      <c r="A2069" s="10" t="str">
        <f>基本属性!$B$18&amp;"|"&amp;基本属性!$C$18</f>
        <v>155|8</v>
      </c>
      <c r="B2069" s="10" t="str">
        <f>参数调整!$J$34</f>
        <v>首领掉落</v>
      </c>
      <c r="C2069" s="8" t="str">
        <f>材料产出!$R$2</f>
        <v>转生精华</v>
      </c>
      <c r="D2069" s="224">
        <f>参数调整!$K$34*怪物掉落配置方案!$D4121</f>
        <v>0.75720727567512802</v>
      </c>
    </row>
    <row r="2070" spans="1:4" ht="16.5" hidden="1" x14ac:dyDescent="0.3">
      <c r="A2070" s="10" t="str">
        <f>基本属性!$B$19&amp;"|"&amp;基本属性!$C$19</f>
        <v>190|9</v>
      </c>
      <c r="B2070" s="10" t="str">
        <f>参数调整!$J$34</f>
        <v>首领掉落</v>
      </c>
      <c r="C2070" s="8" t="str">
        <f>材料产出!$R$2</f>
        <v>转生精华</v>
      </c>
      <c r="D2070" s="224">
        <f>参数调整!$K$34*怪物掉落配置方案!$D4122</f>
        <v>0.84621776359122458</v>
      </c>
    </row>
    <row r="2071" spans="1:4" ht="16.5" hidden="1" x14ac:dyDescent="0.3">
      <c r="A2071" s="10" t="str">
        <f>基本属性!$B$20&amp;"|"&amp;基本属性!$C$20</f>
        <v>200|10</v>
      </c>
      <c r="B2071" s="10" t="str">
        <f>参数调整!$J$34</f>
        <v>首领掉落</v>
      </c>
      <c r="C2071" s="8" t="str">
        <f>材料产出!$R$2</f>
        <v>转生精华</v>
      </c>
      <c r="D2071" s="224">
        <f>参数调整!$K$34*怪物掉落配置方案!$D4123</f>
        <v>0.98900542128996305</v>
      </c>
    </row>
    <row r="2072" spans="1:4" ht="16.5" hidden="1" x14ac:dyDescent="0.3">
      <c r="A2072" s="10" t="str">
        <f>基本属性!$B$21&amp;"|"&amp;基本属性!$C$21</f>
        <v>200|11</v>
      </c>
      <c r="B2072" s="10" t="str">
        <f>参数调整!$J$34</f>
        <v>首领掉落</v>
      </c>
      <c r="C2072" s="8" t="str">
        <f>材料产出!$R$2</f>
        <v>转生精华</v>
      </c>
      <c r="D2072" s="224">
        <f>参数调整!$K$34*怪物掉落配置方案!$D4124</f>
        <v>1.1429193899782133</v>
      </c>
    </row>
    <row r="2073" spans="1:4" ht="16.5" hidden="1" x14ac:dyDescent="0.3">
      <c r="A2073" s="10" t="str">
        <f>基本属性!$B$22&amp;"|"&amp;基本属性!$C$22</f>
        <v>210|12</v>
      </c>
      <c r="B2073" s="10" t="str">
        <f>参数调整!$J$34</f>
        <v>首领掉落</v>
      </c>
      <c r="C2073" s="8" t="str">
        <f>材料产出!$R$2</f>
        <v>转生精华</v>
      </c>
      <c r="D2073" s="224">
        <f>参数调整!$K$34*怪物掉落配置方案!$D4125</f>
        <v>1.3079596696559757</v>
      </c>
    </row>
    <row r="2074" spans="1:4" ht="16.5" hidden="1" x14ac:dyDescent="0.3">
      <c r="A2074" s="10" t="str">
        <f>基本属性!$B$23&amp;"|"&amp;基本属性!$C$23</f>
        <v>210|13</v>
      </c>
      <c r="B2074" s="10" t="str">
        <f>参数调整!$J$34</f>
        <v>首领掉落</v>
      </c>
      <c r="C2074" s="8" t="str">
        <f>材料产出!$R$2</f>
        <v>转生精华</v>
      </c>
      <c r="D2074" s="224">
        <f>参数调整!$K$34*怪物掉落配置方案!$D4126</f>
        <v>1.484126260323251</v>
      </c>
    </row>
    <row r="2075" spans="1:4" ht="16.5" hidden="1" x14ac:dyDescent="0.3">
      <c r="A2075" s="10" t="str">
        <f>基本属性!$B$24&amp;"|"&amp;基本属性!$C$24</f>
        <v>220|14</v>
      </c>
      <c r="B2075" s="10" t="str">
        <f>参数调整!$J$34</f>
        <v>首领掉落</v>
      </c>
      <c r="C2075" s="8" t="str">
        <f>材料产出!$R$2</f>
        <v>转生精华</v>
      </c>
      <c r="D2075" s="224">
        <f>参数调整!$K$34*怪物掉落配置方案!$D4127</f>
        <v>1.6714191619800378</v>
      </c>
    </row>
    <row r="2076" spans="1:4" ht="16.5" hidden="1" x14ac:dyDescent="0.3">
      <c r="A2076" s="10" t="str">
        <f>基本属性!$B$25&amp;"|"&amp;基本属性!$C$25</f>
        <v>220|15</v>
      </c>
      <c r="B2076" s="10" t="str">
        <f>参数调整!$J$34</f>
        <v>首领掉落</v>
      </c>
      <c r="C2076" s="8" t="str">
        <f>材料产出!$R$2</f>
        <v>转生精华</v>
      </c>
      <c r="D2076" s="224">
        <f>参数调整!$K$34*怪物掉落配置方案!$D4128</f>
        <v>1.8698383746263363</v>
      </c>
    </row>
    <row r="2077" spans="1:4" ht="16.5" hidden="1" x14ac:dyDescent="0.3">
      <c r="A2077" s="10" t="str">
        <f>基本属性!$B$26&amp;"|"&amp;基本属性!$C$26</f>
        <v>230|16</v>
      </c>
      <c r="B2077" s="10" t="str">
        <f>参数调整!$J$34</f>
        <v>首领掉落</v>
      </c>
      <c r="C2077" s="8" t="str">
        <f>材料产出!$R$2</f>
        <v>转生精华</v>
      </c>
      <c r="D2077" s="224">
        <f>参数调整!$K$34*怪物掉落配置方案!$D4129</f>
        <v>2.0793838982621473</v>
      </c>
    </row>
    <row r="2078" spans="1:4" ht="16.5" hidden="1" x14ac:dyDescent="0.3">
      <c r="A2078" s="10" t="str">
        <f>基本属性!$B$27&amp;"|"&amp;基本属性!$C$27</f>
        <v>230|17</v>
      </c>
      <c r="B2078" s="10" t="str">
        <f>参数调整!$J$34</f>
        <v>首领掉落</v>
      </c>
      <c r="C2078" s="8" t="str">
        <f>材料产出!$R$2</f>
        <v>转生精华</v>
      </c>
      <c r="D2078" s="224">
        <f>参数调整!$K$34*怪物掉落配置方案!$D4130</f>
        <v>2.3000557328874698</v>
      </c>
    </row>
    <row r="2079" spans="1:4" ht="16.5" hidden="1" x14ac:dyDescent="0.3">
      <c r="A2079" s="10" t="str">
        <f>基本属性!$B$28&amp;"|"&amp;基本属性!$C$28</f>
        <v>240|18</v>
      </c>
      <c r="B2079" s="10" t="str">
        <f>参数调整!$J$34</f>
        <v>首领掉落</v>
      </c>
      <c r="C2079" s="8" t="str">
        <f>材料产出!$R$2</f>
        <v>转生精华</v>
      </c>
      <c r="D2079" s="224">
        <f>参数调整!$K$34*怪物掉落配置方案!$D4131</f>
        <v>2.5318538785023055</v>
      </c>
    </row>
    <row r="2080" spans="1:4" ht="16.5" hidden="1" x14ac:dyDescent="0.3">
      <c r="A2080" s="10" t="str">
        <f>基本属性!$B$29&amp;"|"&amp;基本属性!$C$29</f>
        <v>240|19</v>
      </c>
      <c r="B2080" s="10" t="str">
        <f>参数调整!$J$34</f>
        <v>首领掉落</v>
      </c>
      <c r="C2080" s="8" t="str">
        <f>材料产出!$R$2</f>
        <v>转生精华</v>
      </c>
      <c r="D2080" s="224">
        <f>参数调整!$K$34*怪物掉落配置方案!$D4132</f>
        <v>2.7747783351066526</v>
      </c>
    </row>
    <row r="2081" spans="1:4" ht="16.5" hidden="1" x14ac:dyDescent="0.3">
      <c r="A2081" s="10" t="str">
        <f>基本属性!$B$30&amp;"|"&amp;基本属性!$C$30</f>
        <v>250|20</v>
      </c>
      <c r="B2081" s="10" t="str">
        <f>参数调整!$J$34</f>
        <v>首领掉落</v>
      </c>
      <c r="C2081" s="8" t="str">
        <f>材料产出!$R$2</f>
        <v>转生精华</v>
      </c>
      <c r="D2081" s="224">
        <f>参数调整!$K$34*怪物掉落配置方案!$D4133</f>
        <v>3.0288291027005108</v>
      </c>
    </row>
    <row r="2082" spans="1:4" ht="16.5" hidden="1" x14ac:dyDescent="0.3">
      <c r="A2082" s="10" t="str">
        <f>基本属性!$B$4&amp;"|"&amp;基本属性!$C$4</f>
        <v>35|0</v>
      </c>
      <c r="B2082" s="10" t="str">
        <f>参数调整!$J$34</f>
        <v>首领掉落</v>
      </c>
      <c r="C2082" s="8" t="str">
        <f>材料产出!$AJ$2</f>
        <v>中品注灵石</v>
      </c>
      <c r="D2082" s="224">
        <f>参数调整!$K$34*怪物掉落配置方案!$D4134</f>
        <v>0.51844102894235666</v>
      </c>
    </row>
    <row r="2083" spans="1:4" ht="16.5" hidden="1" x14ac:dyDescent="0.3">
      <c r="A2083" s="10" t="str">
        <f>基本属性!$B$5&amp;"|"&amp;基本属性!$C$5</f>
        <v>40|0</v>
      </c>
      <c r="B2083" s="10" t="str">
        <f>参数调整!$J$34</f>
        <v>首领掉落</v>
      </c>
      <c r="C2083" s="8" t="str">
        <f>材料产出!$AJ$2</f>
        <v>中品注灵石</v>
      </c>
      <c r="D2083" s="224">
        <f>参数调整!$K$34*怪物掉落配置方案!$D4135</f>
        <v>0.65615192725517013</v>
      </c>
    </row>
    <row r="2084" spans="1:4" ht="16.5" hidden="1" x14ac:dyDescent="0.3">
      <c r="A2084" s="10" t="str">
        <f>基本属性!$B$6&amp;"|"&amp;基本属性!$C$6</f>
        <v>50|0</v>
      </c>
      <c r="B2084" s="10" t="str">
        <f>参数调整!$J$34</f>
        <v>首领掉落</v>
      </c>
      <c r="C2084" s="8" t="str">
        <f>材料产出!$AJ$2</f>
        <v>中品注灵石</v>
      </c>
      <c r="D2084" s="224">
        <f>参数调整!$K$34*怪物掉落配置方案!$D4136</f>
        <v>0.81006410772243231</v>
      </c>
    </row>
    <row r="2085" spans="1:4" ht="16.5" hidden="1" x14ac:dyDescent="0.3">
      <c r="A2085" s="10" t="str">
        <f>基本属性!$B$7&amp;"|"&amp;基本属性!$C$7</f>
        <v>60|0</v>
      </c>
      <c r="B2085" s="10" t="str">
        <f>参数调整!$J$34</f>
        <v>首领掉落</v>
      </c>
      <c r="C2085" s="8" t="str">
        <f>材料产出!$AJ$2</f>
        <v>中品注灵石</v>
      </c>
      <c r="D2085" s="224">
        <f>参数调整!$K$34*怪物掉落配置方案!$D4137</f>
        <v>0.98017757034414321</v>
      </c>
    </row>
    <row r="2086" spans="1:4" ht="16.5" hidden="1" x14ac:dyDescent="0.3">
      <c r="A2086" s="10" t="str">
        <f>基本属性!$B$8&amp;"|"&amp;基本属性!$C$8</f>
        <v>65|0</v>
      </c>
      <c r="B2086" s="10" t="str">
        <f>参数调整!$J$34</f>
        <v>首领掉落</v>
      </c>
      <c r="C2086" s="8" t="str">
        <f>材料产出!$AJ$2</f>
        <v>中品注灵石</v>
      </c>
      <c r="D2086" s="224">
        <f>参数调整!$K$34*怪物掉落配置方案!$D4138</f>
        <v>1.1664923151203024</v>
      </c>
    </row>
    <row r="2087" spans="1:4" ht="16.5" hidden="1" x14ac:dyDescent="0.3">
      <c r="A2087" s="10" t="str">
        <f>基本属性!$B$9&amp;"|"&amp;基本属性!$C$9</f>
        <v>70|0</v>
      </c>
      <c r="B2087" s="10" t="str">
        <f>参数调整!$J$34</f>
        <v>首领掉落</v>
      </c>
      <c r="C2087" s="8" t="str">
        <f>材料产出!$AJ$2</f>
        <v>中品注灵石</v>
      </c>
      <c r="D2087" s="224">
        <f>参数调整!$K$34*怪物掉落配置方案!$D4139</f>
        <v>1.3690083420509105</v>
      </c>
    </row>
    <row r="2088" spans="1:4" ht="16.5" hidden="1" x14ac:dyDescent="0.3">
      <c r="A2088" s="10" t="str">
        <f>基本属性!$B$10&amp;"|"&amp;基本属性!$C$10</f>
        <v>75|0</v>
      </c>
      <c r="B2088" s="10" t="str">
        <f>参数调整!$J$34</f>
        <v>首领掉落</v>
      </c>
      <c r="C2088" s="8" t="str">
        <f>材料产出!$AJ$2</f>
        <v>中品注灵石</v>
      </c>
      <c r="D2088" s="224">
        <f>参数调整!$K$34*怪物掉落配置方案!$D4140</f>
        <v>1.587725651135967</v>
      </c>
    </row>
    <row r="2089" spans="1:4" ht="16.5" hidden="1" x14ac:dyDescent="0.3">
      <c r="A2089" s="10" t="str">
        <f>基本属性!$B$11&amp;"|"&amp;基本属性!$C$11</f>
        <v>80|1</v>
      </c>
      <c r="B2089" s="10" t="str">
        <f>参数调整!$J$34</f>
        <v>首领掉落</v>
      </c>
      <c r="C2089" s="8" t="str">
        <f>材料产出!$AJ$2</f>
        <v>中品注灵石</v>
      </c>
      <c r="D2089" s="224">
        <f>参数调整!$K$34*怪物掉落配置方案!$D4141</f>
        <v>1.8226442423754727</v>
      </c>
    </row>
    <row r="2090" spans="1:4" ht="16.5" hidden="1" x14ac:dyDescent="0.3">
      <c r="A2090" s="10" t="str">
        <f>基本属性!$B$12&amp;"|"&amp;基本属性!$C$12</f>
        <v>90|2</v>
      </c>
      <c r="B2090" s="10" t="str">
        <f>参数调整!$J$34</f>
        <v>首领掉落</v>
      </c>
      <c r="C2090" s="8" t="str">
        <f>材料产出!$AJ$2</f>
        <v>中品注灵石</v>
      </c>
      <c r="D2090" s="224">
        <f>参数调整!$K$34*怪物掉落配置方案!$D4142</f>
        <v>2.0737641157694267</v>
      </c>
    </row>
    <row r="2091" spans="1:4" ht="16.5" hidden="1" x14ac:dyDescent="0.3">
      <c r="A2091" s="10" t="str">
        <f>基本属性!$B$13&amp;"|"&amp;基本属性!$C$13</f>
        <v>100|3</v>
      </c>
      <c r="B2091" s="10" t="str">
        <f>参数调整!$J$34</f>
        <v>首领掉落</v>
      </c>
      <c r="C2091" s="8" t="str">
        <f>材料产出!$AJ$2</f>
        <v>中品注灵石</v>
      </c>
      <c r="D2091" s="224">
        <f>参数调整!$K$34*怪物掉落配置方案!$D4143</f>
        <v>2.6246077090206805</v>
      </c>
    </row>
    <row r="2092" spans="1:4" ht="16.5" hidden="1" x14ac:dyDescent="0.3">
      <c r="A2092" s="10" t="str">
        <f>基本属性!$B$14&amp;"|"&amp;基本属性!$C$14</f>
        <v>105|4</v>
      </c>
      <c r="B2092" s="10" t="str">
        <f>参数调整!$J$34</f>
        <v>首领掉落</v>
      </c>
      <c r="C2092" s="8" t="str">
        <f>材料产出!$AJ$2</f>
        <v>中品注灵石</v>
      </c>
      <c r="D2092" s="224">
        <f>参数调整!$K$34*怪物掉落配置方案!$D4144</f>
        <v>3.2402564308897293</v>
      </c>
    </row>
    <row r="2093" spans="1:4" ht="16.5" hidden="1" x14ac:dyDescent="0.3">
      <c r="A2093" s="10" t="str">
        <f>基本属性!$B$15&amp;"|"&amp;基本属性!$C$15</f>
        <v>110|5</v>
      </c>
      <c r="B2093" s="10" t="str">
        <f>参数调整!$J$34</f>
        <v>首领掉落</v>
      </c>
      <c r="C2093" s="8" t="str">
        <f>材料产出!$AJ$2</f>
        <v>中品注灵石</v>
      </c>
      <c r="D2093" s="224">
        <f>参数调整!$K$34*怪物掉落配置方案!$D4145</f>
        <v>3.9207102813765728</v>
      </c>
    </row>
    <row r="2094" spans="1:4" ht="16.5" hidden="1" x14ac:dyDescent="0.3">
      <c r="A2094" s="10" t="str">
        <f>基本属性!$B$16&amp;"|"&amp;基本属性!$C$16</f>
        <v>120|6</v>
      </c>
      <c r="B2094" s="10" t="str">
        <f>参数调整!$J$34</f>
        <v>首领掉落</v>
      </c>
      <c r="C2094" s="8" t="str">
        <f>材料产出!$AJ$2</f>
        <v>中品注灵石</v>
      </c>
      <c r="D2094" s="224">
        <f>参数调整!$K$34*怪物掉落配置方案!$D4146</f>
        <v>5.0629006732652018</v>
      </c>
    </row>
    <row r="2095" spans="1:4" ht="16.5" hidden="1" x14ac:dyDescent="0.3">
      <c r="A2095" s="10" t="str">
        <f>基本属性!$B$17&amp;"|"&amp;基本属性!$C$17</f>
        <v>135|7</v>
      </c>
      <c r="B2095" s="10" t="str">
        <f>参数调整!$J$34</f>
        <v>首领掉落</v>
      </c>
      <c r="C2095" s="8" t="str">
        <f>材料产出!$AJ$2</f>
        <v>中品注灵石</v>
      </c>
      <c r="D2095" s="224">
        <f>参数调整!$K$34*怪物掉落配置方案!$D4147</f>
        <v>7.2905769695018909</v>
      </c>
    </row>
    <row r="2096" spans="1:4" ht="16.5" hidden="1" x14ac:dyDescent="0.3">
      <c r="A2096" s="10" t="str">
        <f>基本属性!$B$18&amp;"|"&amp;基本属性!$C$18</f>
        <v>155|8</v>
      </c>
      <c r="B2096" s="10" t="str">
        <f>参数调整!$J$34</f>
        <v>首领掉落</v>
      </c>
      <c r="C2096" s="8" t="str">
        <f>材料产出!$AJ$2</f>
        <v>中品注灵石</v>
      </c>
      <c r="D2096" s="224">
        <f>参数调整!$K$34*怪物掉落配置方案!$D4148</f>
        <v>9.9232853195997954</v>
      </c>
    </row>
    <row r="2097" spans="1:4" ht="16.5" hidden="1" x14ac:dyDescent="0.3">
      <c r="A2097" s="10" t="str">
        <f>基本属性!$B$19&amp;"|"&amp;基本属性!$C$19</f>
        <v>190|9</v>
      </c>
      <c r="B2097" s="10" t="str">
        <f>参数调整!$J$34</f>
        <v>首领掉落</v>
      </c>
      <c r="C2097" s="8" t="str">
        <f>材料产出!$AJ$2</f>
        <v>中品注灵石</v>
      </c>
      <c r="D2097" s="224">
        <f>参数调整!$K$34*怪物掉落配置方案!$D4149</f>
        <v>11.0897776347201</v>
      </c>
    </row>
    <row r="2098" spans="1:4" ht="16.5" hidden="1" x14ac:dyDescent="0.3">
      <c r="A2098" s="10" t="str">
        <f>基本属性!$B$20&amp;"|"&amp;基本属性!$C$20</f>
        <v>200|10</v>
      </c>
      <c r="B2098" s="10" t="str">
        <f>参数调整!$J$34</f>
        <v>首领掉落</v>
      </c>
      <c r="C2098" s="8" t="str">
        <f>材料产出!$AJ$2</f>
        <v>中品注灵石</v>
      </c>
      <c r="D2098" s="224">
        <f>参数调整!$K$34*怪物掉落配置方案!$D4150</f>
        <v>12.961025723558917</v>
      </c>
    </row>
    <row r="2099" spans="1:4" ht="16.5" hidden="1" x14ac:dyDescent="0.3">
      <c r="A2099" s="10" t="str">
        <f>基本属性!$B$21&amp;"|"&amp;基本属性!$C$21</f>
        <v>200|11</v>
      </c>
      <c r="B2099" s="10" t="str">
        <f>参数调整!$J$34</f>
        <v>首领掉落</v>
      </c>
      <c r="C2099" s="8" t="str">
        <f>材料产出!$AJ$2</f>
        <v>中品注灵石</v>
      </c>
      <c r="D2099" s="224">
        <f>参数调整!$K$34*怪物掉落配置方案!$D4151</f>
        <v>14.978085351787771</v>
      </c>
    </row>
    <row r="2100" spans="1:4" ht="16.5" hidden="1" x14ac:dyDescent="0.3">
      <c r="A2100" s="10" t="str">
        <f>基本属性!$B$22&amp;"|"&amp;基本属性!$C$22</f>
        <v>210|12</v>
      </c>
      <c r="B2100" s="10" t="str">
        <f>参数调整!$J$34</f>
        <v>首领掉落</v>
      </c>
      <c r="C2100" s="8" t="str">
        <f>材料产出!$AJ$2</f>
        <v>中品注灵石</v>
      </c>
      <c r="D2100" s="224">
        <f>参数调整!$K$34*怪物掉落配置方案!$D4152</f>
        <v>17.140956519406661</v>
      </c>
    </row>
    <row r="2101" spans="1:4" ht="16.5" hidden="1" x14ac:dyDescent="0.3">
      <c r="A2101" s="10" t="str">
        <f>基本属性!$B$23&amp;"|"&amp;基本属性!$C$23</f>
        <v>210|13</v>
      </c>
      <c r="B2101" s="10" t="str">
        <f>参数调整!$J$34</f>
        <v>首领掉落</v>
      </c>
      <c r="C2101" s="8" t="str">
        <f>材料产出!$AJ$2</f>
        <v>中品注灵石</v>
      </c>
      <c r="D2101" s="224">
        <f>参数调整!$K$34*怪物掉落配置方案!$D4153</f>
        <v>19.449639226415599</v>
      </c>
    </row>
    <row r="2102" spans="1:4" ht="16.5" hidden="1" x14ac:dyDescent="0.3">
      <c r="A2102" s="10" t="str">
        <f>基本属性!$B$24&amp;"|"&amp;基本属性!$C$24</f>
        <v>220|14</v>
      </c>
      <c r="B2102" s="10" t="str">
        <f>参数调整!$J$34</f>
        <v>首领掉落</v>
      </c>
      <c r="C2102" s="8" t="str">
        <f>材料产出!$AJ$2</f>
        <v>中品注灵石</v>
      </c>
      <c r="D2102" s="224">
        <f>参数调整!$K$34*怪物掉落配置方案!$D4154</f>
        <v>21.904133472814568</v>
      </c>
    </row>
    <row r="2103" spans="1:4" ht="16.5" hidden="1" x14ac:dyDescent="0.3">
      <c r="A2103" s="10" t="str">
        <f>基本属性!$B$25&amp;"|"&amp;基本属性!$C$25</f>
        <v>220|15</v>
      </c>
      <c r="B2103" s="10" t="str">
        <f>参数调整!$J$34</f>
        <v>首领掉落</v>
      </c>
      <c r="C2103" s="8" t="str">
        <f>材料产出!$AJ$2</f>
        <v>中品注灵石</v>
      </c>
      <c r="D2103" s="224">
        <f>参数调整!$K$34*怪物掉落配置方案!$D4155</f>
        <v>24.504439258603576</v>
      </c>
    </row>
    <row r="2104" spans="1:4" ht="16.5" hidden="1" x14ac:dyDescent="0.3">
      <c r="A2104" s="10" t="str">
        <f>基本属性!$B$26&amp;"|"&amp;基本属性!$C$26</f>
        <v>230|16</v>
      </c>
      <c r="B2104" s="10" t="str">
        <f>参数调整!$J$34</f>
        <v>首领掉落</v>
      </c>
      <c r="C2104" s="8" t="str">
        <f>材料产出!$AJ$2</f>
        <v>中品注灵石</v>
      </c>
      <c r="D2104" s="224">
        <f>参数调整!$K$34*怪物掉落配置方案!$D4156</f>
        <v>27.250556583782615</v>
      </c>
    </row>
    <row r="2105" spans="1:4" ht="16.5" hidden="1" x14ac:dyDescent="0.3">
      <c r="A2105" s="10" t="str">
        <f>基本属性!$B$27&amp;"|"&amp;基本属性!$C$27</f>
        <v>230|17</v>
      </c>
      <c r="B2105" s="10" t="str">
        <f>参数调整!$J$34</f>
        <v>首领掉落</v>
      </c>
      <c r="C2105" s="8" t="str">
        <f>材料产出!$AJ$2</f>
        <v>中品注灵石</v>
      </c>
      <c r="D2105" s="224">
        <f>参数调整!$K$34*怪物掉落配置方案!$D4157</f>
        <v>30.142485448351703</v>
      </c>
    </row>
    <row r="2106" spans="1:4" ht="16.5" hidden="1" x14ac:dyDescent="0.3">
      <c r="A2106" s="10" t="str">
        <f>基本属性!$B$28&amp;"|"&amp;基本属性!$C$28</f>
        <v>240|18</v>
      </c>
      <c r="B2106" s="10" t="str">
        <f>参数调整!$J$34</f>
        <v>首领掉落</v>
      </c>
      <c r="C2106" s="8" t="str">
        <f>材料产出!$AJ$2</f>
        <v>中品注灵石</v>
      </c>
      <c r="D2106" s="224">
        <f>参数调整!$K$34*怪物掉落配置方案!$D4158</f>
        <v>33.180225852310826</v>
      </c>
    </row>
    <row r="2107" spans="1:4" ht="16.5" hidden="1" x14ac:dyDescent="0.3">
      <c r="A2107" s="10" t="str">
        <f>基本属性!$B$29&amp;"|"&amp;基本属性!$C$29</f>
        <v>240|19</v>
      </c>
      <c r="B2107" s="10" t="str">
        <f>参数调整!$J$34</f>
        <v>首领掉落</v>
      </c>
      <c r="C2107" s="8" t="str">
        <f>材料产出!$AJ$2</f>
        <v>中品注灵石</v>
      </c>
      <c r="D2107" s="224">
        <f>参数调整!$K$34*怪物掉落配置方案!$D4159</f>
        <v>36.363777795659985</v>
      </c>
    </row>
    <row r="2108" spans="1:4" ht="16.5" hidden="1" x14ac:dyDescent="0.3">
      <c r="A2108" s="10" t="str">
        <f>基本属性!$B$30&amp;"|"&amp;基本属性!$C$30</f>
        <v>250|20</v>
      </c>
      <c r="B2108" s="10" t="str">
        <f>参数调整!$J$34</f>
        <v>首领掉落</v>
      </c>
      <c r="C2108" s="8" t="str">
        <f>材料产出!$AJ$2</f>
        <v>中品注灵石</v>
      </c>
      <c r="D2108" s="224">
        <f>参数调整!$K$34*怪物掉落配置方案!$D4160</f>
        <v>39.693141278399182</v>
      </c>
    </row>
    <row r="2109" spans="1:4" ht="16.5" hidden="1" x14ac:dyDescent="0.3">
      <c r="A2109" s="10" t="str">
        <f>基本属性!$B$4&amp;"|"&amp;基本属性!$C$4</f>
        <v>35|0</v>
      </c>
      <c r="B2109" s="10" t="str">
        <f>参数调整!$J$34</f>
        <v>首领掉落</v>
      </c>
      <c r="C2109" s="8" t="str">
        <f>材料产出!$J$2</f>
        <v>元宝</v>
      </c>
      <c r="D2109" s="224">
        <f>参数调整!$K$34*怪物掉落配置方案!$D4161</f>
        <v>6700</v>
      </c>
    </row>
    <row r="2110" spans="1:4" ht="16.5" hidden="1" x14ac:dyDescent="0.3">
      <c r="A2110" s="10" t="str">
        <f>基本属性!$B$5&amp;"|"&amp;基本属性!$C$5</f>
        <v>40|0</v>
      </c>
      <c r="B2110" s="10" t="str">
        <f>参数调整!$J$34</f>
        <v>首领掉落</v>
      </c>
      <c r="C2110" s="8" t="str">
        <f>材料产出!$J$2</f>
        <v>元宝</v>
      </c>
      <c r="D2110" s="224">
        <f>参数调整!$K$34*怪物掉落配置方案!$D4162</f>
        <v>8500</v>
      </c>
    </row>
    <row r="2111" spans="1:4" ht="16.5" hidden="1" x14ac:dyDescent="0.3">
      <c r="A2111" s="10" t="str">
        <f>基本属性!$B$6&amp;"|"&amp;基本属性!$C$6</f>
        <v>50|0</v>
      </c>
      <c r="B2111" s="10" t="str">
        <f>参数调整!$J$34</f>
        <v>首领掉落</v>
      </c>
      <c r="C2111" s="8" t="str">
        <f>材料产出!$J$2</f>
        <v>元宝</v>
      </c>
      <c r="D2111" s="224">
        <f>参数调整!$K$34*怪物掉落配置方案!$D4163</f>
        <v>10500</v>
      </c>
    </row>
    <row r="2112" spans="1:4" ht="16.5" hidden="1" x14ac:dyDescent="0.3">
      <c r="A2112" s="10" t="str">
        <f>基本属性!$B$7&amp;"|"&amp;基本属性!$C$7</f>
        <v>60|0</v>
      </c>
      <c r="B2112" s="10" t="str">
        <f>参数调整!$J$34</f>
        <v>首领掉落</v>
      </c>
      <c r="C2112" s="8" t="str">
        <f>材料产出!$J$2</f>
        <v>元宝</v>
      </c>
      <c r="D2112" s="224">
        <f>参数调整!$K$34*怪物掉落配置方案!$D4164</f>
        <v>12700</v>
      </c>
    </row>
    <row r="2113" spans="1:4" ht="16.5" hidden="1" x14ac:dyDescent="0.3">
      <c r="A2113" s="10" t="str">
        <f>基本属性!$B$8&amp;"|"&amp;基本属性!$C$8</f>
        <v>65|0</v>
      </c>
      <c r="B2113" s="10" t="str">
        <f>参数调整!$J$34</f>
        <v>首领掉落</v>
      </c>
      <c r="C2113" s="8" t="str">
        <f>材料产出!$J$2</f>
        <v>元宝</v>
      </c>
      <c r="D2113" s="224">
        <f>参数调整!$K$34*怪物掉落配置方案!$D4165</f>
        <v>15100</v>
      </c>
    </row>
    <row r="2114" spans="1:4" ht="16.5" hidden="1" x14ac:dyDescent="0.3">
      <c r="A2114" s="10" t="str">
        <f>基本属性!$B$9&amp;"|"&amp;基本属性!$C$9</f>
        <v>70|0</v>
      </c>
      <c r="B2114" s="10" t="str">
        <f>参数调整!$J$34</f>
        <v>首领掉落</v>
      </c>
      <c r="C2114" s="8" t="str">
        <f>材料产出!$J$2</f>
        <v>元宝</v>
      </c>
      <c r="D2114" s="224">
        <f>参数调整!$K$34*怪物掉落配置方案!$D4166</f>
        <v>17700</v>
      </c>
    </row>
    <row r="2115" spans="1:4" ht="16.5" hidden="1" x14ac:dyDescent="0.3">
      <c r="A2115" s="10" t="str">
        <f>基本属性!$B$10&amp;"|"&amp;基本属性!$C$10</f>
        <v>75|0</v>
      </c>
      <c r="B2115" s="10" t="str">
        <f>参数调整!$J$34</f>
        <v>首领掉落</v>
      </c>
      <c r="C2115" s="8" t="str">
        <f>材料产出!$J$2</f>
        <v>元宝</v>
      </c>
      <c r="D2115" s="224">
        <f>参数调整!$K$34*怪物掉落配置方案!$D4167</f>
        <v>20500</v>
      </c>
    </row>
    <row r="2116" spans="1:4" ht="16.5" hidden="1" x14ac:dyDescent="0.3">
      <c r="A2116" s="10" t="str">
        <f>基本属性!$B$11&amp;"|"&amp;基本属性!$C$11</f>
        <v>80|1</v>
      </c>
      <c r="B2116" s="10" t="str">
        <f>参数调整!$J$34</f>
        <v>首领掉落</v>
      </c>
      <c r="C2116" s="8" t="str">
        <f>材料产出!$J$2</f>
        <v>元宝</v>
      </c>
      <c r="D2116" s="224">
        <f>参数调整!$K$34*怪物掉落配置方案!$D4168</f>
        <v>23600</v>
      </c>
    </row>
    <row r="2117" spans="1:4" ht="16.5" hidden="1" x14ac:dyDescent="0.3">
      <c r="A2117" s="10" t="str">
        <f>基本属性!$B$12&amp;"|"&amp;基本属性!$C$12</f>
        <v>90|2</v>
      </c>
      <c r="B2117" s="10" t="str">
        <f>参数调整!$J$34</f>
        <v>首领掉落</v>
      </c>
      <c r="C2117" s="8" t="str">
        <f>材料产出!$J$2</f>
        <v>元宝</v>
      </c>
      <c r="D2117" s="224">
        <f>参数调整!$K$34*怪物掉落配置方案!$D4169</f>
        <v>26800</v>
      </c>
    </row>
    <row r="2118" spans="1:4" ht="16.5" hidden="1" x14ac:dyDescent="0.3">
      <c r="A2118" s="10" t="str">
        <f>基本属性!$B$13&amp;"|"&amp;基本属性!$C$13</f>
        <v>100|3</v>
      </c>
      <c r="B2118" s="10" t="str">
        <f>参数调整!$J$34</f>
        <v>首领掉落</v>
      </c>
      <c r="C2118" s="8" t="str">
        <f>材料产出!$J$2</f>
        <v>元宝</v>
      </c>
      <c r="D2118" s="224">
        <f>参数调整!$K$34*怪物掉落配置方案!$D4170</f>
        <v>33900</v>
      </c>
    </row>
    <row r="2119" spans="1:4" ht="16.5" hidden="1" x14ac:dyDescent="0.3">
      <c r="A2119" s="10" t="str">
        <f>基本属性!$B$14&amp;"|"&amp;基本属性!$C$14</f>
        <v>105|4</v>
      </c>
      <c r="B2119" s="10" t="str">
        <f>参数调整!$J$34</f>
        <v>首领掉落</v>
      </c>
      <c r="C2119" s="8" t="str">
        <f>材料产出!$J$2</f>
        <v>元宝</v>
      </c>
      <c r="D2119" s="224">
        <f>参数调整!$K$34*怪物掉落配置方案!$D4171</f>
        <v>41900</v>
      </c>
    </row>
    <row r="2120" spans="1:4" ht="16.5" hidden="1" x14ac:dyDescent="0.3">
      <c r="A2120" s="10" t="str">
        <f>基本属性!$B$15&amp;"|"&amp;基本属性!$C$15</f>
        <v>110|5</v>
      </c>
      <c r="B2120" s="10" t="str">
        <f>参数调整!$J$34</f>
        <v>首领掉落</v>
      </c>
      <c r="C2120" s="8" t="str">
        <f>材料产出!$J$2</f>
        <v>元宝</v>
      </c>
      <c r="D2120" s="224">
        <f>参数调整!$K$34*怪物掉落配置方案!$D4172</f>
        <v>50700</v>
      </c>
    </row>
    <row r="2121" spans="1:4" ht="16.5" hidden="1" x14ac:dyDescent="0.3">
      <c r="A2121" s="10" t="str">
        <f>基本属性!$B$16&amp;"|"&amp;基本属性!$C$16</f>
        <v>120|6</v>
      </c>
      <c r="B2121" s="10" t="str">
        <f>参数调整!$J$34</f>
        <v>首领掉落</v>
      </c>
      <c r="C2121" s="8" t="str">
        <f>材料产出!$J$2</f>
        <v>元宝</v>
      </c>
      <c r="D2121" s="224">
        <f>参数调整!$K$34*怪物掉落配置方案!$D4173</f>
        <v>65500</v>
      </c>
    </row>
    <row r="2122" spans="1:4" ht="16.5" hidden="1" x14ac:dyDescent="0.3">
      <c r="A2122" s="10" t="str">
        <f>基本属性!$B$17&amp;"|"&amp;基本属性!$C$17</f>
        <v>135|7</v>
      </c>
      <c r="B2122" s="10" t="str">
        <f>参数调整!$J$34</f>
        <v>首领掉落</v>
      </c>
      <c r="C2122" s="8" t="str">
        <f>材料产出!$J$2</f>
        <v>元宝</v>
      </c>
      <c r="D2122" s="224">
        <f>参数调整!$K$34*怪物掉落配置方案!$D4174</f>
        <v>94300</v>
      </c>
    </row>
    <row r="2123" spans="1:4" ht="16.5" hidden="1" x14ac:dyDescent="0.3">
      <c r="A2123" s="10" t="str">
        <f>基本属性!$B$18&amp;"|"&amp;基本属性!$C$18</f>
        <v>155|8</v>
      </c>
      <c r="B2123" s="10" t="str">
        <f>参数调整!$J$34</f>
        <v>首领掉落</v>
      </c>
      <c r="C2123" s="8" t="str">
        <f>材料产出!$J$2</f>
        <v>元宝</v>
      </c>
      <c r="D2123" s="224">
        <f>参数调整!$K$34*怪物掉落配置方案!$D4175</f>
        <v>128400</v>
      </c>
    </row>
    <row r="2124" spans="1:4" ht="16.5" hidden="1" x14ac:dyDescent="0.3">
      <c r="A2124" s="10" t="str">
        <f>基本属性!$B$19&amp;"|"&amp;基本属性!$C$19</f>
        <v>190|9</v>
      </c>
      <c r="B2124" s="10" t="str">
        <f>参数调整!$J$34</f>
        <v>首领掉落</v>
      </c>
      <c r="C2124" s="8" t="str">
        <f>材料产出!$J$2</f>
        <v>元宝</v>
      </c>
      <c r="D2124" s="224">
        <f>参数调整!$K$34*怪物掉落配置方案!$D4176</f>
        <v>143400</v>
      </c>
    </row>
    <row r="2125" spans="1:4" ht="16.5" hidden="1" x14ac:dyDescent="0.3">
      <c r="A2125" s="10" t="str">
        <f>基本属性!$B$20&amp;"|"&amp;基本属性!$C$20</f>
        <v>200|10</v>
      </c>
      <c r="B2125" s="10" t="str">
        <f>参数调整!$J$34</f>
        <v>首领掉落</v>
      </c>
      <c r="C2125" s="8" t="str">
        <f>材料产出!$J$2</f>
        <v>元宝</v>
      </c>
      <c r="D2125" s="224">
        <f>参数调整!$K$34*怪物掉落配置方案!$D4177</f>
        <v>167700</v>
      </c>
    </row>
    <row r="2126" spans="1:4" ht="16.5" hidden="1" x14ac:dyDescent="0.3">
      <c r="A2126" s="10" t="str">
        <f>基本属性!$B$21&amp;"|"&amp;基本属性!$C$21</f>
        <v>200|11</v>
      </c>
      <c r="B2126" s="10" t="str">
        <f>参数调整!$J$34</f>
        <v>首领掉落</v>
      </c>
      <c r="C2126" s="8" t="str">
        <f>材料产出!$J$2</f>
        <v>元宝</v>
      </c>
      <c r="D2126" s="224">
        <f>参数调整!$K$34*怪物掉落配置方案!$D4178</f>
        <v>193700</v>
      </c>
    </row>
    <row r="2127" spans="1:4" ht="16.5" hidden="1" x14ac:dyDescent="0.3">
      <c r="A2127" s="10" t="str">
        <f>基本属性!$B$22&amp;"|"&amp;基本属性!$C$22</f>
        <v>210|12</v>
      </c>
      <c r="B2127" s="10" t="str">
        <f>参数调整!$J$34</f>
        <v>首领掉落</v>
      </c>
      <c r="C2127" s="8" t="str">
        <f>材料产出!$J$2</f>
        <v>元宝</v>
      </c>
      <c r="D2127" s="224">
        <f>参数调整!$K$34*怪物掉落配置方案!$D4179</f>
        <v>221700</v>
      </c>
    </row>
    <row r="2128" spans="1:4" ht="16.5" hidden="1" x14ac:dyDescent="0.3">
      <c r="A2128" s="10" t="str">
        <f>基本属性!$B$23&amp;"|"&amp;基本属性!$C$23</f>
        <v>210|13</v>
      </c>
      <c r="B2128" s="10" t="str">
        <f>参数调整!$J$34</f>
        <v>首领掉落</v>
      </c>
      <c r="C2128" s="8" t="str">
        <f>材料产出!$J$2</f>
        <v>元宝</v>
      </c>
      <c r="D2128" s="224">
        <f>参数调整!$K$34*怪物掉落配置方案!$D4180</f>
        <v>251600</v>
      </c>
    </row>
    <row r="2129" spans="1:4" ht="16.5" hidden="1" x14ac:dyDescent="0.3">
      <c r="A2129" s="10" t="str">
        <f>基本属性!$B$24&amp;"|"&amp;基本属性!$C$24</f>
        <v>220|14</v>
      </c>
      <c r="B2129" s="10" t="str">
        <f>参数调整!$J$34</f>
        <v>首领掉落</v>
      </c>
      <c r="C2129" s="8" t="str">
        <f>材料产出!$J$2</f>
        <v>元宝</v>
      </c>
      <c r="D2129" s="224">
        <f>参数调整!$K$34*怪物掉落配置方案!$D4181</f>
        <v>283300</v>
      </c>
    </row>
    <row r="2130" spans="1:4" ht="16.5" hidden="1" x14ac:dyDescent="0.3">
      <c r="A2130" s="10" t="str">
        <f>基本属性!$B$25&amp;"|"&amp;基本属性!$C$25</f>
        <v>220|15</v>
      </c>
      <c r="B2130" s="10" t="str">
        <f>参数调整!$J$34</f>
        <v>首领掉落</v>
      </c>
      <c r="C2130" s="8" t="str">
        <f>材料产出!$J$2</f>
        <v>元宝</v>
      </c>
      <c r="D2130" s="224">
        <f>参数调整!$K$34*怪物掉落配置方案!$D4182</f>
        <v>317000</v>
      </c>
    </row>
    <row r="2131" spans="1:4" ht="16.5" hidden="1" x14ac:dyDescent="0.3">
      <c r="A2131" s="10" t="str">
        <f>基本属性!$B$26&amp;"|"&amp;基本属性!$C$26</f>
        <v>230|16</v>
      </c>
      <c r="B2131" s="10" t="str">
        <f>参数调整!$J$34</f>
        <v>首领掉落</v>
      </c>
      <c r="C2131" s="8" t="str">
        <f>材料产出!$J$2</f>
        <v>元宝</v>
      </c>
      <c r="D2131" s="224">
        <f>参数调整!$K$34*怪物掉落配置方案!$D4183</f>
        <v>352500</v>
      </c>
    </row>
    <row r="2132" spans="1:4" ht="16.5" hidden="1" x14ac:dyDescent="0.3">
      <c r="A2132" s="10" t="str">
        <f>基本属性!$B$27&amp;"|"&amp;基本属性!$C$27</f>
        <v>230|17</v>
      </c>
      <c r="B2132" s="10" t="str">
        <f>参数调整!$J$34</f>
        <v>首领掉落</v>
      </c>
      <c r="C2132" s="8" t="str">
        <f>材料产出!$J$2</f>
        <v>元宝</v>
      </c>
      <c r="D2132" s="224">
        <f>参数调整!$K$34*怪物掉落配置方案!$D4184</f>
        <v>389900</v>
      </c>
    </row>
    <row r="2133" spans="1:4" ht="16.5" hidden="1" x14ac:dyDescent="0.3">
      <c r="A2133" s="10" t="str">
        <f>基本属性!$B$28&amp;"|"&amp;基本属性!$C$28</f>
        <v>240|18</v>
      </c>
      <c r="B2133" s="10" t="str">
        <f>参数调整!$J$34</f>
        <v>首领掉落</v>
      </c>
      <c r="C2133" s="8" t="str">
        <f>材料产出!$J$2</f>
        <v>元宝</v>
      </c>
      <c r="D2133" s="224">
        <f>参数调整!$K$34*怪物掉落配置方案!$D4185</f>
        <v>429200</v>
      </c>
    </row>
    <row r="2134" spans="1:4" ht="16.5" hidden="1" x14ac:dyDescent="0.3">
      <c r="A2134" s="10" t="str">
        <f>基本属性!$B$29&amp;"|"&amp;基本属性!$C$29</f>
        <v>240|19</v>
      </c>
      <c r="B2134" s="10" t="str">
        <f>参数调整!$J$34</f>
        <v>首领掉落</v>
      </c>
      <c r="C2134" s="8" t="str">
        <f>材料产出!$J$2</f>
        <v>元宝</v>
      </c>
      <c r="D2134" s="224">
        <f>参数调整!$K$34*怪物掉落配置方案!$D4186</f>
        <v>470400</v>
      </c>
    </row>
    <row r="2135" spans="1:4" ht="16.5" hidden="1" x14ac:dyDescent="0.3">
      <c r="A2135" s="10" t="str">
        <f>基本属性!$B$30&amp;"|"&amp;基本属性!$C$30</f>
        <v>250|20</v>
      </c>
      <c r="B2135" s="10" t="str">
        <f>参数调整!$J$34</f>
        <v>首领掉落</v>
      </c>
      <c r="C2135" s="8" t="str">
        <f>材料产出!$J$2</f>
        <v>元宝</v>
      </c>
      <c r="D2135" s="224">
        <f>参数调整!$K$34*怪物掉落配置方案!$D4187</f>
        <v>513400</v>
      </c>
    </row>
    <row r="2136" spans="1:4" ht="16.5" hidden="1" x14ac:dyDescent="0.3">
      <c r="A2136" s="10" t="str">
        <f>基本属性!$B$4&amp;"|"&amp;基本属性!$C$4</f>
        <v>35|0</v>
      </c>
      <c r="B2136" s="10" t="str">
        <f>参数调整!$J$34</f>
        <v>首领掉落</v>
      </c>
      <c r="C2136" s="8" t="str">
        <f>材料产出!$BB$2</f>
        <v>衣服碎片</v>
      </c>
      <c r="D2136" s="224">
        <f>参数调整!$K$34*怪物掉落配置方案!$D4188</f>
        <v>8.1166972083899537E-4</v>
      </c>
    </row>
    <row r="2137" spans="1:4" ht="16.5" hidden="1" x14ac:dyDescent="0.3">
      <c r="A2137" s="10" t="str">
        <f>基本属性!$B$5&amp;"|"&amp;基本属性!$C$5</f>
        <v>40|0</v>
      </c>
      <c r="B2137" s="10" t="str">
        <f>参数调整!$J$34</f>
        <v>首领掉落</v>
      </c>
      <c r="C2137" s="8" t="str">
        <f>材料产出!$BB$2</f>
        <v>衣服碎片</v>
      </c>
      <c r="D2137" s="224">
        <f>参数调整!$K$34*怪物掉落配置方案!$D4189</f>
        <v>1.0272694904368536E-3</v>
      </c>
    </row>
    <row r="2138" spans="1:4" ht="16.5" hidden="1" x14ac:dyDescent="0.3">
      <c r="A2138" s="10" t="str">
        <f>基本属性!$B$6&amp;"|"&amp;基本属性!$C$6</f>
        <v>50|0</v>
      </c>
      <c r="B2138" s="10" t="str">
        <f>参数调整!$J$34</f>
        <v>首领掉落</v>
      </c>
      <c r="C2138" s="8" t="str">
        <f>材料产出!$BB$2</f>
        <v>衣服碎片</v>
      </c>
      <c r="D2138" s="224">
        <f>参数调整!$K$34*怪物掉落配置方案!$D4190</f>
        <v>1.2682339388109304E-3</v>
      </c>
    </row>
    <row r="2139" spans="1:4" ht="16.5" hidden="1" x14ac:dyDescent="0.3">
      <c r="A2139" s="10" t="str">
        <f>基本属性!$B$7&amp;"|"&amp;基本属性!$C$7</f>
        <v>60|0</v>
      </c>
      <c r="B2139" s="10" t="str">
        <f>参数调整!$J$34</f>
        <v>首领掉落</v>
      </c>
      <c r="C2139" s="8" t="str">
        <f>材料产出!$BB$2</f>
        <v>衣服碎片</v>
      </c>
      <c r="D2139" s="224">
        <f>参数调整!$K$34*怪物掉落配置方案!$D4191</f>
        <v>1.5345630659612257E-3</v>
      </c>
    </row>
    <row r="2140" spans="1:4" ht="16.5" hidden="1" x14ac:dyDescent="0.3">
      <c r="A2140" s="10" t="str">
        <f>基本属性!$B$8&amp;"|"&amp;基本属性!$C$8</f>
        <v>65|0</v>
      </c>
      <c r="B2140" s="10" t="str">
        <f>参数调整!$J$34</f>
        <v>首领掉落</v>
      </c>
      <c r="C2140" s="8" t="str">
        <f>材料产出!$BB$2</f>
        <v>衣服碎片</v>
      </c>
      <c r="D2140" s="224">
        <f>参数调整!$K$34*怪物掉落配置方案!$D4192</f>
        <v>1.8262568718877398E-3</v>
      </c>
    </row>
    <row r="2141" spans="1:4" ht="16.5" hidden="1" x14ac:dyDescent="0.3">
      <c r="A2141" s="10" t="str">
        <f>基本属性!$B$9&amp;"|"&amp;基本属性!$C$9</f>
        <v>70|0</v>
      </c>
      <c r="B2141" s="10" t="str">
        <f>参数调整!$J$34</f>
        <v>首领掉落</v>
      </c>
      <c r="C2141" s="8" t="str">
        <f>材料产出!$BB$2</f>
        <v>衣服碎片</v>
      </c>
      <c r="D2141" s="224">
        <f>参数调整!$K$34*怪物掉落配置方案!$D4193</f>
        <v>2.1433153565904722E-3</v>
      </c>
    </row>
    <row r="2142" spans="1:4" ht="16.5" hidden="1" x14ac:dyDescent="0.3">
      <c r="A2142" s="10" t="str">
        <f>基本属性!$B$10&amp;"|"&amp;基本属性!$C$10</f>
        <v>75|0</v>
      </c>
      <c r="B2142" s="10" t="str">
        <f>参数调整!$J$34</f>
        <v>首领掉落</v>
      </c>
      <c r="C2142" s="8" t="str">
        <f>材料产出!$BB$2</f>
        <v>衣服碎片</v>
      </c>
      <c r="D2142" s="224">
        <f>参数调整!$K$34*怪物掉落配置方案!$D4194</f>
        <v>2.4857385200694232E-3</v>
      </c>
    </row>
    <row r="2143" spans="1:4" ht="16.5" hidden="1" x14ac:dyDescent="0.3">
      <c r="A2143" s="10" t="str">
        <f>基本属性!$B$11&amp;"|"&amp;基本属性!$C$11</f>
        <v>80|1</v>
      </c>
      <c r="B2143" s="10" t="str">
        <f>参数调整!$J$34</f>
        <v>首领掉落</v>
      </c>
      <c r="C2143" s="8" t="str">
        <f>材料产出!$BB$2</f>
        <v>衣服碎片</v>
      </c>
      <c r="D2143" s="224">
        <f>参数调整!$K$34*怪物掉落配置方案!$D4195</f>
        <v>2.853526362324593E-3</v>
      </c>
    </row>
    <row r="2144" spans="1:4" ht="16.5" hidden="1" x14ac:dyDescent="0.3">
      <c r="A2144" s="10" t="str">
        <f>基本属性!$B$12&amp;"|"&amp;基本属性!$C$12</f>
        <v>90|2</v>
      </c>
      <c r="B2144" s="10" t="str">
        <f>参数调整!$J$34</f>
        <v>首领掉落</v>
      </c>
      <c r="C2144" s="8" t="str">
        <f>材料产出!$BB$2</f>
        <v>衣服碎片</v>
      </c>
      <c r="D2144" s="224">
        <f>参数调整!$K$34*怪物掉落配置方案!$D4196</f>
        <v>3.2466788833559823E-3</v>
      </c>
    </row>
    <row r="2145" spans="1:4" ht="16.5" hidden="1" x14ac:dyDescent="0.3">
      <c r="A2145" s="10" t="str">
        <f>基本属性!$B$13&amp;"|"&amp;基本属性!$C$13</f>
        <v>100|3</v>
      </c>
      <c r="B2145" s="10" t="str">
        <f>参数调整!$J$34</f>
        <v>首领掉落</v>
      </c>
      <c r="C2145" s="8" t="str">
        <f>材料产出!$BB$2</f>
        <v>衣服碎片</v>
      </c>
      <c r="D2145" s="224">
        <f>参数调整!$K$34*怪物掉落配置方案!$D4197</f>
        <v>4.1090779617474153E-3</v>
      </c>
    </row>
    <row r="2146" spans="1:4" ht="16.5" hidden="1" x14ac:dyDescent="0.3">
      <c r="A2146" s="10" t="str">
        <f>基本属性!$B$14&amp;"|"&amp;基本属性!$C$14</f>
        <v>105|4</v>
      </c>
      <c r="B2146" s="10" t="str">
        <f>参数调整!$J$34</f>
        <v>首领掉落</v>
      </c>
      <c r="C2146" s="8" t="str">
        <f>材料产出!$BB$2</f>
        <v>衣服碎片</v>
      </c>
      <c r="D2146" s="224">
        <f>参数调整!$K$34*怪物掉落配置方案!$D4198</f>
        <v>5.0729357552437215E-3</v>
      </c>
    </row>
    <row r="2147" spans="1:4" ht="16.5" hidden="1" x14ac:dyDescent="0.3">
      <c r="A2147" s="10" t="str">
        <f>基本属性!$B$15&amp;"|"&amp;基本属性!$C$15</f>
        <v>110|5</v>
      </c>
      <c r="B2147" s="10" t="str">
        <f>参数调整!$J$34</f>
        <v>首领掉落</v>
      </c>
      <c r="C2147" s="8" t="str">
        <f>材料产出!$BB$2</f>
        <v>衣服碎片</v>
      </c>
      <c r="D2147" s="224">
        <f>参数调整!$K$34*怪物掉落配置方案!$D4199</f>
        <v>6.1382522638449045E-3</v>
      </c>
    </row>
    <row r="2148" spans="1:4" ht="16.5" hidden="1" x14ac:dyDescent="0.3">
      <c r="A2148" s="10" t="str">
        <f>基本属性!$B$16&amp;"|"&amp;基本属性!$C$16</f>
        <v>120|6</v>
      </c>
      <c r="B2148" s="10" t="str">
        <f>参数调整!$J$34</f>
        <v>首领掉落</v>
      </c>
      <c r="C2148" s="8" t="str">
        <f>材料产出!$BB$2</f>
        <v>衣服碎片</v>
      </c>
      <c r="D2148" s="224">
        <f>参数调整!$K$34*怪物掉落配置方案!$D4200</f>
        <v>7.9264621175683166E-3</v>
      </c>
    </row>
    <row r="2149" spans="1:4" ht="16.5" hidden="1" x14ac:dyDescent="0.3">
      <c r="A2149" s="10" t="str">
        <f>基本属性!$B$17&amp;"|"&amp;基本属性!$C$17</f>
        <v>135|7</v>
      </c>
      <c r="B2149" s="10" t="str">
        <f>参数调整!$J$34</f>
        <v>首领掉落</v>
      </c>
      <c r="C2149" s="8" t="str">
        <f>材料产出!$BB$2</f>
        <v>衣服碎片</v>
      </c>
      <c r="D2149" s="224">
        <f>参数调整!$K$34*怪物掉落配置方案!$D4201</f>
        <v>1.1414105449298372E-2</v>
      </c>
    </row>
    <row r="2150" spans="1:4" ht="16.5" hidden="1" x14ac:dyDescent="0.3">
      <c r="A2150" s="10" t="str">
        <f>基本属性!$B$18&amp;"|"&amp;基本属性!$C$18</f>
        <v>155|8</v>
      </c>
      <c r="B2150" s="10" t="str">
        <f>参数调整!$J$34</f>
        <v>首领掉落</v>
      </c>
      <c r="C2150" s="8" t="str">
        <f>材料产出!$BB$2</f>
        <v>衣服碎片</v>
      </c>
      <c r="D2150" s="224">
        <f>参数调整!$K$34*怪物掉落配置方案!$D4202</f>
        <v>1.5535865750433898E-2</v>
      </c>
    </row>
    <row r="2151" spans="1:4" ht="16.5" hidden="1" x14ac:dyDescent="0.3">
      <c r="A2151" s="10" t="str">
        <f>基本属性!$B$19&amp;"|"&amp;基本属性!$C$19</f>
        <v>190|9</v>
      </c>
      <c r="B2151" s="10" t="str">
        <f>参数调整!$J$34</f>
        <v>首领掉落</v>
      </c>
      <c r="C2151" s="8" t="str">
        <f>材料产出!$BB$2</f>
        <v>衣服碎片</v>
      </c>
      <c r="D2151" s="224">
        <f>参数调整!$K$34*怪物掉落配置方案!$D4203</f>
        <v>1.7362122622321636E-2</v>
      </c>
    </row>
    <row r="2152" spans="1:4" ht="16.5" hidden="1" x14ac:dyDescent="0.3">
      <c r="A2152" s="10" t="str">
        <f>基本属性!$B$20&amp;"|"&amp;基本属性!$C$20</f>
        <v>200|10</v>
      </c>
      <c r="B2152" s="10" t="str">
        <f>参数调整!$J$34</f>
        <v>首领掉落</v>
      </c>
      <c r="C2152" s="8" t="str">
        <f>材料产出!$BB$2</f>
        <v>衣服碎片</v>
      </c>
      <c r="D2152" s="224">
        <f>参数调整!$K$34*怪物掉落配置方案!$D4204</f>
        <v>2.0291743020974886E-2</v>
      </c>
    </row>
    <row r="2153" spans="1:4" ht="16.5" hidden="1" x14ac:dyDescent="0.3">
      <c r="A2153" s="10" t="str">
        <f>基本属性!$B$21&amp;"|"&amp;基本属性!$C$21</f>
        <v>200|11</v>
      </c>
      <c r="B2153" s="10" t="str">
        <f>参数调整!$J$34</f>
        <v>首领掉落</v>
      </c>
      <c r="C2153" s="8" t="str">
        <f>材料产出!$BB$2</f>
        <v>衣服碎片</v>
      </c>
      <c r="D2153" s="224">
        <f>参数调整!$K$34*怪物掉落配置方案!$D4205</f>
        <v>2.3449645528614095E-2</v>
      </c>
    </row>
    <row r="2154" spans="1:4" ht="16.5" hidden="1" x14ac:dyDescent="0.3">
      <c r="A2154" s="10" t="str">
        <f>基本属性!$B$22&amp;"|"&amp;基本属性!$C$22</f>
        <v>210|12</v>
      </c>
      <c r="B2154" s="10" t="str">
        <f>参数调整!$J$34</f>
        <v>首领掉落</v>
      </c>
      <c r="C2154" s="8" t="str">
        <f>材料产出!$BB$2</f>
        <v>衣服碎片</v>
      </c>
      <c r="D2154" s="224">
        <f>参数调整!$K$34*怪物掉落配置方案!$D4206</f>
        <v>2.6835830145239277E-2</v>
      </c>
    </row>
    <row r="2155" spans="1:4" ht="16.5" hidden="1" x14ac:dyDescent="0.3">
      <c r="A2155" s="10" t="str">
        <f>基本属性!$B$23&amp;"|"&amp;基本属性!$C$23</f>
        <v>210|13</v>
      </c>
      <c r="B2155" s="10" t="str">
        <f>参数调整!$J$34</f>
        <v>首领掉落</v>
      </c>
      <c r="C2155" s="8" t="str">
        <f>材料产出!$BB$2</f>
        <v>衣服碎片</v>
      </c>
      <c r="D2155" s="224">
        <f>参数调整!$K$34*怪物掉落配置方案!$D4207</f>
        <v>3.0450296870850442E-2</v>
      </c>
    </row>
    <row r="2156" spans="1:4" ht="16.5" hidden="1" x14ac:dyDescent="0.3">
      <c r="A2156" s="10" t="str">
        <f>基本属性!$B$24&amp;"|"&amp;基本属性!$C$24</f>
        <v>220|14</v>
      </c>
      <c r="B2156" s="10" t="str">
        <f>参数调整!$J$34</f>
        <v>首领掉落</v>
      </c>
      <c r="C2156" s="8" t="str">
        <f>材料产出!$BB$2</f>
        <v>衣服碎片</v>
      </c>
      <c r="D2156" s="224">
        <f>参数调整!$K$34*怪物掉落配置方案!$D4208</f>
        <v>3.4293045705447556E-2</v>
      </c>
    </row>
    <row r="2157" spans="1:4" ht="16.5" hidden="1" x14ac:dyDescent="0.3">
      <c r="A2157" s="10" t="str">
        <f>基本属性!$B$25&amp;"|"&amp;基本属性!$C$25</f>
        <v>220|15</v>
      </c>
      <c r="B2157" s="10" t="str">
        <f>参数调整!$J$34</f>
        <v>首领掉落</v>
      </c>
      <c r="C2157" s="8" t="str">
        <f>材料产出!$BB$2</f>
        <v>衣服碎片</v>
      </c>
      <c r="D2157" s="224">
        <f>参数调整!$K$34*怪物掉落配置方案!$D4209</f>
        <v>3.8364076649030632E-2</v>
      </c>
    </row>
    <row r="2158" spans="1:4" ht="16.5" hidden="1" x14ac:dyDescent="0.3">
      <c r="A2158" s="10" t="str">
        <f>基本属性!$B$26&amp;"|"&amp;基本属性!$C$26</f>
        <v>230|16</v>
      </c>
      <c r="B2158" s="10" t="str">
        <f>参数调整!$J$34</f>
        <v>首领掉落</v>
      </c>
      <c r="C2158" s="8" t="str">
        <f>材料产出!$BB$2</f>
        <v>衣服碎片</v>
      </c>
      <c r="D2158" s="224">
        <f>参数调整!$K$34*怪物掉落配置方案!$D4210</f>
        <v>4.2663389701599691E-2</v>
      </c>
    </row>
    <row r="2159" spans="1:4" ht="16.5" hidden="1" x14ac:dyDescent="0.3">
      <c r="A2159" s="10" t="str">
        <f>基本属性!$B$27&amp;"|"&amp;基本属性!$C$27</f>
        <v>230|17</v>
      </c>
      <c r="B2159" s="10" t="str">
        <f>参数调整!$J$34</f>
        <v>首领掉落</v>
      </c>
      <c r="C2159" s="8" t="str">
        <f>材料产出!$BB$2</f>
        <v>衣服碎片</v>
      </c>
      <c r="D2159" s="224">
        <f>参数调整!$K$34*怪物掉落配置方案!$D4211</f>
        <v>4.7190984863154713E-2</v>
      </c>
    </row>
    <row r="2160" spans="1:4" ht="16.5" hidden="1" x14ac:dyDescent="0.3">
      <c r="A2160" s="10" t="str">
        <f>基本属性!$B$28&amp;"|"&amp;基本属性!$C$28</f>
        <v>240|18</v>
      </c>
      <c r="B2160" s="10" t="str">
        <f>参数调整!$J$34</f>
        <v>首领掉落</v>
      </c>
      <c r="C2160" s="8" t="str">
        <f>材料产出!$BB$2</f>
        <v>衣服碎片</v>
      </c>
      <c r="D2160" s="224">
        <f>参数调整!$K$34*怪物掉落配置方案!$D4212</f>
        <v>5.1946862133695704E-2</v>
      </c>
    </row>
    <row r="2161" spans="1:4" ht="16.5" hidden="1" x14ac:dyDescent="0.3">
      <c r="A2161" s="10" t="str">
        <f>基本属性!$B$29&amp;"|"&amp;基本属性!$C$29</f>
        <v>240|19</v>
      </c>
      <c r="B2161" s="10" t="str">
        <f>参数调整!$J$34</f>
        <v>首领掉落</v>
      </c>
      <c r="C2161" s="8" t="str">
        <f>材料产出!$BB$2</f>
        <v>衣服碎片</v>
      </c>
      <c r="D2161" s="224">
        <f>参数调整!$K$34*怪物掉落配置方案!$D4213</f>
        <v>5.6931021513222664E-2</v>
      </c>
    </row>
    <row r="2162" spans="1:4" ht="16.5" hidden="1" x14ac:dyDescent="0.3">
      <c r="A2162" s="10" t="str">
        <f>基本属性!$B$30&amp;"|"&amp;基本属性!$C$30</f>
        <v>250|20</v>
      </c>
      <c r="B2162" s="10" t="str">
        <f>参数调整!$J$34</f>
        <v>首领掉落</v>
      </c>
      <c r="C2162" s="8" t="str">
        <f>材料产出!$BB$2</f>
        <v>衣服碎片</v>
      </c>
      <c r="D2162" s="224">
        <f>参数调整!$K$34*怪物掉落配置方案!$D4214</f>
        <v>6.2143463001735566E-2</v>
      </c>
    </row>
    <row r="2163" spans="1:4" ht="16.5" hidden="1" x14ac:dyDescent="0.3">
      <c r="A2163" s="10" t="str">
        <f>基本属性!$B$4&amp;"|"&amp;基本属性!$C$4</f>
        <v>35|0</v>
      </c>
      <c r="B2163" s="10" t="str">
        <f>参数调整!$J$34</f>
        <v>首领掉落</v>
      </c>
      <c r="C2163" s="8" t="str">
        <f>材料产出!$HX$2</f>
        <v>星座装备</v>
      </c>
      <c r="D2163" s="224">
        <f>参数调整!$K$34*怪物掉落配置方案!$D4215</f>
        <v>0</v>
      </c>
    </row>
    <row r="2164" spans="1:4" ht="16.5" hidden="1" x14ac:dyDescent="0.3">
      <c r="A2164" s="10" t="str">
        <f>基本属性!$B$5&amp;"|"&amp;基本属性!$C$5</f>
        <v>40|0</v>
      </c>
      <c r="B2164" s="10" t="str">
        <f>参数调整!$J$34</f>
        <v>首领掉落</v>
      </c>
      <c r="C2164" s="8" t="str">
        <f>材料产出!$HX$2</f>
        <v>星座装备</v>
      </c>
      <c r="D2164" s="224">
        <f>参数调整!$K$34*怪物掉落配置方案!$D4216</f>
        <v>0</v>
      </c>
    </row>
    <row r="2165" spans="1:4" ht="16.5" hidden="1" x14ac:dyDescent="0.3">
      <c r="A2165" s="10" t="str">
        <f>基本属性!$B$6&amp;"|"&amp;基本属性!$C$6</f>
        <v>50|0</v>
      </c>
      <c r="B2165" s="10" t="str">
        <f>参数调整!$J$34</f>
        <v>首领掉落</v>
      </c>
      <c r="C2165" s="8" t="str">
        <f>材料产出!$HX$2</f>
        <v>星座装备</v>
      </c>
      <c r="D2165" s="224">
        <f>参数调整!$K$34*怪物掉落配置方案!$D4217</f>
        <v>0</v>
      </c>
    </row>
    <row r="2166" spans="1:4" ht="16.5" hidden="1" x14ac:dyDescent="0.3">
      <c r="A2166" s="10" t="str">
        <f>基本属性!$B$7&amp;"|"&amp;基本属性!$C$7</f>
        <v>60|0</v>
      </c>
      <c r="B2166" s="10" t="str">
        <f>参数调整!$J$34</f>
        <v>首领掉落</v>
      </c>
      <c r="C2166" s="8" t="str">
        <f>材料产出!$HX$2</f>
        <v>星座装备</v>
      </c>
      <c r="D2166" s="224">
        <f>参数调整!$K$34*怪物掉落配置方案!$D4218</f>
        <v>0</v>
      </c>
    </row>
    <row r="2167" spans="1:4" ht="16.5" hidden="1" x14ac:dyDescent="0.3">
      <c r="A2167" s="10" t="str">
        <f>基本属性!$B$8&amp;"|"&amp;基本属性!$C$8</f>
        <v>65|0</v>
      </c>
      <c r="B2167" s="10" t="str">
        <f>参数调整!$J$34</f>
        <v>首领掉落</v>
      </c>
      <c r="C2167" s="8" t="str">
        <f>材料产出!$HX$2</f>
        <v>星座装备</v>
      </c>
      <c r="D2167" s="224">
        <f>参数调整!$K$34*怪物掉落配置方案!$D4219</f>
        <v>0</v>
      </c>
    </row>
    <row r="2168" spans="1:4" ht="16.5" hidden="1" x14ac:dyDescent="0.3">
      <c r="A2168" s="10" t="str">
        <f>基本属性!$B$9&amp;"|"&amp;基本属性!$C$9</f>
        <v>70|0</v>
      </c>
      <c r="B2168" s="10" t="str">
        <f>参数调整!$J$34</f>
        <v>首领掉落</v>
      </c>
      <c r="C2168" s="8" t="str">
        <f>材料产出!$HX$2</f>
        <v>星座装备</v>
      </c>
      <c r="D2168" s="224">
        <f>参数调整!$K$34*怪物掉落配置方案!$D4220</f>
        <v>0</v>
      </c>
    </row>
    <row r="2169" spans="1:4" ht="16.5" hidden="1" x14ac:dyDescent="0.3">
      <c r="A2169" s="10" t="str">
        <f>基本属性!$B$10&amp;"|"&amp;基本属性!$C$10</f>
        <v>75|0</v>
      </c>
      <c r="B2169" s="10" t="str">
        <f>参数调整!$J$34</f>
        <v>首领掉落</v>
      </c>
      <c r="C2169" s="8" t="str">
        <f>材料产出!$HX$2</f>
        <v>星座装备</v>
      </c>
      <c r="D2169" s="224">
        <f>参数调整!$K$34*怪物掉落配置方案!$D4221</f>
        <v>0</v>
      </c>
    </row>
    <row r="2170" spans="1:4" ht="16.5" hidden="1" x14ac:dyDescent="0.3">
      <c r="A2170" s="10" t="str">
        <f>基本属性!$B$11&amp;"|"&amp;基本属性!$C$11</f>
        <v>80|1</v>
      </c>
      <c r="B2170" s="10" t="str">
        <f>参数调整!$J$34</f>
        <v>首领掉落</v>
      </c>
      <c r="C2170" s="8" t="str">
        <f>材料产出!$HX$2</f>
        <v>星座装备</v>
      </c>
      <c r="D2170" s="224">
        <f>参数调整!$K$34*怪物掉落配置方案!$D4222</f>
        <v>0</v>
      </c>
    </row>
    <row r="2171" spans="1:4" ht="16.5" hidden="1" x14ac:dyDescent="0.3">
      <c r="A2171" s="10" t="str">
        <f>基本属性!$B$12&amp;"|"&amp;基本属性!$C$12</f>
        <v>90|2</v>
      </c>
      <c r="B2171" s="10" t="str">
        <f>参数调整!$J$34</f>
        <v>首领掉落</v>
      </c>
      <c r="C2171" s="8" t="str">
        <f>材料产出!$HX$2</f>
        <v>星座装备</v>
      </c>
      <c r="D2171" s="224">
        <f>参数调整!$K$34*怪物掉落配置方案!$D4223</f>
        <v>0</v>
      </c>
    </row>
    <row r="2172" spans="1:4" ht="16.5" hidden="1" x14ac:dyDescent="0.3">
      <c r="A2172" s="10" t="str">
        <f>基本属性!$B$13&amp;"|"&amp;基本属性!$C$13</f>
        <v>100|3</v>
      </c>
      <c r="B2172" s="10" t="str">
        <f>参数调整!$J$34</f>
        <v>首领掉落</v>
      </c>
      <c r="C2172" s="8" t="str">
        <f>材料产出!$HX$2</f>
        <v>星座装备</v>
      </c>
      <c r="D2172" s="224">
        <f>参数调整!$K$34*怪物掉落配置方案!$D4224</f>
        <v>0</v>
      </c>
    </row>
    <row r="2173" spans="1:4" ht="16.5" hidden="1" x14ac:dyDescent="0.3">
      <c r="A2173" s="10" t="str">
        <f>基本属性!$B$14&amp;"|"&amp;基本属性!$C$14</f>
        <v>105|4</v>
      </c>
      <c r="B2173" s="10" t="str">
        <f>参数调整!$J$34</f>
        <v>首领掉落</v>
      </c>
      <c r="C2173" s="8" t="str">
        <f>材料产出!$HX$2</f>
        <v>星座装备</v>
      </c>
      <c r="D2173" s="224">
        <f>参数调整!$K$34*怪物掉落配置方案!$D4225</f>
        <v>0</v>
      </c>
    </row>
    <row r="2174" spans="1:4" ht="16.5" hidden="1" x14ac:dyDescent="0.3">
      <c r="A2174" s="10" t="str">
        <f>基本属性!$B$15&amp;"|"&amp;基本属性!$C$15</f>
        <v>110|5</v>
      </c>
      <c r="B2174" s="10" t="str">
        <f>参数调整!$J$34</f>
        <v>首领掉落</v>
      </c>
      <c r="C2174" s="8" t="str">
        <f>材料产出!$HX$2</f>
        <v>星座装备</v>
      </c>
      <c r="D2174" s="224">
        <f>参数调整!$K$34*怪物掉落配置方案!$D4226</f>
        <v>0</v>
      </c>
    </row>
    <row r="2175" spans="1:4" ht="16.5" hidden="1" x14ac:dyDescent="0.3">
      <c r="A2175" s="10" t="str">
        <f>基本属性!$B$16&amp;"|"&amp;基本属性!$C$16</f>
        <v>120|6</v>
      </c>
      <c r="B2175" s="10" t="str">
        <f>参数调整!$J$34</f>
        <v>首领掉落</v>
      </c>
      <c r="C2175" s="8" t="str">
        <f>材料产出!$HX$2</f>
        <v>星座装备</v>
      </c>
      <c r="D2175" s="224">
        <f>参数调整!$K$34*怪物掉落配置方案!$D4227</f>
        <v>0</v>
      </c>
    </row>
    <row r="2176" spans="1:4" ht="16.5" hidden="1" x14ac:dyDescent="0.3">
      <c r="A2176" s="10" t="str">
        <f>基本属性!$B$17&amp;"|"&amp;基本属性!$C$17</f>
        <v>135|7</v>
      </c>
      <c r="B2176" s="10" t="str">
        <f>参数调整!$J$34</f>
        <v>首领掉落</v>
      </c>
      <c r="C2176" s="8" t="str">
        <f>材料产出!$HX$2</f>
        <v>星座装备</v>
      </c>
      <c r="D2176" s="224">
        <f>参数调整!$K$34*怪物掉落配置方案!$D4228</f>
        <v>0</v>
      </c>
    </row>
    <row r="2177" spans="1:4" ht="16.5" hidden="1" x14ac:dyDescent="0.3">
      <c r="A2177" s="10" t="str">
        <f>基本属性!$B$18&amp;"|"&amp;基本属性!$C$18</f>
        <v>155|8</v>
      </c>
      <c r="B2177" s="10" t="str">
        <f>参数调整!$J$34</f>
        <v>首领掉落</v>
      </c>
      <c r="C2177" s="8" t="str">
        <f>材料产出!$HX$2</f>
        <v>星座装备</v>
      </c>
      <c r="D2177" s="224">
        <f>参数调整!$K$34*怪物掉落配置方案!$D4229</f>
        <v>0</v>
      </c>
    </row>
    <row r="2178" spans="1:4" ht="16.5" hidden="1" x14ac:dyDescent="0.3">
      <c r="A2178" s="10" t="str">
        <f>基本属性!$B$19&amp;"|"&amp;基本属性!$C$19</f>
        <v>190|9</v>
      </c>
      <c r="B2178" s="10" t="str">
        <f>参数调整!$J$34</f>
        <v>首领掉落</v>
      </c>
      <c r="C2178" s="8" t="str">
        <f>材料产出!$HX$2</f>
        <v>星座装备</v>
      </c>
      <c r="D2178" s="224">
        <f>参数调整!$K$34*怪物掉落配置方案!$D4230</f>
        <v>0</v>
      </c>
    </row>
    <row r="2179" spans="1:4" ht="16.5" hidden="1" x14ac:dyDescent="0.3">
      <c r="A2179" s="10" t="str">
        <f>基本属性!$B$20&amp;"|"&amp;基本属性!$C$20</f>
        <v>200|10</v>
      </c>
      <c r="B2179" s="10" t="str">
        <f>参数调整!$J$34</f>
        <v>首领掉落</v>
      </c>
      <c r="C2179" s="8" t="str">
        <f>材料产出!$HX$2</f>
        <v>星座装备</v>
      </c>
      <c r="D2179" s="224">
        <f>参数调整!$K$34*怪物掉落配置方案!$D4231</f>
        <v>0</v>
      </c>
    </row>
    <row r="2180" spans="1:4" ht="16.5" hidden="1" x14ac:dyDescent="0.3">
      <c r="A2180" s="10" t="str">
        <f>基本属性!$B$21&amp;"|"&amp;基本属性!$C$21</f>
        <v>200|11</v>
      </c>
      <c r="B2180" s="10" t="str">
        <f>参数调整!$J$34</f>
        <v>首领掉落</v>
      </c>
      <c r="C2180" s="8" t="str">
        <f>材料产出!$HX$2</f>
        <v>星座装备</v>
      </c>
      <c r="D2180" s="224">
        <f>参数调整!$K$34*怪物掉落配置方案!$D4232</f>
        <v>0</v>
      </c>
    </row>
    <row r="2181" spans="1:4" ht="16.5" hidden="1" x14ac:dyDescent="0.3">
      <c r="A2181" s="10" t="str">
        <f>基本属性!$B$22&amp;"|"&amp;基本属性!$C$22</f>
        <v>210|12</v>
      </c>
      <c r="B2181" s="10" t="str">
        <f>参数调整!$J$34</f>
        <v>首领掉落</v>
      </c>
      <c r="C2181" s="8" t="str">
        <f>材料产出!$HX$2</f>
        <v>星座装备</v>
      </c>
      <c r="D2181" s="224">
        <f>参数调整!$K$34*怪物掉落配置方案!$D4233</f>
        <v>0</v>
      </c>
    </row>
    <row r="2182" spans="1:4" ht="16.5" hidden="1" x14ac:dyDescent="0.3">
      <c r="A2182" s="10" t="str">
        <f>基本属性!$B$23&amp;"|"&amp;基本属性!$C$23</f>
        <v>210|13</v>
      </c>
      <c r="B2182" s="10" t="str">
        <f>参数调整!$J$34</f>
        <v>首领掉落</v>
      </c>
      <c r="C2182" s="8" t="str">
        <f>材料产出!$HX$2</f>
        <v>星座装备</v>
      </c>
      <c r="D2182" s="224">
        <f>参数调整!$K$34*怪物掉落配置方案!$D4234</f>
        <v>0</v>
      </c>
    </row>
    <row r="2183" spans="1:4" ht="16.5" hidden="1" x14ac:dyDescent="0.3">
      <c r="A2183" s="10" t="str">
        <f>基本属性!$B$24&amp;"|"&amp;基本属性!$C$24</f>
        <v>220|14</v>
      </c>
      <c r="B2183" s="10" t="str">
        <f>参数调整!$J$34</f>
        <v>首领掉落</v>
      </c>
      <c r="C2183" s="8" t="str">
        <f>材料产出!$HX$2</f>
        <v>星座装备</v>
      </c>
      <c r="D2183" s="224">
        <f>参数调整!$K$34*怪物掉落配置方案!$D4235</f>
        <v>0</v>
      </c>
    </row>
    <row r="2184" spans="1:4" ht="16.5" hidden="1" x14ac:dyDescent="0.3">
      <c r="A2184" s="10" t="str">
        <f>基本属性!$B$25&amp;"|"&amp;基本属性!$C$25</f>
        <v>220|15</v>
      </c>
      <c r="B2184" s="10" t="str">
        <f>参数调整!$J$34</f>
        <v>首领掉落</v>
      </c>
      <c r="C2184" s="8" t="str">
        <f>材料产出!$HX$2</f>
        <v>星座装备</v>
      </c>
      <c r="D2184" s="224">
        <f>参数调整!$K$34*怪物掉落配置方案!$D4236</f>
        <v>0</v>
      </c>
    </row>
    <row r="2185" spans="1:4" ht="16.5" hidden="1" x14ac:dyDescent="0.3">
      <c r="A2185" s="10" t="str">
        <f>基本属性!$B$26&amp;"|"&amp;基本属性!$C$26</f>
        <v>230|16</v>
      </c>
      <c r="B2185" s="10" t="str">
        <f>参数调整!$J$34</f>
        <v>首领掉落</v>
      </c>
      <c r="C2185" s="8" t="str">
        <f>材料产出!$HX$2</f>
        <v>星座装备</v>
      </c>
      <c r="D2185" s="224">
        <f>参数调整!$K$34*怪物掉落配置方案!$D4237</f>
        <v>0</v>
      </c>
    </row>
    <row r="2186" spans="1:4" ht="16.5" hidden="1" x14ac:dyDescent="0.3">
      <c r="A2186" s="10" t="str">
        <f>基本属性!$B$27&amp;"|"&amp;基本属性!$C$27</f>
        <v>230|17</v>
      </c>
      <c r="B2186" s="10" t="str">
        <f>参数调整!$J$34</f>
        <v>首领掉落</v>
      </c>
      <c r="C2186" s="8" t="str">
        <f>材料产出!$HX$2</f>
        <v>星座装备</v>
      </c>
      <c r="D2186" s="224">
        <f>参数调整!$K$34*怪物掉落配置方案!$D4238</f>
        <v>0</v>
      </c>
    </row>
    <row r="2187" spans="1:4" ht="16.5" hidden="1" x14ac:dyDescent="0.3">
      <c r="A2187" s="10" t="str">
        <f>基本属性!$B$28&amp;"|"&amp;基本属性!$C$28</f>
        <v>240|18</v>
      </c>
      <c r="B2187" s="10" t="str">
        <f>参数调整!$J$34</f>
        <v>首领掉落</v>
      </c>
      <c r="C2187" s="8" t="str">
        <f>材料产出!$HX$2</f>
        <v>星座装备</v>
      </c>
      <c r="D2187" s="224">
        <f>参数调整!$K$34*怪物掉落配置方案!$D4239</f>
        <v>0</v>
      </c>
    </row>
    <row r="2188" spans="1:4" ht="16.5" hidden="1" x14ac:dyDescent="0.3">
      <c r="A2188" s="10" t="str">
        <f>基本属性!$B$29&amp;"|"&amp;基本属性!$C$29</f>
        <v>240|19</v>
      </c>
      <c r="B2188" s="10" t="str">
        <f>参数调整!$J$34</f>
        <v>首领掉落</v>
      </c>
      <c r="C2188" s="8" t="str">
        <f>材料产出!$HX$2</f>
        <v>星座装备</v>
      </c>
      <c r="D2188" s="224">
        <f>参数调整!$K$34*怪物掉落配置方案!$D4240</f>
        <v>0</v>
      </c>
    </row>
    <row r="2189" spans="1:4" ht="16.5" hidden="1" x14ac:dyDescent="0.3">
      <c r="A2189" s="10" t="str">
        <f>基本属性!$B$30&amp;"|"&amp;基本属性!$C$30</f>
        <v>250|20</v>
      </c>
      <c r="B2189" s="10" t="str">
        <f>参数调整!$J$34</f>
        <v>首领掉落</v>
      </c>
      <c r="C2189" s="8" t="str">
        <f>材料产出!$HX$2</f>
        <v>星座装备</v>
      </c>
      <c r="D2189" s="224">
        <f>参数调整!$K$34*怪物掉落配置方案!$D4241</f>
        <v>0</v>
      </c>
    </row>
    <row r="2190" spans="1:4" ht="16.5" hidden="1" x14ac:dyDescent="0.3">
      <c r="A2190" s="10" t="str">
        <f>基本属性!$B$4&amp;"|"&amp;基本属性!$C$4</f>
        <v>35|0</v>
      </c>
      <c r="B2190" s="10" t="str">
        <f>参数调整!$J$34</f>
        <v>首领掉落</v>
      </c>
      <c r="C2190" s="8" t="str">
        <f>材料产出!$BX$2</f>
        <v>新增材料9</v>
      </c>
      <c r="D2190" s="224">
        <f>参数调整!$K$34*怪物掉落配置方案!$D4242</f>
        <v>0</v>
      </c>
    </row>
    <row r="2191" spans="1:4" ht="16.5" hidden="1" x14ac:dyDescent="0.3">
      <c r="A2191" s="10" t="str">
        <f>基本属性!$B$5&amp;"|"&amp;基本属性!$C$5</f>
        <v>40|0</v>
      </c>
      <c r="B2191" s="10" t="str">
        <f>参数调整!$J$34</f>
        <v>首领掉落</v>
      </c>
      <c r="C2191" s="8" t="str">
        <f>材料产出!$BX$2</f>
        <v>新增材料9</v>
      </c>
      <c r="D2191" s="224">
        <f>参数调整!$K$34*怪物掉落配置方案!$D4243</f>
        <v>0</v>
      </c>
    </row>
    <row r="2192" spans="1:4" ht="16.5" hidden="1" x14ac:dyDescent="0.3">
      <c r="A2192" s="10" t="str">
        <f>基本属性!$B$6&amp;"|"&amp;基本属性!$C$6</f>
        <v>50|0</v>
      </c>
      <c r="B2192" s="10" t="str">
        <f>参数调整!$J$34</f>
        <v>首领掉落</v>
      </c>
      <c r="C2192" s="8" t="str">
        <f>材料产出!$BX$2</f>
        <v>新增材料9</v>
      </c>
      <c r="D2192" s="224">
        <f>参数调整!$K$34*怪物掉落配置方案!$D4244</f>
        <v>0</v>
      </c>
    </row>
    <row r="2193" spans="1:4" ht="16.5" hidden="1" x14ac:dyDescent="0.3">
      <c r="A2193" s="10" t="str">
        <f>基本属性!$B$7&amp;"|"&amp;基本属性!$C$7</f>
        <v>60|0</v>
      </c>
      <c r="B2193" s="10" t="str">
        <f>参数调整!$J$34</f>
        <v>首领掉落</v>
      </c>
      <c r="C2193" s="8" t="str">
        <f>材料产出!$BX$2</f>
        <v>新增材料9</v>
      </c>
      <c r="D2193" s="224">
        <f>参数调整!$K$34*怪物掉落配置方案!$D4245</f>
        <v>0</v>
      </c>
    </row>
    <row r="2194" spans="1:4" ht="16.5" hidden="1" x14ac:dyDescent="0.3">
      <c r="A2194" s="10" t="str">
        <f>基本属性!$B$8&amp;"|"&amp;基本属性!$C$8</f>
        <v>65|0</v>
      </c>
      <c r="B2194" s="10" t="str">
        <f>参数调整!$J$34</f>
        <v>首领掉落</v>
      </c>
      <c r="C2194" s="8" t="str">
        <f>材料产出!$BX$2</f>
        <v>新增材料9</v>
      </c>
      <c r="D2194" s="224">
        <f>参数调整!$K$34*怪物掉落配置方案!$D4246</f>
        <v>0</v>
      </c>
    </row>
    <row r="2195" spans="1:4" ht="16.5" hidden="1" x14ac:dyDescent="0.3">
      <c r="A2195" s="10" t="str">
        <f>基本属性!$B$9&amp;"|"&amp;基本属性!$C$9</f>
        <v>70|0</v>
      </c>
      <c r="B2195" s="10" t="str">
        <f>参数调整!$J$34</f>
        <v>首领掉落</v>
      </c>
      <c r="C2195" s="8" t="str">
        <f>材料产出!$BX$2</f>
        <v>新增材料9</v>
      </c>
      <c r="D2195" s="224">
        <f>参数调整!$K$34*怪物掉落配置方案!$D4247</f>
        <v>0</v>
      </c>
    </row>
    <row r="2196" spans="1:4" ht="16.5" hidden="1" x14ac:dyDescent="0.3">
      <c r="A2196" s="10" t="str">
        <f>基本属性!$B$10&amp;"|"&amp;基本属性!$C$10</f>
        <v>75|0</v>
      </c>
      <c r="B2196" s="10" t="str">
        <f>参数调整!$J$34</f>
        <v>首领掉落</v>
      </c>
      <c r="C2196" s="8" t="str">
        <f>材料产出!$BX$2</f>
        <v>新增材料9</v>
      </c>
      <c r="D2196" s="224">
        <f>参数调整!$K$34*怪物掉落配置方案!$D4248</f>
        <v>0</v>
      </c>
    </row>
    <row r="2197" spans="1:4" ht="16.5" hidden="1" x14ac:dyDescent="0.3">
      <c r="A2197" s="10" t="str">
        <f>基本属性!$B$11&amp;"|"&amp;基本属性!$C$11</f>
        <v>80|1</v>
      </c>
      <c r="B2197" s="10" t="str">
        <f>参数调整!$J$34</f>
        <v>首领掉落</v>
      </c>
      <c r="C2197" s="8" t="str">
        <f>材料产出!$BX$2</f>
        <v>新增材料9</v>
      </c>
      <c r="D2197" s="224">
        <f>参数调整!$K$34*怪物掉落配置方案!$D4249</f>
        <v>0</v>
      </c>
    </row>
    <row r="2198" spans="1:4" ht="16.5" hidden="1" x14ac:dyDescent="0.3">
      <c r="A2198" s="10" t="str">
        <f>基本属性!$B$12&amp;"|"&amp;基本属性!$C$12</f>
        <v>90|2</v>
      </c>
      <c r="B2198" s="10" t="str">
        <f>参数调整!$J$34</f>
        <v>首领掉落</v>
      </c>
      <c r="C2198" s="8" t="str">
        <f>材料产出!$BX$2</f>
        <v>新增材料9</v>
      </c>
      <c r="D2198" s="224">
        <f>参数调整!$K$34*怪物掉落配置方案!$D4250</f>
        <v>0</v>
      </c>
    </row>
    <row r="2199" spans="1:4" ht="16.5" hidden="1" x14ac:dyDescent="0.3">
      <c r="A2199" s="10" t="str">
        <f>基本属性!$B$13&amp;"|"&amp;基本属性!$C$13</f>
        <v>100|3</v>
      </c>
      <c r="B2199" s="10" t="str">
        <f>参数调整!$J$34</f>
        <v>首领掉落</v>
      </c>
      <c r="C2199" s="8" t="str">
        <f>材料产出!$BX$2</f>
        <v>新增材料9</v>
      </c>
      <c r="D2199" s="224">
        <f>参数调整!$K$34*怪物掉落配置方案!$D4251</f>
        <v>0</v>
      </c>
    </row>
    <row r="2200" spans="1:4" ht="16.5" hidden="1" x14ac:dyDescent="0.3">
      <c r="A2200" s="10" t="str">
        <f>基本属性!$B$14&amp;"|"&amp;基本属性!$C$14</f>
        <v>105|4</v>
      </c>
      <c r="B2200" s="10" t="str">
        <f>参数调整!$J$34</f>
        <v>首领掉落</v>
      </c>
      <c r="C2200" s="8" t="str">
        <f>材料产出!$BX$2</f>
        <v>新增材料9</v>
      </c>
      <c r="D2200" s="224">
        <f>参数调整!$K$34*怪物掉落配置方案!$D4252</f>
        <v>0</v>
      </c>
    </row>
    <row r="2201" spans="1:4" ht="16.5" hidden="1" x14ac:dyDescent="0.3">
      <c r="A2201" s="10" t="str">
        <f>基本属性!$B$15&amp;"|"&amp;基本属性!$C$15</f>
        <v>110|5</v>
      </c>
      <c r="B2201" s="10" t="str">
        <f>参数调整!$J$34</f>
        <v>首领掉落</v>
      </c>
      <c r="C2201" s="8" t="str">
        <f>材料产出!$BX$2</f>
        <v>新增材料9</v>
      </c>
      <c r="D2201" s="224">
        <f>参数调整!$K$34*怪物掉落配置方案!$D4253</f>
        <v>0</v>
      </c>
    </row>
    <row r="2202" spans="1:4" ht="16.5" hidden="1" x14ac:dyDescent="0.3">
      <c r="A2202" s="10" t="str">
        <f>基本属性!$B$16&amp;"|"&amp;基本属性!$C$16</f>
        <v>120|6</v>
      </c>
      <c r="B2202" s="10" t="str">
        <f>参数调整!$J$34</f>
        <v>首领掉落</v>
      </c>
      <c r="C2202" s="8" t="str">
        <f>材料产出!$BX$2</f>
        <v>新增材料9</v>
      </c>
      <c r="D2202" s="224">
        <f>参数调整!$K$34*怪物掉落配置方案!$D4254</f>
        <v>0</v>
      </c>
    </row>
    <row r="2203" spans="1:4" ht="16.5" hidden="1" x14ac:dyDescent="0.3">
      <c r="A2203" s="10" t="str">
        <f>基本属性!$B$17&amp;"|"&amp;基本属性!$C$17</f>
        <v>135|7</v>
      </c>
      <c r="B2203" s="10" t="str">
        <f>参数调整!$J$34</f>
        <v>首领掉落</v>
      </c>
      <c r="C2203" s="8" t="str">
        <f>材料产出!$BX$2</f>
        <v>新增材料9</v>
      </c>
      <c r="D2203" s="224">
        <f>参数调整!$K$34*怪物掉落配置方案!$D4255</f>
        <v>0</v>
      </c>
    </row>
    <row r="2204" spans="1:4" ht="16.5" hidden="1" x14ac:dyDescent="0.3">
      <c r="A2204" s="10" t="str">
        <f>基本属性!$B$18&amp;"|"&amp;基本属性!$C$18</f>
        <v>155|8</v>
      </c>
      <c r="B2204" s="10" t="str">
        <f>参数调整!$J$34</f>
        <v>首领掉落</v>
      </c>
      <c r="C2204" s="8" t="str">
        <f>材料产出!$BX$2</f>
        <v>新增材料9</v>
      </c>
      <c r="D2204" s="224">
        <f>参数调整!$K$34*怪物掉落配置方案!$D4256</f>
        <v>0</v>
      </c>
    </row>
    <row r="2205" spans="1:4" ht="16.5" hidden="1" x14ac:dyDescent="0.3">
      <c r="A2205" s="10" t="str">
        <f>基本属性!$B$19&amp;"|"&amp;基本属性!$C$19</f>
        <v>190|9</v>
      </c>
      <c r="B2205" s="10" t="str">
        <f>参数调整!$J$34</f>
        <v>首领掉落</v>
      </c>
      <c r="C2205" s="8" t="str">
        <f>材料产出!$BX$2</f>
        <v>新增材料9</v>
      </c>
      <c r="D2205" s="224">
        <f>参数调整!$K$34*怪物掉落配置方案!$D4257</f>
        <v>0</v>
      </c>
    </row>
    <row r="2206" spans="1:4" ht="16.5" hidden="1" x14ac:dyDescent="0.3">
      <c r="A2206" s="10" t="str">
        <f>基本属性!$B$20&amp;"|"&amp;基本属性!$C$20</f>
        <v>200|10</v>
      </c>
      <c r="B2206" s="10" t="str">
        <f>参数调整!$J$34</f>
        <v>首领掉落</v>
      </c>
      <c r="C2206" s="8" t="str">
        <f>材料产出!$BX$2</f>
        <v>新增材料9</v>
      </c>
      <c r="D2206" s="224">
        <f>参数调整!$K$34*怪物掉落配置方案!$D4258</f>
        <v>0</v>
      </c>
    </row>
    <row r="2207" spans="1:4" ht="16.5" hidden="1" x14ac:dyDescent="0.3">
      <c r="A2207" s="10" t="str">
        <f>基本属性!$B$21&amp;"|"&amp;基本属性!$C$21</f>
        <v>200|11</v>
      </c>
      <c r="B2207" s="10" t="str">
        <f>参数调整!$J$34</f>
        <v>首领掉落</v>
      </c>
      <c r="C2207" s="8" t="str">
        <f>材料产出!$BX$2</f>
        <v>新增材料9</v>
      </c>
      <c r="D2207" s="224">
        <f>参数调整!$K$34*怪物掉落配置方案!$D4259</f>
        <v>0</v>
      </c>
    </row>
    <row r="2208" spans="1:4" ht="16.5" hidden="1" x14ac:dyDescent="0.3">
      <c r="A2208" s="10" t="str">
        <f>基本属性!$B$22&amp;"|"&amp;基本属性!$C$22</f>
        <v>210|12</v>
      </c>
      <c r="B2208" s="10" t="str">
        <f>参数调整!$J$34</f>
        <v>首领掉落</v>
      </c>
      <c r="C2208" s="8" t="str">
        <f>材料产出!$BX$2</f>
        <v>新增材料9</v>
      </c>
      <c r="D2208" s="224">
        <f>参数调整!$K$34*怪物掉落配置方案!$D4260</f>
        <v>0</v>
      </c>
    </row>
    <row r="2209" spans="1:4" ht="16.5" hidden="1" x14ac:dyDescent="0.3">
      <c r="A2209" s="10" t="str">
        <f>基本属性!$B$23&amp;"|"&amp;基本属性!$C$23</f>
        <v>210|13</v>
      </c>
      <c r="B2209" s="10" t="str">
        <f>参数调整!$J$34</f>
        <v>首领掉落</v>
      </c>
      <c r="C2209" s="8" t="str">
        <f>材料产出!$BX$2</f>
        <v>新增材料9</v>
      </c>
      <c r="D2209" s="224">
        <f>参数调整!$K$34*怪物掉落配置方案!$D4261</f>
        <v>0</v>
      </c>
    </row>
    <row r="2210" spans="1:4" ht="16.5" hidden="1" x14ac:dyDescent="0.3">
      <c r="A2210" s="10" t="str">
        <f>基本属性!$B$24&amp;"|"&amp;基本属性!$C$24</f>
        <v>220|14</v>
      </c>
      <c r="B2210" s="10" t="str">
        <f>参数调整!$J$34</f>
        <v>首领掉落</v>
      </c>
      <c r="C2210" s="8" t="str">
        <f>材料产出!$BX$2</f>
        <v>新增材料9</v>
      </c>
      <c r="D2210" s="224">
        <f>参数调整!$K$34*怪物掉落配置方案!$D4262</f>
        <v>0</v>
      </c>
    </row>
    <row r="2211" spans="1:4" ht="16.5" hidden="1" x14ac:dyDescent="0.3">
      <c r="A2211" s="10" t="str">
        <f>基本属性!$B$25&amp;"|"&amp;基本属性!$C$25</f>
        <v>220|15</v>
      </c>
      <c r="B2211" s="10" t="str">
        <f>参数调整!$J$34</f>
        <v>首领掉落</v>
      </c>
      <c r="C2211" s="8" t="str">
        <f>材料产出!$BX$2</f>
        <v>新增材料9</v>
      </c>
      <c r="D2211" s="224">
        <f>参数调整!$K$34*怪物掉落配置方案!$D4263</f>
        <v>0</v>
      </c>
    </row>
    <row r="2212" spans="1:4" ht="16.5" hidden="1" x14ac:dyDescent="0.3">
      <c r="A2212" s="10" t="str">
        <f>基本属性!$B$26&amp;"|"&amp;基本属性!$C$26</f>
        <v>230|16</v>
      </c>
      <c r="B2212" s="10" t="str">
        <f>参数调整!$J$34</f>
        <v>首领掉落</v>
      </c>
      <c r="C2212" s="8" t="str">
        <f>材料产出!$BX$2</f>
        <v>新增材料9</v>
      </c>
      <c r="D2212" s="224">
        <f>参数调整!$K$34*怪物掉落配置方案!$D4264</f>
        <v>0</v>
      </c>
    </row>
    <row r="2213" spans="1:4" ht="16.5" hidden="1" x14ac:dyDescent="0.3">
      <c r="A2213" s="10" t="str">
        <f>基本属性!$B$27&amp;"|"&amp;基本属性!$C$27</f>
        <v>230|17</v>
      </c>
      <c r="B2213" s="10" t="str">
        <f>参数调整!$J$34</f>
        <v>首领掉落</v>
      </c>
      <c r="C2213" s="8" t="str">
        <f>材料产出!$BX$2</f>
        <v>新增材料9</v>
      </c>
      <c r="D2213" s="224">
        <f>参数调整!$K$34*怪物掉落配置方案!$D4265</f>
        <v>0</v>
      </c>
    </row>
    <row r="2214" spans="1:4" ht="16.5" hidden="1" x14ac:dyDescent="0.3">
      <c r="A2214" s="10" t="str">
        <f>基本属性!$B$28&amp;"|"&amp;基本属性!$C$28</f>
        <v>240|18</v>
      </c>
      <c r="B2214" s="10" t="str">
        <f>参数调整!$J$34</f>
        <v>首领掉落</v>
      </c>
      <c r="C2214" s="8" t="str">
        <f>材料产出!$BX$2</f>
        <v>新增材料9</v>
      </c>
      <c r="D2214" s="224">
        <f>参数调整!$K$34*怪物掉落配置方案!$D4266</f>
        <v>0</v>
      </c>
    </row>
    <row r="2215" spans="1:4" ht="16.5" hidden="1" x14ac:dyDescent="0.3">
      <c r="A2215" s="10" t="str">
        <f>基本属性!$B$29&amp;"|"&amp;基本属性!$C$29</f>
        <v>240|19</v>
      </c>
      <c r="B2215" s="10" t="str">
        <f>参数调整!$J$34</f>
        <v>首领掉落</v>
      </c>
      <c r="C2215" s="8" t="str">
        <f>材料产出!$BX$2</f>
        <v>新增材料9</v>
      </c>
      <c r="D2215" s="224">
        <f>参数调整!$K$34*怪物掉落配置方案!$D4267</f>
        <v>0</v>
      </c>
    </row>
    <row r="2216" spans="1:4" ht="16.5" hidden="1" x14ac:dyDescent="0.3">
      <c r="A2216" s="10" t="str">
        <f>基本属性!$B$30&amp;"|"&amp;基本属性!$C$30</f>
        <v>250|20</v>
      </c>
      <c r="B2216" s="10" t="str">
        <f>参数调整!$J$34</f>
        <v>首领掉落</v>
      </c>
      <c r="C2216" s="8" t="str">
        <f>材料产出!$BX$2</f>
        <v>新增材料9</v>
      </c>
      <c r="D2216" s="224">
        <f>参数调整!$K$34*怪物掉落配置方案!$D4268</f>
        <v>0</v>
      </c>
    </row>
    <row r="2217" spans="1:4" ht="16.5" hidden="1" x14ac:dyDescent="0.3">
      <c r="A2217" s="10" t="str">
        <f>基本属性!$B$4&amp;"|"&amp;基本属性!$C$4</f>
        <v>35|0</v>
      </c>
      <c r="B2217" s="10" t="str">
        <f>参数调整!$J$34</f>
        <v>首领掉落</v>
      </c>
      <c r="C2217" s="8" t="str">
        <f>材料产出!$BV$2</f>
        <v>新增材料8</v>
      </c>
      <c r="D2217" s="224">
        <f>参数调整!$K$34*怪物掉落配置方案!$D4269</f>
        <v>0</v>
      </c>
    </row>
    <row r="2218" spans="1:4" ht="16.5" hidden="1" x14ac:dyDescent="0.3">
      <c r="A2218" s="10" t="str">
        <f>基本属性!$B$5&amp;"|"&amp;基本属性!$C$5</f>
        <v>40|0</v>
      </c>
      <c r="B2218" s="10" t="str">
        <f>参数调整!$J$34</f>
        <v>首领掉落</v>
      </c>
      <c r="C2218" s="8" t="str">
        <f>材料产出!$BV$2</f>
        <v>新增材料8</v>
      </c>
      <c r="D2218" s="224">
        <f>参数调整!$K$34*怪物掉落配置方案!$D4270</f>
        <v>0</v>
      </c>
    </row>
    <row r="2219" spans="1:4" ht="16.5" hidden="1" x14ac:dyDescent="0.3">
      <c r="A2219" s="10" t="str">
        <f>基本属性!$B$6&amp;"|"&amp;基本属性!$C$6</f>
        <v>50|0</v>
      </c>
      <c r="B2219" s="10" t="str">
        <f>参数调整!$J$34</f>
        <v>首领掉落</v>
      </c>
      <c r="C2219" s="8" t="str">
        <f>材料产出!$BV$2</f>
        <v>新增材料8</v>
      </c>
      <c r="D2219" s="224">
        <f>参数调整!$K$34*怪物掉落配置方案!$D4271</f>
        <v>0</v>
      </c>
    </row>
    <row r="2220" spans="1:4" ht="16.5" hidden="1" x14ac:dyDescent="0.3">
      <c r="A2220" s="10" t="str">
        <f>基本属性!$B$7&amp;"|"&amp;基本属性!$C$7</f>
        <v>60|0</v>
      </c>
      <c r="B2220" s="10" t="str">
        <f>参数调整!$J$34</f>
        <v>首领掉落</v>
      </c>
      <c r="C2220" s="8" t="str">
        <f>材料产出!$BV$2</f>
        <v>新增材料8</v>
      </c>
      <c r="D2220" s="224">
        <f>参数调整!$K$34*怪物掉落配置方案!$D4272</f>
        <v>0</v>
      </c>
    </row>
    <row r="2221" spans="1:4" ht="16.5" hidden="1" x14ac:dyDescent="0.3">
      <c r="A2221" s="10" t="str">
        <f>基本属性!$B$8&amp;"|"&amp;基本属性!$C$8</f>
        <v>65|0</v>
      </c>
      <c r="B2221" s="10" t="str">
        <f>参数调整!$J$34</f>
        <v>首领掉落</v>
      </c>
      <c r="C2221" s="8" t="str">
        <f>材料产出!$BV$2</f>
        <v>新增材料8</v>
      </c>
      <c r="D2221" s="224">
        <f>参数调整!$K$34*怪物掉落配置方案!$D4273</f>
        <v>0</v>
      </c>
    </row>
    <row r="2222" spans="1:4" ht="16.5" hidden="1" x14ac:dyDescent="0.3">
      <c r="A2222" s="10" t="str">
        <f>基本属性!$B$9&amp;"|"&amp;基本属性!$C$9</f>
        <v>70|0</v>
      </c>
      <c r="B2222" s="10" t="str">
        <f>参数调整!$J$34</f>
        <v>首领掉落</v>
      </c>
      <c r="C2222" s="8" t="str">
        <f>材料产出!$BV$2</f>
        <v>新增材料8</v>
      </c>
      <c r="D2222" s="224">
        <f>参数调整!$K$34*怪物掉落配置方案!$D4274</f>
        <v>0</v>
      </c>
    </row>
    <row r="2223" spans="1:4" ht="16.5" hidden="1" x14ac:dyDescent="0.3">
      <c r="A2223" s="10" t="str">
        <f>基本属性!$B$10&amp;"|"&amp;基本属性!$C$10</f>
        <v>75|0</v>
      </c>
      <c r="B2223" s="10" t="str">
        <f>参数调整!$J$34</f>
        <v>首领掉落</v>
      </c>
      <c r="C2223" s="8" t="str">
        <f>材料产出!$BV$2</f>
        <v>新增材料8</v>
      </c>
      <c r="D2223" s="224">
        <f>参数调整!$K$34*怪物掉落配置方案!$D4275</f>
        <v>0</v>
      </c>
    </row>
    <row r="2224" spans="1:4" ht="16.5" hidden="1" x14ac:dyDescent="0.3">
      <c r="A2224" s="10" t="str">
        <f>基本属性!$B$11&amp;"|"&amp;基本属性!$C$11</f>
        <v>80|1</v>
      </c>
      <c r="B2224" s="10" t="str">
        <f>参数调整!$J$34</f>
        <v>首领掉落</v>
      </c>
      <c r="C2224" s="8" t="str">
        <f>材料产出!$BV$2</f>
        <v>新增材料8</v>
      </c>
      <c r="D2224" s="224">
        <f>参数调整!$K$34*怪物掉落配置方案!$D4276</f>
        <v>0</v>
      </c>
    </row>
    <row r="2225" spans="1:4" ht="16.5" hidden="1" x14ac:dyDescent="0.3">
      <c r="A2225" s="10" t="str">
        <f>基本属性!$B$12&amp;"|"&amp;基本属性!$C$12</f>
        <v>90|2</v>
      </c>
      <c r="B2225" s="10" t="str">
        <f>参数调整!$J$34</f>
        <v>首领掉落</v>
      </c>
      <c r="C2225" s="8" t="str">
        <f>材料产出!$BV$2</f>
        <v>新增材料8</v>
      </c>
      <c r="D2225" s="224">
        <f>参数调整!$K$34*怪物掉落配置方案!$D4277</f>
        <v>0</v>
      </c>
    </row>
    <row r="2226" spans="1:4" ht="16.5" hidden="1" x14ac:dyDescent="0.3">
      <c r="A2226" s="10" t="str">
        <f>基本属性!$B$13&amp;"|"&amp;基本属性!$C$13</f>
        <v>100|3</v>
      </c>
      <c r="B2226" s="10" t="str">
        <f>参数调整!$J$34</f>
        <v>首领掉落</v>
      </c>
      <c r="C2226" s="8" t="str">
        <f>材料产出!$BV$2</f>
        <v>新增材料8</v>
      </c>
      <c r="D2226" s="224">
        <f>参数调整!$K$34*怪物掉落配置方案!$D4278</f>
        <v>0</v>
      </c>
    </row>
    <row r="2227" spans="1:4" ht="16.5" hidden="1" x14ac:dyDescent="0.3">
      <c r="A2227" s="10" t="str">
        <f>基本属性!$B$14&amp;"|"&amp;基本属性!$C$14</f>
        <v>105|4</v>
      </c>
      <c r="B2227" s="10" t="str">
        <f>参数调整!$J$34</f>
        <v>首领掉落</v>
      </c>
      <c r="C2227" s="8" t="str">
        <f>材料产出!$BV$2</f>
        <v>新增材料8</v>
      </c>
      <c r="D2227" s="224">
        <f>参数调整!$K$34*怪物掉落配置方案!$D4279</f>
        <v>0</v>
      </c>
    </row>
    <row r="2228" spans="1:4" ht="16.5" hidden="1" x14ac:dyDescent="0.3">
      <c r="A2228" s="10" t="str">
        <f>基本属性!$B$15&amp;"|"&amp;基本属性!$C$15</f>
        <v>110|5</v>
      </c>
      <c r="B2228" s="10" t="str">
        <f>参数调整!$J$34</f>
        <v>首领掉落</v>
      </c>
      <c r="C2228" s="8" t="str">
        <f>材料产出!$BV$2</f>
        <v>新增材料8</v>
      </c>
      <c r="D2228" s="224">
        <f>参数调整!$K$34*怪物掉落配置方案!$D4280</f>
        <v>0</v>
      </c>
    </row>
    <row r="2229" spans="1:4" ht="16.5" hidden="1" x14ac:dyDescent="0.3">
      <c r="A2229" s="10" t="str">
        <f>基本属性!$B$16&amp;"|"&amp;基本属性!$C$16</f>
        <v>120|6</v>
      </c>
      <c r="B2229" s="10" t="str">
        <f>参数调整!$J$34</f>
        <v>首领掉落</v>
      </c>
      <c r="C2229" s="8" t="str">
        <f>材料产出!$BV$2</f>
        <v>新增材料8</v>
      </c>
      <c r="D2229" s="224">
        <f>参数调整!$K$34*怪物掉落配置方案!$D4281</f>
        <v>0</v>
      </c>
    </row>
    <row r="2230" spans="1:4" ht="16.5" hidden="1" x14ac:dyDescent="0.3">
      <c r="A2230" s="10" t="str">
        <f>基本属性!$B$17&amp;"|"&amp;基本属性!$C$17</f>
        <v>135|7</v>
      </c>
      <c r="B2230" s="10" t="str">
        <f>参数调整!$J$34</f>
        <v>首领掉落</v>
      </c>
      <c r="C2230" s="8" t="str">
        <f>材料产出!$BV$2</f>
        <v>新增材料8</v>
      </c>
      <c r="D2230" s="224">
        <f>参数调整!$K$34*怪物掉落配置方案!$D4282</f>
        <v>0</v>
      </c>
    </row>
    <row r="2231" spans="1:4" ht="16.5" hidden="1" x14ac:dyDescent="0.3">
      <c r="A2231" s="10" t="str">
        <f>基本属性!$B$18&amp;"|"&amp;基本属性!$C$18</f>
        <v>155|8</v>
      </c>
      <c r="B2231" s="10" t="str">
        <f>参数调整!$J$34</f>
        <v>首领掉落</v>
      </c>
      <c r="C2231" s="8" t="str">
        <f>材料产出!$BV$2</f>
        <v>新增材料8</v>
      </c>
      <c r="D2231" s="224">
        <f>参数调整!$K$34*怪物掉落配置方案!$D4283</f>
        <v>0</v>
      </c>
    </row>
    <row r="2232" spans="1:4" ht="16.5" hidden="1" x14ac:dyDescent="0.3">
      <c r="A2232" s="10" t="str">
        <f>基本属性!$B$19&amp;"|"&amp;基本属性!$C$19</f>
        <v>190|9</v>
      </c>
      <c r="B2232" s="10" t="str">
        <f>参数调整!$J$34</f>
        <v>首领掉落</v>
      </c>
      <c r="C2232" s="8" t="str">
        <f>材料产出!$BV$2</f>
        <v>新增材料8</v>
      </c>
      <c r="D2232" s="224">
        <f>参数调整!$K$34*怪物掉落配置方案!$D4284</f>
        <v>0</v>
      </c>
    </row>
    <row r="2233" spans="1:4" ht="16.5" hidden="1" x14ac:dyDescent="0.3">
      <c r="A2233" s="10" t="str">
        <f>基本属性!$B$20&amp;"|"&amp;基本属性!$C$20</f>
        <v>200|10</v>
      </c>
      <c r="B2233" s="10" t="str">
        <f>参数调整!$J$34</f>
        <v>首领掉落</v>
      </c>
      <c r="C2233" s="8" t="str">
        <f>材料产出!$BV$2</f>
        <v>新增材料8</v>
      </c>
      <c r="D2233" s="224">
        <f>参数调整!$K$34*怪物掉落配置方案!$D4285</f>
        <v>0</v>
      </c>
    </row>
    <row r="2234" spans="1:4" ht="16.5" hidden="1" x14ac:dyDescent="0.3">
      <c r="A2234" s="10" t="str">
        <f>基本属性!$B$21&amp;"|"&amp;基本属性!$C$21</f>
        <v>200|11</v>
      </c>
      <c r="B2234" s="10" t="str">
        <f>参数调整!$J$34</f>
        <v>首领掉落</v>
      </c>
      <c r="C2234" s="8" t="str">
        <f>材料产出!$BV$2</f>
        <v>新增材料8</v>
      </c>
      <c r="D2234" s="224">
        <f>参数调整!$K$34*怪物掉落配置方案!$D4286</f>
        <v>0</v>
      </c>
    </row>
    <row r="2235" spans="1:4" ht="16.5" hidden="1" x14ac:dyDescent="0.3">
      <c r="A2235" s="10" t="str">
        <f>基本属性!$B$22&amp;"|"&amp;基本属性!$C$22</f>
        <v>210|12</v>
      </c>
      <c r="B2235" s="10" t="str">
        <f>参数调整!$J$34</f>
        <v>首领掉落</v>
      </c>
      <c r="C2235" s="8" t="str">
        <f>材料产出!$BV$2</f>
        <v>新增材料8</v>
      </c>
      <c r="D2235" s="224">
        <f>参数调整!$K$34*怪物掉落配置方案!$D4287</f>
        <v>0</v>
      </c>
    </row>
    <row r="2236" spans="1:4" ht="16.5" hidden="1" x14ac:dyDescent="0.3">
      <c r="A2236" s="10" t="str">
        <f>基本属性!$B$23&amp;"|"&amp;基本属性!$C$23</f>
        <v>210|13</v>
      </c>
      <c r="B2236" s="10" t="str">
        <f>参数调整!$J$34</f>
        <v>首领掉落</v>
      </c>
      <c r="C2236" s="8" t="str">
        <f>材料产出!$BV$2</f>
        <v>新增材料8</v>
      </c>
      <c r="D2236" s="224">
        <f>参数调整!$K$34*怪物掉落配置方案!$D4288</f>
        <v>0</v>
      </c>
    </row>
    <row r="2237" spans="1:4" ht="16.5" hidden="1" x14ac:dyDescent="0.3">
      <c r="A2237" s="10" t="str">
        <f>基本属性!$B$24&amp;"|"&amp;基本属性!$C$24</f>
        <v>220|14</v>
      </c>
      <c r="B2237" s="10" t="str">
        <f>参数调整!$J$34</f>
        <v>首领掉落</v>
      </c>
      <c r="C2237" s="8" t="str">
        <f>材料产出!$BV$2</f>
        <v>新增材料8</v>
      </c>
      <c r="D2237" s="224">
        <f>参数调整!$K$34*怪物掉落配置方案!$D4289</f>
        <v>0</v>
      </c>
    </row>
    <row r="2238" spans="1:4" ht="16.5" hidden="1" x14ac:dyDescent="0.3">
      <c r="A2238" s="10" t="str">
        <f>基本属性!$B$25&amp;"|"&amp;基本属性!$C$25</f>
        <v>220|15</v>
      </c>
      <c r="B2238" s="10" t="str">
        <f>参数调整!$J$34</f>
        <v>首领掉落</v>
      </c>
      <c r="C2238" s="8" t="str">
        <f>材料产出!$BV$2</f>
        <v>新增材料8</v>
      </c>
      <c r="D2238" s="224">
        <f>参数调整!$K$34*怪物掉落配置方案!$D4290</f>
        <v>0</v>
      </c>
    </row>
    <row r="2239" spans="1:4" ht="16.5" hidden="1" x14ac:dyDescent="0.3">
      <c r="A2239" s="10" t="str">
        <f>基本属性!$B$26&amp;"|"&amp;基本属性!$C$26</f>
        <v>230|16</v>
      </c>
      <c r="B2239" s="10" t="str">
        <f>参数调整!$J$34</f>
        <v>首领掉落</v>
      </c>
      <c r="C2239" s="8" t="str">
        <f>材料产出!$BV$2</f>
        <v>新增材料8</v>
      </c>
      <c r="D2239" s="224">
        <f>参数调整!$K$34*怪物掉落配置方案!$D4291</f>
        <v>0</v>
      </c>
    </row>
    <row r="2240" spans="1:4" ht="16.5" hidden="1" x14ac:dyDescent="0.3">
      <c r="A2240" s="10" t="str">
        <f>基本属性!$B$27&amp;"|"&amp;基本属性!$C$27</f>
        <v>230|17</v>
      </c>
      <c r="B2240" s="10" t="str">
        <f>参数调整!$J$34</f>
        <v>首领掉落</v>
      </c>
      <c r="C2240" s="8" t="str">
        <f>材料产出!$BV$2</f>
        <v>新增材料8</v>
      </c>
      <c r="D2240" s="224">
        <f>参数调整!$K$34*怪物掉落配置方案!$D4292</f>
        <v>0</v>
      </c>
    </row>
    <row r="2241" spans="1:4" ht="16.5" hidden="1" x14ac:dyDescent="0.3">
      <c r="A2241" s="10" t="str">
        <f>基本属性!$B$28&amp;"|"&amp;基本属性!$C$28</f>
        <v>240|18</v>
      </c>
      <c r="B2241" s="10" t="str">
        <f>参数调整!$J$34</f>
        <v>首领掉落</v>
      </c>
      <c r="C2241" s="8" t="str">
        <f>材料产出!$BV$2</f>
        <v>新增材料8</v>
      </c>
      <c r="D2241" s="224">
        <f>参数调整!$K$34*怪物掉落配置方案!$D4293</f>
        <v>0</v>
      </c>
    </row>
    <row r="2242" spans="1:4" ht="16.5" hidden="1" x14ac:dyDescent="0.3">
      <c r="A2242" s="10" t="str">
        <f>基本属性!$B$29&amp;"|"&amp;基本属性!$C$29</f>
        <v>240|19</v>
      </c>
      <c r="B2242" s="10" t="str">
        <f>参数调整!$J$34</f>
        <v>首领掉落</v>
      </c>
      <c r="C2242" s="8" t="str">
        <f>材料产出!$BV$2</f>
        <v>新增材料8</v>
      </c>
      <c r="D2242" s="224">
        <f>参数调整!$K$34*怪物掉落配置方案!$D4294</f>
        <v>0</v>
      </c>
    </row>
    <row r="2243" spans="1:4" ht="16.5" hidden="1" x14ac:dyDescent="0.3">
      <c r="A2243" s="10" t="str">
        <f>基本属性!$B$30&amp;"|"&amp;基本属性!$C$30</f>
        <v>250|20</v>
      </c>
      <c r="B2243" s="10" t="str">
        <f>参数调整!$J$34</f>
        <v>首领掉落</v>
      </c>
      <c r="C2243" s="8" t="str">
        <f>材料产出!$BV$2</f>
        <v>新增材料8</v>
      </c>
      <c r="D2243" s="224">
        <f>参数调整!$K$34*怪物掉落配置方案!$D4295</f>
        <v>0</v>
      </c>
    </row>
    <row r="2244" spans="1:4" ht="16.5" hidden="1" x14ac:dyDescent="0.3">
      <c r="A2244" s="10" t="str">
        <f>基本属性!$B$4&amp;"|"&amp;基本属性!$C$4</f>
        <v>35|0</v>
      </c>
      <c r="B2244" s="10" t="str">
        <f>参数调整!$J$34</f>
        <v>首领掉落</v>
      </c>
      <c r="C2244" s="8" t="str">
        <f>材料产出!$BT$2</f>
        <v>新增材料7</v>
      </c>
      <c r="D2244" s="224">
        <f>参数调整!$K$34*怪物掉落配置方案!$D4296</f>
        <v>0</v>
      </c>
    </row>
    <row r="2245" spans="1:4" ht="16.5" hidden="1" x14ac:dyDescent="0.3">
      <c r="A2245" s="10" t="str">
        <f>基本属性!$B$5&amp;"|"&amp;基本属性!$C$5</f>
        <v>40|0</v>
      </c>
      <c r="B2245" s="10" t="str">
        <f>参数调整!$J$34</f>
        <v>首领掉落</v>
      </c>
      <c r="C2245" s="8" t="str">
        <f>材料产出!$BT$2</f>
        <v>新增材料7</v>
      </c>
      <c r="D2245" s="224">
        <f>参数调整!$K$34*怪物掉落配置方案!$D4297</f>
        <v>0</v>
      </c>
    </row>
    <row r="2246" spans="1:4" ht="16.5" hidden="1" x14ac:dyDescent="0.3">
      <c r="A2246" s="10" t="str">
        <f>基本属性!$B$6&amp;"|"&amp;基本属性!$C$6</f>
        <v>50|0</v>
      </c>
      <c r="B2246" s="10" t="str">
        <f>参数调整!$J$34</f>
        <v>首领掉落</v>
      </c>
      <c r="C2246" s="8" t="str">
        <f>材料产出!$BT$2</f>
        <v>新增材料7</v>
      </c>
      <c r="D2246" s="224">
        <f>参数调整!$K$34*怪物掉落配置方案!$D4298</f>
        <v>0</v>
      </c>
    </row>
    <row r="2247" spans="1:4" ht="16.5" hidden="1" x14ac:dyDescent="0.3">
      <c r="A2247" s="10" t="str">
        <f>基本属性!$B$7&amp;"|"&amp;基本属性!$C$7</f>
        <v>60|0</v>
      </c>
      <c r="B2247" s="10" t="str">
        <f>参数调整!$J$34</f>
        <v>首领掉落</v>
      </c>
      <c r="C2247" s="8" t="str">
        <f>材料产出!$BT$2</f>
        <v>新增材料7</v>
      </c>
      <c r="D2247" s="224">
        <f>参数调整!$K$34*怪物掉落配置方案!$D4299</f>
        <v>0</v>
      </c>
    </row>
    <row r="2248" spans="1:4" ht="16.5" hidden="1" x14ac:dyDescent="0.3">
      <c r="A2248" s="10" t="str">
        <f>基本属性!$B$8&amp;"|"&amp;基本属性!$C$8</f>
        <v>65|0</v>
      </c>
      <c r="B2248" s="10" t="str">
        <f>参数调整!$J$34</f>
        <v>首领掉落</v>
      </c>
      <c r="C2248" s="8" t="str">
        <f>材料产出!$BT$2</f>
        <v>新增材料7</v>
      </c>
      <c r="D2248" s="224">
        <f>参数调整!$K$34*怪物掉落配置方案!$D4300</f>
        <v>0</v>
      </c>
    </row>
    <row r="2249" spans="1:4" ht="16.5" hidden="1" x14ac:dyDescent="0.3">
      <c r="A2249" s="10" t="str">
        <f>基本属性!$B$9&amp;"|"&amp;基本属性!$C$9</f>
        <v>70|0</v>
      </c>
      <c r="B2249" s="10" t="str">
        <f>参数调整!$J$34</f>
        <v>首领掉落</v>
      </c>
      <c r="C2249" s="8" t="str">
        <f>材料产出!$BT$2</f>
        <v>新增材料7</v>
      </c>
      <c r="D2249" s="224">
        <f>参数调整!$K$34*怪物掉落配置方案!$D4301</f>
        <v>0</v>
      </c>
    </row>
    <row r="2250" spans="1:4" ht="16.5" hidden="1" x14ac:dyDescent="0.3">
      <c r="A2250" s="10" t="str">
        <f>基本属性!$B$10&amp;"|"&amp;基本属性!$C$10</f>
        <v>75|0</v>
      </c>
      <c r="B2250" s="10" t="str">
        <f>参数调整!$J$34</f>
        <v>首领掉落</v>
      </c>
      <c r="C2250" s="8" t="str">
        <f>材料产出!$BT$2</f>
        <v>新增材料7</v>
      </c>
      <c r="D2250" s="224">
        <f>参数调整!$K$34*怪物掉落配置方案!$D4302</f>
        <v>0</v>
      </c>
    </row>
    <row r="2251" spans="1:4" ht="16.5" hidden="1" x14ac:dyDescent="0.3">
      <c r="A2251" s="10" t="str">
        <f>基本属性!$B$11&amp;"|"&amp;基本属性!$C$11</f>
        <v>80|1</v>
      </c>
      <c r="B2251" s="10" t="str">
        <f>参数调整!$J$34</f>
        <v>首领掉落</v>
      </c>
      <c r="C2251" s="8" t="str">
        <f>材料产出!$BT$2</f>
        <v>新增材料7</v>
      </c>
      <c r="D2251" s="224">
        <f>参数调整!$K$34*怪物掉落配置方案!$D4303</f>
        <v>0</v>
      </c>
    </row>
    <row r="2252" spans="1:4" ht="16.5" hidden="1" x14ac:dyDescent="0.3">
      <c r="A2252" s="10" t="str">
        <f>基本属性!$B$12&amp;"|"&amp;基本属性!$C$12</f>
        <v>90|2</v>
      </c>
      <c r="B2252" s="10" t="str">
        <f>参数调整!$J$34</f>
        <v>首领掉落</v>
      </c>
      <c r="C2252" s="8" t="str">
        <f>材料产出!$BT$2</f>
        <v>新增材料7</v>
      </c>
      <c r="D2252" s="224">
        <f>参数调整!$K$34*怪物掉落配置方案!$D4304</f>
        <v>0</v>
      </c>
    </row>
    <row r="2253" spans="1:4" ht="16.5" hidden="1" x14ac:dyDescent="0.3">
      <c r="A2253" s="10" t="str">
        <f>基本属性!$B$13&amp;"|"&amp;基本属性!$C$13</f>
        <v>100|3</v>
      </c>
      <c r="B2253" s="10" t="str">
        <f>参数调整!$J$34</f>
        <v>首领掉落</v>
      </c>
      <c r="C2253" s="8" t="str">
        <f>材料产出!$BT$2</f>
        <v>新增材料7</v>
      </c>
      <c r="D2253" s="224">
        <f>参数调整!$K$34*怪物掉落配置方案!$D4305</f>
        <v>0</v>
      </c>
    </row>
    <row r="2254" spans="1:4" ht="16.5" hidden="1" x14ac:dyDescent="0.3">
      <c r="A2254" s="10" t="str">
        <f>基本属性!$B$14&amp;"|"&amp;基本属性!$C$14</f>
        <v>105|4</v>
      </c>
      <c r="B2254" s="10" t="str">
        <f>参数调整!$J$34</f>
        <v>首领掉落</v>
      </c>
      <c r="C2254" s="8" t="str">
        <f>材料产出!$BT$2</f>
        <v>新增材料7</v>
      </c>
      <c r="D2254" s="224">
        <f>参数调整!$K$34*怪物掉落配置方案!$D4306</f>
        <v>0</v>
      </c>
    </row>
    <row r="2255" spans="1:4" ht="16.5" hidden="1" x14ac:dyDescent="0.3">
      <c r="A2255" s="10" t="str">
        <f>基本属性!$B$15&amp;"|"&amp;基本属性!$C$15</f>
        <v>110|5</v>
      </c>
      <c r="B2255" s="10" t="str">
        <f>参数调整!$J$34</f>
        <v>首领掉落</v>
      </c>
      <c r="C2255" s="8" t="str">
        <f>材料产出!$BT$2</f>
        <v>新增材料7</v>
      </c>
      <c r="D2255" s="224">
        <f>参数调整!$K$34*怪物掉落配置方案!$D4307</f>
        <v>0</v>
      </c>
    </row>
    <row r="2256" spans="1:4" ht="16.5" hidden="1" x14ac:dyDescent="0.3">
      <c r="A2256" s="10" t="str">
        <f>基本属性!$B$16&amp;"|"&amp;基本属性!$C$16</f>
        <v>120|6</v>
      </c>
      <c r="B2256" s="10" t="str">
        <f>参数调整!$J$34</f>
        <v>首领掉落</v>
      </c>
      <c r="C2256" s="8" t="str">
        <f>材料产出!$BT$2</f>
        <v>新增材料7</v>
      </c>
      <c r="D2256" s="224">
        <f>参数调整!$K$34*怪物掉落配置方案!$D4308</f>
        <v>0</v>
      </c>
    </row>
    <row r="2257" spans="1:4" ht="16.5" hidden="1" x14ac:dyDescent="0.3">
      <c r="A2257" s="10" t="str">
        <f>基本属性!$B$17&amp;"|"&amp;基本属性!$C$17</f>
        <v>135|7</v>
      </c>
      <c r="B2257" s="10" t="str">
        <f>参数调整!$J$34</f>
        <v>首领掉落</v>
      </c>
      <c r="C2257" s="8" t="str">
        <f>材料产出!$BT$2</f>
        <v>新增材料7</v>
      </c>
      <c r="D2257" s="224">
        <f>参数调整!$K$34*怪物掉落配置方案!$D4309</f>
        <v>0</v>
      </c>
    </row>
    <row r="2258" spans="1:4" ht="16.5" hidden="1" x14ac:dyDescent="0.3">
      <c r="A2258" s="10" t="str">
        <f>基本属性!$B$18&amp;"|"&amp;基本属性!$C$18</f>
        <v>155|8</v>
      </c>
      <c r="B2258" s="10" t="str">
        <f>参数调整!$J$34</f>
        <v>首领掉落</v>
      </c>
      <c r="C2258" s="8" t="str">
        <f>材料产出!$BT$2</f>
        <v>新增材料7</v>
      </c>
      <c r="D2258" s="224">
        <f>参数调整!$K$34*怪物掉落配置方案!$D4310</f>
        <v>0</v>
      </c>
    </row>
    <row r="2259" spans="1:4" ht="16.5" hidden="1" x14ac:dyDescent="0.3">
      <c r="A2259" s="10" t="str">
        <f>基本属性!$B$19&amp;"|"&amp;基本属性!$C$19</f>
        <v>190|9</v>
      </c>
      <c r="B2259" s="10" t="str">
        <f>参数调整!$J$34</f>
        <v>首领掉落</v>
      </c>
      <c r="C2259" s="8" t="str">
        <f>材料产出!$BT$2</f>
        <v>新增材料7</v>
      </c>
      <c r="D2259" s="224">
        <f>参数调整!$K$34*怪物掉落配置方案!$D4311</f>
        <v>0</v>
      </c>
    </row>
    <row r="2260" spans="1:4" ht="16.5" hidden="1" x14ac:dyDescent="0.3">
      <c r="A2260" s="10" t="str">
        <f>基本属性!$B$20&amp;"|"&amp;基本属性!$C$20</f>
        <v>200|10</v>
      </c>
      <c r="B2260" s="10" t="str">
        <f>参数调整!$J$34</f>
        <v>首领掉落</v>
      </c>
      <c r="C2260" s="8" t="str">
        <f>材料产出!$BT$2</f>
        <v>新增材料7</v>
      </c>
      <c r="D2260" s="224">
        <f>参数调整!$K$34*怪物掉落配置方案!$D4312</f>
        <v>0</v>
      </c>
    </row>
    <row r="2261" spans="1:4" ht="16.5" hidden="1" x14ac:dyDescent="0.3">
      <c r="A2261" s="10" t="str">
        <f>基本属性!$B$21&amp;"|"&amp;基本属性!$C$21</f>
        <v>200|11</v>
      </c>
      <c r="B2261" s="10" t="str">
        <f>参数调整!$J$34</f>
        <v>首领掉落</v>
      </c>
      <c r="C2261" s="8" t="str">
        <f>材料产出!$BT$2</f>
        <v>新增材料7</v>
      </c>
      <c r="D2261" s="224">
        <f>参数调整!$K$34*怪物掉落配置方案!$D4313</f>
        <v>0</v>
      </c>
    </row>
    <row r="2262" spans="1:4" ht="16.5" hidden="1" x14ac:dyDescent="0.3">
      <c r="A2262" s="10" t="str">
        <f>基本属性!$B$22&amp;"|"&amp;基本属性!$C$22</f>
        <v>210|12</v>
      </c>
      <c r="B2262" s="10" t="str">
        <f>参数调整!$J$34</f>
        <v>首领掉落</v>
      </c>
      <c r="C2262" s="8" t="str">
        <f>材料产出!$BT$2</f>
        <v>新增材料7</v>
      </c>
      <c r="D2262" s="224">
        <f>参数调整!$K$34*怪物掉落配置方案!$D4314</f>
        <v>0</v>
      </c>
    </row>
    <row r="2263" spans="1:4" ht="16.5" hidden="1" x14ac:dyDescent="0.3">
      <c r="A2263" s="10" t="str">
        <f>基本属性!$B$23&amp;"|"&amp;基本属性!$C$23</f>
        <v>210|13</v>
      </c>
      <c r="B2263" s="10" t="str">
        <f>参数调整!$J$34</f>
        <v>首领掉落</v>
      </c>
      <c r="C2263" s="8" t="str">
        <f>材料产出!$BT$2</f>
        <v>新增材料7</v>
      </c>
      <c r="D2263" s="224">
        <f>参数调整!$K$34*怪物掉落配置方案!$D4315</f>
        <v>0</v>
      </c>
    </row>
    <row r="2264" spans="1:4" ht="16.5" hidden="1" x14ac:dyDescent="0.3">
      <c r="A2264" s="10" t="str">
        <f>基本属性!$B$24&amp;"|"&amp;基本属性!$C$24</f>
        <v>220|14</v>
      </c>
      <c r="B2264" s="10" t="str">
        <f>参数调整!$J$34</f>
        <v>首领掉落</v>
      </c>
      <c r="C2264" s="8" t="str">
        <f>材料产出!$BT$2</f>
        <v>新增材料7</v>
      </c>
      <c r="D2264" s="224">
        <f>参数调整!$K$34*怪物掉落配置方案!$D4316</f>
        <v>0</v>
      </c>
    </row>
    <row r="2265" spans="1:4" ht="16.5" hidden="1" x14ac:dyDescent="0.3">
      <c r="A2265" s="10" t="str">
        <f>基本属性!$B$25&amp;"|"&amp;基本属性!$C$25</f>
        <v>220|15</v>
      </c>
      <c r="B2265" s="10" t="str">
        <f>参数调整!$J$34</f>
        <v>首领掉落</v>
      </c>
      <c r="C2265" s="8" t="str">
        <f>材料产出!$BT$2</f>
        <v>新增材料7</v>
      </c>
      <c r="D2265" s="224">
        <f>参数调整!$K$34*怪物掉落配置方案!$D4317</f>
        <v>0</v>
      </c>
    </row>
    <row r="2266" spans="1:4" ht="16.5" hidden="1" x14ac:dyDescent="0.3">
      <c r="A2266" s="10" t="str">
        <f>基本属性!$B$26&amp;"|"&amp;基本属性!$C$26</f>
        <v>230|16</v>
      </c>
      <c r="B2266" s="10" t="str">
        <f>参数调整!$J$34</f>
        <v>首领掉落</v>
      </c>
      <c r="C2266" s="8" t="str">
        <f>材料产出!$BT$2</f>
        <v>新增材料7</v>
      </c>
      <c r="D2266" s="224">
        <f>参数调整!$K$34*怪物掉落配置方案!$D4318</f>
        <v>0</v>
      </c>
    </row>
    <row r="2267" spans="1:4" ht="16.5" hidden="1" x14ac:dyDescent="0.3">
      <c r="A2267" s="10" t="str">
        <f>基本属性!$B$27&amp;"|"&amp;基本属性!$C$27</f>
        <v>230|17</v>
      </c>
      <c r="B2267" s="10" t="str">
        <f>参数调整!$J$34</f>
        <v>首领掉落</v>
      </c>
      <c r="C2267" s="8" t="str">
        <f>材料产出!$BT$2</f>
        <v>新增材料7</v>
      </c>
      <c r="D2267" s="224">
        <f>参数调整!$K$34*怪物掉落配置方案!$D4319</f>
        <v>0</v>
      </c>
    </row>
    <row r="2268" spans="1:4" ht="16.5" hidden="1" x14ac:dyDescent="0.3">
      <c r="A2268" s="10" t="str">
        <f>基本属性!$B$28&amp;"|"&amp;基本属性!$C$28</f>
        <v>240|18</v>
      </c>
      <c r="B2268" s="10" t="str">
        <f>参数调整!$J$34</f>
        <v>首领掉落</v>
      </c>
      <c r="C2268" s="8" t="str">
        <f>材料产出!$BT$2</f>
        <v>新增材料7</v>
      </c>
      <c r="D2268" s="224">
        <f>参数调整!$K$34*怪物掉落配置方案!$D4320</f>
        <v>0</v>
      </c>
    </row>
    <row r="2269" spans="1:4" ht="16.5" hidden="1" x14ac:dyDescent="0.3">
      <c r="A2269" s="10" t="str">
        <f>基本属性!$B$29&amp;"|"&amp;基本属性!$C$29</f>
        <v>240|19</v>
      </c>
      <c r="B2269" s="10" t="str">
        <f>参数调整!$J$34</f>
        <v>首领掉落</v>
      </c>
      <c r="C2269" s="8" t="str">
        <f>材料产出!$BT$2</f>
        <v>新增材料7</v>
      </c>
      <c r="D2269" s="224">
        <f>参数调整!$K$34*怪物掉落配置方案!$D4321</f>
        <v>0</v>
      </c>
    </row>
    <row r="2270" spans="1:4" ht="16.5" hidden="1" x14ac:dyDescent="0.3">
      <c r="A2270" s="10" t="str">
        <f>基本属性!$B$30&amp;"|"&amp;基本属性!$C$30</f>
        <v>250|20</v>
      </c>
      <c r="B2270" s="10" t="str">
        <f>参数调整!$J$34</f>
        <v>首领掉落</v>
      </c>
      <c r="C2270" s="8" t="str">
        <f>材料产出!$BT$2</f>
        <v>新增材料7</v>
      </c>
      <c r="D2270" s="224">
        <f>参数调整!$K$34*怪物掉落配置方案!$D4322</f>
        <v>0</v>
      </c>
    </row>
    <row r="2271" spans="1:4" ht="16.5" hidden="1" x14ac:dyDescent="0.3">
      <c r="A2271" s="10" t="str">
        <f>基本属性!$B$4&amp;"|"&amp;基本属性!$C$4</f>
        <v>35|0</v>
      </c>
      <c r="B2271" s="10" t="str">
        <f>参数调整!$J$34</f>
        <v>首领掉落</v>
      </c>
      <c r="C2271" s="8" t="str">
        <f>材料产出!$BR$2</f>
        <v>新增材料6</v>
      </c>
      <c r="D2271" s="224">
        <f>参数调整!$K$34*怪物掉落配置方案!$D4323</f>
        <v>0</v>
      </c>
    </row>
    <row r="2272" spans="1:4" ht="16.5" hidden="1" x14ac:dyDescent="0.3">
      <c r="A2272" s="10" t="str">
        <f>基本属性!$B$5&amp;"|"&amp;基本属性!$C$5</f>
        <v>40|0</v>
      </c>
      <c r="B2272" s="10" t="str">
        <f>参数调整!$J$34</f>
        <v>首领掉落</v>
      </c>
      <c r="C2272" s="8" t="str">
        <f>材料产出!$BR$2</f>
        <v>新增材料6</v>
      </c>
      <c r="D2272" s="224">
        <f>参数调整!$K$34*怪物掉落配置方案!$D4324</f>
        <v>0</v>
      </c>
    </row>
    <row r="2273" spans="1:4" ht="16.5" hidden="1" x14ac:dyDescent="0.3">
      <c r="A2273" s="10" t="str">
        <f>基本属性!$B$6&amp;"|"&amp;基本属性!$C$6</f>
        <v>50|0</v>
      </c>
      <c r="B2273" s="10" t="str">
        <f>参数调整!$J$34</f>
        <v>首领掉落</v>
      </c>
      <c r="C2273" s="8" t="str">
        <f>材料产出!$BR$2</f>
        <v>新增材料6</v>
      </c>
      <c r="D2273" s="224">
        <f>参数调整!$K$34*怪物掉落配置方案!$D4325</f>
        <v>0</v>
      </c>
    </row>
    <row r="2274" spans="1:4" ht="16.5" hidden="1" x14ac:dyDescent="0.3">
      <c r="A2274" s="10" t="str">
        <f>基本属性!$B$7&amp;"|"&amp;基本属性!$C$7</f>
        <v>60|0</v>
      </c>
      <c r="B2274" s="10" t="str">
        <f>参数调整!$J$34</f>
        <v>首领掉落</v>
      </c>
      <c r="C2274" s="8" t="str">
        <f>材料产出!$BR$2</f>
        <v>新增材料6</v>
      </c>
      <c r="D2274" s="224">
        <f>参数调整!$K$34*怪物掉落配置方案!$D4326</f>
        <v>0</v>
      </c>
    </row>
    <row r="2275" spans="1:4" ht="16.5" hidden="1" x14ac:dyDescent="0.3">
      <c r="A2275" s="10" t="str">
        <f>基本属性!$B$8&amp;"|"&amp;基本属性!$C$8</f>
        <v>65|0</v>
      </c>
      <c r="B2275" s="10" t="str">
        <f>参数调整!$J$34</f>
        <v>首领掉落</v>
      </c>
      <c r="C2275" s="8" t="str">
        <f>材料产出!$BR$2</f>
        <v>新增材料6</v>
      </c>
      <c r="D2275" s="224">
        <f>参数调整!$K$34*怪物掉落配置方案!$D4327</f>
        <v>0</v>
      </c>
    </row>
    <row r="2276" spans="1:4" ht="16.5" hidden="1" x14ac:dyDescent="0.3">
      <c r="A2276" s="10" t="str">
        <f>基本属性!$B$9&amp;"|"&amp;基本属性!$C$9</f>
        <v>70|0</v>
      </c>
      <c r="B2276" s="10" t="str">
        <f>参数调整!$J$34</f>
        <v>首领掉落</v>
      </c>
      <c r="C2276" s="8" t="str">
        <f>材料产出!$BR$2</f>
        <v>新增材料6</v>
      </c>
      <c r="D2276" s="224">
        <f>参数调整!$K$34*怪物掉落配置方案!$D4328</f>
        <v>0</v>
      </c>
    </row>
    <row r="2277" spans="1:4" ht="16.5" hidden="1" x14ac:dyDescent="0.3">
      <c r="A2277" s="10" t="str">
        <f>基本属性!$B$10&amp;"|"&amp;基本属性!$C$10</f>
        <v>75|0</v>
      </c>
      <c r="B2277" s="10" t="str">
        <f>参数调整!$J$34</f>
        <v>首领掉落</v>
      </c>
      <c r="C2277" s="8" t="str">
        <f>材料产出!$BR$2</f>
        <v>新增材料6</v>
      </c>
      <c r="D2277" s="224">
        <f>参数调整!$K$34*怪物掉落配置方案!$D4329</f>
        <v>0</v>
      </c>
    </row>
    <row r="2278" spans="1:4" ht="16.5" hidden="1" x14ac:dyDescent="0.3">
      <c r="A2278" s="10" t="str">
        <f>基本属性!$B$11&amp;"|"&amp;基本属性!$C$11</f>
        <v>80|1</v>
      </c>
      <c r="B2278" s="10" t="str">
        <f>参数调整!$J$34</f>
        <v>首领掉落</v>
      </c>
      <c r="C2278" s="8" t="str">
        <f>材料产出!$BR$2</f>
        <v>新增材料6</v>
      </c>
      <c r="D2278" s="224">
        <f>参数调整!$K$34*怪物掉落配置方案!$D4330</f>
        <v>0</v>
      </c>
    </row>
    <row r="2279" spans="1:4" ht="16.5" hidden="1" x14ac:dyDescent="0.3">
      <c r="A2279" s="10" t="str">
        <f>基本属性!$B$12&amp;"|"&amp;基本属性!$C$12</f>
        <v>90|2</v>
      </c>
      <c r="B2279" s="10" t="str">
        <f>参数调整!$J$34</f>
        <v>首领掉落</v>
      </c>
      <c r="C2279" s="8" t="str">
        <f>材料产出!$BR$2</f>
        <v>新增材料6</v>
      </c>
      <c r="D2279" s="224">
        <f>参数调整!$K$34*怪物掉落配置方案!$D4331</f>
        <v>0</v>
      </c>
    </row>
    <row r="2280" spans="1:4" ht="16.5" hidden="1" x14ac:dyDescent="0.3">
      <c r="A2280" s="10" t="str">
        <f>基本属性!$B$13&amp;"|"&amp;基本属性!$C$13</f>
        <v>100|3</v>
      </c>
      <c r="B2280" s="10" t="str">
        <f>参数调整!$J$34</f>
        <v>首领掉落</v>
      </c>
      <c r="C2280" s="8" t="str">
        <f>材料产出!$BR$2</f>
        <v>新增材料6</v>
      </c>
      <c r="D2280" s="224">
        <f>参数调整!$K$34*怪物掉落配置方案!$D4332</f>
        <v>0</v>
      </c>
    </row>
    <row r="2281" spans="1:4" ht="16.5" hidden="1" x14ac:dyDescent="0.3">
      <c r="A2281" s="10" t="str">
        <f>基本属性!$B$14&amp;"|"&amp;基本属性!$C$14</f>
        <v>105|4</v>
      </c>
      <c r="B2281" s="10" t="str">
        <f>参数调整!$J$34</f>
        <v>首领掉落</v>
      </c>
      <c r="C2281" s="8" t="str">
        <f>材料产出!$BR$2</f>
        <v>新增材料6</v>
      </c>
      <c r="D2281" s="224">
        <f>参数调整!$K$34*怪物掉落配置方案!$D4333</f>
        <v>0</v>
      </c>
    </row>
    <row r="2282" spans="1:4" ht="16.5" hidden="1" x14ac:dyDescent="0.3">
      <c r="A2282" s="10" t="str">
        <f>基本属性!$B$15&amp;"|"&amp;基本属性!$C$15</f>
        <v>110|5</v>
      </c>
      <c r="B2282" s="10" t="str">
        <f>参数调整!$J$34</f>
        <v>首领掉落</v>
      </c>
      <c r="C2282" s="8" t="str">
        <f>材料产出!$BR$2</f>
        <v>新增材料6</v>
      </c>
      <c r="D2282" s="224">
        <f>参数调整!$K$34*怪物掉落配置方案!$D4334</f>
        <v>0</v>
      </c>
    </row>
    <row r="2283" spans="1:4" ht="16.5" hidden="1" x14ac:dyDescent="0.3">
      <c r="A2283" s="10" t="str">
        <f>基本属性!$B$16&amp;"|"&amp;基本属性!$C$16</f>
        <v>120|6</v>
      </c>
      <c r="B2283" s="10" t="str">
        <f>参数调整!$J$34</f>
        <v>首领掉落</v>
      </c>
      <c r="C2283" s="8" t="str">
        <f>材料产出!$BR$2</f>
        <v>新增材料6</v>
      </c>
      <c r="D2283" s="224">
        <f>参数调整!$K$34*怪物掉落配置方案!$D4335</f>
        <v>0</v>
      </c>
    </row>
    <row r="2284" spans="1:4" ht="16.5" hidden="1" x14ac:dyDescent="0.3">
      <c r="A2284" s="10" t="str">
        <f>基本属性!$B$17&amp;"|"&amp;基本属性!$C$17</f>
        <v>135|7</v>
      </c>
      <c r="B2284" s="10" t="str">
        <f>参数调整!$J$34</f>
        <v>首领掉落</v>
      </c>
      <c r="C2284" s="8" t="str">
        <f>材料产出!$BR$2</f>
        <v>新增材料6</v>
      </c>
      <c r="D2284" s="224">
        <f>参数调整!$K$34*怪物掉落配置方案!$D4336</f>
        <v>0</v>
      </c>
    </row>
    <row r="2285" spans="1:4" ht="16.5" hidden="1" x14ac:dyDescent="0.3">
      <c r="A2285" s="10" t="str">
        <f>基本属性!$B$18&amp;"|"&amp;基本属性!$C$18</f>
        <v>155|8</v>
      </c>
      <c r="B2285" s="10" t="str">
        <f>参数调整!$J$34</f>
        <v>首领掉落</v>
      </c>
      <c r="C2285" s="8" t="str">
        <f>材料产出!$BR$2</f>
        <v>新增材料6</v>
      </c>
      <c r="D2285" s="224">
        <f>参数调整!$K$34*怪物掉落配置方案!$D4337</f>
        <v>0</v>
      </c>
    </row>
    <row r="2286" spans="1:4" ht="16.5" hidden="1" x14ac:dyDescent="0.3">
      <c r="A2286" s="10" t="str">
        <f>基本属性!$B$19&amp;"|"&amp;基本属性!$C$19</f>
        <v>190|9</v>
      </c>
      <c r="B2286" s="10" t="str">
        <f>参数调整!$J$34</f>
        <v>首领掉落</v>
      </c>
      <c r="C2286" s="8" t="str">
        <f>材料产出!$BR$2</f>
        <v>新增材料6</v>
      </c>
      <c r="D2286" s="224">
        <f>参数调整!$K$34*怪物掉落配置方案!$D4338</f>
        <v>0</v>
      </c>
    </row>
    <row r="2287" spans="1:4" ht="16.5" hidden="1" x14ac:dyDescent="0.3">
      <c r="A2287" s="10" t="str">
        <f>基本属性!$B$20&amp;"|"&amp;基本属性!$C$20</f>
        <v>200|10</v>
      </c>
      <c r="B2287" s="10" t="str">
        <f>参数调整!$J$34</f>
        <v>首领掉落</v>
      </c>
      <c r="C2287" s="8" t="str">
        <f>材料产出!$BR$2</f>
        <v>新增材料6</v>
      </c>
      <c r="D2287" s="224">
        <f>参数调整!$K$34*怪物掉落配置方案!$D4339</f>
        <v>0</v>
      </c>
    </row>
    <row r="2288" spans="1:4" ht="16.5" hidden="1" x14ac:dyDescent="0.3">
      <c r="A2288" s="10" t="str">
        <f>基本属性!$B$21&amp;"|"&amp;基本属性!$C$21</f>
        <v>200|11</v>
      </c>
      <c r="B2288" s="10" t="str">
        <f>参数调整!$J$34</f>
        <v>首领掉落</v>
      </c>
      <c r="C2288" s="8" t="str">
        <f>材料产出!$BR$2</f>
        <v>新增材料6</v>
      </c>
      <c r="D2288" s="224">
        <f>参数调整!$K$34*怪物掉落配置方案!$D4340</f>
        <v>0</v>
      </c>
    </row>
    <row r="2289" spans="1:4" ht="16.5" hidden="1" x14ac:dyDescent="0.3">
      <c r="A2289" s="10" t="str">
        <f>基本属性!$B$22&amp;"|"&amp;基本属性!$C$22</f>
        <v>210|12</v>
      </c>
      <c r="B2289" s="10" t="str">
        <f>参数调整!$J$34</f>
        <v>首领掉落</v>
      </c>
      <c r="C2289" s="8" t="str">
        <f>材料产出!$BR$2</f>
        <v>新增材料6</v>
      </c>
      <c r="D2289" s="224">
        <f>参数调整!$K$34*怪物掉落配置方案!$D4341</f>
        <v>0</v>
      </c>
    </row>
    <row r="2290" spans="1:4" ht="16.5" hidden="1" x14ac:dyDescent="0.3">
      <c r="A2290" s="10" t="str">
        <f>基本属性!$B$23&amp;"|"&amp;基本属性!$C$23</f>
        <v>210|13</v>
      </c>
      <c r="B2290" s="10" t="str">
        <f>参数调整!$J$34</f>
        <v>首领掉落</v>
      </c>
      <c r="C2290" s="8" t="str">
        <f>材料产出!$BR$2</f>
        <v>新增材料6</v>
      </c>
      <c r="D2290" s="224">
        <f>参数调整!$K$34*怪物掉落配置方案!$D4342</f>
        <v>0</v>
      </c>
    </row>
    <row r="2291" spans="1:4" ht="16.5" hidden="1" x14ac:dyDescent="0.3">
      <c r="A2291" s="10" t="str">
        <f>基本属性!$B$24&amp;"|"&amp;基本属性!$C$24</f>
        <v>220|14</v>
      </c>
      <c r="B2291" s="10" t="str">
        <f>参数调整!$J$34</f>
        <v>首领掉落</v>
      </c>
      <c r="C2291" s="8" t="str">
        <f>材料产出!$BR$2</f>
        <v>新增材料6</v>
      </c>
      <c r="D2291" s="224">
        <f>参数调整!$K$34*怪物掉落配置方案!$D4343</f>
        <v>0</v>
      </c>
    </row>
    <row r="2292" spans="1:4" ht="16.5" hidden="1" x14ac:dyDescent="0.3">
      <c r="A2292" s="10" t="str">
        <f>基本属性!$B$25&amp;"|"&amp;基本属性!$C$25</f>
        <v>220|15</v>
      </c>
      <c r="B2292" s="10" t="str">
        <f>参数调整!$J$34</f>
        <v>首领掉落</v>
      </c>
      <c r="C2292" s="8" t="str">
        <f>材料产出!$BR$2</f>
        <v>新增材料6</v>
      </c>
      <c r="D2292" s="224">
        <f>参数调整!$K$34*怪物掉落配置方案!$D4344</f>
        <v>0</v>
      </c>
    </row>
    <row r="2293" spans="1:4" ht="16.5" hidden="1" x14ac:dyDescent="0.3">
      <c r="A2293" s="10" t="str">
        <f>基本属性!$B$26&amp;"|"&amp;基本属性!$C$26</f>
        <v>230|16</v>
      </c>
      <c r="B2293" s="10" t="str">
        <f>参数调整!$J$34</f>
        <v>首领掉落</v>
      </c>
      <c r="C2293" s="8" t="str">
        <f>材料产出!$BR$2</f>
        <v>新增材料6</v>
      </c>
      <c r="D2293" s="224">
        <f>参数调整!$K$34*怪物掉落配置方案!$D4345</f>
        <v>0</v>
      </c>
    </row>
    <row r="2294" spans="1:4" ht="16.5" hidden="1" x14ac:dyDescent="0.3">
      <c r="A2294" s="10" t="str">
        <f>基本属性!$B$27&amp;"|"&amp;基本属性!$C$27</f>
        <v>230|17</v>
      </c>
      <c r="B2294" s="10" t="str">
        <f>参数调整!$J$34</f>
        <v>首领掉落</v>
      </c>
      <c r="C2294" s="8" t="str">
        <f>材料产出!$BR$2</f>
        <v>新增材料6</v>
      </c>
      <c r="D2294" s="224">
        <f>参数调整!$K$34*怪物掉落配置方案!$D4346</f>
        <v>0</v>
      </c>
    </row>
    <row r="2295" spans="1:4" ht="16.5" hidden="1" x14ac:dyDescent="0.3">
      <c r="A2295" s="10" t="str">
        <f>基本属性!$B$28&amp;"|"&amp;基本属性!$C$28</f>
        <v>240|18</v>
      </c>
      <c r="B2295" s="10" t="str">
        <f>参数调整!$J$34</f>
        <v>首领掉落</v>
      </c>
      <c r="C2295" s="8" t="str">
        <f>材料产出!$BR$2</f>
        <v>新增材料6</v>
      </c>
      <c r="D2295" s="224">
        <f>参数调整!$K$34*怪物掉落配置方案!$D4347</f>
        <v>0</v>
      </c>
    </row>
    <row r="2296" spans="1:4" ht="16.5" hidden="1" x14ac:dyDescent="0.3">
      <c r="A2296" s="10" t="str">
        <f>基本属性!$B$29&amp;"|"&amp;基本属性!$C$29</f>
        <v>240|19</v>
      </c>
      <c r="B2296" s="10" t="str">
        <f>参数调整!$J$34</f>
        <v>首领掉落</v>
      </c>
      <c r="C2296" s="8" t="str">
        <f>材料产出!$BR$2</f>
        <v>新增材料6</v>
      </c>
      <c r="D2296" s="224">
        <f>参数调整!$K$34*怪物掉落配置方案!$D4348</f>
        <v>0</v>
      </c>
    </row>
    <row r="2297" spans="1:4" ht="16.5" hidden="1" x14ac:dyDescent="0.3">
      <c r="A2297" s="10" t="str">
        <f>基本属性!$B$30&amp;"|"&amp;基本属性!$C$30</f>
        <v>250|20</v>
      </c>
      <c r="B2297" s="10" t="str">
        <f>参数调整!$J$34</f>
        <v>首领掉落</v>
      </c>
      <c r="C2297" s="8" t="str">
        <f>材料产出!$BR$2</f>
        <v>新增材料6</v>
      </c>
      <c r="D2297" s="224">
        <f>参数调整!$K$34*怪物掉落配置方案!$D4349</f>
        <v>0</v>
      </c>
    </row>
    <row r="2298" spans="1:4" ht="16.5" hidden="1" x14ac:dyDescent="0.3">
      <c r="A2298" s="10" t="str">
        <f>基本属性!$B$4&amp;"|"&amp;基本属性!$C$4</f>
        <v>35|0</v>
      </c>
      <c r="B2298" s="10" t="str">
        <f>参数调整!$J$34</f>
        <v>首领掉落</v>
      </c>
      <c r="C2298" s="8" t="str">
        <f>材料产出!$BP$2</f>
        <v>新增材料5</v>
      </c>
      <c r="D2298" s="224">
        <f>参数调整!$K$34*怪物掉落配置方案!$D4350</f>
        <v>0</v>
      </c>
    </row>
    <row r="2299" spans="1:4" ht="16.5" hidden="1" x14ac:dyDescent="0.3">
      <c r="A2299" s="10" t="str">
        <f>基本属性!$B$5&amp;"|"&amp;基本属性!$C$5</f>
        <v>40|0</v>
      </c>
      <c r="B2299" s="10" t="str">
        <f>参数调整!$J$34</f>
        <v>首领掉落</v>
      </c>
      <c r="C2299" s="8" t="str">
        <f>材料产出!$BP$2</f>
        <v>新增材料5</v>
      </c>
      <c r="D2299" s="224">
        <f>参数调整!$K$34*怪物掉落配置方案!$D4351</f>
        <v>0</v>
      </c>
    </row>
    <row r="2300" spans="1:4" ht="16.5" hidden="1" x14ac:dyDescent="0.3">
      <c r="A2300" s="10" t="str">
        <f>基本属性!$B$6&amp;"|"&amp;基本属性!$C$6</f>
        <v>50|0</v>
      </c>
      <c r="B2300" s="10" t="str">
        <f>参数调整!$J$34</f>
        <v>首领掉落</v>
      </c>
      <c r="C2300" s="8" t="str">
        <f>材料产出!$BP$2</f>
        <v>新增材料5</v>
      </c>
      <c r="D2300" s="224">
        <f>参数调整!$K$34*怪物掉落配置方案!$D4352</f>
        <v>0</v>
      </c>
    </row>
    <row r="2301" spans="1:4" ht="16.5" hidden="1" x14ac:dyDescent="0.3">
      <c r="A2301" s="10" t="str">
        <f>基本属性!$B$7&amp;"|"&amp;基本属性!$C$7</f>
        <v>60|0</v>
      </c>
      <c r="B2301" s="10" t="str">
        <f>参数调整!$J$34</f>
        <v>首领掉落</v>
      </c>
      <c r="C2301" s="8" t="str">
        <f>材料产出!$BP$2</f>
        <v>新增材料5</v>
      </c>
      <c r="D2301" s="224">
        <f>参数调整!$K$34*怪物掉落配置方案!$D4353</f>
        <v>0</v>
      </c>
    </row>
    <row r="2302" spans="1:4" ht="16.5" hidden="1" x14ac:dyDescent="0.3">
      <c r="A2302" s="10" t="str">
        <f>基本属性!$B$8&amp;"|"&amp;基本属性!$C$8</f>
        <v>65|0</v>
      </c>
      <c r="B2302" s="10" t="str">
        <f>参数调整!$J$34</f>
        <v>首领掉落</v>
      </c>
      <c r="C2302" s="8" t="str">
        <f>材料产出!$BP$2</f>
        <v>新增材料5</v>
      </c>
      <c r="D2302" s="224">
        <f>参数调整!$K$34*怪物掉落配置方案!$D4354</f>
        <v>0</v>
      </c>
    </row>
    <row r="2303" spans="1:4" ht="16.5" hidden="1" x14ac:dyDescent="0.3">
      <c r="A2303" s="10" t="str">
        <f>基本属性!$B$9&amp;"|"&amp;基本属性!$C$9</f>
        <v>70|0</v>
      </c>
      <c r="B2303" s="10" t="str">
        <f>参数调整!$J$34</f>
        <v>首领掉落</v>
      </c>
      <c r="C2303" s="8" t="str">
        <f>材料产出!$BP$2</f>
        <v>新增材料5</v>
      </c>
      <c r="D2303" s="224">
        <f>参数调整!$K$34*怪物掉落配置方案!$D4355</f>
        <v>0</v>
      </c>
    </row>
    <row r="2304" spans="1:4" ht="16.5" hidden="1" x14ac:dyDescent="0.3">
      <c r="A2304" s="10" t="str">
        <f>基本属性!$B$10&amp;"|"&amp;基本属性!$C$10</f>
        <v>75|0</v>
      </c>
      <c r="B2304" s="10" t="str">
        <f>参数调整!$J$34</f>
        <v>首领掉落</v>
      </c>
      <c r="C2304" s="8" t="str">
        <f>材料产出!$BP$2</f>
        <v>新增材料5</v>
      </c>
      <c r="D2304" s="224">
        <f>参数调整!$K$34*怪物掉落配置方案!$D4356</f>
        <v>0</v>
      </c>
    </row>
    <row r="2305" spans="1:4" ht="16.5" hidden="1" x14ac:dyDescent="0.3">
      <c r="A2305" s="10" t="str">
        <f>基本属性!$B$11&amp;"|"&amp;基本属性!$C$11</f>
        <v>80|1</v>
      </c>
      <c r="B2305" s="10" t="str">
        <f>参数调整!$J$34</f>
        <v>首领掉落</v>
      </c>
      <c r="C2305" s="8" t="str">
        <f>材料产出!$BP$2</f>
        <v>新增材料5</v>
      </c>
      <c r="D2305" s="224">
        <f>参数调整!$K$34*怪物掉落配置方案!$D4357</f>
        <v>0</v>
      </c>
    </row>
    <row r="2306" spans="1:4" ht="16.5" hidden="1" x14ac:dyDescent="0.3">
      <c r="A2306" s="10" t="str">
        <f>基本属性!$B$12&amp;"|"&amp;基本属性!$C$12</f>
        <v>90|2</v>
      </c>
      <c r="B2306" s="10" t="str">
        <f>参数调整!$J$34</f>
        <v>首领掉落</v>
      </c>
      <c r="C2306" s="8" t="str">
        <f>材料产出!$BP$2</f>
        <v>新增材料5</v>
      </c>
      <c r="D2306" s="224">
        <f>参数调整!$K$34*怪物掉落配置方案!$D4358</f>
        <v>0</v>
      </c>
    </row>
    <row r="2307" spans="1:4" ht="16.5" hidden="1" x14ac:dyDescent="0.3">
      <c r="A2307" s="10" t="str">
        <f>基本属性!$B$13&amp;"|"&amp;基本属性!$C$13</f>
        <v>100|3</v>
      </c>
      <c r="B2307" s="10" t="str">
        <f>参数调整!$J$34</f>
        <v>首领掉落</v>
      </c>
      <c r="C2307" s="8" t="str">
        <f>材料产出!$BP$2</f>
        <v>新增材料5</v>
      </c>
      <c r="D2307" s="224">
        <f>参数调整!$K$34*怪物掉落配置方案!$D4359</f>
        <v>0</v>
      </c>
    </row>
    <row r="2308" spans="1:4" ht="16.5" hidden="1" x14ac:dyDescent="0.3">
      <c r="A2308" s="10" t="str">
        <f>基本属性!$B$14&amp;"|"&amp;基本属性!$C$14</f>
        <v>105|4</v>
      </c>
      <c r="B2308" s="10" t="str">
        <f>参数调整!$J$34</f>
        <v>首领掉落</v>
      </c>
      <c r="C2308" s="8" t="str">
        <f>材料产出!$BP$2</f>
        <v>新增材料5</v>
      </c>
      <c r="D2308" s="224">
        <f>参数调整!$K$34*怪物掉落配置方案!$D4360</f>
        <v>0</v>
      </c>
    </row>
    <row r="2309" spans="1:4" ht="16.5" hidden="1" x14ac:dyDescent="0.3">
      <c r="A2309" s="10" t="str">
        <f>基本属性!$B$15&amp;"|"&amp;基本属性!$C$15</f>
        <v>110|5</v>
      </c>
      <c r="B2309" s="10" t="str">
        <f>参数调整!$J$34</f>
        <v>首领掉落</v>
      </c>
      <c r="C2309" s="8" t="str">
        <f>材料产出!$BP$2</f>
        <v>新增材料5</v>
      </c>
      <c r="D2309" s="224">
        <f>参数调整!$K$34*怪物掉落配置方案!$D4361</f>
        <v>0</v>
      </c>
    </row>
    <row r="2310" spans="1:4" ht="16.5" hidden="1" x14ac:dyDescent="0.3">
      <c r="A2310" s="10" t="str">
        <f>基本属性!$B$16&amp;"|"&amp;基本属性!$C$16</f>
        <v>120|6</v>
      </c>
      <c r="B2310" s="10" t="str">
        <f>参数调整!$J$34</f>
        <v>首领掉落</v>
      </c>
      <c r="C2310" s="8" t="str">
        <f>材料产出!$BP$2</f>
        <v>新增材料5</v>
      </c>
      <c r="D2310" s="224">
        <f>参数调整!$K$34*怪物掉落配置方案!$D4362</f>
        <v>0</v>
      </c>
    </row>
    <row r="2311" spans="1:4" ht="16.5" hidden="1" x14ac:dyDescent="0.3">
      <c r="A2311" s="10" t="str">
        <f>基本属性!$B$17&amp;"|"&amp;基本属性!$C$17</f>
        <v>135|7</v>
      </c>
      <c r="B2311" s="10" t="str">
        <f>参数调整!$J$34</f>
        <v>首领掉落</v>
      </c>
      <c r="C2311" s="8" t="str">
        <f>材料产出!$BP$2</f>
        <v>新增材料5</v>
      </c>
      <c r="D2311" s="224">
        <f>参数调整!$K$34*怪物掉落配置方案!$D4363</f>
        <v>0</v>
      </c>
    </row>
    <row r="2312" spans="1:4" ht="16.5" hidden="1" x14ac:dyDescent="0.3">
      <c r="A2312" s="10" t="str">
        <f>基本属性!$B$18&amp;"|"&amp;基本属性!$C$18</f>
        <v>155|8</v>
      </c>
      <c r="B2312" s="10" t="str">
        <f>参数调整!$J$34</f>
        <v>首领掉落</v>
      </c>
      <c r="C2312" s="8" t="str">
        <f>材料产出!$BP$2</f>
        <v>新增材料5</v>
      </c>
      <c r="D2312" s="224">
        <f>参数调整!$K$34*怪物掉落配置方案!$D4364</f>
        <v>0</v>
      </c>
    </row>
    <row r="2313" spans="1:4" ht="16.5" hidden="1" x14ac:dyDescent="0.3">
      <c r="A2313" s="10" t="str">
        <f>基本属性!$B$19&amp;"|"&amp;基本属性!$C$19</f>
        <v>190|9</v>
      </c>
      <c r="B2313" s="10" t="str">
        <f>参数调整!$J$34</f>
        <v>首领掉落</v>
      </c>
      <c r="C2313" s="8" t="str">
        <f>材料产出!$BP$2</f>
        <v>新增材料5</v>
      </c>
      <c r="D2313" s="224">
        <f>参数调整!$K$34*怪物掉落配置方案!$D4365</f>
        <v>0</v>
      </c>
    </row>
    <row r="2314" spans="1:4" ht="16.5" hidden="1" x14ac:dyDescent="0.3">
      <c r="A2314" s="10" t="str">
        <f>基本属性!$B$20&amp;"|"&amp;基本属性!$C$20</f>
        <v>200|10</v>
      </c>
      <c r="B2314" s="10" t="str">
        <f>参数调整!$J$34</f>
        <v>首领掉落</v>
      </c>
      <c r="C2314" s="8" t="str">
        <f>材料产出!$BP$2</f>
        <v>新增材料5</v>
      </c>
      <c r="D2314" s="224">
        <f>参数调整!$K$34*怪物掉落配置方案!$D4366</f>
        <v>0</v>
      </c>
    </row>
    <row r="2315" spans="1:4" ht="16.5" hidden="1" x14ac:dyDescent="0.3">
      <c r="A2315" s="10" t="str">
        <f>基本属性!$B$21&amp;"|"&amp;基本属性!$C$21</f>
        <v>200|11</v>
      </c>
      <c r="B2315" s="10" t="str">
        <f>参数调整!$J$34</f>
        <v>首领掉落</v>
      </c>
      <c r="C2315" s="8" t="str">
        <f>材料产出!$BP$2</f>
        <v>新增材料5</v>
      </c>
      <c r="D2315" s="224">
        <f>参数调整!$K$34*怪物掉落配置方案!$D4367</f>
        <v>0</v>
      </c>
    </row>
    <row r="2316" spans="1:4" ht="16.5" hidden="1" x14ac:dyDescent="0.3">
      <c r="A2316" s="10" t="str">
        <f>基本属性!$B$22&amp;"|"&amp;基本属性!$C$22</f>
        <v>210|12</v>
      </c>
      <c r="B2316" s="10" t="str">
        <f>参数调整!$J$34</f>
        <v>首领掉落</v>
      </c>
      <c r="C2316" s="8" t="str">
        <f>材料产出!$BP$2</f>
        <v>新增材料5</v>
      </c>
      <c r="D2316" s="224">
        <f>参数调整!$K$34*怪物掉落配置方案!$D4368</f>
        <v>0</v>
      </c>
    </row>
    <row r="2317" spans="1:4" ht="16.5" hidden="1" x14ac:dyDescent="0.3">
      <c r="A2317" s="10" t="str">
        <f>基本属性!$B$23&amp;"|"&amp;基本属性!$C$23</f>
        <v>210|13</v>
      </c>
      <c r="B2317" s="10" t="str">
        <f>参数调整!$J$34</f>
        <v>首领掉落</v>
      </c>
      <c r="C2317" s="8" t="str">
        <f>材料产出!$BP$2</f>
        <v>新增材料5</v>
      </c>
      <c r="D2317" s="224">
        <f>参数调整!$K$34*怪物掉落配置方案!$D4369</f>
        <v>0</v>
      </c>
    </row>
    <row r="2318" spans="1:4" ht="16.5" hidden="1" x14ac:dyDescent="0.3">
      <c r="A2318" s="10" t="str">
        <f>基本属性!$B$24&amp;"|"&amp;基本属性!$C$24</f>
        <v>220|14</v>
      </c>
      <c r="B2318" s="10" t="str">
        <f>参数调整!$J$34</f>
        <v>首领掉落</v>
      </c>
      <c r="C2318" s="8" t="str">
        <f>材料产出!$BP$2</f>
        <v>新增材料5</v>
      </c>
      <c r="D2318" s="224">
        <f>参数调整!$K$34*怪物掉落配置方案!$D4370</f>
        <v>0</v>
      </c>
    </row>
    <row r="2319" spans="1:4" ht="16.5" hidden="1" x14ac:dyDescent="0.3">
      <c r="A2319" s="10" t="str">
        <f>基本属性!$B$25&amp;"|"&amp;基本属性!$C$25</f>
        <v>220|15</v>
      </c>
      <c r="B2319" s="10" t="str">
        <f>参数调整!$J$34</f>
        <v>首领掉落</v>
      </c>
      <c r="C2319" s="8" t="str">
        <f>材料产出!$BP$2</f>
        <v>新增材料5</v>
      </c>
      <c r="D2319" s="224">
        <f>参数调整!$K$34*怪物掉落配置方案!$D4371</f>
        <v>0</v>
      </c>
    </row>
    <row r="2320" spans="1:4" ht="16.5" hidden="1" x14ac:dyDescent="0.3">
      <c r="A2320" s="10" t="str">
        <f>基本属性!$B$26&amp;"|"&amp;基本属性!$C$26</f>
        <v>230|16</v>
      </c>
      <c r="B2320" s="10" t="str">
        <f>参数调整!$J$34</f>
        <v>首领掉落</v>
      </c>
      <c r="C2320" s="8" t="str">
        <f>材料产出!$BP$2</f>
        <v>新增材料5</v>
      </c>
      <c r="D2320" s="224">
        <f>参数调整!$K$34*怪物掉落配置方案!$D4372</f>
        <v>0</v>
      </c>
    </row>
    <row r="2321" spans="1:4" ht="16.5" hidden="1" x14ac:dyDescent="0.3">
      <c r="A2321" s="10" t="str">
        <f>基本属性!$B$27&amp;"|"&amp;基本属性!$C$27</f>
        <v>230|17</v>
      </c>
      <c r="B2321" s="10" t="str">
        <f>参数调整!$J$34</f>
        <v>首领掉落</v>
      </c>
      <c r="C2321" s="8" t="str">
        <f>材料产出!$BP$2</f>
        <v>新增材料5</v>
      </c>
      <c r="D2321" s="224">
        <f>参数调整!$K$34*怪物掉落配置方案!$D4373</f>
        <v>0</v>
      </c>
    </row>
    <row r="2322" spans="1:4" ht="16.5" hidden="1" x14ac:dyDescent="0.3">
      <c r="A2322" s="10" t="str">
        <f>基本属性!$B$28&amp;"|"&amp;基本属性!$C$28</f>
        <v>240|18</v>
      </c>
      <c r="B2322" s="10" t="str">
        <f>参数调整!$J$34</f>
        <v>首领掉落</v>
      </c>
      <c r="C2322" s="8" t="str">
        <f>材料产出!$BP$2</f>
        <v>新增材料5</v>
      </c>
      <c r="D2322" s="224">
        <f>参数调整!$K$34*怪物掉落配置方案!$D4374</f>
        <v>0</v>
      </c>
    </row>
    <row r="2323" spans="1:4" ht="16.5" hidden="1" x14ac:dyDescent="0.3">
      <c r="A2323" s="10" t="str">
        <f>基本属性!$B$29&amp;"|"&amp;基本属性!$C$29</f>
        <v>240|19</v>
      </c>
      <c r="B2323" s="10" t="str">
        <f>参数调整!$J$34</f>
        <v>首领掉落</v>
      </c>
      <c r="C2323" s="8" t="str">
        <f>材料产出!$BP$2</f>
        <v>新增材料5</v>
      </c>
      <c r="D2323" s="224">
        <f>参数调整!$K$34*怪物掉落配置方案!$D4375</f>
        <v>0</v>
      </c>
    </row>
    <row r="2324" spans="1:4" ht="16.5" hidden="1" x14ac:dyDescent="0.3">
      <c r="A2324" s="10" t="str">
        <f>基本属性!$B$30&amp;"|"&amp;基本属性!$C$30</f>
        <v>250|20</v>
      </c>
      <c r="B2324" s="10" t="str">
        <f>参数调整!$J$34</f>
        <v>首领掉落</v>
      </c>
      <c r="C2324" s="8" t="str">
        <f>材料产出!$BP$2</f>
        <v>新增材料5</v>
      </c>
      <c r="D2324" s="224">
        <f>参数调整!$K$34*怪物掉落配置方案!$D4376</f>
        <v>0</v>
      </c>
    </row>
    <row r="2325" spans="1:4" ht="16.5" hidden="1" x14ac:dyDescent="0.3">
      <c r="A2325" s="10" t="str">
        <f>基本属性!$B$4&amp;"|"&amp;基本属性!$C$4</f>
        <v>35|0</v>
      </c>
      <c r="B2325" s="10" t="str">
        <f>参数调整!$J$34</f>
        <v>首领掉落</v>
      </c>
      <c r="C2325" s="8" t="str">
        <f>材料产出!$BN$2</f>
        <v>新增材料4</v>
      </c>
      <c r="D2325" s="224">
        <f>参数调整!$K$34*怪物掉落配置方案!$D4377</f>
        <v>0</v>
      </c>
    </row>
    <row r="2326" spans="1:4" ht="16.5" hidden="1" x14ac:dyDescent="0.3">
      <c r="A2326" s="10" t="str">
        <f>基本属性!$B$5&amp;"|"&amp;基本属性!$C$5</f>
        <v>40|0</v>
      </c>
      <c r="B2326" s="10" t="str">
        <f>参数调整!$J$34</f>
        <v>首领掉落</v>
      </c>
      <c r="C2326" s="8" t="str">
        <f>材料产出!$BN$2</f>
        <v>新增材料4</v>
      </c>
      <c r="D2326" s="224">
        <f>参数调整!$K$34*怪物掉落配置方案!$D4378</f>
        <v>0</v>
      </c>
    </row>
    <row r="2327" spans="1:4" ht="16.5" hidden="1" x14ac:dyDescent="0.3">
      <c r="A2327" s="10" t="str">
        <f>基本属性!$B$6&amp;"|"&amp;基本属性!$C$6</f>
        <v>50|0</v>
      </c>
      <c r="B2327" s="10" t="str">
        <f>参数调整!$J$34</f>
        <v>首领掉落</v>
      </c>
      <c r="C2327" s="8" t="str">
        <f>材料产出!$BN$2</f>
        <v>新增材料4</v>
      </c>
      <c r="D2327" s="224">
        <f>参数调整!$K$34*怪物掉落配置方案!$D4379</f>
        <v>0</v>
      </c>
    </row>
    <row r="2328" spans="1:4" ht="16.5" hidden="1" x14ac:dyDescent="0.3">
      <c r="A2328" s="10" t="str">
        <f>基本属性!$B$7&amp;"|"&amp;基本属性!$C$7</f>
        <v>60|0</v>
      </c>
      <c r="B2328" s="10" t="str">
        <f>参数调整!$J$34</f>
        <v>首领掉落</v>
      </c>
      <c r="C2328" s="8" t="str">
        <f>材料产出!$BN$2</f>
        <v>新增材料4</v>
      </c>
      <c r="D2328" s="224">
        <f>参数调整!$K$34*怪物掉落配置方案!$D4380</f>
        <v>0</v>
      </c>
    </row>
    <row r="2329" spans="1:4" ht="16.5" hidden="1" x14ac:dyDescent="0.3">
      <c r="A2329" s="10" t="str">
        <f>基本属性!$B$8&amp;"|"&amp;基本属性!$C$8</f>
        <v>65|0</v>
      </c>
      <c r="B2329" s="10" t="str">
        <f>参数调整!$J$34</f>
        <v>首领掉落</v>
      </c>
      <c r="C2329" s="8" t="str">
        <f>材料产出!$BN$2</f>
        <v>新增材料4</v>
      </c>
      <c r="D2329" s="224">
        <f>参数调整!$K$34*怪物掉落配置方案!$D4381</f>
        <v>0</v>
      </c>
    </row>
    <row r="2330" spans="1:4" ht="16.5" hidden="1" x14ac:dyDescent="0.3">
      <c r="A2330" s="10" t="str">
        <f>基本属性!$B$9&amp;"|"&amp;基本属性!$C$9</f>
        <v>70|0</v>
      </c>
      <c r="B2330" s="10" t="str">
        <f>参数调整!$J$34</f>
        <v>首领掉落</v>
      </c>
      <c r="C2330" s="8" t="str">
        <f>材料产出!$BN$2</f>
        <v>新增材料4</v>
      </c>
      <c r="D2330" s="224">
        <f>参数调整!$K$34*怪物掉落配置方案!$D4382</f>
        <v>0</v>
      </c>
    </row>
    <row r="2331" spans="1:4" ht="16.5" hidden="1" x14ac:dyDescent="0.3">
      <c r="A2331" s="10" t="str">
        <f>基本属性!$B$10&amp;"|"&amp;基本属性!$C$10</f>
        <v>75|0</v>
      </c>
      <c r="B2331" s="10" t="str">
        <f>参数调整!$J$34</f>
        <v>首领掉落</v>
      </c>
      <c r="C2331" s="8" t="str">
        <f>材料产出!$BN$2</f>
        <v>新增材料4</v>
      </c>
      <c r="D2331" s="224">
        <f>参数调整!$K$34*怪物掉落配置方案!$D4383</f>
        <v>0</v>
      </c>
    </row>
    <row r="2332" spans="1:4" ht="16.5" hidden="1" x14ac:dyDescent="0.3">
      <c r="A2332" s="10" t="str">
        <f>基本属性!$B$11&amp;"|"&amp;基本属性!$C$11</f>
        <v>80|1</v>
      </c>
      <c r="B2332" s="10" t="str">
        <f>参数调整!$J$34</f>
        <v>首领掉落</v>
      </c>
      <c r="C2332" s="8" t="str">
        <f>材料产出!$BN$2</f>
        <v>新增材料4</v>
      </c>
      <c r="D2332" s="224">
        <f>参数调整!$K$34*怪物掉落配置方案!$D4384</f>
        <v>0</v>
      </c>
    </row>
    <row r="2333" spans="1:4" ht="16.5" hidden="1" x14ac:dyDescent="0.3">
      <c r="A2333" s="10" t="str">
        <f>基本属性!$B$12&amp;"|"&amp;基本属性!$C$12</f>
        <v>90|2</v>
      </c>
      <c r="B2333" s="10" t="str">
        <f>参数调整!$J$34</f>
        <v>首领掉落</v>
      </c>
      <c r="C2333" s="8" t="str">
        <f>材料产出!$BN$2</f>
        <v>新增材料4</v>
      </c>
      <c r="D2333" s="224">
        <f>参数调整!$K$34*怪物掉落配置方案!$D4385</f>
        <v>0</v>
      </c>
    </row>
    <row r="2334" spans="1:4" ht="16.5" hidden="1" x14ac:dyDescent="0.3">
      <c r="A2334" s="10" t="str">
        <f>基本属性!$B$13&amp;"|"&amp;基本属性!$C$13</f>
        <v>100|3</v>
      </c>
      <c r="B2334" s="10" t="str">
        <f>参数调整!$J$34</f>
        <v>首领掉落</v>
      </c>
      <c r="C2334" s="8" t="str">
        <f>材料产出!$BN$2</f>
        <v>新增材料4</v>
      </c>
      <c r="D2334" s="224">
        <f>参数调整!$K$34*怪物掉落配置方案!$D4386</f>
        <v>0</v>
      </c>
    </row>
    <row r="2335" spans="1:4" ht="16.5" hidden="1" x14ac:dyDescent="0.3">
      <c r="A2335" s="10" t="str">
        <f>基本属性!$B$14&amp;"|"&amp;基本属性!$C$14</f>
        <v>105|4</v>
      </c>
      <c r="B2335" s="10" t="str">
        <f>参数调整!$J$34</f>
        <v>首领掉落</v>
      </c>
      <c r="C2335" s="8" t="str">
        <f>材料产出!$BN$2</f>
        <v>新增材料4</v>
      </c>
      <c r="D2335" s="224">
        <f>参数调整!$K$34*怪物掉落配置方案!$D4387</f>
        <v>0</v>
      </c>
    </row>
    <row r="2336" spans="1:4" ht="16.5" hidden="1" x14ac:dyDescent="0.3">
      <c r="A2336" s="10" t="str">
        <f>基本属性!$B$15&amp;"|"&amp;基本属性!$C$15</f>
        <v>110|5</v>
      </c>
      <c r="B2336" s="10" t="str">
        <f>参数调整!$J$34</f>
        <v>首领掉落</v>
      </c>
      <c r="C2336" s="8" t="str">
        <f>材料产出!$BN$2</f>
        <v>新增材料4</v>
      </c>
      <c r="D2336" s="224">
        <f>参数调整!$K$34*怪物掉落配置方案!$D4388</f>
        <v>0</v>
      </c>
    </row>
    <row r="2337" spans="1:4" ht="16.5" hidden="1" x14ac:dyDescent="0.3">
      <c r="A2337" s="10" t="str">
        <f>基本属性!$B$16&amp;"|"&amp;基本属性!$C$16</f>
        <v>120|6</v>
      </c>
      <c r="B2337" s="10" t="str">
        <f>参数调整!$J$34</f>
        <v>首领掉落</v>
      </c>
      <c r="C2337" s="8" t="str">
        <f>材料产出!$BN$2</f>
        <v>新增材料4</v>
      </c>
      <c r="D2337" s="224">
        <f>参数调整!$K$34*怪物掉落配置方案!$D4389</f>
        <v>0</v>
      </c>
    </row>
    <row r="2338" spans="1:4" ht="16.5" hidden="1" x14ac:dyDescent="0.3">
      <c r="A2338" s="10" t="str">
        <f>基本属性!$B$17&amp;"|"&amp;基本属性!$C$17</f>
        <v>135|7</v>
      </c>
      <c r="B2338" s="10" t="str">
        <f>参数调整!$J$34</f>
        <v>首领掉落</v>
      </c>
      <c r="C2338" s="8" t="str">
        <f>材料产出!$BN$2</f>
        <v>新增材料4</v>
      </c>
      <c r="D2338" s="224">
        <f>参数调整!$K$34*怪物掉落配置方案!$D4390</f>
        <v>0</v>
      </c>
    </row>
    <row r="2339" spans="1:4" ht="16.5" hidden="1" x14ac:dyDescent="0.3">
      <c r="A2339" s="10" t="str">
        <f>基本属性!$B$18&amp;"|"&amp;基本属性!$C$18</f>
        <v>155|8</v>
      </c>
      <c r="B2339" s="10" t="str">
        <f>参数调整!$J$34</f>
        <v>首领掉落</v>
      </c>
      <c r="C2339" s="8" t="str">
        <f>材料产出!$BN$2</f>
        <v>新增材料4</v>
      </c>
      <c r="D2339" s="224">
        <f>参数调整!$K$34*怪物掉落配置方案!$D4391</f>
        <v>0</v>
      </c>
    </row>
    <row r="2340" spans="1:4" ht="16.5" hidden="1" x14ac:dyDescent="0.3">
      <c r="A2340" s="10" t="str">
        <f>基本属性!$B$19&amp;"|"&amp;基本属性!$C$19</f>
        <v>190|9</v>
      </c>
      <c r="B2340" s="10" t="str">
        <f>参数调整!$J$34</f>
        <v>首领掉落</v>
      </c>
      <c r="C2340" s="8" t="str">
        <f>材料产出!$BN$2</f>
        <v>新增材料4</v>
      </c>
      <c r="D2340" s="224">
        <f>参数调整!$K$34*怪物掉落配置方案!$D4392</f>
        <v>0</v>
      </c>
    </row>
    <row r="2341" spans="1:4" ht="16.5" hidden="1" x14ac:dyDescent="0.3">
      <c r="A2341" s="10" t="str">
        <f>基本属性!$B$20&amp;"|"&amp;基本属性!$C$20</f>
        <v>200|10</v>
      </c>
      <c r="B2341" s="10" t="str">
        <f>参数调整!$J$34</f>
        <v>首领掉落</v>
      </c>
      <c r="C2341" s="8" t="str">
        <f>材料产出!$BN$2</f>
        <v>新增材料4</v>
      </c>
      <c r="D2341" s="224">
        <f>参数调整!$K$34*怪物掉落配置方案!$D4393</f>
        <v>0</v>
      </c>
    </row>
    <row r="2342" spans="1:4" ht="16.5" hidden="1" x14ac:dyDescent="0.3">
      <c r="A2342" s="10" t="str">
        <f>基本属性!$B$21&amp;"|"&amp;基本属性!$C$21</f>
        <v>200|11</v>
      </c>
      <c r="B2342" s="10" t="str">
        <f>参数调整!$J$34</f>
        <v>首领掉落</v>
      </c>
      <c r="C2342" s="8" t="str">
        <f>材料产出!$BN$2</f>
        <v>新增材料4</v>
      </c>
      <c r="D2342" s="224">
        <f>参数调整!$K$34*怪物掉落配置方案!$D4394</f>
        <v>0</v>
      </c>
    </row>
    <row r="2343" spans="1:4" ht="16.5" hidden="1" x14ac:dyDescent="0.3">
      <c r="A2343" s="10" t="str">
        <f>基本属性!$B$22&amp;"|"&amp;基本属性!$C$22</f>
        <v>210|12</v>
      </c>
      <c r="B2343" s="10" t="str">
        <f>参数调整!$J$34</f>
        <v>首领掉落</v>
      </c>
      <c r="C2343" s="8" t="str">
        <f>材料产出!$BN$2</f>
        <v>新增材料4</v>
      </c>
      <c r="D2343" s="224">
        <f>参数调整!$K$34*怪物掉落配置方案!$D4395</f>
        <v>0</v>
      </c>
    </row>
    <row r="2344" spans="1:4" ht="16.5" hidden="1" x14ac:dyDescent="0.3">
      <c r="A2344" s="10" t="str">
        <f>基本属性!$B$23&amp;"|"&amp;基本属性!$C$23</f>
        <v>210|13</v>
      </c>
      <c r="B2344" s="10" t="str">
        <f>参数调整!$J$34</f>
        <v>首领掉落</v>
      </c>
      <c r="C2344" s="8" t="str">
        <f>材料产出!$BN$2</f>
        <v>新增材料4</v>
      </c>
      <c r="D2344" s="224">
        <f>参数调整!$K$34*怪物掉落配置方案!$D4396</f>
        <v>0</v>
      </c>
    </row>
    <row r="2345" spans="1:4" ht="16.5" hidden="1" x14ac:dyDescent="0.3">
      <c r="A2345" s="10" t="str">
        <f>基本属性!$B$24&amp;"|"&amp;基本属性!$C$24</f>
        <v>220|14</v>
      </c>
      <c r="B2345" s="10" t="str">
        <f>参数调整!$J$34</f>
        <v>首领掉落</v>
      </c>
      <c r="C2345" s="8" t="str">
        <f>材料产出!$BN$2</f>
        <v>新增材料4</v>
      </c>
      <c r="D2345" s="224">
        <f>参数调整!$K$34*怪物掉落配置方案!$D4397</f>
        <v>0</v>
      </c>
    </row>
    <row r="2346" spans="1:4" ht="16.5" hidden="1" x14ac:dyDescent="0.3">
      <c r="A2346" s="10" t="str">
        <f>基本属性!$B$25&amp;"|"&amp;基本属性!$C$25</f>
        <v>220|15</v>
      </c>
      <c r="B2346" s="10" t="str">
        <f>参数调整!$J$34</f>
        <v>首领掉落</v>
      </c>
      <c r="C2346" s="8" t="str">
        <f>材料产出!$BN$2</f>
        <v>新增材料4</v>
      </c>
      <c r="D2346" s="224">
        <f>参数调整!$K$34*怪物掉落配置方案!$D4398</f>
        <v>0</v>
      </c>
    </row>
    <row r="2347" spans="1:4" ht="16.5" hidden="1" x14ac:dyDescent="0.3">
      <c r="A2347" s="10" t="str">
        <f>基本属性!$B$26&amp;"|"&amp;基本属性!$C$26</f>
        <v>230|16</v>
      </c>
      <c r="B2347" s="10" t="str">
        <f>参数调整!$J$34</f>
        <v>首领掉落</v>
      </c>
      <c r="C2347" s="8" t="str">
        <f>材料产出!$BN$2</f>
        <v>新增材料4</v>
      </c>
      <c r="D2347" s="224">
        <f>参数调整!$K$34*怪物掉落配置方案!$D4399</f>
        <v>0</v>
      </c>
    </row>
    <row r="2348" spans="1:4" ht="16.5" hidden="1" x14ac:dyDescent="0.3">
      <c r="A2348" s="10" t="str">
        <f>基本属性!$B$27&amp;"|"&amp;基本属性!$C$27</f>
        <v>230|17</v>
      </c>
      <c r="B2348" s="10" t="str">
        <f>参数调整!$J$34</f>
        <v>首领掉落</v>
      </c>
      <c r="C2348" s="8" t="str">
        <f>材料产出!$BN$2</f>
        <v>新增材料4</v>
      </c>
      <c r="D2348" s="224">
        <f>参数调整!$K$34*怪物掉落配置方案!$D4400</f>
        <v>0</v>
      </c>
    </row>
    <row r="2349" spans="1:4" ht="16.5" hidden="1" x14ac:dyDescent="0.3">
      <c r="A2349" s="10" t="str">
        <f>基本属性!$B$28&amp;"|"&amp;基本属性!$C$28</f>
        <v>240|18</v>
      </c>
      <c r="B2349" s="10" t="str">
        <f>参数调整!$J$34</f>
        <v>首领掉落</v>
      </c>
      <c r="C2349" s="8" t="str">
        <f>材料产出!$BN$2</f>
        <v>新增材料4</v>
      </c>
      <c r="D2349" s="224">
        <f>参数调整!$K$34*怪物掉落配置方案!$D4401</f>
        <v>0</v>
      </c>
    </row>
    <row r="2350" spans="1:4" ht="16.5" hidden="1" x14ac:dyDescent="0.3">
      <c r="A2350" s="10" t="str">
        <f>基本属性!$B$29&amp;"|"&amp;基本属性!$C$29</f>
        <v>240|19</v>
      </c>
      <c r="B2350" s="10" t="str">
        <f>参数调整!$J$34</f>
        <v>首领掉落</v>
      </c>
      <c r="C2350" s="8" t="str">
        <f>材料产出!$BN$2</f>
        <v>新增材料4</v>
      </c>
      <c r="D2350" s="224">
        <f>参数调整!$K$34*怪物掉落配置方案!$D4402</f>
        <v>0</v>
      </c>
    </row>
    <row r="2351" spans="1:4" ht="16.5" hidden="1" x14ac:dyDescent="0.3">
      <c r="A2351" s="10" t="str">
        <f>基本属性!$B$30&amp;"|"&amp;基本属性!$C$30</f>
        <v>250|20</v>
      </c>
      <c r="B2351" s="10" t="str">
        <f>参数调整!$J$34</f>
        <v>首领掉落</v>
      </c>
      <c r="C2351" s="8" t="str">
        <f>材料产出!$BN$2</f>
        <v>新增材料4</v>
      </c>
      <c r="D2351" s="224">
        <f>参数调整!$K$34*怪物掉落配置方案!$D4403</f>
        <v>0</v>
      </c>
    </row>
    <row r="2352" spans="1:4" ht="16.5" hidden="1" x14ac:dyDescent="0.3">
      <c r="A2352" s="10" t="str">
        <f>基本属性!$B$4&amp;"|"&amp;基本属性!$C$4</f>
        <v>35|0</v>
      </c>
      <c r="B2352" s="10" t="str">
        <f>参数调整!$J$34</f>
        <v>首领掉落</v>
      </c>
      <c r="C2352" s="8" t="str">
        <f>材料产出!$BL$2</f>
        <v>新增材料3</v>
      </c>
      <c r="D2352" s="224">
        <f>参数调整!$K$34*怪物掉落配置方案!$D4404</f>
        <v>0</v>
      </c>
    </row>
    <row r="2353" spans="1:4" ht="16.5" hidden="1" x14ac:dyDescent="0.3">
      <c r="A2353" s="10" t="str">
        <f>基本属性!$B$5&amp;"|"&amp;基本属性!$C$5</f>
        <v>40|0</v>
      </c>
      <c r="B2353" s="10" t="str">
        <f>参数调整!$J$34</f>
        <v>首领掉落</v>
      </c>
      <c r="C2353" s="8" t="str">
        <f>材料产出!$BL$2</f>
        <v>新增材料3</v>
      </c>
      <c r="D2353" s="224">
        <f>参数调整!$K$34*怪物掉落配置方案!$D4405</f>
        <v>0</v>
      </c>
    </row>
    <row r="2354" spans="1:4" ht="16.5" hidden="1" x14ac:dyDescent="0.3">
      <c r="A2354" s="10" t="str">
        <f>基本属性!$B$6&amp;"|"&amp;基本属性!$C$6</f>
        <v>50|0</v>
      </c>
      <c r="B2354" s="10" t="str">
        <f>参数调整!$J$34</f>
        <v>首领掉落</v>
      </c>
      <c r="C2354" s="8" t="str">
        <f>材料产出!$BL$2</f>
        <v>新增材料3</v>
      </c>
      <c r="D2354" s="224">
        <f>参数调整!$K$34*怪物掉落配置方案!$D4406</f>
        <v>0</v>
      </c>
    </row>
    <row r="2355" spans="1:4" ht="16.5" hidden="1" x14ac:dyDescent="0.3">
      <c r="A2355" s="10" t="str">
        <f>基本属性!$B$7&amp;"|"&amp;基本属性!$C$7</f>
        <v>60|0</v>
      </c>
      <c r="B2355" s="10" t="str">
        <f>参数调整!$J$34</f>
        <v>首领掉落</v>
      </c>
      <c r="C2355" s="8" t="str">
        <f>材料产出!$BL$2</f>
        <v>新增材料3</v>
      </c>
      <c r="D2355" s="224">
        <f>参数调整!$K$34*怪物掉落配置方案!$D4407</f>
        <v>0</v>
      </c>
    </row>
    <row r="2356" spans="1:4" ht="16.5" hidden="1" x14ac:dyDescent="0.3">
      <c r="A2356" s="10" t="str">
        <f>基本属性!$B$8&amp;"|"&amp;基本属性!$C$8</f>
        <v>65|0</v>
      </c>
      <c r="B2356" s="10" t="str">
        <f>参数调整!$J$34</f>
        <v>首领掉落</v>
      </c>
      <c r="C2356" s="8" t="str">
        <f>材料产出!$BL$2</f>
        <v>新增材料3</v>
      </c>
      <c r="D2356" s="224">
        <f>参数调整!$K$34*怪物掉落配置方案!$D4408</f>
        <v>0</v>
      </c>
    </row>
    <row r="2357" spans="1:4" ht="16.5" hidden="1" x14ac:dyDescent="0.3">
      <c r="A2357" s="10" t="str">
        <f>基本属性!$B$9&amp;"|"&amp;基本属性!$C$9</f>
        <v>70|0</v>
      </c>
      <c r="B2357" s="10" t="str">
        <f>参数调整!$J$34</f>
        <v>首领掉落</v>
      </c>
      <c r="C2357" s="8" t="str">
        <f>材料产出!$BL$2</f>
        <v>新增材料3</v>
      </c>
      <c r="D2357" s="224">
        <f>参数调整!$K$34*怪物掉落配置方案!$D4409</f>
        <v>0</v>
      </c>
    </row>
    <row r="2358" spans="1:4" ht="16.5" hidden="1" x14ac:dyDescent="0.3">
      <c r="A2358" s="10" t="str">
        <f>基本属性!$B$10&amp;"|"&amp;基本属性!$C$10</f>
        <v>75|0</v>
      </c>
      <c r="B2358" s="10" t="str">
        <f>参数调整!$J$34</f>
        <v>首领掉落</v>
      </c>
      <c r="C2358" s="8" t="str">
        <f>材料产出!$BL$2</f>
        <v>新增材料3</v>
      </c>
      <c r="D2358" s="224">
        <f>参数调整!$K$34*怪物掉落配置方案!$D4410</f>
        <v>0</v>
      </c>
    </row>
    <row r="2359" spans="1:4" ht="16.5" hidden="1" x14ac:dyDescent="0.3">
      <c r="A2359" s="10" t="str">
        <f>基本属性!$B$11&amp;"|"&amp;基本属性!$C$11</f>
        <v>80|1</v>
      </c>
      <c r="B2359" s="10" t="str">
        <f>参数调整!$J$34</f>
        <v>首领掉落</v>
      </c>
      <c r="C2359" s="8" t="str">
        <f>材料产出!$BL$2</f>
        <v>新增材料3</v>
      </c>
      <c r="D2359" s="224">
        <f>参数调整!$K$34*怪物掉落配置方案!$D4411</f>
        <v>0</v>
      </c>
    </row>
    <row r="2360" spans="1:4" ht="16.5" hidden="1" x14ac:dyDescent="0.3">
      <c r="A2360" s="10" t="str">
        <f>基本属性!$B$12&amp;"|"&amp;基本属性!$C$12</f>
        <v>90|2</v>
      </c>
      <c r="B2360" s="10" t="str">
        <f>参数调整!$J$34</f>
        <v>首领掉落</v>
      </c>
      <c r="C2360" s="8" t="str">
        <f>材料产出!$BL$2</f>
        <v>新增材料3</v>
      </c>
      <c r="D2360" s="224">
        <f>参数调整!$K$34*怪物掉落配置方案!$D4412</f>
        <v>0</v>
      </c>
    </row>
    <row r="2361" spans="1:4" ht="16.5" hidden="1" x14ac:dyDescent="0.3">
      <c r="A2361" s="10" t="str">
        <f>基本属性!$B$13&amp;"|"&amp;基本属性!$C$13</f>
        <v>100|3</v>
      </c>
      <c r="B2361" s="10" t="str">
        <f>参数调整!$J$34</f>
        <v>首领掉落</v>
      </c>
      <c r="C2361" s="8" t="str">
        <f>材料产出!$BL$2</f>
        <v>新增材料3</v>
      </c>
      <c r="D2361" s="224">
        <f>参数调整!$K$34*怪物掉落配置方案!$D4413</f>
        <v>0</v>
      </c>
    </row>
    <row r="2362" spans="1:4" ht="16.5" hidden="1" x14ac:dyDescent="0.3">
      <c r="A2362" s="10" t="str">
        <f>基本属性!$B$14&amp;"|"&amp;基本属性!$C$14</f>
        <v>105|4</v>
      </c>
      <c r="B2362" s="10" t="str">
        <f>参数调整!$J$34</f>
        <v>首领掉落</v>
      </c>
      <c r="C2362" s="8" t="str">
        <f>材料产出!$BL$2</f>
        <v>新增材料3</v>
      </c>
      <c r="D2362" s="224">
        <f>参数调整!$K$34*怪物掉落配置方案!$D4414</f>
        <v>0</v>
      </c>
    </row>
    <row r="2363" spans="1:4" ht="16.5" hidden="1" x14ac:dyDescent="0.3">
      <c r="A2363" s="10" t="str">
        <f>基本属性!$B$15&amp;"|"&amp;基本属性!$C$15</f>
        <v>110|5</v>
      </c>
      <c r="B2363" s="10" t="str">
        <f>参数调整!$J$34</f>
        <v>首领掉落</v>
      </c>
      <c r="C2363" s="8" t="str">
        <f>材料产出!$BL$2</f>
        <v>新增材料3</v>
      </c>
      <c r="D2363" s="224">
        <f>参数调整!$K$34*怪物掉落配置方案!$D4415</f>
        <v>0</v>
      </c>
    </row>
    <row r="2364" spans="1:4" ht="16.5" hidden="1" x14ac:dyDescent="0.3">
      <c r="A2364" s="10" t="str">
        <f>基本属性!$B$16&amp;"|"&amp;基本属性!$C$16</f>
        <v>120|6</v>
      </c>
      <c r="B2364" s="10" t="str">
        <f>参数调整!$J$34</f>
        <v>首领掉落</v>
      </c>
      <c r="C2364" s="8" t="str">
        <f>材料产出!$BL$2</f>
        <v>新增材料3</v>
      </c>
      <c r="D2364" s="224">
        <f>参数调整!$K$34*怪物掉落配置方案!$D4416</f>
        <v>0</v>
      </c>
    </row>
    <row r="2365" spans="1:4" ht="16.5" hidden="1" x14ac:dyDescent="0.3">
      <c r="A2365" s="10" t="str">
        <f>基本属性!$B$17&amp;"|"&amp;基本属性!$C$17</f>
        <v>135|7</v>
      </c>
      <c r="B2365" s="10" t="str">
        <f>参数调整!$J$34</f>
        <v>首领掉落</v>
      </c>
      <c r="C2365" s="8" t="str">
        <f>材料产出!$BL$2</f>
        <v>新增材料3</v>
      </c>
      <c r="D2365" s="224">
        <f>参数调整!$K$34*怪物掉落配置方案!$D4417</f>
        <v>0</v>
      </c>
    </row>
    <row r="2366" spans="1:4" ht="16.5" hidden="1" x14ac:dyDescent="0.3">
      <c r="A2366" s="10" t="str">
        <f>基本属性!$B$18&amp;"|"&amp;基本属性!$C$18</f>
        <v>155|8</v>
      </c>
      <c r="B2366" s="10" t="str">
        <f>参数调整!$J$34</f>
        <v>首领掉落</v>
      </c>
      <c r="C2366" s="8" t="str">
        <f>材料产出!$BL$2</f>
        <v>新增材料3</v>
      </c>
      <c r="D2366" s="224">
        <f>参数调整!$K$34*怪物掉落配置方案!$D4418</f>
        <v>0</v>
      </c>
    </row>
    <row r="2367" spans="1:4" ht="16.5" hidden="1" x14ac:dyDescent="0.3">
      <c r="A2367" s="10" t="str">
        <f>基本属性!$B$19&amp;"|"&amp;基本属性!$C$19</f>
        <v>190|9</v>
      </c>
      <c r="B2367" s="10" t="str">
        <f>参数调整!$J$34</f>
        <v>首领掉落</v>
      </c>
      <c r="C2367" s="8" t="str">
        <f>材料产出!$BL$2</f>
        <v>新增材料3</v>
      </c>
      <c r="D2367" s="224">
        <f>参数调整!$K$34*怪物掉落配置方案!$D4419</f>
        <v>0</v>
      </c>
    </row>
    <row r="2368" spans="1:4" ht="16.5" hidden="1" x14ac:dyDescent="0.3">
      <c r="A2368" s="10" t="str">
        <f>基本属性!$B$20&amp;"|"&amp;基本属性!$C$20</f>
        <v>200|10</v>
      </c>
      <c r="B2368" s="10" t="str">
        <f>参数调整!$J$34</f>
        <v>首领掉落</v>
      </c>
      <c r="C2368" s="8" t="str">
        <f>材料产出!$BL$2</f>
        <v>新增材料3</v>
      </c>
      <c r="D2368" s="224">
        <f>参数调整!$K$34*怪物掉落配置方案!$D4420</f>
        <v>0</v>
      </c>
    </row>
    <row r="2369" spans="1:4" ht="16.5" hidden="1" x14ac:dyDescent="0.3">
      <c r="A2369" s="10" t="str">
        <f>基本属性!$B$21&amp;"|"&amp;基本属性!$C$21</f>
        <v>200|11</v>
      </c>
      <c r="B2369" s="10" t="str">
        <f>参数调整!$J$34</f>
        <v>首领掉落</v>
      </c>
      <c r="C2369" s="8" t="str">
        <f>材料产出!$BL$2</f>
        <v>新增材料3</v>
      </c>
      <c r="D2369" s="224">
        <f>参数调整!$K$34*怪物掉落配置方案!$D4421</f>
        <v>0</v>
      </c>
    </row>
    <row r="2370" spans="1:4" ht="16.5" hidden="1" x14ac:dyDescent="0.3">
      <c r="A2370" s="10" t="str">
        <f>基本属性!$B$22&amp;"|"&amp;基本属性!$C$22</f>
        <v>210|12</v>
      </c>
      <c r="B2370" s="10" t="str">
        <f>参数调整!$J$34</f>
        <v>首领掉落</v>
      </c>
      <c r="C2370" s="8" t="str">
        <f>材料产出!$BL$2</f>
        <v>新增材料3</v>
      </c>
      <c r="D2370" s="224">
        <f>参数调整!$K$34*怪物掉落配置方案!$D4422</f>
        <v>0</v>
      </c>
    </row>
    <row r="2371" spans="1:4" ht="16.5" hidden="1" x14ac:dyDescent="0.3">
      <c r="A2371" s="10" t="str">
        <f>基本属性!$B$23&amp;"|"&amp;基本属性!$C$23</f>
        <v>210|13</v>
      </c>
      <c r="B2371" s="10" t="str">
        <f>参数调整!$J$34</f>
        <v>首领掉落</v>
      </c>
      <c r="C2371" s="8" t="str">
        <f>材料产出!$BL$2</f>
        <v>新增材料3</v>
      </c>
      <c r="D2371" s="224">
        <f>参数调整!$K$34*怪物掉落配置方案!$D4423</f>
        <v>0</v>
      </c>
    </row>
    <row r="2372" spans="1:4" ht="16.5" hidden="1" x14ac:dyDescent="0.3">
      <c r="A2372" s="10" t="str">
        <f>基本属性!$B$24&amp;"|"&amp;基本属性!$C$24</f>
        <v>220|14</v>
      </c>
      <c r="B2372" s="10" t="str">
        <f>参数调整!$J$34</f>
        <v>首领掉落</v>
      </c>
      <c r="C2372" s="8" t="str">
        <f>材料产出!$BL$2</f>
        <v>新增材料3</v>
      </c>
      <c r="D2372" s="224">
        <f>参数调整!$K$34*怪物掉落配置方案!$D4424</f>
        <v>0</v>
      </c>
    </row>
    <row r="2373" spans="1:4" ht="16.5" hidden="1" x14ac:dyDescent="0.3">
      <c r="A2373" s="10" t="str">
        <f>基本属性!$B$25&amp;"|"&amp;基本属性!$C$25</f>
        <v>220|15</v>
      </c>
      <c r="B2373" s="10" t="str">
        <f>参数调整!$J$34</f>
        <v>首领掉落</v>
      </c>
      <c r="C2373" s="8" t="str">
        <f>材料产出!$BL$2</f>
        <v>新增材料3</v>
      </c>
      <c r="D2373" s="224">
        <f>参数调整!$K$34*怪物掉落配置方案!$D4425</f>
        <v>0</v>
      </c>
    </row>
    <row r="2374" spans="1:4" ht="16.5" hidden="1" x14ac:dyDescent="0.3">
      <c r="A2374" s="10" t="str">
        <f>基本属性!$B$26&amp;"|"&amp;基本属性!$C$26</f>
        <v>230|16</v>
      </c>
      <c r="B2374" s="10" t="str">
        <f>参数调整!$J$34</f>
        <v>首领掉落</v>
      </c>
      <c r="C2374" s="8" t="str">
        <f>材料产出!$BL$2</f>
        <v>新增材料3</v>
      </c>
      <c r="D2374" s="224">
        <f>参数调整!$K$34*怪物掉落配置方案!$D4426</f>
        <v>0</v>
      </c>
    </row>
    <row r="2375" spans="1:4" ht="16.5" hidden="1" x14ac:dyDescent="0.3">
      <c r="A2375" s="10" t="str">
        <f>基本属性!$B$27&amp;"|"&amp;基本属性!$C$27</f>
        <v>230|17</v>
      </c>
      <c r="B2375" s="10" t="str">
        <f>参数调整!$J$34</f>
        <v>首领掉落</v>
      </c>
      <c r="C2375" s="8" t="str">
        <f>材料产出!$BL$2</f>
        <v>新增材料3</v>
      </c>
      <c r="D2375" s="224">
        <f>参数调整!$K$34*怪物掉落配置方案!$D4427</f>
        <v>0</v>
      </c>
    </row>
    <row r="2376" spans="1:4" ht="16.5" hidden="1" x14ac:dyDescent="0.3">
      <c r="A2376" s="10" t="str">
        <f>基本属性!$B$28&amp;"|"&amp;基本属性!$C$28</f>
        <v>240|18</v>
      </c>
      <c r="B2376" s="10" t="str">
        <f>参数调整!$J$34</f>
        <v>首领掉落</v>
      </c>
      <c r="C2376" s="8" t="str">
        <f>材料产出!$BL$2</f>
        <v>新增材料3</v>
      </c>
      <c r="D2376" s="224">
        <f>参数调整!$K$34*怪物掉落配置方案!$D4428</f>
        <v>0</v>
      </c>
    </row>
    <row r="2377" spans="1:4" ht="16.5" hidden="1" x14ac:dyDescent="0.3">
      <c r="A2377" s="10" t="str">
        <f>基本属性!$B$29&amp;"|"&amp;基本属性!$C$29</f>
        <v>240|19</v>
      </c>
      <c r="B2377" s="10" t="str">
        <f>参数调整!$J$34</f>
        <v>首领掉落</v>
      </c>
      <c r="C2377" s="8" t="str">
        <f>材料产出!$BL$2</f>
        <v>新增材料3</v>
      </c>
      <c r="D2377" s="224">
        <f>参数调整!$K$34*怪物掉落配置方案!$D4429</f>
        <v>0</v>
      </c>
    </row>
    <row r="2378" spans="1:4" ht="16.5" hidden="1" x14ac:dyDescent="0.3">
      <c r="A2378" s="10" t="str">
        <f>基本属性!$B$30&amp;"|"&amp;基本属性!$C$30</f>
        <v>250|20</v>
      </c>
      <c r="B2378" s="10" t="str">
        <f>参数调整!$J$34</f>
        <v>首领掉落</v>
      </c>
      <c r="C2378" s="8" t="str">
        <f>材料产出!$BL$2</f>
        <v>新增材料3</v>
      </c>
      <c r="D2378" s="224">
        <f>参数调整!$K$34*怪物掉落配置方案!$D4430</f>
        <v>0</v>
      </c>
    </row>
    <row r="2379" spans="1:4" ht="16.5" hidden="1" x14ac:dyDescent="0.3">
      <c r="A2379" s="10" t="str">
        <f>基本属性!$B$4&amp;"|"&amp;基本属性!$C$4</f>
        <v>35|0</v>
      </c>
      <c r="B2379" s="10" t="str">
        <f>参数调整!$J$34</f>
        <v>首领掉落</v>
      </c>
      <c r="C2379" s="8" t="str">
        <f>材料产出!$BJ$2</f>
        <v>新增材料2</v>
      </c>
      <c r="D2379" s="224">
        <f>参数调整!$K$34*怪物掉落配置方案!$D4431</f>
        <v>0</v>
      </c>
    </row>
    <row r="2380" spans="1:4" ht="16.5" hidden="1" x14ac:dyDescent="0.3">
      <c r="A2380" s="10" t="str">
        <f>基本属性!$B$5&amp;"|"&amp;基本属性!$C$5</f>
        <v>40|0</v>
      </c>
      <c r="B2380" s="10" t="str">
        <f>参数调整!$J$34</f>
        <v>首领掉落</v>
      </c>
      <c r="C2380" s="8" t="str">
        <f>材料产出!$BJ$2</f>
        <v>新增材料2</v>
      </c>
      <c r="D2380" s="224">
        <f>参数调整!$K$34*怪物掉落配置方案!$D4432</f>
        <v>0</v>
      </c>
    </row>
    <row r="2381" spans="1:4" ht="16.5" hidden="1" x14ac:dyDescent="0.3">
      <c r="A2381" s="10" t="str">
        <f>基本属性!$B$6&amp;"|"&amp;基本属性!$C$6</f>
        <v>50|0</v>
      </c>
      <c r="B2381" s="10" t="str">
        <f>参数调整!$J$34</f>
        <v>首领掉落</v>
      </c>
      <c r="C2381" s="8" t="str">
        <f>材料产出!$BJ$2</f>
        <v>新增材料2</v>
      </c>
      <c r="D2381" s="224">
        <f>参数调整!$K$34*怪物掉落配置方案!$D4433</f>
        <v>0</v>
      </c>
    </row>
    <row r="2382" spans="1:4" ht="16.5" hidden="1" x14ac:dyDescent="0.3">
      <c r="A2382" s="10" t="str">
        <f>基本属性!$B$7&amp;"|"&amp;基本属性!$C$7</f>
        <v>60|0</v>
      </c>
      <c r="B2382" s="10" t="str">
        <f>参数调整!$J$34</f>
        <v>首领掉落</v>
      </c>
      <c r="C2382" s="8" t="str">
        <f>材料产出!$BJ$2</f>
        <v>新增材料2</v>
      </c>
      <c r="D2382" s="224">
        <f>参数调整!$K$34*怪物掉落配置方案!$D4434</f>
        <v>0</v>
      </c>
    </row>
    <row r="2383" spans="1:4" ht="16.5" hidden="1" x14ac:dyDescent="0.3">
      <c r="A2383" s="10" t="str">
        <f>基本属性!$B$8&amp;"|"&amp;基本属性!$C$8</f>
        <v>65|0</v>
      </c>
      <c r="B2383" s="10" t="str">
        <f>参数调整!$J$34</f>
        <v>首领掉落</v>
      </c>
      <c r="C2383" s="8" t="str">
        <f>材料产出!$BJ$2</f>
        <v>新增材料2</v>
      </c>
      <c r="D2383" s="224">
        <f>参数调整!$K$34*怪物掉落配置方案!$D4435</f>
        <v>0</v>
      </c>
    </row>
    <row r="2384" spans="1:4" ht="16.5" hidden="1" x14ac:dyDescent="0.3">
      <c r="A2384" s="10" t="str">
        <f>基本属性!$B$9&amp;"|"&amp;基本属性!$C$9</f>
        <v>70|0</v>
      </c>
      <c r="B2384" s="10" t="str">
        <f>参数调整!$J$34</f>
        <v>首领掉落</v>
      </c>
      <c r="C2384" s="8" t="str">
        <f>材料产出!$BJ$2</f>
        <v>新增材料2</v>
      </c>
      <c r="D2384" s="224">
        <f>参数调整!$K$34*怪物掉落配置方案!$D4436</f>
        <v>0</v>
      </c>
    </row>
    <row r="2385" spans="1:4" ht="16.5" hidden="1" x14ac:dyDescent="0.3">
      <c r="A2385" s="10" t="str">
        <f>基本属性!$B$10&amp;"|"&amp;基本属性!$C$10</f>
        <v>75|0</v>
      </c>
      <c r="B2385" s="10" t="str">
        <f>参数调整!$J$34</f>
        <v>首领掉落</v>
      </c>
      <c r="C2385" s="8" t="str">
        <f>材料产出!$BJ$2</f>
        <v>新增材料2</v>
      </c>
      <c r="D2385" s="224">
        <f>参数调整!$K$34*怪物掉落配置方案!$D4437</f>
        <v>0</v>
      </c>
    </row>
    <row r="2386" spans="1:4" ht="16.5" hidden="1" x14ac:dyDescent="0.3">
      <c r="A2386" s="10" t="str">
        <f>基本属性!$B$11&amp;"|"&amp;基本属性!$C$11</f>
        <v>80|1</v>
      </c>
      <c r="B2386" s="10" t="str">
        <f>参数调整!$J$34</f>
        <v>首领掉落</v>
      </c>
      <c r="C2386" s="8" t="str">
        <f>材料产出!$BJ$2</f>
        <v>新增材料2</v>
      </c>
      <c r="D2386" s="224">
        <f>参数调整!$K$34*怪物掉落配置方案!$D4438</f>
        <v>0</v>
      </c>
    </row>
    <row r="2387" spans="1:4" ht="16.5" hidden="1" x14ac:dyDescent="0.3">
      <c r="A2387" s="10" t="str">
        <f>基本属性!$B$12&amp;"|"&amp;基本属性!$C$12</f>
        <v>90|2</v>
      </c>
      <c r="B2387" s="10" t="str">
        <f>参数调整!$J$34</f>
        <v>首领掉落</v>
      </c>
      <c r="C2387" s="8" t="str">
        <f>材料产出!$BJ$2</f>
        <v>新增材料2</v>
      </c>
      <c r="D2387" s="224">
        <f>参数调整!$K$34*怪物掉落配置方案!$D4439</f>
        <v>0</v>
      </c>
    </row>
    <row r="2388" spans="1:4" ht="16.5" hidden="1" x14ac:dyDescent="0.3">
      <c r="A2388" s="10" t="str">
        <f>基本属性!$B$13&amp;"|"&amp;基本属性!$C$13</f>
        <v>100|3</v>
      </c>
      <c r="B2388" s="10" t="str">
        <f>参数调整!$J$34</f>
        <v>首领掉落</v>
      </c>
      <c r="C2388" s="8" t="str">
        <f>材料产出!$BJ$2</f>
        <v>新增材料2</v>
      </c>
      <c r="D2388" s="224">
        <f>参数调整!$K$34*怪物掉落配置方案!$D4440</f>
        <v>0</v>
      </c>
    </row>
    <row r="2389" spans="1:4" ht="16.5" hidden="1" x14ac:dyDescent="0.3">
      <c r="A2389" s="10" t="str">
        <f>基本属性!$B$14&amp;"|"&amp;基本属性!$C$14</f>
        <v>105|4</v>
      </c>
      <c r="B2389" s="10" t="str">
        <f>参数调整!$J$34</f>
        <v>首领掉落</v>
      </c>
      <c r="C2389" s="8" t="str">
        <f>材料产出!$BJ$2</f>
        <v>新增材料2</v>
      </c>
      <c r="D2389" s="224">
        <f>参数调整!$K$34*怪物掉落配置方案!$D4441</f>
        <v>0</v>
      </c>
    </row>
    <row r="2390" spans="1:4" ht="16.5" hidden="1" x14ac:dyDescent="0.3">
      <c r="A2390" s="10" t="str">
        <f>基本属性!$B$15&amp;"|"&amp;基本属性!$C$15</f>
        <v>110|5</v>
      </c>
      <c r="B2390" s="10" t="str">
        <f>参数调整!$J$34</f>
        <v>首领掉落</v>
      </c>
      <c r="C2390" s="8" t="str">
        <f>材料产出!$BJ$2</f>
        <v>新增材料2</v>
      </c>
      <c r="D2390" s="224">
        <f>参数调整!$K$34*怪物掉落配置方案!$D4442</f>
        <v>0</v>
      </c>
    </row>
    <row r="2391" spans="1:4" ht="16.5" hidden="1" x14ac:dyDescent="0.3">
      <c r="A2391" s="10" t="str">
        <f>基本属性!$B$16&amp;"|"&amp;基本属性!$C$16</f>
        <v>120|6</v>
      </c>
      <c r="B2391" s="10" t="str">
        <f>参数调整!$J$34</f>
        <v>首领掉落</v>
      </c>
      <c r="C2391" s="8" t="str">
        <f>材料产出!$BJ$2</f>
        <v>新增材料2</v>
      </c>
      <c r="D2391" s="224">
        <f>参数调整!$K$34*怪物掉落配置方案!$D4443</f>
        <v>0</v>
      </c>
    </row>
    <row r="2392" spans="1:4" ht="16.5" hidden="1" x14ac:dyDescent="0.3">
      <c r="A2392" s="10" t="str">
        <f>基本属性!$B$17&amp;"|"&amp;基本属性!$C$17</f>
        <v>135|7</v>
      </c>
      <c r="B2392" s="10" t="str">
        <f>参数调整!$J$34</f>
        <v>首领掉落</v>
      </c>
      <c r="C2392" s="8" t="str">
        <f>材料产出!$BJ$2</f>
        <v>新增材料2</v>
      </c>
      <c r="D2392" s="224">
        <f>参数调整!$K$34*怪物掉落配置方案!$D4444</f>
        <v>0</v>
      </c>
    </row>
    <row r="2393" spans="1:4" ht="16.5" hidden="1" x14ac:dyDescent="0.3">
      <c r="A2393" s="10" t="str">
        <f>基本属性!$B$18&amp;"|"&amp;基本属性!$C$18</f>
        <v>155|8</v>
      </c>
      <c r="B2393" s="10" t="str">
        <f>参数调整!$J$34</f>
        <v>首领掉落</v>
      </c>
      <c r="C2393" s="8" t="str">
        <f>材料产出!$BJ$2</f>
        <v>新增材料2</v>
      </c>
      <c r="D2393" s="224">
        <f>参数调整!$K$34*怪物掉落配置方案!$D4445</f>
        <v>0</v>
      </c>
    </row>
    <row r="2394" spans="1:4" ht="16.5" hidden="1" x14ac:dyDescent="0.3">
      <c r="A2394" s="10" t="str">
        <f>基本属性!$B$19&amp;"|"&amp;基本属性!$C$19</f>
        <v>190|9</v>
      </c>
      <c r="B2394" s="10" t="str">
        <f>参数调整!$J$34</f>
        <v>首领掉落</v>
      </c>
      <c r="C2394" s="8" t="str">
        <f>材料产出!$BJ$2</f>
        <v>新增材料2</v>
      </c>
      <c r="D2394" s="224">
        <f>参数调整!$K$34*怪物掉落配置方案!$D4446</f>
        <v>0</v>
      </c>
    </row>
    <row r="2395" spans="1:4" ht="16.5" hidden="1" x14ac:dyDescent="0.3">
      <c r="A2395" s="10" t="str">
        <f>基本属性!$B$20&amp;"|"&amp;基本属性!$C$20</f>
        <v>200|10</v>
      </c>
      <c r="B2395" s="10" t="str">
        <f>参数调整!$J$34</f>
        <v>首领掉落</v>
      </c>
      <c r="C2395" s="8" t="str">
        <f>材料产出!$BJ$2</f>
        <v>新增材料2</v>
      </c>
      <c r="D2395" s="224">
        <f>参数调整!$K$34*怪物掉落配置方案!$D4447</f>
        <v>0</v>
      </c>
    </row>
    <row r="2396" spans="1:4" ht="16.5" hidden="1" x14ac:dyDescent="0.3">
      <c r="A2396" s="10" t="str">
        <f>基本属性!$B$21&amp;"|"&amp;基本属性!$C$21</f>
        <v>200|11</v>
      </c>
      <c r="B2396" s="10" t="str">
        <f>参数调整!$J$34</f>
        <v>首领掉落</v>
      </c>
      <c r="C2396" s="8" t="str">
        <f>材料产出!$BJ$2</f>
        <v>新增材料2</v>
      </c>
      <c r="D2396" s="224">
        <f>参数调整!$K$34*怪物掉落配置方案!$D4448</f>
        <v>0</v>
      </c>
    </row>
    <row r="2397" spans="1:4" ht="16.5" hidden="1" x14ac:dyDescent="0.3">
      <c r="A2397" s="10" t="str">
        <f>基本属性!$B$22&amp;"|"&amp;基本属性!$C$22</f>
        <v>210|12</v>
      </c>
      <c r="B2397" s="10" t="str">
        <f>参数调整!$J$34</f>
        <v>首领掉落</v>
      </c>
      <c r="C2397" s="8" t="str">
        <f>材料产出!$BJ$2</f>
        <v>新增材料2</v>
      </c>
      <c r="D2397" s="224">
        <f>参数调整!$K$34*怪物掉落配置方案!$D4449</f>
        <v>0</v>
      </c>
    </row>
    <row r="2398" spans="1:4" ht="16.5" hidden="1" x14ac:dyDescent="0.3">
      <c r="A2398" s="10" t="str">
        <f>基本属性!$B$23&amp;"|"&amp;基本属性!$C$23</f>
        <v>210|13</v>
      </c>
      <c r="B2398" s="10" t="str">
        <f>参数调整!$J$34</f>
        <v>首领掉落</v>
      </c>
      <c r="C2398" s="8" t="str">
        <f>材料产出!$BJ$2</f>
        <v>新增材料2</v>
      </c>
      <c r="D2398" s="224">
        <f>参数调整!$K$34*怪物掉落配置方案!$D4450</f>
        <v>0</v>
      </c>
    </row>
    <row r="2399" spans="1:4" ht="16.5" hidden="1" x14ac:dyDescent="0.3">
      <c r="A2399" s="10" t="str">
        <f>基本属性!$B$24&amp;"|"&amp;基本属性!$C$24</f>
        <v>220|14</v>
      </c>
      <c r="B2399" s="10" t="str">
        <f>参数调整!$J$34</f>
        <v>首领掉落</v>
      </c>
      <c r="C2399" s="8" t="str">
        <f>材料产出!$BJ$2</f>
        <v>新增材料2</v>
      </c>
      <c r="D2399" s="224">
        <f>参数调整!$K$34*怪物掉落配置方案!$D4451</f>
        <v>0</v>
      </c>
    </row>
    <row r="2400" spans="1:4" ht="16.5" hidden="1" x14ac:dyDescent="0.3">
      <c r="A2400" s="10" t="str">
        <f>基本属性!$B$25&amp;"|"&amp;基本属性!$C$25</f>
        <v>220|15</v>
      </c>
      <c r="B2400" s="10" t="str">
        <f>参数调整!$J$34</f>
        <v>首领掉落</v>
      </c>
      <c r="C2400" s="8" t="str">
        <f>材料产出!$BJ$2</f>
        <v>新增材料2</v>
      </c>
      <c r="D2400" s="224">
        <f>参数调整!$K$34*怪物掉落配置方案!$D4452</f>
        <v>0</v>
      </c>
    </row>
    <row r="2401" spans="1:4" ht="16.5" hidden="1" x14ac:dyDescent="0.3">
      <c r="A2401" s="10" t="str">
        <f>基本属性!$B$26&amp;"|"&amp;基本属性!$C$26</f>
        <v>230|16</v>
      </c>
      <c r="B2401" s="10" t="str">
        <f>参数调整!$J$34</f>
        <v>首领掉落</v>
      </c>
      <c r="C2401" s="8" t="str">
        <f>材料产出!$BJ$2</f>
        <v>新增材料2</v>
      </c>
      <c r="D2401" s="224">
        <f>参数调整!$K$34*怪物掉落配置方案!$D4453</f>
        <v>0</v>
      </c>
    </row>
    <row r="2402" spans="1:4" ht="16.5" hidden="1" x14ac:dyDescent="0.3">
      <c r="A2402" s="10" t="str">
        <f>基本属性!$B$27&amp;"|"&amp;基本属性!$C$27</f>
        <v>230|17</v>
      </c>
      <c r="B2402" s="10" t="str">
        <f>参数调整!$J$34</f>
        <v>首领掉落</v>
      </c>
      <c r="C2402" s="8" t="str">
        <f>材料产出!$BJ$2</f>
        <v>新增材料2</v>
      </c>
      <c r="D2402" s="224">
        <f>参数调整!$K$34*怪物掉落配置方案!$D4454</f>
        <v>0</v>
      </c>
    </row>
    <row r="2403" spans="1:4" ht="16.5" hidden="1" x14ac:dyDescent="0.3">
      <c r="A2403" s="10" t="str">
        <f>基本属性!$B$28&amp;"|"&amp;基本属性!$C$28</f>
        <v>240|18</v>
      </c>
      <c r="B2403" s="10" t="str">
        <f>参数调整!$J$34</f>
        <v>首领掉落</v>
      </c>
      <c r="C2403" s="8" t="str">
        <f>材料产出!$BJ$2</f>
        <v>新增材料2</v>
      </c>
      <c r="D2403" s="224">
        <f>参数调整!$K$34*怪物掉落配置方案!$D4455</f>
        <v>0</v>
      </c>
    </row>
    <row r="2404" spans="1:4" ht="16.5" hidden="1" x14ac:dyDescent="0.3">
      <c r="A2404" s="10" t="str">
        <f>基本属性!$B$29&amp;"|"&amp;基本属性!$C$29</f>
        <v>240|19</v>
      </c>
      <c r="B2404" s="10" t="str">
        <f>参数调整!$J$34</f>
        <v>首领掉落</v>
      </c>
      <c r="C2404" s="8" t="str">
        <f>材料产出!$BJ$2</f>
        <v>新增材料2</v>
      </c>
      <c r="D2404" s="224">
        <f>参数调整!$K$34*怪物掉落配置方案!$D4456</f>
        <v>0</v>
      </c>
    </row>
    <row r="2405" spans="1:4" ht="16.5" hidden="1" x14ac:dyDescent="0.3">
      <c r="A2405" s="10" t="str">
        <f>基本属性!$B$30&amp;"|"&amp;基本属性!$C$30</f>
        <v>250|20</v>
      </c>
      <c r="B2405" s="10" t="str">
        <f>参数调整!$J$34</f>
        <v>首领掉落</v>
      </c>
      <c r="C2405" s="8" t="str">
        <f>材料产出!$BJ$2</f>
        <v>新增材料2</v>
      </c>
      <c r="D2405" s="224">
        <f>参数调整!$K$34*怪物掉落配置方案!$D4457</f>
        <v>0</v>
      </c>
    </row>
    <row r="2406" spans="1:4" ht="16.5" hidden="1" x14ac:dyDescent="0.3">
      <c r="A2406" s="10" t="str">
        <f>基本属性!$B$4&amp;"|"&amp;基本属性!$C$4</f>
        <v>35|0</v>
      </c>
      <c r="B2406" s="10" t="str">
        <f>参数调整!$J$34</f>
        <v>首领掉落</v>
      </c>
      <c r="C2406" s="8" t="str">
        <f>材料产出!$BH$2</f>
        <v>新增材料1</v>
      </c>
      <c r="D2406" s="224">
        <f>参数调整!$K$34*怪物掉落配置方案!$D4458</f>
        <v>0</v>
      </c>
    </row>
    <row r="2407" spans="1:4" ht="16.5" hidden="1" x14ac:dyDescent="0.3">
      <c r="A2407" s="10" t="str">
        <f>基本属性!$B$5&amp;"|"&amp;基本属性!$C$5</f>
        <v>40|0</v>
      </c>
      <c r="B2407" s="10" t="str">
        <f>参数调整!$J$34</f>
        <v>首领掉落</v>
      </c>
      <c r="C2407" s="8" t="str">
        <f>材料产出!$BH$2</f>
        <v>新增材料1</v>
      </c>
      <c r="D2407" s="224">
        <f>参数调整!$K$34*怪物掉落配置方案!$D4459</f>
        <v>0</v>
      </c>
    </row>
    <row r="2408" spans="1:4" ht="16.5" hidden="1" x14ac:dyDescent="0.3">
      <c r="A2408" s="10" t="str">
        <f>基本属性!$B$6&amp;"|"&amp;基本属性!$C$6</f>
        <v>50|0</v>
      </c>
      <c r="B2408" s="10" t="str">
        <f>参数调整!$J$34</f>
        <v>首领掉落</v>
      </c>
      <c r="C2408" s="8" t="str">
        <f>材料产出!$BH$2</f>
        <v>新增材料1</v>
      </c>
      <c r="D2408" s="224">
        <f>参数调整!$K$34*怪物掉落配置方案!$D4460</f>
        <v>0</v>
      </c>
    </row>
    <row r="2409" spans="1:4" ht="16.5" hidden="1" x14ac:dyDescent="0.3">
      <c r="A2409" s="10" t="str">
        <f>基本属性!$B$7&amp;"|"&amp;基本属性!$C$7</f>
        <v>60|0</v>
      </c>
      <c r="B2409" s="10" t="str">
        <f>参数调整!$J$34</f>
        <v>首领掉落</v>
      </c>
      <c r="C2409" s="8" t="str">
        <f>材料产出!$BH$2</f>
        <v>新增材料1</v>
      </c>
      <c r="D2409" s="224">
        <f>参数调整!$K$34*怪物掉落配置方案!$D4461</f>
        <v>0</v>
      </c>
    </row>
    <row r="2410" spans="1:4" ht="16.5" hidden="1" x14ac:dyDescent="0.3">
      <c r="A2410" s="10" t="str">
        <f>基本属性!$B$8&amp;"|"&amp;基本属性!$C$8</f>
        <v>65|0</v>
      </c>
      <c r="B2410" s="10" t="str">
        <f>参数调整!$J$34</f>
        <v>首领掉落</v>
      </c>
      <c r="C2410" s="8" t="str">
        <f>材料产出!$BH$2</f>
        <v>新增材料1</v>
      </c>
      <c r="D2410" s="224">
        <f>参数调整!$K$34*怪物掉落配置方案!$D4462</f>
        <v>0</v>
      </c>
    </row>
    <row r="2411" spans="1:4" ht="16.5" hidden="1" x14ac:dyDescent="0.3">
      <c r="A2411" s="10" t="str">
        <f>基本属性!$B$9&amp;"|"&amp;基本属性!$C$9</f>
        <v>70|0</v>
      </c>
      <c r="B2411" s="10" t="str">
        <f>参数调整!$J$34</f>
        <v>首领掉落</v>
      </c>
      <c r="C2411" s="8" t="str">
        <f>材料产出!$BH$2</f>
        <v>新增材料1</v>
      </c>
      <c r="D2411" s="224">
        <f>参数调整!$K$34*怪物掉落配置方案!$D4463</f>
        <v>0</v>
      </c>
    </row>
    <row r="2412" spans="1:4" ht="16.5" hidden="1" x14ac:dyDescent="0.3">
      <c r="A2412" s="10" t="str">
        <f>基本属性!$B$10&amp;"|"&amp;基本属性!$C$10</f>
        <v>75|0</v>
      </c>
      <c r="B2412" s="10" t="str">
        <f>参数调整!$J$34</f>
        <v>首领掉落</v>
      </c>
      <c r="C2412" s="8" t="str">
        <f>材料产出!$BH$2</f>
        <v>新增材料1</v>
      </c>
      <c r="D2412" s="224">
        <f>参数调整!$K$34*怪物掉落配置方案!$D4464</f>
        <v>0</v>
      </c>
    </row>
    <row r="2413" spans="1:4" ht="16.5" hidden="1" x14ac:dyDescent="0.3">
      <c r="A2413" s="10" t="str">
        <f>基本属性!$B$11&amp;"|"&amp;基本属性!$C$11</f>
        <v>80|1</v>
      </c>
      <c r="B2413" s="10" t="str">
        <f>参数调整!$J$34</f>
        <v>首领掉落</v>
      </c>
      <c r="C2413" s="8" t="str">
        <f>材料产出!$BH$2</f>
        <v>新增材料1</v>
      </c>
      <c r="D2413" s="224">
        <f>参数调整!$K$34*怪物掉落配置方案!$D4465</f>
        <v>0</v>
      </c>
    </row>
    <row r="2414" spans="1:4" ht="16.5" hidden="1" x14ac:dyDescent="0.3">
      <c r="A2414" s="10" t="str">
        <f>基本属性!$B$12&amp;"|"&amp;基本属性!$C$12</f>
        <v>90|2</v>
      </c>
      <c r="B2414" s="10" t="str">
        <f>参数调整!$J$34</f>
        <v>首领掉落</v>
      </c>
      <c r="C2414" s="8" t="str">
        <f>材料产出!$BH$2</f>
        <v>新增材料1</v>
      </c>
      <c r="D2414" s="224">
        <f>参数调整!$K$34*怪物掉落配置方案!$D4466</f>
        <v>0</v>
      </c>
    </row>
    <row r="2415" spans="1:4" ht="16.5" hidden="1" x14ac:dyDescent="0.3">
      <c r="A2415" s="10" t="str">
        <f>基本属性!$B$13&amp;"|"&amp;基本属性!$C$13</f>
        <v>100|3</v>
      </c>
      <c r="B2415" s="10" t="str">
        <f>参数调整!$J$34</f>
        <v>首领掉落</v>
      </c>
      <c r="C2415" s="8" t="str">
        <f>材料产出!$BH$2</f>
        <v>新增材料1</v>
      </c>
      <c r="D2415" s="224">
        <f>参数调整!$K$34*怪物掉落配置方案!$D4467</f>
        <v>0</v>
      </c>
    </row>
    <row r="2416" spans="1:4" ht="16.5" hidden="1" x14ac:dyDescent="0.3">
      <c r="A2416" s="10" t="str">
        <f>基本属性!$B$14&amp;"|"&amp;基本属性!$C$14</f>
        <v>105|4</v>
      </c>
      <c r="B2416" s="10" t="str">
        <f>参数调整!$J$34</f>
        <v>首领掉落</v>
      </c>
      <c r="C2416" s="8" t="str">
        <f>材料产出!$BH$2</f>
        <v>新增材料1</v>
      </c>
      <c r="D2416" s="224">
        <f>参数调整!$K$34*怪物掉落配置方案!$D4468</f>
        <v>0</v>
      </c>
    </row>
    <row r="2417" spans="1:4" ht="16.5" hidden="1" x14ac:dyDescent="0.3">
      <c r="A2417" s="10" t="str">
        <f>基本属性!$B$15&amp;"|"&amp;基本属性!$C$15</f>
        <v>110|5</v>
      </c>
      <c r="B2417" s="10" t="str">
        <f>参数调整!$J$34</f>
        <v>首领掉落</v>
      </c>
      <c r="C2417" s="8" t="str">
        <f>材料产出!$BH$2</f>
        <v>新增材料1</v>
      </c>
      <c r="D2417" s="224">
        <f>参数调整!$K$34*怪物掉落配置方案!$D4469</f>
        <v>0</v>
      </c>
    </row>
    <row r="2418" spans="1:4" ht="16.5" hidden="1" x14ac:dyDescent="0.3">
      <c r="A2418" s="10" t="str">
        <f>基本属性!$B$16&amp;"|"&amp;基本属性!$C$16</f>
        <v>120|6</v>
      </c>
      <c r="B2418" s="10" t="str">
        <f>参数调整!$J$34</f>
        <v>首领掉落</v>
      </c>
      <c r="C2418" s="8" t="str">
        <f>材料产出!$BH$2</f>
        <v>新增材料1</v>
      </c>
      <c r="D2418" s="224">
        <f>参数调整!$K$34*怪物掉落配置方案!$D4470</f>
        <v>0</v>
      </c>
    </row>
    <row r="2419" spans="1:4" ht="16.5" hidden="1" x14ac:dyDescent="0.3">
      <c r="A2419" s="10" t="str">
        <f>基本属性!$B$17&amp;"|"&amp;基本属性!$C$17</f>
        <v>135|7</v>
      </c>
      <c r="B2419" s="10" t="str">
        <f>参数调整!$J$34</f>
        <v>首领掉落</v>
      </c>
      <c r="C2419" s="8" t="str">
        <f>材料产出!$BH$2</f>
        <v>新增材料1</v>
      </c>
      <c r="D2419" s="224">
        <f>参数调整!$K$34*怪物掉落配置方案!$D4471</f>
        <v>0</v>
      </c>
    </row>
    <row r="2420" spans="1:4" ht="16.5" hidden="1" x14ac:dyDescent="0.3">
      <c r="A2420" s="10" t="str">
        <f>基本属性!$B$18&amp;"|"&amp;基本属性!$C$18</f>
        <v>155|8</v>
      </c>
      <c r="B2420" s="10" t="str">
        <f>参数调整!$J$34</f>
        <v>首领掉落</v>
      </c>
      <c r="C2420" s="8" t="str">
        <f>材料产出!$BH$2</f>
        <v>新增材料1</v>
      </c>
      <c r="D2420" s="224">
        <f>参数调整!$K$34*怪物掉落配置方案!$D4472</f>
        <v>0</v>
      </c>
    </row>
    <row r="2421" spans="1:4" ht="16.5" hidden="1" x14ac:dyDescent="0.3">
      <c r="A2421" s="10" t="str">
        <f>基本属性!$B$19&amp;"|"&amp;基本属性!$C$19</f>
        <v>190|9</v>
      </c>
      <c r="B2421" s="10" t="str">
        <f>参数调整!$J$34</f>
        <v>首领掉落</v>
      </c>
      <c r="C2421" s="8" t="str">
        <f>材料产出!$BH$2</f>
        <v>新增材料1</v>
      </c>
      <c r="D2421" s="224">
        <f>参数调整!$K$34*怪物掉落配置方案!$D4473</f>
        <v>0</v>
      </c>
    </row>
    <row r="2422" spans="1:4" ht="16.5" hidden="1" x14ac:dyDescent="0.3">
      <c r="A2422" s="10" t="str">
        <f>基本属性!$B$20&amp;"|"&amp;基本属性!$C$20</f>
        <v>200|10</v>
      </c>
      <c r="B2422" s="10" t="str">
        <f>参数调整!$J$34</f>
        <v>首领掉落</v>
      </c>
      <c r="C2422" s="8" t="str">
        <f>材料产出!$BH$2</f>
        <v>新增材料1</v>
      </c>
      <c r="D2422" s="224">
        <f>参数调整!$K$34*怪物掉落配置方案!$D4474</f>
        <v>0</v>
      </c>
    </row>
    <row r="2423" spans="1:4" ht="16.5" hidden="1" x14ac:dyDescent="0.3">
      <c r="A2423" s="10" t="str">
        <f>基本属性!$B$21&amp;"|"&amp;基本属性!$C$21</f>
        <v>200|11</v>
      </c>
      <c r="B2423" s="10" t="str">
        <f>参数调整!$J$34</f>
        <v>首领掉落</v>
      </c>
      <c r="C2423" s="8" t="str">
        <f>材料产出!$BH$2</f>
        <v>新增材料1</v>
      </c>
      <c r="D2423" s="224">
        <f>参数调整!$K$34*怪物掉落配置方案!$D4475</f>
        <v>0</v>
      </c>
    </row>
    <row r="2424" spans="1:4" ht="16.5" hidden="1" x14ac:dyDescent="0.3">
      <c r="A2424" s="10" t="str">
        <f>基本属性!$B$22&amp;"|"&amp;基本属性!$C$22</f>
        <v>210|12</v>
      </c>
      <c r="B2424" s="10" t="str">
        <f>参数调整!$J$34</f>
        <v>首领掉落</v>
      </c>
      <c r="C2424" s="8" t="str">
        <f>材料产出!$BH$2</f>
        <v>新增材料1</v>
      </c>
      <c r="D2424" s="224">
        <f>参数调整!$K$34*怪物掉落配置方案!$D4476</f>
        <v>0</v>
      </c>
    </row>
    <row r="2425" spans="1:4" ht="16.5" hidden="1" x14ac:dyDescent="0.3">
      <c r="A2425" s="10" t="str">
        <f>基本属性!$B$23&amp;"|"&amp;基本属性!$C$23</f>
        <v>210|13</v>
      </c>
      <c r="B2425" s="10" t="str">
        <f>参数调整!$J$34</f>
        <v>首领掉落</v>
      </c>
      <c r="C2425" s="8" t="str">
        <f>材料产出!$BH$2</f>
        <v>新增材料1</v>
      </c>
      <c r="D2425" s="224">
        <f>参数调整!$K$34*怪物掉落配置方案!$D4477</f>
        <v>0</v>
      </c>
    </row>
    <row r="2426" spans="1:4" ht="16.5" hidden="1" x14ac:dyDescent="0.3">
      <c r="A2426" s="10" t="str">
        <f>基本属性!$B$24&amp;"|"&amp;基本属性!$C$24</f>
        <v>220|14</v>
      </c>
      <c r="B2426" s="10" t="str">
        <f>参数调整!$J$34</f>
        <v>首领掉落</v>
      </c>
      <c r="C2426" s="8" t="str">
        <f>材料产出!$BH$2</f>
        <v>新增材料1</v>
      </c>
      <c r="D2426" s="224">
        <f>参数调整!$K$34*怪物掉落配置方案!$D4478</f>
        <v>0</v>
      </c>
    </row>
    <row r="2427" spans="1:4" ht="16.5" hidden="1" x14ac:dyDescent="0.3">
      <c r="A2427" s="10" t="str">
        <f>基本属性!$B$25&amp;"|"&amp;基本属性!$C$25</f>
        <v>220|15</v>
      </c>
      <c r="B2427" s="10" t="str">
        <f>参数调整!$J$34</f>
        <v>首领掉落</v>
      </c>
      <c r="C2427" s="8" t="str">
        <f>材料产出!$BH$2</f>
        <v>新增材料1</v>
      </c>
      <c r="D2427" s="224">
        <f>参数调整!$K$34*怪物掉落配置方案!$D4479</f>
        <v>0</v>
      </c>
    </row>
    <row r="2428" spans="1:4" ht="16.5" hidden="1" x14ac:dyDescent="0.3">
      <c r="A2428" s="10" t="str">
        <f>基本属性!$B$26&amp;"|"&amp;基本属性!$C$26</f>
        <v>230|16</v>
      </c>
      <c r="B2428" s="10" t="str">
        <f>参数调整!$J$34</f>
        <v>首领掉落</v>
      </c>
      <c r="C2428" s="8" t="str">
        <f>材料产出!$BH$2</f>
        <v>新增材料1</v>
      </c>
      <c r="D2428" s="224">
        <f>参数调整!$K$34*怪物掉落配置方案!$D4480</f>
        <v>0</v>
      </c>
    </row>
    <row r="2429" spans="1:4" ht="16.5" hidden="1" x14ac:dyDescent="0.3">
      <c r="A2429" s="10" t="str">
        <f>基本属性!$B$27&amp;"|"&amp;基本属性!$C$27</f>
        <v>230|17</v>
      </c>
      <c r="B2429" s="10" t="str">
        <f>参数调整!$J$34</f>
        <v>首领掉落</v>
      </c>
      <c r="C2429" s="8" t="str">
        <f>材料产出!$BH$2</f>
        <v>新增材料1</v>
      </c>
      <c r="D2429" s="224">
        <f>参数调整!$K$34*怪物掉落配置方案!$D4481</f>
        <v>0</v>
      </c>
    </row>
    <row r="2430" spans="1:4" ht="16.5" hidden="1" x14ac:dyDescent="0.3">
      <c r="A2430" s="10" t="str">
        <f>基本属性!$B$28&amp;"|"&amp;基本属性!$C$28</f>
        <v>240|18</v>
      </c>
      <c r="B2430" s="10" t="str">
        <f>参数调整!$J$34</f>
        <v>首领掉落</v>
      </c>
      <c r="C2430" s="8" t="str">
        <f>材料产出!$BH$2</f>
        <v>新增材料1</v>
      </c>
      <c r="D2430" s="224">
        <f>参数调整!$K$34*怪物掉落配置方案!$D4482</f>
        <v>0</v>
      </c>
    </row>
    <row r="2431" spans="1:4" ht="16.5" hidden="1" x14ac:dyDescent="0.3">
      <c r="A2431" s="10" t="str">
        <f>基本属性!$B$29&amp;"|"&amp;基本属性!$C$29</f>
        <v>240|19</v>
      </c>
      <c r="B2431" s="10" t="str">
        <f>参数调整!$J$34</f>
        <v>首领掉落</v>
      </c>
      <c r="C2431" s="8" t="str">
        <f>材料产出!$BH$2</f>
        <v>新增材料1</v>
      </c>
      <c r="D2431" s="224">
        <f>参数调整!$K$34*怪物掉落配置方案!$D4483</f>
        <v>0</v>
      </c>
    </row>
    <row r="2432" spans="1:4" ht="16.5" hidden="1" x14ac:dyDescent="0.3">
      <c r="A2432" s="10" t="str">
        <f>基本属性!$B$30&amp;"|"&amp;基本属性!$C$30</f>
        <v>250|20</v>
      </c>
      <c r="B2432" s="10" t="str">
        <f>参数调整!$J$34</f>
        <v>首领掉落</v>
      </c>
      <c r="C2432" s="8" t="str">
        <f>材料产出!$BH$2</f>
        <v>新增材料1</v>
      </c>
      <c r="D2432" s="224">
        <f>参数调整!$K$34*怪物掉落配置方案!$D4484</f>
        <v>0</v>
      </c>
    </row>
    <row r="2433" spans="1:4" ht="16.5" hidden="1" x14ac:dyDescent="0.3">
      <c r="A2433" s="10" t="str">
        <f>基本属性!$B$4&amp;"|"&amp;基本属性!$C$4</f>
        <v>35|0</v>
      </c>
      <c r="B2433" s="10" t="str">
        <f>参数调整!$J$34</f>
        <v>首领掉落</v>
      </c>
      <c r="C2433" s="8" t="str">
        <f>材料产出!$AF$2</f>
        <v>仙品升星石</v>
      </c>
      <c r="D2433" s="224">
        <f>参数调整!$K$34*怪物掉落配置方案!$D4485</f>
        <v>0.22682521309060297</v>
      </c>
    </row>
    <row r="2434" spans="1:4" ht="16.5" hidden="1" x14ac:dyDescent="0.3">
      <c r="A2434" s="10" t="str">
        <f>基本属性!$B$5&amp;"|"&amp;基本属性!$C$5</f>
        <v>40|0</v>
      </c>
      <c r="B2434" s="10" t="str">
        <f>参数调整!$J$34</f>
        <v>首领掉落</v>
      </c>
      <c r="C2434" s="8" t="str">
        <f>材料产出!$AF$2</f>
        <v>仙品升星石</v>
      </c>
      <c r="D2434" s="224">
        <f>参数调整!$K$34*怪物掉落配置方案!$D4486</f>
        <v>0.28707566031779447</v>
      </c>
    </row>
    <row r="2435" spans="1:4" ht="16.5" hidden="1" x14ac:dyDescent="0.3">
      <c r="A2435" s="10" t="str">
        <f>基本属性!$B$6&amp;"|"&amp;基本属性!$C$6</f>
        <v>50|0</v>
      </c>
      <c r="B2435" s="10" t="str">
        <f>参数调整!$J$34</f>
        <v>首领掉落</v>
      </c>
      <c r="C2435" s="8" t="str">
        <f>材料产出!$AF$2</f>
        <v>仙品升星石</v>
      </c>
      <c r="D2435" s="224">
        <f>参数调整!$K$34*怪物掉落配置方案!$D4487</f>
        <v>0.35441439545406717</v>
      </c>
    </row>
    <row r="2436" spans="1:4" ht="16.5" hidden="1" x14ac:dyDescent="0.3">
      <c r="A2436" s="10" t="str">
        <f>基本属性!$B$7&amp;"|"&amp;基本属性!$C$7</f>
        <v>60|0</v>
      </c>
      <c r="B2436" s="10" t="str">
        <f>参数调整!$J$34</f>
        <v>首领掉落</v>
      </c>
      <c r="C2436" s="8" t="str">
        <f>材料产出!$AF$2</f>
        <v>仙品升星石</v>
      </c>
      <c r="D2436" s="224">
        <f>参数调整!$K$34*怪物掉落配置方案!$D4488</f>
        <v>0.42884141849942126</v>
      </c>
    </row>
    <row r="2437" spans="1:4" ht="16.5" hidden="1" x14ac:dyDescent="0.3">
      <c r="A2437" s="10" t="str">
        <f>基本属性!$B$8&amp;"|"&amp;基本属性!$C$8</f>
        <v>65|0</v>
      </c>
      <c r="B2437" s="10" t="str">
        <f>参数调整!$J$34</f>
        <v>首领掉落</v>
      </c>
      <c r="C2437" s="8" t="str">
        <f>材料产出!$AF$2</f>
        <v>仙品升星石</v>
      </c>
      <c r="D2437" s="224">
        <f>参数调整!$K$34*怪物掉落配置方案!$D4489</f>
        <v>0.51035672945385668</v>
      </c>
    </row>
    <row r="2438" spans="1:4" ht="16.5" hidden="1" x14ac:dyDescent="0.3">
      <c r="A2438" s="10" t="str">
        <f>基本属性!$B$9&amp;"|"&amp;基本属性!$C$9</f>
        <v>70|0</v>
      </c>
      <c r="B2438" s="10" t="str">
        <f>参数调整!$J$34</f>
        <v>首领掉落</v>
      </c>
      <c r="C2438" s="8" t="str">
        <f>材料产出!$AF$2</f>
        <v>仙品升星石</v>
      </c>
      <c r="D2438" s="224">
        <f>参数调整!$K$34*怪物掉落配置方案!$D4490</f>
        <v>0.59896032831737345</v>
      </c>
    </row>
    <row r="2439" spans="1:4" ht="16.5" hidden="1" x14ac:dyDescent="0.3">
      <c r="A2439" s="10" t="str">
        <f>基本属性!$B$10&amp;"|"&amp;基本属性!$C$10</f>
        <v>75|0</v>
      </c>
      <c r="B2439" s="10" t="str">
        <f>参数调整!$J$34</f>
        <v>首领掉落</v>
      </c>
      <c r="C2439" s="8" t="str">
        <f>材料产出!$AF$2</f>
        <v>仙品升星石</v>
      </c>
      <c r="D2439" s="224">
        <f>参数调整!$K$34*怪物掉落配置方案!$D4491</f>
        <v>0.69465221508997155</v>
      </c>
    </row>
    <row r="2440" spans="1:4" ht="16.5" hidden="1" x14ac:dyDescent="0.3">
      <c r="A2440" s="10" t="str">
        <f>基本属性!$B$11&amp;"|"&amp;基本属性!$C$11</f>
        <v>80|1</v>
      </c>
      <c r="B2440" s="10" t="str">
        <f>参数调整!$J$34</f>
        <v>首领掉落</v>
      </c>
      <c r="C2440" s="8" t="str">
        <f>材料产出!$AF$2</f>
        <v>仙品升星石</v>
      </c>
      <c r="D2440" s="224">
        <f>参数调整!$K$34*怪物掉落配置方案!$D4492</f>
        <v>0.7974323897716511</v>
      </c>
    </row>
    <row r="2441" spans="1:4" ht="16.5" hidden="1" x14ac:dyDescent="0.3">
      <c r="A2441" s="10" t="str">
        <f>基本属性!$B$12&amp;"|"&amp;基本属性!$C$12</f>
        <v>90|2</v>
      </c>
      <c r="B2441" s="10" t="str">
        <f>参数调整!$J$34</f>
        <v>首领掉落</v>
      </c>
      <c r="C2441" s="8" t="str">
        <f>材料产出!$AF$2</f>
        <v>仙品升星石</v>
      </c>
      <c r="D2441" s="224">
        <f>参数调整!$K$34*怪物掉落配置方案!$D4493</f>
        <v>0.9073008523624122</v>
      </c>
    </row>
    <row r="2442" spans="1:4" ht="16.5" hidden="1" x14ac:dyDescent="0.3">
      <c r="A2442" s="10" t="str">
        <f>基本属性!$B$13&amp;"|"&amp;基本属性!$C$13</f>
        <v>100|3</v>
      </c>
      <c r="B2442" s="10" t="str">
        <f>参数调整!$J$34</f>
        <v>首领掉落</v>
      </c>
      <c r="C2442" s="8" t="str">
        <f>材料产出!$AF$2</f>
        <v>仙品升星石</v>
      </c>
      <c r="D2442" s="224">
        <f>参数调整!$K$34*怪物掉落配置方案!$D4494</f>
        <v>1.1483026412711779</v>
      </c>
    </row>
    <row r="2443" spans="1:4" ht="16.5" hidden="1" x14ac:dyDescent="0.3">
      <c r="A2443" s="10" t="str">
        <f>基本属性!$B$14&amp;"|"&amp;基本属性!$C$14</f>
        <v>105|4</v>
      </c>
      <c r="B2443" s="10" t="str">
        <f>参数调整!$J$34</f>
        <v>首领掉落</v>
      </c>
      <c r="C2443" s="8" t="str">
        <f>材料产出!$AF$2</f>
        <v>仙品升星石</v>
      </c>
      <c r="D2443" s="224">
        <f>参数调整!$K$34*怪物掉落配置方案!$D4495</f>
        <v>1.4176575818162684</v>
      </c>
    </row>
    <row r="2444" spans="1:4" ht="16.5" hidden="1" x14ac:dyDescent="0.3">
      <c r="A2444" s="10" t="str">
        <f>基本属性!$B$15&amp;"|"&amp;基本属性!$C$15</f>
        <v>110|5</v>
      </c>
      <c r="B2444" s="10" t="str">
        <f>参数调整!$J$34</f>
        <v>首领掉落</v>
      </c>
      <c r="C2444" s="8" t="str">
        <f>材料产出!$AF$2</f>
        <v>仙品升星石</v>
      </c>
      <c r="D2444" s="224">
        <f>参数调整!$K$34*怪物掉落配置方案!$D4496</f>
        <v>1.715365673997685</v>
      </c>
    </row>
    <row r="2445" spans="1:4" ht="16.5" hidden="1" x14ac:dyDescent="0.3">
      <c r="A2445" s="10" t="str">
        <f>基本属性!$B$16&amp;"|"&amp;基本属性!$C$16</f>
        <v>120|6</v>
      </c>
      <c r="B2445" s="10" t="str">
        <f>参数调整!$J$34</f>
        <v>首领掉落</v>
      </c>
      <c r="C2445" s="8" t="str">
        <f>材料产出!$AF$2</f>
        <v>仙品升星石</v>
      </c>
      <c r="D2445" s="224">
        <f>参数调整!$K$34*怪物掉落配置方案!$D4497</f>
        <v>2.2150899715879198</v>
      </c>
    </row>
    <row r="2446" spans="1:4" ht="16.5" hidden="1" x14ac:dyDescent="0.3">
      <c r="A2446" s="10" t="str">
        <f>基本属性!$B$17&amp;"|"&amp;基本属性!$C$17</f>
        <v>135|7</v>
      </c>
      <c r="B2446" s="10" t="str">
        <f>参数调整!$J$34</f>
        <v>首领掉落</v>
      </c>
      <c r="C2446" s="8" t="str">
        <f>材料产出!$AF$2</f>
        <v>仙品升星石</v>
      </c>
      <c r="D2446" s="224">
        <f>参数调整!$K$34*怪物掉落配置方案!$D4498</f>
        <v>3.1897295590866044</v>
      </c>
    </row>
    <row r="2447" spans="1:4" ht="16.5" hidden="1" x14ac:dyDescent="0.3">
      <c r="A2447" s="10" t="str">
        <f>基本属性!$B$18&amp;"|"&amp;基本属性!$C$18</f>
        <v>155|8</v>
      </c>
      <c r="B2447" s="10" t="str">
        <f>参数调整!$J$34</f>
        <v>首领掉落</v>
      </c>
      <c r="C2447" s="8" t="str">
        <f>材料产出!$AF$2</f>
        <v>仙品升星石</v>
      </c>
      <c r="D2447" s="224">
        <f>参数调整!$K$34*怪物掉落配置方案!$D4499</f>
        <v>4.3415763443123234</v>
      </c>
    </row>
    <row r="2448" spans="1:4" ht="16.5" hidden="1" x14ac:dyDescent="0.3">
      <c r="A2448" s="10" t="str">
        <f>基本属性!$B$19&amp;"|"&amp;基本属性!$C$19</f>
        <v>190|9</v>
      </c>
      <c r="B2448" s="10" t="str">
        <f>参数调整!$J$34</f>
        <v>首领掉落</v>
      </c>
      <c r="C2448" s="8" t="str">
        <f>材料产出!$AF$2</f>
        <v>仙品升星石</v>
      </c>
      <c r="D2448" s="224">
        <f>参数调整!$K$34*怪物掉落配置方案!$D4500</f>
        <v>4.8519330737661805</v>
      </c>
    </row>
    <row r="2449" spans="1:4" ht="16.5" hidden="1" x14ac:dyDescent="0.3">
      <c r="A2449" s="10" t="str">
        <f>基本属性!$B$20&amp;"|"&amp;基本属性!$C$20</f>
        <v>200|10</v>
      </c>
      <c r="B2449" s="10" t="str">
        <f>参数调整!$J$34</f>
        <v>首领掉落</v>
      </c>
      <c r="C2449" s="8" t="str">
        <f>材料产出!$AF$2</f>
        <v>仙品升星石</v>
      </c>
      <c r="D2449" s="224">
        <f>参数调整!$K$34*怪物掉落配置方案!$D4501</f>
        <v>5.6706303272650738</v>
      </c>
    </row>
    <row r="2450" spans="1:4" ht="16.5" hidden="1" x14ac:dyDescent="0.3">
      <c r="A2450" s="10" t="str">
        <f>基本属性!$B$21&amp;"|"&amp;基本属性!$C$21</f>
        <v>200|11</v>
      </c>
      <c r="B2450" s="10" t="str">
        <f>参数调整!$J$34</f>
        <v>首领掉落</v>
      </c>
      <c r="C2450" s="8" t="str">
        <f>材料产出!$AF$2</f>
        <v>仙品升星石</v>
      </c>
      <c r="D2450" s="224">
        <f>参数调整!$K$34*怪物掉落配置方案!$D4502</f>
        <v>6.5531221719457005</v>
      </c>
    </row>
    <row r="2451" spans="1:4" ht="16.5" hidden="1" x14ac:dyDescent="0.3">
      <c r="A2451" s="10" t="str">
        <f>基本属性!$B$22&amp;"|"&amp;基本属性!$C$22</f>
        <v>210|12</v>
      </c>
      <c r="B2451" s="10" t="str">
        <f>参数调整!$J$34</f>
        <v>首领掉落</v>
      </c>
      <c r="C2451" s="8" t="str">
        <f>材料产出!$AF$2</f>
        <v>仙品升星石</v>
      </c>
      <c r="D2451" s="224">
        <f>参数调整!$K$34*怪物掉落配置方案!$D4503</f>
        <v>7.4994086078080597</v>
      </c>
    </row>
    <row r="2452" spans="1:4" ht="16.5" hidden="1" x14ac:dyDescent="0.3">
      <c r="A2452" s="10" t="str">
        <f>基本属性!$B$23&amp;"|"&amp;基本属性!$C$23</f>
        <v>210|13</v>
      </c>
      <c r="B2452" s="10" t="str">
        <f>参数调整!$J$34</f>
        <v>首领掉落</v>
      </c>
      <c r="C2452" s="8" t="str">
        <f>材料产出!$AF$2</f>
        <v>仙品升星石</v>
      </c>
      <c r="D2452" s="224">
        <f>参数调整!$K$34*怪物掉落配置方案!$D4504</f>
        <v>8.5094896348521516</v>
      </c>
    </row>
    <row r="2453" spans="1:4" ht="16.5" hidden="1" x14ac:dyDescent="0.3">
      <c r="A2453" s="10" t="str">
        <f>基本属性!$B$24&amp;"|"&amp;基本属性!$C$24</f>
        <v>220|14</v>
      </c>
      <c r="B2453" s="10" t="str">
        <f>参数调整!$J$34</f>
        <v>首领掉落</v>
      </c>
      <c r="C2453" s="8" t="str">
        <f>材料产出!$AF$2</f>
        <v>仙品升星石</v>
      </c>
      <c r="D2453" s="224">
        <f>参数调整!$K$34*怪物掉落配置方案!$D4505</f>
        <v>9.5833652530779769</v>
      </c>
    </row>
    <row r="2454" spans="1:4" ht="16.5" hidden="1" x14ac:dyDescent="0.3">
      <c r="A2454" s="10" t="str">
        <f>基本属性!$B$25&amp;"|"&amp;基本属性!$C$25</f>
        <v>220|15</v>
      </c>
      <c r="B2454" s="10" t="str">
        <f>参数调整!$J$34</f>
        <v>首领掉落</v>
      </c>
      <c r="C2454" s="8" t="str">
        <f>材料产出!$AF$2</f>
        <v>仙品升星石</v>
      </c>
      <c r="D2454" s="224">
        <f>参数调整!$K$34*怪物掉落配置方案!$D4506</f>
        <v>10.721035462485528</v>
      </c>
    </row>
    <row r="2455" spans="1:4" ht="16.5" hidden="1" x14ac:dyDescent="0.3">
      <c r="A2455" s="10" t="str">
        <f>基本属性!$B$26&amp;"|"&amp;基本属性!$C$26</f>
        <v>230|16</v>
      </c>
      <c r="B2455" s="10" t="str">
        <f>参数调整!$J$34</f>
        <v>首领掉落</v>
      </c>
      <c r="C2455" s="8" t="str">
        <f>材料产出!$AF$2</f>
        <v>仙品升星石</v>
      </c>
      <c r="D2455" s="224">
        <f>参数调整!$K$34*怪物掉落配置方案!$D4507</f>
        <v>11.922500263074818</v>
      </c>
    </row>
    <row r="2456" spans="1:4" ht="16.5" hidden="1" x14ac:dyDescent="0.3">
      <c r="A2456" s="10" t="str">
        <f>基本属性!$B$27&amp;"|"&amp;基本属性!$C$27</f>
        <v>230|17</v>
      </c>
      <c r="B2456" s="10" t="str">
        <f>参数调整!$J$34</f>
        <v>首领掉落</v>
      </c>
      <c r="C2456" s="8" t="str">
        <f>材料产出!$AF$2</f>
        <v>仙品升星石</v>
      </c>
      <c r="D2456" s="224">
        <f>参数调整!$K$34*怪物掉落配置方案!$D4508</f>
        <v>13.187759654845838</v>
      </c>
    </row>
    <row r="2457" spans="1:4" ht="16.5" hidden="1" x14ac:dyDescent="0.3">
      <c r="A2457" s="10" t="str">
        <f>基本属性!$B$28&amp;"|"&amp;基本属性!$C$28</f>
        <v>240|18</v>
      </c>
      <c r="B2457" s="10" t="str">
        <f>参数调整!$J$34</f>
        <v>首领掉落</v>
      </c>
      <c r="C2457" s="8" t="str">
        <f>材料产出!$AF$2</f>
        <v>仙品升星石</v>
      </c>
      <c r="D2457" s="224">
        <f>参数调整!$K$34*怪物掉落配置方案!$D4509</f>
        <v>14.516813637798592</v>
      </c>
    </row>
    <row r="2458" spans="1:4" ht="16.5" hidden="1" x14ac:dyDescent="0.3">
      <c r="A2458" s="10" t="str">
        <f>基本属性!$B$29&amp;"|"&amp;基本属性!$C$29</f>
        <v>240|19</v>
      </c>
      <c r="B2458" s="10" t="str">
        <f>参数调整!$J$34</f>
        <v>首领掉落</v>
      </c>
      <c r="C2458" s="8" t="str">
        <f>材料产出!$AF$2</f>
        <v>仙品升星石</v>
      </c>
      <c r="D2458" s="224">
        <f>参数调整!$K$34*怪物掉落配置方案!$D4510</f>
        <v>15.909662211933076</v>
      </c>
    </row>
    <row r="2459" spans="1:4" ht="16.5" hidden="1" x14ac:dyDescent="0.3">
      <c r="A2459" s="10" t="str">
        <f>基本属性!$B$30&amp;"|"&amp;基本属性!$C$30</f>
        <v>250|20</v>
      </c>
      <c r="B2459" s="10" t="str">
        <f>参数调整!$J$34</f>
        <v>首领掉落</v>
      </c>
      <c r="C2459" s="8" t="str">
        <f>材料产出!$AF$2</f>
        <v>仙品升星石</v>
      </c>
      <c r="D2459" s="224">
        <f>参数调整!$K$34*怪物掉落配置方案!$D4511</f>
        <v>17.36630537724929</v>
      </c>
    </row>
    <row r="2460" spans="1:4" ht="16.5" hidden="1" x14ac:dyDescent="0.3">
      <c r="A2460" s="10" t="str">
        <f>基本属性!$B$4&amp;"|"&amp;基本属性!$C$4</f>
        <v>35|0</v>
      </c>
      <c r="B2460" s="10" t="str">
        <f>参数调整!$J$34</f>
        <v>首领掉落</v>
      </c>
      <c r="C2460" s="8" t="str">
        <f>材料产出!$T$2</f>
        <v>洗髓丹</v>
      </c>
      <c r="D2460" s="224">
        <f>参数调整!$K$34*怪物掉落配置方案!$D4512</f>
        <v>5.9074343962982494E-2</v>
      </c>
    </row>
    <row r="2461" spans="1:4" ht="16.5" hidden="1" x14ac:dyDescent="0.3">
      <c r="A2461" s="10" t="str">
        <f>基本属性!$B$5&amp;"|"&amp;基本属性!$C$5</f>
        <v>40|0</v>
      </c>
      <c r="B2461" s="10" t="str">
        <f>参数调整!$J$34</f>
        <v>首领掉落</v>
      </c>
      <c r="C2461" s="8" t="str">
        <f>材料产出!$T$2</f>
        <v>洗髓丹</v>
      </c>
      <c r="D2461" s="224">
        <f>参数调整!$K$34*怪物掉落配置方案!$D4513</f>
        <v>7.4765966578149726E-2</v>
      </c>
    </row>
    <row r="2462" spans="1:4" ht="16.5" hidden="1" x14ac:dyDescent="0.3">
      <c r="A2462" s="10" t="str">
        <f>基本属性!$B$6&amp;"|"&amp;基本属性!$C$6</f>
        <v>50|0</v>
      </c>
      <c r="B2462" s="10" t="str">
        <f>参数调整!$J$34</f>
        <v>首领掉落</v>
      </c>
      <c r="C2462" s="8" t="str">
        <f>材料产出!$T$2</f>
        <v>洗髓丹</v>
      </c>
      <c r="D2462" s="224">
        <f>参数调整!$K$34*怪物掉落配置方案!$D4514</f>
        <v>9.230366244216015E-2</v>
      </c>
    </row>
    <row r="2463" spans="1:4" ht="16.5" hidden="1" x14ac:dyDescent="0.3">
      <c r="A2463" s="10" t="str">
        <f>基本属性!$B$7&amp;"|"&amp;基本属性!$C$7</f>
        <v>60|0</v>
      </c>
      <c r="B2463" s="10" t="str">
        <f>参数调整!$J$34</f>
        <v>首领掉落</v>
      </c>
      <c r="C2463" s="8" t="str">
        <f>材料产出!$T$2</f>
        <v>洗髓丹</v>
      </c>
      <c r="D2463" s="224">
        <f>参数调整!$K$34*怪物掉落配置方案!$D4515</f>
        <v>0.1116874315550138</v>
      </c>
    </row>
    <row r="2464" spans="1:4" ht="16.5" hidden="1" x14ac:dyDescent="0.3">
      <c r="A2464" s="10" t="str">
        <f>基本属性!$B$8&amp;"|"&amp;基本属性!$C$8</f>
        <v>65|0</v>
      </c>
      <c r="B2464" s="10" t="str">
        <f>参数调整!$J$34</f>
        <v>首领掉落</v>
      </c>
      <c r="C2464" s="8" t="str">
        <f>材料产出!$T$2</f>
        <v>洗髓丹</v>
      </c>
      <c r="D2464" s="224">
        <f>参数调整!$K$34*怪物掉落配置方案!$D4516</f>
        <v>0.13291727391671063</v>
      </c>
    </row>
    <row r="2465" spans="1:4" ht="16.5" hidden="1" x14ac:dyDescent="0.3">
      <c r="A2465" s="10" t="str">
        <f>基本属性!$B$9&amp;"|"&amp;基本属性!$C$9</f>
        <v>70|0</v>
      </c>
      <c r="B2465" s="10" t="str">
        <f>参数调整!$J$34</f>
        <v>首领掉落</v>
      </c>
      <c r="C2465" s="8" t="str">
        <f>材料产出!$T$2</f>
        <v>洗髓丹</v>
      </c>
      <c r="D2465" s="224">
        <f>参数调整!$K$34*怪物掉落配置方案!$D4517</f>
        <v>0.15599318952725066</v>
      </c>
    </row>
    <row r="2466" spans="1:4" ht="16.5" hidden="1" x14ac:dyDescent="0.3">
      <c r="A2466" s="10" t="str">
        <f>基本属性!$B$10&amp;"|"&amp;基本属性!$C$10</f>
        <v>75|0</v>
      </c>
      <c r="B2466" s="10" t="str">
        <f>参数调整!$J$34</f>
        <v>首领掉落</v>
      </c>
      <c r="C2466" s="8" t="str">
        <f>材料产出!$T$2</f>
        <v>洗髓丹</v>
      </c>
      <c r="D2466" s="224">
        <f>参数调整!$K$34*怪物掉落配置方案!$D4518</f>
        <v>0.18091517838663387</v>
      </c>
    </row>
    <row r="2467" spans="1:4" ht="16.5" hidden="1" x14ac:dyDescent="0.3">
      <c r="A2467" s="10" t="str">
        <f>基本属性!$B$11&amp;"|"&amp;基本属性!$C$11</f>
        <v>80|1</v>
      </c>
      <c r="B2467" s="10" t="str">
        <f>参数调整!$J$34</f>
        <v>首领掉落</v>
      </c>
      <c r="C2467" s="8" t="str">
        <f>材料产出!$T$2</f>
        <v>洗髓丹</v>
      </c>
      <c r="D2467" s="224">
        <f>参数调整!$K$34*怪物掉落配置方案!$D4519</f>
        <v>0.20768324049486037</v>
      </c>
    </row>
    <row r="2468" spans="1:4" ht="16.5" hidden="1" x14ac:dyDescent="0.3">
      <c r="A2468" s="10" t="str">
        <f>基本属性!$B$12&amp;"|"&amp;基本属性!$C$12</f>
        <v>90|2</v>
      </c>
      <c r="B2468" s="10" t="str">
        <f>参数调整!$J$34</f>
        <v>首领掉落</v>
      </c>
      <c r="C2468" s="8" t="str">
        <f>材料产出!$T$2</f>
        <v>洗髓丹</v>
      </c>
      <c r="D2468" s="224">
        <f>参数调整!$K$34*怪物掉落配置方案!$D4520</f>
        <v>0.23629737585193003</v>
      </c>
    </row>
    <row r="2469" spans="1:4" ht="16.5" hidden="1" x14ac:dyDescent="0.3">
      <c r="A2469" s="10" t="str">
        <f>基本属性!$B$13&amp;"|"&amp;基本属性!$C$13</f>
        <v>100|3</v>
      </c>
      <c r="B2469" s="10" t="str">
        <f>参数调整!$J$34</f>
        <v>首领掉落</v>
      </c>
      <c r="C2469" s="8" t="str">
        <f>材料产出!$T$2</f>
        <v>洗髓丹</v>
      </c>
      <c r="D2469" s="224">
        <f>参数调整!$K$34*怪物掉落配置方案!$D4521</f>
        <v>0.29906386631259896</v>
      </c>
    </row>
    <row r="2470" spans="1:4" ht="16.5" hidden="1" x14ac:dyDescent="0.3">
      <c r="A2470" s="10" t="str">
        <f>基本属性!$B$14&amp;"|"&amp;基本属性!$C$14</f>
        <v>105|4</v>
      </c>
      <c r="B2470" s="10" t="str">
        <f>参数调整!$J$34</f>
        <v>首领掉落</v>
      </c>
      <c r="C2470" s="8" t="str">
        <f>材料产出!$T$2</f>
        <v>洗髓丹</v>
      </c>
      <c r="D2470" s="224">
        <f>参数调整!$K$34*怪物掉落配置方案!$D4522</f>
        <v>0.3692146497686406</v>
      </c>
    </row>
    <row r="2471" spans="1:4" ht="16.5" hidden="1" x14ac:dyDescent="0.3">
      <c r="A2471" s="10" t="str">
        <f>基本属性!$B$15&amp;"|"&amp;基本属性!$C$15</f>
        <v>110|5</v>
      </c>
      <c r="B2471" s="10" t="str">
        <f>参数调整!$J$34</f>
        <v>首领掉落</v>
      </c>
      <c r="C2471" s="8" t="str">
        <f>材料产出!$T$2</f>
        <v>洗髓丹</v>
      </c>
      <c r="D2471" s="224">
        <f>参数调整!$K$34*怪物掉落配置方案!$D4523</f>
        <v>0.44674972622005521</v>
      </c>
    </row>
    <row r="2472" spans="1:4" ht="16.5" hidden="1" x14ac:dyDescent="0.3">
      <c r="A2472" s="10" t="str">
        <f>基本属性!$B$16&amp;"|"&amp;基本属性!$C$16</f>
        <v>120|6</v>
      </c>
      <c r="B2472" s="10" t="str">
        <f>参数调整!$J$34</f>
        <v>首领掉落</v>
      </c>
      <c r="C2472" s="8" t="str">
        <f>材料产出!$T$2</f>
        <v>洗髓丹</v>
      </c>
      <c r="D2472" s="224">
        <f>参数调整!$K$34*怪物掉落配置方案!$D4524</f>
        <v>0.57689789026350091</v>
      </c>
    </row>
    <row r="2473" spans="1:4" ht="16.5" hidden="1" x14ac:dyDescent="0.3">
      <c r="A2473" s="10" t="str">
        <f>基本属性!$B$17&amp;"|"&amp;基本属性!$C$17</f>
        <v>135|7</v>
      </c>
      <c r="B2473" s="10" t="str">
        <f>参数调整!$J$34</f>
        <v>首领掉落</v>
      </c>
      <c r="C2473" s="8" t="str">
        <f>材料产出!$T$2</f>
        <v>洗髓丹</v>
      </c>
      <c r="D2473" s="224">
        <f>参数调整!$K$34*怪物掉落配置方案!$D4525</f>
        <v>0.83073296197944146</v>
      </c>
    </row>
    <row r="2474" spans="1:4" ht="16.5" hidden="1" x14ac:dyDescent="0.3">
      <c r="A2474" s="10" t="str">
        <f>基本属性!$B$18&amp;"|"&amp;基本属性!$C$18</f>
        <v>155|8</v>
      </c>
      <c r="B2474" s="10" t="str">
        <f>参数调整!$J$34</f>
        <v>首领掉落</v>
      </c>
      <c r="C2474" s="8" t="str">
        <f>材料产出!$T$2</f>
        <v>洗髓丹</v>
      </c>
      <c r="D2474" s="224">
        <f>参数调整!$K$34*怪物掉落配置方案!$D4526</f>
        <v>1.130719864916462</v>
      </c>
    </row>
    <row r="2475" spans="1:4" ht="16.5" hidden="1" x14ac:dyDescent="0.3">
      <c r="A2475" s="10" t="str">
        <f>基本属性!$B$19&amp;"|"&amp;基本属性!$C$19</f>
        <v>190|9</v>
      </c>
      <c r="B2475" s="10" t="str">
        <f>参数调整!$J$34</f>
        <v>首领掉落</v>
      </c>
      <c r="C2475" s="8" t="str">
        <f>材料产出!$T$2</f>
        <v>洗髓丹</v>
      </c>
      <c r="D2475" s="224">
        <f>参数调整!$K$34*怪物掉落配置方案!$D4527</f>
        <v>1.2636371388331726</v>
      </c>
    </row>
    <row r="2476" spans="1:4" ht="16.5" hidden="1" x14ac:dyDescent="0.3">
      <c r="A2476" s="10" t="str">
        <f>基本属性!$B$20&amp;"|"&amp;基本属性!$C$20</f>
        <v>200|10</v>
      </c>
      <c r="B2476" s="10" t="str">
        <f>参数调整!$J$34</f>
        <v>首领掉落</v>
      </c>
      <c r="C2476" s="8" t="str">
        <f>材料产出!$T$2</f>
        <v>洗髓丹</v>
      </c>
      <c r="D2476" s="224">
        <f>参数调整!$K$34*怪物掉落配置方案!$D4528</f>
        <v>1.4768585990745624</v>
      </c>
    </row>
    <row r="2477" spans="1:4" ht="16.5" hidden="1" x14ac:dyDescent="0.3">
      <c r="A2477" s="10" t="str">
        <f>基本属性!$B$21&amp;"|"&amp;基本属性!$C$21</f>
        <v>200|11</v>
      </c>
      <c r="B2477" s="10" t="str">
        <f>参数调整!$J$34</f>
        <v>首领掉落</v>
      </c>
      <c r="C2477" s="8" t="str">
        <f>材料产出!$T$2</f>
        <v>洗髓丹</v>
      </c>
      <c r="D2477" s="224">
        <f>参数调整!$K$34*怪物掉落配置方案!$D4529</f>
        <v>1.7066947185555408</v>
      </c>
    </row>
    <row r="2478" spans="1:4" ht="16.5" hidden="1" x14ac:dyDescent="0.3">
      <c r="A2478" s="10" t="str">
        <f>基本属性!$B$22&amp;"|"&amp;基本属性!$C$22</f>
        <v>210|12</v>
      </c>
      <c r="B2478" s="10" t="str">
        <f>参数调整!$J$34</f>
        <v>首领掉落</v>
      </c>
      <c r="C2478" s="8" t="str">
        <f>材料产出!$T$2</f>
        <v>洗髓丹</v>
      </c>
      <c r="D2478" s="224">
        <f>参数调整!$K$34*怪物掉落配置方案!$D4530</f>
        <v>1.9531454972761084</v>
      </c>
    </row>
    <row r="2479" spans="1:4" ht="16.5" hidden="1" x14ac:dyDescent="0.3">
      <c r="A2479" s="10" t="str">
        <f>基本属性!$B$23&amp;"|"&amp;基本属性!$C$23</f>
        <v>210|13</v>
      </c>
      <c r="B2479" s="10" t="str">
        <f>参数调整!$J$34</f>
        <v>首领掉落</v>
      </c>
      <c r="C2479" s="8" t="str">
        <f>材料产出!$T$2</f>
        <v>洗髓丹</v>
      </c>
      <c r="D2479" s="224">
        <f>参数调整!$K$34*怪物掉落配置方案!$D4531</f>
        <v>2.2162109352362656</v>
      </c>
    </row>
    <row r="2480" spans="1:4" ht="16.5" hidden="1" x14ac:dyDescent="0.3">
      <c r="A2480" s="10" t="str">
        <f>基本属性!$B$24&amp;"|"&amp;基本属性!$C$24</f>
        <v>220|14</v>
      </c>
      <c r="B2480" s="10" t="str">
        <f>参数调整!$J$34</f>
        <v>首领掉落</v>
      </c>
      <c r="C2480" s="8" t="str">
        <f>材料产出!$T$2</f>
        <v>洗髓丹</v>
      </c>
      <c r="D2480" s="224">
        <f>参数调整!$K$34*怪物掉落配置方案!$D4532</f>
        <v>2.4958910324360106</v>
      </c>
    </row>
    <row r="2481" spans="1:4" ht="16.5" hidden="1" x14ac:dyDescent="0.3">
      <c r="A2481" s="10" t="str">
        <f>基本属性!$B$25&amp;"|"&amp;基本属性!$C$25</f>
        <v>220|15</v>
      </c>
      <c r="B2481" s="10" t="str">
        <f>参数调整!$J$34</f>
        <v>首领掉落</v>
      </c>
      <c r="C2481" s="8" t="str">
        <f>材料产出!$T$2</f>
        <v>洗髓丹</v>
      </c>
      <c r="D2481" s="224">
        <f>参数调整!$K$34*怪物掉落配置方案!$D4533</f>
        <v>2.7921857888753445</v>
      </c>
    </row>
    <row r="2482" spans="1:4" ht="16.5" hidden="1" x14ac:dyDescent="0.3">
      <c r="A2482" s="10" t="str">
        <f>基本属性!$B$26&amp;"|"&amp;基本属性!$C$26</f>
        <v>230|16</v>
      </c>
      <c r="B2482" s="10" t="str">
        <f>参数调整!$J$34</f>
        <v>首领掉落</v>
      </c>
      <c r="C2482" s="8" t="str">
        <f>材料产出!$T$2</f>
        <v>洗髓丹</v>
      </c>
      <c r="D2482" s="224">
        <f>参数调整!$K$34*怪物掉落配置方案!$D4534</f>
        <v>3.1050952045542672</v>
      </c>
    </row>
    <row r="2483" spans="1:4" ht="16.5" hidden="1" x14ac:dyDescent="0.3">
      <c r="A2483" s="10" t="str">
        <f>基本属性!$B$27&amp;"|"&amp;基本属性!$C$27</f>
        <v>230|17</v>
      </c>
      <c r="B2483" s="10" t="str">
        <f>参数调整!$J$34</f>
        <v>首领掉落</v>
      </c>
      <c r="C2483" s="8" t="str">
        <f>材料产出!$T$2</f>
        <v>洗髓丹</v>
      </c>
      <c r="D2483" s="224">
        <f>参数调整!$K$34*怪物掉落配置方案!$D4535</f>
        <v>3.4346192794727788</v>
      </c>
    </row>
    <row r="2484" spans="1:4" ht="16.5" hidden="1" x14ac:dyDescent="0.3">
      <c r="A2484" s="10" t="str">
        <f>基本属性!$B$28&amp;"|"&amp;基本属性!$C$28</f>
        <v>240|18</v>
      </c>
      <c r="B2484" s="10" t="str">
        <f>参数调整!$J$34</f>
        <v>首领掉落</v>
      </c>
      <c r="C2484" s="8" t="str">
        <f>材料产出!$T$2</f>
        <v>洗髓丹</v>
      </c>
      <c r="D2484" s="224">
        <f>参数调整!$K$34*怪物掉落配置方案!$D4536</f>
        <v>3.7807580136308805</v>
      </c>
    </row>
    <row r="2485" spans="1:4" ht="16.5" hidden="1" x14ac:dyDescent="0.3">
      <c r="A2485" s="10" t="str">
        <f>基本属性!$B$29&amp;"|"&amp;基本属性!$C$29</f>
        <v>240|19</v>
      </c>
      <c r="B2485" s="10" t="str">
        <f>参数调整!$J$34</f>
        <v>首领掉落</v>
      </c>
      <c r="C2485" s="8" t="str">
        <f>材料产出!$T$2</f>
        <v>洗髓丹</v>
      </c>
      <c r="D2485" s="224">
        <f>参数调整!$K$34*怪物掉落配置方案!$D4537</f>
        <v>4.1435114070285692</v>
      </c>
    </row>
    <row r="2486" spans="1:4" ht="16.5" hidden="1" x14ac:dyDescent="0.3">
      <c r="A2486" s="10" t="str">
        <f>基本属性!$B$30&amp;"|"&amp;基本属性!$C$30</f>
        <v>250|20</v>
      </c>
      <c r="B2486" s="10" t="str">
        <f>参数调整!$J$34</f>
        <v>首领掉落</v>
      </c>
      <c r="C2486" s="8" t="str">
        <f>材料产出!$T$2</f>
        <v>洗髓丹</v>
      </c>
      <c r="D2486" s="224">
        <f>参数调整!$K$34*怪物掉落配置方案!$D4538</f>
        <v>4.5228794596658473</v>
      </c>
    </row>
    <row r="2487" spans="1:4" ht="16.5" hidden="1" x14ac:dyDescent="0.3">
      <c r="A2487" s="10" t="str">
        <f>基本属性!$B$4&amp;"|"&amp;基本属性!$C$4</f>
        <v>35|0</v>
      </c>
      <c r="B2487" s="10" t="str">
        <f>参数调整!$J$34</f>
        <v>首领掉落</v>
      </c>
      <c r="C2487" s="8" t="str">
        <f>材料产出!$AZ$2</f>
        <v>武器碎片</v>
      </c>
      <c r="D2487" s="224">
        <f>参数调整!$K$34*怪物掉落配置方案!$D4539</f>
        <v>8.1166972083899537E-4</v>
      </c>
    </row>
    <row r="2488" spans="1:4" ht="16.5" hidden="1" x14ac:dyDescent="0.3">
      <c r="A2488" s="10" t="str">
        <f>基本属性!$B$5&amp;"|"&amp;基本属性!$C$5</f>
        <v>40|0</v>
      </c>
      <c r="B2488" s="10" t="str">
        <f>参数调整!$J$34</f>
        <v>首领掉落</v>
      </c>
      <c r="C2488" s="8" t="str">
        <f>材料产出!$AZ$2</f>
        <v>武器碎片</v>
      </c>
      <c r="D2488" s="224">
        <f>参数调整!$K$34*怪物掉落配置方案!$D4540</f>
        <v>1.0272694904368536E-3</v>
      </c>
    </row>
    <row r="2489" spans="1:4" ht="16.5" hidden="1" x14ac:dyDescent="0.3">
      <c r="A2489" s="10" t="str">
        <f>基本属性!$B$6&amp;"|"&amp;基本属性!$C$6</f>
        <v>50|0</v>
      </c>
      <c r="B2489" s="10" t="str">
        <f>参数调整!$J$34</f>
        <v>首领掉落</v>
      </c>
      <c r="C2489" s="8" t="str">
        <f>材料产出!$AZ$2</f>
        <v>武器碎片</v>
      </c>
      <c r="D2489" s="224">
        <f>参数调整!$K$34*怪物掉落配置方案!$D4541</f>
        <v>1.2682339388109304E-3</v>
      </c>
    </row>
    <row r="2490" spans="1:4" ht="16.5" hidden="1" x14ac:dyDescent="0.3">
      <c r="A2490" s="10" t="str">
        <f>基本属性!$B$7&amp;"|"&amp;基本属性!$C$7</f>
        <v>60|0</v>
      </c>
      <c r="B2490" s="10" t="str">
        <f>参数调整!$J$34</f>
        <v>首领掉落</v>
      </c>
      <c r="C2490" s="8" t="str">
        <f>材料产出!$AZ$2</f>
        <v>武器碎片</v>
      </c>
      <c r="D2490" s="224">
        <f>参数调整!$K$34*怪物掉落配置方案!$D4542</f>
        <v>1.5345630659612257E-3</v>
      </c>
    </row>
    <row r="2491" spans="1:4" ht="16.5" hidden="1" x14ac:dyDescent="0.3">
      <c r="A2491" s="10" t="str">
        <f>基本属性!$B$8&amp;"|"&amp;基本属性!$C$8</f>
        <v>65|0</v>
      </c>
      <c r="B2491" s="10" t="str">
        <f>参数调整!$J$34</f>
        <v>首领掉落</v>
      </c>
      <c r="C2491" s="8" t="str">
        <f>材料产出!$AZ$2</f>
        <v>武器碎片</v>
      </c>
      <c r="D2491" s="224">
        <f>参数调整!$K$34*怪物掉落配置方案!$D4543</f>
        <v>1.8262568718877398E-3</v>
      </c>
    </row>
    <row r="2492" spans="1:4" ht="16.5" hidden="1" x14ac:dyDescent="0.3">
      <c r="A2492" s="10" t="str">
        <f>基本属性!$B$9&amp;"|"&amp;基本属性!$C$9</f>
        <v>70|0</v>
      </c>
      <c r="B2492" s="10" t="str">
        <f>参数调整!$J$34</f>
        <v>首领掉落</v>
      </c>
      <c r="C2492" s="8" t="str">
        <f>材料产出!$AZ$2</f>
        <v>武器碎片</v>
      </c>
      <c r="D2492" s="224">
        <f>参数调整!$K$34*怪物掉落配置方案!$D4544</f>
        <v>2.1433153565904722E-3</v>
      </c>
    </row>
    <row r="2493" spans="1:4" ht="16.5" hidden="1" x14ac:dyDescent="0.3">
      <c r="A2493" s="10" t="str">
        <f>基本属性!$B$10&amp;"|"&amp;基本属性!$C$10</f>
        <v>75|0</v>
      </c>
      <c r="B2493" s="10" t="str">
        <f>参数调整!$J$34</f>
        <v>首领掉落</v>
      </c>
      <c r="C2493" s="8" t="str">
        <f>材料产出!$AZ$2</f>
        <v>武器碎片</v>
      </c>
      <c r="D2493" s="224">
        <f>参数调整!$K$34*怪物掉落配置方案!$D4545</f>
        <v>2.4857385200694232E-3</v>
      </c>
    </row>
    <row r="2494" spans="1:4" ht="16.5" hidden="1" x14ac:dyDescent="0.3">
      <c r="A2494" s="10" t="str">
        <f>基本属性!$B$11&amp;"|"&amp;基本属性!$C$11</f>
        <v>80|1</v>
      </c>
      <c r="B2494" s="10" t="str">
        <f>参数调整!$J$34</f>
        <v>首领掉落</v>
      </c>
      <c r="C2494" s="8" t="str">
        <f>材料产出!$AZ$2</f>
        <v>武器碎片</v>
      </c>
      <c r="D2494" s="224">
        <f>参数调整!$K$34*怪物掉落配置方案!$D4546</f>
        <v>2.853526362324593E-3</v>
      </c>
    </row>
    <row r="2495" spans="1:4" ht="16.5" hidden="1" x14ac:dyDescent="0.3">
      <c r="A2495" s="10" t="str">
        <f>基本属性!$B$12&amp;"|"&amp;基本属性!$C$12</f>
        <v>90|2</v>
      </c>
      <c r="B2495" s="10" t="str">
        <f>参数调整!$J$34</f>
        <v>首领掉落</v>
      </c>
      <c r="C2495" s="8" t="str">
        <f>材料产出!$AZ$2</f>
        <v>武器碎片</v>
      </c>
      <c r="D2495" s="224">
        <f>参数调整!$K$34*怪物掉落配置方案!$D4547</f>
        <v>3.2466788833559823E-3</v>
      </c>
    </row>
    <row r="2496" spans="1:4" ht="16.5" hidden="1" x14ac:dyDescent="0.3">
      <c r="A2496" s="10" t="str">
        <f>基本属性!$B$13&amp;"|"&amp;基本属性!$C$13</f>
        <v>100|3</v>
      </c>
      <c r="B2496" s="10" t="str">
        <f>参数调整!$J$34</f>
        <v>首领掉落</v>
      </c>
      <c r="C2496" s="8" t="str">
        <f>材料产出!$AZ$2</f>
        <v>武器碎片</v>
      </c>
      <c r="D2496" s="224">
        <f>参数调整!$K$34*怪物掉落配置方案!$D4548</f>
        <v>4.1090779617474153E-3</v>
      </c>
    </row>
    <row r="2497" spans="1:4" ht="16.5" hidden="1" x14ac:dyDescent="0.3">
      <c r="A2497" s="10" t="str">
        <f>基本属性!$B$14&amp;"|"&amp;基本属性!$C$14</f>
        <v>105|4</v>
      </c>
      <c r="B2497" s="10" t="str">
        <f>参数调整!$J$34</f>
        <v>首领掉落</v>
      </c>
      <c r="C2497" s="8" t="str">
        <f>材料产出!$AZ$2</f>
        <v>武器碎片</v>
      </c>
      <c r="D2497" s="224">
        <f>参数调整!$K$34*怪物掉落配置方案!$D4549</f>
        <v>5.0729357552437215E-3</v>
      </c>
    </row>
    <row r="2498" spans="1:4" ht="16.5" hidden="1" x14ac:dyDescent="0.3">
      <c r="A2498" s="10" t="str">
        <f>基本属性!$B$15&amp;"|"&amp;基本属性!$C$15</f>
        <v>110|5</v>
      </c>
      <c r="B2498" s="10" t="str">
        <f>参数调整!$J$34</f>
        <v>首领掉落</v>
      </c>
      <c r="C2498" s="8" t="str">
        <f>材料产出!$AZ$2</f>
        <v>武器碎片</v>
      </c>
      <c r="D2498" s="224">
        <f>参数调整!$K$34*怪物掉落配置方案!$D4550</f>
        <v>6.1382522638449045E-3</v>
      </c>
    </row>
    <row r="2499" spans="1:4" ht="16.5" hidden="1" x14ac:dyDescent="0.3">
      <c r="A2499" s="10" t="str">
        <f>基本属性!$B$16&amp;"|"&amp;基本属性!$C$16</f>
        <v>120|6</v>
      </c>
      <c r="B2499" s="10" t="str">
        <f>参数调整!$J$34</f>
        <v>首领掉落</v>
      </c>
      <c r="C2499" s="8" t="str">
        <f>材料产出!$AZ$2</f>
        <v>武器碎片</v>
      </c>
      <c r="D2499" s="224">
        <f>参数调整!$K$34*怪物掉落配置方案!$D4551</f>
        <v>7.9264621175683166E-3</v>
      </c>
    </row>
    <row r="2500" spans="1:4" ht="16.5" hidden="1" x14ac:dyDescent="0.3">
      <c r="A2500" s="10" t="str">
        <f>基本属性!$B$17&amp;"|"&amp;基本属性!$C$17</f>
        <v>135|7</v>
      </c>
      <c r="B2500" s="10" t="str">
        <f>参数调整!$J$34</f>
        <v>首领掉落</v>
      </c>
      <c r="C2500" s="8" t="str">
        <f>材料产出!$AZ$2</f>
        <v>武器碎片</v>
      </c>
      <c r="D2500" s="224">
        <f>参数调整!$K$34*怪物掉落配置方案!$D4552</f>
        <v>1.1414105449298372E-2</v>
      </c>
    </row>
    <row r="2501" spans="1:4" ht="16.5" hidden="1" x14ac:dyDescent="0.3">
      <c r="A2501" s="10" t="str">
        <f>基本属性!$B$18&amp;"|"&amp;基本属性!$C$18</f>
        <v>155|8</v>
      </c>
      <c r="B2501" s="10" t="str">
        <f>参数调整!$J$34</f>
        <v>首领掉落</v>
      </c>
      <c r="C2501" s="8" t="str">
        <f>材料产出!$AZ$2</f>
        <v>武器碎片</v>
      </c>
      <c r="D2501" s="224">
        <f>参数调整!$K$34*怪物掉落配置方案!$D4553</f>
        <v>1.5535865750433898E-2</v>
      </c>
    </row>
    <row r="2502" spans="1:4" ht="16.5" hidden="1" x14ac:dyDescent="0.3">
      <c r="A2502" s="10" t="str">
        <f>基本属性!$B$19&amp;"|"&amp;基本属性!$C$19</f>
        <v>190|9</v>
      </c>
      <c r="B2502" s="10" t="str">
        <f>参数调整!$J$34</f>
        <v>首领掉落</v>
      </c>
      <c r="C2502" s="8" t="str">
        <f>材料产出!$AZ$2</f>
        <v>武器碎片</v>
      </c>
      <c r="D2502" s="224">
        <f>参数调整!$K$34*怪物掉落配置方案!$D4554</f>
        <v>1.7362122622321636E-2</v>
      </c>
    </row>
    <row r="2503" spans="1:4" ht="16.5" hidden="1" x14ac:dyDescent="0.3">
      <c r="A2503" s="10" t="str">
        <f>基本属性!$B$20&amp;"|"&amp;基本属性!$C$20</f>
        <v>200|10</v>
      </c>
      <c r="B2503" s="10" t="str">
        <f>参数调整!$J$34</f>
        <v>首领掉落</v>
      </c>
      <c r="C2503" s="8" t="str">
        <f>材料产出!$AZ$2</f>
        <v>武器碎片</v>
      </c>
      <c r="D2503" s="224">
        <f>参数调整!$K$34*怪物掉落配置方案!$D4555</f>
        <v>2.0291743020974886E-2</v>
      </c>
    </row>
    <row r="2504" spans="1:4" ht="16.5" hidden="1" x14ac:dyDescent="0.3">
      <c r="A2504" s="10" t="str">
        <f>基本属性!$B$21&amp;"|"&amp;基本属性!$C$21</f>
        <v>200|11</v>
      </c>
      <c r="B2504" s="10" t="str">
        <f>参数调整!$J$34</f>
        <v>首领掉落</v>
      </c>
      <c r="C2504" s="8" t="str">
        <f>材料产出!$AZ$2</f>
        <v>武器碎片</v>
      </c>
      <c r="D2504" s="224">
        <f>参数调整!$K$34*怪物掉落配置方案!$D4556</f>
        <v>2.3449645528614095E-2</v>
      </c>
    </row>
    <row r="2505" spans="1:4" ht="16.5" hidden="1" x14ac:dyDescent="0.3">
      <c r="A2505" s="10" t="str">
        <f>基本属性!$B$22&amp;"|"&amp;基本属性!$C$22</f>
        <v>210|12</v>
      </c>
      <c r="B2505" s="10" t="str">
        <f>参数调整!$J$34</f>
        <v>首领掉落</v>
      </c>
      <c r="C2505" s="8" t="str">
        <f>材料产出!$AZ$2</f>
        <v>武器碎片</v>
      </c>
      <c r="D2505" s="224">
        <f>参数调整!$K$34*怪物掉落配置方案!$D4557</f>
        <v>2.6835830145239277E-2</v>
      </c>
    </row>
    <row r="2506" spans="1:4" ht="16.5" hidden="1" x14ac:dyDescent="0.3">
      <c r="A2506" s="10" t="str">
        <f>基本属性!$B$23&amp;"|"&amp;基本属性!$C$23</f>
        <v>210|13</v>
      </c>
      <c r="B2506" s="10" t="str">
        <f>参数调整!$J$34</f>
        <v>首领掉落</v>
      </c>
      <c r="C2506" s="8" t="str">
        <f>材料产出!$AZ$2</f>
        <v>武器碎片</v>
      </c>
      <c r="D2506" s="224">
        <f>参数调整!$K$34*怪物掉落配置方案!$D4558</f>
        <v>3.0450296870850442E-2</v>
      </c>
    </row>
    <row r="2507" spans="1:4" ht="16.5" hidden="1" x14ac:dyDescent="0.3">
      <c r="A2507" s="10" t="str">
        <f>基本属性!$B$24&amp;"|"&amp;基本属性!$C$24</f>
        <v>220|14</v>
      </c>
      <c r="B2507" s="10" t="str">
        <f>参数调整!$J$34</f>
        <v>首领掉落</v>
      </c>
      <c r="C2507" s="8" t="str">
        <f>材料产出!$AZ$2</f>
        <v>武器碎片</v>
      </c>
      <c r="D2507" s="224">
        <f>参数调整!$K$34*怪物掉落配置方案!$D4559</f>
        <v>3.4293045705447556E-2</v>
      </c>
    </row>
    <row r="2508" spans="1:4" ht="16.5" hidden="1" x14ac:dyDescent="0.3">
      <c r="A2508" s="10" t="str">
        <f>基本属性!$B$25&amp;"|"&amp;基本属性!$C$25</f>
        <v>220|15</v>
      </c>
      <c r="B2508" s="10" t="str">
        <f>参数调整!$J$34</f>
        <v>首领掉落</v>
      </c>
      <c r="C2508" s="8" t="str">
        <f>材料产出!$AZ$2</f>
        <v>武器碎片</v>
      </c>
      <c r="D2508" s="224">
        <f>参数调整!$K$34*怪物掉落配置方案!$D4560</f>
        <v>3.8364076649030632E-2</v>
      </c>
    </row>
    <row r="2509" spans="1:4" ht="16.5" hidden="1" x14ac:dyDescent="0.3">
      <c r="A2509" s="10" t="str">
        <f>基本属性!$B$26&amp;"|"&amp;基本属性!$C$26</f>
        <v>230|16</v>
      </c>
      <c r="B2509" s="10" t="str">
        <f>参数调整!$J$34</f>
        <v>首领掉落</v>
      </c>
      <c r="C2509" s="8" t="str">
        <f>材料产出!$AZ$2</f>
        <v>武器碎片</v>
      </c>
      <c r="D2509" s="224">
        <f>参数调整!$K$34*怪物掉落配置方案!$D4561</f>
        <v>4.2663389701599691E-2</v>
      </c>
    </row>
    <row r="2510" spans="1:4" ht="16.5" hidden="1" x14ac:dyDescent="0.3">
      <c r="A2510" s="10" t="str">
        <f>基本属性!$B$27&amp;"|"&amp;基本属性!$C$27</f>
        <v>230|17</v>
      </c>
      <c r="B2510" s="10" t="str">
        <f>参数调整!$J$34</f>
        <v>首领掉落</v>
      </c>
      <c r="C2510" s="8" t="str">
        <f>材料产出!$AZ$2</f>
        <v>武器碎片</v>
      </c>
      <c r="D2510" s="224">
        <f>参数调整!$K$34*怪物掉落配置方案!$D4562</f>
        <v>4.7190984863154713E-2</v>
      </c>
    </row>
    <row r="2511" spans="1:4" ht="16.5" hidden="1" x14ac:dyDescent="0.3">
      <c r="A2511" s="10" t="str">
        <f>基本属性!$B$28&amp;"|"&amp;基本属性!$C$28</f>
        <v>240|18</v>
      </c>
      <c r="B2511" s="10" t="str">
        <f>参数调整!$J$34</f>
        <v>首领掉落</v>
      </c>
      <c r="C2511" s="8" t="str">
        <f>材料产出!$AZ$2</f>
        <v>武器碎片</v>
      </c>
      <c r="D2511" s="224">
        <f>参数调整!$K$34*怪物掉落配置方案!$D4563</f>
        <v>5.1946862133695704E-2</v>
      </c>
    </row>
    <row r="2512" spans="1:4" ht="16.5" hidden="1" x14ac:dyDescent="0.3">
      <c r="A2512" s="10" t="str">
        <f>基本属性!$B$29&amp;"|"&amp;基本属性!$C$29</f>
        <v>240|19</v>
      </c>
      <c r="B2512" s="10" t="str">
        <f>参数调整!$J$34</f>
        <v>首领掉落</v>
      </c>
      <c r="C2512" s="8" t="str">
        <f>材料产出!$AZ$2</f>
        <v>武器碎片</v>
      </c>
      <c r="D2512" s="224">
        <f>参数调整!$K$34*怪物掉落配置方案!$D4564</f>
        <v>5.6931021513222664E-2</v>
      </c>
    </row>
    <row r="2513" spans="1:4" ht="16.5" hidden="1" x14ac:dyDescent="0.3">
      <c r="A2513" s="10" t="str">
        <f>基本属性!$B$30&amp;"|"&amp;基本属性!$C$30</f>
        <v>250|20</v>
      </c>
      <c r="B2513" s="10" t="str">
        <f>参数调整!$J$34</f>
        <v>首领掉落</v>
      </c>
      <c r="C2513" s="8" t="str">
        <f>材料产出!$AZ$2</f>
        <v>武器碎片</v>
      </c>
      <c r="D2513" s="224">
        <f>参数调整!$K$34*怪物掉落配置方案!$D4565</f>
        <v>6.2143463001735566E-2</v>
      </c>
    </row>
    <row r="2514" spans="1:4" ht="16.5" hidden="1" x14ac:dyDescent="0.3">
      <c r="A2514" s="10" t="str">
        <f>基本属性!$B$4&amp;"|"&amp;基本属性!$C$4</f>
        <v>35|0</v>
      </c>
      <c r="B2514" s="10" t="str">
        <f>参数调整!$J$34</f>
        <v>首领掉落</v>
      </c>
      <c r="C2514" s="8" t="str">
        <f>材料产出!$HW$2</f>
        <v>特戒装备</v>
      </c>
      <c r="D2514" s="224">
        <f>参数调整!$K$34*怪物掉落配置方案!$D4566</f>
        <v>0</v>
      </c>
    </row>
    <row r="2515" spans="1:4" ht="16.5" hidden="1" x14ac:dyDescent="0.3">
      <c r="A2515" s="10" t="str">
        <f>基本属性!$B$5&amp;"|"&amp;基本属性!$C$5</f>
        <v>40|0</v>
      </c>
      <c r="B2515" s="10" t="str">
        <f>参数调整!$J$34</f>
        <v>首领掉落</v>
      </c>
      <c r="C2515" s="8" t="str">
        <f>材料产出!$HW$2</f>
        <v>特戒装备</v>
      </c>
      <c r="D2515" s="224">
        <f>参数调整!$K$34*怪物掉落配置方案!$D4567</f>
        <v>0</v>
      </c>
    </row>
    <row r="2516" spans="1:4" ht="16.5" hidden="1" x14ac:dyDescent="0.3">
      <c r="A2516" s="10" t="str">
        <f>基本属性!$B$6&amp;"|"&amp;基本属性!$C$6</f>
        <v>50|0</v>
      </c>
      <c r="B2516" s="10" t="str">
        <f>参数调整!$J$34</f>
        <v>首领掉落</v>
      </c>
      <c r="C2516" s="8" t="str">
        <f>材料产出!$HW$2</f>
        <v>特戒装备</v>
      </c>
      <c r="D2516" s="224">
        <f>参数调整!$K$34*怪物掉落配置方案!$D4568</f>
        <v>0</v>
      </c>
    </row>
    <row r="2517" spans="1:4" ht="16.5" hidden="1" x14ac:dyDescent="0.3">
      <c r="A2517" s="10" t="str">
        <f>基本属性!$B$7&amp;"|"&amp;基本属性!$C$7</f>
        <v>60|0</v>
      </c>
      <c r="B2517" s="10" t="str">
        <f>参数调整!$J$34</f>
        <v>首领掉落</v>
      </c>
      <c r="C2517" s="8" t="str">
        <f>材料产出!$HW$2</f>
        <v>特戒装备</v>
      </c>
      <c r="D2517" s="224">
        <f>参数调整!$K$34*怪物掉落配置方案!$D4569</f>
        <v>0</v>
      </c>
    </row>
    <row r="2518" spans="1:4" ht="16.5" hidden="1" x14ac:dyDescent="0.3">
      <c r="A2518" s="10" t="str">
        <f>基本属性!$B$8&amp;"|"&amp;基本属性!$C$8</f>
        <v>65|0</v>
      </c>
      <c r="B2518" s="10" t="str">
        <f>参数调整!$J$34</f>
        <v>首领掉落</v>
      </c>
      <c r="C2518" s="8" t="str">
        <f>材料产出!$HW$2</f>
        <v>特戒装备</v>
      </c>
      <c r="D2518" s="224">
        <f>参数调整!$K$34*怪物掉落配置方案!$D4570</f>
        <v>0</v>
      </c>
    </row>
    <row r="2519" spans="1:4" ht="16.5" hidden="1" x14ac:dyDescent="0.3">
      <c r="A2519" s="10" t="str">
        <f>基本属性!$B$9&amp;"|"&amp;基本属性!$C$9</f>
        <v>70|0</v>
      </c>
      <c r="B2519" s="10" t="str">
        <f>参数调整!$J$34</f>
        <v>首领掉落</v>
      </c>
      <c r="C2519" s="8" t="str">
        <f>材料产出!$HW$2</f>
        <v>特戒装备</v>
      </c>
      <c r="D2519" s="224">
        <f>参数调整!$K$34*怪物掉落配置方案!$D4571</f>
        <v>0</v>
      </c>
    </row>
    <row r="2520" spans="1:4" ht="16.5" hidden="1" x14ac:dyDescent="0.3">
      <c r="A2520" s="10" t="str">
        <f>基本属性!$B$10&amp;"|"&amp;基本属性!$C$10</f>
        <v>75|0</v>
      </c>
      <c r="B2520" s="10" t="str">
        <f>参数调整!$J$34</f>
        <v>首领掉落</v>
      </c>
      <c r="C2520" s="8" t="str">
        <f>材料产出!$HW$2</f>
        <v>特戒装备</v>
      </c>
      <c r="D2520" s="224">
        <f>参数调整!$K$34*怪物掉落配置方案!$D4572</f>
        <v>0</v>
      </c>
    </row>
    <row r="2521" spans="1:4" ht="16.5" hidden="1" x14ac:dyDescent="0.3">
      <c r="A2521" s="10" t="str">
        <f>基本属性!$B$11&amp;"|"&amp;基本属性!$C$11</f>
        <v>80|1</v>
      </c>
      <c r="B2521" s="10" t="str">
        <f>参数调整!$J$34</f>
        <v>首领掉落</v>
      </c>
      <c r="C2521" s="8" t="str">
        <f>材料产出!$HW$2</f>
        <v>特戒装备</v>
      </c>
      <c r="D2521" s="224">
        <f>参数调整!$K$34*怪物掉落配置方案!$D4573</f>
        <v>0</v>
      </c>
    </row>
    <row r="2522" spans="1:4" ht="16.5" hidden="1" x14ac:dyDescent="0.3">
      <c r="A2522" s="10" t="str">
        <f>基本属性!$B$12&amp;"|"&amp;基本属性!$C$12</f>
        <v>90|2</v>
      </c>
      <c r="B2522" s="10" t="str">
        <f>参数调整!$J$34</f>
        <v>首领掉落</v>
      </c>
      <c r="C2522" s="8" t="str">
        <f>材料产出!$HW$2</f>
        <v>特戒装备</v>
      </c>
      <c r="D2522" s="224">
        <f>参数调整!$K$34*怪物掉落配置方案!$D4574</f>
        <v>0</v>
      </c>
    </row>
    <row r="2523" spans="1:4" ht="16.5" hidden="1" x14ac:dyDescent="0.3">
      <c r="A2523" s="10" t="str">
        <f>基本属性!$B$13&amp;"|"&amp;基本属性!$C$13</f>
        <v>100|3</v>
      </c>
      <c r="B2523" s="10" t="str">
        <f>参数调整!$J$34</f>
        <v>首领掉落</v>
      </c>
      <c r="C2523" s="8" t="str">
        <f>材料产出!$HW$2</f>
        <v>特戒装备</v>
      </c>
      <c r="D2523" s="224">
        <f>参数调整!$K$34*怪物掉落配置方案!$D4575</f>
        <v>0</v>
      </c>
    </row>
    <row r="2524" spans="1:4" ht="16.5" hidden="1" x14ac:dyDescent="0.3">
      <c r="A2524" s="10" t="str">
        <f>基本属性!$B$14&amp;"|"&amp;基本属性!$C$14</f>
        <v>105|4</v>
      </c>
      <c r="B2524" s="10" t="str">
        <f>参数调整!$J$34</f>
        <v>首领掉落</v>
      </c>
      <c r="C2524" s="8" t="str">
        <f>材料产出!$HW$2</f>
        <v>特戒装备</v>
      </c>
      <c r="D2524" s="224">
        <f>参数调整!$K$34*怪物掉落配置方案!$D4576</f>
        <v>0</v>
      </c>
    </row>
    <row r="2525" spans="1:4" ht="16.5" hidden="1" x14ac:dyDescent="0.3">
      <c r="A2525" s="10" t="str">
        <f>基本属性!$B$15&amp;"|"&amp;基本属性!$C$15</f>
        <v>110|5</v>
      </c>
      <c r="B2525" s="10" t="str">
        <f>参数调整!$J$34</f>
        <v>首领掉落</v>
      </c>
      <c r="C2525" s="8" t="str">
        <f>材料产出!$HW$2</f>
        <v>特戒装备</v>
      </c>
      <c r="D2525" s="224">
        <f>参数调整!$K$34*怪物掉落配置方案!$D4577</f>
        <v>0</v>
      </c>
    </row>
    <row r="2526" spans="1:4" ht="16.5" hidden="1" x14ac:dyDescent="0.3">
      <c r="A2526" s="10" t="str">
        <f>基本属性!$B$16&amp;"|"&amp;基本属性!$C$16</f>
        <v>120|6</v>
      </c>
      <c r="B2526" s="10" t="str">
        <f>参数调整!$J$34</f>
        <v>首领掉落</v>
      </c>
      <c r="C2526" s="8" t="str">
        <f>材料产出!$HW$2</f>
        <v>特戒装备</v>
      </c>
      <c r="D2526" s="224">
        <f>参数调整!$K$34*怪物掉落配置方案!$D4578</f>
        <v>0</v>
      </c>
    </row>
    <row r="2527" spans="1:4" ht="16.5" hidden="1" x14ac:dyDescent="0.3">
      <c r="A2527" s="10" t="str">
        <f>基本属性!$B$17&amp;"|"&amp;基本属性!$C$17</f>
        <v>135|7</v>
      </c>
      <c r="B2527" s="10" t="str">
        <f>参数调整!$J$34</f>
        <v>首领掉落</v>
      </c>
      <c r="C2527" s="8" t="str">
        <f>材料产出!$HW$2</f>
        <v>特戒装备</v>
      </c>
      <c r="D2527" s="224">
        <f>参数调整!$K$34*怪物掉落配置方案!$D4579</f>
        <v>0</v>
      </c>
    </row>
    <row r="2528" spans="1:4" ht="16.5" hidden="1" x14ac:dyDescent="0.3">
      <c r="A2528" s="10" t="str">
        <f>基本属性!$B$18&amp;"|"&amp;基本属性!$C$18</f>
        <v>155|8</v>
      </c>
      <c r="B2528" s="10" t="str">
        <f>参数调整!$J$34</f>
        <v>首领掉落</v>
      </c>
      <c r="C2528" s="8" t="str">
        <f>材料产出!$HW$2</f>
        <v>特戒装备</v>
      </c>
      <c r="D2528" s="224">
        <f>参数调整!$K$34*怪物掉落配置方案!$D4580</f>
        <v>0</v>
      </c>
    </row>
    <row r="2529" spans="1:4" ht="16.5" hidden="1" x14ac:dyDescent="0.3">
      <c r="A2529" s="10" t="str">
        <f>基本属性!$B$19&amp;"|"&amp;基本属性!$C$19</f>
        <v>190|9</v>
      </c>
      <c r="B2529" s="10" t="str">
        <f>参数调整!$J$34</f>
        <v>首领掉落</v>
      </c>
      <c r="C2529" s="8" t="str">
        <f>材料产出!$HW$2</f>
        <v>特戒装备</v>
      </c>
      <c r="D2529" s="224">
        <f>参数调整!$K$34*怪物掉落配置方案!$D4581</f>
        <v>0</v>
      </c>
    </row>
    <row r="2530" spans="1:4" ht="16.5" hidden="1" x14ac:dyDescent="0.3">
      <c r="A2530" s="10" t="str">
        <f>基本属性!$B$20&amp;"|"&amp;基本属性!$C$20</f>
        <v>200|10</v>
      </c>
      <c r="B2530" s="10" t="str">
        <f>参数调整!$J$34</f>
        <v>首领掉落</v>
      </c>
      <c r="C2530" s="8" t="str">
        <f>材料产出!$HW$2</f>
        <v>特戒装备</v>
      </c>
      <c r="D2530" s="224">
        <f>参数调整!$K$34*怪物掉落配置方案!$D4582</f>
        <v>0</v>
      </c>
    </row>
    <row r="2531" spans="1:4" ht="16.5" hidden="1" x14ac:dyDescent="0.3">
      <c r="A2531" s="10" t="str">
        <f>基本属性!$B$21&amp;"|"&amp;基本属性!$C$21</f>
        <v>200|11</v>
      </c>
      <c r="B2531" s="10" t="str">
        <f>参数调整!$J$34</f>
        <v>首领掉落</v>
      </c>
      <c r="C2531" s="8" t="str">
        <f>材料产出!$HW$2</f>
        <v>特戒装备</v>
      </c>
      <c r="D2531" s="224">
        <f>参数调整!$K$34*怪物掉落配置方案!$D4583</f>
        <v>0</v>
      </c>
    </row>
    <row r="2532" spans="1:4" ht="16.5" hidden="1" x14ac:dyDescent="0.3">
      <c r="A2532" s="10" t="str">
        <f>基本属性!$B$22&amp;"|"&amp;基本属性!$C$22</f>
        <v>210|12</v>
      </c>
      <c r="B2532" s="10" t="str">
        <f>参数调整!$J$34</f>
        <v>首领掉落</v>
      </c>
      <c r="C2532" s="8" t="str">
        <f>材料产出!$HW$2</f>
        <v>特戒装备</v>
      </c>
      <c r="D2532" s="224">
        <f>参数调整!$K$34*怪物掉落配置方案!$D4584</f>
        <v>0</v>
      </c>
    </row>
    <row r="2533" spans="1:4" ht="16.5" hidden="1" x14ac:dyDescent="0.3">
      <c r="A2533" s="10" t="str">
        <f>基本属性!$B$23&amp;"|"&amp;基本属性!$C$23</f>
        <v>210|13</v>
      </c>
      <c r="B2533" s="10" t="str">
        <f>参数调整!$J$34</f>
        <v>首领掉落</v>
      </c>
      <c r="C2533" s="8" t="str">
        <f>材料产出!$HW$2</f>
        <v>特戒装备</v>
      </c>
      <c r="D2533" s="224">
        <f>参数调整!$K$34*怪物掉落配置方案!$D4585</f>
        <v>0</v>
      </c>
    </row>
    <row r="2534" spans="1:4" ht="16.5" hidden="1" x14ac:dyDescent="0.3">
      <c r="A2534" s="10" t="str">
        <f>基本属性!$B$24&amp;"|"&amp;基本属性!$C$24</f>
        <v>220|14</v>
      </c>
      <c r="B2534" s="10" t="str">
        <f>参数调整!$J$34</f>
        <v>首领掉落</v>
      </c>
      <c r="C2534" s="8" t="str">
        <f>材料产出!$HW$2</f>
        <v>特戒装备</v>
      </c>
      <c r="D2534" s="224">
        <f>参数调整!$K$34*怪物掉落配置方案!$D4586</f>
        <v>0</v>
      </c>
    </row>
    <row r="2535" spans="1:4" ht="16.5" hidden="1" x14ac:dyDescent="0.3">
      <c r="A2535" s="10" t="str">
        <f>基本属性!$B$25&amp;"|"&amp;基本属性!$C$25</f>
        <v>220|15</v>
      </c>
      <c r="B2535" s="10" t="str">
        <f>参数调整!$J$34</f>
        <v>首领掉落</v>
      </c>
      <c r="C2535" s="8" t="str">
        <f>材料产出!$HW$2</f>
        <v>特戒装备</v>
      </c>
      <c r="D2535" s="224">
        <f>参数调整!$K$34*怪物掉落配置方案!$D4587</f>
        <v>0</v>
      </c>
    </row>
    <row r="2536" spans="1:4" ht="16.5" hidden="1" x14ac:dyDescent="0.3">
      <c r="A2536" s="10" t="str">
        <f>基本属性!$B$26&amp;"|"&amp;基本属性!$C$26</f>
        <v>230|16</v>
      </c>
      <c r="B2536" s="10" t="str">
        <f>参数调整!$J$34</f>
        <v>首领掉落</v>
      </c>
      <c r="C2536" s="8" t="str">
        <f>材料产出!$HW$2</f>
        <v>特戒装备</v>
      </c>
      <c r="D2536" s="224">
        <f>参数调整!$K$34*怪物掉落配置方案!$D4588</f>
        <v>0</v>
      </c>
    </row>
    <row r="2537" spans="1:4" ht="16.5" hidden="1" x14ac:dyDescent="0.3">
      <c r="A2537" s="10" t="str">
        <f>基本属性!$B$27&amp;"|"&amp;基本属性!$C$27</f>
        <v>230|17</v>
      </c>
      <c r="B2537" s="10" t="str">
        <f>参数调整!$J$34</f>
        <v>首领掉落</v>
      </c>
      <c r="C2537" s="8" t="str">
        <f>材料产出!$HW$2</f>
        <v>特戒装备</v>
      </c>
      <c r="D2537" s="224">
        <f>参数调整!$K$34*怪物掉落配置方案!$D4589</f>
        <v>0</v>
      </c>
    </row>
    <row r="2538" spans="1:4" ht="16.5" hidden="1" x14ac:dyDescent="0.3">
      <c r="A2538" s="10" t="str">
        <f>基本属性!$B$28&amp;"|"&amp;基本属性!$C$28</f>
        <v>240|18</v>
      </c>
      <c r="B2538" s="10" t="str">
        <f>参数调整!$J$34</f>
        <v>首领掉落</v>
      </c>
      <c r="C2538" s="8" t="str">
        <f>材料产出!$HW$2</f>
        <v>特戒装备</v>
      </c>
      <c r="D2538" s="224">
        <f>参数调整!$K$34*怪物掉落配置方案!$D4590</f>
        <v>0</v>
      </c>
    </row>
    <row r="2539" spans="1:4" ht="16.5" hidden="1" x14ac:dyDescent="0.3">
      <c r="A2539" s="10" t="str">
        <f>基本属性!$B$29&amp;"|"&amp;基本属性!$C$29</f>
        <v>240|19</v>
      </c>
      <c r="B2539" s="10" t="str">
        <f>参数调整!$J$34</f>
        <v>首领掉落</v>
      </c>
      <c r="C2539" s="8" t="str">
        <f>材料产出!$HW$2</f>
        <v>特戒装备</v>
      </c>
      <c r="D2539" s="224">
        <f>参数调整!$K$34*怪物掉落配置方案!$D4591</f>
        <v>0</v>
      </c>
    </row>
    <row r="2540" spans="1:4" ht="16.5" hidden="1" x14ac:dyDescent="0.3">
      <c r="A2540" s="10" t="str">
        <f>基本属性!$B$30&amp;"|"&amp;基本属性!$C$30</f>
        <v>250|20</v>
      </c>
      <c r="B2540" s="10" t="str">
        <f>参数调整!$J$34</f>
        <v>首领掉落</v>
      </c>
      <c r="C2540" s="8" t="str">
        <f>材料产出!$HW$2</f>
        <v>特戒装备</v>
      </c>
      <c r="D2540" s="224">
        <f>参数调整!$K$34*怪物掉落配置方案!$D4592</f>
        <v>0</v>
      </c>
    </row>
    <row r="2541" spans="1:4" ht="16.5" hidden="1" x14ac:dyDescent="0.3">
      <c r="A2541" s="10" t="str">
        <f>基本属性!$B$4&amp;"|"&amp;基本属性!$C$4</f>
        <v>35|0</v>
      </c>
      <c r="B2541" s="10" t="str">
        <f>参数调整!$J$34</f>
        <v>首领掉落</v>
      </c>
      <c r="C2541" s="8" t="str">
        <f>材料产出!$BF$2</f>
        <v>首饰碎片</v>
      </c>
      <c r="D2541" s="224">
        <f>参数调整!$K$34*怪物掉落配置方案!$D4593</f>
        <v>4.0583486041949769E-3</v>
      </c>
    </row>
    <row r="2542" spans="1:4" ht="16.5" hidden="1" x14ac:dyDescent="0.3">
      <c r="A2542" s="10" t="str">
        <f>基本属性!$B$5&amp;"|"&amp;基本属性!$C$5</f>
        <v>40|0</v>
      </c>
      <c r="B2542" s="10" t="str">
        <f>参数调整!$J$34</f>
        <v>首领掉落</v>
      </c>
      <c r="C2542" s="8" t="str">
        <f>材料产出!$BF$2</f>
        <v>首饰碎片</v>
      </c>
      <c r="D2542" s="224">
        <f>参数调整!$K$34*怪物掉落配置方案!$D4594</f>
        <v>5.1363474521842678E-3</v>
      </c>
    </row>
    <row r="2543" spans="1:4" ht="16.5" hidden="1" x14ac:dyDescent="0.3">
      <c r="A2543" s="10" t="str">
        <f>基本属性!$B$6&amp;"|"&amp;基本属性!$C$6</f>
        <v>50|0</v>
      </c>
      <c r="B2543" s="10" t="str">
        <f>参数调整!$J$34</f>
        <v>首领掉落</v>
      </c>
      <c r="C2543" s="8" t="str">
        <f>材料产出!$BF$2</f>
        <v>首饰碎片</v>
      </c>
      <c r="D2543" s="224">
        <f>参数调整!$K$34*怪物掉落配置方案!$D4595</f>
        <v>6.3411696940546512E-3</v>
      </c>
    </row>
    <row r="2544" spans="1:4" ht="16.5" hidden="1" x14ac:dyDescent="0.3">
      <c r="A2544" s="10" t="str">
        <f>基本属性!$B$7&amp;"|"&amp;基本属性!$C$7</f>
        <v>60|0</v>
      </c>
      <c r="B2544" s="10" t="str">
        <f>参数调整!$J$34</f>
        <v>首领掉落</v>
      </c>
      <c r="C2544" s="8" t="str">
        <f>材料产出!$BF$2</f>
        <v>首饰碎片</v>
      </c>
      <c r="D2544" s="224">
        <f>参数调整!$K$34*怪物掉落配置方案!$D4596</f>
        <v>7.6728153298061298E-3</v>
      </c>
    </row>
    <row r="2545" spans="1:4" ht="16.5" hidden="1" x14ac:dyDescent="0.3">
      <c r="A2545" s="10" t="str">
        <f>基本属性!$B$8&amp;"|"&amp;基本属性!$C$8</f>
        <v>65|0</v>
      </c>
      <c r="B2545" s="10" t="str">
        <f>参数调整!$J$34</f>
        <v>首领掉落</v>
      </c>
      <c r="C2545" s="8" t="str">
        <f>材料产出!$BF$2</f>
        <v>首饰碎片</v>
      </c>
      <c r="D2545" s="224">
        <f>参数调整!$K$34*怪物掉落配置方案!$D4597</f>
        <v>9.1312843594386975E-3</v>
      </c>
    </row>
    <row r="2546" spans="1:4" ht="16.5" hidden="1" x14ac:dyDescent="0.3">
      <c r="A2546" s="10" t="str">
        <f>基本属性!$B$9&amp;"|"&amp;基本属性!$C$9</f>
        <v>70|0</v>
      </c>
      <c r="B2546" s="10" t="str">
        <f>参数调整!$J$34</f>
        <v>首领掉落</v>
      </c>
      <c r="C2546" s="8" t="str">
        <f>材料产出!$BF$2</f>
        <v>首饰碎片</v>
      </c>
      <c r="D2546" s="224">
        <f>参数调整!$K$34*怪物掉落配置方案!$D4598</f>
        <v>1.0716576782952361E-2</v>
      </c>
    </row>
    <row r="2547" spans="1:4" ht="16.5" hidden="1" x14ac:dyDescent="0.3">
      <c r="A2547" s="10" t="str">
        <f>基本属性!$B$10&amp;"|"&amp;基本属性!$C$10</f>
        <v>75|0</v>
      </c>
      <c r="B2547" s="10" t="str">
        <f>参数调整!$J$34</f>
        <v>首领掉落</v>
      </c>
      <c r="C2547" s="8" t="str">
        <f>材料产出!$BF$2</f>
        <v>首饰碎片</v>
      </c>
      <c r="D2547" s="224">
        <f>参数调整!$K$34*怪物掉落配置方案!$D4599</f>
        <v>1.2428692600347116E-2</v>
      </c>
    </row>
    <row r="2548" spans="1:4" ht="16.5" hidden="1" x14ac:dyDescent="0.3">
      <c r="A2548" s="10" t="str">
        <f>基本属性!$B$11&amp;"|"&amp;基本属性!$C$11</f>
        <v>80|1</v>
      </c>
      <c r="B2548" s="10" t="str">
        <f>参数调整!$J$34</f>
        <v>首领掉落</v>
      </c>
      <c r="C2548" s="8" t="str">
        <f>材料产出!$BF$2</f>
        <v>首饰碎片</v>
      </c>
      <c r="D2548" s="224">
        <f>参数调整!$K$34*怪物掉落配置方案!$D4600</f>
        <v>1.4267631811622968E-2</v>
      </c>
    </row>
    <row r="2549" spans="1:4" ht="16.5" hidden="1" x14ac:dyDescent="0.3">
      <c r="A2549" s="10" t="str">
        <f>基本属性!$B$12&amp;"|"&amp;基本属性!$C$12</f>
        <v>90|2</v>
      </c>
      <c r="B2549" s="10" t="str">
        <f>参数调整!$J$34</f>
        <v>首领掉落</v>
      </c>
      <c r="C2549" s="8" t="str">
        <f>材料产出!$BF$2</f>
        <v>首饰碎片</v>
      </c>
      <c r="D2549" s="224">
        <f>参数调整!$K$34*怪物掉落配置方案!$D4601</f>
        <v>1.6233394416779914E-2</v>
      </c>
    </row>
    <row r="2550" spans="1:4" ht="16.5" hidden="1" x14ac:dyDescent="0.3">
      <c r="A2550" s="10" t="str">
        <f>基本属性!$B$13&amp;"|"&amp;基本属性!$C$13</f>
        <v>100|3</v>
      </c>
      <c r="B2550" s="10" t="str">
        <f>参数调整!$J$34</f>
        <v>首领掉落</v>
      </c>
      <c r="C2550" s="8" t="str">
        <f>材料产出!$BF$2</f>
        <v>首饰碎片</v>
      </c>
      <c r="D2550" s="224">
        <f>参数调整!$K$34*怪物掉落配置方案!$D4602</f>
        <v>2.0545389808737075E-2</v>
      </c>
    </row>
    <row r="2551" spans="1:4" ht="16.5" hidden="1" x14ac:dyDescent="0.3">
      <c r="A2551" s="10" t="str">
        <f>基本属性!$B$14&amp;"|"&amp;基本属性!$C$14</f>
        <v>105|4</v>
      </c>
      <c r="B2551" s="10" t="str">
        <f>参数调整!$J$34</f>
        <v>首领掉落</v>
      </c>
      <c r="C2551" s="8" t="str">
        <f>材料产出!$BF$2</f>
        <v>首饰碎片</v>
      </c>
      <c r="D2551" s="224">
        <f>参数调整!$K$34*怪物掉落配置方案!$D4603</f>
        <v>2.5364678776218612E-2</v>
      </c>
    </row>
    <row r="2552" spans="1:4" ht="16.5" hidden="1" x14ac:dyDescent="0.3">
      <c r="A2552" s="10" t="str">
        <f>基本属性!$B$15&amp;"|"&amp;基本属性!$C$15</f>
        <v>110|5</v>
      </c>
      <c r="B2552" s="10" t="str">
        <f>参数调整!$J$34</f>
        <v>首领掉落</v>
      </c>
      <c r="C2552" s="8" t="str">
        <f>材料产出!$BF$2</f>
        <v>首饰碎片</v>
      </c>
      <c r="D2552" s="224">
        <f>参数调整!$K$34*怪物掉落配置方案!$D4604</f>
        <v>3.0691261319224519E-2</v>
      </c>
    </row>
    <row r="2553" spans="1:4" ht="16.5" hidden="1" x14ac:dyDescent="0.3">
      <c r="A2553" s="10" t="str">
        <f>基本属性!$B$16&amp;"|"&amp;基本属性!$C$16</f>
        <v>120|6</v>
      </c>
      <c r="B2553" s="10" t="str">
        <f>参数调整!$J$34</f>
        <v>首领掉落</v>
      </c>
      <c r="C2553" s="8" t="str">
        <f>材料产出!$BF$2</f>
        <v>首饰碎片</v>
      </c>
      <c r="D2553" s="224">
        <f>参数调整!$K$34*怪物掉落配置方案!$D4605</f>
        <v>3.9632310587841578E-2</v>
      </c>
    </row>
    <row r="2554" spans="1:4" ht="16.5" hidden="1" x14ac:dyDescent="0.3">
      <c r="A2554" s="10" t="str">
        <f>基本属性!$B$17&amp;"|"&amp;基本属性!$C$17</f>
        <v>135|7</v>
      </c>
      <c r="B2554" s="10" t="str">
        <f>参数调整!$J$34</f>
        <v>首领掉落</v>
      </c>
      <c r="C2554" s="8" t="str">
        <f>材料产出!$BF$2</f>
        <v>首饰碎片</v>
      </c>
      <c r="D2554" s="224">
        <f>参数调整!$K$34*怪物掉落配置方案!$D4606</f>
        <v>5.7070527246491858E-2</v>
      </c>
    </row>
    <row r="2555" spans="1:4" ht="16.5" hidden="1" x14ac:dyDescent="0.3">
      <c r="A2555" s="10" t="str">
        <f>基本属性!$B$18&amp;"|"&amp;基本属性!$C$18</f>
        <v>155|8</v>
      </c>
      <c r="B2555" s="10" t="str">
        <f>参数调整!$J$34</f>
        <v>首领掉落</v>
      </c>
      <c r="C2555" s="8" t="str">
        <f>材料产出!$BF$2</f>
        <v>首饰碎片</v>
      </c>
      <c r="D2555" s="224">
        <f>参数调整!$K$34*怪物掉落配置方案!$D4607</f>
        <v>7.7679328752169499E-2</v>
      </c>
    </row>
    <row r="2556" spans="1:4" ht="16.5" hidden="1" x14ac:dyDescent="0.3">
      <c r="A2556" s="10" t="str">
        <f>基本属性!$B$19&amp;"|"&amp;基本属性!$C$19</f>
        <v>190|9</v>
      </c>
      <c r="B2556" s="10" t="str">
        <f>参数调整!$J$34</f>
        <v>首领掉落</v>
      </c>
      <c r="C2556" s="8" t="str">
        <f>材料产出!$BF$2</f>
        <v>首饰碎片</v>
      </c>
      <c r="D2556" s="224">
        <f>参数调整!$K$34*怪物掉落配置方案!$D4608</f>
        <v>8.681061311160819E-2</v>
      </c>
    </row>
    <row r="2557" spans="1:4" ht="16.5" hidden="1" x14ac:dyDescent="0.3">
      <c r="A2557" s="10" t="str">
        <f>基本属性!$B$20&amp;"|"&amp;基本属性!$C$20</f>
        <v>200|10</v>
      </c>
      <c r="B2557" s="10" t="str">
        <f>参数调整!$J$34</f>
        <v>首领掉落</v>
      </c>
      <c r="C2557" s="8" t="str">
        <f>材料产出!$BF$2</f>
        <v>首饰碎片</v>
      </c>
      <c r="D2557" s="224">
        <f>参数调整!$K$34*怪物掉落配置方案!$D4609</f>
        <v>0.10145871510487445</v>
      </c>
    </row>
    <row r="2558" spans="1:4" ht="16.5" hidden="1" x14ac:dyDescent="0.3">
      <c r="A2558" s="10" t="str">
        <f>基本属性!$B$21&amp;"|"&amp;基本属性!$C$21</f>
        <v>200|11</v>
      </c>
      <c r="B2558" s="10" t="str">
        <f>参数调整!$J$34</f>
        <v>首领掉落</v>
      </c>
      <c r="C2558" s="8" t="str">
        <f>材料产出!$BF$2</f>
        <v>首饰碎片</v>
      </c>
      <c r="D2558" s="224">
        <f>参数调整!$K$34*怪物掉落配置方案!$D4610</f>
        <v>0.11724822764307048</v>
      </c>
    </row>
    <row r="2559" spans="1:4" ht="16.5" hidden="1" x14ac:dyDescent="0.3">
      <c r="A2559" s="10" t="str">
        <f>基本属性!$B$22&amp;"|"&amp;基本属性!$C$22</f>
        <v>210|12</v>
      </c>
      <c r="B2559" s="10" t="str">
        <f>参数调整!$J$34</f>
        <v>首领掉落</v>
      </c>
      <c r="C2559" s="8" t="str">
        <f>材料产出!$BF$2</f>
        <v>首饰碎片</v>
      </c>
      <c r="D2559" s="224">
        <f>参数调整!$K$34*怪物掉落配置方案!$D4611</f>
        <v>0.13417915072619641</v>
      </c>
    </row>
    <row r="2560" spans="1:4" ht="16.5" hidden="1" x14ac:dyDescent="0.3">
      <c r="A2560" s="10" t="str">
        <f>基本属性!$B$23&amp;"|"&amp;基本属性!$C$23</f>
        <v>210|13</v>
      </c>
      <c r="B2560" s="10" t="str">
        <f>参数调整!$J$34</f>
        <v>首领掉落</v>
      </c>
      <c r="C2560" s="8" t="str">
        <f>材料产出!$BF$2</f>
        <v>首饰碎片</v>
      </c>
      <c r="D2560" s="224">
        <f>参数调整!$K$34*怪物掉落配置方案!$D4612</f>
        <v>0.1522514843542522</v>
      </c>
    </row>
    <row r="2561" spans="1:4" ht="16.5" hidden="1" x14ac:dyDescent="0.3">
      <c r="A2561" s="10" t="str">
        <f>基本属性!$B$24&amp;"|"&amp;基本属性!$C$24</f>
        <v>220|14</v>
      </c>
      <c r="B2561" s="10" t="str">
        <f>参数调整!$J$34</f>
        <v>首领掉落</v>
      </c>
      <c r="C2561" s="8" t="str">
        <f>材料产出!$BF$2</f>
        <v>首饰碎片</v>
      </c>
      <c r="D2561" s="224">
        <f>参数调整!$K$34*怪物掉落配置方案!$D4613</f>
        <v>0.17146522852723778</v>
      </c>
    </row>
    <row r="2562" spans="1:4" ht="16.5" hidden="1" x14ac:dyDescent="0.3">
      <c r="A2562" s="10" t="str">
        <f>基本属性!$B$25&amp;"|"&amp;基本属性!$C$25</f>
        <v>220|15</v>
      </c>
      <c r="B2562" s="10" t="str">
        <f>参数调整!$J$34</f>
        <v>首领掉落</v>
      </c>
      <c r="C2562" s="8" t="str">
        <f>材料产出!$BF$2</f>
        <v>首饰碎片</v>
      </c>
      <c r="D2562" s="224">
        <f>参数调整!$K$34*怪物掉落配置方案!$D4614</f>
        <v>0.19182038324515319</v>
      </c>
    </row>
    <row r="2563" spans="1:4" ht="16.5" hidden="1" x14ac:dyDescent="0.3">
      <c r="A2563" s="10" t="str">
        <f>基本属性!$B$26&amp;"|"&amp;基本属性!$C$26</f>
        <v>230|16</v>
      </c>
      <c r="B2563" s="10" t="str">
        <f>参数调整!$J$34</f>
        <v>首领掉落</v>
      </c>
      <c r="C2563" s="8" t="str">
        <f>材料产出!$BF$2</f>
        <v>首饰碎片</v>
      </c>
      <c r="D2563" s="224">
        <f>参数调整!$K$34*怪物掉落配置方案!$D4615</f>
        <v>0.21331694850799843</v>
      </c>
    </row>
    <row r="2564" spans="1:4" ht="16.5" hidden="1" x14ac:dyDescent="0.3">
      <c r="A2564" s="10" t="str">
        <f>基本属性!$B$27&amp;"|"&amp;基本属性!$C$27</f>
        <v>230|17</v>
      </c>
      <c r="B2564" s="10" t="str">
        <f>参数调整!$J$34</f>
        <v>首领掉落</v>
      </c>
      <c r="C2564" s="8" t="str">
        <f>材料产出!$BF$2</f>
        <v>首饰碎片</v>
      </c>
      <c r="D2564" s="224">
        <f>参数调整!$K$34*怪物掉落配置方案!$D4616</f>
        <v>0.23595492431577356</v>
      </c>
    </row>
    <row r="2565" spans="1:4" ht="16.5" hidden="1" x14ac:dyDescent="0.3">
      <c r="A2565" s="10" t="str">
        <f>基本属性!$B$28&amp;"|"&amp;基本属性!$C$28</f>
        <v>240|18</v>
      </c>
      <c r="B2565" s="10" t="str">
        <f>参数调整!$J$34</f>
        <v>首领掉落</v>
      </c>
      <c r="C2565" s="8" t="str">
        <f>材料产出!$BF$2</f>
        <v>首饰碎片</v>
      </c>
      <c r="D2565" s="224">
        <f>参数调整!$K$34*怪物掉落配置方案!$D4617</f>
        <v>0.25973431066847857</v>
      </c>
    </row>
    <row r="2566" spans="1:4" ht="16.5" hidden="1" x14ac:dyDescent="0.3">
      <c r="A2566" s="10" t="str">
        <f>基本属性!$B$29&amp;"|"&amp;基本属性!$C$29</f>
        <v>240|19</v>
      </c>
      <c r="B2566" s="10" t="str">
        <f>参数调整!$J$34</f>
        <v>首领掉落</v>
      </c>
      <c r="C2566" s="8" t="str">
        <f>材料产出!$BF$2</f>
        <v>首饰碎片</v>
      </c>
      <c r="D2566" s="224">
        <f>参数调整!$K$34*怪物掉落配置方案!$D4618</f>
        <v>0.28465510756611334</v>
      </c>
    </row>
    <row r="2567" spans="1:4" ht="16.5" hidden="1" x14ac:dyDescent="0.3">
      <c r="A2567" s="10" t="str">
        <f>基本属性!$B$30&amp;"|"&amp;基本属性!$C$30</f>
        <v>250|20</v>
      </c>
      <c r="B2567" s="10" t="str">
        <f>参数调整!$J$34</f>
        <v>首领掉落</v>
      </c>
      <c r="C2567" s="8" t="str">
        <f>材料产出!$BF$2</f>
        <v>首饰碎片</v>
      </c>
      <c r="D2567" s="224">
        <f>参数调整!$K$34*怪物掉落配置方案!$D4619</f>
        <v>0.31071731500867789</v>
      </c>
    </row>
    <row r="2568" spans="1:4" ht="16.5" hidden="1" x14ac:dyDescent="0.3">
      <c r="A2568" s="10" t="str">
        <f>基本属性!$B$4&amp;"|"&amp;基本属性!$C$4</f>
        <v>35|0</v>
      </c>
      <c r="B2568" s="10" t="str">
        <f>参数调整!$J$34</f>
        <v>首领掉落</v>
      </c>
      <c r="C2568" s="8" t="str">
        <f>材料产出!$P$2</f>
        <v>声望</v>
      </c>
      <c r="D2568" s="224">
        <f>参数调整!$K$34*怪物掉落配置方案!$D4620</f>
        <v>0.64950093732583469</v>
      </c>
    </row>
    <row r="2569" spans="1:4" ht="16.5" hidden="1" x14ac:dyDescent="0.3">
      <c r="A2569" s="10" t="str">
        <f>基本属性!$B$5&amp;"|"&amp;基本属性!$C$5</f>
        <v>40|0</v>
      </c>
      <c r="B2569" s="10" t="str">
        <f>参数调整!$J$34</f>
        <v>首领掉落</v>
      </c>
      <c r="C2569" s="8" t="str">
        <f>材料产出!$P$2</f>
        <v>声望</v>
      </c>
      <c r="D2569" s="224">
        <f>参数调整!$K$34*怪物掉落配置方案!$D4621</f>
        <v>0.82202462380300956</v>
      </c>
    </row>
    <row r="2570" spans="1:4" ht="16.5" hidden="1" x14ac:dyDescent="0.3">
      <c r="A2570" s="10" t="str">
        <f>基本属性!$B$6&amp;"|"&amp;基本属性!$C$6</f>
        <v>50|0</v>
      </c>
      <c r="B2570" s="10" t="str">
        <f>参数调整!$J$34</f>
        <v>首领掉落</v>
      </c>
      <c r="C2570" s="8" t="str">
        <f>材料产出!$P$2</f>
        <v>声望</v>
      </c>
      <c r="D2570" s="224">
        <f>参数调整!$K$34*怪物掉落配置方案!$D4622</f>
        <v>1.0148452145716167</v>
      </c>
    </row>
    <row r="2571" spans="1:4" ht="16.5" hidden="1" x14ac:dyDescent="0.3">
      <c r="A2571" s="10" t="str">
        <f>基本属性!$B$7&amp;"|"&amp;基本属性!$C$7</f>
        <v>60|0</v>
      </c>
      <c r="B2571" s="10" t="str">
        <f>参数调整!$J$34</f>
        <v>首领掉落</v>
      </c>
      <c r="C2571" s="8" t="str">
        <f>材料产出!$P$2</f>
        <v>声望</v>
      </c>
      <c r="D2571" s="224">
        <f>参数调整!$K$34*怪物掉落配置方案!$D4623</f>
        <v>1.2279627096316563</v>
      </c>
    </row>
    <row r="2572" spans="1:4" ht="16.5" hidden="1" x14ac:dyDescent="0.3">
      <c r="A2572" s="10" t="str">
        <f>基本属性!$B$8&amp;"|"&amp;基本属性!$C$8</f>
        <v>65|0</v>
      </c>
      <c r="B2572" s="10" t="str">
        <f>参数调整!$J$34</f>
        <v>首领掉落</v>
      </c>
      <c r="C2572" s="8" t="str">
        <f>材料产出!$P$2</f>
        <v>声望</v>
      </c>
      <c r="D2572" s="224">
        <f>参数调整!$K$34*怪物掉落配置方案!$D4624</f>
        <v>1.461377108983128</v>
      </c>
    </row>
    <row r="2573" spans="1:4" ht="16.5" hidden="1" x14ac:dyDescent="0.3">
      <c r="A2573" s="10" t="str">
        <f>基本属性!$B$9&amp;"|"&amp;基本属性!$C$9</f>
        <v>70|0</v>
      </c>
      <c r="B2573" s="10" t="str">
        <f>参数调整!$J$34</f>
        <v>首领掉落</v>
      </c>
      <c r="C2573" s="8" t="str">
        <f>材料产出!$P$2</f>
        <v>声望</v>
      </c>
      <c r="D2573" s="224">
        <f>参数调整!$K$34*怪物掉落配置方案!$D4625</f>
        <v>1.7150884126260324</v>
      </c>
    </row>
    <row r="2574" spans="1:4" ht="16.5" hidden="1" x14ac:dyDescent="0.3">
      <c r="A2574" s="10" t="str">
        <f>基本属性!$B$10&amp;"|"&amp;基本属性!$C$10</f>
        <v>75|0</v>
      </c>
      <c r="B2574" s="10" t="str">
        <f>参数调整!$J$34</f>
        <v>首领掉落</v>
      </c>
      <c r="C2574" s="8" t="str">
        <f>材料产出!$P$2</f>
        <v>声望</v>
      </c>
      <c r="D2574" s="224">
        <f>参数调整!$K$34*怪物掉落配置方案!$D4626</f>
        <v>1.9890966205603686</v>
      </c>
    </row>
    <row r="2575" spans="1:4" ht="16.5" hidden="1" x14ac:dyDescent="0.3">
      <c r="A2575" s="10" t="str">
        <f>基本属性!$B$11&amp;"|"&amp;基本属性!$C$11</f>
        <v>80|1</v>
      </c>
      <c r="B2575" s="10" t="str">
        <f>参数调整!$J$34</f>
        <v>首领掉落</v>
      </c>
      <c r="C2575" s="8" t="str">
        <f>材料产出!$P$2</f>
        <v>声望</v>
      </c>
      <c r="D2575" s="224">
        <f>参数调整!$K$34*怪物掉落配置方案!$D4627</f>
        <v>2.2834017327861376</v>
      </c>
    </row>
    <row r="2576" spans="1:4" ht="16.5" hidden="1" x14ac:dyDescent="0.3">
      <c r="A2576" s="10" t="str">
        <f>基本属性!$B$12&amp;"|"&amp;基本属性!$C$12</f>
        <v>90|2</v>
      </c>
      <c r="B2576" s="10" t="str">
        <f>参数调整!$J$34</f>
        <v>首领掉落</v>
      </c>
      <c r="C2576" s="8" t="str">
        <f>材料产出!$P$2</f>
        <v>声望</v>
      </c>
      <c r="D2576" s="224">
        <f>参数调整!$K$34*怪物掉落配置方案!$D4628</f>
        <v>2.5980037493033392</v>
      </c>
    </row>
    <row r="2577" spans="1:4" ht="16.5" hidden="1" x14ac:dyDescent="0.3">
      <c r="A2577" s="10" t="str">
        <f>基本属性!$B$13&amp;"|"&amp;基本属性!$C$13</f>
        <v>100|3</v>
      </c>
      <c r="B2577" s="10" t="str">
        <f>参数调整!$J$34</f>
        <v>首领掉落</v>
      </c>
      <c r="C2577" s="8" t="str">
        <f>材料产出!$P$2</f>
        <v>声望</v>
      </c>
      <c r="D2577" s="224">
        <f>参数调整!$K$34*怪物掉落配置方案!$D4629</f>
        <v>3.2880984952120382</v>
      </c>
    </row>
    <row r="2578" spans="1:4" ht="16.5" hidden="1" x14ac:dyDescent="0.3">
      <c r="A2578" s="10" t="str">
        <f>基本属性!$B$14&amp;"|"&amp;基本属性!$C$14</f>
        <v>105|4</v>
      </c>
      <c r="B2578" s="10" t="str">
        <f>参数调整!$J$34</f>
        <v>首领掉落</v>
      </c>
      <c r="C2578" s="8" t="str">
        <f>材料产出!$P$2</f>
        <v>声望</v>
      </c>
      <c r="D2578" s="224">
        <f>参数调整!$K$34*怪物掉落配置方案!$D4630</f>
        <v>4.0593808582864677</v>
      </c>
    </row>
    <row r="2579" spans="1:4" ht="16.5" hidden="1" x14ac:dyDescent="0.3">
      <c r="A2579" s="10" t="str">
        <f>基本属性!$B$15&amp;"|"&amp;基本属性!$C$15</f>
        <v>110|5</v>
      </c>
      <c r="B2579" s="10" t="str">
        <f>参数调整!$J$34</f>
        <v>首领掉落</v>
      </c>
      <c r="C2579" s="8" t="str">
        <f>材料产出!$P$2</f>
        <v>声望</v>
      </c>
      <c r="D2579" s="224">
        <f>参数调整!$K$34*怪物掉落配置方案!$D4631</f>
        <v>4.9118508385266253</v>
      </c>
    </row>
    <row r="2580" spans="1:4" ht="16.5" hidden="1" x14ac:dyDescent="0.3">
      <c r="A2580" s="10" t="str">
        <f>基本属性!$B$16&amp;"|"&amp;基本属性!$C$16</f>
        <v>120|6</v>
      </c>
      <c r="B2580" s="10" t="str">
        <f>参数调整!$J$34</f>
        <v>首领掉落</v>
      </c>
      <c r="C2580" s="8" t="str">
        <f>材料产出!$P$2</f>
        <v>声望</v>
      </c>
      <c r="D2580" s="224">
        <f>参数调整!$K$34*怪物掉落配置方案!$D4632</f>
        <v>6.3427825910726039</v>
      </c>
    </row>
    <row r="2581" spans="1:4" ht="16.5" hidden="1" x14ac:dyDescent="0.3">
      <c r="A2581" s="10" t="str">
        <f>基本属性!$B$17&amp;"|"&amp;基本属性!$C$17</f>
        <v>135|7</v>
      </c>
      <c r="B2581" s="10" t="str">
        <f>参数调整!$J$34</f>
        <v>首领掉落</v>
      </c>
      <c r="C2581" s="8" t="str">
        <f>材料产出!$P$2</f>
        <v>声望</v>
      </c>
      <c r="D2581" s="224">
        <f>参数调整!$K$34*怪物掉落配置方案!$D4633</f>
        <v>9.1336069311445502</v>
      </c>
    </row>
    <row r="2582" spans="1:4" ht="16.5" hidden="1" x14ac:dyDescent="0.3">
      <c r="A2582" s="10" t="str">
        <f>基本属性!$B$18&amp;"|"&amp;基本属性!$C$18</f>
        <v>155|8</v>
      </c>
      <c r="B2582" s="10" t="str">
        <f>参数调整!$J$34</f>
        <v>首领掉落</v>
      </c>
      <c r="C2582" s="8" t="str">
        <f>材料产出!$P$2</f>
        <v>声望</v>
      </c>
      <c r="D2582" s="224">
        <f>参数调整!$K$34*怪物掉落配置方案!$D4634</f>
        <v>12.431853878502306</v>
      </c>
    </row>
    <row r="2583" spans="1:4" ht="16.5" hidden="1" x14ac:dyDescent="0.3">
      <c r="A2583" s="10" t="str">
        <f>基本属性!$B$19&amp;"|"&amp;基本属性!$C$19</f>
        <v>190|9</v>
      </c>
      <c r="B2583" s="10" t="str">
        <f>参数调整!$J$34</f>
        <v>首领掉落</v>
      </c>
      <c r="C2583" s="8" t="str">
        <f>材料产出!$P$2</f>
        <v>声望</v>
      </c>
      <c r="D2583" s="224">
        <f>参数调整!$K$34*怪物掉落配置方案!$D4635</f>
        <v>13.893230987485437</v>
      </c>
    </row>
    <row r="2584" spans="1:4" ht="16.5" hidden="1" x14ac:dyDescent="0.3">
      <c r="A2584" s="10" t="str">
        <f>基本属性!$B$20&amp;"|"&amp;基本属性!$C$20</f>
        <v>200|10</v>
      </c>
      <c r="B2584" s="10" t="str">
        <f>参数调整!$J$34</f>
        <v>首领掉落</v>
      </c>
      <c r="C2584" s="8" t="str">
        <f>材料产出!$P$2</f>
        <v>声望</v>
      </c>
      <c r="D2584" s="224">
        <f>参数调整!$K$34*怪物掉落配置方案!$D4636</f>
        <v>16.237523433145871</v>
      </c>
    </row>
    <row r="2585" spans="1:4" ht="16.5" hidden="1" x14ac:dyDescent="0.3">
      <c r="A2585" s="10" t="str">
        <f>基本属性!$B$21&amp;"|"&amp;基本属性!$C$21</f>
        <v>200|11</v>
      </c>
      <c r="B2585" s="10" t="str">
        <f>参数调整!$J$34</f>
        <v>首领掉落</v>
      </c>
      <c r="C2585" s="8" t="str">
        <f>材料产出!$P$2</f>
        <v>声望</v>
      </c>
      <c r="D2585" s="224">
        <f>参数调整!$K$34*怪物掉落配置方案!$D4637</f>
        <v>18.764488017429191</v>
      </c>
    </row>
    <row r="2586" spans="1:4" ht="16.5" hidden="1" x14ac:dyDescent="0.3">
      <c r="A2586" s="10" t="str">
        <f>基本属性!$B$22&amp;"|"&amp;基本属性!$C$22</f>
        <v>210|12</v>
      </c>
      <c r="B2586" s="10" t="str">
        <f>参数调整!$J$34</f>
        <v>首领掉落</v>
      </c>
      <c r="C2586" s="8" t="str">
        <f>材料产出!$P$2</f>
        <v>声望</v>
      </c>
      <c r="D2586" s="224">
        <f>参数调整!$K$34*怪物掉落配置方案!$D4638</f>
        <v>21.474124740335405</v>
      </c>
    </row>
    <row r="2587" spans="1:4" ht="16.5" hidden="1" x14ac:dyDescent="0.3">
      <c r="A2587" s="10" t="str">
        <f>基本属性!$B$23&amp;"|"&amp;基本属性!$C$23</f>
        <v>210|13</v>
      </c>
      <c r="B2587" s="10" t="str">
        <f>参数调整!$J$34</f>
        <v>首领掉落</v>
      </c>
      <c r="C2587" s="8" t="str">
        <f>材料产出!$P$2</f>
        <v>声望</v>
      </c>
      <c r="D2587" s="224">
        <f>参数调整!$K$34*怪物掉落配置方案!$D4639</f>
        <v>24.366433601864522</v>
      </c>
    </row>
    <row r="2588" spans="1:4" ht="16.5" hidden="1" x14ac:dyDescent="0.3">
      <c r="A2588" s="10" t="str">
        <f>基本属性!$B$24&amp;"|"&amp;基本属性!$C$24</f>
        <v>220|14</v>
      </c>
      <c r="B2588" s="10" t="str">
        <f>参数调整!$J$34</f>
        <v>首领掉落</v>
      </c>
      <c r="C2588" s="8" t="str">
        <f>材料产出!$P$2</f>
        <v>声望</v>
      </c>
      <c r="D2588" s="224">
        <f>参数调整!$K$34*怪物掉落配置方案!$D4640</f>
        <v>27.441414602016518</v>
      </c>
    </row>
    <row r="2589" spans="1:4" ht="16.5" hidden="1" x14ac:dyDescent="0.3">
      <c r="A2589" s="10" t="str">
        <f>基本属性!$B$25&amp;"|"&amp;基本属性!$C$25</f>
        <v>220|15</v>
      </c>
      <c r="B2589" s="10" t="str">
        <f>参数调整!$J$34</f>
        <v>首领掉落</v>
      </c>
      <c r="C2589" s="8" t="str">
        <f>材料产出!$P$2</f>
        <v>声望</v>
      </c>
      <c r="D2589" s="224">
        <f>参数调整!$K$34*怪物掉落配置方案!$D4641</f>
        <v>30.699067740791403</v>
      </c>
    </row>
    <row r="2590" spans="1:4" ht="16.5" hidden="1" x14ac:dyDescent="0.3">
      <c r="A2590" s="10" t="str">
        <f>基本属性!$B$26&amp;"|"&amp;基本属性!$C$26</f>
        <v>230|16</v>
      </c>
      <c r="B2590" s="10" t="str">
        <f>参数调整!$J$34</f>
        <v>首领掉落</v>
      </c>
      <c r="C2590" s="8" t="str">
        <f>材料产出!$P$2</f>
        <v>声望</v>
      </c>
      <c r="D2590" s="224">
        <f>参数调整!$K$34*怪物掉落配置方案!$D4642</f>
        <v>34.139393018189189</v>
      </c>
    </row>
    <row r="2591" spans="1:4" ht="16.5" hidden="1" x14ac:dyDescent="0.3">
      <c r="A2591" s="10" t="str">
        <f>基本属性!$B$27&amp;"|"&amp;基本属性!$C$27</f>
        <v>230|17</v>
      </c>
      <c r="B2591" s="10" t="str">
        <f>参数调整!$J$34</f>
        <v>首领掉落</v>
      </c>
      <c r="C2591" s="8" t="str">
        <f>材料产出!$P$2</f>
        <v>声望</v>
      </c>
      <c r="D2591" s="224">
        <f>参数调整!$K$34*怪物掉落配置方案!$D4643</f>
        <v>37.762390434209856</v>
      </c>
    </row>
    <row r="2592" spans="1:4" ht="16.5" hidden="1" x14ac:dyDescent="0.3">
      <c r="A2592" s="10" t="str">
        <f>基本属性!$B$28&amp;"|"&amp;基本属性!$C$28</f>
        <v>240|18</v>
      </c>
      <c r="B2592" s="10" t="str">
        <f>参数调整!$J$34</f>
        <v>首领掉落</v>
      </c>
      <c r="C2592" s="8" t="str">
        <f>材料产出!$P$2</f>
        <v>声望</v>
      </c>
      <c r="D2592" s="224">
        <f>参数调整!$K$34*怪物掉落配置方案!$D4644</f>
        <v>41.568059988853427</v>
      </c>
    </row>
    <row r="2593" spans="1:4" ht="16.5" hidden="1" x14ac:dyDescent="0.3">
      <c r="A2593" s="10" t="str">
        <f>基本属性!$B$29&amp;"|"&amp;基本属性!$C$29</f>
        <v>240|19</v>
      </c>
      <c r="B2593" s="10" t="str">
        <f>参数调整!$J$34</f>
        <v>首领掉落</v>
      </c>
      <c r="C2593" s="8" t="str">
        <f>材料产出!$P$2</f>
        <v>声望</v>
      </c>
      <c r="D2593" s="224">
        <f>参数调整!$K$34*怪物掉落配置方案!$D4645</f>
        <v>45.556401682119876</v>
      </c>
    </row>
    <row r="2594" spans="1:4" ht="16.5" hidden="1" x14ac:dyDescent="0.3">
      <c r="A2594" s="10" t="str">
        <f>基本属性!$B$30&amp;"|"&amp;基本属性!$C$30</f>
        <v>250|20</v>
      </c>
      <c r="B2594" s="10" t="str">
        <f>参数调整!$J$34</f>
        <v>首领掉落</v>
      </c>
      <c r="C2594" s="8" t="str">
        <f>材料产出!$P$2</f>
        <v>声望</v>
      </c>
      <c r="D2594" s="224">
        <f>参数调整!$K$34*怪物掉落配置方案!$D4646</f>
        <v>49.727415514009209</v>
      </c>
    </row>
    <row r="2595" spans="1:4" ht="16.5" hidden="1" x14ac:dyDescent="0.3">
      <c r="A2595" s="10" t="str">
        <f>基本属性!$B$4&amp;"|"&amp;基本属性!$C$4</f>
        <v>35|0</v>
      </c>
      <c r="B2595" s="10" t="str">
        <f>参数调整!$J$34</f>
        <v>首领掉落</v>
      </c>
      <c r="C2595" s="8" t="str">
        <f>材料产出!$AV$2</f>
        <v>神器图纸</v>
      </c>
      <c r="D2595" s="224">
        <f>参数调整!$K$34*怪物掉落配置方案!$D4647</f>
        <v>2.922010995020383E-3</v>
      </c>
    </row>
    <row r="2596" spans="1:4" ht="16.5" hidden="1" x14ac:dyDescent="0.3">
      <c r="A2596" s="10" t="str">
        <f>基本属性!$B$5&amp;"|"&amp;基本属性!$C$5</f>
        <v>40|0</v>
      </c>
      <c r="B2596" s="10" t="str">
        <f>参数调整!$J$34</f>
        <v>首领掉落</v>
      </c>
      <c r="C2596" s="8" t="str">
        <f>材料产出!$AV$2</f>
        <v>神器图纸</v>
      </c>
      <c r="D2596" s="224">
        <f>参数调整!$K$34*怪物掉落配置方案!$D4648</f>
        <v>3.6981701655726721E-3</v>
      </c>
    </row>
    <row r="2597" spans="1:4" ht="16.5" hidden="1" x14ac:dyDescent="0.3">
      <c r="A2597" s="10" t="str">
        <f>基本属性!$B$6&amp;"|"&amp;基本属性!$C$6</f>
        <v>50|0</v>
      </c>
      <c r="B2597" s="10" t="str">
        <f>参数调整!$J$34</f>
        <v>首领掉落</v>
      </c>
      <c r="C2597" s="8" t="str">
        <f>材料产出!$AV$2</f>
        <v>神器图纸</v>
      </c>
      <c r="D2597" s="224">
        <f>参数调整!$K$34*怪物掉落配置方案!$D4649</f>
        <v>4.5656421797193487E-3</v>
      </c>
    </row>
    <row r="2598" spans="1:4" ht="16.5" hidden="1" x14ac:dyDescent="0.3">
      <c r="A2598" s="10" t="str">
        <f>基本属性!$B$7&amp;"|"&amp;基本属性!$C$7</f>
        <v>60|0</v>
      </c>
      <c r="B2598" s="10" t="str">
        <f>参数调整!$J$34</f>
        <v>首领掉落</v>
      </c>
      <c r="C2598" s="8" t="str">
        <f>材料产出!$AV$2</f>
        <v>神器图纸</v>
      </c>
      <c r="D2598" s="224">
        <f>参数调整!$K$34*怪物掉落配置方案!$D4650</f>
        <v>5.5244270374604125E-3</v>
      </c>
    </row>
    <row r="2599" spans="1:4" ht="16.5" hidden="1" x14ac:dyDescent="0.3">
      <c r="A2599" s="10" t="str">
        <f>基本属性!$B$8&amp;"|"&amp;基本属性!$C$8</f>
        <v>65|0</v>
      </c>
      <c r="B2599" s="10" t="str">
        <f>参数调整!$J$34</f>
        <v>首领掉落</v>
      </c>
      <c r="C2599" s="8" t="str">
        <f>材料产出!$AV$2</f>
        <v>神器图纸</v>
      </c>
      <c r="D2599" s="224">
        <f>参数调整!$K$34*怪物掉落配置方案!$D4651</f>
        <v>6.5745247387958613E-3</v>
      </c>
    </row>
    <row r="2600" spans="1:4" ht="16.5" hidden="1" x14ac:dyDescent="0.3">
      <c r="A2600" s="10" t="str">
        <f>基本属性!$B$9&amp;"|"&amp;基本属性!$C$9</f>
        <v>70|0</v>
      </c>
      <c r="B2600" s="10" t="str">
        <f>参数调整!$J$34</f>
        <v>首领掉落</v>
      </c>
      <c r="C2600" s="8" t="str">
        <f>材料产出!$AV$2</f>
        <v>神器图纸</v>
      </c>
      <c r="D2600" s="224">
        <f>参数调整!$K$34*怪物掉落配置方案!$D4652</f>
        <v>7.7159352837256993E-3</v>
      </c>
    </row>
    <row r="2601" spans="1:4" ht="16.5" hidden="1" x14ac:dyDescent="0.3">
      <c r="A2601" s="10" t="str">
        <f>基本属性!$B$10&amp;"|"&amp;基本属性!$C$10</f>
        <v>75|0</v>
      </c>
      <c r="B2601" s="10" t="str">
        <f>参数调整!$J$34</f>
        <v>首领掉落</v>
      </c>
      <c r="C2601" s="8" t="str">
        <f>材料产出!$AV$2</f>
        <v>神器图纸</v>
      </c>
      <c r="D2601" s="224">
        <f>参数调整!$K$34*怪物掉落配置方案!$D4653</f>
        <v>8.9486586722499224E-3</v>
      </c>
    </row>
    <row r="2602" spans="1:4" ht="16.5" hidden="1" x14ac:dyDescent="0.3">
      <c r="A2602" s="10" t="str">
        <f>基本属性!$B$11&amp;"|"&amp;基本属性!$C$11</f>
        <v>80|1</v>
      </c>
      <c r="B2602" s="10" t="str">
        <f>参数调整!$J$34</f>
        <v>首领掉落</v>
      </c>
      <c r="C2602" s="8" t="str">
        <f>材料产出!$AV$2</f>
        <v>神器图纸</v>
      </c>
      <c r="D2602" s="224">
        <f>参数调整!$K$34*怪物掉落配置方案!$D4654</f>
        <v>1.0272694904368534E-2</v>
      </c>
    </row>
    <row r="2603" spans="1:4" ht="16.5" hidden="1" x14ac:dyDescent="0.3">
      <c r="A2603" s="10" t="str">
        <f>基本属性!$B$12&amp;"|"&amp;基本属性!$C$12</f>
        <v>90|2</v>
      </c>
      <c r="B2603" s="10" t="str">
        <f>参数调整!$J$34</f>
        <v>首领掉落</v>
      </c>
      <c r="C2603" s="8" t="str">
        <f>材料产出!$AV$2</f>
        <v>神器图纸</v>
      </c>
      <c r="D2603" s="224">
        <f>参数调整!$K$34*怪物掉落配置方案!$D4655</f>
        <v>1.1688043980081535E-2</v>
      </c>
    </row>
    <row r="2604" spans="1:4" ht="16.5" hidden="1" x14ac:dyDescent="0.3">
      <c r="A2604" s="10" t="str">
        <f>基本属性!$B$13&amp;"|"&amp;基本属性!$C$13</f>
        <v>100|3</v>
      </c>
      <c r="B2604" s="10" t="str">
        <f>参数调整!$J$34</f>
        <v>首领掉落</v>
      </c>
      <c r="C2604" s="8" t="str">
        <f>材料产出!$AV$2</f>
        <v>神器图纸</v>
      </c>
      <c r="D2604" s="224">
        <f>参数调整!$K$34*怪物掉落配置方案!$D4656</f>
        <v>1.4792680662290692E-2</v>
      </c>
    </row>
    <row r="2605" spans="1:4" ht="16.5" hidden="1" x14ac:dyDescent="0.3">
      <c r="A2605" s="10" t="str">
        <f>基本属性!$B$14&amp;"|"&amp;基本属性!$C$14</f>
        <v>105|4</v>
      </c>
      <c r="B2605" s="10" t="str">
        <f>参数调整!$J$34</f>
        <v>首领掉落</v>
      </c>
      <c r="C2605" s="8" t="str">
        <f>材料产出!$AV$2</f>
        <v>神器图纸</v>
      </c>
      <c r="D2605" s="224">
        <f>参数调整!$K$34*怪物掉落配置方案!$D4657</f>
        <v>1.8262568718877395E-2</v>
      </c>
    </row>
    <row r="2606" spans="1:4" ht="16.5" hidden="1" x14ac:dyDescent="0.3">
      <c r="A2606" s="10" t="str">
        <f>基本属性!$B$15&amp;"|"&amp;基本属性!$C$15</f>
        <v>110|5</v>
      </c>
      <c r="B2606" s="10" t="str">
        <f>参数调整!$J$34</f>
        <v>首领掉落</v>
      </c>
      <c r="C2606" s="8" t="str">
        <f>材料产出!$AV$2</f>
        <v>神器图纸</v>
      </c>
      <c r="D2606" s="224">
        <f>参数调整!$K$34*怪物掉落配置方案!$D4658</f>
        <v>2.209770814984165E-2</v>
      </c>
    </row>
    <row r="2607" spans="1:4" ht="16.5" hidden="1" x14ac:dyDescent="0.3">
      <c r="A2607" s="10" t="str">
        <f>基本属性!$B$16&amp;"|"&amp;基本属性!$C$16</f>
        <v>120|6</v>
      </c>
      <c r="B2607" s="10" t="str">
        <f>参数调整!$J$34</f>
        <v>首领掉落</v>
      </c>
      <c r="C2607" s="8" t="str">
        <f>材料产出!$AV$2</f>
        <v>神器图纸</v>
      </c>
      <c r="D2607" s="224">
        <f>参数调整!$K$34*怪物掉落配置方案!$D4659</f>
        <v>2.8535263623245929E-2</v>
      </c>
    </row>
    <row r="2608" spans="1:4" ht="16.5" hidden="1" x14ac:dyDescent="0.3">
      <c r="A2608" s="10" t="str">
        <f>基本属性!$B$17&amp;"|"&amp;基本属性!$C$17</f>
        <v>135|7</v>
      </c>
      <c r="B2608" s="10" t="str">
        <f>参数调整!$J$34</f>
        <v>首领掉落</v>
      </c>
      <c r="C2608" s="8" t="str">
        <f>材料产出!$AV$2</f>
        <v>神器图纸</v>
      </c>
      <c r="D2608" s="224">
        <f>参数调整!$K$34*怪物掉落配置方案!$D4660</f>
        <v>4.1090779617474135E-2</v>
      </c>
    </row>
    <row r="2609" spans="1:4" ht="16.5" hidden="1" x14ac:dyDescent="0.3">
      <c r="A2609" s="10" t="str">
        <f>基本属性!$B$18&amp;"|"&amp;基本属性!$C$18</f>
        <v>155|8</v>
      </c>
      <c r="B2609" s="10" t="str">
        <f>参数调整!$J$34</f>
        <v>首领掉落</v>
      </c>
      <c r="C2609" s="8" t="str">
        <f>材料产出!$AV$2</f>
        <v>神器图纸</v>
      </c>
      <c r="D2609" s="224">
        <f>参数调整!$K$34*怪物掉落配置方案!$D4661</f>
        <v>5.5929116701562025E-2</v>
      </c>
    </row>
    <row r="2610" spans="1:4" ht="16.5" hidden="1" x14ac:dyDescent="0.3">
      <c r="A2610" s="10" t="str">
        <f>基本属性!$B$19&amp;"|"&amp;基本属性!$C$19</f>
        <v>190|9</v>
      </c>
      <c r="B2610" s="10" t="str">
        <f>参数调整!$J$34</f>
        <v>首领掉落</v>
      </c>
      <c r="C2610" s="8" t="str">
        <f>材料产出!$AV$2</f>
        <v>神器图纸</v>
      </c>
      <c r="D2610" s="224">
        <f>参数调整!$K$34*怪物掉落配置方案!$D4662</f>
        <v>6.2503641440357888E-2</v>
      </c>
    </row>
    <row r="2611" spans="1:4" ht="16.5" hidden="1" x14ac:dyDescent="0.3">
      <c r="A2611" s="10" t="str">
        <f>基本属性!$B$20&amp;"|"&amp;基本属性!$C$20</f>
        <v>200|10</v>
      </c>
      <c r="B2611" s="10" t="str">
        <f>参数调整!$J$34</f>
        <v>首领掉落</v>
      </c>
      <c r="C2611" s="8" t="str">
        <f>材料产出!$AV$2</f>
        <v>神器图纸</v>
      </c>
      <c r="D2611" s="224">
        <f>参数调整!$K$34*怪物掉落配置方案!$D4663</f>
        <v>7.305027487550958E-2</v>
      </c>
    </row>
    <row r="2612" spans="1:4" ht="16.5" hidden="1" x14ac:dyDescent="0.3">
      <c r="A2612" s="10" t="str">
        <f>基本属性!$B$21&amp;"|"&amp;基本属性!$C$21</f>
        <v>200|11</v>
      </c>
      <c r="B2612" s="10" t="str">
        <f>参数调整!$J$34</f>
        <v>首领掉落</v>
      </c>
      <c r="C2612" s="8" t="str">
        <f>材料产出!$AV$2</f>
        <v>神器图纸</v>
      </c>
      <c r="D2612" s="224">
        <f>参数调整!$K$34*怪物掉落配置方案!$D4664</f>
        <v>8.4418723903010737E-2</v>
      </c>
    </row>
    <row r="2613" spans="1:4" ht="16.5" hidden="1" x14ac:dyDescent="0.3">
      <c r="A2613" s="10" t="str">
        <f>基本属性!$B$22&amp;"|"&amp;基本属性!$C$22</f>
        <v>210|12</v>
      </c>
      <c r="B2613" s="10" t="str">
        <f>参数调整!$J$34</f>
        <v>首领掉落</v>
      </c>
      <c r="C2613" s="8" t="str">
        <f>材料产出!$AV$2</f>
        <v>神器图纸</v>
      </c>
      <c r="D2613" s="224">
        <f>参数调整!$K$34*怪物掉落配置方案!$D4665</f>
        <v>9.6608988522861386E-2</v>
      </c>
    </row>
    <row r="2614" spans="1:4" ht="16.5" hidden="1" x14ac:dyDescent="0.3">
      <c r="A2614" s="10" t="str">
        <f>基本属性!$B$23&amp;"|"&amp;基本属性!$C$23</f>
        <v>210|13</v>
      </c>
      <c r="B2614" s="10" t="str">
        <f>参数调整!$J$34</f>
        <v>首领掉落</v>
      </c>
      <c r="C2614" s="8" t="str">
        <f>材料产出!$AV$2</f>
        <v>神器图纸</v>
      </c>
      <c r="D2614" s="224">
        <f>参数调整!$K$34*怪物掉落配置方案!$D4666</f>
        <v>0.10962106873506158</v>
      </c>
    </row>
    <row r="2615" spans="1:4" ht="16.5" hidden="1" x14ac:dyDescent="0.3">
      <c r="A2615" s="10" t="str">
        <f>基本属性!$B$24&amp;"|"&amp;基本属性!$C$24</f>
        <v>220|14</v>
      </c>
      <c r="B2615" s="10" t="str">
        <f>参数调整!$J$34</f>
        <v>首领掉落</v>
      </c>
      <c r="C2615" s="8" t="str">
        <f>材料产出!$AV$2</f>
        <v>神器图纸</v>
      </c>
      <c r="D2615" s="224">
        <f>参数调整!$K$34*怪物掉落配置方案!$D4667</f>
        <v>0.12345496453961119</v>
      </c>
    </row>
    <row r="2616" spans="1:4" ht="16.5" hidden="1" x14ac:dyDescent="0.3">
      <c r="A2616" s="10" t="str">
        <f>基本属性!$B$25&amp;"|"&amp;基本属性!$C$25</f>
        <v>220|15</v>
      </c>
      <c r="B2616" s="10" t="str">
        <f>参数调整!$J$34</f>
        <v>首领掉落</v>
      </c>
      <c r="C2616" s="8" t="str">
        <f>材料产出!$AV$2</f>
        <v>神器图纸</v>
      </c>
      <c r="D2616" s="224">
        <f>参数调整!$K$34*怪物掉落配置方案!$D4668</f>
        <v>0.13811067593651027</v>
      </c>
    </row>
    <row r="2617" spans="1:4" ht="16.5" hidden="1" x14ac:dyDescent="0.3">
      <c r="A2617" s="10" t="str">
        <f>基本属性!$B$26&amp;"|"&amp;基本属性!$C$26</f>
        <v>230|16</v>
      </c>
      <c r="B2617" s="10" t="str">
        <f>参数调整!$J$34</f>
        <v>首领掉落</v>
      </c>
      <c r="C2617" s="8" t="str">
        <f>材料产出!$AV$2</f>
        <v>神器图纸</v>
      </c>
      <c r="D2617" s="224">
        <f>参数调整!$K$34*怪物掉落配置方案!$D4669</f>
        <v>0.15358820292575887</v>
      </c>
    </row>
    <row r="2618" spans="1:4" ht="16.5" hidden="1" x14ac:dyDescent="0.3">
      <c r="A2618" s="10" t="str">
        <f>基本属性!$B$27&amp;"|"&amp;基本属性!$C$27</f>
        <v>230|17</v>
      </c>
      <c r="B2618" s="10" t="str">
        <f>参数调整!$J$34</f>
        <v>首领掉落</v>
      </c>
      <c r="C2618" s="8" t="str">
        <f>材料产出!$AV$2</f>
        <v>神器图纸</v>
      </c>
      <c r="D2618" s="224">
        <f>参数调整!$K$34*怪物掉落配置方案!$D4670</f>
        <v>0.16988754550735694</v>
      </c>
    </row>
    <row r="2619" spans="1:4" ht="16.5" hidden="1" x14ac:dyDescent="0.3">
      <c r="A2619" s="10" t="str">
        <f>基本属性!$B$28&amp;"|"&amp;基本属性!$C$28</f>
        <v>240|18</v>
      </c>
      <c r="B2619" s="10" t="str">
        <f>参数调整!$J$34</f>
        <v>首领掉落</v>
      </c>
      <c r="C2619" s="8" t="str">
        <f>材料产出!$AV$2</f>
        <v>神器图纸</v>
      </c>
      <c r="D2619" s="224">
        <f>参数调整!$K$34*怪物掉落配置方案!$D4671</f>
        <v>0.18700870368130457</v>
      </c>
    </row>
    <row r="2620" spans="1:4" ht="16.5" hidden="1" x14ac:dyDescent="0.3">
      <c r="A2620" s="10" t="str">
        <f>基本属性!$B$29&amp;"|"&amp;基本属性!$C$29</f>
        <v>240|19</v>
      </c>
      <c r="B2620" s="10" t="str">
        <f>参数调整!$J$34</f>
        <v>首领掉落</v>
      </c>
      <c r="C2620" s="8" t="str">
        <f>材料产出!$AV$2</f>
        <v>神器图纸</v>
      </c>
      <c r="D2620" s="224">
        <f>参数调整!$K$34*怪物掉落配置方案!$D4672</f>
        <v>0.20495167744760157</v>
      </c>
    </row>
    <row r="2621" spans="1:4" ht="16.5" hidden="1" x14ac:dyDescent="0.3">
      <c r="A2621" s="10" t="str">
        <f>基本属性!$B$30&amp;"|"&amp;基本属性!$C$30</f>
        <v>250|20</v>
      </c>
      <c r="B2621" s="10" t="str">
        <f>参数调整!$J$34</f>
        <v>首领掉落</v>
      </c>
      <c r="C2621" s="8" t="str">
        <f>材料产出!$AV$2</f>
        <v>神器图纸</v>
      </c>
      <c r="D2621" s="224">
        <f>参数调整!$K$34*怪物掉落配置方案!$D4673</f>
        <v>0.22371646680624807</v>
      </c>
    </row>
    <row r="2622" spans="1:4" ht="16.5" hidden="1" x14ac:dyDescent="0.3">
      <c r="A2622" s="10" t="str">
        <f>基本属性!$B$4&amp;"|"&amp;基本属性!$C$4</f>
        <v>35|0</v>
      </c>
      <c r="B2622" s="10" t="str">
        <f>参数调整!$J$34</f>
        <v>首领掉落</v>
      </c>
      <c r="C2622" s="8" t="str">
        <f>材料产出!$AH$2</f>
        <v>神品升星石</v>
      </c>
      <c r="D2622" s="224">
        <f>参数调整!$K$34*怪物掉落配置方案!$D4674</f>
        <v>4.5365042618120591E-2</v>
      </c>
    </row>
    <row r="2623" spans="1:4" ht="16.5" hidden="1" x14ac:dyDescent="0.3">
      <c r="A2623" s="10" t="str">
        <f>基本属性!$B$5&amp;"|"&amp;基本属性!$C$5</f>
        <v>40|0</v>
      </c>
      <c r="B2623" s="10" t="str">
        <f>参数调整!$J$34</f>
        <v>首领掉落</v>
      </c>
      <c r="C2623" s="8" t="str">
        <f>材料产出!$AH$2</f>
        <v>神品升星石</v>
      </c>
      <c r="D2623" s="224">
        <f>参数调整!$K$34*怪物掉落配置方案!$D4675</f>
        <v>5.7415132063558881E-2</v>
      </c>
    </row>
    <row r="2624" spans="1:4" ht="16.5" hidden="1" x14ac:dyDescent="0.3">
      <c r="A2624" s="10" t="str">
        <f>基本属性!$B$6&amp;"|"&amp;基本属性!$C$6</f>
        <v>50|0</v>
      </c>
      <c r="B2624" s="10" t="str">
        <f>参数调整!$J$34</f>
        <v>首领掉落</v>
      </c>
      <c r="C2624" s="8" t="str">
        <f>材料产出!$AH$2</f>
        <v>神品升星石</v>
      </c>
      <c r="D2624" s="224">
        <f>参数调整!$K$34*怪物掉落配置方案!$D4676</f>
        <v>7.0882879090813422E-2</v>
      </c>
    </row>
    <row r="2625" spans="1:4" ht="16.5" hidden="1" x14ac:dyDescent="0.3">
      <c r="A2625" s="10" t="str">
        <f>基本属性!$B$7&amp;"|"&amp;基本属性!$C$7</f>
        <v>60|0</v>
      </c>
      <c r="B2625" s="10" t="str">
        <f>参数调整!$J$34</f>
        <v>首领掉落</v>
      </c>
      <c r="C2625" s="8" t="str">
        <f>材料产出!$AH$2</f>
        <v>神品升星石</v>
      </c>
      <c r="D2625" s="224">
        <f>参数调整!$K$34*怪物掉落配置方案!$D4677</f>
        <v>8.5768283699884248E-2</v>
      </c>
    </row>
    <row r="2626" spans="1:4" ht="16.5" hidden="1" x14ac:dyDescent="0.3">
      <c r="A2626" s="10" t="str">
        <f>基本属性!$B$8&amp;"|"&amp;基本属性!$C$8</f>
        <v>65|0</v>
      </c>
      <c r="B2626" s="10" t="str">
        <f>参数调整!$J$34</f>
        <v>首领掉落</v>
      </c>
      <c r="C2626" s="8" t="str">
        <f>材料产出!$AH$2</f>
        <v>神品升星石</v>
      </c>
      <c r="D2626" s="224">
        <f>参数调整!$K$34*怪物掉落配置方案!$D4678</f>
        <v>0.10207134589077134</v>
      </c>
    </row>
    <row r="2627" spans="1:4" ht="16.5" hidden="1" x14ac:dyDescent="0.3">
      <c r="A2627" s="10" t="str">
        <f>基本属性!$B$9&amp;"|"&amp;基本属性!$C$9</f>
        <v>70|0</v>
      </c>
      <c r="B2627" s="10" t="str">
        <f>参数调整!$J$34</f>
        <v>首领掉落</v>
      </c>
      <c r="C2627" s="8" t="str">
        <f>材料产出!$AH$2</f>
        <v>神品升星石</v>
      </c>
      <c r="D2627" s="224">
        <f>参数调整!$K$34*怪物掉落配置方案!$D4679</f>
        <v>0.11979206566347471</v>
      </c>
    </row>
    <row r="2628" spans="1:4" ht="16.5" hidden="1" x14ac:dyDescent="0.3">
      <c r="A2628" s="10" t="str">
        <f>基本属性!$B$10&amp;"|"&amp;基本属性!$C$10</f>
        <v>75|0</v>
      </c>
      <c r="B2628" s="10" t="str">
        <f>参数调整!$J$34</f>
        <v>首领掉落</v>
      </c>
      <c r="C2628" s="8" t="str">
        <f>材料产出!$AH$2</f>
        <v>神品升星石</v>
      </c>
      <c r="D2628" s="224">
        <f>参数调整!$K$34*怪物掉落配置方案!$D4680</f>
        <v>0.13893044301799429</v>
      </c>
    </row>
    <row r="2629" spans="1:4" ht="16.5" hidden="1" x14ac:dyDescent="0.3">
      <c r="A2629" s="10" t="str">
        <f>基本属性!$B$11&amp;"|"&amp;基本属性!$C$11</f>
        <v>80|1</v>
      </c>
      <c r="B2629" s="10" t="str">
        <f>参数调整!$J$34</f>
        <v>首领掉落</v>
      </c>
      <c r="C2629" s="8" t="str">
        <f>材料产出!$AH$2</f>
        <v>神品升星石</v>
      </c>
      <c r="D2629" s="224">
        <f>参数调整!$K$34*怪物掉落配置方案!$D4681</f>
        <v>0.15948647795433021</v>
      </c>
    </row>
    <row r="2630" spans="1:4" ht="16.5" hidden="1" x14ac:dyDescent="0.3">
      <c r="A2630" s="10" t="str">
        <f>基本属性!$B$12&amp;"|"&amp;基本属性!$C$12</f>
        <v>90|2</v>
      </c>
      <c r="B2630" s="10" t="str">
        <f>参数调整!$J$34</f>
        <v>首领掉落</v>
      </c>
      <c r="C2630" s="8" t="str">
        <f>材料产出!$AH$2</f>
        <v>神品升星石</v>
      </c>
      <c r="D2630" s="224">
        <f>参数调整!$K$34*怪物掉落配置方案!$D4682</f>
        <v>0.18146017047248242</v>
      </c>
    </row>
    <row r="2631" spans="1:4" ht="16.5" hidden="1" x14ac:dyDescent="0.3">
      <c r="A2631" s="10" t="str">
        <f>基本属性!$B$13&amp;"|"&amp;基本属性!$C$13</f>
        <v>100|3</v>
      </c>
      <c r="B2631" s="10" t="str">
        <f>参数调整!$J$34</f>
        <v>首领掉落</v>
      </c>
      <c r="C2631" s="8" t="str">
        <f>材料产出!$AH$2</f>
        <v>神品升星石</v>
      </c>
      <c r="D2631" s="224">
        <f>参数调整!$K$34*怪物掉落配置方案!$D4683</f>
        <v>0.22966052825423555</v>
      </c>
    </row>
    <row r="2632" spans="1:4" ht="16.5" hidden="1" x14ac:dyDescent="0.3">
      <c r="A2632" s="10" t="str">
        <f>基本属性!$B$14&amp;"|"&amp;基本属性!$C$14</f>
        <v>105|4</v>
      </c>
      <c r="B2632" s="10" t="str">
        <f>参数调整!$J$34</f>
        <v>首领掉落</v>
      </c>
      <c r="C2632" s="8" t="str">
        <f>材料产出!$AH$2</f>
        <v>神品升星石</v>
      </c>
      <c r="D2632" s="224">
        <f>参数调整!$K$34*怪物掉落配置方案!$D4684</f>
        <v>0.28353151636325369</v>
      </c>
    </row>
    <row r="2633" spans="1:4" ht="16.5" hidden="1" x14ac:dyDescent="0.3">
      <c r="A2633" s="10" t="str">
        <f>基本属性!$B$15&amp;"|"&amp;基本属性!$C$15</f>
        <v>110|5</v>
      </c>
      <c r="B2633" s="10" t="str">
        <f>参数调整!$J$34</f>
        <v>首领掉落</v>
      </c>
      <c r="C2633" s="8" t="str">
        <f>材料产出!$AH$2</f>
        <v>神品升星石</v>
      </c>
      <c r="D2633" s="224">
        <f>参数调整!$K$34*怪物掉落配置方案!$D4685</f>
        <v>0.34307313479953705</v>
      </c>
    </row>
    <row r="2634" spans="1:4" ht="16.5" hidden="1" x14ac:dyDescent="0.3">
      <c r="A2634" s="10" t="str">
        <f>基本属性!$B$16&amp;"|"&amp;基本属性!$C$16</f>
        <v>120|6</v>
      </c>
      <c r="B2634" s="10" t="str">
        <f>参数调整!$J$34</f>
        <v>首领掉落</v>
      </c>
      <c r="C2634" s="8" t="str">
        <f>材料产出!$AH$2</f>
        <v>神品升星石</v>
      </c>
      <c r="D2634" s="224">
        <f>参数调整!$K$34*怪物掉落配置方案!$D4686</f>
        <v>0.44301799431758404</v>
      </c>
    </row>
    <row r="2635" spans="1:4" ht="16.5" hidden="1" x14ac:dyDescent="0.3">
      <c r="A2635" s="10" t="str">
        <f>基本属性!$B$17&amp;"|"&amp;基本属性!$C$17</f>
        <v>135|7</v>
      </c>
      <c r="B2635" s="10" t="str">
        <f>参数调整!$J$34</f>
        <v>首领掉落</v>
      </c>
      <c r="C2635" s="8" t="str">
        <f>材料产出!$AH$2</f>
        <v>神品升星石</v>
      </c>
      <c r="D2635" s="224">
        <f>参数调整!$K$34*怪物掉落配置方案!$D4687</f>
        <v>0.63794591181732085</v>
      </c>
    </row>
    <row r="2636" spans="1:4" ht="16.5" hidden="1" x14ac:dyDescent="0.3">
      <c r="A2636" s="10" t="str">
        <f>基本属性!$B$18&amp;"|"&amp;基本属性!$C$18</f>
        <v>155|8</v>
      </c>
      <c r="B2636" s="10" t="str">
        <f>参数调整!$J$34</f>
        <v>首领掉落</v>
      </c>
      <c r="C2636" s="8" t="str">
        <f>材料产出!$AH$2</f>
        <v>神品升星石</v>
      </c>
      <c r="D2636" s="224">
        <f>参数调整!$K$34*怪物掉落配置方案!$D4688</f>
        <v>0.86831526886246468</v>
      </c>
    </row>
    <row r="2637" spans="1:4" ht="16.5" hidden="1" x14ac:dyDescent="0.3">
      <c r="A2637" s="10" t="str">
        <f>基本属性!$B$19&amp;"|"&amp;基本属性!$C$19</f>
        <v>190|9</v>
      </c>
      <c r="B2637" s="10" t="str">
        <f>参数调整!$J$34</f>
        <v>首领掉落</v>
      </c>
      <c r="C2637" s="8" t="str">
        <f>材料产出!$AH$2</f>
        <v>神品升星石</v>
      </c>
      <c r="D2637" s="224">
        <f>参数调整!$K$34*怪物掉落配置方案!$D4689</f>
        <v>0.97038661475323595</v>
      </c>
    </row>
    <row r="2638" spans="1:4" ht="16.5" hidden="1" x14ac:dyDescent="0.3">
      <c r="A2638" s="10" t="str">
        <f>基本属性!$B$20&amp;"|"&amp;基本属性!$C$20</f>
        <v>200|10</v>
      </c>
      <c r="B2638" s="10" t="str">
        <f>参数调整!$J$34</f>
        <v>首领掉落</v>
      </c>
      <c r="C2638" s="8" t="str">
        <f>材料产出!$AH$2</f>
        <v>神品升星石</v>
      </c>
      <c r="D2638" s="224">
        <f>参数调整!$K$34*怪物掉落配置方案!$D4690</f>
        <v>1.1341260654530148</v>
      </c>
    </row>
    <row r="2639" spans="1:4" ht="16.5" hidden="1" x14ac:dyDescent="0.3">
      <c r="A2639" s="10" t="str">
        <f>基本属性!$B$21&amp;"|"&amp;基本属性!$C$21</f>
        <v>200|11</v>
      </c>
      <c r="B2639" s="10" t="str">
        <f>参数调整!$J$34</f>
        <v>首领掉落</v>
      </c>
      <c r="C2639" s="8" t="str">
        <f>材料产出!$AH$2</f>
        <v>神品升星石</v>
      </c>
      <c r="D2639" s="224">
        <f>参数调整!$K$34*怪物掉落配置方案!$D4691</f>
        <v>1.31062443438914</v>
      </c>
    </row>
    <row r="2640" spans="1:4" ht="16.5" hidden="1" x14ac:dyDescent="0.3">
      <c r="A2640" s="10" t="str">
        <f>基本属性!$B$22&amp;"|"&amp;基本属性!$C$22</f>
        <v>210|12</v>
      </c>
      <c r="B2640" s="10" t="str">
        <f>参数调整!$J$34</f>
        <v>首领掉落</v>
      </c>
      <c r="C2640" s="8" t="str">
        <f>材料产出!$AH$2</f>
        <v>神品升星石</v>
      </c>
      <c r="D2640" s="224">
        <f>参数调整!$K$34*怪物掉落配置方案!$D4692</f>
        <v>1.4998817215616118</v>
      </c>
    </row>
    <row r="2641" spans="1:4" ht="16.5" hidden="1" x14ac:dyDescent="0.3">
      <c r="A2641" s="10" t="str">
        <f>基本属性!$B$23&amp;"|"&amp;基本属性!$C$23</f>
        <v>210|13</v>
      </c>
      <c r="B2641" s="10" t="str">
        <f>参数调整!$J$34</f>
        <v>首领掉落</v>
      </c>
      <c r="C2641" s="8" t="str">
        <f>材料产出!$AH$2</f>
        <v>神品升星石</v>
      </c>
      <c r="D2641" s="224">
        <f>参数调整!$K$34*怪物掉落配置方案!$D4693</f>
        <v>1.7018979269704309</v>
      </c>
    </row>
    <row r="2642" spans="1:4" ht="16.5" hidden="1" x14ac:dyDescent="0.3">
      <c r="A2642" s="10" t="str">
        <f>基本属性!$B$24&amp;"|"&amp;基本属性!$C$24</f>
        <v>220|14</v>
      </c>
      <c r="B2642" s="10" t="str">
        <f>参数调整!$J$34</f>
        <v>首领掉落</v>
      </c>
      <c r="C2642" s="8" t="str">
        <f>材料产出!$AH$2</f>
        <v>神品升星石</v>
      </c>
      <c r="D2642" s="224">
        <f>参数调整!$K$34*怪物掉落配置方案!$D4694</f>
        <v>1.9166730506155953</v>
      </c>
    </row>
    <row r="2643" spans="1:4" ht="16.5" hidden="1" x14ac:dyDescent="0.3">
      <c r="A2643" s="10" t="str">
        <f>基本属性!$B$25&amp;"|"&amp;基本属性!$C$25</f>
        <v>220|15</v>
      </c>
      <c r="B2643" s="10" t="str">
        <f>参数调整!$J$34</f>
        <v>首领掉落</v>
      </c>
      <c r="C2643" s="8" t="str">
        <f>材料产出!$AH$2</f>
        <v>神品升星石</v>
      </c>
      <c r="D2643" s="224">
        <f>参数调整!$K$34*怪物掉落配置方案!$D4695</f>
        <v>2.1442070924971062</v>
      </c>
    </row>
    <row r="2644" spans="1:4" ht="16.5" hidden="1" x14ac:dyDescent="0.3">
      <c r="A2644" s="10" t="str">
        <f>基本属性!$B$26&amp;"|"&amp;基本属性!$C$26</f>
        <v>230|16</v>
      </c>
      <c r="B2644" s="10" t="str">
        <f>参数调整!$J$34</f>
        <v>首领掉落</v>
      </c>
      <c r="C2644" s="8" t="str">
        <f>材料产出!$AH$2</f>
        <v>神品升星石</v>
      </c>
      <c r="D2644" s="224">
        <f>参数调整!$K$34*怪物掉落配置方案!$D4696</f>
        <v>2.3845000526149636</v>
      </c>
    </row>
    <row r="2645" spans="1:4" ht="16.5" hidden="1" x14ac:dyDescent="0.3">
      <c r="A2645" s="10" t="str">
        <f>基本属性!$B$27&amp;"|"&amp;基本属性!$C$27</f>
        <v>230|17</v>
      </c>
      <c r="B2645" s="10" t="str">
        <f>参数调整!$J$34</f>
        <v>首领掉落</v>
      </c>
      <c r="C2645" s="8" t="str">
        <f>材料产出!$AH$2</f>
        <v>神品升星石</v>
      </c>
      <c r="D2645" s="224">
        <f>参数调整!$K$34*怪物掉落配置方案!$D4697</f>
        <v>2.6375519309691677</v>
      </c>
    </row>
    <row r="2646" spans="1:4" ht="16.5" hidden="1" x14ac:dyDescent="0.3">
      <c r="A2646" s="10" t="str">
        <f>基本属性!$B$28&amp;"|"&amp;基本属性!$C$28</f>
        <v>240|18</v>
      </c>
      <c r="B2646" s="10" t="str">
        <f>参数调整!$J$34</f>
        <v>首领掉落</v>
      </c>
      <c r="C2646" s="8" t="str">
        <f>材料产出!$AH$2</f>
        <v>神品升星石</v>
      </c>
      <c r="D2646" s="224">
        <f>参数调整!$K$34*怪物掉落配置方案!$D4698</f>
        <v>2.9033627275597178</v>
      </c>
    </row>
    <row r="2647" spans="1:4" ht="16.5" hidden="1" x14ac:dyDescent="0.3">
      <c r="A2647" s="10" t="str">
        <f>基本属性!$B$29&amp;"|"&amp;基本属性!$C$29</f>
        <v>240|19</v>
      </c>
      <c r="B2647" s="10" t="str">
        <f>参数调整!$J$34</f>
        <v>首领掉落</v>
      </c>
      <c r="C2647" s="8" t="str">
        <f>材料产出!$AH$2</f>
        <v>神品升星石</v>
      </c>
      <c r="D2647" s="224">
        <f>参数调整!$K$34*怪物掉落配置方案!$D4699</f>
        <v>3.1819324423866155</v>
      </c>
    </row>
    <row r="2648" spans="1:4" ht="16.5" hidden="1" x14ac:dyDescent="0.3">
      <c r="A2648" s="10" t="str">
        <f>基本属性!$B$30&amp;"|"&amp;基本属性!$C$30</f>
        <v>250|20</v>
      </c>
      <c r="B2648" s="10" t="str">
        <f>参数调整!$J$34</f>
        <v>首领掉落</v>
      </c>
      <c r="C2648" s="8" t="str">
        <f>材料产出!$AH$2</f>
        <v>神品升星石</v>
      </c>
      <c r="D2648" s="224">
        <f>参数调整!$K$34*怪物掉落配置方案!$D4700</f>
        <v>3.473261075449857</v>
      </c>
    </row>
    <row r="2649" spans="1:4" ht="16.5" hidden="1" x14ac:dyDescent="0.3">
      <c r="A2649" s="10" t="str">
        <f>基本属性!$B$4&amp;"|"&amp;基本属性!$C$4</f>
        <v>35|0</v>
      </c>
      <c r="B2649" s="10" t="str">
        <f>参数调整!$J$34</f>
        <v>首领掉落</v>
      </c>
      <c r="C2649" s="8" t="str">
        <f>材料产出!$AL$2</f>
        <v>上品注灵石</v>
      </c>
      <c r="D2649" s="224">
        <f>参数调整!$K$34*怪物掉落配置方案!$D4701</f>
        <v>0.25922051447117833</v>
      </c>
    </row>
    <row r="2650" spans="1:4" ht="16.5" hidden="1" x14ac:dyDescent="0.3">
      <c r="A2650" s="10" t="str">
        <f>基本属性!$B$5&amp;"|"&amp;基本属性!$C$5</f>
        <v>40|0</v>
      </c>
      <c r="B2650" s="10" t="str">
        <f>参数调整!$J$34</f>
        <v>首领掉落</v>
      </c>
      <c r="C2650" s="8" t="str">
        <f>材料产出!$AL$2</f>
        <v>上品注灵石</v>
      </c>
      <c r="D2650" s="224">
        <f>参数调整!$K$34*怪物掉落配置方案!$D4702</f>
        <v>0.32807596362758507</v>
      </c>
    </row>
    <row r="2651" spans="1:4" ht="16.5" hidden="1" x14ac:dyDescent="0.3">
      <c r="A2651" s="10" t="str">
        <f>基本属性!$B$6&amp;"|"&amp;基本属性!$C$6</f>
        <v>50|0</v>
      </c>
      <c r="B2651" s="10" t="str">
        <f>参数调整!$J$34</f>
        <v>首领掉落</v>
      </c>
      <c r="C2651" s="8" t="str">
        <f>材料产出!$AL$2</f>
        <v>上品注灵石</v>
      </c>
      <c r="D2651" s="224">
        <f>参数调整!$K$34*怪物掉落配置方案!$D4703</f>
        <v>0.40503205386121616</v>
      </c>
    </row>
    <row r="2652" spans="1:4" ht="16.5" hidden="1" x14ac:dyDescent="0.3">
      <c r="A2652" s="10" t="str">
        <f>基本属性!$B$7&amp;"|"&amp;基本属性!$C$7</f>
        <v>60|0</v>
      </c>
      <c r="B2652" s="10" t="str">
        <f>参数调整!$J$34</f>
        <v>首领掉落</v>
      </c>
      <c r="C2652" s="8" t="str">
        <f>材料产出!$AL$2</f>
        <v>上品注灵石</v>
      </c>
      <c r="D2652" s="224">
        <f>参数调整!$K$34*怪物掉落配置方案!$D4704</f>
        <v>0.49008878517207161</v>
      </c>
    </row>
    <row r="2653" spans="1:4" ht="16.5" hidden="1" x14ac:dyDescent="0.3">
      <c r="A2653" s="10" t="str">
        <f>基本属性!$B$8&amp;"|"&amp;基本属性!$C$8</f>
        <v>65|0</v>
      </c>
      <c r="B2653" s="10" t="str">
        <f>参数调整!$J$34</f>
        <v>首领掉落</v>
      </c>
      <c r="C2653" s="8" t="str">
        <f>材料产出!$AL$2</f>
        <v>上品注灵石</v>
      </c>
      <c r="D2653" s="224">
        <f>参数调整!$K$34*怪物掉落配置方案!$D4705</f>
        <v>0.58324615756015119</v>
      </c>
    </row>
    <row r="2654" spans="1:4" ht="16.5" hidden="1" x14ac:dyDescent="0.3">
      <c r="A2654" s="10" t="str">
        <f>基本属性!$B$9&amp;"|"&amp;基本属性!$C$9</f>
        <v>70|0</v>
      </c>
      <c r="B2654" s="10" t="str">
        <f>参数调整!$J$34</f>
        <v>首领掉落</v>
      </c>
      <c r="C2654" s="8" t="str">
        <f>材料产出!$AL$2</f>
        <v>上品注灵石</v>
      </c>
      <c r="D2654" s="224">
        <f>参数调整!$K$34*怪物掉落配置方案!$D4706</f>
        <v>0.68450417102545524</v>
      </c>
    </row>
    <row r="2655" spans="1:4" ht="16.5" hidden="1" x14ac:dyDescent="0.3">
      <c r="A2655" s="10" t="str">
        <f>基本属性!$B$10&amp;"|"&amp;基本属性!$C$10</f>
        <v>75|0</v>
      </c>
      <c r="B2655" s="10" t="str">
        <f>参数调整!$J$34</f>
        <v>首领掉落</v>
      </c>
      <c r="C2655" s="8" t="str">
        <f>材料产出!$AL$2</f>
        <v>上品注灵石</v>
      </c>
      <c r="D2655" s="224">
        <f>参数调整!$K$34*怪物掉落配置方案!$D4707</f>
        <v>0.79386282556798349</v>
      </c>
    </row>
    <row r="2656" spans="1:4" ht="16.5" hidden="1" x14ac:dyDescent="0.3">
      <c r="A2656" s="10" t="str">
        <f>基本属性!$B$11&amp;"|"&amp;基本属性!$C$11</f>
        <v>80|1</v>
      </c>
      <c r="B2656" s="10" t="str">
        <f>参数调整!$J$34</f>
        <v>首领掉落</v>
      </c>
      <c r="C2656" s="8" t="str">
        <f>材料产出!$AL$2</f>
        <v>上品注灵石</v>
      </c>
      <c r="D2656" s="224">
        <f>参数调整!$K$34*怪物掉落配置方案!$D4708</f>
        <v>0.91132212118773637</v>
      </c>
    </row>
    <row r="2657" spans="1:4" ht="16.5" hidden="1" x14ac:dyDescent="0.3">
      <c r="A2657" s="10" t="str">
        <f>基本属性!$B$12&amp;"|"&amp;基本属性!$C$12</f>
        <v>90|2</v>
      </c>
      <c r="B2657" s="10" t="str">
        <f>参数调整!$J$34</f>
        <v>首领掉落</v>
      </c>
      <c r="C2657" s="8" t="str">
        <f>材料产出!$AL$2</f>
        <v>上品注灵石</v>
      </c>
      <c r="D2657" s="224">
        <f>参数调整!$K$34*怪物掉落配置方案!$D4709</f>
        <v>1.0368820578847133</v>
      </c>
    </row>
    <row r="2658" spans="1:4" ht="16.5" hidden="1" x14ac:dyDescent="0.3">
      <c r="A2658" s="10" t="str">
        <f>基本属性!$B$13&amp;"|"&amp;基本属性!$C$13</f>
        <v>100|3</v>
      </c>
      <c r="B2658" s="10" t="str">
        <f>参数调整!$J$34</f>
        <v>首领掉落</v>
      </c>
      <c r="C2658" s="8" t="str">
        <f>材料产出!$AL$2</f>
        <v>上品注灵石</v>
      </c>
      <c r="D2658" s="224">
        <f>参数调整!$K$34*怪物掉落配置方案!$D4710</f>
        <v>1.3123038545103403</v>
      </c>
    </row>
    <row r="2659" spans="1:4" ht="16.5" hidden="1" x14ac:dyDescent="0.3">
      <c r="A2659" s="10" t="str">
        <f>基本属性!$B$14&amp;"|"&amp;基本属性!$C$14</f>
        <v>105|4</v>
      </c>
      <c r="B2659" s="10" t="str">
        <f>参数调整!$J$34</f>
        <v>首领掉落</v>
      </c>
      <c r="C2659" s="8" t="str">
        <f>材料产出!$AL$2</f>
        <v>上品注灵石</v>
      </c>
      <c r="D2659" s="224">
        <f>参数调整!$K$34*怪物掉落配置方案!$D4711</f>
        <v>1.6201282154448646</v>
      </c>
    </row>
    <row r="2660" spans="1:4" ht="16.5" hidden="1" x14ac:dyDescent="0.3">
      <c r="A2660" s="10" t="str">
        <f>基本属性!$B$15&amp;"|"&amp;基本属性!$C$15</f>
        <v>110|5</v>
      </c>
      <c r="B2660" s="10" t="str">
        <f>参数调整!$J$34</f>
        <v>首领掉落</v>
      </c>
      <c r="C2660" s="8" t="str">
        <f>材料产出!$AL$2</f>
        <v>上品注灵石</v>
      </c>
      <c r="D2660" s="224">
        <f>参数调整!$K$34*怪物掉落配置方案!$D4712</f>
        <v>1.9603551406882864</v>
      </c>
    </row>
    <row r="2661" spans="1:4" ht="16.5" hidden="1" x14ac:dyDescent="0.3">
      <c r="A2661" s="10" t="str">
        <f>基本属性!$B$16&amp;"|"&amp;基本属性!$C$16</f>
        <v>120|6</v>
      </c>
      <c r="B2661" s="10" t="str">
        <f>参数调整!$J$34</f>
        <v>首领掉落</v>
      </c>
      <c r="C2661" s="8" t="str">
        <f>材料产出!$AL$2</f>
        <v>上品注灵石</v>
      </c>
      <c r="D2661" s="224">
        <f>参数调整!$K$34*怪物掉落配置方案!$D4713</f>
        <v>2.5314503366326009</v>
      </c>
    </row>
    <row r="2662" spans="1:4" ht="16.5" hidden="1" x14ac:dyDescent="0.3">
      <c r="A2662" s="10" t="str">
        <f>基本属性!$B$17&amp;"|"&amp;基本属性!$C$17</f>
        <v>135|7</v>
      </c>
      <c r="B2662" s="10" t="str">
        <f>参数调整!$J$34</f>
        <v>首领掉落</v>
      </c>
      <c r="C2662" s="8" t="str">
        <f>材料产出!$AL$2</f>
        <v>上品注灵石</v>
      </c>
      <c r="D2662" s="224">
        <f>参数调整!$K$34*怪物掉落配置方案!$D4714</f>
        <v>3.6452884847509455</v>
      </c>
    </row>
    <row r="2663" spans="1:4" ht="16.5" hidden="1" x14ac:dyDescent="0.3">
      <c r="A2663" s="10" t="str">
        <f>基本属性!$B$18&amp;"|"&amp;基本属性!$C$18</f>
        <v>155|8</v>
      </c>
      <c r="B2663" s="10" t="str">
        <f>参数调整!$J$34</f>
        <v>首领掉落</v>
      </c>
      <c r="C2663" s="8" t="str">
        <f>材料产出!$AL$2</f>
        <v>上品注灵石</v>
      </c>
      <c r="D2663" s="224">
        <f>参数调整!$K$34*怪物掉落配置方案!$D4715</f>
        <v>4.9616426597998977</v>
      </c>
    </row>
    <row r="2664" spans="1:4" ht="16.5" hidden="1" x14ac:dyDescent="0.3">
      <c r="A2664" s="10" t="str">
        <f>基本属性!$B$19&amp;"|"&amp;基本属性!$C$19</f>
        <v>190|9</v>
      </c>
      <c r="B2664" s="10" t="str">
        <f>参数调整!$J$34</f>
        <v>首领掉落</v>
      </c>
      <c r="C2664" s="8" t="str">
        <f>材料产出!$AL$2</f>
        <v>上品注灵石</v>
      </c>
      <c r="D2664" s="224">
        <f>参数调整!$K$34*怪物掉落配置方案!$D4716</f>
        <v>5.5448888173600501</v>
      </c>
    </row>
    <row r="2665" spans="1:4" ht="16.5" hidden="1" x14ac:dyDescent="0.3">
      <c r="A2665" s="10" t="str">
        <f>基本属性!$B$20&amp;"|"&amp;基本属性!$C$20</f>
        <v>200|10</v>
      </c>
      <c r="B2665" s="10" t="str">
        <f>参数调整!$J$34</f>
        <v>首领掉落</v>
      </c>
      <c r="C2665" s="8" t="str">
        <f>材料产出!$AL$2</f>
        <v>上品注灵石</v>
      </c>
      <c r="D2665" s="224">
        <f>参数调整!$K$34*怪物掉落配置方案!$D4717</f>
        <v>6.4805128617794585</v>
      </c>
    </row>
    <row r="2666" spans="1:4" ht="16.5" hidden="1" x14ac:dyDescent="0.3">
      <c r="A2666" s="10" t="str">
        <f>基本属性!$B$21&amp;"|"&amp;基本属性!$C$21</f>
        <v>200|11</v>
      </c>
      <c r="B2666" s="10" t="str">
        <f>参数调整!$J$34</f>
        <v>首领掉落</v>
      </c>
      <c r="C2666" s="8" t="str">
        <f>材料产出!$AL$2</f>
        <v>上品注灵石</v>
      </c>
      <c r="D2666" s="224">
        <f>参数调整!$K$34*怪物掉落配置方案!$D4718</f>
        <v>7.4890426758938853</v>
      </c>
    </row>
    <row r="2667" spans="1:4" ht="16.5" hidden="1" x14ac:dyDescent="0.3">
      <c r="A2667" s="10" t="str">
        <f>基本属性!$B$22&amp;"|"&amp;基本属性!$C$22</f>
        <v>210|12</v>
      </c>
      <c r="B2667" s="10" t="str">
        <f>参数调整!$J$34</f>
        <v>首领掉落</v>
      </c>
      <c r="C2667" s="8" t="str">
        <f>材料产出!$AL$2</f>
        <v>上品注灵石</v>
      </c>
      <c r="D2667" s="224">
        <f>参数调整!$K$34*怪物掉落配置方案!$D4719</f>
        <v>8.5704782597033304</v>
      </c>
    </row>
    <row r="2668" spans="1:4" ht="16.5" hidden="1" x14ac:dyDescent="0.3">
      <c r="A2668" s="10" t="str">
        <f>基本属性!$B$23&amp;"|"&amp;基本属性!$C$23</f>
        <v>210|13</v>
      </c>
      <c r="B2668" s="10" t="str">
        <f>参数调整!$J$34</f>
        <v>首领掉落</v>
      </c>
      <c r="C2668" s="8" t="str">
        <f>材料产出!$AL$2</f>
        <v>上品注灵石</v>
      </c>
      <c r="D2668" s="224">
        <f>参数调整!$K$34*怪物掉落配置方案!$D4720</f>
        <v>9.7248196132077993</v>
      </c>
    </row>
    <row r="2669" spans="1:4" ht="16.5" hidden="1" x14ac:dyDescent="0.3">
      <c r="A2669" s="10" t="str">
        <f>基本属性!$B$24&amp;"|"&amp;基本属性!$C$24</f>
        <v>220|14</v>
      </c>
      <c r="B2669" s="10" t="str">
        <f>参数调整!$J$34</f>
        <v>首领掉落</v>
      </c>
      <c r="C2669" s="8" t="str">
        <f>材料产出!$AL$2</f>
        <v>上品注灵石</v>
      </c>
      <c r="D2669" s="224">
        <f>参数调整!$K$34*怪物掉落配置方案!$D4721</f>
        <v>10.952066736407284</v>
      </c>
    </row>
    <row r="2670" spans="1:4" ht="16.5" hidden="1" x14ac:dyDescent="0.3">
      <c r="A2670" s="10" t="str">
        <f>基本属性!$B$25&amp;"|"&amp;基本属性!$C$25</f>
        <v>220|15</v>
      </c>
      <c r="B2670" s="10" t="str">
        <f>参数调整!$J$34</f>
        <v>首领掉落</v>
      </c>
      <c r="C2670" s="8" t="str">
        <f>材料产出!$AL$2</f>
        <v>上品注灵石</v>
      </c>
      <c r="D2670" s="224">
        <f>参数调整!$K$34*怪物掉落配置方案!$D4722</f>
        <v>12.252219629301788</v>
      </c>
    </row>
    <row r="2671" spans="1:4" ht="16.5" hidden="1" x14ac:dyDescent="0.3">
      <c r="A2671" s="10" t="str">
        <f>基本属性!$B$26&amp;"|"&amp;基本属性!$C$26</f>
        <v>230|16</v>
      </c>
      <c r="B2671" s="10" t="str">
        <f>参数调整!$J$34</f>
        <v>首领掉落</v>
      </c>
      <c r="C2671" s="8" t="str">
        <f>材料产出!$AL$2</f>
        <v>上品注灵石</v>
      </c>
      <c r="D2671" s="224">
        <f>参数调整!$K$34*怪物掉落配置方案!$D4723</f>
        <v>13.625278291891307</v>
      </c>
    </row>
    <row r="2672" spans="1:4" ht="16.5" hidden="1" x14ac:dyDescent="0.3">
      <c r="A2672" s="10" t="str">
        <f>基本属性!$B$27&amp;"|"&amp;基本属性!$C$27</f>
        <v>230|17</v>
      </c>
      <c r="B2672" s="10" t="str">
        <f>参数调整!$J$34</f>
        <v>首领掉落</v>
      </c>
      <c r="C2672" s="8" t="str">
        <f>材料产出!$AL$2</f>
        <v>上品注灵石</v>
      </c>
      <c r="D2672" s="224">
        <f>参数调整!$K$34*怪物掉落配置方案!$D4724</f>
        <v>15.071242724175852</v>
      </c>
    </row>
    <row r="2673" spans="1:4" ht="16.5" hidden="1" x14ac:dyDescent="0.3">
      <c r="A2673" s="10" t="str">
        <f>基本属性!$B$28&amp;"|"&amp;基本属性!$C$28</f>
        <v>240|18</v>
      </c>
      <c r="B2673" s="10" t="str">
        <f>参数调整!$J$34</f>
        <v>首领掉落</v>
      </c>
      <c r="C2673" s="8" t="str">
        <f>材料产出!$AL$2</f>
        <v>上品注灵石</v>
      </c>
      <c r="D2673" s="224">
        <f>参数调整!$K$34*怪物掉落配置方案!$D4725</f>
        <v>16.590112926155413</v>
      </c>
    </row>
    <row r="2674" spans="1:4" ht="16.5" hidden="1" x14ac:dyDescent="0.3">
      <c r="A2674" s="10" t="str">
        <f>基本属性!$B$29&amp;"|"&amp;基本属性!$C$29</f>
        <v>240|19</v>
      </c>
      <c r="B2674" s="10" t="str">
        <f>参数调整!$J$34</f>
        <v>首领掉落</v>
      </c>
      <c r="C2674" s="8" t="str">
        <f>材料产出!$AL$2</f>
        <v>上品注灵石</v>
      </c>
      <c r="D2674" s="224">
        <f>参数调整!$K$34*怪物掉落配置方案!$D4726</f>
        <v>18.181888897829992</v>
      </c>
    </row>
    <row r="2675" spans="1:4" ht="16.5" hidden="1" x14ac:dyDescent="0.3">
      <c r="A2675" s="10" t="str">
        <f>基本属性!$B$30&amp;"|"&amp;基本属性!$C$30</f>
        <v>250|20</v>
      </c>
      <c r="B2675" s="10" t="str">
        <f>参数调整!$J$34</f>
        <v>首领掉落</v>
      </c>
      <c r="C2675" s="8" t="str">
        <f>材料产出!$AL$2</f>
        <v>上品注灵石</v>
      </c>
      <c r="D2675" s="224">
        <f>参数调整!$K$34*怪物掉落配置方案!$D4727</f>
        <v>19.846570639199591</v>
      </c>
    </row>
    <row r="2676" spans="1:4" ht="16.5" hidden="1" x14ac:dyDescent="0.3">
      <c r="A2676" s="10" t="str">
        <f>基本属性!$B$4&amp;"|"&amp;基本属性!$C$4</f>
        <v>35|0</v>
      </c>
      <c r="B2676" s="10" t="str">
        <f>参数调整!$J$34</f>
        <v>首领掉落</v>
      </c>
      <c r="C2676" s="8" t="str">
        <f>材料产出!$AT$2</f>
        <v>魔龙之心</v>
      </c>
      <c r="D2676" s="224">
        <f>参数调整!$K$34*怪物掉落配置方案!$D4728</f>
        <v>3.2466788833559822E-4</v>
      </c>
    </row>
    <row r="2677" spans="1:4" ht="16.5" hidden="1" x14ac:dyDescent="0.3">
      <c r="A2677" s="10" t="str">
        <f>基本属性!$B$5&amp;"|"&amp;基本属性!$C$5</f>
        <v>40|0</v>
      </c>
      <c r="B2677" s="10" t="str">
        <f>参数调整!$J$34</f>
        <v>首领掉落</v>
      </c>
      <c r="C2677" s="8" t="str">
        <f>材料产出!$AT$2</f>
        <v>魔龙之心</v>
      </c>
      <c r="D2677" s="224">
        <f>参数调整!$K$34*怪物掉落配置方案!$D4729</f>
        <v>4.1090779617474144E-4</v>
      </c>
    </row>
    <row r="2678" spans="1:4" ht="16.5" hidden="1" x14ac:dyDescent="0.3">
      <c r="A2678" s="10" t="str">
        <f>基本属性!$B$6&amp;"|"&amp;基本属性!$C$6</f>
        <v>50|0</v>
      </c>
      <c r="B2678" s="10" t="str">
        <f>参数调整!$J$34</f>
        <v>首领掉落</v>
      </c>
      <c r="C2678" s="8" t="str">
        <f>材料产出!$AT$2</f>
        <v>魔龙之心</v>
      </c>
      <c r="D2678" s="224">
        <f>参数调整!$K$34*怪物掉落配置方案!$D4730</f>
        <v>5.0729357552437211E-4</v>
      </c>
    </row>
    <row r="2679" spans="1:4" ht="16.5" hidden="1" x14ac:dyDescent="0.3">
      <c r="A2679" s="10" t="str">
        <f>基本属性!$B$7&amp;"|"&amp;基本属性!$C$7</f>
        <v>60|0</v>
      </c>
      <c r="B2679" s="10" t="str">
        <f>参数调整!$J$34</f>
        <v>首领掉落</v>
      </c>
      <c r="C2679" s="8" t="str">
        <f>材料产出!$AT$2</f>
        <v>魔龙之心</v>
      </c>
      <c r="D2679" s="224">
        <f>参数调整!$K$34*怪物掉落配置方案!$D4731</f>
        <v>6.138252263844905E-4</v>
      </c>
    </row>
    <row r="2680" spans="1:4" ht="16.5" hidden="1" x14ac:dyDescent="0.3">
      <c r="A2680" s="10" t="str">
        <f>基本属性!$B$8&amp;"|"&amp;基本属性!$C$8</f>
        <v>65|0</v>
      </c>
      <c r="B2680" s="10" t="str">
        <f>参数调整!$J$34</f>
        <v>首领掉落</v>
      </c>
      <c r="C2680" s="8" t="str">
        <f>材料产出!$AT$2</f>
        <v>魔龙之心</v>
      </c>
      <c r="D2680" s="224">
        <f>参数调整!$K$34*怪物掉落配置方案!$D4732</f>
        <v>7.3050274875509586E-4</v>
      </c>
    </row>
    <row r="2681" spans="1:4" ht="16.5" hidden="1" x14ac:dyDescent="0.3">
      <c r="A2681" s="10" t="str">
        <f>基本属性!$B$9&amp;"|"&amp;基本属性!$C$9</f>
        <v>70|0</v>
      </c>
      <c r="B2681" s="10" t="str">
        <f>参数调整!$J$34</f>
        <v>首领掉落</v>
      </c>
      <c r="C2681" s="8" t="str">
        <f>材料产出!$AT$2</f>
        <v>魔龙之心</v>
      </c>
      <c r="D2681" s="224">
        <f>参数调整!$K$34*怪物掉落配置方案!$D4733</f>
        <v>8.5732614263618894E-4</v>
      </c>
    </row>
    <row r="2682" spans="1:4" ht="16.5" hidden="1" x14ac:dyDescent="0.3">
      <c r="A2682" s="10" t="str">
        <f>基本属性!$B$10&amp;"|"&amp;基本属性!$C$10</f>
        <v>75|0</v>
      </c>
      <c r="B2682" s="10" t="str">
        <f>参数调整!$J$34</f>
        <v>首领掉落</v>
      </c>
      <c r="C2682" s="8" t="str">
        <f>材料产出!$AT$2</f>
        <v>魔龙之心</v>
      </c>
      <c r="D2682" s="224">
        <f>参数调整!$K$34*怪物掉落配置方案!$D4734</f>
        <v>9.942954080277692E-4</v>
      </c>
    </row>
    <row r="2683" spans="1:4" ht="16.5" hidden="1" x14ac:dyDescent="0.3">
      <c r="A2683" s="10" t="str">
        <f>基本属性!$B$11&amp;"|"&amp;基本属性!$C$11</f>
        <v>80|1</v>
      </c>
      <c r="B2683" s="10" t="str">
        <f>参数调整!$J$34</f>
        <v>首领掉落</v>
      </c>
      <c r="C2683" s="8" t="str">
        <f>材料产出!$AT$2</f>
        <v>魔龙之心</v>
      </c>
      <c r="D2683" s="224">
        <f>参数调整!$K$34*怪物掉落配置方案!$D4735</f>
        <v>1.1414105449298372E-3</v>
      </c>
    </row>
    <row r="2684" spans="1:4" ht="16.5" hidden="1" x14ac:dyDescent="0.3">
      <c r="A2684" s="10" t="str">
        <f>基本属性!$B$12&amp;"|"&amp;基本属性!$C$12</f>
        <v>90|2</v>
      </c>
      <c r="B2684" s="10" t="str">
        <f>参数调整!$J$34</f>
        <v>首领掉落</v>
      </c>
      <c r="C2684" s="8" t="str">
        <f>材料产出!$AT$2</f>
        <v>魔龙之心</v>
      </c>
      <c r="D2684" s="224">
        <f>参数调整!$K$34*怪物掉落配置方案!$D4736</f>
        <v>1.2986715533423929E-3</v>
      </c>
    </row>
    <row r="2685" spans="1:4" ht="16.5" hidden="1" x14ac:dyDescent="0.3">
      <c r="A2685" s="10" t="str">
        <f>基本属性!$B$13&amp;"|"&amp;基本属性!$C$13</f>
        <v>100|3</v>
      </c>
      <c r="B2685" s="10" t="str">
        <f>参数调整!$J$34</f>
        <v>首领掉落</v>
      </c>
      <c r="C2685" s="8" t="str">
        <f>材料产出!$AT$2</f>
        <v>魔龙之心</v>
      </c>
      <c r="D2685" s="224">
        <f>参数调整!$K$34*怪物掉落配置方案!$D4737</f>
        <v>1.6436311846989662E-3</v>
      </c>
    </row>
    <row r="2686" spans="1:4" ht="16.5" hidden="1" x14ac:dyDescent="0.3">
      <c r="A2686" s="10" t="str">
        <f>基本属性!$B$14&amp;"|"&amp;基本属性!$C$14</f>
        <v>105|4</v>
      </c>
      <c r="B2686" s="10" t="str">
        <f>参数调整!$J$34</f>
        <v>首领掉落</v>
      </c>
      <c r="C2686" s="8" t="str">
        <f>材料产出!$AT$2</f>
        <v>魔龙之心</v>
      </c>
      <c r="D2686" s="224">
        <f>参数调整!$K$34*怪物掉落配置方案!$D4738</f>
        <v>2.0291743020974884E-3</v>
      </c>
    </row>
    <row r="2687" spans="1:4" ht="16.5" hidden="1" x14ac:dyDescent="0.3">
      <c r="A2687" s="10" t="str">
        <f>基本属性!$B$15&amp;"|"&amp;基本属性!$C$15</f>
        <v>110|5</v>
      </c>
      <c r="B2687" s="10" t="str">
        <f>参数调整!$J$34</f>
        <v>首领掉落</v>
      </c>
      <c r="C2687" s="8" t="str">
        <f>材料产出!$AT$2</f>
        <v>魔龙之心</v>
      </c>
      <c r="D2687" s="224">
        <f>参数调整!$K$34*怪物掉落配置方案!$D4739</f>
        <v>2.455300905537962E-3</v>
      </c>
    </row>
    <row r="2688" spans="1:4" ht="16.5" hidden="1" x14ac:dyDescent="0.3">
      <c r="A2688" s="10" t="str">
        <f>基本属性!$B$16&amp;"|"&amp;基本属性!$C$16</f>
        <v>120|6</v>
      </c>
      <c r="B2688" s="10" t="str">
        <f>参数调整!$J$34</f>
        <v>首领掉落</v>
      </c>
      <c r="C2688" s="8" t="str">
        <f>材料产出!$AT$2</f>
        <v>魔龙之心</v>
      </c>
      <c r="D2688" s="224">
        <f>参数调整!$K$34*怪物掉落配置方案!$D4740</f>
        <v>3.1705848470273265E-3</v>
      </c>
    </row>
    <row r="2689" spans="1:4" ht="16.5" hidden="1" x14ac:dyDescent="0.3">
      <c r="A2689" s="10" t="str">
        <f>基本属性!$B$17&amp;"|"&amp;基本属性!$C$17</f>
        <v>135|7</v>
      </c>
      <c r="B2689" s="10" t="str">
        <f>参数调整!$J$34</f>
        <v>首领掉落</v>
      </c>
      <c r="C2689" s="8" t="str">
        <f>材料产出!$AT$2</f>
        <v>魔龙之心</v>
      </c>
      <c r="D2689" s="224">
        <f>参数调整!$K$34*怪物掉落配置方案!$D4741</f>
        <v>4.5656421797193487E-3</v>
      </c>
    </row>
    <row r="2690" spans="1:4" ht="16.5" hidden="1" x14ac:dyDescent="0.3">
      <c r="A2690" s="10" t="str">
        <f>基本属性!$B$18&amp;"|"&amp;基本属性!$C$18</f>
        <v>155|8</v>
      </c>
      <c r="B2690" s="10" t="str">
        <f>参数调整!$J$34</f>
        <v>首领掉落</v>
      </c>
      <c r="C2690" s="8" t="str">
        <f>材料产出!$AT$2</f>
        <v>魔龙之心</v>
      </c>
      <c r="D2690" s="224">
        <f>参数调整!$K$34*怪物掉落配置方案!$D4742</f>
        <v>6.2143463001735604E-3</v>
      </c>
    </row>
    <row r="2691" spans="1:4" ht="16.5" hidden="1" x14ac:dyDescent="0.3">
      <c r="A2691" s="10" t="str">
        <f>基本属性!$B$19&amp;"|"&amp;基本属性!$C$19</f>
        <v>190|9</v>
      </c>
      <c r="B2691" s="10" t="str">
        <f>参数调整!$J$34</f>
        <v>首领掉落</v>
      </c>
      <c r="C2691" s="8" t="str">
        <f>材料产出!$AT$2</f>
        <v>魔龙之心</v>
      </c>
      <c r="D2691" s="224">
        <f>参数调整!$K$34*怪物掉落配置方案!$D4743</f>
        <v>6.9448490489286549E-3</v>
      </c>
    </row>
    <row r="2692" spans="1:4" ht="16.5" hidden="1" x14ac:dyDescent="0.3">
      <c r="A2692" s="10" t="str">
        <f>基本属性!$B$20&amp;"|"&amp;基本属性!$C$20</f>
        <v>200|10</v>
      </c>
      <c r="B2692" s="10" t="str">
        <f>参数调整!$J$34</f>
        <v>首领掉落</v>
      </c>
      <c r="C2692" s="8" t="str">
        <f>材料产出!$AT$2</f>
        <v>魔龙之心</v>
      </c>
      <c r="D2692" s="224">
        <f>参数调整!$K$34*怪物掉落配置方案!$D4744</f>
        <v>8.1166972083899537E-3</v>
      </c>
    </row>
    <row r="2693" spans="1:4" ht="16.5" hidden="1" x14ac:dyDescent="0.3">
      <c r="A2693" s="10" t="str">
        <f>基本属性!$B$21&amp;"|"&amp;基本属性!$C$21</f>
        <v>200|11</v>
      </c>
      <c r="B2693" s="10" t="str">
        <f>参数调整!$J$34</f>
        <v>首领掉落</v>
      </c>
      <c r="C2693" s="8" t="str">
        <f>材料产出!$AT$2</f>
        <v>魔龙之心</v>
      </c>
      <c r="D2693" s="224">
        <f>参数调整!$K$34*怪物掉落配置方案!$D4745</f>
        <v>9.3798582114456401E-3</v>
      </c>
    </row>
    <row r="2694" spans="1:4" ht="16.5" hidden="1" x14ac:dyDescent="0.3">
      <c r="A2694" s="10" t="str">
        <f>基本属性!$B$22&amp;"|"&amp;基本属性!$C$22</f>
        <v>210|12</v>
      </c>
      <c r="B2694" s="10" t="str">
        <f>参数调整!$J$34</f>
        <v>首领掉落</v>
      </c>
      <c r="C2694" s="8" t="str">
        <f>材料产出!$AT$2</f>
        <v>魔龙之心</v>
      </c>
      <c r="D2694" s="224">
        <f>参数调整!$K$34*怪物掉落配置方案!$D4746</f>
        <v>1.0734332058095713E-2</v>
      </c>
    </row>
    <row r="2695" spans="1:4" ht="16.5" hidden="1" x14ac:dyDescent="0.3">
      <c r="A2695" s="10" t="str">
        <f>基本属性!$B$23&amp;"|"&amp;基本属性!$C$23</f>
        <v>210|13</v>
      </c>
      <c r="B2695" s="10" t="str">
        <f>参数调整!$J$34</f>
        <v>首领掉落</v>
      </c>
      <c r="C2695" s="8" t="str">
        <f>材料产出!$AT$2</f>
        <v>魔龙之心</v>
      </c>
      <c r="D2695" s="224">
        <f>参数调整!$K$34*怪物掉落配置方案!$D4747</f>
        <v>1.2180118748340178E-2</v>
      </c>
    </row>
    <row r="2696" spans="1:4" ht="16.5" hidden="1" x14ac:dyDescent="0.3">
      <c r="A2696" s="10" t="str">
        <f>基本属性!$B$24&amp;"|"&amp;基本属性!$C$24</f>
        <v>220|14</v>
      </c>
      <c r="B2696" s="10" t="str">
        <f>参数调整!$J$34</f>
        <v>首领掉落</v>
      </c>
      <c r="C2696" s="8" t="str">
        <f>材料产出!$AT$2</f>
        <v>魔龙之心</v>
      </c>
      <c r="D2696" s="224">
        <f>参数调整!$K$34*怪物掉落配置方案!$D4748</f>
        <v>1.3717218282179023E-2</v>
      </c>
    </row>
    <row r="2697" spans="1:4" ht="16.5" hidden="1" x14ac:dyDescent="0.3">
      <c r="A2697" s="10" t="str">
        <f>基本属性!$B$25&amp;"|"&amp;基本属性!$C$25</f>
        <v>220|15</v>
      </c>
      <c r="B2697" s="10" t="str">
        <f>参数调整!$J$34</f>
        <v>首领掉落</v>
      </c>
      <c r="C2697" s="8" t="str">
        <f>材料产出!$AT$2</f>
        <v>魔龙之心</v>
      </c>
      <c r="D2697" s="224">
        <f>参数调整!$K$34*怪物掉落配置方案!$D4749</f>
        <v>1.5345630659612254E-2</v>
      </c>
    </row>
    <row r="2698" spans="1:4" ht="16.5" hidden="1" x14ac:dyDescent="0.3">
      <c r="A2698" s="10" t="str">
        <f>基本属性!$B$26&amp;"|"&amp;基本属性!$C$26</f>
        <v>230|16</v>
      </c>
      <c r="B2698" s="10" t="str">
        <f>参数调整!$J$34</f>
        <v>首领掉落</v>
      </c>
      <c r="C2698" s="8" t="str">
        <f>材料产出!$AT$2</f>
        <v>魔龙之心</v>
      </c>
      <c r="D2698" s="224">
        <f>参数调整!$K$34*怪物掉落配置方案!$D4750</f>
        <v>1.7065355880639874E-2</v>
      </c>
    </row>
    <row r="2699" spans="1:4" ht="16.5" hidden="1" x14ac:dyDescent="0.3">
      <c r="A2699" s="10" t="str">
        <f>基本属性!$B$27&amp;"|"&amp;基本属性!$C$27</f>
        <v>230|17</v>
      </c>
      <c r="B2699" s="10" t="str">
        <f>参数调整!$J$34</f>
        <v>首领掉落</v>
      </c>
      <c r="C2699" s="8" t="str">
        <f>材料产出!$AT$2</f>
        <v>魔龙之心</v>
      </c>
      <c r="D2699" s="224">
        <f>参数调整!$K$34*怪物掉落配置方案!$D4751</f>
        <v>1.8876393945261884E-2</v>
      </c>
    </row>
    <row r="2700" spans="1:4" ht="16.5" hidden="1" x14ac:dyDescent="0.3">
      <c r="A2700" s="10" t="str">
        <f>基本属性!$B$28&amp;"|"&amp;基本属性!$C$28</f>
        <v>240|18</v>
      </c>
      <c r="B2700" s="10" t="str">
        <f>参数调整!$J$34</f>
        <v>首领掉落</v>
      </c>
      <c r="C2700" s="8" t="str">
        <f>材料产出!$AT$2</f>
        <v>魔龙之心</v>
      </c>
      <c r="D2700" s="224">
        <f>参数调整!$K$34*怪物掉落配置方案!$D4752</f>
        <v>2.0778744853478286E-2</v>
      </c>
    </row>
    <row r="2701" spans="1:4" ht="16.5" hidden="1" x14ac:dyDescent="0.3">
      <c r="A2701" s="10" t="str">
        <f>基本属性!$B$29&amp;"|"&amp;基本属性!$C$29</f>
        <v>240|19</v>
      </c>
      <c r="B2701" s="10" t="str">
        <f>参数调整!$J$34</f>
        <v>首领掉落</v>
      </c>
      <c r="C2701" s="8" t="str">
        <f>材料产出!$AT$2</f>
        <v>魔龙之心</v>
      </c>
      <c r="D2701" s="224">
        <f>参数调整!$K$34*怪物掉落配置方案!$D4753</f>
        <v>2.277240860528907E-2</v>
      </c>
    </row>
    <row r="2702" spans="1:4" ht="16.5" hidden="1" x14ac:dyDescent="0.3">
      <c r="A2702" s="10" t="str">
        <f>基本属性!$B$30&amp;"|"&amp;基本属性!$C$30</f>
        <v>250|20</v>
      </c>
      <c r="B2702" s="10" t="str">
        <f>参数调整!$J$34</f>
        <v>首领掉落</v>
      </c>
      <c r="C2702" s="8" t="str">
        <f>材料产出!$AT$2</f>
        <v>魔龙之心</v>
      </c>
      <c r="D2702" s="224">
        <f>参数调整!$K$34*怪物掉落配置方案!$D4754</f>
        <v>2.4857385200694231E-2</v>
      </c>
    </row>
    <row r="2703" spans="1:4" ht="16.5" hidden="1" x14ac:dyDescent="0.3">
      <c r="A2703" s="10" t="str">
        <f>基本属性!$B$4&amp;"|"&amp;基本属性!$C$4</f>
        <v>35|0</v>
      </c>
      <c r="B2703" s="10" t="str">
        <f>参数调整!$J$34</f>
        <v>首领掉落</v>
      </c>
      <c r="C2703" s="8" t="str">
        <f>材料产出!$X$2</f>
        <v>龍の心</v>
      </c>
      <c r="D2703" s="224">
        <f>参数调整!$K$34*怪物掉落配置方案!$D4755</f>
        <v>5.9074343962982494E-2</v>
      </c>
    </row>
    <row r="2704" spans="1:4" ht="16.5" hidden="1" x14ac:dyDescent="0.3">
      <c r="A2704" s="10" t="str">
        <f>基本属性!$B$5&amp;"|"&amp;基本属性!$C$5</f>
        <v>40|0</v>
      </c>
      <c r="B2704" s="10" t="str">
        <f>参数调整!$J$34</f>
        <v>首领掉落</v>
      </c>
      <c r="C2704" s="8" t="str">
        <f>材料产出!$X$2</f>
        <v>龍の心</v>
      </c>
      <c r="D2704" s="224">
        <f>参数调整!$K$34*怪物掉落配置方案!$D4756</f>
        <v>7.4765966578149726E-2</v>
      </c>
    </row>
    <row r="2705" spans="1:4" ht="16.5" hidden="1" x14ac:dyDescent="0.3">
      <c r="A2705" s="10" t="str">
        <f>基本属性!$B$6&amp;"|"&amp;基本属性!$C$6</f>
        <v>50|0</v>
      </c>
      <c r="B2705" s="10" t="str">
        <f>参数调整!$J$34</f>
        <v>首领掉落</v>
      </c>
      <c r="C2705" s="8" t="str">
        <f>材料产出!$X$2</f>
        <v>龍の心</v>
      </c>
      <c r="D2705" s="224">
        <f>参数调整!$K$34*怪物掉落配置方案!$D4757</f>
        <v>9.230366244216015E-2</v>
      </c>
    </row>
    <row r="2706" spans="1:4" ht="16.5" hidden="1" x14ac:dyDescent="0.3">
      <c r="A2706" s="10" t="str">
        <f>基本属性!$B$7&amp;"|"&amp;基本属性!$C$7</f>
        <v>60|0</v>
      </c>
      <c r="B2706" s="10" t="str">
        <f>参数调整!$J$34</f>
        <v>首领掉落</v>
      </c>
      <c r="C2706" s="8" t="str">
        <f>材料产出!$X$2</f>
        <v>龍の心</v>
      </c>
      <c r="D2706" s="224">
        <f>参数调整!$K$34*怪物掉落配置方案!$D4758</f>
        <v>0.1116874315550138</v>
      </c>
    </row>
    <row r="2707" spans="1:4" ht="16.5" hidden="1" x14ac:dyDescent="0.3">
      <c r="A2707" s="10" t="str">
        <f>基本属性!$B$8&amp;"|"&amp;基本属性!$C$8</f>
        <v>65|0</v>
      </c>
      <c r="B2707" s="10" t="str">
        <f>参数调整!$J$34</f>
        <v>首领掉落</v>
      </c>
      <c r="C2707" s="8" t="str">
        <f>材料产出!$X$2</f>
        <v>龍の心</v>
      </c>
      <c r="D2707" s="224">
        <f>参数调整!$K$34*怪物掉落配置方案!$D4759</f>
        <v>0.13291727391671063</v>
      </c>
    </row>
    <row r="2708" spans="1:4" ht="16.5" hidden="1" x14ac:dyDescent="0.3">
      <c r="A2708" s="10" t="str">
        <f>基本属性!$B$9&amp;"|"&amp;基本属性!$C$9</f>
        <v>70|0</v>
      </c>
      <c r="B2708" s="10" t="str">
        <f>参数调整!$J$34</f>
        <v>首领掉落</v>
      </c>
      <c r="C2708" s="8" t="str">
        <f>材料产出!$X$2</f>
        <v>龍の心</v>
      </c>
      <c r="D2708" s="224">
        <f>参数调整!$K$34*怪物掉落配置方案!$D4760</f>
        <v>0.15599318952725066</v>
      </c>
    </row>
    <row r="2709" spans="1:4" ht="16.5" hidden="1" x14ac:dyDescent="0.3">
      <c r="A2709" s="10" t="str">
        <f>基本属性!$B$10&amp;"|"&amp;基本属性!$C$10</f>
        <v>75|0</v>
      </c>
      <c r="B2709" s="10" t="str">
        <f>参数调整!$J$34</f>
        <v>首领掉落</v>
      </c>
      <c r="C2709" s="8" t="str">
        <f>材料产出!$X$2</f>
        <v>龍の心</v>
      </c>
      <c r="D2709" s="224">
        <f>参数调整!$K$34*怪物掉落配置方案!$D4761</f>
        <v>0.18091517838663387</v>
      </c>
    </row>
    <row r="2710" spans="1:4" ht="16.5" hidden="1" x14ac:dyDescent="0.3">
      <c r="A2710" s="10" t="str">
        <f>基本属性!$B$11&amp;"|"&amp;基本属性!$C$11</f>
        <v>80|1</v>
      </c>
      <c r="B2710" s="10" t="str">
        <f>参数调整!$J$34</f>
        <v>首领掉落</v>
      </c>
      <c r="C2710" s="8" t="str">
        <f>材料产出!$X$2</f>
        <v>龍の心</v>
      </c>
      <c r="D2710" s="224">
        <f>参数调整!$K$34*怪物掉落配置方案!$D4762</f>
        <v>0.20768324049486037</v>
      </c>
    </row>
    <row r="2711" spans="1:4" ht="16.5" hidden="1" x14ac:dyDescent="0.3">
      <c r="A2711" s="10" t="str">
        <f>基本属性!$B$12&amp;"|"&amp;基本属性!$C$12</f>
        <v>90|2</v>
      </c>
      <c r="B2711" s="10" t="str">
        <f>参数调整!$J$34</f>
        <v>首领掉落</v>
      </c>
      <c r="C2711" s="8" t="str">
        <f>材料产出!$X$2</f>
        <v>龍の心</v>
      </c>
      <c r="D2711" s="224">
        <f>参数调整!$K$34*怪物掉落配置方案!$D4763</f>
        <v>0.23629737585193003</v>
      </c>
    </row>
    <row r="2712" spans="1:4" ht="16.5" hidden="1" x14ac:dyDescent="0.3">
      <c r="A2712" s="10" t="str">
        <f>基本属性!$B$13&amp;"|"&amp;基本属性!$C$13</f>
        <v>100|3</v>
      </c>
      <c r="B2712" s="10" t="str">
        <f>参数调整!$J$34</f>
        <v>首领掉落</v>
      </c>
      <c r="C2712" s="8" t="str">
        <f>材料产出!$X$2</f>
        <v>龍の心</v>
      </c>
      <c r="D2712" s="224">
        <f>参数调整!$K$34*怪物掉落配置方案!$D4764</f>
        <v>0.29906386631259896</v>
      </c>
    </row>
    <row r="2713" spans="1:4" ht="16.5" hidden="1" x14ac:dyDescent="0.3">
      <c r="A2713" s="10" t="str">
        <f>基本属性!$B$14&amp;"|"&amp;基本属性!$C$14</f>
        <v>105|4</v>
      </c>
      <c r="B2713" s="10" t="str">
        <f>参数调整!$J$34</f>
        <v>首领掉落</v>
      </c>
      <c r="C2713" s="8" t="str">
        <f>材料产出!$X$2</f>
        <v>龍の心</v>
      </c>
      <c r="D2713" s="224">
        <f>参数调整!$K$34*怪物掉落配置方案!$D4765</f>
        <v>0.3692146497686406</v>
      </c>
    </row>
    <row r="2714" spans="1:4" ht="16.5" hidden="1" x14ac:dyDescent="0.3">
      <c r="A2714" s="10" t="str">
        <f>基本属性!$B$15&amp;"|"&amp;基本属性!$C$15</f>
        <v>110|5</v>
      </c>
      <c r="B2714" s="10" t="str">
        <f>参数调整!$J$34</f>
        <v>首领掉落</v>
      </c>
      <c r="C2714" s="8" t="str">
        <f>材料产出!$X$2</f>
        <v>龍の心</v>
      </c>
      <c r="D2714" s="224">
        <f>参数调整!$K$34*怪物掉落配置方案!$D4766</f>
        <v>0.44674972622005521</v>
      </c>
    </row>
    <row r="2715" spans="1:4" ht="16.5" hidden="1" x14ac:dyDescent="0.3">
      <c r="A2715" s="10" t="str">
        <f>基本属性!$B$16&amp;"|"&amp;基本属性!$C$16</f>
        <v>120|6</v>
      </c>
      <c r="B2715" s="10" t="str">
        <f>参数调整!$J$34</f>
        <v>首领掉落</v>
      </c>
      <c r="C2715" s="8" t="str">
        <f>材料产出!$X$2</f>
        <v>龍の心</v>
      </c>
      <c r="D2715" s="224">
        <f>参数调整!$K$34*怪物掉落配置方案!$D4767</f>
        <v>0.57689789026350091</v>
      </c>
    </row>
    <row r="2716" spans="1:4" ht="16.5" hidden="1" x14ac:dyDescent="0.3">
      <c r="A2716" s="10" t="str">
        <f>基本属性!$B$17&amp;"|"&amp;基本属性!$C$17</f>
        <v>135|7</v>
      </c>
      <c r="B2716" s="10" t="str">
        <f>参数调整!$J$34</f>
        <v>首领掉落</v>
      </c>
      <c r="C2716" s="8" t="str">
        <f>材料产出!$X$2</f>
        <v>龍の心</v>
      </c>
      <c r="D2716" s="224">
        <f>参数调整!$K$34*怪物掉落配置方案!$D4768</f>
        <v>0.83073296197944146</v>
      </c>
    </row>
    <row r="2717" spans="1:4" ht="16.5" hidden="1" x14ac:dyDescent="0.3">
      <c r="A2717" s="10" t="str">
        <f>基本属性!$B$18&amp;"|"&amp;基本属性!$C$18</f>
        <v>155|8</v>
      </c>
      <c r="B2717" s="10" t="str">
        <f>参数调整!$J$34</f>
        <v>首领掉落</v>
      </c>
      <c r="C2717" s="8" t="str">
        <f>材料产出!$X$2</f>
        <v>龍の心</v>
      </c>
      <c r="D2717" s="224">
        <f>参数调整!$K$34*怪物掉落配置方案!$D4769</f>
        <v>1.130719864916462</v>
      </c>
    </row>
    <row r="2718" spans="1:4" ht="16.5" hidden="1" x14ac:dyDescent="0.3">
      <c r="A2718" s="10" t="str">
        <f>基本属性!$B$19&amp;"|"&amp;基本属性!$C$19</f>
        <v>190|9</v>
      </c>
      <c r="B2718" s="10" t="str">
        <f>参数调整!$J$34</f>
        <v>首领掉落</v>
      </c>
      <c r="C2718" s="8" t="str">
        <f>材料产出!$X$2</f>
        <v>龍の心</v>
      </c>
      <c r="D2718" s="224">
        <f>参数调整!$K$34*怪物掉落配置方案!$D4770</f>
        <v>1.2636371388331726</v>
      </c>
    </row>
    <row r="2719" spans="1:4" ht="16.5" hidden="1" x14ac:dyDescent="0.3">
      <c r="A2719" s="10" t="str">
        <f>基本属性!$B$20&amp;"|"&amp;基本属性!$C$20</f>
        <v>200|10</v>
      </c>
      <c r="B2719" s="10" t="str">
        <f>参数调整!$J$34</f>
        <v>首领掉落</v>
      </c>
      <c r="C2719" s="8" t="str">
        <f>材料产出!$X$2</f>
        <v>龍の心</v>
      </c>
      <c r="D2719" s="224">
        <f>参数调整!$K$34*怪物掉落配置方案!$D4771</f>
        <v>1.4768585990745624</v>
      </c>
    </row>
    <row r="2720" spans="1:4" ht="16.5" hidden="1" x14ac:dyDescent="0.3">
      <c r="A2720" s="10" t="str">
        <f>基本属性!$B$21&amp;"|"&amp;基本属性!$C$21</f>
        <v>200|11</v>
      </c>
      <c r="B2720" s="10" t="str">
        <f>参数调整!$J$34</f>
        <v>首领掉落</v>
      </c>
      <c r="C2720" s="8" t="str">
        <f>材料产出!$X$2</f>
        <v>龍の心</v>
      </c>
      <c r="D2720" s="224">
        <f>参数调整!$K$34*怪物掉落配置方案!$D4772</f>
        <v>1.7066947185555408</v>
      </c>
    </row>
    <row r="2721" spans="1:4" ht="16.5" hidden="1" x14ac:dyDescent="0.3">
      <c r="A2721" s="10" t="str">
        <f>基本属性!$B$22&amp;"|"&amp;基本属性!$C$22</f>
        <v>210|12</v>
      </c>
      <c r="B2721" s="10" t="str">
        <f>参数调整!$J$34</f>
        <v>首领掉落</v>
      </c>
      <c r="C2721" s="8" t="str">
        <f>材料产出!$X$2</f>
        <v>龍の心</v>
      </c>
      <c r="D2721" s="224">
        <f>参数调整!$K$34*怪物掉落配置方案!$D4773</f>
        <v>1.9531454972761084</v>
      </c>
    </row>
    <row r="2722" spans="1:4" ht="16.5" hidden="1" x14ac:dyDescent="0.3">
      <c r="A2722" s="10" t="str">
        <f>基本属性!$B$23&amp;"|"&amp;基本属性!$C$23</f>
        <v>210|13</v>
      </c>
      <c r="B2722" s="10" t="str">
        <f>参数调整!$J$34</f>
        <v>首领掉落</v>
      </c>
      <c r="C2722" s="8" t="str">
        <f>材料产出!$X$2</f>
        <v>龍の心</v>
      </c>
      <c r="D2722" s="224">
        <f>参数调整!$K$34*怪物掉落配置方案!$D4774</f>
        <v>2.2162109352362656</v>
      </c>
    </row>
    <row r="2723" spans="1:4" ht="16.5" hidden="1" x14ac:dyDescent="0.3">
      <c r="A2723" s="10" t="str">
        <f>基本属性!$B$24&amp;"|"&amp;基本属性!$C$24</f>
        <v>220|14</v>
      </c>
      <c r="B2723" s="10" t="str">
        <f>参数调整!$J$34</f>
        <v>首领掉落</v>
      </c>
      <c r="C2723" s="8" t="str">
        <f>材料产出!$X$2</f>
        <v>龍の心</v>
      </c>
      <c r="D2723" s="224">
        <f>参数调整!$K$34*怪物掉落配置方案!$D4775</f>
        <v>2.4958910324360106</v>
      </c>
    </row>
    <row r="2724" spans="1:4" ht="16.5" hidden="1" x14ac:dyDescent="0.3">
      <c r="A2724" s="10" t="str">
        <f>基本属性!$B$25&amp;"|"&amp;基本属性!$C$25</f>
        <v>220|15</v>
      </c>
      <c r="B2724" s="10" t="str">
        <f>参数调整!$J$34</f>
        <v>首领掉落</v>
      </c>
      <c r="C2724" s="8" t="str">
        <f>材料产出!$X$2</f>
        <v>龍の心</v>
      </c>
      <c r="D2724" s="224">
        <f>参数调整!$K$34*怪物掉落配置方案!$D4776</f>
        <v>2.7921857888753445</v>
      </c>
    </row>
    <row r="2725" spans="1:4" ht="16.5" hidden="1" x14ac:dyDescent="0.3">
      <c r="A2725" s="10" t="str">
        <f>基本属性!$B$26&amp;"|"&amp;基本属性!$C$26</f>
        <v>230|16</v>
      </c>
      <c r="B2725" s="10" t="str">
        <f>参数调整!$J$34</f>
        <v>首领掉落</v>
      </c>
      <c r="C2725" s="8" t="str">
        <f>材料产出!$X$2</f>
        <v>龍の心</v>
      </c>
      <c r="D2725" s="224">
        <f>参数调整!$K$34*怪物掉落配置方案!$D4777</f>
        <v>3.1050952045542672</v>
      </c>
    </row>
    <row r="2726" spans="1:4" ht="16.5" hidden="1" x14ac:dyDescent="0.3">
      <c r="A2726" s="10" t="str">
        <f>基本属性!$B$27&amp;"|"&amp;基本属性!$C$27</f>
        <v>230|17</v>
      </c>
      <c r="B2726" s="10" t="str">
        <f>参数调整!$J$34</f>
        <v>首领掉落</v>
      </c>
      <c r="C2726" s="8" t="str">
        <f>材料产出!$X$2</f>
        <v>龍の心</v>
      </c>
      <c r="D2726" s="224">
        <f>参数调整!$K$34*怪物掉落配置方案!$D4778</f>
        <v>3.4346192794727788</v>
      </c>
    </row>
    <row r="2727" spans="1:4" ht="16.5" hidden="1" x14ac:dyDescent="0.3">
      <c r="A2727" s="10" t="str">
        <f>基本属性!$B$28&amp;"|"&amp;基本属性!$C$28</f>
        <v>240|18</v>
      </c>
      <c r="B2727" s="10" t="str">
        <f>参数调整!$J$34</f>
        <v>首领掉落</v>
      </c>
      <c r="C2727" s="8" t="str">
        <f>材料产出!$X$2</f>
        <v>龍の心</v>
      </c>
      <c r="D2727" s="224">
        <f>参数调整!$K$34*怪物掉落配置方案!$D4779</f>
        <v>3.7807580136308805</v>
      </c>
    </row>
    <row r="2728" spans="1:4" ht="16.5" hidden="1" x14ac:dyDescent="0.3">
      <c r="A2728" s="10" t="str">
        <f>基本属性!$B$29&amp;"|"&amp;基本属性!$C$29</f>
        <v>240|19</v>
      </c>
      <c r="B2728" s="10" t="str">
        <f>参数调整!$J$34</f>
        <v>首领掉落</v>
      </c>
      <c r="C2728" s="8" t="str">
        <f>材料产出!$X$2</f>
        <v>龍の心</v>
      </c>
      <c r="D2728" s="224">
        <f>参数调整!$K$34*怪物掉落配置方案!$D4780</f>
        <v>4.1435114070285692</v>
      </c>
    </row>
    <row r="2729" spans="1:4" ht="16.5" hidden="1" x14ac:dyDescent="0.3">
      <c r="A2729" s="10" t="str">
        <f>基本属性!$B$30&amp;"|"&amp;基本属性!$C$30</f>
        <v>250|20</v>
      </c>
      <c r="B2729" s="10" t="str">
        <f>参数调整!$J$34</f>
        <v>首领掉落</v>
      </c>
      <c r="C2729" s="8" t="str">
        <f>材料产出!$X$2</f>
        <v>龍の心</v>
      </c>
      <c r="D2729" s="224">
        <f>参数调整!$K$34*怪物掉落配置方案!$D4781</f>
        <v>4.5228794596658473</v>
      </c>
    </row>
    <row r="2730" spans="1:4" ht="16.5" hidden="1" x14ac:dyDescent="0.3">
      <c r="A2730" s="10" t="str">
        <f>基本属性!$B$4&amp;"|"&amp;基本属性!$C$4</f>
        <v>35|0</v>
      </c>
      <c r="B2730" s="10" t="str">
        <f>参数调整!$J$34</f>
        <v>首领掉落</v>
      </c>
      <c r="C2730" s="8" t="str">
        <f>材料产出!$V$2</f>
        <v>龍の魄</v>
      </c>
      <c r="D2730" s="224">
        <f>参数调整!$K$34*怪物掉落配置方案!$D4782</f>
        <v>5.9074343962982494E-2</v>
      </c>
    </row>
    <row r="2731" spans="1:4" ht="16.5" hidden="1" x14ac:dyDescent="0.3">
      <c r="A2731" s="10" t="str">
        <f>基本属性!$B$5&amp;"|"&amp;基本属性!$C$5</f>
        <v>40|0</v>
      </c>
      <c r="B2731" s="10" t="str">
        <f>参数调整!$J$34</f>
        <v>首领掉落</v>
      </c>
      <c r="C2731" s="8" t="str">
        <f>材料产出!$V$2</f>
        <v>龍の魄</v>
      </c>
      <c r="D2731" s="224">
        <f>参数调整!$K$34*怪物掉落配置方案!$D4783</f>
        <v>7.4765966578149726E-2</v>
      </c>
    </row>
    <row r="2732" spans="1:4" ht="16.5" hidden="1" x14ac:dyDescent="0.3">
      <c r="A2732" s="10" t="str">
        <f>基本属性!$B$6&amp;"|"&amp;基本属性!$C$6</f>
        <v>50|0</v>
      </c>
      <c r="B2732" s="10" t="str">
        <f>参数调整!$J$34</f>
        <v>首领掉落</v>
      </c>
      <c r="C2732" s="8" t="str">
        <f>材料产出!$V$2</f>
        <v>龍の魄</v>
      </c>
      <c r="D2732" s="224">
        <f>参数调整!$K$34*怪物掉落配置方案!$D4784</f>
        <v>9.230366244216015E-2</v>
      </c>
    </row>
    <row r="2733" spans="1:4" ht="16.5" hidden="1" x14ac:dyDescent="0.3">
      <c r="A2733" s="10" t="str">
        <f>基本属性!$B$7&amp;"|"&amp;基本属性!$C$7</f>
        <v>60|0</v>
      </c>
      <c r="B2733" s="10" t="str">
        <f>参数调整!$J$34</f>
        <v>首领掉落</v>
      </c>
      <c r="C2733" s="8" t="str">
        <f>材料产出!$V$2</f>
        <v>龍の魄</v>
      </c>
      <c r="D2733" s="224">
        <f>参数调整!$K$34*怪物掉落配置方案!$D4785</f>
        <v>0.1116874315550138</v>
      </c>
    </row>
    <row r="2734" spans="1:4" ht="16.5" hidden="1" x14ac:dyDescent="0.3">
      <c r="A2734" s="10" t="str">
        <f>基本属性!$B$8&amp;"|"&amp;基本属性!$C$8</f>
        <v>65|0</v>
      </c>
      <c r="B2734" s="10" t="str">
        <f>参数调整!$J$34</f>
        <v>首领掉落</v>
      </c>
      <c r="C2734" s="8" t="str">
        <f>材料产出!$V$2</f>
        <v>龍の魄</v>
      </c>
      <c r="D2734" s="224">
        <f>参数调整!$K$34*怪物掉落配置方案!$D4786</f>
        <v>0.13291727391671063</v>
      </c>
    </row>
    <row r="2735" spans="1:4" ht="16.5" hidden="1" x14ac:dyDescent="0.3">
      <c r="A2735" s="10" t="str">
        <f>基本属性!$B$9&amp;"|"&amp;基本属性!$C$9</f>
        <v>70|0</v>
      </c>
      <c r="B2735" s="10" t="str">
        <f>参数调整!$J$34</f>
        <v>首领掉落</v>
      </c>
      <c r="C2735" s="8" t="str">
        <f>材料产出!$V$2</f>
        <v>龍の魄</v>
      </c>
      <c r="D2735" s="224">
        <f>参数调整!$K$34*怪物掉落配置方案!$D4787</f>
        <v>0.15599318952725066</v>
      </c>
    </row>
    <row r="2736" spans="1:4" ht="16.5" hidden="1" x14ac:dyDescent="0.3">
      <c r="A2736" s="10" t="str">
        <f>基本属性!$B$10&amp;"|"&amp;基本属性!$C$10</f>
        <v>75|0</v>
      </c>
      <c r="B2736" s="10" t="str">
        <f>参数调整!$J$34</f>
        <v>首领掉落</v>
      </c>
      <c r="C2736" s="8" t="str">
        <f>材料产出!$V$2</f>
        <v>龍の魄</v>
      </c>
      <c r="D2736" s="224">
        <f>参数调整!$K$34*怪物掉落配置方案!$D4788</f>
        <v>0.18091517838663387</v>
      </c>
    </row>
    <row r="2737" spans="1:4" ht="16.5" hidden="1" x14ac:dyDescent="0.3">
      <c r="A2737" s="10" t="str">
        <f>基本属性!$B$11&amp;"|"&amp;基本属性!$C$11</f>
        <v>80|1</v>
      </c>
      <c r="B2737" s="10" t="str">
        <f>参数调整!$J$34</f>
        <v>首领掉落</v>
      </c>
      <c r="C2737" s="8" t="str">
        <f>材料产出!$V$2</f>
        <v>龍の魄</v>
      </c>
      <c r="D2737" s="224">
        <f>参数调整!$K$34*怪物掉落配置方案!$D4789</f>
        <v>0.20768324049486037</v>
      </c>
    </row>
    <row r="2738" spans="1:4" ht="16.5" hidden="1" x14ac:dyDescent="0.3">
      <c r="A2738" s="10" t="str">
        <f>基本属性!$B$12&amp;"|"&amp;基本属性!$C$12</f>
        <v>90|2</v>
      </c>
      <c r="B2738" s="10" t="str">
        <f>参数调整!$J$34</f>
        <v>首领掉落</v>
      </c>
      <c r="C2738" s="8" t="str">
        <f>材料产出!$V$2</f>
        <v>龍の魄</v>
      </c>
      <c r="D2738" s="224">
        <f>参数调整!$K$34*怪物掉落配置方案!$D4790</f>
        <v>0.23629737585193003</v>
      </c>
    </row>
    <row r="2739" spans="1:4" ht="16.5" hidden="1" x14ac:dyDescent="0.3">
      <c r="A2739" s="10" t="str">
        <f>基本属性!$B$13&amp;"|"&amp;基本属性!$C$13</f>
        <v>100|3</v>
      </c>
      <c r="B2739" s="10" t="str">
        <f>参数调整!$J$34</f>
        <v>首领掉落</v>
      </c>
      <c r="C2739" s="8" t="str">
        <f>材料产出!$V$2</f>
        <v>龍の魄</v>
      </c>
      <c r="D2739" s="224">
        <f>参数调整!$K$34*怪物掉落配置方案!$D4791</f>
        <v>0.29906386631259896</v>
      </c>
    </row>
    <row r="2740" spans="1:4" ht="16.5" hidden="1" x14ac:dyDescent="0.3">
      <c r="A2740" s="10" t="str">
        <f>基本属性!$B$14&amp;"|"&amp;基本属性!$C$14</f>
        <v>105|4</v>
      </c>
      <c r="B2740" s="10" t="str">
        <f>参数调整!$J$34</f>
        <v>首领掉落</v>
      </c>
      <c r="C2740" s="8" t="str">
        <f>材料产出!$V$2</f>
        <v>龍の魄</v>
      </c>
      <c r="D2740" s="224">
        <f>参数调整!$K$34*怪物掉落配置方案!$D4792</f>
        <v>0.3692146497686406</v>
      </c>
    </row>
    <row r="2741" spans="1:4" ht="16.5" hidden="1" x14ac:dyDescent="0.3">
      <c r="A2741" s="10" t="str">
        <f>基本属性!$B$15&amp;"|"&amp;基本属性!$C$15</f>
        <v>110|5</v>
      </c>
      <c r="B2741" s="10" t="str">
        <f>参数调整!$J$34</f>
        <v>首领掉落</v>
      </c>
      <c r="C2741" s="8" t="str">
        <f>材料产出!$V$2</f>
        <v>龍の魄</v>
      </c>
      <c r="D2741" s="224">
        <f>参数调整!$K$34*怪物掉落配置方案!$D4793</f>
        <v>0.44674972622005521</v>
      </c>
    </row>
    <row r="2742" spans="1:4" ht="16.5" hidden="1" x14ac:dyDescent="0.3">
      <c r="A2742" s="10" t="str">
        <f>基本属性!$B$16&amp;"|"&amp;基本属性!$C$16</f>
        <v>120|6</v>
      </c>
      <c r="B2742" s="10" t="str">
        <f>参数调整!$J$34</f>
        <v>首领掉落</v>
      </c>
      <c r="C2742" s="8" t="str">
        <f>材料产出!$V$2</f>
        <v>龍の魄</v>
      </c>
      <c r="D2742" s="224">
        <f>参数调整!$K$34*怪物掉落配置方案!$D4794</f>
        <v>0.57689789026350091</v>
      </c>
    </row>
    <row r="2743" spans="1:4" ht="16.5" hidden="1" x14ac:dyDescent="0.3">
      <c r="A2743" s="10" t="str">
        <f>基本属性!$B$17&amp;"|"&amp;基本属性!$C$17</f>
        <v>135|7</v>
      </c>
      <c r="B2743" s="10" t="str">
        <f>参数调整!$J$34</f>
        <v>首领掉落</v>
      </c>
      <c r="C2743" s="8" t="str">
        <f>材料产出!$V$2</f>
        <v>龍の魄</v>
      </c>
      <c r="D2743" s="224">
        <f>参数调整!$K$34*怪物掉落配置方案!$D4795</f>
        <v>0.83073296197944146</v>
      </c>
    </row>
    <row r="2744" spans="1:4" ht="16.5" hidden="1" x14ac:dyDescent="0.3">
      <c r="A2744" s="10" t="str">
        <f>基本属性!$B$18&amp;"|"&amp;基本属性!$C$18</f>
        <v>155|8</v>
      </c>
      <c r="B2744" s="10" t="str">
        <f>参数调整!$J$34</f>
        <v>首领掉落</v>
      </c>
      <c r="C2744" s="8" t="str">
        <f>材料产出!$V$2</f>
        <v>龍の魄</v>
      </c>
      <c r="D2744" s="224">
        <f>参数调整!$K$34*怪物掉落配置方案!$D4796</f>
        <v>1.130719864916462</v>
      </c>
    </row>
    <row r="2745" spans="1:4" ht="16.5" hidden="1" x14ac:dyDescent="0.3">
      <c r="A2745" s="10" t="str">
        <f>基本属性!$B$19&amp;"|"&amp;基本属性!$C$19</f>
        <v>190|9</v>
      </c>
      <c r="B2745" s="10" t="str">
        <f>参数调整!$J$34</f>
        <v>首领掉落</v>
      </c>
      <c r="C2745" s="8" t="str">
        <f>材料产出!$V$2</f>
        <v>龍の魄</v>
      </c>
      <c r="D2745" s="224">
        <f>参数调整!$K$34*怪物掉落配置方案!$D4797</f>
        <v>1.2636371388331726</v>
      </c>
    </row>
    <row r="2746" spans="1:4" ht="16.5" hidden="1" x14ac:dyDescent="0.3">
      <c r="A2746" s="10" t="str">
        <f>基本属性!$B$20&amp;"|"&amp;基本属性!$C$20</f>
        <v>200|10</v>
      </c>
      <c r="B2746" s="10" t="str">
        <f>参数调整!$J$34</f>
        <v>首领掉落</v>
      </c>
      <c r="C2746" s="8" t="str">
        <f>材料产出!$V$2</f>
        <v>龍の魄</v>
      </c>
      <c r="D2746" s="224">
        <f>参数调整!$K$34*怪物掉落配置方案!$D4798</f>
        <v>1.4768585990745624</v>
      </c>
    </row>
    <row r="2747" spans="1:4" ht="16.5" hidden="1" x14ac:dyDescent="0.3">
      <c r="A2747" s="10" t="str">
        <f>基本属性!$B$21&amp;"|"&amp;基本属性!$C$21</f>
        <v>200|11</v>
      </c>
      <c r="B2747" s="10" t="str">
        <f>参数调整!$J$34</f>
        <v>首领掉落</v>
      </c>
      <c r="C2747" s="8" t="str">
        <f>材料产出!$V$2</f>
        <v>龍の魄</v>
      </c>
      <c r="D2747" s="224">
        <f>参数调整!$K$34*怪物掉落配置方案!$D4799</f>
        <v>1.7066947185555408</v>
      </c>
    </row>
    <row r="2748" spans="1:4" ht="16.5" hidden="1" x14ac:dyDescent="0.3">
      <c r="A2748" s="10" t="str">
        <f>基本属性!$B$22&amp;"|"&amp;基本属性!$C$22</f>
        <v>210|12</v>
      </c>
      <c r="B2748" s="10" t="str">
        <f>参数调整!$J$34</f>
        <v>首领掉落</v>
      </c>
      <c r="C2748" s="8" t="str">
        <f>材料产出!$V$2</f>
        <v>龍の魄</v>
      </c>
      <c r="D2748" s="224">
        <f>参数调整!$K$34*怪物掉落配置方案!$D4800</f>
        <v>1.9531454972761084</v>
      </c>
    </row>
    <row r="2749" spans="1:4" ht="16.5" hidden="1" x14ac:dyDescent="0.3">
      <c r="A2749" s="10" t="str">
        <f>基本属性!$B$23&amp;"|"&amp;基本属性!$C$23</f>
        <v>210|13</v>
      </c>
      <c r="B2749" s="10" t="str">
        <f>参数调整!$J$34</f>
        <v>首领掉落</v>
      </c>
      <c r="C2749" s="8" t="str">
        <f>材料产出!$V$2</f>
        <v>龍の魄</v>
      </c>
      <c r="D2749" s="224">
        <f>参数调整!$K$34*怪物掉落配置方案!$D4801</f>
        <v>2.2162109352362656</v>
      </c>
    </row>
    <row r="2750" spans="1:4" ht="16.5" hidden="1" x14ac:dyDescent="0.3">
      <c r="A2750" s="10" t="str">
        <f>基本属性!$B$24&amp;"|"&amp;基本属性!$C$24</f>
        <v>220|14</v>
      </c>
      <c r="B2750" s="10" t="str">
        <f>参数调整!$J$34</f>
        <v>首领掉落</v>
      </c>
      <c r="C2750" s="8" t="str">
        <f>材料产出!$V$2</f>
        <v>龍の魄</v>
      </c>
      <c r="D2750" s="224">
        <f>参数调整!$K$34*怪物掉落配置方案!$D4802</f>
        <v>2.4958910324360106</v>
      </c>
    </row>
    <row r="2751" spans="1:4" ht="16.5" hidden="1" x14ac:dyDescent="0.3">
      <c r="A2751" s="10" t="str">
        <f>基本属性!$B$25&amp;"|"&amp;基本属性!$C$25</f>
        <v>220|15</v>
      </c>
      <c r="B2751" s="10" t="str">
        <f>参数调整!$J$34</f>
        <v>首领掉落</v>
      </c>
      <c r="C2751" s="8" t="str">
        <f>材料产出!$V$2</f>
        <v>龍の魄</v>
      </c>
      <c r="D2751" s="224">
        <f>参数调整!$K$34*怪物掉落配置方案!$D4803</f>
        <v>2.7921857888753445</v>
      </c>
    </row>
    <row r="2752" spans="1:4" ht="16.5" hidden="1" x14ac:dyDescent="0.3">
      <c r="A2752" s="10" t="str">
        <f>基本属性!$B$26&amp;"|"&amp;基本属性!$C$26</f>
        <v>230|16</v>
      </c>
      <c r="B2752" s="10" t="str">
        <f>参数调整!$J$34</f>
        <v>首领掉落</v>
      </c>
      <c r="C2752" s="8" t="str">
        <f>材料产出!$V$2</f>
        <v>龍の魄</v>
      </c>
      <c r="D2752" s="224">
        <f>参数调整!$K$34*怪物掉落配置方案!$D4804</f>
        <v>3.1050952045542672</v>
      </c>
    </row>
    <row r="2753" spans="1:4" ht="16.5" hidden="1" x14ac:dyDescent="0.3">
      <c r="A2753" s="10" t="str">
        <f>基本属性!$B$27&amp;"|"&amp;基本属性!$C$27</f>
        <v>230|17</v>
      </c>
      <c r="B2753" s="10" t="str">
        <f>参数调整!$J$34</f>
        <v>首领掉落</v>
      </c>
      <c r="C2753" s="8" t="str">
        <f>材料产出!$V$2</f>
        <v>龍の魄</v>
      </c>
      <c r="D2753" s="224">
        <f>参数调整!$K$34*怪物掉落配置方案!$D4805</f>
        <v>3.4346192794727788</v>
      </c>
    </row>
    <row r="2754" spans="1:4" ht="16.5" hidden="1" x14ac:dyDescent="0.3">
      <c r="A2754" s="10" t="str">
        <f>基本属性!$B$28&amp;"|"&amp;基本属性!$C$28</f>
        <v>240|18</v>
      </c>
      <c r="B2754" s="10" t="str">
        <f>参数调整!$J$34</f>
        <v>首领掉落</v>
      </c>
      <c r="C2754" s="8" t="str">
        <f>材料产出!$V$2</f>
        <v>龍の魄</v>
      </c>
      <c r="D2754" s="224">
        <f>参数调整!$K$34*怪物掉落配置方案!$D4806</f>
        <v>3.7807580136308805</v>
      </c>
    </row>
    <row r="2755" spans="1:4" ht="16.5" hidden="1" x14ac:dyDescent="0.3">
      <c r="A2755" s="10" t="str">
        <f>基本属性!$B$29&amp;"|"&amp;基本属性!$C$29</f>
        <v>240|19</v>
      </c>
      <c r="B2755" s="10" t="str">
        <f>参数调整!$J$34</f>
        <v>首领掉落</v>
      </c>
      <c r="C2755" s="8" t="str">
        <f>材料产出!$V$2</f>
        <v>龍の魄</v>
      </c>
      <c r="D2755" s="224">
        <f>参数调整!$K$34*怪物掉落配置方案!$D4807</f>
        <v>4.1435114070285692</v>
      </c>
    </row>
    <row r="2756" spans="1:4" ht="16.5" hidden="1" x14ac:dyDescent="0.3">
      <c r="A2756" s="10" t="str">
        <f>基本属性!$B$30&amp;"|"&amp;基本属性!$C$30</f>
        <v>250|20</v>
      </c>
      <c r="B2756" s="10" t="str">
        <f>参数调整!$J$34</f>
        <v>首领掉落</v>
      </c>
      <c r="C2756" s="8" t="str">
        <f>材料产出!$V$2</f>
        <v>龍の魄</v>
      </c>
      <c r="D2756" s="224">
        <f>参数调整!$K$34*怪物掉落配置方案!$D4808</f>
        <v>4.5228794596658473</v>
      </c>
    </row>
    <row r="2757" spans="1:4" ht="16.5" hidden="1" x14ac:dyDescent="0.3">
      <c r="A2757" s="10" t="str">
        <f>基本属性!$B$4&amp;"|"&amp;基本属性!$C$4</f>
        <v>35|0</v>
      </c>
      <c r="B2757" s="10" t="str">
        <f>参数调整!$J$34</f>
        <v>首领掉落</v>
      </c>
      <c r="C2757" s="8" t="str">
        <f>材料产出!$AB$2</f>
        <v>龙晶碎片</v>
      </c>
      <c r="D2757" s="224">
        <f>参数调整!$K$34*怪物掉落配置方案!$D4809</f>
        <v>1.5143132188275827</v>
      </c>
    </row>
    <row r="2758" spans="1:4" ht="16.5" hidden="1" x14ac:dyDescent="0.3">
      <c r="A2758" s="10" t="str">
        <f>基本属性!$B$5&amp;"|"&amp;基本属性!$C$5</f>
        <v>40|0</v>
      </c>
      <c r="B2758" s="10" t="str">
        <f>参数调整!$J$34</f>
        <v>首领掉落</v>
      </c>
      <c r="C2758" s="8" t="str">
        <f>材料产出!$AB$2</f>
        <v>龙晶碎片</v>
      </c>
      <c r="D2758" s="224">
        <f>参数调整!$K$34*怪物掉落配置方案!$D4810</f>
        <v>1.9165526675786595</v>
      </c>
    </row>
    <row r="2759" spans="1:4" ht="16.5" hidden="1" x14ac:dyDescent="0.3">
      <c r="A2759" s="10" t="str">
        <f>基本属性!$B$6&amp;"|"&amp;基本属性!$C$6</f>
        <v>50|0</v>
      </c>
      <c r="B2759" s="10" t="str">
        <f>参数调整!$J$34</f>
        <v>首领掉落</v>
      </c>
      <c r="C2759" s="8" t="str">
        <f>材料产出!$AB$2</f>
        <v>龙晶碎片</v>
      </c>
      <c r="D2759" s="224">
        <f>参数调整!$K$34*怪物掉落配置方案!$D4811</f>
        <v>2.3661144044180982</v>
      </c>
    </row>
    <row r="2760" spans="1:4" ht="16.5" hidden="1" x14ac:dyDescent="0.3">
      <c r="A2760" s="10" t="str">
        <f>基本属性!$B$7&amp;"|"&amp;基本属性!$C$7</f>
        <v>60|0</v>
      </c>
      <c r="B2760" s="10" t="str">
        <f>参数调整!$J$34</f>
        <v>首领掉落</v>
      </c>
      <c r="C2760" s="8" t="str">
        <f>材料产出!$AB$2</f>
        <v>龙晶碎片</v>
      </c>
      <c r="D2760" s="224">
        <f>参数调整!$K$34*怪物掉落配置方案!$D4812</f>
        <v>2.862998429345899</v>
      </c>
    </row>
    <row r="2761" spans="1:4" ht="16.5" hidden="1" x14ac:dyDescent="0.3">
      <c r="A2761" s="10" t="str">
        <f>基本属性!$B$8&amp;"|"&amp;基本属性!$C$8</f>
        <v>65|0</v>
      </c>
      <c r="B2761" s="10" t="str">
        <f>参数调整!$J$34</f>
        <v>首领掉落</v>
      </c>
      <c r="C2761" s="8" t="str">
        <f>材料产出!$AB$2</f>
        <v>龙晶碎片</v>
      </c>
      <c r="D2761" s="224">
        <f>参数调整!$K$34*怪物掉落配置方案!$D4813</f>
        <v>3.4072047423620613</v>
      </c>
    </row>
    <row r="2762" spans="1:4" ht="16.5" hidden="1" x14ac:dyDescent="0.3">
      <c r="A2762" s="10" t="str">
        <f>基本属性!$B$9&amp;"|"&amp;基本属性!$C$9</f>
        <v>70|0</v>
      </c>
      <c r="B2762" s="10" t="str">
        <f>参数调整!$J$34</f>
        <v>首领掉落</v>
      </c>
      <c r="C2762" s="8" t="str">
        <f>材料产出!$AB$2</f>
        <v>龙晶碎片</v>
      </c>
      <c r="D2762" s="224">
        <f>参数调整!$K$34*怪物掉落配置方案!$D4814</f>
        <v>3.998733343466585</v>
      </c>
    </row>
    <row r="2763" spans="1:4" ht="16.5" hidden="1" x14ac:dyDescent="0.3">
      <c r="A2763" s="10" t="str">
        <f>基本属性!$B$10&amp;"|"&amp;基本属性!$C$10</f>
        <v>75|0</v>
      </c>
      <c r="B2763" s="10" t="str">
        <f>参数调整!$J$34</f>
        <v>首领掉落</v>
      </c>
      <c r="C2763" s="8" t="str">
        <f>材料产出!$AB$2</f>
        <v>龙晶碎片</v>
      </c>
      <c r="D2763" s="224">
        <f>参数调整!$K$34*怪物掉落配置方案!$D4815</f>
        <v>4.6375842326594707</v>
      </c>
    </row>
    <row r="2764" spans="1:4" ht="16.5" hidden="1" x14ac:dyDescent="0.3">
      <c r="A2764" s="10" t="str">
        <f>基本属性!$B$11&amp;"|"&amp;基本属性!$C$11</f>
        <v>80|1</v>
      </c>
      <c r="B2764" s="10" t="str">
        <f>参数调整!$J$34</f>
        <v>首领掉落</v>
      </c>
      <c r="C2764" s="8" t="str">
        <f>材料产出!$AB$2</f>
        <v>龙晶碎片</v>
      </c>
      <c r="D2764" s="224">
        <f>参数调整!$K$34*怪物掉落配置方案!$D4816</f>
        <v>5.3237574099407201</v>
      </c>
    </row>
    <row r="2765" spans="1:4" ht="16.5" hidden="1" x14ac:dyDescent="0.3">
      <c r="A2765" s="10" t="str">
        <f>基本属性!$B$12&amp;"|"&amp;基本属性!$C$12</f>
        <v>90|2</v>
      </c>
      <c r="B2765" s="10" t="str">
        <f>参数调整!$J$34</f>
        <v>首领掉落</v>
      </c>
      <c r="C2765" s="8" t="str">
        <f>材料产出!$AB$2</f>
        <v>龙晶碎片</v>
      </c>
      <c r="D2765" s="224">
        <f>参数调整!$K$34*怪物掉落配置方案!$D4817</f>
        <v>6.0572528753103319</v>
      </c>
    </row>
    <row r="2766" spans="1:4" ht="16.5" hidden="1" x14ac:dyDescent="0.3">
      <c r="A2766" s="10" t="str">
        <f>基本属性!$B$13&amp;"|"&amp;基本属性!$C$13</f>
        <v>100|3</v>
      </c>
      <c r="B2766" s="10" t="str">
        <f>参数调整!$J$34</f>
        <v>首领掉落</v>
      </c>
      <c r="C2766" s="8" t="str">
        <f>材料产出!$AB$2</f>
        <v>龙晶碎片</v>
      </c>
      <c r="D2766" s="224">
        <f>参数调整!$K$34*怪物掉落配置方案!$D4818</f>
        <v>7.666210670314638</v>
      </c>
    </row>
    <row r="2767" spans="1:4" ht="16.5" hidden="1" x14ac:dyDescent="0.3">
      <c r="A2767" s="10" t="str">
        <f>基本属性!$B$14&amp;"|"&amp;基本属性!$C$14</f>
        <v>105|4</v>
      </c>
      <c r="B2767" s="10" t="str">
        <f>参数调整!$J$34</f>
        <v>首领掉落</v>
      </c>
      <c r="C2767" s="8" t="str">
        <f>材料产出!$AB$2</f>
        <v>龙晶碎片</v>
      </c>
      <c r="D2767" s="224">
        <f>参数调整!$K$34*怪物掉落配置方案!$D4819</f>
        <v>9.4644576176723927</v>
      </c>
    </row>
    <row r="2768" spans="1:4" ht="16.5" hidden="1" x14ac:dyDescent="0.3">
      <c r="A2768" s="10" t="str">
        <f>基本属性!$B$15&amp;"|"&amp;基本属性!$C$15</f>
        <v>110|5</v>
      </c>
      <c r="B2768" s="10" t="str">
        <f>参数调整!$J$34</f>
        <v>首领掉落</v>
      </c>
      <c r="C2768" s="8" t="str">
        <f>材料产出!$AB$2</f>
        <v>龙晶碎片</v>
      </c>
      <c r="D2768" s="224">
        <f>参数调整!$K$34*怪物掉落配置方案!$D4820</f>
        <v>11.451993717383598</v>
      </c>
    </row>
    <row r="2769" spans="1:4" ht="16.5" hidden="1" x14ac:dyDescent="0.3">
      <c r="A2769" s="10" t="str">
        <f>基本属性!$B$16&amp;"|"&amp;基本属性!$C$16</f>
        <v>120|6</v>
      </c>
      <c r="B2769" s="10" t="str">
        <f>参数调整!$J$34</f>
        <v>首领掉落</v>
      </c>
      <c r="C2769" s="8" t="str">
        <f>材料产出!$AB$2</f>
        <v>龙晶碎片</v>
      </c>
      <c r="D2769" s="224">
        <f>参数调整!$K$34*怪物掉落配置方案!$D4821</f>
        <v>14.788215027613111</v>
      </c>
    </row>
    <row r="2770" spans="1:4" ht="16.5" hidden="1" x14ac:dyDescent="0.3">
      <c r="A2770" s="10" t="str">
        <f>基本属性!$B$17&amp;"|"&amp;基本属性!$C$17</f>
        <v>135|7</v>
      </c>
      <c r="B2770" s="10" t="str">
        <f>参数调整!$J$34</f>
        <v>首领掉落</v>
      </c>
      <c r="C2770" s="8" t="str">
        <f>材料产出!$AB$2</f>
        <v>龙晶碎片</v>
      </c>
      <c r="D2770" s="224">
        <f>参数调整!$K$34*怪物掉落配置方案!$D4822</f>
        <v>21.29502963976288</v>
      </c>
    </row>
    <row r="2771" spans="1:4" ht="16.5" hidden="1" x14ac:dyDescent="0.3">
      <c r="A2771" s="10" t="str">
        <f>基本属性!$B$18&amp;"|"&amp;基本属性!$C$18</f>
        <v>155|8</v>
      </c>
      <c r="B2771" s="10" t="str">
        <f>参数调整!$J$34</f>
        <v>首领掉落</v>
      </c>
      <c r="C2771" s="8" t="str">
        <f>材料产出!$AB$2</f>
        <v>龙晶碎片</v>
      </c>
      <c r="D2771" s="224">
        <f>参数调整!$K$34*怪物掉落配置方案!$D4823</f>
        <v>28.984901454121704</v>
      </c>
    </row>
    <row r="2772" spans="1:4" ht="16.5" hidden="1" x14ac:dyDescent="0.3">
      <c r="A2772" s="10" t="str">
        <f>基本属性!$B$19&amp;"|"&amp;基本属性!$C$19</f>
        <v>190|9</v>
      </c>
      <c r="B2772" s="10" t="str">
        <f>参数调整!$J$34</f>
        <v>首领掉落</v>
      </c>
      <c r="C2772" s="8" t="str">
        <f>材料产出!$AB$2</f>
        <v>龙晶碎片</v>
      </c>
      <c r="D2772" s="224">
        <f>参数调整!$K$34*怪物掉落配置方案!$D4824</f>
        <v>32.392106196483766</v>
      </c>
    </row>
    <row r="2773" spans="1:4" ht="16.5" hidden="1" x14ac:dyDescent="0.3">
      <c r="A2773" s="10" t="str">
        <f>基本属性!$B$20&amp;"|"&amp;基本属性!$C$20</f>
        <v>200|10</v>
      </c>
      <c r="B2773" s="10" t="str">
        <f>参数调整!$J$34</f>
        <v>首领掉落</v>
      </c>
      <c r="C2773" s="8" t="str">
        <f>材料产出!$AB$2</f>
        <v>龙晶碎片</v>
      </c>
      <c r="D2773" s="224">
        <f>参数调整!$K$34*怪物掉落配置方案!$D4825</f>
        <v>37.857830470689571</v>
      </c>
    </row>
    <row r="2774" spans="1:4" ht="16.5" hidden="1" x14ac:dyDescent="0.3">
      <c r="A2774" s="10" t="str">
        <f>基本属性!$B$21&amp;"|"&amp;基本属性!$C$21</f>
        <v>200|11</v>
      </c>
      <c r="B2774" s="10" t="str">
        <f>参数调整!$J$34</f>
        <v>首领掉落</v>
      </c>
      <c r="C2774" s="8" t="str">
        <f>材料产出!$AB$2</f>
        <v>龙晶碎片</v>
      </c>
      <c r="D2774" s="224">
        <f>参数调整!$K$34*怪物掉落配置方案!$D4826</f>
        <v>43.74945533769062</v>
      </c>
    </row>
    <row r="2775" spans="1:4" ht="16.5" hidden="1" x14ac:dyDescent="0.3">
      <c r="A2775" s="10" t="str">
        <f>基本属性!$B$22&amp;"|"&amp;基本属性!$C$22</f>
        <v>210|12</v>
      </c>
      <c r="B2775" s="10" t="str">
        <f>参数调整!$J$34</f>
        <v>首领掉落</v>
      </c>
      <c r="C2775" s="8" t="str">
        <f>材料产出!$AB$2</f>
        <v>龙晶碎片</v>
      </c>
      <c r="D2775" s="224">
        <f>参数调整!$K$34*怪物掉落配置方案!$D4827</f>
        <v>50.066980797486949</v>
      </c>
    </row>
    <row r="2776" spans="1:4" ht="16.5" hidden="1" x14ac:dyDescent="0.3">
      <c r="A2776" s="10" t="str">
        <f>基本属性!$B$23&amp;"|"&amp;基本属性!$C$23</f>
        <v>210|13</v>
      </c>
      <c r="B2776" s="10" t="str">
        <f>参数调整!$J$34</f>
        <v>首领掉落</v>
      </c>
      <c r="C2776" s="8" t="str">
        <f>材料产出!$AB$2</f>
        <v>龙晶碎片</v>
      </c>
      <c r="D2776" s="224">
        <f>参数调整!$K$34*怪物掉落配置方案!$D4828</f>
        <v>56.810406850078529</v>
      </c>
    </row>
    <row r="2777" spans="1:4" ht="16.5" hidden="1" x14ac:dyDescent="0.3">
      <c r="A2777" s="10" t="str">
        <f>基本属性!$B$24&amp;"|"&amp;基本属性!$C$24</f>
        <v>220|14</v>
      </c>
      <c r="B2777" s="10" t="str">
        <f>参数调整!$J$34</f>
        <v>首领掉落</v>
      </c>
      <c r="C2777" s="8" t="str">
        <f>材料产出!$AB$2</f>
        <v>龙晶碎片</v>
      </c>
      <c r="D2777" s="224">
        <f>参数调整!$K$34*怪物掉落配置方案!$D4829</f>
        <v>63.979733495465375</v>
      </c>
    </row>
    <row r="2778" spans="1:4" ht="16.5" hidden="1" x14ac:dyDescent="0.3">
      <c r="A2778" s="10" t="str">
        <f>基本属性!$B$25&amp;"|"&amp;基本属性!$C$25</f>
        <v>220|15</v>
      </c>
      <c r="B2778" s="10" t="str">
        <f>参数调整!$J$34</f>
        <v>首领掉落</v>
      </c>
      <c r="C2778" s="8" t="str">
        <f>材料产出!$AB$2</f>
        <v>龙晶碎片</v>
      </c>
      <c r="D2778" s="224">
        <f>参数调整!$K$34*怪物掉落配置方案!$D4830</f>
        <v>71.574960733647458</v>
      </c>
    </row>
    <row r="2779" spans="1:4" ht="16.5" hidden="1" x14ac:dyDescent="0.3">
      <c r="A2779" s="10" t="str">
        <f>基本属性!$B$26&amp;"|"&amp;基本属性!$C$26</f>
        <v>230|16</v>
      </c>
      <c r="B2779" s="10" t="str">
        <f>参数调整!$J$34</f>
        <v>首领掉落</v>
      </c>
      <c r="C2779" s="8" t="str">
        <f>材料产出!$AB$2</f>
        <v>龙晶碎片</v>
      </c>
      <c r="D2779" s="224">
        <f>参数调整!$K$34*怪物掉落配置方案!$D4831</f>
        <v>79.596088564624807</v>
      </c>
    </row>
    <row r="2780" spans="1:4" ht="16.5" hidden="1" x14ac:dyDescent="0.3">
      <c r="A2780" s="10" t="str">
        <f>基本属性!$B$27&amp;"|"&amp;基本属性!$C$27</f>
        <v>230|17</v>
      </c>
      <c r="B2780" s="10" t="str">
        <f>参数调整!$J$34</f>
        <v>首领掉落</v>
      </c>
      <c r="C2780" s="8" t="str">
        <f>材料产出!$AB$2</f>
        <v>龙晶碎片</v>
      </c>
      <c r="D2780" s="224">
        <f>参数调整!$K$34*怪物掉落配置方案!$D4832</f>
        <v>88.043116988397415</v>
      </c>
    </row>
    <row r="2781" spans="1:4" ht="16.5" hidden="1" x14ac:dyDescent="0.3">
      <c r="A2781" s="10" t="str">
        <f>基本属性!$B$28&amp;"|"&amp;基本属性!$C$28</f>
        <v>240|18</v>
      </c>
      <c r="B2781" s="10" t="str">
        <f>参数调整!$J$34</f>
        <v>首领掉落</v>
      </c>
      <c r="C2781" s="8" t="str">
        <f>材料产出!$AB$2</f>
        <v>龙晶碎片</v>
      </c>
      <c r="D2781" s="224">
        <f>参数调整!$K$34*怪物掉落配置方案!$D4833</f>
        <v>96.91604600496531</v>
      </c>
    </row>
    <row r="2782" spans="1:4" ht="16.5" hidden="1" x14ac:dyDescent="0.3">
      <c r="A2782" s="10" t="str">
        <f>基本属性!$B$29&amp;"|"&amp;基本属性!$C$29</f>
        <v>240|19</v>
      </c>
      <c r="B2782" s="10" t="str">
        <f>参数调整!$J$34</f>
        <v>首领掉落</v>
      </c>
      <c r="C2782" s="8" t="str">
        <f>材料产出!$AB$2</f>
        <v>龙晶碎片</v>
      </c>
      <c r="D2782" s="224">
        <f>参数调整!$K$34*怪物掉落配置方案!$D4834</f>
        <v>106.21487561432843</v>
      </c>
    </row>
    <row r="2783" spans="1:4" ht="16.5" hidden="1" x14ac:dyDescent="0.3">
      <c r="A2783" s="10" t="str">
        <f>基本属性!$B$30&amp;"|"&amp;基本属性!$C$30</f>
        <v>250|20</v>
      </c>
      <c r="B2783" s="10" t="str">
        <f>参数调整!$J$34</f>
        <v>首领掉落</v>
      </c>
      <c r="C2783" s="8" t="str">
        <f>材料产出!$AB$2</f>
        <v>龙晶碎片</v>
      </c>
      <c r="D2783" s="224">
        <f>参数调整!$K$34*怪物掉落配置方案!$D4835</f>
        <v>115.93960581648676</v>
      </c>
    </row>
    <row r="2784" spans="1:4" ht="16.5" hidden="1" x14ac:dyDescent="0.3">
      <c r="A2784" s="10" t="str">
        <f>基本属性!$B$4&amp;"|"&amp;基本属性!$C$4</f>
        <v>35|0</v>
      </c>
      <c r="B2784" s="10" t="str">
        <f>参数调整!$J$34</f>
        <v>首领掉落</v>
      </c>
      <c r="C2784" s="8" t="str">
        <f>材料产出!$AX$2</f>
        <v>烈焰玄铁</v>
      </c>
      <c r="D2784" s="224">
        <f>参数调整!$K$34*怪物掉落配置方案!$D4836</f>
        <v>8.9283669292289491E-3</v>
      </c>
    </row>
    <row r="2785" spans="1:4" ht="16.5" hidden="1" x14ac:dyDescent="0.3">
      <c r="A2785" s="10" t="str">
        <f>基本属性!$B$5&amp;"|"&amp;基本属性!$C$5</f>
        <v>40|0</v>
      </c>
      <c r="B2785" s="10" t="str">
        <f>参数调整!$J$34</f>
        <v>首领掉落</v>
      </c>
      <c r="C2785" s="8" t="str">
        <f>材料产出!$AX$2</f>
        <v>烈焰玄铁</v>
      </c>
      <c r="D2785" s="224">
        <f>参数调整!$K$34*怪物掉落配置方案!$D4837</f>
        <v>1.1299964394805387E-2</v>
      </c>
    </row>
    <row r="2786" spans="1:4" ht="16.5" hidden="1" x14ac:dyDescent="0.3">
      <c r="A2786" s="10" t="str">
        <f>基本属性!$B$6&amp;"|"&amp;基本属性!$C$6</f>
        <v>50|0</v>
      </c>
      <c r="B2786" s="10" t="str">
        <f>参数调整!$J$34</f>
        <v>首领掉落</v>
      </c>
      <c r="C2786" s="8" t="str">
        <f>材料产出!$AX$2</f>
        <v>烈焰玄铁</v>
      </c>
      <c r="D2786" s="224">
        <f>参数调整!$K$34*怪物掉落配置方案!$D4838</f>
        <v>1.3950573326920233E-2</v>
      </c>
    </row>
    <row r="2787" spans="1:4" ht="16.5" hidden="1" x14ac:dyDescent="0.3">
      <c r="A2787" s="10" t="str">
        <f>基本属性!$B$7&amp;"|"&amp;基本属性!$C$7</f>
        <v>60|0</v>
      </c>
      <c r="B2787" s="10" t="str">
        <f>参数调整!$J$34</f>
        <v>首领掉落</v>
      </c>
      <c r="C2787" s="8" t="str">
        <f>材料产出!$AX$2</f>
        <v>烈焰玄铁</v>
      </c>
      <c r="D2787" s="224">
        <f>参数调整!$K$34*怪物掉落配置方案!$D4839</f>
        <v>1.6880193725573485E-2</v>
      </c>
    </row>
    <row r="2788" spans="1:4" ht="16.5" hidden="1" x14ac:dyDescent="0.3">
      <c r="A2788" s="10" t="str">
        <f>基本属性!$B$8&amp;"|"&amp;基本属性!$C$8</f>
        <v>65|0</v>
      </c>
      <c r="B2788" s="10" t="str">
        <f>参数调整!$J$34</f>
        <v>首领掉落</v>
      </c>
      <c r="C2788" s="8" t="str">
        <f>材料产出!$AX$2</f>
        <v>烈焰玄铁</v>
      </c>
      <c r="D2788" s="224">
        <f>参数调整!$K$34*怪物掉落配置方案!$D4840</f>
        <v>2.0088825590765136E-2</v>
      </c>
    </row>
    <row r="2789" spans="1:4" ht="16.5" hidden="1" x14ac:dyDescent="0.3">
      <c r="A2789" s="10" t="str">
        <f>基本属性!$B$9&amp;"|"&amp;基本属性!$C$9</f>
        <v>70|0</v>
      </c>
      <c r="B2789" s="10" t="str">
        <f>参数调整!$J$34</f>
        <v>首领掉落</v>
      </c>
      <c r="C2789" s="8" t="str">
        <f>材料产出!$AX$2</f>
        <v>烈焰玄铁</v>
      </c>
      <c r="D2789" s="224">
        <f>参数调整!$K$34*怪物掉落配置方案!$D4841</f>
        <v>2.3576468922495198E-2</v>
      </c>
    </row>
    <row r="2790" spans="1:4" ht="16.5" hidden="1" x14ac:dyDescent="0.3">
      <c r="A2790" s="10" t="str">
        <f>基本属性!$B$10&amp;"|"&amp;基本属性!$C$10</f>
        <v>75|0</v>
      </c>
      <c r="B2790" s="10" t="str">
        <f>参数调整!$J$34</f>
        <v>首领掉落</v>
      </c>
      <c r="C2790" s="8" t="str">
        <f>材料产出!$AX$2</f>
        <v>烈焰玄铁</v>
      </c>
      <c r="D2790" s="224">
        <f>参数调整!$K$34*怪物掉落配置方案!$D4842</f>
        <v>2.7343123720763654E-2</v>
      </c>
    </row>
    <row r="2791" spans="1:4" ht="16.5" hidden="1" x14ac:dyDescent="0.3">
      <c r="A2791" s="10" t="str">
        <f>基本属性!$B$11&amp;"|"&amp;基本属性!$C$11</f>
        <v>80|1</v>
      </c>
      <c r="B2791" s="10" t="str">
        <f>参数调整!$J$34</f>
        <v>首领掉落</v>
      </c>
      <c r="C2791" s="8" t="str">
        <f>材料产出!$AX$2</f>
        <v>烈焰玄铁</v>
      </c>
      <c r="D2791" s="224">
        <f>参数调整!$K$34*怪物掉落配置方案!$D4843</f>
        <v>3.1388789985570528E-2</v>
      </c>
    </row>
    <row r="2792" spans="1:4" ht="16.5" hidden="1" x14ac:dyDescent="0.3">
      <c r="A2792" s="10" t="str">
        <f>基本属性!$B$12&amp;"|"&amp;基本属性!$C$12</f>
        <v>90|2</v>
      </c>
      <c r="B2792" s="10" t="str">
        <f>参数调整!$J$34</f>
        <v>首领掉落</v>
      </c>
      <c r="C2792" s="8" t="str">
        <f>材料产出!$AX$2</f>
        <v>烈焰玄铁</v>
      </c>
      <c r="D2792" s="224">
        <f>参数调整!$K$34*怪物掉落配置方案!$D4844</f>
        <v>3.5713467716915803E-2</v>
      </c>
    </row>
    <row r="2793" spans="1:4" ht="16.5" hidden="1" x14ac:dyDescent="0.3">
      <c r="A2793" s="10" t="str">
        <f>基本属性!$B$13&amp;"|"&amp;基本属性!$C$13</f>
        <v>100|3</v>
      </c>
      <c r="B2793" s="10" t="str">
        <f>参数调整!$J$34</f>
        <v>首领掉落</v>
      </c>
      <c r="C2793" s="8" t="str">
        <f>材料产出!$AX$2</f>
        <v>烈焰玄铁</v>
      </c>
      <c r="D2793" s="224">
        <f>参数调整!$K$34*怪物掉落配置方案!$D4845</f>
        <v>4.5199857579221563E-2</v>
      </c>
    </row>
    <row r="2794" spans="1:4" ht="16.5" hidden="1" x14ac:dyDescent="0.3">
      <c r="A2794" s="10" t="str">
        <f>基本属性!$B$14&amp;"|"&amp;基本属性!$C$14</f>
        <v>105|4</v>
      </c>
      <c r="B2794" s="10" t="str">
        <f>参数调整!$J$34</f>
        <v>首领掉落</v>
      </c>
      <c r="C2794" s="8" t="str">
        <f>材料产出!$AX$2</f>
        <v>烈焰玄铁</v>
      </c>
      <c r="D2794" s="224">
        <f>参数调整!$K$34*怪物掉落配置方案!$D4846</f>
        <v>5.5802293307680939E-2</v>
      </c>
    </row>
    <row r="2795" spans="1:4" ht="16.5" hidden="1" x14ac:dyDescent="0.3">
      <c r="A2795" s="10" t="str">
        <f>基本属性!$B$15&amp;"|"&amp;基本属性!$C$15</f>
        <v>110|5</v>
      </c>
      <c r="B2795" s="10" t="str">
        <f>参数调整!$J$34</f>
        <v>首领掉落</v>
      </c>
      <c r="C2795" s="8" t="str">
        <f>材料产出!$AX$2</f>
        <v>烈焰玄铁</v>
      </c>
      <c r="D2795" s="224">
        <f>参数调整!$K$34*怪物掉落配置方案!$D4847</f>
        <v>6.7520774902293954E-2</v>
      </c>
    </row>
    <row r="2796" spans="1:4" ht="16.5" hidden="1" x14ac:dyDescent="0.3">
      <c r="A2796" s="10" t="str">
        <f>基本属性!$B$16&amp;"|"&amp;基本属性!$C$16</f>
        <v>120|6</v>
      </c>
      <c r="B2796" s="10" t="str">
        <f>参数调整!$J$34</f>
        <v>首领掉落</v>
      </c>
      <c r="C2796" s="8" t="str">
        <f>材料产出!$AX$2</f>
        <v>烈焰玄铁</v>
      </c>
      <c r="D2796" s="224">
        <f>参数调整!$K$34*怪物掉落配置方案!$D4848</f>
        <v>8.7191083293251453E-2</v>
      </c>
    </row>
    <row r="2797" spans="1:4" ht="16.5" hidden="1" x14ac:dyDescent="0.3">
      <c r="A2797" s="10" t="str">
        <f>基本属性!$B$17&amp;"|"&amp;基本属性!$C$17</f>
        <v>135|7</v>
      </c>
      <c r="B2797" s="10" t="str">
        <f>参数调整!$J$34</f>
        <v>首领掉落</v>
      </c>
      <c r="C2797" s="8" t="str">
        <f>材料产出!$AX$2</f>
        <v>烈焰玄铁</v>
      </c>
      <c r="D2797" s="224">
        <f>参数调整!$K$34*怪物掉落配置方案!$D4849</f>
        <v>0.12555515994228211</v>
      </c>
    </row>
    <row r="2798" spans="1:4" ht="16.5" hidden="1" x14ac:dyDescent="0.3">
      <c r="A2798" s="10" t="str">
        <f>基本属性!$B$18&amp;"|"&amp;基本属性!$C$18</f>
        <v>155|8</v>
      </c>
      <c r="B2798" s="10" t="str">
        <f>参数调整!$J$34</f>
        <v>首领掉落</v>
      </c>
      <c r="C2798" s="8" t="str">
        <f>材料产出!$AX$2</f>
        <v>烈焰玄铁</v>
      </c>
      <c r="D2798" s="224">
        <f>参数调整!$K$34*怪物掉落配置方案!$D4850</f>
        <v>0.17089452325477289</v>
      </c>
    </row>
    <row r="2799" spans="1:4" ht="16.5" hidden="1" x14ac:dyDescent="0.3">
      <c r="A2799" s="10" t="str">
        <f>基本属性!$B$19&amp;"|"&amp;基本属性!$C$19</f>
        <v>190|9</v>
      </c>
      <c r="B2799" s="10" t="str">
        <f>参数调整!$J$34</f>
        <v>首领掉落</v>
      </c>
      <c r="C2799" s="8" t="str">
        <f>材料产出!$AX$2</f>
        <v>烈焰玄铁</v>
      </c>
      <c r="D2799" s="224">
        <f>参数调整!$K$34*怪物掉落配置方案!$D4851</f>
        <v>0.19098334884553803</v>
      </c>
    </row>
    <row r="2800" spans="1:4" ht="16.5" hidden="1" x14ac:dyDescent="0.3">
      <c r="A2800" s="10" t="str">
        <f>基本属性!$B$20&amp;"|"&amp;基本属性!$C$20</f>
        <v>200|10</v>
      </c>
      <c r="B2800" s="10" t="str">
        <f>参数调整!$J$34</f>
        <v>首领掉落</v>
      </c>
      <c r="C2800" s="8" t="str">
        <f>材料产出!$AX$2</f>
        <v>烈焰玄铁</v>
      </c>
      <c r="D2800" s="224">
        <f>参数调整!$K$34*怪物掉落配置方案!$D4852</f>
        <v>0.22320917323072376</v>
      </c>
    </row>
    <row r="2801" spans="1:4" ht="16.5" hidden="1" x14ac:dyDescent="0.3">
      <c r="A2801" s="10" t="str">
        <f>基本属性!$B$21&amp;"|"&amp;基本属性!$C$21</f>
        <v>200|11</v>
      </c>
      <c r="B2801" s="10" t="str">
        <f>参数调整!$J$34</f>
        <v>首领掉落</v>
      </c>
      <c r="C2801" s="8" t="str">
        <f>材料产出!$AX$2</f>
        <v>烈焰玄铁</v>
      </c>
      <c r="D2801" s="224">
        <f>参数调整!$K$34*怪物掉落配置方案!$D4853</f>
        <v>0.25794610081475505</v>
      </c>
    </row>
    <row r="2802" spans="1:4" ht="16.5" hidden="1" x14ac:dyDescent="0.3">
      <c r="A2802" s="10" t="str">
        <f>基本属性!$B$22&amp;"|"&amp;基本属性!$C$22</f>
        <v>210|12</v>
      </c>
      <c r="B2802" s="10" t="str">
        <f>参数调整!$J$34</f>
        <v>首领掉落</v>
      </c>
      <c r="C2802" s="8" t="str">
        <f>材料产出!$AX$2</f>
        <v>烈焰玄铁</v>
      </c>
      <c r="D2802" s="224">
        <f>参数调整!$K$34*怪物掉落配置方案!$D4854</f>
        <v>0.29519413159763208</v>
      </c>
    </row>
    <row r="2803" spans="1:4" ht="16.5" hidden="1" x14ac:dyDescent="0.3">
      <c r="A2803" s="10" t="str">
        <f>基本属性!$B$23&amp;"|"&amp;基本属性!$C$23</f>
        <v>210|13</v>
      </c>
      <c r="B2803" s="10" t="str">
        <f>参数调整!$J$34</f>
        <v>首领掉落</v>
      </c>
      <c r="C2803" s="8" t="str">
        <f>材料产出!$AX$2</f>
        <v>烈焰玄铁</v>
      </c>
      <c r="D2803" s="224">
        <f>参数调整!$K$34*怪物掉落配置方案!$D4855</f>
        <v>0.33495326557935484</v>
      </c>
    </row>
    <row r="2804" spans="1:4" ht="16.5" hidden="1" x14ac:dyDescent="0.3">
      <c r="A2804" s="10" t="str">
        <f>基本属性!$B$24&amp;"|"&amp;基本属性!$C$24</f>
        <v>220|14</v>
      </c>
      <c r="B2804" s="10" t="str">
        <f>参数调整!$J$34</f>
        <v>首领掉落</v>
      </c>
      <c r="C2804" s="8" t="str">
        <f>材料产出!$AX$2</f>
        <v>烈焰玄铁</v>
      </c>
      <c r="D2804" s="224">
        <f>参数调整!$K$34*怪物掉落配置方案!$D4856</f>
        <v>0.37722350275992311</v>
      </c>
    </row>
    <row r="2805" spans="1:4" ht="16.5" hidden="1" x14ac:dyDescent="0.3">
      <c r="A2805" s="10" t="str">
        <f>基本属性!$B$25&amp;"|"&amp;基本属性!$C$25</f>
        <v>220|15</v>
      </c>
      <c r="B2805" s="10" t="str">
        <f>参数调整!$J$34</f>
        <v>首领掉落</v>
      </c>
      <c r="C2805" s="8" t="str">
        <f>材料产出!$AX$2</f>
        <v>烈焰玄铁</v>
      </c>
      <c r="D2805" s="224">
        <f>参数调整!$K$34*怪物掉落配置方案!$D4857</f>
        <v>0.42200484313933706</v>
      </c>
    </row>
    <row r="2806" spans="1:4" ht="16.5" hidden="1" x14ac:dyDescent="0.3">
      <c r="A2806" s="10" t="str">
        <f>基本属性!$B$26&amp;"|"&amp;基本属性!$C$26</f>
        <v>230|16</v>
      </c>
      <c r="B2806" s="10" t="str">
        <f>参数调整!$J$34</f>
        <v>首领掉落</v>
      </c>
      <c r="C2806" s="8" t="str">
        <f>材料产出!$AX$2</f>
        <v>烈焰玄铁</v>
      </c>
      <c r="D2806" s="224">
        <f>参数调整!$K$34*怪物掉落配置方案!$D4858</f>
        <v>0.46929728671759657</v>
      </c>
    </row>
    <row r="2807" spans="1:4" ht="16.5" hidden="1" x14ac:dyDescent="0.3">
      <c r="A2807" s="10" t="str">
        <f>基本属性!$B$27&amp;"|"&amp;基本属性!$C$27</f>
        <v>230|17</v>
      </c>
      <c r="B2807" s="10" t="str">
        <f>参数调整!$J$34</f>
        <v>首领掉落</v>
      </c>
      <c r="C2807" s="8" t="str">
        <f>材料产出!$AX$2</f>
        <v>烈焰玄铁</v>
      </c>
      <c r="D2807" s="224">
        <f>参数调整!$K$34*怪物掉落配置方案!$D4859</f>
        <v>0.51910083349470171</v>
      </c>
    </row>
    <row r="2808" spans="1:4" ht="16.5" hidden="1" x14ac:dyDescent="0.3">
      <c r="A2808" s="10" t="str">
        <f>基本属性!$B$28&amp;"|"&amp;基本属性!$C$28</f>
        <v>240|18</v>
      </c>
      <c r="B2808" s="10" t="str">
        <f>参数调整!$J$34</f>
        <v>首领掉落</v>
      </c>
      <c r="C2808" s="8" t="str">
        <f>材料产出!$AX$2</f>
        <v>烈焰玄铁</v>
      </c>
      <c r="D2808" s="224">
        <f>参数调整!$K$34*怪物掉落配置方案!$D4860</f>
        <v>0.57141548347065285</v>
      </c>
    </row>
    <row r="2809" spans="1:4" ht="16.5" hidden="1" x14ac:dyDescent="0.3">
      <c r="A2809" s="10" t="str">
        <f>基本属性!$B$29&amp;"|"&amp;基本属性!$C$29</f>
        <v>240|19</v>
      </c>
      <c r="B2809" s="10" t="str">
        <f>参数调整!$J$34</f>
        <v>首领掉落</v>
      </c>
      <c r="C2809" s="8" t="str">
        <f>材料产出!$AX$2</f>
        <v>烈焰玄铁</v>
      </c>
      <c r="D2809" s="224">
        <f>参数调整!$K$34*怪物掉落配置方案!$D4861</f>
        <v>0.62624123664544928</v>
      </c>
    </row>
    <row r="2810" spans="1:4" ht="16.5" hidden="1" x14ac:dyDescent="0.3">
      <c r="A2810" s="10" t="str">
        <f>基本属性!$B$30&amp;"|"&amp;基本属性!$C$30</f>
        <v>250|20</v>
      </c>
      <c r="B2810" s="10" t="str">
        <f>参数调整!$J$34</f>
        <v>首领掉落</v>
      </c>
      <c r="C2810" s="8" t="str">
        <f>材料产出!$AX$2</f>
        <v>烈焰玄铁</v>
      </c>
      <c r="D2810" s="224">
        <f>参数调整!$K$34*怪物掉落配置方案!$D4862</f>
        <v>0.68357809301909134</v>
      </c>
    </row>
    <row r="2811" spans="1:4" ht="16.5" hidden="1" x14ac:dyDescent="0.3">
      <c r="A2811" s="10" t="str">
        <f>基本属性!$B$4&amp;"|"&amp;基本属性!$C$4</f>
        <v>35|0</v>
      </c>
      <c r="B2811" s="10" t="str">
        <f>参数调整!$J$34</f>
        <v>首领掉落</v>
      </c>
      <c r="C2811" s="8" t="str">
        <f>材料产出!$H$2</f>
        <v>经验</v>
      </c>
      <c r="D2811" s="224">
        <f>参数调整!$K$34*怪物掉落配置方案!$D4863</f>
        <v>83300</v>
      </c>
    </row>
    <row r="2812" spans="1:4" ht="16.5" hidden="1" x14ac:dyDescent="0.3">
      <c r="A2812" s="10" t="str">
        <f>基本属性!$B$5&amp;"|"&amp;基本属性!$C$5</f>
        <v>40|0</v>
      </c>
      <c r="B2812" s="10" t="str">
        <f>参数调整!$J$34</f>
        <v>首领掉落</v>
      </c>
      <c r="C2812" s="8" t="str">
        <f>材料产出!$H$2</f>
        <v>经验</v>
      </c>
      <c r="D2812" s="224">
        <f>参数调整!$K$34*怪物掉落配置方案!$D4864</f>
        <v>159700</v>
      </c>
    </row>
    <row r="2813" spans="1:4" ht="16.5" hidden="1" x14ac:dyDescent="0.3">
      <c r="A2813" s="10" t="str">
        <f>基本属性!$B$6&amp;"|"&amp;基本属性!$C$6</f>
        <v>50|0</v>
      </c>
      <c r="B2813" s="10" t="str">
        <f>参数调整!$J$34</f>
        <v>首领掉落</v>
      </c>
      <c r="C2813" s="8" t="str">
        <f>材料产出!$H$2</f>
        <v>经验</v>
      </c>
      <c r="D2813" s="224">
        <f>参数调整!$K$34*怪物掉落配置方案!$D4865</f>
        <v>433300</v>
      </c>
    </row>
    <row r="2814" spans="1:4" ht="16.5" hidden="1" x14ac:dyDescent="0.3">
      <c r="A2814" s="10" t="str">
        <f>基本属性!$B$7&amp;"|"&amp;基本属性!$C$7</f>
        <v>60|0</v>
      </c>
      <c r="B2814" s="10" t="str">
        <f>参数调整!$J$34</f>
        <v>首领掉落</v>
      </c>
      <c r="C2814" s="8" t="str">
        <f>材料产出!$H$2</f>
        <v>经验</v>
      </c>
      <c r="D2814" s="224">
        <f>参数调整!$K$34*怪物掉落配置方案!$D4866</f>
        <v>541700</v>
      </c>
    </row>
    <row r="2815" spans="1:4" ht="16.5" hidden="1" x14ac:dyDescent="0.3">
      <c r="A2815" s="10" t="str">
        <f>基本属性!$B$8&amp;"|"&amp;基本属性!$C$8</f>
        <v>65|0</v>
      </c>
      <c r="B2815" s="10" t="str">
        <f>参数调整!$J$34</f>
        <v>首领掉落</v>
      </c>
      <c r="C2815" s="8" t="str">
        <f>材料产出!$H$2</f>
        <v>经验</v>
      </c>
      <c r="D2815" s="224">
        <f>参数调整!$K$34*怪物掉落配置方案!$D4867</f>
        <v>544400</v>
      </c>
    </row>
    <row r="2816" spans="1:4" ht="16.5" hidden="1" x14ac:dyDescent="0.3">
      <c r="A2816" s="10" t="str">
        <f>基本属性!$B$9&amp;"|"&amp;基本属性!$C$9</f>
        <v>70|0</v>
      </c>
      <c r="B2816" s="10" t="str">
        <f>参数调整!$J$34</f>
        <v>首领掉落</v>
      </c>
      <c r="C2816" s="8" t="str">
        <f>材料产出!$H$2</f>
        <v>经验</v>
      </c>
      <c r="D2816" s="224">
        <f>参数调整!$K$34*怪物掉落配置方案!$D4868</f>
        <v>557400</v>
      </c>
    </row>
    <row r="2817" spans="1:4" ht="16.5" hidden="1" x14ac:dyDescent="0.3">
      <c r="A2817" s="10" t="str">
        <f>基本属性!$B$10&amp;"|"&amp;基本属性!$C$10</f>
        <v>75|0</v>
      </c>
      <c r="B2817" s="10" t="str">
        <f>参数调整!$J$34</f>
        <v>首领掉落</v>
      </c>
      <c r="C2817" s="8" t="str">
        <f>材料产出!$H$2</f>
        <v>经验</v>
      </c>
      <c r="D2817" s="224">
        <f>参数调整!$K$34*怪物掉落配置方案!$D4869</f>
        <v>629100</v>
      </c>
    </row>
    <row r="2818" spans="1:4" ht="16.5" hidden="1" x14ac:dyDescent="0.3">
      <c r="A2818" s="10" t="str">
        <f>基本属性!$B$11&amp;"|"&amp;基本属性!$C$11</f>
        <v>80|1</v>
      </c>
      <c r="B2818" s="10" t="str">
        <f>参数调整!$J$34</f>
        <v>首领掉落</v>
      </c>
      <c r="C2818" s="8" t="str">
        <f>材料产出!$H$2</f>
        <v>经验</v>
      </c>
      <c r="D2818" s="224">
        <f>参数调整!$K$34*怪物掉落配置方案!$D4870</f>
        <v>1008100</v>
      </c>
    </row>
    <row r="2819" spans="1:4" ht="16.5" hidden="1" x14ac:dyDescent="0.3">
      <c r="A2819" s="10" t="str">
        <f>基本属性!$B$12&amp;"|"&amp;基本属性!$C$12</f>
        <v>90|2</v>
      </c>
      <c r="B2819" s="10" t="str">
        <f>参数调整!$J$34</f>
        <v>首领掉落</v>
      </c>
      <c r="C2819" s="8" t="str">
        <f>材料产出!$H$2</f>
        <v>经验</v>
      </c>
      <c r="D2819" s="224">
        <f>参数调整!$K$34*怪物掉落配置方案!$D4871</f>
        <v>1733500</v>
      </c>
    </row>
    <row r="2820" spans="1:4" ht="16.5" hidden="1" x14ac:dyDescent="0.3">
      <c r="A2820" s="10" t="str">
        <f>基本属性!$B$13&amp;"|"&amp;基本属性!$C$13</f>
        <v>100|3</v>
      </c>
      <c r="B2820" s="10" t="str">
        <f>参数调整!$J$34</f>
        <v>首领掉落</v>
      </c>
      <c r="C2820" s="8" t="str">
        <f>材料产出!$H$2</f>
        <v>经验</v>
      </c>
      <c r="D2820" s="224">
        <f>参数调整!$K$34*怪物掉落配置方案!$D4872</f>
        <v>2039700</v>
      </c>
    </row>
    <row r="2821" spans="1:4" ht="16.5" hidden="1" x14ac:dyDescent="0.3">
      <c r="A2821" s="10" t="str">
        <f>基本属性!$B$14&amp;"|"&amp;基本属性!$C$14</f>
        <v>105|4</v>
      </c>
      <c r="B2821" s="10" t="str">
        <f>参数调整!$J$34</f>
        <v>首领掉落</v>
      </c>
      <c r="C2821" s="8" t="str">
        <f>材料产出!$H$2</f>
        <v>经验</v>
      </c>
      <c r="D2821" s="224">
        <f>参数调整!$K$34*怪物掉落配置方案!$D4873</f>
        <v>3150000</v>
      </c>
    </row>
    <row r="2822" spans="1:4" ht="16.5" hidden="1" x14ac:dyDescent="0.3">
      <c r="A2822" s="10" t="str">
        <f>基本属性!$B$15&amp;"|"&amp;基本属性!$C$15</f>
        <v>110|5</v>
      </c>
      <c r="B2822" s="10" t="str">
        <f>参数调整!$J$34</f>
        <v>首领掉落</v>
      </c>
      <c r="C2822" s="8" t="str">
        <f>材料产出!$H$2</f>
        <v>经验</v>
      </c>
      <c r="D2822" s="224">
        <f>参数调整!$K$34*怪物掉落配置方案!$D4874</f>
        <v>3255600</v>
      </c>
    </row>
    <row r="2823" spans="1:4" ht="16.5" hidden="1" x14ac:dyDescent="0.3">
      <c r="A2823" s="10" t="str">
        <f>基本属性!$B$16&amp;"|"&amp;基本属性!$C$16</f>
        <v>120|6</v>
      </c>
      <c r="B2823" s="10" t="str">
        <f>参数调整!$J$34</f>
        <v>首领掉落</v>
      </c>
      <c r="C2823" s="8" t="str">
        <f>材料产出!$H$2</f>
        <v>经验</v>
      </c>
      <c r="D2823" s="224">
        <f>参数调整!$K$34*怪物掉落配置方案!$D4875</f>
        <v>12981400</v>
      </c>
    </row>
    <row r="2824" spans="1:4" ht="16.5" hidden="1" x14ac:dyDescent="0.3">
      <c r="A2824" s="10" t="str">
        <f>基本属性!$B$17&amp;"|"&amp;基本属性!$C$17</f>
        <v>135|7</v>
      </c>
      <c r="B2824" s="10" t="str">
        <f>参数调整!$J$34</f>
        <v>首领掉落</v>
      </c>
      <c r="C2824" s="8" t="str">
        <f>材料产出!$H$2</f>
        <v>经验</v>
      </c>
      <c r="D2824" s="224">
        <f>参数调整!$K$34*怪物掉落配置方案!$D4876</f>
        <v>44441700</v>
      </c>
    </row>
    <row r="2825" spans="1:4" ht="16.5" hidden="1" x14ac:dyDescent="0.3">
      <c r="A2825" s="10" t="str">
        <f>基本属性!$B$18&amp;"|"&amp;基本属性!$C$18</f>
        <v>155|8</v>
      </c>
      <c r="B2825" s="10" t="str">
        <f>参数调整!$J$34</f>
        <v>首领掉落</v>
      </c>
      <c r="C2825" s="8" t="str">
        <f>材料产出!$H$2</f>
        <v>经验</v>
      </c>
      <c r="D2825" s="224">
        <f>参数调整!$K$34*怪物掉落配置方案!$D4877</f>
        <v>536838900</v>
      </c>
    </row>
    <row r="2826" spans="1:4" ht="16.5" hidden="1" x14ac:dyDescent="0.3">
      <c r="A2826" s="10" t="str">
        <f>基本属性!$B$19&amp;"|"&amp;基本属性!$C$19</f>
        <v>190|9</v>
      </c>
      <c r="B2826" s="10" t="str">
        <f>参数调整!$J$34</f>
        <v>首领掉落</v>
      </c>
      <c r="C2826" s="8" t="str">
        <f>材料产出!$H$2</f>
        <v>经验</v>
      </c>
      <c r="D2826" s="224">
        <f>参数调整!$K$34*怪物掉落配置方案!$D4878</f>
        <v>488146700</v>
      </c>
    </row>
    <row r="2827" spans="1:4" ht="16.5" hidden="1" x14ac:dyDescent="0.3">
      <c r="A2827" s="10" t="str">
        <f>基本属性!$B$20&amp;"|"&amp;基本属性!$C$20</f>
        <v>200|10</v>
      </c>
      <c r="B2827" s="10" t="str">
        <f>参数调整!$J$34</f>
        <v>首领掉落</v>
      </c>
      <c r="C2827" s="8" t="str">
        <f>材料产出!$H$2</f>
        <v>经验</v>
      </c>
      <c r="D2827" s="224">
        <f>参数调整!$K$34*怪物掉落配置方案!$D4879</f>
        <v>583333300</v>
      </c>
    </row>
    <row r="2828" spans="1:4" ht="16.5" hidden="1" x14ac:dyDescent="0.3">
      <c r="A2828" s="10" t="str">
        <f>基本属性!$B$21&amp;"|"&amp;基本属性!$C$21</f>
        <v>200|11</v>
      </c>
      <c r="B2828" s="10" t="str">
        <f>参数调整!$J$34</f>
        <v>首领掉落</v>
      </c>
      <c r="C2828" s="8" t="str">
        <f>材料产出!$H$2</f>
        <v>经验</v>
      </c>
      <c r="D2828" s="224">
        <f>参数调整!$K$34*怪物掉落配置方案!$D4880</f>
        <v>116666700</v>
      </c>
    </row>
    <row r="2829" spans="1:4" ht="16.5" hidden="1" x14ac:dyDescent="0.3">
      <c r="A2829" s="10" t="str">
        <f>基本属性!$B$22&amp;"|"&amp;基本属性!$C$22</f>
        <v>210|12</v>
      </c>
      <c r="B2829" s="10" t="str">
        <f>参数调整!$J$34</f>
        <v>首领掉落</v>
      </c>
      <c r="C2829" s="8" t="str">
        <f>材料产出!$H$2</f>
        <v>经验</v>
      </c>
      <c r="D2829" s="224">
        <f>参数调整!$K$34*怪物掉落配置方案!$D4881</f>
        <v>116666700</v>
      </c>
    </row>
    <row r="2830" spans="1:4" ht="16.5" hidden="1" x14ac:dyDescent="0.3">
      <c r="A2830" s="10" t="str">
        <f>基本属性!$B$23&amp;"|"&amp;基本属性!$C$23</f>
        <v>210|13</v>
      </c>
      <c r="B2830" s="10" t="str">
        <f>参数调整!$J$34</f>
        <v>首领掉落</v>
      </c>
      <c r="C2830" s="8" t="str">
        <f>材料产出!$H$2</f>
        <v>经验</v>
      </c>
      <c r="D2830" s="224">
        <f>参数调整!$K$34*怪物掉落配置方案!$D4882</f>
        <v>116666700</v>
      </c>
    </row>
    <row r="2831" spans="1:4" ht="16.5" hidden="1" x14ac:dyDescent="0.3">
      <c r="A2831" s="10" t="str">
        <f>基本属性!$B$24&amp;"|"&amp;基本属性!$C$24</f>
        <v>220|14</v>
      </c>
      <c r="B2831" s="10" t="str">
        <f>参数调整!$J$34</f>
        <v>首领掉落</v>
      </c>
      <c r="C2831" s="8" t="str">
        <f>材料产出!$H$2</f>
        <v>经验</v>
      </c>
      <c r="D2831" s="224">
        <f>参数调整!$K$34*怪物掉落配置方案!$D4883</f>
        <v>116666700</v>
      </c>
    </row>
    <row r="2832" spans="1:4" ht="16.5" hidden="1" x14ac:dyDescent="0.3">
      <c r="A2832" s="10" t="str">
        <f>基本属性!$B$25&amp;"|"&amp;基本属性!$C$25</f>
        <v>220|15</v>
      </c>
      <c r="B2832" s="10" t="str">
        <f>参数调整!$J$34</f>
        <v>首领掉落</v>
      </c>
      <c r="C2832" s="8" t="str">
        <f>材料产出!$H$2</f>
        <v>经验</v>
      </c>
      <c r="D2832" s="224">
        <f>参数调整!$K$34*怪物掉落配置方案!$D4884</f>
        <v>116666700</v>
      </c>
    </row>
    <row r="2833" spans="1:4" ht="16.5" hidden="1" x14ac:dyDescent="0.3">
      <c r="A2833" s="10" t="str">
        <f>基本属性!$B$26&amp;"|"&amp;基本属性!$C$26</f>
        <v>230|16</v>
      </c>
      <c r="B2833" s="10" t="str">
        <f>参数调整!$J$34</f>
        <v>首领掉落</v>
      </c>
      <c r="C2833" s="8" t="str">
        <f>材料产出!$H$2</f>
        <v>经验</v>
      </c>
      <c r="D2833" s="224">
        <f>参数调整!$K$34*怪物掉落配置方案!$D4885</f>
        <v>58333300</v>
      </c>
    </row>
    <row r="2834" spans="1:4" ht="16.5" hidden="1" x14ac:dyDescent="0.3">
      <c r="A2834" s="10" t="str">
        <f>基本属性!$B$27&amp;"|"&amp;基本属性!$C$27</f>
        <v>230|17</v>
      </c>
      <c r="B2834" s="10" t="str">
        <f>参数调整!$J$34</f>
        <v>首领掉落</v>
      </c>
      <c r="C2834" s="8" t="str">
        <f>材料产出!$H$2</f>
        <v>经验</v>
      </c>
      <c r="D2834" s="224">
        <f>参数调整!$K$34*怪物掉落配置方案!$D4886</f>
        <v>58333300</v>
      </c>
    </row>
    <row r="2835" spans="1:4" ht="16.5" hidden="1" x14ac:dyDescent="0.3">
      <c r="A2835" s="10" t="str">
        <f>基本属性!$B$28&amp;"|"&amp;基本属性!$C$28</f>
        <v>240|18</v>
      </c>
      <c r="B2835" s="10" t="str">
        <f>参数调整!$J$34</f>
        <v>首领掉落</v>
      </c>
      <c r="C2835" s="8" t="str">
        <f>材料产出!$H$2</f>
        <v>经验</v>
      </c>
      <c r="D2835" s="224">
        <f>参数调整!$K$34*怪物掉落配置方案!$D4887</f>
        <v>58333300</v>
      </c>
    </row>
    <row r="2836" spans="1:4" ht="16.5" hidden="1" x14ac:dyDescent="0.3">
      <c r="A2836" s="10" t="str">
        <f>基本属性!$B$29&amp;"|"&amp;基本属性!$C$29</f>
        <v>240|19</v>
      </c>
      <c r="B2836" s="10" t="str">
        <f>参数调整!$J$34</f>
        <v>首领掉落</v>
      </c>
      <c r="C2836" s="8" t="str">
        <f>材料产出!$H$2</f>
        <v>经验</v>
      </c>
      <c r="D2836" s="224">
        <f>参数调整!$K$34*怪物掉落配置方案!$D4888</f>
        <v>58333300</v>
      </c>
    </row>
    <row r="2837" spans="1:4" ht="16.5" hidden="1" x14ac:dyDescent="0.3">
      <c r="A2837" s="10" t="str">
        <f>基本属性!$B$30&amp;"|"&amp;基本属性!$C$30</f>
        <v>250|20</v>
      </c>
      <c r="B2837" s="10" t="str">
        <f>参数调整!$J$34</f>
        <v>首领掉落</v>
      </c>
      <c r="C2837" s="8" t="str">
        <f>材料产出!$H$2</f>
        <v>经验</v>
      </c>
      <c r="D2837" s="224">
        <f>参数调整!$K$34*怪物掉落配置方案!$D4889</f>
        <v>58333300</v>
      </c>
    </row>
    <row r="2838" spans="1:4" ht="16.5" hidden="1" x14ac:dyDescent="0.3">
      <c r="A2838" s="10" t="str">
        <f>基本属性!$B$4&amp;"|"&amp;基本属性!$C$4</f>
        <v>35|0</v>
      </c>
      <c r="B2838" s="10" t="str">
        <f>参数调整!$J$34</f>
        <v>首领掉落</v>
      </c>
      <c r="C2838" s="8" t="str">
        <f>材料产出!$AN$2</f>
        <v>极品注灵石</v>
      </c>
      <c r="D2838" s="224">
        <f>参数调整!$K$34*怪物掉落配置方案!$D4890</f>
        <v>5.1844102894235668E-2</v>
      </c>
    </row>
    <row r="2839" spans="1:4" ht="16.5" hidden="1" x14ac:dyDescent="0.3">
      <c r="A2839" s="10" t="str">
        <f>基本属性!$B$5&amp;"|"&amp;基本属性!$C$5</f>
        <v>40|0</v>
      </c>
      <c r="B2839" s="10" t="str">
        <f>参数调整!$J$34</f>
        <v>首领掉落</v>
      </c>
      <c r="C2839" s="8" t="str">
        <f>材料产出!$AN$2</f>
        <v>极品注灵石</v>
      </c>
      <c r="D2839" s="224">
        <f>参数调整!$K$34*怪物掉落配置方案!$D4891</f>
        <v>6.561519272551701E-2</v>
      </c>
    </row>
    <row r="2840" spans="1:4" ht="16.5" hidden="1" x14ac:dyDescent="0.3">
      <c r="A2840" s="10" t="str">
        <f>基本属性!$B$6&amp;"|"&amp;基本属性!$C$6</f>
        <v>50|0</v>
      </c>
      <c r="B2840" s="10" t="str">
        <f>参数调整!$J$34</f>
        <v>首领掉落</v>
      </c>
      <c r="C2840" s="8" t="str">
        <f>材料产出!$AN$2</f>
        <v>极品注灵石</v>
      </c>
      <c r="D2840" s="224">
        <f>参数调整!$K$34*怪物掉落配置方案!$D4892</f>
        <v>8.1006410772243229E-2</v>
      </c>
    </row>
    <row r="2841" spans="1:4" ht="16.5" hidden="1" x14ac:dyDescent="0.3">
      <c r="A2841" s="10" t="str">
        <f>基本属性!$B$7&amp;"|"&amp;基本属性!$C$7</f>
        <v>60|0</v>
      </c>
      <c r="B2841" s="10" t="str">
        <f>参数调整!$J$34</f>
        <v>首领掉落</v>
      </c>
      <c r="C2841" s="8" t="str">
        <f>材料产出!$AN$2</f>
        <v>极品注灵石</v>
      </c>
      <c r="D2841" s="224">
        <f>参数调整!$K$34*怪物掉落配置方案!$D4893</f>
        <v>9.801775703441433E-2</v>
      </c>
    </row>
    <row r="2842" spans="1:4" ht="16.5" hidden="1" x14ac:dyDescent="0.3">
      <c r="A2842" s="10" t="str">
        <f>基本属性!$B$8&amp;"|"&amp;基本属性!$C$8</f>
        <v>65|0</v>
      </c>
      <c r="B2842" s="10" t="str">
        <f>参数调整!$J$34</f>
        <v>首领掉落</v>
      </c>
      <c r="C2842" s="8" t="str">
        <f>材料产出!$AN$2</f>
        <v>极品注灵石</v>
      </c>
      <c r="D2842" s="224">
        <f>参数调整!$K$34*怪物掉落配置方案!$D4894</f>
        <v>0.11664923151203023</v>
      </c>
    </row>
    <row r="2843" spans="1:4" ht="16.5" hidden="1" x14ac:dyDescent="0.3">
      <c r="A2843" s="10" t="str">
        <f>基本属性!$B$9&amp;"|"&amp;基本属性!$C$9</f>
        <v>70|0</v>
      </c>
      <c r="B2843" s="10" t="str">
        <f>参数调整!$J$34</f>
        <v>首领掉落</v>
      </c>
      <c r="C2843" s="8" t="str">
        <f>材料产出!$AN$2</f>
        <v>极品注灵石</v>
      </c>
      <c r="D2843" s="224">
        <f>参数调整!$K$34*怪物掉落配置方案!$D4895</f>
        <v>0.13690083420509108</v>
      </c>
    </row>
    <row r="2844" spans="1:4" ht="16.5" hidden="1" x14ac:dyDescent="0.3">
      <c r="A2844" s="10" t="str">
        <f>基本属性!$B$10&amp;"|"&amp;基本属性!$C$10</f>
        <v>75|0</v>
      </c>
      <c r="B2844" s="10" t="str">
        <f>参数调整!$J$34</f>
        <v>首领掉落</v>
      </c>
      <c r="C2844" s="8" t="str">
        <f>材料产出!$AN$2</f>
        <v>极品注灵石</v>
      </c>
      <c r="D2844" s="224">
        <f>参数调整!$K$34*怪物掉落配置方案!$D4896</f>
        <v>0.15877256511359669</v>
      </c>
    </row>
    <row r="2845" spans="1:4" ht="16.5" hidden="1" x14ac:dyDescent="0.3">
      <c r="A2845" s="10" t="str">
        <f>基本属性!$B$11&amp;"|"&amp;基本属性!$C$11</f>
        <v>80|1</v>
      </c>
      <c r="B2845" s="10" t="str">
        <f>参数调整!$J$34</f>
        <v>首领掉落</v>
      </c>
      <c r="C2845" s="8" t="str">
        <f>材料产出!$AN$2</f>
        <v>极品注灵石</v>
      </c>
      <c r="D2845" s="224">
        <f>参数调整!$K$34*怪物掉落配置方案!$D4897</f>
        <v>0.18226442423754727</v>
      </c>
    </row>
    <row r="2846" spans="1:4" ht="16.5" hidden="1" x14ac:dyDescent="0.3">
      <c r="A2846" s="10" t="str">
        <f>基本属性!$B$12&amp;"|"&amp;基本属性!$C$12</f>
        <v>90|2</v>
      </c>
      <c r="B2846" s="10" t="str">
        <f>参数调整!$J$34</f>
        <v>首领掉落</v>
      </c>
      <c r="C2846" s="8" t="str">
        <f>材料产出!$AN$2</f>
        <v>极品注灵石</v>
      </c>
      <c r="D2846" s="224">
        <f>参数调整!$K$34*怪物掉落配置方案!$D4898</f>
        <v>0.2073764115769427</v>
      </c>
    </row>
    <row r="2847" spans="1:4" ht="16.5" hidden="1" x14ac:dyDescent="0.3">
      <c r="A2847" s="10" t="str">
        <f>基本属性!$B$13&amp;"|"&amp;基本属性!$C$13</f>
        <v>100|3</v>
      </c>
      <c r="B2847" s="10" t="str">
        <f>参数调整!$J$34</f>
        <v>首领掉落</v>
      </c>
      <c r="C2847" s="8" t="str">
        <f>材料产出!$AN$2</f>
        <v>极品注灵石</v>
      </c>
      <c r="D2847" s="224">
        <f>参数调整!$K$34*怪物掉落配置方案!$D4899</f>
        <v>0.2624607709020681</v>
      </c>
    </row>
    <row r="2848" spans="1:4" ht="16.5" hidden="1" x14ac:dyDescent="0.3">
      <c r="A2848" s="10" t="str">
        <f>基本属性!$B$14&amp;"|"&amp;基本属性!$C$14</f>
        <v>105|4</v>
      </c>
      <c r="B2848" s="10" t="str">
        <f>参数调整!$J$34</f>
        <v>首领掉落</v>
      </c>
      <c r="C2848" s="8" t="str">
        <f>材料产出!$AN$2</f>
        <v>极品注灵石</v>
      </c>
      <c r="D2848" s="224">
        <f>参数调整!$K$34*怪物掉落配置方案!$D4900</f>
        <v>0.32402564308897291</v>
      </c>
    </row>
    <row r="2849" spans="1:4" ht="16.5" hidden="1" x14ac:dyDescent="0.3">
      <c r="A2849" s="10" t="str">
        <f>基本属性!$B$15&amp;"|"&amp;基本属性!$C$15</f>
        <v>110|5</v>
      </c>
      <c r="B2849" s="10" t="str">
        <f>参数调整!$J$34</f>
        <v>首领掉落</v>
      </c>
      <c r="C2849" s="8" t="str">
        <f>材料产出!$AN$2</f>
        <v>极品注灵石</v>
      </c>
      <c r="D2849" s="224">
        <f>参数调整!$K$34*怪物掉落配置方案!$D4901</f>
        <v>0.39207102813765732</v>
      </c>
    </row>
    <row r="2850" spans="1:4" ht="16.5" hidden="1" x14ac:dyDescent="0.3">
      <c r="A2850" s="10" t="str">
        <f>基本属性!$B$16&amp;"|"&amp;基本属性!$C$16</f>
        <v>120|6</v>
      </c>
      <c r="B2850" s="10" t="str">
        <f>参数调整!$J$34</f>
        <v>首领掉落</v>
      </c>
      <c r="C2850" s="8" t="str">
        <f>材料产出!$AN$2</f>
        <v>极品注灵石</v>
      </c>
      <c r="D2850" s="224">
        <f>参数调整!$K$34*怪物掉落配置方案!$D4902</f>
        <v>0.50629006732652015</v>
      </c>
    </row>
    <row r="2851" spans="1:4" ht="16.5" hidden="1" x14ac:dyDescent="0.3">
      <c r="A2851" s="10" t="str">
        <f>基本属性!$B$17&amp;"|"&amp;基本属性!$C$17</f>
        <v>135|7</v>
      </c>
      <c r="B2851" s="10" t="str">
        <f>参数调整!$J$34</f>
        <v>首领掉落</v>
      </c>
      <c r="C2851" s="8" t="str">
        <f>材料产出!$AN$2</f>
        <v>极品注灵石</v>
      </c>
      <c r="D2851" s="224">
        <f>参数调整!$K$34*怪物掉落配置方案!$D4903</f>
        <v>0.72905769695018907</v>
      </c>
    </row>
    <row r="2852" spans="1:4" ht="16.5" hidden="1" x14ac:dyDescent="0.3">
      <c r="A2852" s="10" t="str">
        <f>基本属性!$B$18&amp;"|"&amp;基本属性!$C$18</f>
        <v>155|8</v>
      </c>
      <c r="B2852" s="10" t="str">
        <f>参数调整!$J$34</f>
        <v>首领掉落</v>
      </c>
      <c r="C2852" s="8" t="str">
        <f>材料产出!$AN$2</f>
        <v>极品注灵石</v>
      </c>
      <c r="D2852" s="224">
        <f>参数调整!$K$34*怪物掉落配置方案!$D4904</f>
        <v>0.99232853195997972</v>
      </c>
    </row>
    <row r="2853" spans="1:4" ht="16.5" hidden="1" x14ac:dyDescent="0.3">
      <c r="A2853" s="10" t="str">
        <f>基本属性!$B$19&amp;"|"&amp;基本属性!$C$19</f>
        <v>190|9</v>
      </c>
      <c r="B2853" s="10" t="str">
        <f>参数调整!$J$34</f>
        <v>首领掉落</v>
      </c>
      <c r="C2853" s="8" t="str">
        <f>材料产出!$AN$2</f>
        <v>极品注灵石</v>
      </c>
      <c r="D2853" s="224">
        <f>参数调整!$K$34*怪物掉落配置方案!$D4905</f>
        <v>1.1089777634720099</v>
      </c>
    </row>
    <row r="2854" spans="1:4" ht="16.5" hidden="1" x14ac:dyDescent="0.3">
      <c r="A2854" s="10" t="str">
        <f>基本属性!$B$20&amp;"|"&amp;基本属性!$C$20</f>
        <v>200|10</v>
      </c>
      <c r="B2854" s="10" t="str">
        <f>参数调整!$J$34</f>
        <v>首领掉落</v>
      </c>
      <c r="C2854" s="8" t="str">
        <f>材料产出!$AN$2</f>
        <v>极品注灵石</v>
      </c>
      <c r="D2854" s="224">
        <f>参数调整!$K$34*怪物掉落配置方案!$D4906</f>
        <v>1.2961025723558917</v>
      </c>
    </row>
    <row r="2855" spans="1:4" ht="16.5" hidden="1" x14ac:dyDescent="0.3">
      <c r="A2855" s="10" t="str">
        <f>基本属性!$B$21&amp;"|"&amp;基本属性!$C$21</f>
        <v>200|11</v>
      </c>
      <c r="B2855" s="10" t="str">
        <f>参数调整!$J$34</f>
        <v>首领掉落</v>
      </c>
      <c r="C2855" s="8" t="str">
        <f>材料产出!$AN$2</f>
        <v>极品注灵石</v>
      </c>
      <c r="D2855" s="224">
        <f>参数调整!$K$34*怪物掉落配置方案!$D4907</f>
        <v>1.4978085351787769</v>
      </c>
    </row>
    <row r="2856" spans="1:4" ht="16.5" hidden="1" x14ac:dyDescent="0.3">
      <c r="A2856" s="10" t="str">
        <f>基本属性!$B$22&amp;"|"&amp;基本属性!$C$22</f>
        <v>210|12</v>
      </c>
      <c r="B2856" s="10" t="str">
        <f>参数调整!$J$34</f>
        <v>首领掉落</v>
      </c>
      <c r="C2856" s="8" t="str">
        <f>材料产出!$AN$2</f>
        <v>极品注灵石</v>
      </c>
      <c r="D2856" s="224">
        <f>参数调整!$K$34*怪物掉落配置方案!$D4908</f>
        <v>1.7140956519406665</v>
      </c>
    </row>
    <row r="2857" spans="1:4" ht="16.5" hidden="1" x14ac:dyDescent="0.3">
      <c r="A2857" s="10" t="str">
        <f>基本属性!$B$23&amp;"|"&amp;基本属性!$C$23</f>
        <v>210|13</v>
      </c>
      <c r="B2857" s="10" t="str">
        <f>参数调整!$J$34</f>
        <v>首领掉落</v>
      </c>
      <c r="C2857" s="8" t="str">
        <f>材料产出!$AN$2</f>
        <v>极品注灵石</v>
      </c>
      <c r="D2857" s="224">
        <f>参数调整!$K$34*怪物掉落配置方案!$D4909</f>
        <v>1.94496392264156</v>
      </c>
    </row>
    <row r="2858" spans="1:4" ht="16.5" hidden="1" x14ac:dyDescent="0.3">
      <c r="A2858" s="10" t="str">
        <f>基本属性!$B$24&amp;"|"&amp;基本属性!$C$24</f>
        <v>220|14</v>
      </c>
      <c r="B2858" s="10" t="str">
        <f>参数调整!$J$34</f>
        <v>首领掉落</v>
      </c>
      <c r="C2858" s="8" t="str">
        <f>材料产出!$AN$2</f>
        <v>极品注灵石</v>
      </c>
      <c r="D2858" s="224">
        <f>参数调整!$K$34*怪物掉落配置方案!$D4910</f>
        <v>2.1904133472814573</v>
      </c>
    </row>
    <row r="2859" spans="1:4" ht="16.5" hidden="1" x14ac:dyDescent="0.3">
      <c r="A2859" s="10" t="str">
        <f>基本属性!$B$25&amp;"|"&amp;基本属性!$C$25</f>
        <v>220|15</v>
      </c>
      <c r="B2859" s="10" t="str">
        <f>参数调整!$J$34</f>
        <v>首领掉落</v>
      </c>
      <c r="C2859" s="8" t="str">
        <f>材料产出!$AN$2</f>
        <v>极品注灵石</v>
      </c>
      <c r="D2859" s="224">
        <f>参数调整!$K$34*怪物掉落配置方案!$D4911</f>
        <v>2.4504439258603572</v>
      </c>
    </row>
    <row r="2860" spans="1:4" ht="16.5" hidden="1" x14ac:dyDescent="0.3">
      <c r="A2860" s="10" t="str">
        <f>基本属性!$B$26&amp;"|"&amp;基本属性!$C$26</f>
        <v>230|16</v>
      </c>
      <c r="B2860" s="10" t="str">
        <f>参数调整!$J$34</f>
        <v>首领掉落</v>
      </c>
      <c r="C2860" s="8" t="str">
        <f>材料产出!$AN$2</f>
        <v>极品注灵石</v>
      </c>
      <c r="D2860" s="224">
        <f>参数调整!$K$34*怪物掉落配置方案!$D4912</f>
        <v>2.7250556583782619</v>
      </c>
    </row>
    <row r="2861" spans="1:4" ht="16.5" hidden="1" x14ac:dyDescent="0.3">
      <c r="A2861" s="10" t="str">
        <f>基本属性!$B$27&amp;"|"&amp;基本属性!$C$27</f>
        <v>230|17</v>
      </c>
      <c r="B2861" s="10" t="str">
        <f>参数调整!$J$34</f>
        <v>首领掉落</v>
      </c>
      <c r="C2861" s="8" t="str">
        <f>材料产出!$AN$2</f>
        <v>极品注灵石</v>
      </c>
      <c r="D2861" s="224">
        <f>参数调整!$K$34*怪物掉落配置方案!$D4913</f>
        <v>3.0142485448351701</v>
      </c>
    </row>
    <row r="2862" spans="1:4" ht="16.5" hidden="1" x14ac:dyDescent="0.3">
      <c r="A2862" s="10" t="str">
        <f>基本属性!$B$28&amp;"|"&amp;基本属性!$C$28</f>
        <v>240|18</v>
      </c>
      <c r="B2862" s="10" t="str">
        <f>参数调整!$J$34</f>
        <v>首领掉落</v>
      </c>
      <c r="C2862" s="8" t="str">
        <f>材料产出!$AN$2</f>
        <v>极品注灵石</v>
      </c>
      <c r="D2862" s="224">
        <f>参数调整!$K$34*怪物掉落配置方案!$D4914</f>
        <v>3.3180225852310832</v>
      </c>
    </row>
    <row r="2863" spans="1:4" ht="16.5" hidden="1" x14ac:dyDescent="0.3">
      <c r="A2863" s="10" t="str">
        <f>基本属性!$B$29&amp;"|"&amp;基本属性!$C$29</f>
        <v>240|19</v>
      </c>
      <c r="B2863" s="10" t="str">
        <f>参数调整!$J$34</f>
        <v>首领掉落</v>
      </c>
      <c r="C2863" s="8" t="str">
        <f>材料产出!$AN$2</f>
        <v>极品注灵石</v>
      </c>
      <c r="D2863" s="224">
        <f>参数调整!$K$34*怪物掉落配置方案!$D4915</f>
        <v>3.6363777795659988</v>
      </c>
    </row>
    <row r="2864" spans="1:4" ht="16.5" hidden="1" x14ac:dyDescent="0.3">
      <c r="A2864" s="10" t="str">
        <f>基本属性!$B$30&amp;"|"&amp;基本属性!$C$30</f>
        <v>250|20</v>
      </c>
      <c r="B2864" s="10" t="str">
        <f>参数调整!$J$34</f>
        <v>首领掉落</v>
      </c>
      <c r="C2864" s="8" t="str">
        <f>材料产出!$AN$2</f>
        <v>极品注灵石</v>
      </c>
      <c r="D2864" s="224">
        <f>参数调整!$K$34*怪物掉落配置方案!$D4916</f>
        <v>3.9693141278399171</v>
      </c>
    </row>
    <row r="2865" spans="1:4" ht="16.5" hidden="1" x14ac:dyDescent="0.3">
      <c r="A2865" s="10" t="str">
        <f>基本属性!$B$4&amp;"|"&amp;基本属性!$C$4</f>
        <v>35|0</v>
      </c>
      <c r="B2865" s="10" t="str">
        <f>参数调整!$J$34</f>
        <v>首领掉落</v>
      </c>
      <c r="C2865" s="8" t="str">
        <f>材料产出!$HV$2</f>
        <v>基本装备</v>
      </c>
      <c r="D2865" s="224">
        <f>参数调整!$K$34*怪物掉落配置方案!$D4917</f>
        <v>0</v>
      </c>
    </row>
    <row r="2866" spans="1:4" ht="16.5" hidden="1" x14ac:dyDescent="0.3">
      <c r="A2866" s="10" t="str">
        <f>基本属性!$B$5&amp;"|"&amp;基本属性!$C$5</f>
        <v>40|0</v>
      </c>
      <c r="B2866" s="10" t="str">
        <f>参数调整!$J$34</f>
        <v>首领掉落</v>
      </c>
      <c r="C2866" s="8" t="str">
        <f>材料产出!$HV$2</f>
        <v>基本装备</v>
      </c>
      <c r="D2866" s="224">
        <f>参数调整!$K$34*怪物掉落配置方案!$D4918</f>
        <v>0</v>
      </c>
    </row>
    <row r="2867" spans="1:4" ht="16.5" hidden="1" x14ac:dyDescent="0.3">
      <c r="A2867" s="10" t="str">
        <f>基本属性!$B$6&amp;"|"&amp;基本属性!$C$6</f>
        <v>50|0</v>
      </c>
      <c r="B2867" s="10" t="str">
        <f>参数调整!$J$34</f>
        <v>首领掉落</v>
      </c>
      <c r="C2867" s="8" t="str">
        <f>材料产出!$HV$2</f>
        <v>基本装备</v>
      </c>
      <c r="D2867" s="224">
        <f>参数调整!$K$34*怪物掉落配置方案!$D4919</f>
        <v>0</v>
      </c>
    </row>
    <row r="2868" spans="1:4" ht="16.5" hidden="1" x14ac:dyDescent="0.3">
      <c r="A2868" s="10" t="str">
        <f>基本属性!$B$7&amp;"|"&amp;基本属性!$C$7</f>
        <v>60|0</v>
      </c>
      <c r="B2868" s="10" t="str">
        <f>参数调整!$J$34</f>
        <v>首领掉落</v>
      </c>
      <c r="C2868" s="8" t="str">
        <f>材料产出!$HV$2</f>
        <v>基本装备</v>
      </c>
      <c r="D2868" s="224">
        <f>参数调整!$K$34*怪物掉落配置方案!$D4920</f>
        <v>0</v>
      </c>
    </row>
    <row r="2869" spans="1:4" ht="16.5" hidden="1" x14ac:dyDescent="0.3">
      <c r="A2869" s="10" t="str">
        <f>基本属性!$B$8&amp;"|"&amp;基本属性!$C$8</f>
        <v>65|0</v>
      </c>
      <c r="B2869" s="10" t="str">
        <f>参数调整!$J$34</f>
        <v>首领掉落</v>
      </c>
      <c r="C2869" s="8" t="str">
        <f>材料产出!$HV$2</f>
        <v>基本装备</v>
      </c>
      <c r="D2869" s="224">
        <f>参数调整!$K$34*怪物掉落配置方案!$D4921</f>
        <v>0</v>
      </c>
    </row>
    <row r="2870" spans="1:4" ht="16.5" hidden="1" x14ac:dyDescent="0.3">
      <c r="A2870" s="10" t="str">
        <f>基本属性!$B$9&amp;"|"&amp;基本属性!$C$9</f>
        <v>70|0</v>
      </c>
      <c r="B2870" s="10" t="str">
        <f>参数调整!$J$34</f>
        <v>首领掉落</v>
      </c>
      <c r="C2870" s="8" t="str">
        <f>材料产出!$HV$2</f>
        <v>基本装备</v>
      </c>
      <c r="D2870" s="224">
        <f>参数调整!$K$34*怪物掉落配置方案!$D4922</f>
        <v>0</v>
      </c>
    </row>
    <row r="2871" spans="1:4" ht="16.5" hidden="1" x14ac:dyDescent="0.3">
      <c r="A2871" s="10" t="str">
        <f>基本属性!$B$10&amp;"|"&amp;基本属性!$C$10</f>
        <v>75|0</v>
      </c>
      <c r="B2871" s="10" t="str">
        <f>参数调整!$J$34</f>
        <v>首领掉落</v>
      </c>
      <c r="C2871" s="8" t="str">
        <f>材料产出!$HV$2</f>
        <v>基本装备</v>
      </c>
      <c r="D2871" s="224">
        <f>参数调整!$K$34*怪物掉落配置方案!$D4923</f>
        <v>0</v>
      </c>
    </row>
    <row r="2872" spans="1:4" ht="16.5" hidden="1" x14ac:dyDescent="0.3">
      <c r="A2872" s="10" t="str">
        <f>基本属性!$B$11&amp;"|"&amp;基本属性!$C$11</f>
        <v>80|1</v>
      </c>
      <c r="B2872" s="10" t="str">
        <f>参数调整!$J$34</f>
        <v>首领掉落</v>
      </c>
      <c r="C2872" s="8" t="str">
        <f>材料产出!$HV$2</f>
        <v>基本装备</v>
      </c>
      <c r="D2872" s="224">
        <f>参数调整!$K$34*怪物掉落配置方案!$D4924</f>
        <v>0</v>
      </c>
    </row>
    <row r="2873" spans="1:4" ht="16.5" hidden="1" x14ac:dyDescent="0.3">
      <c r="A2873" s="10" t="str">
        <f>基本属性!$B$12&amp;"|"&amp;基本属性!$C$12</f>
        <v>90|2</v>
      </c>
      <c r="B2873" s="10" t="str">
        <f>参数调整!$J$34</f>
        <v>首领掉落</v>
      </c>
      <c r="C2873" s="8" t="str">
        <f>材料产出!$HV$2</f>
        <v>基本装备</v>
      </c>
      <c r="D2873" s="224">
        <f>参数调整!$K$34*怪物掉落配置方案!$D4925</f>
        <v>0</v>
      </c>
    </row>
    <row r="2874" spans="1:4" ht="16.5" hidden="1" x14ac:dyDescent="0.3">
      <c r="A2874" s="10" t="str">
        <f>基本属性!$B$13&amp;"|"&amp;基本属性!$C$13</f>
        <v>100|3</v>
      </c>
      <c r="B2874" s="10" t="str">
        <f>参数调整!$J$34</f>
        <v>首领掉落</v>
      </c>
      <c r="C2874" s="8" t="str">
        <f>材料产出!$HV$2</f>
        <v>基本装备</v>
      </c>
      <c r="D2874" s="224">
        <f>参数调整!$K$34*怪物掉落配置方案!$D4926</f>
        <v>0</v>
      </c>
    </row>
    <row r="2875" spans="1:4" ht="16.5" hidden="1" x14ac:dyDescent="0.3">
      <c r="A2875" s="10" t="str">
        <f>基本属性!$B$14&amp;"|"&amp;基本属性!$C$14</f>
        <v>105|4</v>
      </c>
      <c r="B2875" s="10" t="str">
        <f>参数调整!$J$34</f>
        <v>首领掉落</v>
      </c>
      <c r="C2875" s="8" t="str">
        <f>材料产出!$HV$2</f>
        <v>基本装备</v>
      </c>
      <c r="D2875" s="224">
        <f>参数调整!$K$34*怪物掉落配置方案!$D4927</f>
        <v>0</v>
      </c>
    </row>
    <row r="2876" spans="1:4" ht="16.5" hidden="1" x14ac:dyDescent="0.3">
      <c r="A2876" s="10" t="str">
        <f>基本属性!$B$15&amp;"|"&amp;基本属性!$C$15</f>
        <v>110|5</v>
      </c>
      <c r="B2876" s="10" t="str">
        <f>参数调整!$J$34</f>
        <v>首领掉落</v>
      </c>
      <c r="C2876" s="8" t="str">
        <f>材料产出!$HV$2</f>
        <v>基本装备</v>
      </c>
      <c r="D2876" s="224">
        <f>参数调整!$K$34*怪物掉落配置方案!$D4928</f>
        <v>0</v>
      </c>
    </row>
    <row r="2877" spans="1:4" ht="16.5" hidden="1" x14ac:dyDescent="0.3">
      <c r="A2877" s="10" t="str">
        <f>基本属性!$B$16&amp;"|"&amp;基本属性!$C$16</f>
        <v>120|6</v>
      </c>
      <c r="B2877" s="10" t="str">
        <f>参数调整!$J$34</f>
        <v>首领掉落</v>
      </c>
      <c r="C2877" s="8" t="str">
        <f>材料产出!$HV$2</f>
        <v>基本装备</v>
      </c>
      <c r="D2877" s="224">
        <f>参数调整!$K$34*怪物掉落配置方案!$D4929</f>
        <v>0</v>
      </c>
    </row>
    <row r="2878" spans="1:4" ht="16.5" hidden="1" x14ac:dyDescent="0.3">
      <c r="A2878" s="10" t="str">
        <f>基本属性!$B$17&amp;"|"&amp;基本属性!$C$17</f>
        <v>135|7</v>
      </c>
      <c r="B2878" s="10" t="str">
        <f>参数调整!$J$34</f>
        <v>首领掉落</v>
      </c>
      <c r="C2878" s="8" t="str">
        <f>材料产出!$HV$2</f>
        <v>基本装备</v>
      </c>
      <c r="D2878" s="224">
        <f>参数调整!$K$34*怪物掉落配置方案!$D4930</f>
        <v>0</v>
      </c>
    </row>
    <row r="2879" spans="1:4" ht="16.5" hidden="1" x14ac:dyDescent="0.3">
      <c r="A2879" s="10" t="str">
        <f>基本属性!$B$18&amp;"|"&amp;基本属性!$C$18</f>
        <v>155|8</v>
      </c>
      <c r="B2879" s="10" t="str">
        <f>参数调整!$J$34</f>
        <v>首领掉落</v>
      </c>
      <c r="C2879" s="8" t="str">
        <f>材料产出!$HV$2</f>
        <v>基本装备</v>
      </c>
      <c r="D2879" s="224">
        <f>参数调整!$K$34*怪物掉落配置方案!$D4931</f>
        <v>0</v>
      </c>
    </row>
    <row r="2880" spans="1:4" ht="16.5" hidden="1" x14ac:dyDescent="0.3">
      <c r="A2880" s="10" t="str">
        <f>基本属性!$B$19&amp;"|"&amp;基本属性!$C$19</f>
        <v>190|9</v>
      </c>
      <c r="B2880" s="10" t="str">
        <f>参数调整!$J$34</f>
        <v>首领掉落</v>
      </c>
      <c r="C2880" s="8" t="str">
        <f>材料产出!$HV$2</f>
        <v>基本装备</v>
      </c>
      <c r="D2880" s="224">
        <f>参数调整!$K$34*怪物掉落配置方案!$D4932</f>
        <v>0</v>
      </c>
    </row>
    <row r="2881" spans="1:4" ht="16.5" hidden="1" x14ac:dyDescent="0.3">
      <c r="A2881" s="10" t="str">
        <f>基本属性!$B$20&amp;"|"&amp;基本属性!$C$20</f>
        <v>200|10</v>
      </c>
      <c r="B2881" s="10" t="str">
        <f>参数调整!$J$34</f>
        <v>首领掉落</v>
      </c>
      <c r="C2881" s="8" t="str">
        <f>材料产出!$HV$2</f>
        <v>基本装备</v>
      </c>
      <c r="D2881" s="224">
        <f>参数调整!$K$34*怪物掉落配置方案!$D4933</f>
        <v>0</v>
      </c>
    </row>
    <row r="2882" spans="1:4" ht="16.5" hidden="1" x14ac:dyDescent="0.3">
      <c r="A2882" s="10" t="str">
        <f>基本属性!$B$21&amp;"|"&amp;基本属性!$C$21</f>
        <v>200|11</v>
      </c>
      <c r="B2882" s="10" t="str">
        <f>参数调整!$J$34</f>
        <v>首领掉落</v>
      </c>
      <c r="C2882" s="8" t="str">
        <f>材料产出!$HV$2</f>
        <v>基本装备</v>
      </c>
      <c r="D2882" s="224">
        <f>参数调整!$K$34*怪物掉落配置方案!$D4934</f>
        <v>0</v>
      </c>
    </row>
    <row r="2883" spans="1:4" ht="16.5" hidden="1" x14ac:dyDescent="0.3">
      <c r="A2883" s="10" t="str">
        <f>基本属性!$B$22&amp;"|"&amp;基本属性!$C$22</f>
        <v>210|12</v>
      </c>
      <c r="B2883" s="10" t="str">
        <f>参数调整!$J$34</f>
        <v>首领掉落</v>
      </c>
      <c r="C2883" s="8" t="str">
        <f>材料产出!$HV$2</f>
        <v>基本装备</v>
      </c>
      <c r="D2883" s="224">
        <f>参数调整!$K$34*怪物掉落配置方案!$D4935</f>
        <v>0</v>
      </c>
    </row>
    <row r="2884" spans="1:4" ht="16.5" hidden="1" x14ac:dyDescent="0.3">
      <c r="A2884" s="10" t="str">
        <f>基本属性!$B$23&amp;"|"&amp;基本属性!$C$23</f>
        <v>210|13</v>
      </c>
      <c r="B2884" s="10" t="str">
        <f>参数调整!$J$34</f>
        <v>首领掉落</v>
      </c>
      <c r="C2884" s="8" t="str">
        <f>材料产出!$HV$2</f>
        <v>基本装备</v>
      </c>
      <c r="D2884" s="224">
        <f>参数调整!$K$34*怪物掉落配置方案!$D4936</f>
        <v>0</v>
      </c>
    </row>
    <row r="2885" spans="1:4" ht="16.5" hidden="1" x14ac:dyDescent="0.3">
      <c r="A2885" s="10" t="str">
        <f>基本属性!$B$24&amp;"|"&amp;基本属性!$C$24</f>
        <v>220|14</v>
      </c>
      <c r="B2885" s="10" t="str">
        <f>参数调整!$J$34</f>
        <v>首领掉落</v>
      </c>
      <c r="C2885" s="8" t="str">
        <f>材料产出!$HV$2</f>
        <v>基本装备</v>
      </c>
      <c r="D2885" s="224">
        <f>参数调整!$K$34*怪物掉落配置方案!$D4937</f>
        <v>0</v>
      </c>
    </row>
    <row r="2886" spans="1:4" ht="16.5" hidden="1" x14ac:dyDescent="0.3">
      <c r="A2886" s="10" t="str">
        <f>基本属性!$B$25&amp;"|"&amp;基本属性!$C$25</f>
        <v>220|15</v>
      </c>
      <c r="B2886" s="10" t="str">
        <f>参数调整!$J$34</f>
        <v>首领掉落</v>
      </c>
      <c r="C2886" s="8" t="str">
        <f>材料产出!$HV$2</f>
        <v>基本装备</v>
      </c>
      <c r="D2886" s="224">
        <f>参数调整!$K$34*怪物掉落配置方案!$D4938</f>
        <v>0</v>
      </c>
    </row>
    <row r="2887" spans="1:4" ht="16.5" hidden="1" x14ac:dyDescent="0.3">
      <c r="A2887" s="10" t="str">
        <f>基本属性!$B$26&amp;"|"&amp;基本属性!$C$26</f>
        <v>230|16</v>
      </c>
      <c r="B2887" s="10" t="str">
        <f>参数调整!$J$34</f>
        <v>首领掉落</v>
      </c>
      <c r="C2887" s="8" t="str">
        <f>材料产出!$HV$2</f>
        <v>基本装备</v>
      </c>
      <c r="D2887" s="224">
        <f>参数调整!$K$34*怪物掉落配置方案!$D4939</f>
        <v>0</v>
      </c>
    </row>
    <row r="2888" spans="1:4" ht="16.5" hidden="1" x14ac:dyDescent="0.3">
      <c r="A2888" s="10" t="str">
        <f>基本属性!$B$27&amp;"|"&amp;基本属性!$C$27</f>
        <v>230|17</v>
      </c>
      <c r="B2888" s="10" t="str">
        <f>参数调整!$J$34</f>
        <v>首领掉落</v>
      </c>
      <c r="C2888" s="8" t="str">
        <f>材料产出!$HV$2</f>
        <v>基本装备</v>
      </c>
      <c r="D2888" s="224">
        <f>参数调整!$K$34*怪物掉落配置方案!$D4940</f>
        <v>0</v>
      </c>
    </row>
    <row r="2889" spans="1:4" ht="16.5" hidden="1" x14ac:dyDescent="0.3">
      <c r="A2889" s="10" t="str">
        <f>基本属性!$B$28&amp;"|"&amp;基本属性!$C$28</f>
        <v>240|18</v>
      </c>
      <c r="B2889" s="10" t="str">
        <f>参数调整!$J$34</f>
        <v>首领掉落</v>
      </c>
      <c r="C2889" s="8" t="str">
        <f>材料产出!$HV$2</f>
        <v>基本装备</v>
      </c>
      <c r="D2889" s="224">
        <f>参数调整!$K$34*怪物掉落配置方案!$D4941</f>
        <v>0</v>
      </c>
    </row>
    <row r="2890" spans="1:4" ht="16.5" hidden="1" x14ac:dyDescent="0.3">
      <c r="A2890" s="10" t="str">
        <f>基本属性!$B$29&amp;"|"&amp;基本属性!$C$29</f>
        <v>240|19</v>
      </c>
      <c r="B2890" s="10" t="str">
        <f>参数调整!$J$34</f>
        <v>首领掉落</v>
      </c>
      <c r="C2890" s="8" t="str">
        <f>材料产出!$HV$2</f>
        <v>基本装备</v>
      </c>
      <c r="D2890" s="224">
        <f>参数调整!$K$34*怪物掉落配置方案!$D4942</f>
        <v>0</v>
      </c>
    </row>
    <row r="2891" spans="1:4" ht="16.5" hidden="1" x14ac:dyDescent="0.3">
      <c r="A2891" s="10" t="str">
        <f>基本属性!$B$30&amp;"|"&amp;基本属性!$C$30</f>
        <v>250|20</v>
      </c>
      <c r="B2891" s="10" t="str">
        <f>参数调整!$J$34</f>
        <v>首领掉落</v>
      </c>
      <c r="C2891" s="8" t="str">
        <f>材料产出!$HV$2</f>
        <v>基本装备</v>
      </c>
      <c r="D2891" s="224">
        <f>参数调整!$K$34*怪物掉落配置方案!$D4943</f>
        <v>0</v>
      </c>
    </row>
    <row r="2892" spans="1:4" ht="16.5" hidden="1" x14ac:dyDescent="0.3">
      <c r="A2892" s="10" t="str">
        <f>基本属性!$B$4&amp;"|"&amp;基本属性!$C$4</f>
        <v>35|0</v>
      </c>
      <c r="B2892" s="10" t="str">
        <f>参数调整!$J$34</f>
        <v>首领掉落</v>
      </c>
      <c r="C2892" s="8" t="str">
        <f>材料产出!$AP$2</f>
        <v>火龙气息</v>
      </c>
      <c r="D2892" s="224">
        <f>参数调整!$K$34*怪物掉落配置方案!$D4944</f>
        <v>2.4596837411295848E-2</v>
      </c>
    </row>
    <row r="2893" spans="1:4" ht="16.5" hidden="1" x14ac:dyDescent="0.3">
      <c r="A2893" s="10" t="str">
        <f>基本属性!$B$5&amp;"|"&amp;基本属性!$C$5</f>
        <v>40|0</v>
      </c>
      <c r="B2893" s="10" t="str">
        <f>参数调整!$J$34</f>
        <v>首领掉落</v>
      </c>
      <c r="C2893" s="8" t="str">
        <f>材料产出!$AP$2</f>
        <v>火龙气息</v>
      </c>
      <c r="D2893" s="224">
        <f>参数调整!$K$34*怪物掉落配置方案!$D4945</f>
        <v>3.113037234867131E-2</v>
      </c>
    </row>
    <row r="2894" spans="1:4" ht="16.5" hidden="1" x14ac:dyDescent="0.3">
      <c r="A2894" s="10" t="str">
        <f>基本属性!$B$6&amp;"|"&amp;基本属性!$C$6</f>
        <v>50|0</v>
      </c>
      <c r="B2894" s="10" t="str">
        <f>参数调整!$J$34</f>
        <v>首领掉落</v>
      </c>
      <c r="C2894" s="8" t="str">
        <f>材料产出!$AP$2</f>
        <v>火龙气息</v>
      </c>
      <c r="D2894" s="224">
        <f>参数调整!$K$34*怪物掉落配置方案!$D4946</f>
        <v>3.8432558455149771E-2</v>
      </c>
    </row>
    <row r="2895" spans="1:4" ht="16.5" hidden="1" x14ac:dyDescent="0.3">
      <c r="A2895" s="10" t="str">
        <f>基本属性!$B$7&amp;"|"&amp;基本属性!$C$7</f>
        <v>60|0</v>
      </c>
      <c r="B2895" s="10" t="str">
        <f>参数调整!$J$34</f>
        <v>首领掉落</v>
      </c>
      <c r="C2895" s="8" t="str">
        <f>材料产出!$AP$2</f>
        <v>火龙气息</v>
      </c>
      <c r="D2895" s="224">
        <f>参数调整!$K$34*怪物掉落配置方案!$D4947</f>
        <v>4.6503395730731228E-2</v>
      </c>
    </row>
    <row r="2896" spans="1:4" ht="16.5" hidden="1" x14ac:dyDescent="0.3">
      <c r="A2896" s="10" t="str">
        <f>基本属性!$B$8&amp;"|"&amp;基本属性!$C$8</f>
        <v>65|0</v>
      </c>
      <c r="B2896" s="10" t="str">
        <f>参数调整!$J$34</f>
        <v>首领掉落</v>
      </c>
      <c r="C2896" s="8" t="str">
        <f>材料产出!$AP$2</f>
        <v>火龙气息</v>
      </c>
      <c r="D2896" s="224">
        <f>参数调整!$K$34*怪物掉落配置方案!$D4948</f>
        <v>5.5342884175415663E-2</v>
      </c>
    </row>
    <row r="2897" spans="1:4" ht="16.5" hidden="1" x14ac:dyDescent="0.3">
      <c r="A2897" s="10" t="str">
        <f>基本属性!$B$9&amp;"|"&amp;基本属性!$C$9</f>
        <v>70|0</v>
      </c>
      <c r="B2897" s="10" t="str">
        <f>参数调整!$J$34</f>
        <v>首领掉落</v>
      </c>
      <c r="C2897" s="8" t="str">
        <f>材料产出!$AP$2</f>
        <v>火龙气息</v>
      </c>
      <c r="D2897" s="224">
        <f>参数调整!$K$34*怪物掉落配置方案!$D4949</f>
        <v>6.4951023789203102E-2</v>
      </c>
    </row>
    <row r="2898" spans="1:4" ht="16.5" hidden="1" x14ac:dyDescent="0.3">
      <c r="A2898" s="10" t="str">
        <f>基本属性!$B$10&amp;"|"&amp;基本属性!$C$10</f>
        <v>75|0</v>
      </c>
      <c r="B2898" s="10" t="str">
        <f>参数调整!$J$34</f>
        <v>首领掉落</v>
      </c>
      <c r="C2898" s="8" t="str">
        <f>材料产出!$AP$2</f>
        <v>火龙气息</v>
      </c>
      <c r="D2898" s="224">
        <f>参数调整!$K$34*怪物掉落配置方案!$D4950</f>
        <v>7.5327814572093518E-2</v>
      </c>
    </row>
    <row r="2899" spans="1:4" ht="16.5" hidden="1" x14ac:dyDescent="0.3">
      <c r="A2899" s="10" t="str">
        <f>基本属性!$B$11&amp;"|"&amp;基本属性!$C$11</f>
        <v>80|1</v>
      </c>
      <c r="B2899" s="10" t="str">
        <f>参数调整!$J$34</f>
        <v>首领掉落</v>
      </c>
      <c r="C2899" s="8" t="str">
        <f>材料产出!$AP$2</f>
        <v>火龙气息</v>
      </c>
      <c r="D2899" s="224">
        <f>参数调整!$K$34*怪物掉落配置方案!$D4951</f>
        <v>8.6473256524086967E-2</v>
      </c>
    </row>
    <row r="2900" spans="1:4" ht="16.5" hidden="1" x14ac:dyDescent="0.3">
      <c r="A2900" s="10" t="str">
        <f>基本属性!$B$12&amp;"|"&amp;基本属性!$C$12</f>
        <v>90|2</v>
      </c>
      <c r="B2900" s="10" t="str">
        <f>参数调整!$J$34</f>
        <v>首领掉落</v>
      </c>
      <c r="C2900" s="8" t="str">
        <f>材料产出!$AP$2</f>
        <v>火龙气息</v>
      </c>
      <c r="D2900" s="224">
        <f>参数调整!$K$34*怪物掉落配置方案!$D4952</f>
        <v>9.8387349645183392E-2</v>
      </c>
    </row>
    <row r="2901" spans="1:4" ht="16.5" hidden="1" x14ac:dyDescent="0.3">
      <c r="A2901" s="10" t="str">
        <f>基本属性!$B$13&amp;"|"&amp;基本属性!$C$13</f>
        <v>100|3</v>
      </c>
      <c r="B2901" s="10" t="str">
        <f>参数调整!$J$34</f>
        <v>首领掉落</v>
      </c>
      <c r="C2901" s="8" t="str">
        <f>材料产出!$AP$2</f>
        <v>火龙气息</v>
      </c>
      <c r="D2901" s="224">
        <f>参数调整!$K$34*怪物掉落配置方案!$D4953</f>
        <v>0.12452148939468524</v>
      </c>
    </row>
    <row r="2902" spans="1:4" ht="16.5" hidden="1" x14ac:dyDescent="0.3">
      <c r="A2902" s="10" t="str">
        <f>基本属性!$B$14&amp;"|"&amp;基本属性!$C$14</f>
        <v>105|4</v>
      </c>
      <c r="B2902" s="10" t="str">
        <f>参数调整!$J$34</f>
        <v>首领掉落</v>
      </c>
      <c r="C2902" s="8" t="str">
        <f>材料产出!$AP$2</f>
        <v>火龙气息</v>
      </c>
      <c r="D2902" s="224">
        <f>参数调整!$K$34*怪物掉落配置方案!$D4954</f>
        <v>0.15373023382059908</v>
      </c>
    </row>
    <row r="2903" spans="1:4" ht="16.5" hidden="1" x14ac:dyDescent="0.3">
      <c r="A2903" s="10" t="str">
        <f>基本属性!$B$15&amp;"|"&amp;基本属性!$C$15</f>
        <v>110|5</v>
      </c>
      <c r="B2903" s="10" t="str">
        <f>参数调整!$J$34</f>
        <v>首领掉落</v>
      </c>
      <c r="C2903" s="8" t="str">
        <f>材料产出!$AP$2</f>
        <v>火龙气息</v>
      </c>
      <c r="D2903" s="224">
        <f>参数调整!$K$34*怪物掉落配置方案!$D4955</f>
        <v>0.18601358292292491</v>
      </c>
    </row>
    <row r="2904" spans="1:4" ht="16.5" hidden="1" x14ac:dyDescent="0.3">
      <c r="A2904" s="10" t="str">
        <f>基本属性!$B$16&amp;"|"&amp;基本属性!$C$16</f>
        <v>120|6</v>
      </c>
      <c r="B2904" s="10" t="str">
        <f>参数调整!$J$34</f>
        <v>首领掉落</v>
      </c>
      <c r="C2904" s="8" t="str">
        <f>材料产出!$AP$2</f>
        <v>火龙气息</v>
      </c>
      <c r="D2904" s="224">
        <f>参数调整!$K$34*怪物掉落配置方案!$D4956</f>
        <v>0.24020349034468602</v>
      </c>
    </row>
    <row r="2905" spans="1:4" ht="16.5" hidden="1" x14ac:dyDescent="0.3">
      <c r="A2905" s="10" t="str">
        <f>基本属性!$B$17&amp;"|"&amp;基本属性!$C$17</f>
        <v>135|7</v>
      </c>
      <c r="B2905" s="10" t="str">
        <f>参数调整!$J$34</f>
        <v>首领掉落</v>
      </c>
      <c r="C2905" s="8" t="str">
        <f>材料产出!$AP$2</f>
        <v>火龙气息</v>
      </c>
      <c r="D2905" s="224">
        <f>参数调整!$K$34*怪物掉落配置方案!$D4957</f>
        <v>0.34589302609634787</v>
      </c>
    </row>
    <row r="2906" spans="1:4" ht="16.5" hidden="1" x14ac:dyDescent="0.3">
      <c r="A2906" s="10" t="str">
        <f>基本属性!$B$18&amp;"|"&amp;基本属性!$C$18</f>
        <v>155|8</v>
      </c>
      <c r="B2906" s="10" t="str">
        <f>参数调整!$J$34</f>
        <v>首领掉落</v>
      </c>
      <c r="C2906" s="8" t="str">
        <f>材料产出!$AP$2</f>
        <v>火龙气息</v>
      </c>
      <c r="D2906" s="224">
        <f>参数调整!$K$34*怪物掉落配置方案!$D4958</f>
        <v>0.47079884107558467</v>
      </c>
    </row>
    <row r="2907" spans="1:4" ht="16.5" hidden="1" x14ac:dyDescent="0.3">
      <c r="A2907" s="10" t="str">
        <f>基本属性!$B$19&amp;"|"&amp;基本属性!$C$19</f>
        <v>190|9</v>
      </c>
      <c r="B2907" s="10" t="str">
        <f>参数调整!$J$34</f>
        <v>首领掉落</v>
      </c>
      <c r="C2907" s="8" t="str">
        <f>材料产出!$AP$2</f>
        <v>火龙气息</v>
      </c>
      <c r="D2907" s="224">
        <f>参数调整!$K$34*怪物掉落配置方案!$D4959</f>
        <v>0.52614172525100034</v>
      </c>
    </row>
    <row r="2908" spans="1:4" ht="16.5" hidden="1" x14ac:dyDescent="0.3">
      <c r="A2908" s="10" t="str">
        <f>基本属性!$B$20&amp;"|"&amp;基本属性!$C$20</f>
        <v>200|10</v>
      </c>
      <c r="B2908" s="10" t="str">
        <f>参数调整!$J$34</f>
        <v>首领掉落</v>
      </c>
      <c r="C2908" s="8" t="str">
        <f>材料产出!$AP$2</f>
        <v>火龙气息</v>
      </c>
      <c r="D2908" s="224">
        <f>参数调整!$K$34*怪物掉落配置方案!$D4960</f>
        <v>0.61492093528239633</v>
      </c>
    </row>
    <row r="2909" spans="1:4" ht="16.5" hidden="1" x14ac:dyDescent="0.3">
      <c r="A2909" s="10" t="str">
        <f>基本属性!$B$21&amp;"|"&amp;基本属性!$C$21</f>
        <v>200|11</v>
      </c>
      <c r="B2909" s="10" t="str">
        <f>参数调整!$J$34</f>
        <v>首领掉落</v>
      </c>
      <c r="C2909" s="8" t="str">
        <f>材料产出!$AP$2</f>
        <v>火龙气息</v>
      </c>
      <c r="D2909" s="224">
        <f>参数调整!$K$34*怪物掉落配置方案!$D4961</f>
        <v>0.7106180058357191</v>
      </c>
    </row>
    <row r="2910" spans="1:4" ht="16.5" hidden="1" x14ac:dyDescent="0.3">
      <c r="A2910" s="10" t="str">
        <f>基本属性!$B$22&amp;"|"&amp;基本属性!$C$22</f>
        <v>210|12</v>
      </c>
      <c r="B2910" s="10" t="str">
        <f>参数调整!$J$34</f>
        <v>首领掉落</v>
      </c>
      <c r="C2910" s="8" t="str">
        <f>材料产出!$AP$2</f>
        <v>火龙气息</v>
      </c>
      <c r="D2910" s="224">
        <f>参数调整!$K$34*怪物掉落配置方案!$D4962</f>
        <v>0.81323293691096876</v>
      </c>
    </row>
    <row r="2911" spans="1:4" ht="16.5" hidden="1" x14ac:dyDescent="0.3">
      <c r="A2911" s="10" t="str">
        <f>基本属性!$B$23&amp;"|"&amp;基本属性!$C$23</f>
        <v>210|13</v>
      </c>
      <c r="B2911" s="10" t="str">
        <f>参数调整!$J$34</f>
        <v>首领掉落</v>
      </c>
      <c r="C2911" s="8" t="str">
        <f>材料产出!$AP$2</f>
        <v>火龙气息</v>
      </c>
      <c r="D2911" s="224">
        <f>参数调整!$K$34*怪物掉落配置方案!$D4963</f>
        <v>0.92276572850814609</v>
      </c>
    </row>
    <row r="2912" spans="1:4" ht="16.5" hidden="1" x14ac:dyDescent="0.3">
      <c r="A2912" s="10" t="str">
        <f>基本属性!$B$24&amp;"|"&amp;基本属性!$C$24</f>
        <v>220|14</v>
      </c>
      <c r="B2912" s="10" t="str">
        <f>参数调整!$J$34</f>
        <v>首领掉落</v>
      </c>
      <c r="C2912" s="8" t="str">
        <f>材料产出!$AP$2</f>
        <v>火龙气息</v>
      </c>
      <c r="D2912" s="224">
        <f>参数调整!$K$34*怪物掉落配置方案!$D4964</f>
        <v>1.0392163806272496</v>
      </c>
    </row>
    <row r="2913" spans="1:4" ht="16.5" hidden="1" x14ac:dyDescent="0.3">
      <c r="A2913" s="10" t="str">
        <f>基本属性!$B$25&amp;"|"&amp;基本属性!$C$25</f>
        <v>220|15</v>
      </c>
      <c r="B2913" s="10" t="str">
        <f>参数调整!$J$34</f>
        <v>首领掉落</v>
      </c>
      <c r="C2913" s="8" t="str">
        <f>材料产出!$AP$2</f>
        <v>火龙气息</v>
      </c>
      <c r="D2913" s="224">
        <f>参数调整!$K$34*怪物掉落配置方案!$D4965</f>
        <v>1.1625848932682803</v>
      </c>
    </row>
    <row r="2914" spans="1:4" ht="16.5" hidden="1" x14ac:dyDescent="0.3">
      <c r="A2914" s="10" t="str">
        <f>基本属性!$B$26&amp;"|"&amp;基本属性!$C$26</f>
        <v>230|16</v>
      </c>
      <c r="B2914" s="10" t="str">
        <f>参数调整!$J$34</f>
        <v>首领掉落</v>
      </c>
      <c r="C2914" s="8" t="str">
        <f>材料产出!$AP$2</f>
        <v>火龙气息</v>
      </c>
      <c r="D2914" s="224">
        <f>参数调整!$K$34*怪物掉落配置方案!$D4966</f>
        <v>1.2928712664312381</v>
      </c>
    </row>
    <row r="2915" spans="1:4" ht="16.5" hidden="1" x14ac:dyDescent="0.3">
      <c r="A2915" s="10" t="str">
        <f>基本属性!$B$27&amp;"|"&amp;基本属性!$C$27</f>
        <v>230|17</v>
      </c>
      <c r="B2915" s="10" t="str">
        <f>参数调整!$J$34</f>
        <v>首领掉落</v>
      </c>
      <c r="C2915" s="8" t="str">
        <f>材料产出!$AP$2</f>
        <v>火龙气息</v>
      </c>
      <c r="D2915" s="224">
        <f>参数调整!$K$34*怪物掉落配置方案!$D4967</f>
        <v>1.4300755001161225</v>
      </c>
    </row>
    <row r="2916" spans="1:4" ht="16.5" hidden="1" x14ac:dyDescent="0.3">
      <c r="A2916" s="10" t="str">
        <f>基本属性!$B$28&amp;"|"&amp;基本属性!$C$28</f>
        <v>240|18</v>
      </c>
      <c r="B2916" s="10" t="str">
        <f>参数调整!$J$34</f>
        <v>首领掉落</v>
      </c>
      <c r="C2916" s="8" t="str">
        <f>材料产出!$AP$2</f>
        <v>火龙气息</v>
      </c>
      <c r="D2916" s="224">
        <f>参数调整!$K$34*怪物掉落配置方案!$D4968</f>
        <v>1.5741975943229343</v>
      </c>
    </row>
    <row r="2917" spans="1:4" ht="16.5" hidden="1" x14ac:dyDescent="0.3">
      <c r="A2917" s="10" t="str">
        <f>基本属性!$B$29&amp;"|"&amp;基本属性!$C$29</f>
        <v>240|19</v>
      </c>
      <c r="B2917" s="10" t="str">
        <f>参数调整!$J$34</f>
        <v>首领掉落</v>
      </c>
      <c r="C2917" s="8" t="str">
        <f>材料产出!$AP$2</f>
        <v>火龙气息</v>
      </c>
      <c r="D2917" s="224">
        <f>参数调整!$K$34*怪物掉落配置方案!$D4969</f>
        <v>1.7252375490516731</v>
      </c>
    </row>
    <row r="2918" spans="1:4" ht="16.5" hidden="1" x14ac:dyDescent="0.3">
      <c r="A2918" s="10" t="str">
        <f>基本属性!$B$30&amp;"|"&amp;基本属性!$C$30</f>
        <v>250|20</v>
      </c>
      <c r="B2918" s="10" t="str">
        <f>参数调整!$J$34</f>
        <v>首领掉落</v>
      </c>
      <c r="C2918" s="8" t="str">
        <f>材料产出!$AP$2</f>
        <v>火龙气息</v>
      </c>
      <c r="D2918" s="224">
        <f>参数调整!$K$34*怪物掉落配置方案!$D4970</f>
        <v>1.8831953643023382</v>
      </c>
    </row>
    <row r="2919" spans="1:4" ht="16.5" hidden="1" x14ac:dyDescent="0.3">
      <c r="A2919" s="10" t="str">
        <f>基本属性!$B$4&amp;"|"&amp;基本属性!$C$4</f>
        <v>35|0</v>
      </c>
      <c r="B2919" s="10" t="str">
        <f>参数调整!$J$34</f>
        <v>首领掉落</v>
      </c>
      <c r="C2919" s="8" t="str">
        <f>材料产出!$N$2</f>
        <v>火龙凭证</v>
      </c>
      <c r="D2919" s="224">
        <f>参数调整!$K$34*怪物掉落配置方案!$D4971</f>
        <v>0.64950093732583469</v>
      </c>
    </row>
    <row r="2920" spans="1:4" ht="16.5" hidden="1" x14ac:dyDescent="0.3">
      <c r="A2920" s="10" t="str">
        <f>基本属性!$B$5&amp;"|"&amp;基本属性!$C$5</f>
        <v>40|0</v>
      </c>
      <c r="B2920" s="10" t="str">
        <f>参数调整!$J$34</f>
        <v>首领掉落</v>
      </c>
      <c r="C2920" s="8" t="str">
        <f>材料产出!$N$2</f>
        <v>火龙凭证</v>
      </c>
      <c r="D2920" s="224">
        <f>参数调整!$K$34*怪物掉落配置方案!$D4972</f>
        <v>0.82202462380300956</v>
      </c>
    </row>
    <row r="2921" spans="1:4" ht="16.5" hidden="1" x14ac:dyDescent="0.3">
      <c r="A2921" s="10" t="str">
        <f>基本属性!$B$6&amp;"|"&amp;基本属性!$C$6</f>
        <v>50|0</v>
      </c>
      <c r="B2921" s="10" t="str">
        <f>参数调整!$J$34</f>
        <v>首领掉落</v>
      </c>
      <c r="C2921" s="8" t="str">
        <f>材料产出!$N$2</f>
        <v>火龙凭证</v>
      </c>
      <c r="D2921" s="224">
        <f>参数调整!$K$34*怪物掉落配置方案!$D4973</f>
        <v>1.0148452145716167</v>
      </c>
    </row>
    <row r="2922" spans="1:4" ht="16.5" hidden="1" x14ac:dyDescent="0.3">
      <c r="A2922" s="10" t="str">
        <f>基本属性!$B$7&amp;"|"&amp;基本属性!$C$7</f>
        <v>60|0</v>
      </c>
      <c r="B2922" s="10" t="str">
        <f>参数调整!$J$34</f>
        <v>首领掉落</v>
      </c>
      <c r="C2922" s="8" t="str">
        <f>材料产出!$N$2</f>
        <v>火龙凭证</v>
      </c>
      <c r="D2922" s="224">
        <f>参数调整!$K$34*怪物掉落配置方案!$D4974</f>
        <v>1.2279627096316563</v>
      </c>
    </row>
    <row r="2923" spans="1:4" ht="16.5" hidden="1" x14ac:dyDescent="0.3">
      <c r="A2923" s="10" t="str">
        <f>基本属性!$B$8&amp;"|"&amp;基本属性!$C$8</f>
        <v>65|0</v>
      </c>
      <c r="B2923" s="10" t="str">
        <f>参数调整!$J$34</f>
        <v>首领掉落</v>
      </c>
      <c r="C2923" s="8" t="str">
        <f>材料产出!$N$2</f>
        <v>火龙凭证</v>
      </c>
      <c r="D2923" s="224">
        <f>参数调整!$K$34*怪物掉落配置方案!$D4975</f>
        <v>1.461377108983128</v>
      </c>
    </row>
    <row r="2924" spans="1:4" ht="16.5" hidden="1" x14ac:dyDescent="0.3">
      <c r="A2924" s="10" t="str">
        <f>基本属性!$B$9&amp;"|"&amp;基本属性!$C$9</f>
        <v>70|0</v>
      </c>
      <c r="B2924" s="10" t="str">
        <f>参数调整!$J$34</f>
        <v>首领掉落</v>
      </c>
      <c r="C2924" s="8" t="str">
        <f>材料产出!$N$2</f>
        <v>火龙凭证</v>
      </c>
      <c r="D2924" s="224">
        <f>参数调整!$K$34*怪物掉落配置方案!$D4976</f>
        <v>1.7150884126260324</v>
      </c>
    </row>
    <row r="2925" spans="1:4" ht="16.5" hidden="1" x14ac:dyDescent="0.3">
      <c r="A2925" s="10" t="str">
        <f>基本属性!$B$10&amp;"|"&amp;基本属性!$C$10</f>
        <v>75|0</v>
      </c>
      <c r="B2925" s="10" t="str">
        <f>参数调整!$J$34</f>
        <v>首领掉落</v>
      </c>
      <c r="C2925" s="8" t="str">
        <f>材料产出!$N$2</f>
        <v>火龙凭证</v>
      </c>
      <c r="D2925" s="224">
        <f>参数调整!$K$34*怪物掉落配置方案!$D4977</f>
        <v>1.9890966205603686</v>
      </c>
    </row>
    <row r="2926" spans="1:4" ht="16.5" hidden="1" x14ac:dyDescent="0.3">
      <c r="A2926" s="10" t="str">
        <f>基本属性!$B$11&amp;"|"&amp;基本属性!$C$11</f>
        <v>80|1</v>
      </c>
      <c r="B2926" s="10" t="str">
        <f>参数调整!$J$34</f>
        <v>首领掉落</v>
      </c>
      <c r="C2926" s="8" t="str">
        <f>材料产出!$N$2</f>
        <v>火龙凭证</v>
      </c>
      <c r="D2926" s="224">
        <f>参数调整!$K$34*怪物掉落配置方案!$D4978</f>
        <v>2.2834017327861376</v>
      </c>
    </row>
    <row r="2927" spans="1:4" ht="16.5" hidden="1" x14ac:dyDescent="0.3">
      <c r="A2927" s="10" t="str">
        <f>基本属性!$B$12&amp;"|"&amp;基本属性!$C$12</f>
        <v>90|2</v>
      </c>
      <c r="B2927" s="10" t="str">
        <f>参数调整!$J$34</f>
        <v>首领掉落</v>
      </c>
      <c r="C2927" s="8" t="str">
        <f>材料产出!$N$2</f>
        <v>火龙凭证</v>
      </c>
      <c r="D2927" s="224">
        <f>参数调整!$K$34*怪物掉落配置方案!$D4979</f>
        <v>2.5980037493033392</v>
      </c>
    </row>
    <row r="2928" spans="1:4" ht="16.5" hidden="1" x14ac:dyDescent="0.3">
      <c r="A2928" s="10" t="str">
        <f>基本属性!$B$13&amp;"|"&amp;基本属性!$C$13</f>
        <v>100|3</v>
      </c>
      <c r="B2928" s="10" t="str">
        <f>参数调整!$J$34</f>
        <v>首领掉落</v>
      </c>
      <c r="C2928" s="8" t="str">
        <f>材料产出!$N$2</f>
        <v>火龙凭证</v>
      </c>
      <c r="D2928" s="224">
        <f>参数调整!$K$34*怪物掉落配置方案!$D4980</f>
        <v>3.2880984952120382</v>
      </c>
    </row>
    <row r="2929" spans="1:4" ht="16.5" hidden="1" x14ac:dyDescent="0.3">
      <c r="A2929" s="10" t="str">
        <f>基本属性!$B$14&amp;"|"&amp;基本属性!$C$14</f>
        <v>105|4</v>
      </c>
      <c r="B2929" s="10" t="str">
        <f>参数调整!$J$34</f>
        <v>首领掉落</v>
      </c>
      <c r="C2929" s="8" t="str">
        <f>材料产出!$N$2</f>
        <v>火龙凭证</v>
      </c>
      <c r="D2929" s="224">
        <f>参数调整!$K$34*怪物掉落配置方案!$D4981</f>
        <v>4.0593808582864677</v>
      </c>
    </row>
    <row r="2930" spans="1:4" ht="16.5" hidden="1" x14ac:dyDescent="0.3">
      <c r="A2930" s="10" t="str">
        <f>基本属性!$B$15&amp;"|"&amp;基本属性!$C$15</f>
        <v>110|5</v>
      </c>
      <c r="B2930" s="10" t="str">
        <f>参数调整!$J$34</f>
        <v>首领掉落</v>
      </c>
      <c r="C2930" s="8" t="str">
        <f>材料产出!$N$2</f>
        <v>火龙凭证</v>
      </c>
      <c r="D2930" s="224">
        <f>参数调整!$K$34*怪物掉落配置方案!$D4982</f>
        <v>4.9118508385266253</v>
      </c>
    </row>
    <row r="2931" spans="1:4" ht="16.5" hidden="1" x14ac:dyDescent="0.3">
      <c r="A2931" s="10" t="str">
        <f>基本属性!$B$16&amp;"|"&amp;基本属性!$C$16</f>
        <v>120|6</v>
      </c>
      <c r="B2931" s="10" t="str">
        <f>参数调整!$J$34</f>
        <v>首领掉落</v>
      </c>
      <c r="C2931" s="8" t="str">
        <f>材料产出!$N$2</f>
        <v>火龙凭证</v>
      </c>
      <c r="D2931" s="224">
        <f>参数调整!$K$34*怪物掉落配置方案!$D4983</f>
        <v>6.3427825910726039</v>
      </c>
    </row>
    <row r="2932" spans="1:4" ht="16.5" hidden="1" x14ac:dyDescent="0.3">
      <c r="A2932" s="10" t="str">
        <f>基本属性!$B$17&amp;"|"&amp;基本属性!$C$17</f>
        <v>135|7</v>
      </c>
      <c r="B2932" s="10" t="str">
        <f>参数调整!$J$34</f>
        <v>首领掉落</v>
      </c>
      <c r="C2932" s="8" t="str">
        <f>材料产出!$N$2</f>
        <v>火龙凭证</v>
      </c>
      <c r="D2932" s="224">
        <f>参数调整!$K$34*怪物掉落配置方案!$D4984</f>
        <v>9.1336069311445502</v>
      </c>
    </row>
    <row r="2933" spans="1:4" ht="16.5" hidden="1" x14ac:dyDescent="0.3">
      <c r="A2933" s="10" t="str">
        <f>基本属性!$B$18&amp;"|"&amp;基本属性!$C$18</f>
        <v>155|8</v>
      </c>
      <c r="B2933" s="10" t="str">
        <f>参数调整!$J$34</f>
        <v>首领掉落</v>
      </c>
      <c r="C2933" s="8" t="str">
        <f>材料产出!$N$2</f>
        <v>火龙凭证</v>
      </c>
      <c r="D2933" s="224">
        <f>参数调整!$K$34*怪物掉落配置方案!$D4985</f>
        <v>12.431853878502306</v>
      </c>
    </row>
    <row r="2934" spans="1:4" ht="16.5" hidden="1" x14ac:dyDescent="0.3">
      <c r="A2934" s="10" t="str">
        <f>基本属性!$B$19&amp;"|"&amp;基本属性!$C$19</f>
        <v>190|9</v>
      </c>
      <c r="B2934" s="10" t="str">
        <f>参数调整!$J$34</f>
        <v>首领掉落</v>
      </c>
      <c r="C2934" s="8" t="str">
        <f>材料产出!$N$2</f>
        <v>火龙凭证</v>
      </c>
      <c r="D2934" s="224">
        <f>参数调整!$K$34*怪物掉落配置方案!$D4986</f>
        <v>13.893230987485437</v>
      </c>
    </row>
    <row r="2935" spans="1:4" ht="16.5" hidden="1" x14ac:dyDescent="0.3">
      <c r="A2935" s="10" t="str">
        <f>基本属性!$B$20&amp;"|"&amp;基本属性!$C$20</f>
        <v>200|10</v>
      </c>
      <c r="B2935" s="10" t="str">
        <f>参数调整!$J$34</f>
        <v>首领掉落</v>
      </c>
      <c r="C2935" s="8" t="str">
        <f>材料产出!$N$2</f>
        <v>火龙凭证</v>
      </c>
      <c r="D2935" s="224">
        <f>参数调整!$K$34*怪物掉落配置方案!$D4987</f>
        <v>16.237523433145871</v>
      </c>
    </row>
    <row r="2936" spans="1:4" ht="16.5" hidden="1" x14ac:dyDescent="0.3">
      <c r="A2936" s="10" t="str">
        <f>基本属性!$B$21&amp;"|"&amp;基本属性!$C$21</f>
        <v>200|11</v>
      </c>
      <c r="B2936" s="10" t="str">
        <f>参数调整!$J$34</f>
        <v>首领掉落</v>
      </c>
      <c r="C2936" s="8" t="str">
        <f>材料产出!$N$2</f>
        <v>火龙凭证</v>
      </c>
      <c r="D2936" s="224">
        <f>参数调整!$K$34*怪物掉落配置方案!$D4988</f>
        <v>18.764488017429191</v>
      </c>
    </row>
    <row r="2937" spans="1:4" ht="16.5" hidden="1" x14ac:dyDescent="0.3">
      <c r="A2937" s="10" t="str">
        <f>基本属性!$B$22&amp;"|"&amp;基本属性!$C$22</f>
        <v>210|12</v>
      </c>
      <c r="B2937" s="10" t="str">
        <f>参数调整!$J$34</f>
        <v>首领掉落</v>
      </c>
      <c r="C2937" s="8" t="str">
        <f>材料产出!$N$2</f>
        <v>火龙凭证</v>
      </c>
      <c r="D2937" s="224">
        <f>参数调整!$K$34*怪物掉落配置方案!$D4989</f>
        <v>21.474124740335405</v>
      </c>
    </row>
    <row r="2938" spans="1:4" ht="16.5" hidden="1" x14ac:dyDescent="0.3">
      <c r="A2938" s="10" t="str">
        <f>基本属性!$B$23&amp;"|"&amp;基本属性!$C$23</f>
        <v>210|13</v>
      </c>
      <c r="B2938" s="10" t="str">
        <f>参数调整!$J$34</f>
        <v>首领掉落</v>
      </c>
      <c r="C2938" s="8" t="str">
        <f>材料产出!$N$2</f>
        <v>火龙凭证</v>
      </c>
      <c r="D2938" s="224">
        <f>参数调整!$K$34*怪物掉落配置方案!$D4990</f>
        <v>24.366433601864522</v>
      </c>
    </row>
    <row r="2939" spans="1:4" ht="16.5" hidden="1" x14ac:dyDescent="0.3">
      <c r="A2939" s="10" t="str">
        <f>基本属性!$B$24&amp;"|"&amp;基本属性!$C$24</f>
        <v>220|14</v>
      </c>
      <c r="B2939" s="10" t="str">
        <f>参数调整!$J$34</f>
        <v>首领掉落</v>
      </c>
      <c r="C2939" s="8" t="str">
        <f>材料产出!$N$2</f>
        <v>火龙凭证</v>
      </c>
      <c r="D2939" s="224">
        <f>参数调整!$K$34*怪物掉落配置方案!$D4991</f>
        <v>27.441414602016518</v>
      </c>
    </row>
    <row r="2940" spans="1:4" ht="16.5" hidden="1" x14ac:dyDescent="0.3">
      <c r="A2940" s="10" t="str">
        <f>基本属性!$B$25&amp;"|"&amp;基本属性!$C$25</f>
        <v>220|15</v>
      </c>
      <c r="B2940" s="10" t="str">
        <f>参数调整!$J$34</f>
        <v>首领掉落</v>
      </c>
      <c r="C2940" s="8" t="str">
        <f>材料产出!$N$2</f>
        <v>火龙凭证</v>
      </c>
      <c r="D2940" s="224">
        <f>参数调整!$K$34*怪物掉落配置方案!$D4992</f>
        <v>30.699067740791403</v>
      </c>
    </row>
    <row r="2941" spans="1:4" ht="16.5" hidden="1" x14ac:dyDescent="0.3">
      <c r="A2941" s="10" t="str">
        <f>基本属性!$B$26&amp;"|"&amp;基本属性!$C$26</f>
        <v>230|16</v>
      </c>
      <c r="B2941" s="10" t="str">
        <f>参数调整!$J$34</f>
        <v>首领掉落</v>
      </c>
      <c r="C2941" s="8" t="str">
        <f>材料产出!$N$2</f>
        <v>火龙凭证</v>
      </c>
      <c r="D2941" s="224">
        <f>参数调整!$K$34*怪物掉落配置方案!$D4993</f>
        <v>34.139393018189189</v>
      </c>
    </row>
    <row r="2942" spans="1:4" ht="16.5" hidden="1" x14ac:dyDescent="0.3">
      <c r="A2942" s="10" t="str">
        <f>基本属性!$B$27&amp;"|"&amp;基本属性!$C$27</f>
        <v>230|17</v>
      </c>
      <c r="B2942" s="10" t="str">
        <f>参数调整!$J$34</f>
        <v>首领掉落</v>
      </c>
      <c r="C2942" s="8" t="str">
        <f>材料产出!$N$2</f>
        <v>火龙凭证</v>
      </c>
      <c r="D2942" s="224">
        <f>参数调整!$K$34*怪物掉落配置方案!$D4994</f>
        <v>37.762390434209856</v>
      </c>
    </row>
    <row r="2943" spans="1:4" ht="16.5" hidden="1" x14ac:dyDescent="0.3">
      <c r="A2943" s="10" t="str">
        <f>基本属性!$B$28&amp;"|"&amp;基本属性!$C$28</f>
        <v>240|18</v>
      </c>
      <c r="B2943" s="10" t="str">
        <f>参数调整!$J$34</f>
        <v>首领掉落</v>
      </c>
      <c r="C2943" s="8" t="str">
        <f>材料产出!$N$2</f>
        <v>火龙凭证</v>
      </c>
      <c r="D2943" s="224">
        <f>参数调整!$K$34*怪物掉落配置方案!$D4995</f>
        <v>41.568059988853427</v>
      </c>
    </row>
    <row r="2944" spans="1:4" ht="16.5" hidden="1" x14ac:dyDescent="0.3">
      <c r="A2944" s="10" t="str">
        <f>基本属性!$B$29&amp;"|"&amp;基本属性!$C$29</f>
        <v>240|19</v>
      </c>
      <c r="B2944" s="10" t="str">
        <f>参数调整!$J$34</f>
        <v>首领掉落</v>
      </c>
      <c r="C2944" s="8" t="str">
        <f>材料产出!$N$2</f>
        <v>火龙凭证</v>
      </c>
      <c r="D2944" s="224">
        <f>参数调整!$K$34*怪物掉落配置方案!$D4996</f>
        <v>45.556401682119876</v>
      </c>
    </row>
    <row r="2945" spans="1:4" ht="16.5" hidden="1" x14ac:dyDescent="0.3">
      <c r="A2945" s="10" t="str">
        <f>基本属性!$B$30&amp;"|"&amp;基本属性!$C$30</f>
        <v>250|20</v>
      </c>
      <c r="B2945" s="10" t="str">
        <f>参数调整!$J$34</f>
        <v>首领掉落</v>
      </c>
      <c r="C2945" s="8" t="str">
        <f>材料产出!$N$2</f>
        <v>火龙凭证</v>
      </c>
      <c r="D2945" s="224">
        <f>参数调整!$K$34*怪物掉落配置方案!$D4997</f>
        <v>49.727415514009209</v>
      </c>
    </row>
    <row r="2946" spans="1:4" ht="16.5" hidden="1" x14ac:dyDescent="0.3">
      <c r="A2946" s="10" t="str">
        <f>基本属性!$B$4&amp;"|"&amp;基本属性!$C$4</f>
        <v>35|0</v>
      </c>
      <c r="B2946" s="10" t="str">
        <f>参数调整!$J$34</f>
        <v>首领掉落</v>
      </c>
      <c r="C2946" s="8" t="str">
        <f>材料产出!$AR$2</f>
        <v>火龙精魄</v>
      </c>
      <c r="D2946" s="224">
        <f>参数调整!$K$34*怪物掉落配置方案!$D4998</f>
        <v>3.2466788833559822E-4</v>
      </c>
    </row>
    <row r="2947" spans="1:4" ht="16.5" hidden="1" x14ac:dyDescent="0.3">
      <c r="A2947" s="10" t="str">
        <f>基本属性!$B$5&amp;"|"&amp;基本属性!$C$5</f>
        <v>40|0</v>
      </c>
      <c r="B2947" s="10" t="str">
        <f>参数调整!$J$34</f>
        <v>首领掉落</v>
      </c>
      <c r="C2947" s="8" t="str">
        <f>材料产出!$AR$2</f>
        <v>火龙精魄</v>
      </c>
      <c r="D2947" s="224">
        <f>参数调整!$K$34*怪物掉落配置方案!$D4999</f>
        <v>4.1090779617474144E-4</v>
      </c>
    </row>
    <row r="2948" spans="1:4" ht="16.5" hidden="1" x14ac:dyDescent="0.3">
      <c r="A2948" s="10" t="str">
        <f>基本属性!$B$6&amp;"|"&amp;基本属性!$C$6</f>
        <v>50|0</v>
      </c>
      <c r="B2948" s="10" t="str">
        <f>参数调整!$J$34</f>
        <v>首领掉落</v>
      </c>
      <c r="C2948" s="8" t="str">
        <f>材料产出!$AR$2</f>
        <v>火龙精魄</v>
      </c>
      <c r="D2948" s="224">
        <f>参数调整!$K$34*怪物掉落配置方案!$D5000</f>
        <v>5.0729357552437211E-4</v>
      </c>
    </row>
    <row r="2949" spans="1:4" ht="16.5" hidden="1" x14ac:dyDescent="0.3">
      <c r="A2949" s="10" t="str">
        <f>基本属性!$B$7&amp;"|"&amp;基本属性!$C$7</f>
        <v>60|0</v>
      </c>
      <c r="B2949" s="10" t="str">
        <f>参数调整!$J$34</f>
        <v>首领掉落</v>
      </c>
      <c r="C2949" s="8" t="str">
        <f>材料产出!$AR$2</f>
        <v>火龙精魄</v>
      </c>
      <c r="D2949" s="224">
        <f>参数调整!$K$34*怪物掉落配置方案!$D5001</f>
        <v>6.138252263844905E-4</v>
      </c>
    </row>
    <row r="2950" spans="1:4" ht="16.5" hidden="1" x14ac:dyDescent="0.3">
      <c r="A2950" s="10" t="str">
        <f>基本属性!$B$8&amp;"|"&amp;基本属性!$C$8</f>
        <v>65|0</v>
      </c>
      <c r="B2950" s="10" t="str">
        <f>参数调整!$J$34</f>
        <v>首领掉落</v>
      </c>
      <c r="C2950" s="8" t="str">
        <f>材料产出!$AR$2</f>
        <v>火龙精魄</v>
      </c>
      <c r="D2950" s="224">
        <f>参数调整!$K$34*怪物掉落配置方案!$D5002</f>
        <v>7.3050274875509586E-4</v>
      </c>
    </row>
    <row r="2951" spans="1:4" ht="16.5" hidden="1" x14ac:dyDescent="0.3">
      <c r="A2951" s="10" t="str">
        <f>基本属性!$B$9&amp;"|"&amp;基本属性!$C$9</f>
        <v>70|0</v>
      </c>
      <c r="B2951" s="10" t="str">
        <f>参数调整!$J$34</f>
        <v>首领掉落</v>
      </c>
      <c r="C2951" s="8" t="str">
        <f>材料产出!$AR$2</f>
        <v>火龙精魄</v>
      </c>
      <c r="D2951" s="224">
        <f>参数调整!$K$34*怪物掉落配置方案!$D5003</f>
        <v>8.5732614263618894E-4</v>
      </c>
    </row>
    <row r="2952" spans="1:4" ht="16.5" hidden="1" x14ac:dyDescent="0.3">
      <c r="A2952" s="10" t="str">
        <f>基本属性!$B$10&amp;"|"&amp;基本属性!$C$10</f>
        <v>75|0</v>
      </c>
      <c r="B2952" s="10" t="str">
        <f>参数调整!$J$34</f>
        <v>首领掉落</v>
      </c>
      <c r="C2952" s="8" t="str">
        <f>材料产出!$AR$2</f>
        <v>火龙精魄</v>
      </c>
      <c r="D2952" s="224">
        <f>参数调整!$K$34*怪物掉落配置方案!$D5004</f>
        <v>9.942954080277692E-4</v>
      </c>
    </row>
    <row r="2953" spans="1:4" ht="16.5" hidden="1" x14ac:dyDescent="0.3">
      <c r="A2953" s="10" t="str">
        <f>基本属性!$B$11&amp;"|"&amp;基本属性!$C$11</f>
        <v>80|1</v>
      </c>
      <c r="B2953" s="10" t="str">
        <f>参数调整!$J$34</f>
        <v>首领掉落</v>
      </c>
      <c r="C2953" s="8" t="str">
        <f>材料产出!$AR$2</f>
        <v>火龙精魄</v>
      </c>
      <c r="D2953" s="224">
        <f>参数调整!$K$34*怪物掉落配置方案!$D5005</f>
        <v>1.1414105449298372E-3</v>
      </c>
    </row>
    <row r="2954" spans="1:4" ht="16.5" hidden="1" x14ac:dyDescent="0.3">
      <c r="A2954" s="10" t="str">
        <f>基本属性!$B$12&amp;"|"&amp;基本属性!$C$12</f>
        <v>90|2</v>
      </c>
      <c r="B2954" s="10" t="str">
        <f>参数调整!$J$34</f>
        <v>首领掉落</v>
      </c>
      <c r="C2954" s="8" t="str">
        <f>材料产出!$AR$2</f>
        <v>火龙精魄</v>
      </c>
      <c r="D2954" s="224">
        <f>参数调整!$K$34*怪物掉落配置方案!$D5006</f>
        <v>1.2986715533423929E-3</v>
      </c>
    </row>
    <row r="2955" spans="1:4" ht="16.5" hidden="1" x14ac:dyDescent="0.3">
      <c r="A2955" s="10" t="str">
        <f>基本属性!$B$13&amp;"|"&amp;基本属性!$C$13</f>
        <v>100|3</v>
      </c>
      <c r="B2955" s="10" t="str">
        <f>参数调整!$J$34</f>
        <v>首领掉落</v>
      </c>
      <c r="C2955" s="8" t="str">
        <f>材料产出!$AR$2</f>
        <v>火龙精魄</v>
      </c>
      <c r="D2955" s="224">
        <f>参数调整!$K$34*怪物掉落配置方案!$D5007</f>
        <v>1.6436311846989662E-3</v>
      </c>
    </row>
    <row r="2956" spans="1:4" ht="16.5" hidden="1" x14ac:dyDescent="0.3">
      <c r="A2956" s="10" t="str">
        <f>基本属性!$B$14&amp;"|"&amp;基本属性!$C$14</f>
        <v>105|4</v>
      </c>
      <c r="B2956" s="10" t="str">
        <f>参数调整!$J$34</f>
        <v>首领掉落</v>
      </c>
      <c r="C2956" s="8" t="str">
        <f>材料产出!$AR$2</f>
        <v>火龙精魄</v>
      </c>
      <c r="D2956" s="224">
        <f>参数调整!$K$34*怪物掉落配置方案!$D5008</f>
        <v>2.0291743020974884E-3</v>
      </c>
    </row>
    <row r="2957" spans="1:4" ht="16.5" hidden="1" x14ac:dyDescent="0.3">
      <c r="A2957" s="10" t="str">
        <f>基本属性!$B$15&amp;"|"&amp;基本属性!$C$15</f>
        <v>110|5</v>
      </c>
      <c r="B2957" s="10" t="str">
        <f>参数调整!$J$34</f>
        <v>首领掉落</v>
      </c>
      <c r="C2957" s="8" t="str">
        <f>材料产出!$AR$2</f>
        <v>火龙精魄</v>
      </c>
      <c r="D2957" s="224">
        <f>参数调整!$K$34*怪物掉落配置方案!$D5009</f>
        <v>2.455300905537962E-3</v>
      </c>
    </row>
    <row r="2958" spans="1:4" ht="16.5" hidden="1" x14ac:dyDescent="0.3">
      <c r="A2958" s="10" t="str">
        <f>基本属性!$B$16&amp;"|"&amp;基本属性!$C$16</f>
        <v>120|6</v>
      </c>
      <c r="B2958" s="10" t="str">
        <f>参数调整!$J$34</f>
        <v>首领掉落</v>
      </c>
      <c r="C2958" s="8" t="str">
        <f>材料产出!$AR$2</f>
        <v>火龙精魄</v>
      </c>
      <c r="D2958" s="224">
        <f>参数调整!$K$34*怪物掉落配置方案!$D5010</f>
        <v>3.1705848470273265E-3</v>
      </c>
    </row>
    <row r="2959" spans="1:4" ht="16.5" hidden="1" x14ac:dyDescent="0.3">
      <c r="A2959" s="10" t="str">
        <f>基本属性!$B$17&amp;"|"&amp;基本属性!$C$17</f>
        <v>135|7</v>
      </c>
      <c r="B2959" s="10" t="str">
        <f>参数调整!$J$34</f>
        <v>首领掉落</v>
      </c>
      <c r="C2959" s="8" t="str">
        <f>材料产出!$AR$2</f>
        <v>火龙精魄</v>
      </c>
      <c r="D2959" s="224">
        <f>参数调整!$K$34*怪物掉落配置方案!$D5011</f>
        <v>4.5656421797193487E-3</v>
      </c>
    </row>
    <row r="2960" spans="1:4" ht="16.5" hidden="1" x14ac:dyDescent="0.3">
      <c r="A2960" s="10" t="str">
        <f>基本属性!$B$18&amp;"|"&amp;基本属性!$C$18</f>
        <v>155|8</v>
      </c>
      <c r="B2960" s="10" t="str">
        <f>参数调整!$J$34</f>
        <v>首领掉落</v>
      </c>
      <c r="C2960" s="8" t="str">
        <f>材料产出!$AR$2</f>
        <v>火龙精魄</v>
      </c>
      <c r="D2960" s="224">
        <f>参数调整!$K$34*怪物掉落配置方案!$D5012</f>
        <v>6.2143463001735604E-3</v>
      </c>
    </row>
    <row r="2961" spans="1:4" ht="16.5" hidden="1" x14ac:dyDescent="0.3">
      <c r="A2961" s="10" t="str">
        <f>基本属性!$B$19&amp;"|"&amp;基本属性!$C$19</f>
        <v>190|9</v>
      </c>
      <c r="B2961" s="10" t="str">
        <f>参数调整!$J$34</f>
        <v>首领掉落</v>
      </c>
      <c r="C2961" s="8" t="str">
        <f>材料产出!$AR$2</f>
        <v>火龙精魄</v>
      </c>
      <c r="D2961" s="224">
        <f>参数调整!$K$34*怪物掉落配置方案!$D5013</f>
        <v>6.9448490489286549E-3</v>
      </c>
    </row>
    <row r="2962" spans="1:4" ht="16.5" hidden="1" x14ac:dyDescent="0.3">
      <c r="A2962" s="10" t="str">
        <f>基本属性!$B$20&amp;"|"&amp;基本属性!$C$20</f>
        <v>200|10</v>
      </c>
      <c r="B2962" s="10" t="str">
        <f>参数调整!$J$34</f>
        <v>首领掉落</v>
      </c>
      <c r="C2962" s="8" t="str">
        <f>材料产出!$AR$2</f>
        <v>火龙精魄</v>
      </c>
      <c r="D2962" s="224">
        <f>参数调整!$K$34*怪物掉落配置方案!$D5014</f>
        <v>8.1166972083899537E-3</v>
      </c>
    </row>
    <row r="2963" spans="1:4" ht="16.5" hidden="1" x14ac:dyDescent="0.3">
      <c r="A2963" s="10" t="str">
        <f>基本属性!$B$21&amp;"|"&amp;基本属性!$C$21</f>
        <v>200|11</v>
      </c>
      <c r="B2963" s="10" t="str">
        <f>参数调整!$J$34</f>
        <v>首领掉落</v>
      </c>
      <c r="C2963" s="8" t="str">
        <f>材料产出!$AR$2</f>
        <v>火龙精魄</v>
      </c>
      <c r="D2963" s="224">
        <f>参数调整!$K$34*怪物掉落配置方案!$D5015</f>
        <v>9.3798582114456401E-3</v>
      </c>
    </row>
    <row r="2964" spans="1:4" ht="16.5" hidden="1" x14ac:dyDescent="0.3">
      <c r="A2964" s="10" t="str">
        <f>基本属性!$B$22&amp;"|"&amp;基本属性!$C$22</f>
        <v>210|12</v>
      </c>
      <c r="B2964" s="10" t="str">
        <f>参数调整!$J$34</f>
        <v>首领掉落</v>
      </c>
      <c r="C2964" s="8" t="str">
        <f>材料产出!$AR$2</f>
        <v>火龙精魄</v>
      </c>
      <c r="D2964" s="224">
        <f>参数调整!$K$34*怪物掉落配置方案!$D5016</f>
        <v>1.0734332058095713E-2</v>
      </c>
    </row>
    <row r="2965" spans="1:4" ht="16.5" hidden="1" x14ac:dyDescent="0.3">
      <c r="A2965" s="10" t="str">
        <f>基本属性!$B$23&amp;"|"&amp;基本属性!$C$23</f>
        <v>210|13</v>
      </c>
      <c r="B2965" s="10" t="str">
        <f>参数调整!$J$34</f>
        <v>首领掉落</v>
      </c>
      <c r="C2965" s="8" t="str">
        <f>材料产出!$AR$2</f>
        <v>火龙精魄</v>
      </c>
      <c r="D2965" s="224">
        <f>参数调整!$K$34*怪物掉落配置方案!$D5017</f>
        <v>1.2180118748340178E-2</v>
      </c>
    </row>
    <row r="2966" spans="1:4" ht="16.5" hidden="1" x14ac:dyDescent="0.3">
      <c r="A2966" s="10" t="str">
        <f>基本属性!$B$24&amp;"|"&amp;基本属性!$C$24</f>
        <v>220|14</v>
      </c>
      <c r="B2966" s="10" t="str">
        <f>参数调整!$J$34</f>
        <v>首领掉落</v>
      </c>
      <c r="C2966" s="8" t="str">
        <f>材料产出!$AR$2</f>
        <v>火龙精魄</v>
      </c>
      <c r="D2966" s="224">
        <f>参数调整!$K$34*怪物掉落配置方案!$D5018</f>
        <v>1.3717218282179023E-2</v>
      </c>
    </row>
    <row r="2967" spans="1:4" ht="16.5" hidden="1" x14ac:dyDescent="0.3">
      <c r="A2967" s="10" t="str">
        <f>基本属性!$B$25&amp;"|"&amp;基本属性!$C$25</f>
        <v>220|15</v>
      </c>
      <c r="B2967" s="10" t="str">
        <f>参数调整!$J$34</f>
        <v>首领掉落</v>
      </c>
      <c r="C2967" s="8" t="str">
        <f>材料产出!$AR$2</f>
        <v>火龙精魄</v>
      </c>
      <c r="D2967" s="224">
        <f>参数调整!$K$34*怪物掉落配置方案!$D5019</f>
        <v>1.5345630659612254E-2</v>
      </c>
    </row>
    <row r="2968" spans="1:4" ht="16.5" hidden="1" x14ac:dyDescent="0.3">
      <c r="A2968" s="10" t="str">
        <f>基本属性!$B$26&amp;"|"&amp;基本属性!$C$26</f>
        <v>230|16</v>
      </c>
      <c r="B2968" s="10" t="str">
        <f>参数调整!$J$34</f>
        <v>首领掉落</v>
      </c>
      <c r="C2968" s="8" t="str">
        <f>材料产出!$AR$2</f>
        <v>火龙精魄</v>
      </c>
      <c r="D2968" s="224">
        <f>参数调整!$K$34*怪物掉落配置方案!$D5020</f>
        <v>1.7065355880639874E-2</v>
      </c>
    </row>
    <row r="2969" spans="1:4" ht="16.5" hidden="1" x14ac:dyDescent="0.3">
      <c r="A2969" s="10" t="str">
        <f>基本属性!$B$27&amp;"|"&amp;基本属性!$C$27</f>
        <v>230|17</v>
      </c>
      <c r="B2969" s="10" t="str">
        <f>参数调整!$J$34</f>
        <v>首领掉落</v>
      </c>
      <c r="C2969" s="8" t="str">
        <f>材料产出!$AR$2</f>
        <v>火龙精魄</v>
      </c>
      <c r="D2969" s="224">
        <f>参数调整!$K$34*怪物掉落配置方案!$D5021</f>
        <v>1.8876393945261884E-2</v>
      </c>
    </row>
    <row r="2970" spans="1:4" ht="16.5" hidden="1" x14ac:dyDescent="0.3">
      <c r="A2970" s="10" t="str">
        <f>基本属性!$B$28&amp;"|"&amp;基本属性!$C$28</f>
        <v>240|18</v>
      </c>
      <c r="B2970" s="10" t="str">
        <f>参数调整!$J$34</f>
        <v>首领掉落</v>
      </c>
      <c r="C2970" s="8" t="str">
        <f>材料产出!$AR$2</f>
        <v>火龙精魄</v>
      </c>
      <c r="D2970" s="224">
        <f>参数调整!$K$34*怪物掉落配置方案!$D5022</f>
        <v>2.0778744853478286E-2</v>
      </c>
    </row>
    <row r="2971" spans="1:4" ht="16.5" hidden="1" x14ac:dyDescent="0.3">
      <c r="A2971" s="10" t="str">
        <f>基本属性!$B$29&amp;"|"&amp;基本属性!$C$29</f>
        <v>240|19</v>
      </c>
      <c r="B2971" s="10" t="str">
        <f>参数调整!$J$34</f>
        <v>首领掉落</v>
      </c>
      <c r="C2971" s="8" t="str">
        <f>材料产出!$AR$2</f>
        <v>火龙精魄</v>
      </c>
      <c r="D2971" s="224">
        <f>参数调整!$K$34*怪物掉落配置方案!$D5023</f>
        <v>2.277240860528907E-2</v>
      </c>
    </row>
    <row r="2972" spans="1:4" ht="16.5" hidden="1" x14ac:dyDescent="0.3">
      <c r="A2972" s="10" t="str">
        <f>基本属性!$B$30&amp;"|"&amp;基本属性!$C$30</f>
        <v>250|20</v>
      </c>
      <c r="B2972" s="10" t="str">
        <f>参数调整!$J$34</f>
        <v>首领掉落</v>
      </c>
      <c r="C2972" s="8" t="str">
        <f>材料产出!$AR$2</f>
        <v>火龙精魄</v>
      </c>
      <c r="D2972" s="224">
        <f>参数调整!$K$34*怪物掉落配置方案!$D5024</f>
        <v>2.4857385200694231E-2</v>
      </c>
    </row>
    <row r="2973" spans="1:4" ht="16.5" hidden="1" x14ac:dyDescent="0.3">
      <c r="A2973" s="10" t="str">
        <f>基本属性!$B$4&amp;"|"&amp;基本属性!$C$4</f>
        <v>35|0</v>
      </c>
      <c r="B2973" s="10" t="str">
        <f>参数调整!$J$34</f>
        <v>首领掉落</v>
      </c>
      <c r="C2973" s="8" t="str">
        <f>材料产出!$L$2</f>
        <v>火龙币</v>
      </c>
      <c r="D2973" s="224">
        <f>参数调整!$K$34*怪物掉落配置方案!$D5025</f>
        <v>8.9283669292289494E-2</v>
      </c>
    </row>
    <row r="2974" spans="1:4" ht="16.5" hidden="1" x14ac:dyDescent="0.3">
      <c r="A2974" s="10" t="str">
        <f>基本属性!$B$5&amp;"|"&amp;基本属性!$C$5</f>
        <v>40|0</v>
      </c>
      <c r="B2974" s="10" t="str">
        <f>参数调整!$J$34</f>
        <v>首领掉落</v>
      </c>
      <c r="C2974" s="8" t="str">
        <f>材料产出!$L$2</f>
        <v>火龙币</v>
      </c>
      <c r="D2974" s="224">
        <f>参数调整!$K$34*怪物掉落配置方案!$D5026</f>
        <v>0.11299964394805388</v>
      </c>
    </row>
    <row r="2975" spans="1:4" ht="16.5" hidden="1" x14ac:dyDescent="0.3">
      <c r="A2975" s="10" t="str">
        <f>基本属性!$B$6&amp;"|"&amp;基本属性!$C$6</f>
        <v>50|0</v>
      </c>
      <c r="B2975" s="10" t="str">
        <f>参数调整!$J$34</f>
        <v>首领掉落</v>
      </c>
      <c r="C2975" s="8" t="str">
        <f>材料产出!$L$2</f>
        <v>火龙币</v>
      </c>
      <c r="D2975" s="224">
        <f>参数调整!$K$34*怪物掉落配置方案!$D5027</f>
        <v>0.13950573326920235</v>
      </c>
    </row>
    <row r="2976" spans="1:4" ht="16.5" hidden="1" x14ac:dyDescent="0.3">
      <c r="A2976" s="10" t="str">
        <f>基本属性!$B$7&amp;"|"&amp;基本属性!$C$7</f>
        <v>60|0</v>
      </c>
      <c r="B2976" s="10" t="str">
        <f>参数调整!$J$34</f>
        <v>首领掉落</v>
      </c>
      <c r="C2976" s="8" t="str">
        <f>材料产出!$L$2</f>
        <v>火龙币</v>
      </c>
      <c r="D2976" s="224">
        <f>参数调整!$K$34*怪物掉落配置方案!$D5028</f>
        <v>0.16880193725573484</v>
      </c>
    </row>
    <row r="2977" spans="1:4" ht="16.5" hidden="1" x14ac:dyDescent="0.3">
      <c r="A2977" s="10" t="str">
        <f>基本属性!$B$8&amp;"|"&amp;基本属性!$C$8</f>
        <v>65|0</v>
      </c>
      <c r="B2977" s="10" t="str">
        <f>参数调整!$J$34</f>
        <v>首领掉落</v>
      </c>
      <c r="C2977" s="8" t="str">
        <f>材料产出!$L$2</f>
        <v>火龙币</v>
      </c>
      <c r="D2977" s="224">
        <f>参数调整!$K$34*怪物掉落配置方案!$D5029</f>
        <v>0.20088825590765133</v>
      </c>
    </row>
    <row r="2978" spans="1:4" ht="16.5" hidden="1" x14ac:dyDescent="0.3">
      <c r="A2978" s="10" t="str">
        <f>基本属性!$B$9&amp;"|"&amp;基本属性!$C$9</f>
        <v>70|0</v>
      </c>
      <c r="B2978" s="10" t="str">
        <f>参数调整!$J$34</f>
        <v>首领掉落</v>
      </c>
      <c r="C2978" s="8" t="str">
        <f>材料产出!$L$2</f>
        <v>火龙币</v>
      </c>
      <c r="D2978" s="224">
        <f>参数调整!$K$34*怪物掉落配置方案!$D5030</f>
        <v>0.23576468922495192</v>
      </c>
    </row>
    <row r="2979" spans="1:4" ht="16.5" hidden="1" x14ac:dyDescent="0.3">
      <c r="A2979" s="10" t="str">
        <f>基本属性!$B$10&amp;"|"&amp;基本属性!$C$10</f>
        <v>75|0</v>
      </c>
      <c r="B2979" s="10" t="str">
        <f>参数调整!$J$34</f>
        <v>首领掉落</v>
      </c>
      <c r="C2979" s="8" t="str">
        <f>材料产出!$L$2</f>
        <v>火龙币</v>
      </c>
      <c r="D2979" s="224">
        <f>参数调整!$K$34*怪物掉落配置方案!$D5031</f>
        <v>0.27343123720763651</v>
      </c>
    </row>
    <row r="2980" spans="1:4" ht="16.5" hidden="1" x14ac:dyDescent="0.3">
      <c r="A2980" s="10" t="str">
        <f>基本属性!$B$11&amp;"|"&amp;基本属性!$C$11</f>
        <v>80|1</v>
      </c>
      <c r="B2980" s="10" t="str">
        <f>参数调整!$J$34</f>
        <v>首领掉落</v>
      </c>
      <c r="C2980" s="8" t="str">
        <f>材料产出!$L$2</f>
        <v>火龙币</v>
      </c>
      <c r="D2980" s="224">
        <f>参数调整!$K$34*怪物掉落配置方案!$D5032</f>
        <v>0.3138878998557052</v>
      </c>
    </row>
    <row r="2981" spans="1:4" ht="16.5" hidden="1" x14ac:dyDescent="0.3">
      <c r="A2981" s="10" t="str">
        <f>基本属性!$B$12&amp;"|"&amp;基本属性!$C$12</f>
        <v>90|2</v>
      </c>
      <c r="B2981" s="10" t="str">
        <f>参数调整!$J$34</f>
        <v>首领掉落</v>
      </c>
      <c r="C2981" s="8" t="str">
        <f>材料产出!$L$2</f>
        <v>火龙币</v>
      </c>
      <c r="D2981" s="224">
        <f>参数调整!$K$34*怪物掉落配置方案!$D5033</f>
        <v>0.35713467716915803</v>
      </c>
    </row>
    <row r="2982" spans="1:4" ht="16.5" hidden="1" x14ac:dyDescent="0.3">
      <c r="A2982" s="10" t="str">
        <f>基本属性!$B$13&amp;"|"&amp;基本属性!$C$13</f>
        <v>100|3</v>
      </c>
      <c r="B2982" s="10" t="str">
        <f>参数调整!$J$34</f>
        <v>首领掉落</v>
      </c>
      <c r="C2982" s="8" t="str">
        <f>材料产出!$L$2</f>
        <v>火龙币</v>
      </c>
      <c r="D2982" s="224">
        <f>参数调整!$K$34*怪物掉落配置方案!$D5034</f>
        <v>0.45199857579221564</v>
      </c>
    </row>
    <row r="2983" spans="1:4" ht="16.5" hidden="1" x14ac:dyDescent="0.3">
      <c r="A2983" s="10" t="str">
        <f>基本属性!$B$14&amp;"|"&amp;基本属性!$C$14</f>
        <v>105|4</v>
      </c>
      <c r="B2983" s="10" t="str">
        <f>参数调整!$J$34</f>
        <v>首领掉落</v>
      </c>
      <c r="C2983" s="8" t="str">
        <f>材料产出!$L$2</f>
        <v>火龙币</v>
      </c>
      <c r="D2983" s="224">
        <f>参数调整!$K$34*怪物掉落配置方案!$D5035</f>
        <v>0.55802293307680939</v>
      </c>
    </row>
    <row r="2984" spans="1:4" ht="16.5" hidden="1" x14ac:dyDescent="0.3">
      <c r="A2984" s="10" t="str">
        <f>基本属性!$B$15&amp;"|"&amp;基本属性!$C$15</f>
        <v>110|5</v>
      </c>
      <c r="B2984" s="10" t="str">
        <f>参数调整!$J$34</f>
        <v>首领掉落</v>
      </c>
      <c r="C2984" s="8" t="str">
        <f>材料产出!$L$2</f>
        <v>火龙币</v>
      </c>
      <c r="D2984" s="224">
        <f>参数调整!$K$34*怪物掉落配置方案!$D5036</f>
        <v>0.67520774902293934</v>
      </c>
    </row>
    <row r="2985" spans="1:4" ht="16.5" hidden="1" x14ac:dyDescent="0.3">
      <c r="A2985" s="10" t="str">
        <f>基本属性!$B$16&amp;"|"&amp;基本属性!$C$16</f>
        <v>120|6</v>
      </c>
      <c r="B2985" s="10" t="str">
        <f>参数调整!$J$34</f>
        <v>首领掉落</v>
      </c>
      <c r="C2985" s="8" t="str">
        <f>材料产出!$L$2</f>
        <v>火龙币</v>
      </c>
      <c r="D2985" s="224">
        <f>参数调整!$K$34*怪物掉落配置方案!$D5037</f>
        <v>0.8719108329325147</v>
      </c>
    </row>
    <row r="2986" spans="1:4" ht="16.5" hidden="1" x14ac:dyDescent="0.3">
      <c r="A2986" s="10" t="str">
        <f>基本属性!$B$17&amp;"|"&amp;基本属性!$C$17</f>
        <v>135|7</v>
      </c>
      <c r="B2986" s="10" t="str">
        <f>参数调整!$J$34</f>
        <v>首领掉落</v>
      </c>
      <c r="C2986" s="8" t="str">
        <f>材料产出!$L$2</f>
        <v>火龙币</v>
      </c>
      <c r="D2986" s="224">
        <f>参数调整!$K$34*怪物掉落配置方案!$D5038</f>
        <v>1.2555515994228208</v>
      </c>
    </row>
    <row r="2987" spans="1:4" ht="16.5" hidden="1" x14ac:dyDescent="0.3">
      <c r="A2987" s="10" t="str">
        <f>基本属性!$B$18&amp;"|"&amp;基本属性!$C$18</f>
        <v>155|8</v>
      </c>
      <c r="B2987" s="10" t="str">
        <f>参数调整!$J$34</f>
        <v>首领掉落</v>
      </c>
      <c r="C2987" s="8" t="str">
        <f>材料产出!$L$2</f>
        <v>火龙币</v>
      </c>
      <c r="D2987" s="224">
        <f>参数调整!$K$34*怪物掉落配置方案!$D5039</f>
        <v>1.7089452325477286</v>
      </c>
    </row>
    <row r="2988" spans="1:4" ht="16.5" hidden="1" x14ac:dyDescent="0.3">
      <c r="A2988" s="10" t="str">
        <f>基本属性!$B$19&amp;"|"&amp;基本属性!$C$19</f>
        <v>190|9</v>
      </c>
      <c r="B2988" s="10" t="str">
        <f>参数调整!$J$34</f>
        <v>首领掉落</v>
      </c>
      <c r="C2988" s="8" t="str">
        <f>材料产出!$L$2</f>
        <v>火龙币</v>
      </c>
      <c r="D2988" s="224">
        <f>参数调整!$K$34*怪物掉落配置方案!$D5040</f>
        <v>1.90983348845538</v>
      </c>
    </row>
    <row r="2989" spans="1:4" ht="16.5" hidden="1" x14ac:dyDescent="0.3">
      <c r="A2989" s="10" t="str">
        <f>基本属性!$B$20&amp;"|"&amp;基本属性!$C$20</f>
        <v>200|10</v>
      </c>
      <c r="B2989" s="10" t="str">
        <f>参数调整!$J$34</f>
        <v>首领掉落</v>
      </c>
      <c r="C2989" s="8" t="str">
        <f>材料产出!$L$2</f>
        <v>火龙币</v>
      </c>
      <c r="D2989" s="224">
        <f>参数调整!$K$34*怪物掉落配置方案!$D5041</f>
        <v>2.2320917323072376</v>
      </c>
    </row>
    <row r="2990" spans="1:4" ht="16.5" hidden="1" x14ac:dyDescent="0.3">
      <c r="A2990" s="10" t="str">
        <f>基本属性!$B$21&amp;"|"&amp;基本属性!$C$21</f>
        <v>200|11</v>
      </c>
      <c r="B2990" s="10" t="str">
        <f>参数调整!$J$34</f>
        <v>首领掉落</v>
      </c>
      <c r="C2990" s="8" t="str">
        <f>材料产出!$L$2</f>
        <v>火龙币</v>
      </c>
      <c r="D2990" s="224">
        <f>参数调整!$K$34*怪物掉落配置方案!$D5042</f>
        <v>2.5794610081475504</v>
      </c>
    </row>
    <row r="2991" spans="1:4" ht="16.5" hidden="1" x14ac:dyDescent="0.3">
      <c r="A2991" s="10" t="str">
        <f>基本属性!$B$22&amp;"|"&amp;基本属性!$C$22</f>
        <v>210|12</v>
      </c>
      <c r="B2991" s="10" t="str">
        <f>参数调整!$J$34</f>
        <v>首领掉落</v>
      </c>
      <c r="C2991" s="8" t="str">
        <f>材料产出!$L$2</f>
        <v>火龙币</v>
      </c>
      <c r="D2991" s="224">
        <f>参数调整!$K$34*怪物掉落配置方案!$D5043</f>
        <v>2.9519413159763208</v>
      </c>
    </row>
    <row r="2992" spans="1:4" ht="16.5" hidden="1" x14ac:dyDescent="0.3">
      <c r="A2992" s="10" t="str">
        <f>基本属性!$B$23&amp;"|"&amp;基本属性!$C$23</f>
        <v>210|13</v>
      </c>
      <c r="B2992" s="10" t="str">
        <f>参数调整!$J$34</f>
        <v>首领掉落</v>
      </c>
      <c r="C2992" s="8" t="str">
        <f>材料产出!$L$2</f>
        <v>火龙币</v>
      </c>
      <c r="D2992" s="224">
        <f>参数调整!$K$34*怪物掉落配置方案!$D5044</f>
        <v>3.3495326557935483</v>
      </c>
    </row>
    <row r="2993" spans="1:4" ht="16.5" hidden="1" x14ac:dyDescent="0.3">
      <c r="A2993" s="10" t="str">
        <f>基本属性!$B$24&amp;"|"&amp;基本属性!$C$24</f>
        <v>220|14</v>
      </c>
      <c r="B2993" s="10" t="str">
        <f>参数调整!$J$34</f>
        <v>首领掉落</v>
      </c>
      <c r="C2993" s="8" t="str">
        <f>材料产出!$L$2</f>
        <v>火龙币</v>
      </c>
      <c r="D2993" s="224">
        <f>参数调整!$K$34*怪物掉落配置方案!$D5045</f>
        <v>3.7722350275992316</v>
      </c>
    </row>
    <row r="2994" spans="1:4" ht="16.5" hidden="1" x14ac:dyDescent="0.3">
      <c r="A2994" s="10" t="str">
        <f>基本属性!$B$25&amp;"|"&amp;基本属性!$C$25</f>
        <v>220|15</v>
      </c>
      <c r="B2994" s="10" t="str">
        <f>参数调整!$J$34</f>
        <v>首领掉落</v>
      </c>
      <c r="C2994" s="8" t="str">
        <f>材料产出!$L$2</f>
        <v>火龙币</v>
      </c>
      <c r="D2994" s="224">
        <f>参数调整!$K$34*怪物掉落配置方案!$D5046</f>
        <v>4.2200484313933702</v>
      </c>
    </row>
    <row r="2995" spans="1:4" ht="16.5" hidden="1" x14ac:dyDescent="0.3">
      <c r="A2995" s="10" t="str">
        <f>基本属性!$B$26&amp;"|"&amp;基本属性!$C$26</f>
        <v>230|16</v>
      </c>
      <c r="B2995" s="10" t="str">
        <f>参数调整!$J$34</f>
        <v>首领掉落</v>
      </c>
      <c r="C2995" s="8" t="str">
        <f>材料产出!$L$2</f>
        <v>火龙币</v>
      </c>
      <c r="D2995" s="224">
        <f>参数调整!$K$34*怪物掉落配置方案!$D5047</f>
        <v>4.6929728671759658</v>
      </c>
    </row>
    <row r="2996" spans="1:4" ht="16.5" hidden="1" x14ac:dyDescent="0.3">
      <c r="A2996" s="10" t="str">
        <f>基本属性!$B$27&amp;"|"&amp;基本属性!$C$27</f>
        <v>230|17</v>
      </c>
      <c r="B2996" s="10" t="str">
        <f>参数调整!$J$34</f>
        <v>首领掉落</v>
      </c>
      <c r="C2996" s="8" t="str">
        <f>材料产出!$L$2</f>
        <v>火龙币</v>
      </c>
      <c r="D2996" s="224">
        <f>参数调整!$K$34*怪物掉落配置方案!$D5048</f>
        <v>5.1910083349470177</v>
      </c>
    </row>
    <row r="2997" spans="1:4" ht="16.5" hidden="1" x14ac:dyDescent="0.3">
      <c r="A2997" s="10" t="str">
        <f>基本属性!$B$28&amp;"|"&amp;基本属性!$C$28</f>
        <v>240|18</v>
      </c>
      <c r="B2997" s="10" t="str">
        <f>参数调整!$J$34</f>
        <v>首领掉落</v>
      </c>
      <c r="C2997" s="8" t="str">
        <f>材料产出!$L$2</f>
        <v>火龙币</v>
      </c>
      <c r="D2997" s="224">
        <f>参数调整!$K$34*怪物掉落配置方案!$D5049</f>
        <v>5.7141548347065276</v>
      </c>
    </row>
    <row r="2998" spans="1:4" ht="16.5" hidden="1" x14ac:dyDescent="0.3">
      <c r="A2998" s="10" t="str">
        <f>基本属性!$B$29&amp;"|"&amp;基本属性!$C$29</f>
        <v>240|19</v>
      </c>
      <c r="B2998" s="10" t="str">
        <f>参数调整!$J$34</f>
        <v>首领掉落</v>
      </c>
      <c r="C2998" s="8" t="str">
        <f>材料产出!$L$2</f>
        <v>火龙币</v>
      </c>
      <c r="D2998" s="224">
        <f>参数调整!$K$34*怪物掉落配置方案!$D5050</f>
        <v>6.262412366454492</v>
      </c>
    </row>
    <row r="2999" spans="1:4" ht="16.5" hidden="1" x14ac:dyDescent="0.3">
      <c r="A2999" s="10" t="str">
        <f>基本属性!$B$30&amp;"|"&amp;基本属性!$C$30</f>
        <v>250|20</v>
      </c>
      <c r="B2999" s="10" t="str">
        <f>参数调整!$J$34</f>
        <v>首领掉落</v>
      </c>
      <c r="C2999" s="8" t="str">
        <f>材料产出!$L$2</f>
        <v>火龙币</v>
      </c>
      <c r="D2999" s="224">
        <f>参数调整!$K$34*怪物掉落配置方案!$D5051</f>
        <v>6.8357809301909125</v>
      </c>
    </row>
    <row r="3000" spans="1:4" ht="16.5" hidden="1" x14ac:dyDescent="0.3">
      <c r="A3000" s="10" t="str">
        <f>基本属性!$B$4&amp;"|"&amp;基本属性!$C$4</f>
        <v>35|0</v>
      </c>
      <c r="B3000" s="10" t="str">
        <f>参数调整!$J$34</f>
        <v>首领掉落</v>
      </c>
      <c r="C3000" s="8" t="str">
        <f>材料产出!$BD$2</f>
        <v>防具碎片</v>
      </c>
      <c r="D3000" s="224">
        <f>参数调整!$K$34*怪物掉落配置方案!$D5052</f>
        <v>3.2466788833559815E-3</v>
      </c>
    </row>
    <row r="3001" spans="1:4" ht="16.5" hidden="1" x14ac:dyDescent="0.3">
      <c r="A3001" s="10" t="str">
        <f>基本属性!$B$5&amp;"|"&amp;基本属性!$C$5</f>
        <v>40|0</v>
      </c>
      <c r="B3001" s="10" t="str">
        <f>参数调整!$J$34</f>
        <v>首领掉落</v>
      </c>
      <c r="C3001" s="8" t="str">
        <f>材料产出!$BD$2</f>
        <v>防具碎片</v>
      </c>
      <c r="D3001" s="224">
        <f>参数调整!$K$34*怪物掉落配置方案!$D5053</f>
        <v>4.1090779617474144E-3</v>
      </c>
    </row>
    <row r="3002" spans="1:4" ht="16.5" hidden="1" x14ac:dyDescent="0.3">
      <c r="A3002" s="10" t="str">
        <f>基本属性!$B$6&amp;"|"&amp;基本属性!$C$6</f>
        <v>50|0</v>
      </c>
      <c r="B3002" s="10" t="str">
        <f>参数调整!$J$34</f>
        <v>首领掉落</v>
      </c>
      <c r="C3002" s="8" t="str">
        <f>材料产出!$BD$2</f>
        <v>防具碎片</v>
      </c>
      <c r="D3002" s="224">
        <f>参数调整!$K$34*怪物掉落配置方案!$D5054</f>
        <v>5.0729357552437215E-3</v>
      </c>
    </row>
    <row r="3003" spans="1:4" ht="16.5" hidden="1" x14ac:dyDescent="0.3">
      <c r="A3003" s="10" t="str">
        <f>基本属性!$B$7&amp;"|"&amp;基本属性!$C$7</f>
        <v>60|0</v>
      </c>
      <c r="B3003" s="10" t="str">
        <f>参数调整!$J$34</f>
        <v>首领掉落</v>
      </c>
      <c r="C3003" s="8" t="str">
        <f>材料产出!$BD$2</f>
        <v>防具碎片</v>
      </c>
      <c r="D3003" s="224">
        <f>参数调整!$K$34*怪物掉落配置方案!$D5055</f>
        <v>6.1382522638449028E-3</v>
      </c>
    </row>
    <row r="3004" spans="1:4" ht="16.5" hidden="1" x14ac:dyDescent="0.3">
      <c r="A3004" s="10" t="str">
        <f>基本属性!$B$8&amp;"|"&amp;基本属性!$C$8</f>
        <v>65|0</v>
      </c>
      <c r="B3004" s="10" t="str">
        <f>参数调整!$J$34</f>
        <v>首领掉落</v>
      </c>
      <c r="C3004" s="8" t="str">
        <f>材料产出!$BD$2</f>
        <v>防具碎片</v>
      </c>
      <c r="D3004" s="224">
        <f>参数调整!$K$34*怪物掉落配置方案!$D5056</f>
        <v>7.3050274875509592E-3</v>
      </c>
    </row>
    <row r="3005" spans="1:4" ht="16.5" hidden="1" x14ac:dyDescent="0.3">
      <c r="A3005" s="10" t="str">
        <f>基本属性!$B$9&amp;"|"&amp;基本属性!$C$9</f>
        <v>70|0</v>
      </c>
      <c r="B3005" s="10" t="str">
        <f>参数调整!$J$34</f>
        <v>首领掉落</v>
      </c>
      <c r="C3005" s="8" t="str">
        <f>材料产出!$BD$2</f>
        <v>防具碎片</v>
      </c>
      <c r="D3005" s="224">
        <f>参数调整!$K$34*怪物掉落配置方案!$D5057</f>
        <v>8.5732614263618889E-3</v>
      </c>
    </row>
    <row r="3006" spans="1:4" ht="16.5" hidden="1" x14ac:dyDescent="0.3">
      <c r="A3006" s="10" t="str">
        <f>基本属性!$B$10&amp;"|"&amp;基本属性!$C$10</f>
        <v>75|0</v>
      </c>
      <c r="B3006" s="10" t="str">
        <f>参数调整!$J$34</f>
        <v>首领掉落</v>
      </c>
      <c r="C3006" s="8" t="str">
        <f>材料产出!$BD$2</f>
        <v>防具碎片</v>
      </c>
      <c r="D3006" s="224">
        <f>参数调整!$K$34*怪物掉落配置方案!$D5058</f>
        <v>9.9429540802776929E-3</v>
      </c>
    </row>
    <row r="3007" spans="1:4" ht="16.5" hidden="1" x14ac:dyDescent="0.3">
      <c r="A3007" s="10" t="str">
        <f>基本属性!$B$11&amp;"|"&amp;基本属性!$C$11</f>
        <v>80|1</v>
      </c>
      <c r="B3007" s="10" t="str">
        <f>参数调整!$J$34</f>
        <v>首领掉落</v>
      </c>
      <c r="C3007" s="8" t="str">
        <f>材料产出!$BD$2</f>
        <v>防具碎片</v>
      </c>
      <c r="D3007" s="224">
        <f>参数调整!$K$34*怪物掉落配置方案!$D5059</f>
        <v>1.1414105449298372E-2</v>
      </c>
    </row>
    <row r="3008" spans="1:4" ht="16.5" hidden="1" x14ac:dyDescent="0.3">
      <c r="A3008" s="10" t="str">
        <f>基本属性!$B$12&amp;"|"&amp;基本属性!$C$12</f>
        <v>90|2</v>
      </c>
      <c r="B3008" s="10" t="str">
        <f>参数调整!$J$34</f>
        <v>首领掉落</v>
      </c>
      <c r="C3008" s="8" t="str">
        <f>材料产出!$BD$2</f>
        <v>防具碎片</v>
      </c>
      <c r="D3008" s="224">
        <f>参数调整!$K$34*怪物掉落配置方案!$D5060</f>
        <v>1.2986715533423929E-2</v>
      </c>
    </row>
    <row r="3009" spans="1:4" ht="16.5" hidden="1" x14ac:dyDescent="0.3">
      <c r="A3009" s="10" t="str">
        <f>基本属性!$B$13&amp;"|"&amp;基本属性!$C$13</f>
        <v>100|3</v>
      </c>
      <c r="B3009" s="10" t="str">
        <f>参数调整!$J$34</f>
        <v>首领掉落</v>
      </c>
      <c r="C3009" s="8" t="str">
        <f>材料产出!$BD$2</f>
        <v>防具碎片</v>
      </c>
      <c r="D3009" s="224">
        <f>参数调整!$K$34*怪物掉落配置方案!$D5061</f>
        <v>1.6436311846989661E-2</v>
      </c>
    </row>
    <row r="3010" spans="1:4" ht="16.5" hidden="1" x14ac:dyDescent="0.3">
      <c r="A3010" s="10" t="str">
        <f>基本属性!$B$14&amp;"|"&amp;基本属性!$C$14</f>
        <v>105|4</v>
      </c>
      <c r="B3010" s="10" t="str">
        <f>参数调整!$J$34</f>
        <v>首领掉落</v>
      </c>
      <c r="C3010" s="8" t="str">
        <f>材料产出!$BD$2</f>
        <v>防具碎片</v>
      </c>
      <c r="D3010" s="224">
        <f>参数调整!$K$34*怪物掉落配置方案!$D5062</f>
        <v>2.0291743020974886E-2</v>
      </c>
    </row>
    <row r="3011" spans="1:4" ht="16.5" hidden="1" x14ac:dyDescent="0.3">
      <c r="A3011" s="10" t="str">
        <f>基本属性!$B$15&amp;"|"&amp;基本属性!$C$15</f>
        <v>110|5</v>
      </c>
      <c r="B3011" s="10" t="str">
        <f>参数调整!$J$34</f>
        <v>首领掉落</v>
      </c>
      <c r="C3011" s="8" t="str">
        <f>材料产出!$BD$2</f>
        <v>防具碎片</v>
      </c>
      <c r="D3011" s="224">
        <f>参数调整!$K$34*怪物掉落配置方案!$D5063</f>
        <v>2.4553009055379618E-2</v>
      </c>
    </row>
    <row r="3012" spans="1:4" ht="16.5" hidden="1" x14ac:dyDescent="0.3">
      <c r="A3012" s="10" t="str">
        <f>基本属性!$B$16&amp;"|"&amp;基本属性!$C$16</f>
        <v>120|6</v>
      </c>
      <c r="B3012" s="10" t="str">
        <f>参数调整!$J$34</f>
        <v>首领掉落</v>
      </c>
      <c r="C3012" s="8" t="str">
        <f>材料产出!$BD$2</f>
        <v>防具碎片</v>
      </c>
      <c r="D3012" s="224">
        <f>参数调整!$K$34*怪物掉落配置方案!$D5064</f>
        <v>3.1705848470273267E-2</v>
      </c>
    </row>
    <row r="3013" spans="1:4" ht="16.5" hidden="1" x14ac:dyDescent="0.3">
      <c r="A3013" s="10" t="str">
        <f>基本属性!$B$17&amp;"|"&amp;基本属性!$C$17</f>
        <v>135|7</v>
      </c>
      <c r="B3013" s="10" t="str">
        <f>参数调整!$J$34</f>
        <v>首领掉落</v>
      </c>
      <c r="C3013" s="8" t="str">
        <f>材料产出!$BD$2</f>
        <v>防具碎片</v>
      </c>
      <c r="D3013" s="224">
        <f>参数调整!$K$34*怪物掉落配置方案!$D5065</f>
        <v>4.5656421797193487E-2</v>
      </c>
    </row>
    <row r="3014" spans="1:4" ht="16.5" hidden="1" x14ac:dyDescent="0.3">
      <c r="A3014" s="10" t="str">
        <f>基本属性!$B$18&amp;"|"&amp;基本属性!$C$18</f>
        <v>155|8</v>
      </c>
      <c r="B3014" s="10" t="str">
        <f>参数调整!$J$34</f>
        <v>首领掉落</v>
      </c>
      <c r="C3014" s="8" t="str">
        <f>材料产出!$BD$2</f>
        <v>防具碎片</v>
      </c>
      <c r="D3014" s="224">
        <f>参数调整!$K$34*怪物掉落配置方案!$D5066</f>
        <v>6.2143463001735594E-2</v>
      </c>
    </row>
    <row r="3015" spans="1:4" ht="16.5" hidden="1" x14ac:dyDescent="0.3">
      <c r="A3015" s="10" t="str">
        <f>基本属性!$B$19&amp;"|"&amp;基本属性!$C$19</f>
        <v>190|9</v>
      </c>
      <c r="B3015" s="10" t="str">
        <f>参数调整!$J$34</f>
        <v>首领掉落</v>
      </c>
      <c r="C3015" s="8" t="str">
        <f>材料产出!$BD$2</f>
        <v>防具碎片</v>
      </c>
      <c r="D3015" s="224">
        <f>参数调整!$K$34*怪物掉落配置方案!$D5067</f>
        <v>6.9448490489286543E-2</v>
      </c>
    </row>
    <row r="3016" spans="1:4" ht="16.5" hidden="1" x14ac:dyDescent="0.3">
      <c r="A3016" s="10" t="str">
        <f>基本属性!$B$20&amp;"|"&amp;基本属性!$C$20</f>
        <v>200|10</v>
      </c>
      <c r="B3016" s="10" t="str">
        <f>参数调整!$J$34</f>
        <v>首领掉落</v>
      </c>
      <c r="C3016" s="8" t="str">
        <f>材料产出!$BD$2</f>
        <v>防具碎片</v>
      </c>
      <c r="D3016" s="224">
        <f>参数调整!$K$34*怪物掉落配置方案!$D5068</f>
        <v>8.1166972083899544E-2</v>
      </c>
    </row>
    <row r="3017" spans="1:4" ht="16.5" hidden="1" x14ac:dyDescent="0.3">
      <c r="A3017" s="10" t="str">
        <f>基本属性!$B$21&amp;"|"&amp;基本属性!$C$21</f>
        <v>200|11</v>
      </c>
      <c r="B3017" s="10" t="str">
        <f>参数调整!$J$34</f>
        <v>首领掉落</v>
      </c>
      <c r="C3017" s="8" t="str">
        <f>材料产出!$BD$2</f>
        <v>防具碎片</v>
      </c>
      <c r="D3017" s="224">
        <f>参数调整!$K$34*怪物掉落配置方案!$D5069</f>
        <v>9.379858211445638E-2</v>
      </c>
    </row>
    <row r="3018" spans="1:4" ht="16.5" hidden="1" x14ac:dyDescent="0.3">
      <c r="A3018" s="10" t="str">
        <f>基本属性!$B$22&amp;"|"&amp;基本属性!$C$22</f>
        <v>210|12</v>
      </c>
      <c r="B3018" s="10" t="str">
        <f>参数调整!$J$34</f>
        <v>首领掉落</v>
      </c>
      <c r="C3018" s="8" t="str">
        <f>材料产出!$BD$2</f>
        <v>防具碎片</v>
      </c>
      <c r="D3018" s="224">
        <f>参数调整!$K$34*怪物掉落配置方案!$D5070</f>
        <v>0.10734332058095711</v>
      </c>
    </row>
    <row r="3019" spans="1:4" ht="16.5" hidden="1" x14ac:dyDescent="0.3">
      <c r="A3019" s="10" t="str">
        <f>基本属性!$B$23&amp;"|"&amp;基本属性!$C$23</f>
        <v>210|13</v>
      </c>
      <c r="B3019" s="10" t="str">
        <f>参数调整!$J$34</f>
        <v>首领掉落</v>
      </c>
      <c r="C3019" s="8" t="str">
        <f>材料产出!$BD$2</f>
        <v>防具碎片</v>
      </c>
      <c r="D3019" s="224">
        <f>参数调整!$K$34*怪物掉落配置方案!$D5071</f>
        <v>0.12180118748340177</v>
      </c>
    </row>
    <row r="3020" spans="1:4" ht="16.5" hidden="1" x14ac:dyDescent="0.3">
      <c r="A3020" s="10" t="str">
        <f>基本属性!$B$24&amp;"|"&amp;基本属性!$C$24</f>
        <v>220|14</v>
      </c>
      <c r="B3020" s="10" t="str">
        <f>参数调整!$J$34</f>
        <v>首领掉落</v>
      </c>
      <c r="C3020" s="8" t="str">
        <f>材料产出!$BD$2</f>
        <v>防具碎片</v>
      </c>
      <c r="D3020" s="224">
        <f>参数调整!$K$34*怪物掉落配置方案!$D5072</f>
        <v>0.13717218282179022</v>
      </c>
    </row>
    <row r="3021" spans="1:4" ht="16.5" hidden="1" x14ac:dyDescent="0.3">
      <c r="A3021" s="10" t="str">
        <f>基本属性!$B$25&amp;"|"&amp;基本属性!$C$25</f>
        <v>220|15</v>
      </c>
      <c r="B3021" s="10" t="str">
        <f>参数调整!$J$34</f>
        <v>首领掉落</v>
      </c>
      <c r="C3021" s="8" t="str">
        <f>材料产出!$BD$2</f>
        <v>防具碎片</v>
      </c>
      <c r="D3021" s="224">
        <f>参数调整!$K$34*怪物掉落配置方案!$D5073</f>
        <v>0.15345630659612253</v>
      </c>
    </row>
    <row r="3022" spans="1:4" ht="16.5" hidden="1" x14ac:dyDescent="0.3">
      <c r="A3022" s="10" t="str">
        <f>基本属性!$B$26&amp;"|"&amp;基本属性!$C$26</f>
        <v>230|16</v>
      </c>
      <c r="B3022" s="10" t="str">
        <f>参数调整!$J$34</f>
        <v>首领掉落</v>
      </c>
      <c r="C3022" s="8" t="str">
        <f>材料产出!$BD$2</f>
        <v>防具碎片</v>
      </c>
      <c r="D3022" s="224">
        <f>参数调整!$K$34*怪物掉落配置方案!$D5074</f>
        <v>0.17065355880639876</v>
      </c>
    </row>
    <row r="3023" spans="1:4" ht="16.5" hidden="1" x14ac:dyDescent="0.3">
      <c r="A3023" s="10" t="str">
        <f>基本属性!$B$27&amp;"|"&amp;基本属性!$C$27</f>
        <v>230|17</v>
      </c>
      <c r="B3023" s="10" t="str">
        <f>参数调整!$J$34</f>
        <v>首领掉落</v>
      </c>
      <c r="C3023" s="8" t="str">
        <f>材料产出!$BD$2</f>
        <v>防具碎片</v>
      </c>
      <c r="D3023" s="224">
        <f>参数调整!$K$34*怪物掉落配置方案!$D5075</f>
        <v>0.18876393945261885</v>
      </c>
    </row>
    <row r="3024" spans="1:4" ht="16.5" hidden="1" x14ac:dyDescent="0.3">
      <c r="A3024" s="10" t="str">
        <f>基本属性!$B$28&amp;"|"&amp;基本属性!$C$28</f>
        <v>240|18</v>
      </c>
      <c r="B3024" s="10" t="str">
        <f>参数调整!$J$34</f>
        <v>首领掉落</v>
      </c>
      <c r="C3024" s="8" t="str">
        <f>材料产出!$BD$2</f>
        <v>防具碎片</v>
      </c>
      <c r="D3024" s="224">
        <f>参数调整!$K$34*怪物掉落配置方案!$D5076</f>
        <v>0.20778744853478281</v>
      </c>
    </row>
    <row r="3025" spans="1:4" ht="16.5" hidden="1" x14ac:dyDescent="0.3">
      <c r="A3025" s="10" t="str">
        <f>基本属性!$B$29&amp;"|"&amp;基本属性!$C$29</f>
        <v>240|19</v>
      </c>
      <c r="B3025" s="10" t="str">
        <f>参数调整!$J$34</f>
        <v>首领掉落</v>
      </c>
      <c r="C3025" s="8" t="str">
        <f>材料产出!$BD$2</f>
        <v>防具碎片</v>
      </c>
      <c r="D3025" s="224">
        <f>参数调整!$K$34*怪物掉落配置方案!$D5077</f>
        <v>0.22772408605289066</v>
      </c>
    </row>
    <row r="3026" spans="1:4" ht="16.5" hidden="1" x14ac:dyDescent="0.3">
      <c r="A3026" s="10" t="str">
        <f>基本属性!$B$30&amp;"|"&amp;基本属性!$C$30</f>
        <v>250|20</v>
      </c>
      <c r="B3026" s="10" t="str">
        <f>参数调整!$J$34</f>
        <v>首领掉落</v>
      </c>
      <c r="C3026" s="8" t="str">
        <f>材料产出!$BD$2</f>
        <v>防具碎片</v>
      </c>
      <c r="D3026" s="224">
        <f>参数调整!$K$34*怪物掉落配置方案!$D5078</f>
        <v>0.24857385200694226</v>
      </c>
    </row>
    <row r="3027" spans="1:4" ht="16.5" hidden="1" x14ac:dyDescent="0.3">
      <c r="A3027" s="10" t="str">
        <f>基本属性!$B$4&amp;"|"&amp;基本属性!$C$4</f>
        <v>35|0</v>
      </c>
      <c r="B3027" s="10" t="str">
        <f>参数调整!$J$34</f>
        <v>首领掉落</v>
      </c>
      <c r="C3027" s="8" t="str">
        <f>材料产出!$AD$2</f>
        <v>凡品升星石</v>
      </c>
      <c r="D3027" s="224">
        <f>参数调整!$K$34*怪物掉落配置方案!$D5079</f>
        <v>0.45365042618120593</v>
      </c>
    </row>
    <row r="3028" spans="1:4" ht="16.5" hidden="1" x14ac:dyDescent="0.3">
      <c r="A3028" s="10" t="str">
        <f>基本属性!$B$5&amp;"|"&amp;基本属性!$C$5</f>
        <v>40|0</v>
      </c>
      <c r="B3028" s="10" t="str">
        <f>参数调整!$J$34</f>
        <v>首领掉落</v>
      </c>
      <c r="C3028" s="8" t="str">
        <f>材料产出!$AD$2</f>
        <v>凡品升星石</v>
      </c>
      <c r="D3028" s="224">
        <f>参数调整!$K$34*怪物掉落配置方案!$D5080</f>
        <v>0.57415132063558894</v>
      </c>
    </row>
    <row r="3029" spans="1:4" ht="16.5" hidden="1" x14ac:dyDescent="0.3">
      <c r="A3029" s="10" t="str">
        <f>基本属性!$B$6&amp;"|"&amp;基本属性!$C$6</f>
        <v>50|0</v>
      </c>
      <c r="B3029" s="10" t="str">
        <f>参数调整!$J$34</f>
        <v>首领掉落</v>
      </c>
      <c r="C3029" s="8" t="str">
        <f>材料产出!$AD$2</f>
        <v>凡品升星石</v>
      </c>
      <c r="D3029" s="224">
        <f>参数调整!$K$34*怪物掉落配置方案!$D5081</f>
        <v>0.70882879090813433</v>
      </c>
    </row>
    <row r="3030" spans="1:4" ht="16.5" hidden="1" x14ac:dyDescent="0.3">
      <c r="A3030" s="10" t="str">
        <f>基本属性!$B$7&amp;"|"&amp;基本属性!$C$7</f>
        <v>60|0</v>
      </c>
      <c r="B3030" s="10" t="str">
        <f>参数调整!$J$34</f>
        <v>首领掉落</v>
      </c>
      <c r="C3030" s="8" t="str">
        <f>材料产出!$AD$2</f>
        <v>凡品升星石</v>
      </c>
      <c r="D3030" s="224">
        <f>参数调整!$K$34*怪物掉落配置方案!$D5082</f>
        <v>0.85768283699884251</v>
      </c>
    </row>
    <row r="3031" spans="1:4" ht="16.5" hidden="1" x14ac:dyDescent="0.3">
      <c r="A3031" s="10" t="str">
        <f>基本属性!$B$8&amp;"|"&amp;基本属性!$C$8</f>
        <v>65|0</v>
      </c>
      <c r="B3031" s="10" t="str">
        <f>参数调整!$J$34</f>
        <v>首领掉落</v>
      </c>
      <c r="C3031" s="8" t="str">
        <f>材料产出!$AD$2</f>
        <v>凡品升星石</v>
      </c>
      <c r="D3031" s="224">
        <f>参数调整!$K$34*怪物掉落配置方案!$D5083</f>
        <v>1.0207134589077134</v>
      </c>
    </row>
    <row r="3032" spans="1:4" ht="16.5" hidden="1" x14ac:dyDescent="0.3">
      <c r="A3032" s="10" t="str">
        <f>基本属性!$B$9&amp;"|"&amp;基本属性!$C$9</f>
        <v>70|0</v>
      </c>
      <c r="B3032" s="10" t="str">
        <f>参数调整!$J$34</f>
        <v>首领掉落</v>
      </c>
      <c r="C3032" s="8" t="str">
        <f>材料产出!$AD$2</f>
        <v>凡品升星石</v>
      </c>
      <c r="D3032" s="224">
        <f>参数调整!$K$34*怪物掉落配置方案!$D5084</f>
        <v>1.1979206566347469</v>
      </c>
    </row>
    <row r="3033" spans="1:4" ht="16.5" hidden="1" x14ac:dyDescent="0.3">
      <c r="A3033" s="10" t="str">
        <f>基本属性!$B$10&amp;"|"&amp;基本属性!$C$10</f>
        <v>75|0</v>
      </c>
      <c r="B3033" s="10" t="str">
        <f>参数调整!$J$34</f>
        <v>首领掉落</v>
      </c>
      <c r="C3033" s="8" t="str">
        <f>材料产出!$AD$2</f>
        <v>凡品升星石</v>
      </c>
      <c r="D3033" s="224">
        <f>参数调整!$K$34*怪物掉落配置方案!$D5085</f>
        <v>1.3893044301799431</v>
      </c>
    </row>
    <row r="3034" spans="1:4" ht="16.5" hidden="1" x14ac:dyDescent="0.3">
      <c r="A3034" s="10" t="str">
        <f>基本属性!$B$11&amp;"|"&amp;基本属性!$C$11</f>
        <v>80|1</v>
      </c>
      <c r="B3034" s="10" t="str">
        <f>参数调整!$J$34</f>
        <v>首领掉落</v>
      </c>
      <c r="C3034" s="8" t="str">
        <f>材料产出!$AD$2</f>
        <v>凡品升星石</v>
      </c>
      <c r="D3034" s="224">
        <f>参数调整!$K$34*怪物掉落配置方案!$D5086</f>
        <v>1.5948647795433022</v>
      </c>
    </row>
    <row r="3035" spans="1:4" ht="16.5" hidden="1" x14ac:dyDescent="0.3">
      <c r="A3035" s="10" t="str">
        <f>基本属性!$B$12&amp;"|"&amp;基本属性!$C$12</f>
        <v>90|2</v>
      </c>
      <c r="B3035" s="10" t="str">
        <f>参数调整!$J$34</f>
        <v>首领掉落</v>
      </c>
      <c r="C3035" s="8" t="str">
        <f>材料产出!$AD$2</f>
        <v>凡品升星石</v>
      </c>
      <c r="D3035" s="224">
        <f>参数调整!$K$34*怪物掉落配置方案!$D5087</f>
        <v>1.8146017047248244</v>
      </c>
    </row>
    <row r="3036" spans="1:4" ht="16.5" hidden="1" x14ac:dyDescent="0.3">
      <c r="A3036" s="10" t="str">
        <f>基本属性!$B$13&amp;"|"&amp;基本属性!$C$13</f>
        <v>100|3</v>
      </c>
      <c r="B3036" s="10" t="str">
        <f>参数调整!$J$34</f>
        <v>首领掉落</v>
      </c>
      <c r="C3036" s="8" t="str">
        <f>材料产出!$AD$2</f>
        <v>凡品升星石</v>
      </c>
      <c r="D3036" s="224">
        <f>参数调整!$K$34*怪物掉落配置方案!$D5088</f>
        <v>2.2966052825423557</v>
      </c>
    </row>
    <row r="3037" spans="1:4" ht="16.5" hidden="1" x14ac:dyDescent="0.3">
      <c r="A3037" s="10" t="str">
        <f>基本属性!$B$14&amp;"|"&amp;基本属性!$C$14</f>
        <v>105|4</v>
      </c>
      <c r="B3037" s="10" t="str">
        <f>参数调整!$J$34</f>
        <v>首领掉落</v>
      </c>
      <c r="C3037" s="8" t="str">
        <f>材料产出!$AD$2</f>
        <v>凡品升星石</v>
      </c>
      <c r="D3037" s="224">
        <f>参数调整!$K$34*怪物掉落配置方案!$D5089</f>
        <v>2.8353151636325369</v>
      </c>
    </row>
    <row r="3038" spans="1:4" ht="16.5" hidden="1" x14ac:dyDescent="0.3">
      <c r="A3038" s="10" t="str">
        <f>基本属性!$B$15&amp;"|"&amp;基本属性!$C$15</f>
        <v>110|5</v>
      </c>
      <c r="B3038" s="10" t="str">
        <f>参数调整!$J$34</f>
        <v>首领掉落</v>
      </c>
      <c r="C3038" s="8" t="str">
        <f>材料产出!$AD$2</f>
        <v>凡品升星石</v>
      </c>
      <c r="D3038" s="224">
        <f>参数调整!$K$34*怪物掉落配置方案!$D5090</f>
        <v>3.4307313479953701</v>
      </c>
    </row>
    <row r="3039" spans="1:4" ht="16.5" hidden="1" x14ac:dyDescent="0.3">
      <c r="A3039" s="10" t="str">
        <f>基本属性!$B$16&amp;"|"&amp;基本属性!$C$16</f>
        <v>120|6</v>
      </c>
      <c r="B3039" s="10" t="str">
        <f>参数调整!$J$34</f>
        <v>首领掉落</v>
      </c>
      <c r="C3039" s="8" t="str">
        <f>材料产出!$AD$2</f>
        <v>凡品升星石</v>
      </c>
      <c r="D3039" s="224">
        <f>参数调整!$K$34*怪物掉落配置方案!$D5091</f>
        <v>4.4301799431758395</v>
      </c>
    </row>
    <row r="3040" spans="1:4" ht="16.5" hidden="1" x14ac:dyDescent="0.3">
      <c r="A3040" s="10" t="str">
        <f>基本属性!$B$17&amp;"|"&amp;基本属性!$C$17</f>
        <v>135|7</v>
      </c>
      <c r="B3040" s="10" t="str">
        <f>参数调整!$J$34</f>
        <v>首领掉落</v>
      </c>
      <c r="C3040" s="8" t="str">
        <f>材料产出!$AD$2</f>
        <v>凡品升星石</v>
      </c>
      <c r="D3040" s="224">
        <f>参数调整!$K$34*怪物掉落配置方案!$D5092</f>
        <v>6.3794591181732088</v>
      </c>
    </row>
    <row r="3041" spans="1:4" ht="16.5" hidden="1" x14ac:dyDescent="0.3">
      <c r="A3041" s="10" t="str">
        <f>基本属性!$B$18&amp;"|"&amp;基本属性!$C$18</f>
        <v>155|8</v>
      </c>
      <c r="B3041" s="10" t="str">
        <f>参数调整!$J$34</f>
        <v>首领掉落</v>
      </c>
      <c r="C3041" s="8" t="str">
        <f>材料产出!$AD$2</f>
        <v>凡品升星石</v>
      </c>
      <c r="D3041" s="224">
        <f>参数调整!$K$34*怪物掉落配置方案!$D5093</f>
        <v>8.6831526886246468</v>
      </c>
    </row>
    <row r="3042" spans="1:4" ht="16.5" hidden="1" x14ac:dyDescent="0.3">
      <c r="A3042" s="10" t="str">
        <f>基本属性!$B$19&amp;"|"&amp;基本属性!$C$19</f>
        <v>190|9</v>
      </c>
      <c r="B3042" s="10" t="str">
        <f>参数调整!$J$34</f>
        <v>首领掉落</v>
      </c>
      <c r="C3042" s="8" t="str">
        <f>材料产出!$AD$2</f>
        <v>凡品升星石</v>
      </c>
      <c r="D3042" s="224">
        <f>参数调整!$K$34*怪物掉落配置方案!$D5094</f>
        <v>9.7038661475323611</v>
      </c>
    </row>
    <row r="3043" spans="1:4" ht="16.5" hidden="1" x14ac:dyDescent="0.3">
      <c r="A3043" s="10" t="str">
        <f>基本属性!$B$20&amp;"|"&amp;基本属性!$C$20</f>
        <v>200|10</v>
      </c>
      <c r="B3043" s="10" t="str">
        <f>参数调整!$J$34</f>
        <v>首领掉落</v>
      </c>
      <c r="C3043" s="8" t="str">
        <f>材料产出!$AD$2</f>
        <v>凡品升星石</v>
      </c>
      <c r="D3043" s="224">
        <f>参数调整!$K$34*怪物掉落配置方案!$D5095</f>
        <v>11.341260654530148</v>
      </c>
    </row>
    <row r="3044" spans="1:4" ht="16.5" hidden="1" x14ac:dyDescent="0.3">
      <c r="A3044" s="10" t="str">
        <f>基本属性!$B$21&amp;"|"&amp;基本属性!$C$21</f>
        <v>200|11</v>
      </c>
      <c r="B3044" s="10" t="str">
        <f>参数调整!$J$34</f>
        <v>首领掉落</v>
      </c>
      <c r="C3044" s="8" t="str">
        <f>材料产出!$AD$2</f>
        <v>凡品升星石</v>
      </c>
      <c r="D3044" s="224">
        <f>参数调整!$K$34*怪物掉落配置方案!$D5096</f>
        <v>13.106244343891401</v>
      </c>
    </row>
    <row r="3045" spans="1:4" ht="16.5" hidden="1" x14ac:dyDescent="0.3">
      <c r="A3045" s="10" t="str">
        <f>基本属性!$B$22&amp;"|"&amp;基本属性!$C$22</f>
        <v>210|12</v>
      </c>
      <c r="B3045" s="10" t="str">
        <f>参数调整!$J$34</f>
        <v>首领掉落</v>
      </c>
      <c r="C3045" s="8" t="str">
        <f>材料产出!$AD$2</f>
        <v>凡品升星石</v>
      </c>
      <c r="D3045" s="224">
        <f>参数调整!$K$34*怪物掉落配置方案!$D5097</f>
        <v>14.998817215616119</v>
      </c>
    </row>
    <row r="3046" spans="1:4" ht="16.5" hidden="1" x14ac:dyDescent="0.3">
      <c r="A3046" s="10" t="str">
        <f>基本属性!$B$23&amp;"|"&amp;基本属性!$C$23</f>
        <v>210|13</v>
      </c>
      <c r="B3046" s="10" t="str">
        <f>参数调整!$J$34</f>
        <v>首领掉落</v>
      </c>
      <c r="C3046" s="8" t="str">
        <f>材料产出!$AD$2</f>
        <v>凡品升星石</v>
      </c>
      <c r="D3046" s="224">
        <f>参数调整!$K$34*怪物掉落配置方案!$D5098</f>
        <v>17.018979269704303</v>
      </c>
    </row>
    <row r="3047" spans="1:4" ht="16.5" hidden="1" x14ac:dyDescent="0.3">
      <c r="A3047" s="10" t="str">
        <f>基本属性!$B$24&amp;"|"&amp;基本属性!$C$24</f>
        <v>220|14</v>
      </c>
      <c r="B3047" s="10" t="str">
        <f>参数调整!$J$34</f>
        <v>首领掉落</v>
      </c>
      <c r="C3047" s="8" t="str">
        <f>材料产出!$AD$2</f>
        <v>凡品升星石</v>
      </c>
      <c r="D3047" s="224">
        <f>参数调整!$K$34*怪物掉落配置方案!$D5099</f>
        <v>19.166730506155954</v>
      </c>
    </row>
    <row r="3048" spans="1:4" ht="16.5" hidden="1" x14ac:dyDescent="0.3">
      <c r="A3048" s="10" t="str">
        <f>基本属性!$B$25&amp;"|"&amp;基本属性!$C$25</f>
        <v>220|15</v>
      </c>
      <c r="B3048" s="10" t="str">
        <f>参数调整!$J$34</f>
        <v>首领掉落</v>
      </c>
      <c r="C3048" s="8" t="str">
        <f>材料产出!$AD$2</f>
        <v>凡品升星石</v>
      </c>
      <c r="D3048" s="224">
        <f>参数调整!$K$34*怪物掉落配置方案!$D5100</f>
        <v>21.442070924971055</v>
      </c>
    </row>
    <row r="3049" spans="1:4" ht="16.5" hidden="1" x14ac:dyDescent="0.3">
      <c r="A3049" s="10" t="str">
        <f>基本属性!$B$26&amp;"|"&amp;基本属性!$C$26</f>
        <v>230|16</v>
      </c>
      <c r="B3049" s="10" t="str">
        <f>参数调整!$J$34</f>
        <v>首领掉落</v>
      </c>
      <c r="C3049" s="8" t="str">
        <f>材料产出!$AD$2</f>
        <v>凡品升星石</v>
      </c>
      <c r="D3049" s="224">
        <f>参数调整!$K$34*怪物掉落配置方案!$D5101</f>
        <v>23.845000526149636</v>
      </c>
    </row>
    <row r="3050" spans="1:4" ht="16.5" hidden="1" x14ac:dyDescent="0.3">
      <c r="A3050" s="10" t="str">
        <f>基本属性!$B$27&amp;"|"&amp;基本属性!$C$27</f>
        <v>230|17</v>
      </c>
      <c r="B3050" s="10" t="str">
        <f>参数调整!$J$34</f>
        <v>首领掉落</v>
      </c>
      <c r="C3050" s="8" t="str">
        <f>材料产出!$AD$2</f>
        <v>凡品升星石</v>
      </c>
      <c r="D3050" s="224">
        <f>参数调整!$K$34*怪物掉落配置方案!$D5102</f>
        <v>26.375519309691676</v>
      </c>
    </row>
    <row r="3051" spans="1:4" ht="16.5" hidden="1" x14ac:dyDescent="0.3">
      <c r="A3051" s="10" t="str">
        <f>基本属性!$B$28&amp;"|"&amp;基本属性!$C$28</f>
        <v>240|18</v>
      </c>
      <c r="B3051" s="10" t="str">
        <f>参数调整!$J$34</f>
        <v>首领掉落</v>
      </c>
      <c r="C3051" s="8" t="str">
        <f>材料产出!$AD$2</f>
        <v>凡品升星石</v>
      </c>
      <c r="D3051" s="224">
        <f>参数调整!$K$34*怪物掉落配置方案!$D5103</f>
        <v>29.033627275597183</v>
      </c>
    </row>
    <row r="3052" spans="1:4" ht="16.5" hidden="1" x14ac:dyDescent="0.3">
      <c r="A3052" s="10" t="str">
        <f>基本属性!$B$29&amp;"|"&amp;基本属性!$C$29</f>
        <v>240|19</v>
      </c>
      <c r="B3052" s="10" t="str">
        <f>参数调整!$J$34</f>
        <v>首领掉落</v>
      </c>
      <c r="C3052" s="8" t="str">
        <f>材料产出!$AD$2</f>
        <v>凡品升星石</v>
      </c>
      <c r="D3052" s="224">
        <f>参数调整!$K$34*怪物掉落配置方案!$D5104</f>
        <v>31.819324423866153</v>
      </c>
    </row>
    <row r="3053" spans="1:4" ht="16.5" hidden="1" x14ac:dyDescent="0.3">
      <c r="A3053" s="10" t="str">
        <f>基本属性!$B$30&amp;"|"&amp;基本属性!$C$30</f>
        <v>250|20</v>
      </c>
      <c r="B3053" s="10" t="str">
        <f>参数调整!$J$34</f>
        <v>首领掉落</v>
      </c>
      <c r="C3053" s="8" t="str">
        <f>材料产出!$AD$2</f>
        <v>凡品升星石</v>
      </c>
      <c r="D3053" s="224">
        <f>参数调整!$K$34*怪物掉落配置方案!$D5105</f>
        <v>34.73261075449858</v>
      </c>
    </row>
    <row r="3054" spans="1:4" ht="16.5" hidden="1" x14ac:dyDescent="0.3">
      <c r="A3054" s="10" t="str">
        <f>基本属性!$B$4&amp;"|"&amp;基本属性!$C$4</f>
        <v>35|0</v>
      </c>
      <c r="B3054" s="10" t="str">
        <f>参数调整!$J$34</f>
        <v>首领掉落</v>
      </c>
      <c r="C3054" s="8" t="str">
        <f>材料产出!$Z$2</f>
        <v>恶魔头颅</v>
      </c>
      <c r="D3054" s="224">
        <f>参数调整!$K$34*怪物掉落配置方案!$D5106</f>
        <v>5.9074343962982494E-2</v>
      </c>
    </row>
    <row r="3055" spans="1:4" ht="16.5" hidden="1" x14ac:dyDescent="0.3">
      <c r="A3055" s="10" t="str">
        <f>基本属性!$B$5&amp;"|"&amp;基本属性!$C$5</f>
        <v>40|0</v>
      </c>
      <c r="B3055" s="10" t="str">
        <f>参数调整!$J$34</f>
        <v>首领掉落</v>
      </c>
      <c r="C3055" s="8" t="str">
        <f>材料产出!$Z$2</f>
        <v>恶魔头颅</v>
      </c>
      <c r="D3055" s="224">
        <f>参数调整!$K$34*怪物掉落配置方案!$D5107</f>
        <v>7.4765966578149726E-2</v>
      </c>
    </row>
    <row r="3056" spans="1:4" ht="16.5" hidden="1" x14ac:dyDescent="0.3">
      <c r="A3056" s="10" t="str">
        <f>基本属性!$B$6&amp;"|"&amp;基本属性!$C$6</f>
        <v>50|0</v>
      </c>
      <c r="B3056" s="10" t="str">
        <f>参数调整!$J$34</f>
        <v>首领掉落</v>
      </c>
      <c r="C3056" s="8" t="str">
        <f>材料产出!$Z$2</f>
        <v>恶魔头颅</v>
      </c>
      <c r="D3056" s="224">
        <f>参数调整!$K$34*怪物掉落配置方案!$D5108</f>
        <v>9.230366244216015E-2</v>
      </c>
    </row>
    <row r="3057" spans="1:4" ht="16.5" hidden="1" x14ac:dyDescent="0.3">
      <c r="A3057" s="10" t="str">
        <f>基本属性!$B$7&amp;"|"&amp;基本属性!$C$7</f>
        <v>60|0</v>
      </c>
      <c r="B3057" s="10" t="str">
        <f>参数调整!$J$34</f>
        <v>首领掉落</v>
      </c>
      <c r="C3057" s="8" t="str">
        <f>材料产出!$Z$2</f>
        <v>恶魔头颅</v>
      </c>
      <c r="D3057" s="224">
        <f>参数调整!$K$34*怪物掉落配置方案!$D5109</f>
        <v>0.1116874315550138</v>
      </c>
    </row>
    <row r="3058" spans="1:4" ht="16.5" hidden="1" x14ac:dyDescent="0.3">
      <c r="A3058" s="10" t="str">
        <f>基本属性!$B$8&amp;"|"&amp;基本属性!$C$8</f>
        <v>65|0</v>
      </c>
      <c r="B3058" s="10" t="str">
        <f>参数调整!$J$34</f>
        <v>首领掉落</v>
      </c>
      <c r="C3058" s="8" t="str">
        <f>材料产出!$Z$2</f>
        <v>恶魔头颅</v>
      </c>
      <c r="D3058" s="224">
        <f>参数调整!$K$34*怪物掉落配置方案!$D5110</f>
        <v>0.13291727391671063</v>
      </c>
    </row>
    <row r="3059" spans="1:4" ht="16.5" hidden="1" x14ac:dyDescent="0.3">
      <c r="A3059" s="10" t="str">
        <f>基本属性!$B$9&amp;"|"&amp;基本属性!$C$9</f>
        <v>70|0</v>
      </c>
      <c r="B3059" s="10" t="str">
        <f>参数调整!$J$34</f>
        <v>首领掉落</v>
      </c>
      <c r="C3059" s="8" t="str">
        <f>材料产出!$Z$2</f>
        <v>恶魔头颅</v>
      </c>
      <c r="D3059" s="224">
        <f>参数调整!$K$34*怪物掉落配置方案!$D5111</f>
        <v>0.15599318952725066</v>
      </c>
    </row>
    <row r="3060" spans="1:4" ht="16.5" hidden="1" x14ac:dyDescent="0.3">
      <c r="A3060" s="10" t="str">
        <f>基本属性!$B$10&amp;"|"&amp;基本属性!$C$10</f>
        <v>75|0</v>
      </c>
      <c r="B3060" s="10" t="str">
        <f>参数调整!$J$34</f>
        <v>首领掉落</v>
      </c>
      <c r="C3060" s="8" t="str">
        <f>材料产出!$Z$2</f>
        <v>恶魔头颅</v>
      </c>
      <c r="D3060" s="224">
        <f>参数调整!$K$34*怪物掉落配置方案!$D5112</f>
        <v>0.18091517838663387</v>
      </c>
    </row>
    <row r="3061" spans="1:4" ht="16.5" hidden="1" x14ac:dyDescent="0.3">
      <c r="A3061" s="10" t="str">
        <f>基本属性!$B$11&amp;"|"&amp;基本属性!$C$11</f>
        <v>80|1</v>
      </c>
      <c r="B3061" s="10" t="str">
        <f>参数调整!$J$34</f>
        <v>首领掉落</v>
      </c>
      <c r="C3061" s="8" t="str">
        <f>材料产出!$Z$2</f>
        <v>恶魔头颅</v>
      </c>
      <c r="D3061" s="224">
        <f>参数调整!$K$34*怪物掉落配置方案!$D5113</f>
        <v>0.20768324049486037</v>
      </c>
    </row>
    <row r="3062" spans="1:4" ht="16.5" hidden="1" x14ac:dyDescent="0.3">
      <c r="A3062" s="10" t="str">
        <f>基本属性!$B$12&amp;"|"&amp;基本属性!$C$12</f>
        <v>90|2</v>
      </c>
      <c r="B3062" s="10" t="str">
        <f>参数调整!$J$34</f>
        <v>首领掉落</v>
      </c>
      <c r="C3062" s="8" t="str">
        <f>材料产出!$Z$2</f>
        <v>恶魔头颅</v>
      </c>
      <c r="D3062" s="224">
        <f>参数调整!$K$34*怪物掉落配置方案!$D5114</f>
        <v>0.23629737585193003</v>
      </c>
    </row>
    <row r="3063" spans="1:4" ht="16.5" hidden="1" x14ac:dyDescent="0.3">
      <c r="A3063" s="10" t="str">
        <f>基本属性!$B$13&amp;"|"&amp;基本属性!$C$13</f>
        <v>100|3</v>
      </c>
      <c r="B3063" s="10" t="str">
        <f>参数调整!$J$34</f>
        <v>首领掉落</v>
      </c>
      <c r="C3063" s="8" t="str">
        <f>材料产出!$Z$2</f>
        <v>恶魔头颅</v>
      </c>
      <c r="D3063" s="224">
        <f>参数调整!$K$34*怪物掉落配置方案!$D5115</f>
        <v>0.29906386631259896</v>
      </c>
    </row>
    <row r="3064" spans="1:4" ht="16.5" hidden="1" x14ac:dyDescent="0.3">
      <c r="A3064" s="10" t="str">
        <f>基本属性!$B$14&amp;"|"&amp;基本属性!$C$14</f>
        <v>105|4</v>
      </c>
      <c r="B3064" s="10" t="str">
        <f>参数调整!$J$34</f>
        <v>首领掉落</v>
      </c>
      <c r="C3064" s="8" t="str">
        <f>材料产出!$Z$2</f>
        <v>恶魔头颅</v>
      </c>
      <c r="D3064" s="224">
        <f>参数调整!$K$34*怪物掉落配置方案!$D5116</f>
        <v>0.3692146497686406</v>
      </c>
    </row>
    <row r="3065" spans="1:4" ht="16.5" hidden="1" x14ac:dyDescent="0.3">
      <c r="A3065" s="10" t="str">
        <f>基本属性!$B$15&amp;"|"&amp;基本属性!$C$15</f>
        <v>110|5</v>
      </c>
      <c r="B3065" s="10" t="str">
        <f>参数调整!$J$34</f>
        <v>首领掉落</v>
      </c>
      <c r="C3065" s="8" t="str">
        <f>材料产出!$Z$2</f>
        <v>恶魔头颅</v>
      </c>
      <c r="D3065" s="224">
        <f>参数调整!$K$34*怪物掉落配置方案!$D5117</f>
        <v>0.44674972622005521</v>
      </c>
    </row>
    <row r="3066" spans="1:4" ht="16.5" hidden="1" x14ac:dyDescent="0.3">
      <c r="A3066" s="10" t="str">
        <f>基本属性!$B$16&amp;"|"&amp;基本属性!$C$16</f>
        <v>120|6</v>
      </c>
      <c r="B3066" s="10" t="str">
        <f>参数调整!$J$34</f>
        <v>首领掉落</v>
      </c>
      <c r="C3066" s="8" t="str">
        <f>材料产出!$Z$2</f>
        <v>恶魔头颅</v>
      </c>
      <c r="D3066" s="224">
        <f>参数调整!$K$34*怪物掉落配置方案!$D5118</f>
        <v>0.57689789026350091</v>
      </c>
    </row>
    <row r="3067" spans="1:4" ht="16.5" hidden="1" x14ac:dyDescent="0.3">
      <c r="A3067" s="10" t="str">
        <f>基本属性!$B$17&amp;"|"&amp;基本属性!$C$17</f>
        <v>135|7</v>
      </c>
      <c r="B3067" s="10" t="str">
        <f>参数调整!$J$34</f>
        <v>首领掉落</v>
      </c>
      <c r="C3067" s="8" t="str">
        <f>材料产出!$Z$2</f>
        <v>恶魔头颅</v>
      </c>
      <c r="D3067" s="224">
        <f>参数调整!$K$34*怪物掉落配置方案!$D5119</f>
        <v>0.83073296197944146</v>
      </c>
    </row>
    <row r="3068" spans="1:4" ht="16.5" hidden="1" x14ac:dyDescent="0.3">
      <c r="A3068" s="10" t="str">
        <f>基本属性!$B$18&amp;"|"&amp;基本属性!$C$18</f>
        <v>155|8</v>
      </c>
      <c r="B3068" s="10" t="str">
        <f>参数调整!$J$34</f>
        <v>首领掉落</v>
      </c>
      <c r="C3068" s="8" t="str">
        <f>材料产出!$Z$2</f>
        <v>恶魔头颅</v>
      </c>
      <c r="D3068" s="224">
        <f>参数调整!$K$34*怪物掉落配置方案!$D5120</f>
        <v>1.130719864916462</v>
      </c>
    </row>
    <row r="3069" spans="1:4" ht="16.5" hidden="1" x14ac:dyDescent="0.3">
      <c r="A3069" s="10" t="str">
        <f>基本属性!$B$19&amp;"|"&amp;基本属性!$C$19</f>
        <v>190|9</v>
      </c>
      <c r="B3069" s="10" t="str">
        <f>参数调整!$J$34</f>
        <v>首领掉落</v>
      </c>
      <c r="C3069" s="8" t="str">
        <f>材料产出!$Z$2</f>
        <v>恶魔头颅</v>
      </c>
      <c r="D3069" s="224">
        <f>参数调整!$K$34*怪物掉落配置方案!$D5121</f>
        <v>1.2636371388331726</v>
      </c>
    </row>
    <row r="3070" spans="1:4" ht="16.5" hidden="1" x14ac:dyDescent="0.3">
      <c r="A3070" s="10" t="str">
        <f>基本属性!$B$20&amp;"|"&amp;基本属性!$C$20</f>
        <v>200|10</v>
      </c>
      <c r="B3070" s="10" t="str">
        <f>参数调整!$J$34</f>
        <v>首领掉落</v>
      </c>
      <c r="C3070" s="8" t="str">
        <f>材料产出!$Z$2</f>
        <v>恶魔头颅</v>
      </c>
      <c r="D3070" s="224">
        <f>参数调整!$K$34*怪物掉落配置方案!$D5122</f>
        <v>1.4768585990745624</v>
      </c>
    </row>
    <row r="3071" spans="1:4" ht="16.5" hidden="1" x14ac:dyDescent="0.3">
      <c r="A3071" s="10" t="str">
        <f>基本属性!$B$21&amp;"|"&amp;基本属性!$C$21</f>
        <v>200|11</v>
      </c>
      <c r="B3071" s="10" t="str">
        <f>参数调整!$J$34</f>
        <v>首领掉落</v>
      </c>
      <c r="C3071" s="8" t="str">
        <f>材料产出!$Z$2</f>
        <v>恶魔头颅</v>
      </c>
      <c r="D3071" s="224">
        <f>参数调整!$K$34*怪物掉落配置方案!$D5123</f>
        <v>1.7066947185555408</v>
      </c>
    </row>
    <row r="3072" spans="1:4" ht="16.5" hidden="1" x14ac:dyDescent="0.3">
      <c r="A3072" s="10" t="str">
        <f>基本属性!$B$22&amp;"|"&amp;基本属性!$C$22</f>
        <v>210|12</v>
      </c>
      <c r="B3072" s="10" t="str">
        <f>参数调整!$J$34</f>
        <v>首领掉落</v>
      </c>
      <c r="C3072" s="8" t="str">
        <f>材料产出!$Z$2</f>
        <v>恶魔头颅</v>
      </c>
      <c r="D3072" s="224">
        <f>参数调整!$K$34*怪物掉落配置方案!$D5124</f>
        <v>1.9531454972761084</v>
      </c>
    </row>
    <row r="3073" spans="1:4" ht="16.5" hidden="1" x14ac:dyDescent="0.3">
      <c r="A3073" s="10" t="str">
        <f>基本属性!$B$23&amp;"|"&amp;基本属性!$C$23</f>
        <v>210|13</v>
      </c>
      <c r="B3073" s="10" t="str">
        <f>参数调整!$J$34</f>
        <v>首领掉落</v>
      </c>
      <c r="C3073" s="8" t="str">
        <f>材料产出!$Z$2</f>
        <v>恶魔头颅</v>
      </c>
      <c r="D3073" s="224">
        <f>参数调整!$K$34*怪物掉落配置方案!$D5125</f>
        <v>2.2162109352362656</v>
      </c>
    </row>
    <row r="3074" spans="1:4" ht="16.5" hidden="1" x14ac:dyDescent="0.3">
      <c r="A3074" s="10" t="str">
        <f>基本属性!$B$24&amp;"|"&amp;基本属性!$C$24</f>
        <v>220|14</v>
      </c>
      <c r="B3074" s="10" t="str">
        <f>参数调整!$J$34</f>
        <v>首领掉落</v>
      </c>
      <c r="C3074" s="8" t="str">
        <f>材料产出!$Z$2</f>
        <v>恶魔头颅</v>
      </c>
      <c r="D3074" s="224">
        <f>参数调整!$K$34*怪物掉落配置方案!$D5126</f>
        <v>2.4958910324360106</v>
      </c>
    </row>
    <row r="3075" spans="1:4" ht="16.5" hidden="1" x14ac:dyDescent="0.3">
      <c r="A3075" s="10" t="str">
        <f>基本属性!$B$25&amp;"|"&amp;基本属性!$C$25</f>
        <v>220|15</v>
      </c>
      <c r="B3075" s="10" t="str">
        <f>参数调整!$J$34</f>
        <v>首领掉落</v>
      </c>
      <c r="C3075" s="8" t="str">
        <f>材料产出!$Z$2</f>
        <v>恶魔头颅</v>
      </c>
      <c r="D3075" s="224">
        <f>参数调整!$K$34*怪物掉落配置方案!$D5127</f>
        <v>2.7921857888753445</v>
      </c>
    </row>
    <row r="3076" spans="1:4" ht="16.5" hidden="1" x14ac:dyDescent="0.3">
      <c r="A3076" s="10" t="str">
        <f>基本属性!$B$26&amp;"|"&amp;基本属性!$C$26</f>
        <v>230|16</v>
      </c>
      <c r="B3076" s="10" t="str">
        <f>参数调整!$J$34</f>
        <v>首领掉落</v>
      </c>
      <c r="C3076" s="8" t="str">
        <f>材料产出!$Z$2</f>
        <v>恶魔头颅</v>
      </c>
      <c r="D3076" s="224">
        <f>参数调整!$K$34*怪物掉落配置方案!$D5128</f>
        <v>3.1050952045542672</v>
      </c>
    </row>
    <row r="3077" spans="1:4" ht="16.5" hidden="1" x14ac:dyDescent="0.3">
      <c r="A3077" s="10" t="str">
        <f>基本属性!$B$27&amp;"|"&amp;基本属性!$C$27</f>
        <v>230|17</v>
      </c>
      <c r="B3077" s="10" t="str">
        <f>参数调整!$J$34</f>
        <v>首领掉落</v>
      </c>
      <c r="C3077" s="8" t="str">
        <f>材料产出!$Z$2</f>
        <v>恶魔头颅</v>
      </c>
      <c r="D3077" s="224">
        <f>参数调整!$K$34*怪物掉落配置方案!$D5129</f>
        <v>3.4346192794727788</v>
      </c>
    </row>
    <row r="3078" spans="1:4" ht="16.5" hidden="1" x14ac:dyDescent="0.3">
      <c r="A3078" s="10" t="str">
        <f>基本属性!$B$28&amp;"|"&amp;基本属性!$C$28</f>
        <v>240|18</v>
      </c>
      <c r="B3078" s="10" t="str">
        <f>参数调整!$J$34</f>
        <v>首领掉落</v>
      </c>
      <c r="C3078" s="8" t="str">
        <f>材料产出!$Z$2</f>
        <v>恶魔头颅</v>
      </c>
      <c r="D3078" s="224">
        <f>参数调整!$K$34*怪物掉落配置方案!$D5130</f>
        <v>3.7807580136308805</v>
      </c>
    </row>
    <row r="3079" spans="1:4" ht="16.5" hidden="1" x14ac:dyDescent="0.3">
      <c r="A3079" s="10" t="str">
        <f>基本属性!$B$29&amp;"|"&amp;基本属性!$C$29</f>
        <v>240|19</v>
      </c>
      <c r="B3079" s="10" t="str">
        <f>参数调整!$J$34</f>
        <v>首领掉落</v>
      </c>
      <c r="C3079" s="8" t="str">
        <f>材料产出!$Z$2</f>
        <v>恶魔头颅</v>
      </c>
      <c r="D3079" s="224">
        <f>参数调整!$K$34*怪物掉落配置方案!$D5131</f>
        <v>4.1435114070285692</v>
      </c>
    </row>
    <row r="3080" spans="1:4" ht="16.5" hidden="1" x14ac:dyDescent="0.3">
      <c r="A3080" s="10" t="str">
        <f>基本属性!$B$30&amp;"|"&amp;基本属性!$C$30</f>
        <v>250|20</v>
      </c>
      <c r="B3080" s="10" t="str">
        <f>参数调整!$J$34</f>
        <v>首领掉落</v>
      </c>
      <c r="C3080" s="8" t="str">
        <f>材料产出!$Z$2</f>
        <v>恶魔头颅</v>
      </c>
      <c r="D3080" s="224">
        <f>参数调整!$K$34*怪物掉落配置方案!$D5132</f>
        <v>4.5228794596658473</v>
      </c>
    </row>
    <row r="3081" spans="1:4" ht="16.5" hidden="1" x14ac:dyDescent="0.3">
      <c r="A3081" s="10" t="str">
        <f>基本属性!$B$4&amp;"|"&amp;基本属性!$C$4</f>
        <v>35|0</v>
      </c>
      <c r="B3081" s="10" t="str">
        <f>参数调整!$J$33</f>
        <v>统领掉落</v>
      </c>
      <c r="C3081" s="8" t="str">
        <f>材料产出!$R$2</f>
        <v>转生精华</v>
      </c>
      <c r="D3081" s="224">
        <f>参数调整!$K$33*怪物掉落配置方案!$D4107</f>
        <v>1.9780108425799262E-2</v>
      </c>
    </row>
    <row r="3082" spans="1:4" ht="16.5" hidden="1" x14ac:dyDescent="0.3">
      <c r="A3082" s="10" t="str">
        <f>基本属性!$B$5&amp;"|"&amp;基本属性!$C$5</f>
        <v>40|0</v>
      </c>
      <c r="B3082" s="10" t="str">
        <f>参数调整!$J$33</f>
        <v>统领掉落</v>
      </c>
      <c r="C3082" s="8" t="str">
        <f>材料产出!$R$2</f>
        <v>转生精华</v>
      </c>
      <c r="D3082" s="224">
        <f>参数调整!$K$33*怪物掉落配置方案!$D4108</f>
        <v>2.5034199726402185E-2</v>
      </c>
    </row>
    <row r="3083" spans="1:4" ht="16.5" hidden="1" x14ac:dyDescent="0.3">
      <c r="A3083" s="10" t="str">
        <f>基本属性!$B$6&amp;"|"&amp;基本属性!$C$6</f>
        <v>50|0</v>
      </c>
      <c r="B3083" s="10" t="str">
        <f>参数调整!$J$33</f>
        <v>统领掉落</v>
      </c>
      <c r="C3083" s="8" t="str">
        <f>材料产出!$R$2</f>
        <v>转生精华</v>
      </c>
      <c r="D3083" s="224">
        <f>参数调整!$K$33*怪物掉落配置方案!$D4109</f>
        <v>3.0906419415311345E-2</v>
      </c>
    </row>
    <row r="3084" spans="1:4" ht="16.5" hidden="1" x14ac:dyDescent="0.3">
      <c r="A3084" s="10" t="str">
        <f>基本属性!$B$7&amp;"|"&amp;基本属性!$C$7</f>
        <v>60|0</v>
      </c>
      <c r="B3084" s="10" t="str">
        <f>参数调整!$J$33</f>
        <v>统领掉落</v>
      </c>
      <c r="C3084" s="8" t="str">
        <f>材料产出!$R$2</f>
        <v>转生精华</v>
      </c>
      <c r="D3084" s="224">
        <f>参数调整!$K$33*怪物掉落配置方案!$D4110</f>
        <v>3.7396767492526732E-2</v>
      </c>
    </row>
    <row r="3085" spans="1:4" ht="16.5" hidden="1" x14ac:dyDescent="0.3">
      <c r="A3085" s="10" t="str">
        <f>基本属性!$B$8&amp;"|"&amp;基本属性!$C$8</f>
        <v>65|0</v>
      </c>
      <c r="B3085" s="10" t="str">
        <f>参数调整!$J$33</f>
        <v>统领掉落</v>
      </c>
      <c r="C3085" s="8" t="str">
        <f>材料产出!$R$2</f>
        <v>转生精华</v>
      </c>
      <c r="D3085" s="224">
        <f>参数调整!$K$33*怪物掉落配置方案!$D4111</f>
        <v>4.4505243958048335E-2</v>
      </c>
    </row>
    <row r="3086" spans="1:4" ht="16.5" hidden="1" x14ac:dyDescent="0.3">
      <c r="A3086" s="10" t="str">
        <f>基本属性!$B$9&amp;"|"&amp;基本属性!$C$9</f>
        <v>70|0</v>
      </c>
      <c r="B3086" s="10" t="str">
        <f>参数调整!$J$33</f>
        <v>统领掉落</v>
      </c>
      <c r="C3086" s="8" t="str">
        <f>材料产出!$R$2</f>
        <v>转生精华</v>
      </c>
      <c r="D3086" s="224">
        <f>参数调整!$K$33*怪物掉落配置方案!$D4112</f>
        <v>5.2231848811876168E-2</v>
      </c>
    </row>
    <row r="3087" spans="1:4" ht="16.5" hidden="1" x14ac:dyDescent="0.3">
      <c r="A3087" s="10" t="str">
        <f>基本属性!$B$10&amp;"|"&amp;基本属性!$C$10</f>
        <v>75|0</v>
      </c>
      <c r="B3087" s="10" t="str">
        <f>参数调整!$J$33</f>
        <v>统领掉落</v>
      </c>
      <c r="C3087" s="8" t="str">
        <f>材料产出!$R$2</f>
        <v>转生精华</v>
      </c>
      <c r="D3087" s="224">
        <f>参数调整!$K$33*怪物掉落配置方案!$D4113</f>
        <v>6.0576582054010217E-2</v>
      </c>
    </row>
    <row r="3088" spans="1:4" ht="16.5" hidden="1" x14ac:dyDescent="0.3">
      <c r="A3088" s="10" t="str">
        <f>基本属性!$B$11&amp;"|"&amp;基本属性!$C$11</f>
        <v>80|1</v>
      </c>
      <c r="B3088" s="10" t="str">
        <f>参数调整!$J$33</f>
        <v>统领掉落</v>
      </c>
      <c r="C3088" s="8" t="str">
        <f>材料产出!$R$2</f>
        <v>转生精华</v>
      </c>
      <c r="D3088" s="224">
        <f>参数调整!$K$33*怪物掉落配置方案!$D4114</f>
        <v>6.953944368445053E-2</v>
      </c>
    </row>
    <row r="3089" spans="1:4" ht="16.5" hidden="1" x14ac:dyDescent="0.3">
      <c r="A3089" s="10" t="str">
        <f>基本属性!$B$12&amp;"|"&amp;基本属性!$C$12</f>
        <v>90|2</v>
      </c>
      <c r="B3089" s="10" t="str">
        <f>参数调整!$J$33</f>
        <v>统领掉落</v>
      </c>
      <c r="C3089" s="8" t="str">
        <f>材料产出!$R$2</f>
        <v>转生精华</v>
      </c>
      <c r="D3089" s="224">
        <f>参数调整!$K$33*怪物掉落配置方案!$D4115</f>
        <v>7.9120433703197074E-2</v>
      </c>
    </row>
    <row r="3090" spans="1:4" ht="16.5" hidden="1" x14ac:dyDescent="0.3">
      <c r="A3090" s="10" t="str">
        <f>基本属性!$B$13&amp;"|"&amp;基本属性!$C$13</f>
        <v>100|3</v>
      </c>
      <c r="B3090" s="10" t="str">
        <f>参数调整!$J$33</f>
        <v>统领掉落</v>
      </c>
      <c r="C3090" s="8" t="str">
        <f>材料产出!$R$2</f>
        <v>转生精华</v>
      </c>
      <c r="D3090" s="224">
        <f>参数调整!$K$33*怪物掉落配置方案!$D4116</f>
        <v>0.10013679890560877</v>
      </c>
    </row>
    <row r="3091" spans="1:4" ht="16.5" hidden="1" x14ac:dyDescent="0.3">
      <c r="A3091" s="10" t="str">
        <f>基本属性!$B$14&amp;"|"&amp;基本属性!$C$14</f>
        <v>105|4</v>
      </c>
      <c r="B3091" s="10" t="str">
        <f>参数调整!$J$33</f>
        <v>统领掉落</v>
      </c>
      <c r="C3091" s="8" t="str">
        <f>材料产出!$R$2</f>
        <v>转生精华</v>
      </c>
      <c r="D3091" s="224">
        <f>参数调整!$K$33*怪物掉落配置方案!$D4117</f>
        <v>0.12362567766124538</v>
      </c>
    </row>
    <row r="3092" spans="1:4" ht="16.5" hidden="1" x14ac:dyDescent="0.3">
      <c r="A3092" s="10" t="str">
        <f>基本属性!$B$15&amp;"|"&amp;基本属性!$C$15</f>
        <v>110|5</v>
      </c>
      <c r="B3092" s="10" t="str">
        <f>参数调整!$J$33</f>
        <v>统领掉落</v>
      </c>
      <c r="C3092" s="8" t="str">
        <f>材料产出!$R$2</f>
        <v>转生精华</v>
      </c>
      <c r="D3092" s="224">
        <f>参数调整!$K$33*怪物掉落配置方案!$D4118</f>
        <v>0.14958706997010696</v>
      </c>
    </row>
    <row r="3093" spans="1:4" ht="16.5" hidden="1" x14ac:dyDescent="0.3">
      <c r="A3093" s="10" t="str">
        <f>基本属性!$B$16&amp;"|"&amp;基本属性!$C$16</f>
        <v>120|6</v>
      </c>
      <c r="B3093" s="10" t="str">
        <f>参数调整!$J$33</f>
        <v>统领掉落</v>
      </c>
      <c r="C3093" s="8" t="str">
        <f>材料产出!$R$2</f>
        <v>转生精华</v>
      </c>
      <c r="D3093" s="224">
        <f>参数调整!$K$33*怪物掉落配置方案!$D4119</f>
        <v>0.19316512134569591</v>
      </c>
    </row>
    <row r="3094" spans="1:4" ht="16.5" hidden="1" x14ac:dyDescent="0.3">
      <c r="A3094" s="10" t="str">
        <f>基本属性!$B$17&amp;"|"&amp;基本属性!$C$17</f>
        <v>135|7</v>
      </c>
      <c r="B3094" s="10" t="str">
        <f>参数调整!$J$33</f>
        <v>统领掉落</v>
      </c>
      <c r="C3094" s="8" t="str">
        <f>材料产出!$R$2</f>
        <v>转生精华</v>
      </c>
      <c r="D3094" s="224">
        <f>参数调整!$K$33*怪物掉落配置方案!$D4120</f>
        <v>0.27815777473780212</v>
      </c>
    </row>
    <row r="3095" spans="1:4" ht="16.5" hidden="1" x14ac:dyDescent="0.3">
      <c r="A3095" s="10" t="str">
        <f>基本属性!$B$18&amp;"|"&amp;基本属性!$C$18</f>
        <v>155|8</v>
      </c>
      <c r="B3095" s="10" t="str">
        <f>参数调整!$J$33</f>
        <v>统领掉落</v>
      </c>
      <c r="C3095" s="8" t="str">
        <f>材料产出!$R$2</f>
        <v>转生精华</v>
      </c>
      <c r="D3095" s="224">
        <f>参数调整!$K$33*怪物掉落配置方案!$D4121</f>
        <v>0.37860363783756401</v>
      </c>
    </row>
    <row r="3096" spans="1:4" ht="16.5" hidden="1" x14ac:dyDescent="0.3">
      <c r="A3096" s="10" t="str">
        <f>基本属性!$B$19&amp;"|"&amp;基本属性!$C$19</f>
        <v>190|9</v>
      </c>
      <c r="B3096" s="10" t="str">
        <f>参数调整!$J$33</f>
        <v>统领掉落</v>
      </c>
      <c r="C3096" s="8" t="str">
        <f>材料产出!$R$2</f>
        <v>转生精华</v>
      </c>
      <c r="D3096" s="224">
        <f>参数调整!$K$33*怪物掉落配置方案!$D4122</f>
        <v>0.42310888179561229</v>
      </c>
    </row>
    <row r="3097" spans="1:4" ht="16.5" hidden="1" x14ac:dyDescent="0.3">
      <c r="A3097" s="10" t="str">
        <f>基本属性!$B$20&amp;"|"&amp;基本属性!$C$20</f>
        <v>200|10</v>
      </c>
      <c r="B3097" s="10" t="str">
        <f>参数调整!$J$33</f>
        <v>统领掉落</v>
      </c>
      <c r="C3097" s="8" t="str">
        <f>材料产出!$R$2</f>
        <v>转生精华</v>
      </c>
      <c r="D3097" s="224">
        <f>参数调整!$K$33*怪物掉落配置方案!$D4123</f>
        <v>0.49450271064498152</v>
      </c>
    </row>
    <row r="3098" spans="1:4" ht="16.5" hidden="1" x14ac:dyDescent="0.3">
      <c r="A3098" s="10" t="str">
        <f>基本属性!$B$21&amp;"|"&amp;基本属性!$C$21</f>
        <v>200|11</v>
      </c>
      <c r="B3098" s="10" t="str">
        <f>参数调整!$J$33</f>
        <v>统领掉落</v>
      </c>
      <c r="C3098" s="8" t="str">
        <f>材料产出!$R$2</f>
        <v>转生精华</v>
      </c>
      <c r="D3098" s="224">
        <f>参数调整!$K$33*怪物掉落配置方案!$D4124</f>
        <v>0.57145969498910665</v>
      </c>
    </row>
    <row r="3099" spans="1:4" ht="16.5" hidden="1" x14ac:dyDescent="0.3">
      <c r="A3099" s="10" t="str">
        <f>基本属性!$B$22&amp;"|"&amp;基本属性!$C$22</f>
        <v>210|12</v>
      </c>
      <c r="B3099" s="10" t="str">
        <f>参数调整!$J$33</f>
        <v>统领掉落</v>
      </c>
      <c r="C3099" s="8" t="str">
        <f>材料产出!$R$2</f>
        <v>转生精华</v>
      </c>
      <c r="D3099" s="224">
        <f>参数调整!$K$33*怪物掉落配置方案!$D4125</f>
        <v>0.65397983482798783</v>
      </c>
    </row>
    <row r="3100" spans="1:4" ht="16.5" hidden="1" x14ac:dyDescent="0.3">
      <c r="A3100" s="10" t="str">
        <f>基本属性!$B$23&amp;"|"&amp;基本属性!$C$23</f>
        <v>210|13</v>
      </c>
      <c r="B3100" s="10" t="str">
        <f>参数调整!$J$33</f>
        <v>统领掉落</v>
      </c>
      <c r="C3100" s="8" t="str">
        <f>材料产出!$R$2</f>
        <v>转生精华</v>
      </c>
      <c r="D3100" s="224">
        <f>参数调整!$K$33*怪物掉落配置方案!$D4126</f>
        <v>0.74206313016162551</v>
      </c>
    </row>
    <row r="3101" spans="1:4" ht="16.5" hidden="1" x14ac:dyDescent="0.3">
      <c r="A3101" s="10" t="str">
        <f>基本属性!$B$24&amp;"|"&amp;基本属性!$C$24</f>
        <v>220|14</v>
      </c>
      <c r="B3101" s="10" t="str">
        <f>参数调整!$J$33</f>
        <v>统领掉落</v>
      </c>
      <c r="C3101" s="8" t="str">
        <f>材料产出!$R$2</f>
        <v>转生精华</v>
      </c>
      <c r="D3101" s="224">
        <f>参数调整!$K$33*怪物掉落配置方案!$D4127</f>
        <v>0.83570958099001891</v>
      </c>
    </row>
    <row r="3102" spans="1:4" ht="16.5" hidden="1" x14ac:dyDescent="0.3">
      <c r="A3102" s="10" t="str">
        <f>基本属性!$B$25&amp;"|"&amp;基本属性!$C$25</f>
        <v>220|15</v>
      </c>
      <c r="B3102" s="10" t="str">
        <f>参数调整!$J$33</f>
        <v>统领掉落</v>
      </c>
      <c r="C3102" s="8" t="str">
        <f>材料产出!$R$2</f>
        <v>转生精华</v>
      </c>
      <c r="D3102" s="224">
        <f>参数调整!$K$33*怪物掉落配置方案!$D4128</f>
        <v>0.93491918731316814</v>
      </c>
    </row>
    <row r="3103" spans="1:4" ht="16.5" hidden="1" x14ac:dyDescent="0.3">
      <c r="A3103" s="10" t="str">
        <f>基本属性!$B$26&amp;"|"&amp;基本属性!$C$26</f>
        <v>230|16</v>
      </c>
      <c r="B3103" s="10" t="str">
        <f>参数调整!$J$33</f>
        <v>统领掉落</v>
      </c>
      <c r="C3103" s="8" t="str">
        <f>材料产出!$R$2</f>
        <v>转生精华</v>
      </c>
      <c r="D3103" s="224">
        <f>参数调整!$K$33*怪物掉落配置方案!$D4129</f>
        <v>1.0396919491310737</v>
      </c>
    </row>
    <row r="3104" spans="1:4" ht="16.5" hidden="1" x14ac:dyDescent="0.3">
      <c r="A3104" s="10" t="str">
        <f>基本属性!$B$27&amp;"|"&amp;基本属性!$C$27</f>
        <v>230|17</v>
      </c>
      <c r="B3104" s="10" t="str">
        <f>参数调整!$J$33</f>
        <v>统领掉落</v>
      </c>
      <c r="C3104" s="8" t="str">
        <f>材料产出!$R$2</f>
        <v>转生精华</v>
      </c>
      <c r="D3104" s="224">
        <f>参数调整!$K$33*怪物掉落配置方案!$D4130</f>
        <v>1.1500278664437349</v>
      </c>
    </row>
    <row r="3105" spans="1:4" ht="16.5" hidden="1" x14ac:dyDescent="0.3">
      <c r="A3105" s="10" t="str">
        <f>基本属性!$B$28&amp;"|"&amp;基本属性!$C$28</f>
        <v>240|18</v>
      </c>
      <c r="B3105" s="10" t="str">
        <f>参数调整!$J$33</f>
        <v>统领掉落</v>
      </c>
      <c r="C3105" s="8" t="str">
        <f>材料产出!$R$2</f>
        <v>转生精华</v>
      </c>
      <c r="D3105" s="224">
        <f>参数调整!$K$33*怪物掉落配置方案!$D4131</f>
        <v>1.2659269392511527</v>
      </c>
    </row>
    <row r="3106" spans="1:4" ht="16.5" hidden="1" x14ac:dyDescent="0.3">
      <c r="A3106" s="10" t="str">
        <f>基本属性!$B$29&amp;"|"&amp;基本属性!$C$29</f>
        <v>240|19</v>
      </c>
      <c r="B3106" s="10" t="str">
        <f>参数调整!$J$33</f>
        <v>统领掉落</v>
      </c>
      <c r="C3106" s="8" t="str">
        <f>材料产出!$R$2</f>
        <v>转生精华</v>
      </c>
      <c r="D3106" s="224">
        <f>参数调整!$K$33*怪物掉落配置方案!$D4132</f>
        <v>1.3873891675533263</v>
      </c>
    </row>
    <row r="3107" spans="1:4" ht="16.5" hidden="1" x14ac:dyDescent="0.3">
      <c r="A3107" s="10" t="str">
        <f>基本属性!$B$30&amp;"|"&amp;基本属性!$C$30</f>
        <v>250|20</v>
      </c>
      <c r="B3107" s="10" t="str">
        <f>参数调整!$J$33</f>
        <v>统领掉落</v>
      </c>
      <c r="C3107" s="8" t="str">
        <f>材料产出!$R$2</f>
        <v>转生精华</v>
      </c>
      <c r="D3107" s="224">
        <f>参数调整!$K$33*怪物掉落配置方案!$D4133</f>
        <v>1.5144145513502554</v>
      </c>
    </row>
    <row r="3108" spans="1:4" ht="16.5" hidden="1" x14ac:dyDescent="0.3">
      <c r="A3108" s="10" t="str">
        <f>基本属性!$B$4&amp;"|"&amp;基本属性!$C$4</f>
        <v>35|0</v>
      </c>
      <c r="B3108" s="10" t="str">
        <f>参数调整!$J$33</f>
        <v>统领掉落</v>
      </c>
      <c r="C3108" s="8" t="str">
        <f>材料产出!$AJ$2</f>
        <v>中品注灵石</v>
      </c>
      <c r="D3108" s="224">
        <f>参数调整!$K$33*怪物掉落配置方案!$D4134</f>
        <v>0.25922051447117833</v>
      </c>
    </row>
    <row r="3109" spans="1:4" ht="16.5" hidden="1" x14ac:dyDescent="0.3">
      <c r="A3109" s="10" t="str">
        <f>基本属性!$B$5&amp;"|"&amp;基本属性!$C$5</f>
        <v>40|0</v>
      </c>
      <c r="B3109" s="10" t="str">
        <f>参数调整!$J$33</f>
        <v>统领掉落</v>
      </c>
      <c r="C3109" s="8" t="str">
        <f>材料产出!$AJ$2</f>
        <v>中品注灵石</v>
      </c>
      <c r="D3109" s="224">
        <f>参数调整!$K$33*怪物掉落配置方案!$D4135</f>
        <v>0.32807596362758507</v>
      </c>
    </row>
    <row r="3110" spans="1:4" ht="16.5" hidden="1" x14ac:dyDescent="0.3">
      <c r="A3110" s="10" t="str">
        <f>基本属性!$B$6&amp;"|"&amp;基本属性!$C$6</f>
        <v>50|0</v>
      </c>
      <c r="B3110" s="10" t="str">
        <f>参数调整!$J$33</f>
        <v>统领掉落</v>
      </c>
      <c r="C3110" s="8" t="str">
        <f>材料产出!$AJ$2</f>
        <v>中品注灵石</v>
      </c>
      <c r="D3110" s="224">
        <f>参数调整!$K$33*怪物掉落配置方案!$D4136</f>
        <v>0.40503205386121616</v>
      </c>
    </row>
    <row r="3111" spans="1:4" ht="16.5" hidden="1" x14ac:dyDescent="0.3">
      <c r="A3111" s="10" t="str">
        <f>基本属性!$B$7&amp;"|"&amp;基本属性!$C$7</f>
        <v>60|0</v>
      </c>
      <c r="B3111" s="10" t="str">
        <f>参数调整!$J$33</f>
        <v>统领掉落</v>
      </c>
      <c r="C3111" s="8" t="str">
        <f>材料产出!$AJ$2</f>
        <v>中品注灵石</v>
      </c>
      <c r="D3111" s="224">
        <f>参数调整!$K$33*怪物掉落配置方案!$D4137</f>
        <v>0.49008878517207161</v>
      </c>
    </row>
    <row r="3112" spans="1:4" ht="16.5" hidden="1" x14ac:dyDescent="0.3">
      <c r="A3112" s="10" t="str">
        <f>基本属性!$B$8&amp;"|"&amp;基本属性!$C$8</f>
        <v>65|0</v>
      </c>
      <c r="B3112" s="10" t="str">
        <f>参数调整!$J$33</f>
        <v>统领掉落</v>
      </c>
      <c r="C3112" s="8" t="str">
        <f>材料产出!$AJ$2</f>
        <v>中品注灵石</v>
      </c>
      <c r="D3112" s="224">
        <f>参数调整!$K$33*怪物掉落配置方案!$D4138</f>
        <v>0.58324615756015119</v>
      </c>
    </row>
    <row r="3113" spans="1:4" ht="16.5" hidden="1" x14ac:dyDescent="0.3">
      <c r="A3113" s="10" t="str">
        <f>基本属性!$B$9&amp;"|"&amp;基本属性!$C$9</f>
        <v>70|0</v>
      </c>
      <c r="B3113" s="10" t="str">
        <f>参数调整!$J$33</f>
        <v>统领掉落</v>
      </c>
      <c r="C3113" s="8" t="str">
        <f>材料产出!$AJ$2</f>
        <v>中品注灵石</v>
      </c>
      <c r="D3113" s="224">
        <f>参数调整!$K$33*怪物掉落配置方案!$D4139</f>
        <v>0.68450417102545524</v>
      </c>
    </row>
    <row r="3114" spans="1:4" ht="16.5" hidden="1" x14ac:dyDescent="0.3">
      <c r="A3114" s="10" t="str">
        <f>基本属性!$B$10&amp;"|"&amp;基本属性!$C$10</f>
        <v>75|0</v>
      </c>
      <c r="B3114" s="10" t="str">
        <f>参数调整!$J$33</f>
        <v>统领掉落</v>
      </c>
      <c r="C3114" s="8" t="str">
        <f>材料产出!$AJ$2</f>
        <v>中品注灵石</v>
      </c>
      <c r="D3114" s="224">
        <f>参数调整!$K$33*怪物掉落配置方案!$D4140</f>
        <v>0.79386282556798349</v>
      </c>
    </row>
    <row r="3115" spans="1:4" ht="16.5" hidden="1" x14ac:dyDescent="0.3">
      <c r="A3115" s="10" t="str">
        <f>基本属性!$B$11&amp;"|"&amp;基本属性!$C$11</f>
        <v>80|1</v>
      </c>
      <c r="B3115" s="10" t="str">
        <f>参数调整!$J$33</f>
        <v>统领掉落</v>
      </c>
      <c r="C3115" s="8" t="str">
        <f>材料产出!$AJ$2</f>
        <v>中品注灵石</v>
      </c>
      <c r="D3115" s="224">
        <f>参数调整!$K$33*怪物掉落配置方案!$D4141</f>
        <v>0.91132212118773637</v>
      </c>
    </row>
    <row r="3116" spans="1:4" ht="16.5" hidden="1" x14ac:dyDescent="0.3">
      <c r="A3116" s="10" t="str">
        <f>基本属性!$B$12&amp;"|"&amp;基本属性!$C$12</f>
        <v>90|2</v>
      </c>
      <c r="B3116" s="10" t="str">
        <f>参数调整!$J$33</f>
        <v>统领掉落</v>
      </c>
      <c r="C3116" s="8" t="str">
        <f>材料产出!$AJ$2</f>
        <v>中品注灵石</v>
      </c>
      <c r="D3116" s="224">
        <f>参数调整!$K$33*怪物掉落配置方案!$D4142</f>
        <v>1.0368820578847133</v>
      </c>
    </row>
    <row r="3117" spans="1:4" ht="16.5" hidden="1" x14ac:dyDescent="0.3">
      <c r="A3117" s="10" t="str">
        <f>基本属性!$B$13&amp;"|"&amp;基本属性!$C$13</f>
        <v>100|3</v>
      </c>
      <c r="B3117" s="10" t="str">
        <f>参数调整!$J$33</f>
        <v>统领掉落</v>
      </c>
      <c r="C3117" s="8" t="str">
        <f>材料产出!$AJ$2</f>
        <v>中品注灵石</v>
      </c>
      <c r="D3117" s="224">
        <f>参数调整!$K$33*怪物掉落配置方案!$D4143</f>
        <v>1.3123038545103403</v>
      </c>
    </row>
    <row r="3118" spans="1:4" ht="16.5" hidden="1" x14ac:dyDescent="0.3">
      <c r="A3118" s="10" t="str">
        <f>基本属性!$B$14&amp;"|"&amp;基本属性!$C$14</f>
        <v>105|4</v>
      </c>
      <c r="B3118" s="10" t="str">
        <f>参数调整!$J$33</f>
        <v>统领掉落</v>
      </c>
      <c r="C3118" s="8" t="str">
        <f>材料产出!$AJ$2</f>
        <v>中品注灵石</v>
      </c>
      <c r="D3118" s="224">
        <f>参数调整!$K$33*怪物掉落配置方案!$D4144</f>
        <v>1.6201282154448646</v>
      </c>
    </row>
    <row r="3119" spans="1:4" ht="16.5" hidden="1" x14ac:dyDescent="0.3">
      <c r="A3119" s="10" t="str">
        <f>基本属性!$B$15&amp;"|"&amp;基本属性!$C$15</f>
        <v>110|5</v>
      </c>
      <c r="B3119" s="10" t="str">
        <f>参数调整!$J$33</f>
        <v>统领掉落</v>
      </c>
      <c r="C3119" s="8" t="str">
        <f>材料产出!$AJ$2</f>
        <v>中品注灵石</v>
      </c>
      <c r="D3119" s="224">
        <f>参数调整!$K$33*怪物掉落配置方案!$D4145</f>
        <v>1.9603551406882864</v>
      </c>
    </row>
    <row r="3120" spans="1:4" ht="16.5" hidden="1" x14ac:dyDescent="0.3">
      <c r="A3120" s="10" t="str">
        <f>基本属性!$B$16&amp;"|"&amp;基本属性!$C$16</f>
        <v>120|6</v>
      </c>
      <c r="B3120" s="10" t="str">
        <f>参数调整!$J$33</f>
        <v>统领掉落</v>
      </c>
      <c r="C3120" s="8" t="str">
        <f>材料产出!$AJ$2</f>
        <v>中品注灵石</v>
      </c>
      <c r="D3120" s="224">
        <f>参数调整!$K$33*怪物掉落配置方案!$D4146</f>
        <v>2.5314503366326009</v>
      </c>
    </row>
    <row r="3121" spans="1:4" ht="16.5" hidden="1" x14ac:dyDescent="0.3">
      <c r="A3121" s="10" t="str">
        <f>基本属性!$B$17&amp;"|"&amp;基本属性!$C$17</f>
        <v>135|7</v>
      </c>
      <c r="B3121" s="10" t="str">
        <f>参数调整!$J$33</f>
        <v>统领掉落</v>
      </c>
      <c r="C3121" s="8" t="str">
        <f>材料产出!$AJ$2</f>
        <v>中品注灵石</v>
      </c>
      <c r="D3121" s="224">
        <f>参数调整!$K$33*怪物掉落配置方案!$D4147</f>
        <v>3.6452884847509455</v>
      </c>
    </row>
    <row r="3122" spans="1:4" ht="16.5" hidden="1" x14ac:dyDescent="0.3">
      <c r="A3122" s="10" t="str">
        <f>基本属性!$B$18&amp;"|"&amp;基本属性!$C$18</f>
        <v>155|8</v>
      </c>
      <c r="B3122" s="10" t="str">
        <f>参数调整!$J$33</f>
        <v>统领掉落</v>
      </c>
      <c r="C3122" s="8" t="str">
        <f>材料产出!$AJ$2</f>
        <v>中品注灵石</v>
      </c>
      <c r="D3122" s="224">
        <f>参数调整!$K$33*怪物掉落配置方案!$D4148</f>
        <v>4.9616426597998977</v>
      </c>
    </row>
    <row r="3123" spans="1:4" ht="16.5" hidden="1" x14ac:dyDescent="0.3">
      <c r="A3123" s="10" t="str">
        <f>基本属性!$B$19&amp;"|"&amp;基本属性!$C$19</f>
        <v>190|9</v>
      </c>
      <c r="B3123" s="10" t="str">
        <f>参数调整!$J$33</f>
        <v>统领掉落</v>
      </c>
      <c r="C3123" s="8" t="str">
        <f>材料产出!$AJ$2</f>
        <v>中品注灵石</v>
      </c>
      <c r="D3123" s="224">
        <f>参数调整!$K$33*怪物掉落配置方案!$D4149</f>
        <v>5.5448888173600501</v>
      </c>
    </row>
    <row r="3124" spans="1:4" ht="16.5" hidden="1" x14ac:dyDescent="0.3">
      <c r="A3124" s="10" t="str">
        <f>基本属性!$B$20&amp;"|"&amp;基本属性!$C$20</f>
        <v>200|10</v>
      </c>
      <c r="B3124" s="10" t="str">
        <f>参数调整!$J$33</f>
        <v>统领掉落</v>
      </c>
      <c r="C3124" s="8" t="str">
        <f>材料产出!$AJ$2</f>
        <v>中品注灵石</v>
      </c>
      <c r="D3124" s="224">
        <f>参数调整!$K$33*怪物掉落配置方案!$D4150</f>
        <v>6.4805128617794585</v>
      </c>
    </row>
    <row r="3125" spans="1:4" ht="16.5" hidden="1" x14ac:dyDescent="0.3">
      <c r="A3125" s="10" t="str">
        <f>基本属性!$B$21&amp;"|"&amp;基本属性!$C$21</f>
        <v>200|11</v>
      </c>
      <c r="B3125" s="10" t="str">
        <f>参数调整!$J$33</f>
        <v>统领掉落</v>
      </c>
      <c r="C3125" s="8" t="str">
        <f>材料产出!$AJ$2</f>
        <v>中品注灵石</v>
      </c>
      <c r="D3125" s="224">
        <f>参数调整!$K$33*怪物掉落配置方案!$D4151</f>
        <v>7.4890426758938853</v>
      </c>
    </row>
    <row r="3126" spans="1:4" ht="16.5" hidden="1" x14ac:dyDescent="0.3">
      <c r="A3126" s="10" t="str">
        <f>基本属性!$B$22&amp;"|"&amp;基本属性!$C$22</f>
        <v>210|12</v>
      </c>
      <c r="B3126" s="10" t="str">
        <f>参数调整!$J$33</f>
        <v>统领掉落</v>
      </c>
      <c r="C3126" s="8" t="str">
        <f>材料产出!$AJ$2</f>
        <v>中品注灵石</v>
      </c>
      <c r="D3126" s="224">
        <f>参数调整!$K$33*怪物掉落配置方案!$D4152</f>
        <v>8.5704782597033304</v>
      </c>
    </row>
    <row r="3127" spans="1:4" ht="16.5" hidden="1" x14ac:dyDescent="0.3">
      <c r="A3127" s="10" t="str">
        <f>基本属性!$B$23&amp;"|"&amp;基本属性!$C$23</f>
        <v>210|13</v>
      </c>
      <c r="B3127" s="10" t="str">
        <f>参数调整!$J$33</f>
        <v>统领掉落</v>
      </c>
      <c r="C3127" s="8" t="str">
        <f>材料产出!$AJ$2</f>
        <v>中品注灵石</v>
      </c>
      <c r="D3127" s="224">
        <f>参数调整!$K$33*怪物掉落配置方案!$D4153</f>
        <v>9.7248196132077993</v>
      </c>
    </row>
    <row r="3128" spans="1:4" ht="16.5" hidden="1" x14ac:dyDescent="0.3">
      <c r="A3128" s="10" t="str">
        <f>基本属性!$B$24&amp;"|"&amp;基本属性!$C$24</f>
        <v>220|14</v>
      </c>
      <c r="B3128" s="10" t="str">
        <f>参数调整!$J$33</f>
        <v>统领掉落</v>
      </c>
      <c r="C3128" s="8" t="str">
        <f>材料产出!$AJ$2</f>
        <v>中品注灵石</v>
      </c>
      <c r="D3128" s="224">
        <f>参数调整!$K$33*怪物掉落配置方案!$D4154</f>
        <v>10.952066736407284</v>
      </c>
    </row>
    <row r="3129" spans="1:4" ht="16.5" hidden="1" x14ac:dyDescent="0.3">
      <c r="A3129" s="10" t="str">
        <f>基本属性!$B$25&amp;"|"&amp;基本属性!$C$25</f>
        <v>220|15</v>
      </c>
      <c r="B3129" s="10" t="str">
        <f>参数调整!$J$33</f>
        <v>统领掉落</v>
      </c>
      <c r="C3129" s="8" t="str">
        <f>材料产出!$AJ$2</f>
        <v>中品注灵石</v>
      </c>
      <c r="D3129" s="224">
        <f>参数调整!$K$33*怪物掉落配置方案!$D4155</f>
        <v>12.252219629301788</v>
      </c>
    </row>
    <row r="3130" spans="1:4" ht="16.5" hidden="1" x14ac:dyDescent="0.3">
      <c r="A3130" s="10" t="str">
        <f>基本属性!$B$26&amp;"|"&amp;基本属性!$C$26</f>
        <v>230|16</v>
      </c>
      <c r="B3130" s="10" t="str">
        <f>参数调整!$J$33</f>
        <v>统领掉落</v>
      </c>
      <c r="C3130" s="8" t="str">
        <f>材料产出!$AJ$2</f>
        <v>中品注灵石</v>
      </c>
      <c r="D3130" s="224">
        <f>参数调整!$K$33*怪物掉落配置方案!$D4156</f>
        <v>13.625278291891307</v>
      </c>
    </row>
    <row r="3131" spans="1:4" ht="16.5" hidden="1" x14ac:dyDescent="0.3">
      <c r="A3131" s="10" t="str">
        <f>基本属性!$B$27&amp;"|"&amp;基本属性!$C$27</f>
        <v>230|17</v>
      </c>
      <c r="B3131" s="10" t="str">
        <f>参数调整!$J$33</f>
        <v>统领掉落</v>
      </c>
      <c r="C3131" s="8" t="str">
        <f>材料产出!$AJ$2</f>
        <v>中品注灵石</v>
      </c>
      <c r="D3131" s="224">
        <f>参数调整!$K$33*怪物掉落配置方案!$D4157</f>
        <v>15.071242724175852</v>
      </c>
    </row>
    <row r="3132" spans="1:4" ht="16.5" hidden="1" x14ac:dyDescent="0.3">
      <c r="A3132" s="10" t="str">
        <f>基本属性!$B$28&amp;"|"&amp;基本属性!$C$28</f>
        <v>240|18</v>
      </c>
      <c r="B3132" s="10" t="str">
        <f>参数调整!$J$33</f>
        <v>统领掉落</v>
      </c>
      <c r="C3132" s="8" t="str">
        <f>材料产出!$AJ$2</f>
        <v>中品注灵石</v>
      </c>
      <c r="D3132" s="224">
        <f>参数调整!$K$33*怪物掉落配置方案!$D4158</f>
        <v>16.590112926155413</v>
      </c>
    </row>
    <row r="3133" spans="1:4" ht="16.5" hidden="1" x14ac:dyDescent="0.3">
      <c r="A3133" s="10" t="str">
        <f>基本属性!$B$29&amp;"|"&amp;基本属性!$C$29</f>
        <v>240|19</v>
      </c>
      <c r="B3133" s="10" t="str">
        <f>参数调整!$J$33</f>
        <v>统领掉落</v>
      </c>
      <c r="C3133" s="8" t="str">
        <f>材料产出!$AJ$2</f>
        <v>中品注灵石</v>
      </c>
      <c r="D3133" s="224">
        <f>参数调整!$K$33*怪物掉落配置方案!$D4159</f>
        <v>18.181888897829992</v>
      </c>
    </row>
    <row r="3134" spans="1:4" ht="16.5" hidden="1" x14ac:dyDescent="0.3">
      <c r="A3134" s="10" t="str">
        <f>基本属性!$B$30&amp;"|"&amp;基本属性!$C$30</f>
        <v>250|20</v>
      </c>
      <c r="B3134" s="10" t="str">
        <f>参数调整!$J$33</f>
        <v>统领掉落</v>
      </c>
      <c r="C3134" s="8" t="str">
        <f>材料产出!$AJ$2</f>
        <v>中品注灵石</v>
      </c>
      <c r="D3134" s="224">
        <f>参数调整!$K$33*怪物掉落配置方案!$D4160</f>
        <v>19.846570639199591</v>
      </c>
    </row>
    <row r="3135" spans="1:4" ht="16.5" hidden="1" x14ac:dyDescent="0.3">
      <c r="A3135" s="10" t="str">
        <f>基本属性!$B$4&amp;"|"&amp;基本属性!$C$4</f>
        <v>35|0</v>
      </c>
      <c r="B3135" s="10" t="str">
        <f>参数调整!$J$33</f>
        <v>统领掉落</v>
      </c>
      <c r="C3135" s="8" t="str">
        <f>材料产出!$J$2</f>
        <v>元宝</v>
      </c>
      <c r="D3135" s="224">
        <f>参数调整!$K$33*怪物掉落配置方案!$D4161</f>
        <v>3350</v>
      </c>
    </row>
    <row r="3136" spans="1:4" ht="16.5" hidden="1" x14ac:dyDescent="0.3">
      <c r="A3136" s="10" t="str">
        <f>基本属性!$B$5&amp;"|"&amp;基本属性!$C$5</f>
        <v>40|0</v>
      </c>
      <c r="B3136" s="10" t="str">
        <f>参数调整!$J$33</f>
        <v>统领掉落</v>
      </c>
      <c r="C3136" s="8" t="str">
        <f>材料产出!$J$2</f>
        <v>元宝</v>
      </c>
      <c r="D3136" s="224">
        <f>参数调整!$K$33*怪物掉落配置方案!$D4162</f>
        <v>4250</v>
      </c>
    </row>
    <row r="3137" spans="1:4" ht="16.5" hidden="1" x14ac:dyDescent="0.3">
      <c r="A3137" s="10" t="str">
        <f>基本属性!$B$6&amp;"|"&amp;基本属性!$C$6</f>
        <v>50|0</v>
      </c>
      <c r="B3137" s="10" t="str">
        <f>参数调整!$J$33</f>
        <v>统领掉落</v>
      </c>
      <c r="C3137" s="8" t="str">
        <f>材料产出!$J$2</f>
        <v>元宝</v>
      </c>
      <c r="D3137" s="224">
        <f>参数调整!$K$33*怪物掉落配置方案!$D4163</f>
        <v>5250</v>
      </c>
    </row>
    <row r="3138" spans="1:4" ht="16.5" hidden="1" x14ac:dyDescent="0.3">
      <c r="A3138" s="10" t="str">
        <f>基本属性!$B$7&amp;"|"&amp;基本属性!$C$7</f>
        <v>60|0</v>
      </c>
      <c r="B3138" s="10" t="str">
        <f>参数调整!$J$33</f>
        <v>统领掉落</v>
      </c>
      <c r="C3138" s="8" t="str">
        <f>材料产出!$J$2</f>
        <v>元宝</v>
      </c>
      <c r="D3138" s="224">
        <f>参数调整!$K$33*怪物掉落配置方案!$D4164</f>
        <v>6350</v>
      </c>
    </row>
    <row r="3139" spans="1:4" ht="16.5" hidden="1" x14ac:dyDescent="0.3">
      <c r="A3139" s="10" t="str">
        <f>基本属性!$B$8&amp;"|"&amp;基本属性!$C$8</f>
        <v>65|0</v>
      </c>
      <c r="B3139" s="10" t="str">
        <f>参数调整!$J$33</f>
        <v>统领掉落</v>
      </c>
      <c r="C3139" s="8" t="str">
        <f>材料产出!$J$2</f>
        <v>元宝</v>
      </c>
      <c r="D3139" s="224">
        <f>参数调整!$K$33*怪物掉落配置方案!$D4165</f>
        <v>7550</v>
      </c>
    </row>
    <row r="3140" spans="1:4" ht="16.5" hidden="1" x14ac:dyDescent="0.3">
      <c r="A3140" s="10" t="str">
        <f>基本属性!$B$9&amp;"|"&amp;基本属性!$C$9</f>
        <v>70|0</v>
      </c>
      <c r="B3140" s="10" t="str">
        <f>参数调整!$J$33</f>
        <v>统领掉落</v>
      </c>
      <c r="C3140" s="8" t="str">
        <f>材料产出!$J$2</f>
        <v>元宝</v>
      </c>
      <c r="D3140" s="224">
        <f>参数调整!$K$33*怪物掉落配置方案!$D4166</f>
        <v>8850</v>
      </c>
    </row>
    <row r="3141" spans="1:4" ht="16.5" hidden="1" x14ac:dyDescent="0.3">
      <c r="A3141" s="10" t="str">
        <f>基本属性!$B$10&amp;"|"&amp;基本属性!$C$10</f>
        <v>75|0</v>
      </c>
      <c r="B3141" s="10" t="str">
        <f>参数调整!$J$33</f>
        <v>统领掉落</v>
      </c>
      <c r="C3141" s="8" t="str">
        <f>材料产出!$J$2</f>
        <v>元宝</v>
      </c>
      <c r="D3141" s="224">
        <f>参数调整!$K$33*怪物掉落配置方案!$D4167</f>
        <v>10250</v>
      </c>
    </row>
    <row r="3142" spans="1:4" ht="16.5" hidden="1" x14ac:dyDescent="0.3">
      <c r="A3142" s="10" t="str">
        <f>基本属性!$B$11&amp;"|"&amp;基本属性!$C$11</f>
        <v>80|1</v>
      </c>
      <c r="B3142" s="10" t="str">
        <f>参数调整!$J$33</f>
        <v>统领掉落</v>
      </c>
      <c r="C3142" s="8" t="str">
        <f>材料产出!$J$2</f>
        <v>元宝</v>
      </c>
      <c r="D3142" s="224">
        <f>参数调整!$K$33*怪物掉落配置方案!$D4168</f>
        <v>11800</v>
      </c>
    </row>
    <row r="3143" spans="1:4" ht="16.5" hidden="1" x14ac:dyDescent="0.3">
      <c r="A3143" s="10" t="str">
        <f>基本属性!$B$12&amp;"|"&amp;基本属性!$C$12</f>
        <v>90|2</v>
      </c>
      <c r="B3143" s="10" t="str">
        <f>参数调整!$J$33</f>
        <v>统领掉落</v>
      </c>
      <c r="C3143" s="8" t="str">
        <f>材料产出!$J$2</f>
        <v>元宝</v>
      </c>
      <c r="D3143" s="224">
        <f>参数调整!$K$33*怪物掉落配置方案!$D4169</f>
        <v>13400</v>
      </c>
    </row>
    <row r="3144" spans="1:4" ht="16.5" hidden="1" x14ac:dyDescent="0.3">
      <c r="A3144" s="10" t="str">
        <f>基本属性!$B$13&amp;"|"&amp;基本属性!$C$13</f>
        <v>100|3</v>
      </c>
      <c r="B3144" s="10" t="str">
        <f>参数调整!$J$33</f>
        <v>统领掉落</v>
      </c>
      <c r="C3144" s="8" t="str">
        <f>材料产出!$J$2</f>
        <v>元宝</v>
      </c>
      <c r="D3144" s="224">
        <f>参数调整!$K$33*怪物掉落配置方案!$D4170</f>
        <v>16950</v>
      </c>
    </row>
    <row r="3145" spans="1:4" ht="16.5" hidden="1" x14ac:dyDescent="0.3">
      <c r="A3145" s="10" t="str">
        <f>基本属性!$B$14&amp;"|"&amp;基本属性!$C$14</f>
        <v>105|4</v>
      </c>
      <c r="B3145" s="10" t="str">
        <f>参数调整!$J$33</f>
        <v>统领掉落</v>
      </c>
      <c r="C3145" s="8" t="str">
        <f>材料产出!$J$2</f>
        <v>元宝</v>
      </c>
      <c r="D3145" s="224">
        <f>参数调整!$K$33*怪物掉落配置方案!$D4171</f>
        <v>20950</v>
      </c>
    </row>
    <row r="3146" spans="1:4" ht="16.5" hidden="1" x14ac:dyDescent="0.3">
      <c r="A3146" s="10" t="str">
        <f>基本属性!$B$15&amp;"|"&amp;基本属性!$C$15</f>
        <v>110|5</v>
      </c>
      <c r="B3146" s="10" t="str">
        <f>参数调整!$J$33</f>
        <v>统领掉落</v>
      </c>
      <c r="C3146" s="8" t="str">
        <f>材料产出!$J$2</f>
        <v>元宝</v>
      </c>
      <c r="D3146" s="224">
        <f>参数调整!$K$33*怪物掉落配置方案!$D4172</f>
        <v>25350</v>
      </c>
    </row>
    <row r="3147" spans="1:4" ht="16.5" hidden="1" x14ac:dyDescent="0.3">
      <c r="A3147" s="10" t="str">
        <f>基本属性!$B$16&amp;"|"&amp;基本属性!$C$16</f>
        <v>120|6</v>
      </c>
      <c r="B3147" s="10" t="str">
        <f>参数调整!$J$33</f>
        <v>统领掉落</v>
      </c>
      <c r="C3147" s="8" t="str">
        <f>材料产出!$J$2</f>
        <v>元宝</v>
      </c>
      <c r="D3147" s="224">
        <f>参数调整!$K$33*怪物掉落配置方案!$D4173</f>
        <v>32750</v>
      </c>
    </row>
    <row r="3148" spans="1:4" ht="16.5" hidden="1" x14ac:dyDescent="0.3">
      <c r="A3148" s="10" t="str">
        <f>基本属性!$B$17&amp;"|"&amp;基本属性!$C$17</f>
        <v>135|7</v>
      </c>
      <c r="B3148" s="10" t="str">
        <f>参数调整!$J$33</f>
        <v>统领掉落</v>
      </c>
      <c r="C3148" s="8" t="str">
        <f>材料产出!$J$2</f>
        <v>元宝</v>
      </c>
      <c r="D3148" s="224">
        <f>参数调整!$K$33*怪物掉落配置方案!$D4174</f>
        <v>47150</v>
      </c>
    </row>
    <row r="3149" spans="1:4" ht="16.5" hidden="1" x14ac:dyDescent="0.3">
      <c r="A3149" s="10" t="str">
        <f>基本属性!$B$18&amp;"|"&amp;基本属性!$C$18</f>
        <v>155|8</v>
      </c>
      <c r="B3149" s="10" t="str">
        <f>参数调整!$J$33</f>
        <v>统领掉落</v>
      </c>
      <c r="C3149" s="8" t="str">
        <f>材料产出!$J$2</f>
        <v>元宝</v>
      </c>
      <c r="D3149" s="224">
        <f>参数调整!$K$33*怪物掉落配置方案!$D4175</f>
        <v>64200</v>
      </c>
    </row>
    <row r="3150" spans="1:4" ht="16.5" hidden="1" x14ac:dyDescent="0.3">
      <c r="A3150" s="10" t="str">
        <f>基本属性!$B$19&amp;"|"&amp;基本属性!$C$19</f>
        <v>190|9</v>
      </c>
      <c r="B3150" s="10" t="str">
        <f>参数调整!$J$33</f>
        <v>统领掉落</v>
      </c>
      <c r="C3150" s="8" t="str">
        <f>材料产出!$J$2</f>
        <v>元宝</v>
      </c>
      <c r="D3150" s="224">
        <f>参数调整!$K$33*怪物掉落配置方案!$D4176</f>
        <v>71700</v>
      </c>
    </row>
    <row r="3151" spans="1:4" ht="16.5" hidden="1" x14ac:dyDescent="0.3">
      <c r="A3151" s="10" t="str">
        <f>基本属性!$B$20&amp;"|"&amp;基本属性!$C$20</f>
        <v>200|10</v>
      </c>
      <c r="B3151" s="10" t="str">
        <f>参数调整!$J$33</f>
        <v>统领掉落</v>
      </c>
      <c r="C3151" s="8" t="str">
        <f>材料产出!$J$2</f>
        <v>元宝</v>
      </c>
      <c r="D3151" s="224">
        <f>参数调整!$K$33*怪物掉落配置方案!$D4177</f>
        <v>83850</v>
      </c>
    </row>
    <row r="3152" spans="1:4" ht="16.5" hidden="1" x14ac:dyDescent="0.3">
      <c r="A3152" s="10" t="str">
        <f>基本属性!$B$21&amp;"|"&amp;基本属性!$C$21</f>
        <v>200|11</v>
      </c>
      <c r="B3152" s="10" t="str">
        <f>参数调整!$J$33</f>
        <v>统领掉落</v>
      </c>
      <c r="C3152" s="8" t="str">
        <f>材料产出!$J$2</f>
        <v>元宝</v>
      </c>
      <c r="D3152" s="224">
        <f>参数调整!$K$33*怪物掉落配置方案!$D4178</f>
        <v>96850</v>
      </c>
    </row>
    <row r="3153" spans="1:4" ht="16.5" hidden="1" x14ac:dyDescent="0.3">
      <c r="A3153" s="10" t="str">
        <f>基本属性!$B$22&amp;"|"&amp;基本属性!$C$22</f>
        <v>210|12</v>
      </c>
      <c r="B3153" s="10" t="str">
        <f>参数调整!$J$33</f>
        <v>统领掉落</v>
      </c>
      <c r="C3153" s="8" t="str">
        <f>材料产出!$J$2</f>
        <v>元宝</v>
      </c>
      <c r="D3153" s="224">
        <f>参数调整!$K$33*怪物掉落配置方案!$D4179</f>
        <v>110850</v>
      </c>
    </row>
    <row r="3154" spans="1:4" ht="16.5" hidden="1" x14ac:dyDescent="0.3">
      <c r="A3154" s="10" t="str">
        <f>基本属性!$B$23&amp;"|"&amp;基本属性!$C$23</f>
        <v>210|13</v>
      </c>
      <c r="B3154" s="10" t="str">
        <f>参数调整!$J$33</f>
        <v>统领掉落</v>
      </c>
      <c r="C3154" s="8" t="str">
        <f>材料产出!$J$2</f>
        <v>元宝</v>
      </c>
      <c r="D3154" s="224">
        <f>参数调整!$K$33*怪物掉落配置方案!$D4180</f>
        <v>125800</v>
      </c>
    </row>
    <row r="3155" spans="1:4" ht="16.5" hidden="1" x14ac:dyDescent="0.3">
      <c r="A3155" s="10" t="str">
        <f>基本属性!$B$24&amp;"|"&amp;基本属性!$C$24</f>
        <v>220|14</v>
      </c>
      <c r="B3155" s="10" t="str">
        <f>参数调整!$J$33</f>
        <v>统领掉落</v>
      </c>
      <c r="C3155" s="8" t="str">
        <f>材料产出!$J$2</f>
        <v>元宝</v>
      </c>
      <c r="D3155" s="224">
        <f>参数调整!$K$33*怪物掉落配置方案!$D4181</f>
        <v>141650</v>
      </c>
    </row>
    <row r="3156" spans="1:4" ht="16.5" hidden="1" x14ac:dyDescent="0.3">
      <c r="A3156" s="10" t="str">
        <f>基本属性!$B$25&amp;"|"&amp;基本属性!$C$25</f>
        <v>220|15</v>
      </c>
      <c r="B3156" s="10" t="str">
        <f>参数调整!$J$33</f>
        <v>统领掉落</v>
      </c>
      <c r="C3156" s="8" t="str">
        <f>材料产出!$J$2</f>
        <v>元宝</v>
      </c>
      <c r="D3156" s="224">
        <f>参数调整!$K$33*怪物掉落配置方案!$D4182</f>
        <v>158500</v>
      </c>
    </row>
    <row r="3157" spans="1:4" ht="16.5" hidden="1" x14ac:dyDescent="0.3">
      <c r="A3157" s="10" t="str">
        <f>基本属性!$B$26&amp;"|"&amp;基本属性!$C$26</f>
        <v>230|16</v>
      </c>
      <c r="B3157" s="10" t="str">
        <f>参数调整!$J$33</f>
        <v>统领掉落</v>
      </c>
      <c r="C3157" s="8" t="str">
        <f>材料产出!$J$2</f>
        <v>元宝</v>
      </c>
      <c r="D3157" s="224">
        <f>参数调整!$K$33*怪物掉落配置方案!$D4183</f>
        <v>176250</v>
      </c>
    </row>
    <row r="3158" spans="1:4" ht="16.5" hidden="1" x14ac:dyDescent="0.3">
      <c r="A3158" s="10" t="str">
        <f>基本属性!$B$27&amp;"|"&amp;基本属性!$C$27</f>
        <v>230|17</v>
      </c>
      <c r="B3158" s="10" t="str">
        <f>参数调整!$J$33</f>
        <v>统领掉落</v>
      </c>
      <c r="C3158" s="8" t="str">
        <f>材料产出!$J$2</f>
        <v>元宝</v>
      </c>
      <c r="D3158" s="224">
        <f>参数调整!$K$33*怪物掉落配置方案!$D4184</f>
        <v>194950</v>
      </c>
    </row>
    <row r="3159" spans="1:4" ht="16.5" hidden="1" x14ac:dyDescent="0.3">
      <c r="A3159" s="10" t="str">
        <f>基本属性!$B$28&amp;"|"&amp;基本属性!$C$28</f>
        <v>240|18</v>
      </c>
      <c r="B3159" s="10" t="str">
        <f>参数调整!$J$33</f>
        <v>统领掉落</v>
      </c>
      <c r="C3159" s="8" t="str">
        <f>材料产出!$J$2</f>
        <v>元宝</v>
      </c>
      <c r="D3159" s="224">
        <f>参数调整!$K$33*怪物掉落配置方案!$D4185</f>
        <v>214600</v>
      </c>
    </row>
    <row r="3160" spans="1:4" ht="16.5" hidden="1" x14ac:dyDescent="0.3">
      <c r="A3160" s="10" t="str">
        <f>基本属性!$B$29&amp;"|"&amp;基本属性!$C$29</f>
        <v>240|19</v>
      </c>
      <c r="B3160" s="10" t="str">
        <f>参数调整!$J$33</f>
        <v>统领掉落</v>
      </c>
      <c r="C3160" s="8" t="str">
        <f>材料产出!$J$2</f>
        <v>元宝</v>
      </c>
      <c r="D3160" s="224">
        <f>参数调整!$K$33*怪物掉落配置方案!$D4186</f>
        <v>235200</v>
      </c>
    </row>
    <row r="3161" spans="1:4" ht="16.5" hidden="1" x14ac:dyDescent="0.3">
      <c r="A3161" s="10" t="str">
        <f>基本属性!$B$30&amp;"|"&amp;基本属性!$C$30</f>
        <v>250|20</v>
      </c>
      <c r="B3161" s="10" t="str">
        <f>参数调整!$J$33</f>
        <v>统领掉落</v>
      </c>
      <c r="C3161" s="8" t="str">
        <f>材料产出!$J$2</f>
        <v>元宝</v>
      </c>
      <c r="D3161" s="224">
        <f>参数调整!$K$33*怪物掉落配置方案!$D4187</f>
        <v>256700</v>
      </c>
    </row>
    <row r="3162" spans="1:4" ht="16.5" hidden="1" x14ac:dyDescent="0.3">
      <c r="A3162" s="10" t="str">
        <f>基本属性!$B$4&amp;"|"&amp;基本属性!$C$4</f>
        <v>35|0</v>
      </c>
      <c r="B3162" s="10" t="str">
        <f>参数调整!$J$33</f>
        <v>统领掉落</v>
      </c>
      <c r="C3162" s="8" t="str">
        <f>材料产出!$BB$2</f>
        <v>衣服碎片</v>
      </c>
      <c r="D3162" s="224">
        <f>参数调整!$K$33*怪物掉落配置方案!$D4188</f>
        <v>4.0583486041949769E-4</v>
      </c>
    </row>
    <row r="3163" spans="1:4" ht="16.5" hidden="1" x14ac:dyDescent="0.3">
      <c r="A3163" s="10" t="str">
        <f>基本属性!$B$5&amp;"|"&amp;基本属性!$C$5</f>
        <v>40|0</v>
      </c>
      <c r="B3163" s="10" t="str">
        <f>参数调整!$J$33</f>
        <v>统领掉落</v>
      </c>
      <c r="C3163" s="8" t="str">
        <f>材料产出!$BB$2</f>
        <v>衣服碎片</v>
      </c>
      <c r="D3163" s="224">
        <f>参数调整!$K$33*怪物掉落配置方案!$D4189</f>
        <v>5.136347452184268E-4</v>
      </c>
    </row>
    <row r="3164" spans="1:4" ht="16.5" hidden="1" x14ac:dyDescent="0.3">
      <c r="A3164" s="10" t="str">
        <f>基本属性!$B$6&amp;"|"&amp;基本属性!$C$6</f>
        <v>50|0</v>
      </c>
      <c r="B3164" s="10" t="str">
        <f>参数调整!$J$33</f>
        <v>统领掉落</v>
      </c>
      <c r="C3164" s="8" t="str">
        <f>材料产出!$BB$2</f>
        <v>衣服碎片</v>
      </c>
      <c r="D3164" s="224">
        <f>参数调整!$K$33*怪物掉落配置方案!$D4190</f>
        <v>6.3411696940546519E-4</v>
      </c>
    </row>
    <row r="3165" spans="1:4" ht="16.5" hidden="1" x14ac:dyDescent="0.3">
      <c r="A3165" s="10" t="str">
        <f>基本属性!$B$7&amp;"|"&amp;基本属性!$C$7</f>
        <v>60|0</v>
      </c>
      <c r="B3165" s="10" t="str">
        <f>参数调整!$J$33</f>
        <v>统领掉落</v>
      </c>
      <c r="C3165" s="8" t="str">
        <f>材料产出!$BB$2</f>
        <v>衣服碎片</v>
      </c>
      <c r="D3165" s="224">
        <f>参数调整!$K$33*怪物掉落配置方案!$D4191</f>
        <v>7.6728153298061285E-4</v>
      </c>
    </row>
    <row r="3166" spans="1:4" ht="16.5" hidden="1" x14ac:dyDescent="0.3">
      <c r="A3166" s="10" t="str">
        <f>基本属性!$B$8&amp;"|"&amp;基本属性!$C$8</f>
        <v>65|0</v>
      </c>
      <c r="B3166" s="10" t="str">
        <f>参数调整!$J$33</f>
        <v>统领掉落</v>
      </c>
      <c r="C3166" s="8" t="str">
        <f>材料产出!$BB$2</f>
        <v>衣服碎片</v>
      </c>
      <c r="D3166" s="224">
        <f>参数调整!$K$33*怪物掉落配置方案!$D4192</f>
        <v>9.131284359438699E-4</v>
      </c>
    </row>
    <row r="3167" spans="1:4" ht="16.5" hidden="1" x14ac:dyDescent="0.3">
      <c r="A3167" s="10" t="str">
        <f>基本属性!$B$9&amp;"|"&amp;基本属性!$C$9</f>
        <v>70|0</v>
      </c>
      <c r="B3167" s="10" t="str">
        <f>参数调整!$J$33</f>
        <v>统领掉落</v>
      </c>
      <c r="C3167" s="8" t="str">
        <f>材料产出!$BB$2</f>
        <v>衣服碎片</v>
      </c>
      <c r="D3167" s="224">
        <f>参数调整!$K$33*怪物掉落配置方案!$D4193</f>
        <v>1.0716576782952361E-3</v>
      </c>
    </row>
    <row r="3168" spans="1:4" ht="16.5" hidden="1" x14ac:dyDescent="0.3">
      <c r="A3168" s="10" t="str">
        <f>基本属性!$B$10&amp;"|"&amp;基本属性!$C$10</f>
        <v>75|0</v>
      </c>
      <c r="B3168" s="10" t="str">
        <f>参数调整!$J$33</f>
        <v>统领掉落</v>
      </c>
      <c r="C3168" s="8" t="str">
        <f>材料产出!$BB$2</f>
        <v>衣服碎片</v>
      </c>
      <c r="D3168" s="224">
        <f>参数调整!$K$33*怪物掉落配置方案!$D4194</f>
        <v>1.2428692600347116E-3</v>
      </c>
    </row>
    <row r="3169" spans="1:4" ht="16.5" hidden="1" x14ac:dyDescent="0.3">
      <c r="A3169" s="10" t="str">
        <f>基本属性!$B$11&amp;"|"&amp;基本属性!$C$11</f>
        <v>80|1</v>
      </c>
      <c r="B3169" s="10" t="str">
        <f>参数调整!$J$33</f>
        <v>统领掉落</v>
      </c>
      <c r="C3169" s="8" t="str">
        <f>材料产出!$BB$2</f>
        <v>衣服碎片</v>
      </c>
      <c r="D3169" s="224">
        <f>参数调整!$K$33*怪物掉落配置方案!$D4195</f>
        <v>1.4267631811622965E-3</v>
      </c>
    </row>
    <row r="3170" spans="1:4" ht="16.5" hidden="1" x14ac:dyDescent="0.3">
      <c r="A3170" s="10" t="str">
        <f>基本属性!$B$12&amp;"|"&amp;基本属性!$C$12</f>
        <v>90|2</v>
      </c>
      <c r="B3170" s="10" t="str">
        <f>参数调整!$J$33</f>
        <v>统领掉落</v>
      </c>
      <c r="C3170" s="8" t="str">
        <f>材料产出!$BB$2</f>
        <v>衣服碎片</v>
      </c>
      <c r="D3170" s="224">
        <f>参数调整!$K$33*怪物掉落配置方案!$D4196</f>
        <v>1.6233394416779912E-3</v>
      </c>
    </row>
    <row r="3171" spans="1:4" ht="16.5" hidden="1" x14ac:dyDescent="0.3">
      <c r="A3171" s="10" t="str">
        <f>基本属性!$B$13&amp;"|"&amp;基本属性!$C$13</f>
        <v>100|3</v>
      </c>
      <c r="B3171" s="10" t="str">
        <f>参数调整!$J$33</f>
        <v>统领掉落</v>
      </c>
      <c r="C3171" s="8" t="str">
        <f>材料产出!$BB$2</f>
        <v>衣服碎片</v>
      </c>
      <c r="D3171" s="224">
        <f>参数调整!$K$33*怪物掉落配置方案!$D4197</f>
        <v>2.0545389808737076E-3</v>
      </c>
    </row>
    <row r="3172" spans="1:4" ht="16.5" hidden="1" x14ac:dyDescent="0.3">
      <c r="A3172" s="10" t="str">
        <f>基本属性!$B$14&amp;"|"&amp;基本属性!$C$14</f>
        <v>105|4</v>
      </c>
      <c r="B3172" s="10" t="str">
        <f>参数调整!$J$33</f>
        <v>统领掉落</v>
      </c>
      <c r="C3172" s="8" t="str">
        <f>材料产出!$BB$2</f>
        <v>衣服碎片</v>
      </c>
      <c r="D3172" s="224">
        <f>参数调整!$K$33*怪物掉落配置方案!$D4198</f>
        <v>2.5364678776218607E-3</v>
      </c>
    </row>
    <row r="3173" spans="1:4" ht="16.5" hidden="1" x14ac:dyDescent="0.3">
      <c r="A3173" s="10" t="str">
        <f>基本属性!$B$15&amp;"|"&amp;基本属性!$C$15</f>
        <v>110|5</v>
      </c>
      <c r="B3173" s="10" t="str">
        <f>参数调整!$J$33</f>
        <v>统领掉落</v>
      </c>
      <c r="C3173" s="8" t="str">
        <f>材料产出!$BB$2</f>
        <v>衣服碎片</v>
      </c>
      <c r="D3173" s="224">
        <f>参数调整!$K$33*怪物掉落配置方案!$D4199</f>
        <v>3.0691261319224523E-3</v>
      </c>
    </row>
    <row r="3174" spans="1:4" ht="16.5" hidden="1" x14ac:dyDescent="0.3">
      <c r="A3174" s="10" t="str">
        <f>基本属性!$B$16&amp;"|"&amp;基本属性!$C$16</f>
        <v>120|6</v>
      </c>
      <c r="B3174" s="10" t="str">
        <f>参数调整!$J$33</f>
        <v>统领掉落</v>
      </c>
      <c r="C3174" s="8" t="str">
        <f>材料产出!$BB$2</f>
        <v>衣服碎片</v>
      </c>
      <c r="D3174" s="224">
        <f>参数调整!$K$33*怪物掉落配置方案!$D4200</f>
        <v>3.9632310587841583E-3</v>
      </c>
    </row>
    <row r="3175" spans="1:4" ht="16.5" hidden="1" x14ac:dyDescent="0.3">
      <c r="A3175" s="10" t="str">
        <f>基本属性!$B$17&amp;"|"&amp;基本属性!$C$17</f>
        <v>135|7</v>
      </c>
      <c r="B3175" s="10" t="str">
        <f>参数调整!$J$33</f>
        <v>统领掉落</v>
      </c>
      <c r="C3175" s="8" t="str">
        <f>材料产出!$BB$2</f>
        <v>衣服碎片</v>
      </c>
      <c r="D3175" s="224">
        <f>参数调整!$K$33*怪物掉落配置方案!$D4201</f>
        <v>5.7070527246491859E-3</v>
      </c>
    </row>
    <row r="3176" spans="1:4" ht="16.5" hidden="1" x14ac:dyDescent="0.3">
      <c r="A3176" s="10" t="str">
        <f>基本属性!$B$18&amp;"|"&amp;基本属性!$C$18</f>
        <v>155|8</v>
      </c>
      <c r="B3176" s="10" t="str">
        <f>参数调整!$J$33</f>
        <v>统领掉落</v>
      </c>
      <c r="C3176" s="8" t="str">
        <f>材料产出!$BB$2</f>
        <v>衣服碎片</v>
      </c>
      <c r="D3176" s="224">
        <f>参数调整!$K$33*怪物掉落配置方案!$D4202</f>
        <v>7.7679328752169492E-3</v>
      </c>
    </row>
    <row r="3177" spans="1:4" ht="16.5" hidden="1" x14ac:dyDescent="0.3">
      <c r="A3177" s="10" t="str">
        <f>基本属性!$B$19&amp;"|"&amp;基本属性!$C$19</f>
        <v>190|9</v>
      </c>
      <c r="B3177" s="10" t="str">
        <f>参数调整!$J$33</f>
        <v>统领掉落</v>
      </c>
      <c r="C3177" s="8" t="str">
        <f>材料产出!$BB$2</f>
        <v>衣服碎片</v>
      </c>
      <c r="D3177" s="224">
        <f>参数调整!$K$33*怪物掉落配置方案!$D4203</f>
        <v>8.6810613111608179E-3</v>
      </c>
    </row>
    <row r="3178" spans="1:4" ht="16.5" hidden="1" x14ac:dyDescent="0.3">
      <c r="A3178" s="10" t="str">
        <f>基本属性!$B$20&amp;"|"&amp;基本属性!$C$20</f>
        <v>200|10</v>
      </c>
      <c r="B3178" s="10" t="str">
        <f>参数调整!$J$33</f>
        <v>统领掉落</v>
      </c>
      <c r="C3178" s="8" t="str">
        <f>材料产出!$BB$2</f>
        <v>衣服碎片</v>
      </c>
      <c r="D3178" s="224">
        <f>参数调整!$K$33*怪物掉落配置方案!$D4204</f>
        <v>1.0145871510487443E-2</v>
      </c>
    </row>
    <row r="3179" spans="1:4" ht="16.5" hidden="1" x14ac:dyDescent="0.3">
      <c r="A3179" s="10" t="str">
        <f>基本属性!$B$21&amp;"|"&amp;基本属性!$C$21</f>
        <v>200|11</v>
      </c>
      <c r="B3179" s="10" t="str">
        <f>参数调整!$J$33</f>
        <v>统领掉落</v>
      </c>
      <c r="C3179" s="8" t="str">
        <f>材料产出!$BB$2</f>
        <v>衣服碎片</v>
      </c>
      <c r="D3179" s="224">
        <f>参数调整!$K$33*怪物掉落配置方案!$D4205</f>
        <v>1.1724822764307048E-2</v>
      </c>
    </row>
    <row r="3180" spans="1:4" ht="16.5" hidden="1" x14ac:dyDescent="0.3">
      <c r="A3180" s="10" t="str">
        <f>基本属性!$B$22&amp;"|"&amp;基本属性!$C$22</f>
        <v>210|12</v>
      </c>
      <c r="B3180" s="10" t="str">
        <f>参数调整!$J$33</f>
        <v>统领掉落</v>
      </c>
      <c r="C3180" s="8" t="str">
        <f>材料产出!$BB$2</f>
        <v>衣服碎片</v>
      </c>
      <c r="D3180" s="224">
        <f>参数调整!$K$33*怪物掉落配置方案!$D4206</f>
        <v>1.3417915072619638E-2</v>
      </c>
    </row>
    <row r="3181" spans="1:4" ht="16.5" hidden="1" x14ac:dyDescent="0.3">
      <c r="A3181" s="10" t="str">
        <f>基本属性!$B$23&amp;"|"&amp;基本属性!$C$23</f>
        <v>210|13</v>
      </c>
      <c r="B3181" s="10" t="str">
        <f>参数调整!$J$33</f>
        <v>统领掉落</v>
      </c>
      <c r="C3181" s="8" t="str">
        <f>材料产出!$BB$2</f>
        <v>衣服碎片</v>
      </c>
      <c r="D3181" s="224">
        <f>参数调整!$K$33*怪物掉落配置方案!$D4207</f>
        <v>1.5225148435425221E-2</v>
      </c>
    </row>
    <row r="3182" spans="1:4" ht="16.5" hidden="1" x14ac:dyDescent="0.3">
      <c r="A3182" s="10" t="str">
        <f>基本属性!$B$24&amp;"|"&amp;基本属性!$C$24</f>
        <v>220|14</v>
      </c>
      <c r="B3182" s="10" t="str">
        <f>参数调整!$J$33</f>
        <v>统领掉落</v>
      </c>
      <c r="C3182" s="8" t="str">
        <f>材料产出!$BB$2</f>
        <v>衣服碎片</v>
      </c>
      <c r="D3182" s="224">
        <f>参数调整!$K$33*怪物掉落配置方案!$D4208</f>
        <v>1.7146522852723778E-2</v>
      </c>
    </row>
    <row r="3183" spans="1:4" ht="16.5" hidden="1" x14ac:dyDescent="0.3">
      <c r="A3183" s="10" t="str">
        <f>基本属性!$B$25&amp;"|"&amp;基本属性!$C$25</f>
        <v>220|15</v>
      </c>
      <c r="B3183" s="10" t="str">
        <f>参数调整!$J$33</f>
        <v>统领掉落</v>
      </c>
      <c r="C3183" s="8" t="str">
        <f>材料产出!$BB$2</f>
        <v>衣服碎片</v>
      </c>
      <c r="D3183" s="224">
        <f>参数调整!$K$33*怪物掉落配置方案!$D4209</f>
        <v>1.9182038324515316E-2</v>
      </c>
    </row>
    <row r="3184" spans="1:4" ht="16.5" hidden="1" x14ac:dyDescent="0.3">
      <c r="A3184" s="10" t="str">
        <f>基本属性!$B$26&amp;"|"&amp;基本属性!$C$26</f>
        <v>230|16</v>
      </c>
      <c r="B3184" s="10" t="str">
        <f>参数调整!$J$33</f>
        <v>统领掉落</v>
      </c>
      <c r="C3184" s="8" t="str">
        <f>材料产出!$BB$2</f>
        <v>衣服碎片</v>
      </c>
      <c r="D3184" s="224">
        <f>参数调整!$K$33*怪物掉落配置方案!$D4210</f>
        <v>2.1331694850799846E-2</v>
      </c>
    </row>
    <row r="3185" spans="1:4" ht="16.5" hidden="1" x14ac:dyDescent="0.3">
      <c r="A3185" s="10" t="str">
        <f>基本属性!$B$27&amp;"|"&amp;基本属性!$C$27</f>
        <v>230|17</v>
      </c>
      <c r="B3185" s="10" t="str">
        <f>参数调整!$J$33</f>
        <v>统领掉落</v>
      </c>
      <c r="C3185" s="8" t="str">
        <f>材料产出!$BB$2</f>
        <v>衣服碎片</v>
      </c>
      <c r="D3185" s="224">
        <f>参数调整!$K$33*怪物掉落配置方案!$D4211</f>
        <v>2.3595492431577356E-2</v>
      </c>
    </row>
    <row r="3186" spans="1:4" ht="16.5" hidden="1" x14ac:dyDescent="0.3">
      <c r="A3186" s="10" t="str">
        <f>基本属性!$B$28&amp;"|"&amp;基本属性!$C$28</f>
        <v>240|18</v>
      </c>
      <c r="B3186" s="10" t="str">
        <f>参数调整!$J$33</f>
        <v>统领掉落</v>
      </c>
      <c r="C3186" s="8" t="str">
        <f>材料产出!$BB$2</f>
        <v>衣服碎片</v>
      </c>
      <c r="D3186" s="224">
        <f>参数调整!$K$33*怪物掉落配置方案!$D4212</f>
        <v>2.5973431066847852E-2</v>
      </c>
    </row>
    <row r="3187" spans="1:4" ht="16.5" hidden="1" x14ac:dyDescent="0.3">
      <c r="A3187" s="10" t="str">
        <f>基本属性!$B$29&amp;"|"&amp;基本属性!$C$29</f>
        <v>240|19</v>
      </c>
      <c r="B3187" s="10" t="str">
        <f>参数调整!$J$33</f>
        <v>统领掉落</v>
      </c>
      <c r="C3187" s="8" t="str">
        <f>材料产出!$BB$2</f>
        <v>衣服碎片</v>
      </c>
      <c r="D3187" s="224">
        <f>参数调整!$K$33*怪物掉落配置方案!$D4213</f>
        <v>2.8465510756611332E-2</v>
      </c>
    </row>
    <row r="3188" spans="1:4" ht="16.5" hidden="1" x14ac:dyDescent="0.3">
      <c r="A3188" s="10" t="str">
        <f>基本属性!$B$30&amp;"|"&amp;基本属性!$C$30</f>
        <v>250|20</v>
      </c>
      <c r="B3188" s="10" t="str">
        <f>参数调整!$J$33</f>
        <v>统领掉落</v>
      </c>
      <c r="C3188" s="8" t="str">
        <f>材料产出!$BB$2</f>
        <v>衣服碎片</v>
      </c>
      <c r="D3188" s="224">
        <f>参数调整!$K$33*怪物掉落配置方案!$D4214</f>
        <v>3.1071731500867783E-2</v>
      </c>
    </row>
    <row r="3189" spans="1:4" ht="16.5" hidden="1" x14ac:dyDescent="0.3">
      <c r="A3189" s="10" t="str">
        <f>基本属性!$B$4&amp;"|"&amp;基本属性!$C$4</f>
        <v>35|0</v>
      </c>
      <c r="B3189" s="10" t="str">
        <f>参数调整!$J$33</f>
        <v>统领掉落</v>
      </c>
      <c r="C3189" s="8" t="str">
        <f>材料产出!$HX$2</f>
        <v>星座装备</v>
      </c>
      <c r="D3189" s="224">
        <f>参数调整!$K$33*怪物掉落配置方案!$D4215</f>
        <v>0</v>
      </c>
    </row>
    <row r="3190" spans="1:4" ht="16.5" hidden="1" x14ac:dyDescent="0.3">
      <c r="A3190" s="10" t="str">
        <f>基本属性!$B$5&amp;"|"&amp;基本属性!$C$5</f>
        <v>40|0</v>
      </c>
      <c r="B3190" s="10" t="str">
        <f>参数调整!$J$33</f>
        <v>统领掉落</v>
      </c>
      <c r="C3190" s="8" t="str">
        <f>材料产出!$HX$2</f>
        <v>星座装备</v>
      </c>
      <c r="D3190" s="224">
        <f>参数调整!$K$33*怪物掉落配置方案!$D4216</f>
        <v>0</v>
      </c>
    </row>
    <row r="3191" spans="1:4" ht="16.5" hidden="1" x14ac:dyDescent="0.3">
      <c r="A3191" s="10" t="str">
        <f>基本属性!$B$6&amp;"|"&amp;基本属性!$C$6</f>
        <v>50|0</v>
      </c>
      <c r="B3191" s="10" t="str">
        <f>参数调整!$J$33</f>
        <v>统领掉落</v>
      </c>
      <c r="C3191" s="8" t="str">
        <f>材料产出!$HX$2</f>
        <v>星座装备</v>
      </c>
      <c r="D3191" s="224">
        <f>参数调整!$K$33*怪物掉落配置方案!$D4217</f>
        <v>0</v>
      </c>
    </row>
    <row r="3192" spans="1:4" ht="16.5" hidden="1" x14ac:dyDescent="0.3">
      <c r="A3192" s="10" t="str">
        <f>基本属性!$B$7&amp;"|"&amp;基本属性!$C$7</f>
        <v>60|0</v>
      </c>
      <c r="B3192" s="10" t="str">
        <f>参数调整!$J$33</f>
        <v>统领掉落</v>
      </c>
      <c r="C3192" s="8" t="str">
        <f>材料产出!$HX$2</f>
        <v>星座装备</v>
      </c>
      <c r="D3192" s="224">
        <f>参数调整!$K$33*怪物掉落配置方案!$D4218</f>
        <v>0</v>
      </c>
    </row>
    <row r="3193" spans="1:4" ht="16.5" hidden="1" x14ac:dyDescent="0.3">
      <c r="A3193" s="10" t="str">
        <f>基本属性!$B$8&amp;"|"&amp;基本属性!$C$8</f>
        <v>65|0</v>
      </c>
      <c r="B3193" s="10" t="str">
        <f>参数调整!$J$33</f>
        <v>统领掉落</v>
      </c>
      <c r="C3193" s="8" t="str">
        <f>材料产出!$HX$2</f>
        <v>星座装备</v>
      </c>
      <c r="D3193" s="224">
        <f>参数调整!$K$33*怪物掉落配置方案!$D4219</f>
        <v>0</v>
      </c>
    </row>
    <row r="3194" spans="1:4" ht="16.5" hidden="1" x14ac:dyDescent="0.3">
      <c r="A3194" s="10" t="str">
        <f>基本属性!$B$9&amp;"|"&amp;基本属性!$C$9</f>
        <v>70|0</v>
      </c>
      <c r="B3194" s="10" t="str">
        <f>参数调整!$J$33</f>
        <v>统领掉落</v>
      </c>
      <c r="C3194" s="8" t="str">
        <f>材料产出!$HX$2</f>
        <v>星座装备</v>
      </c>
      <c r="D3194" s="224">
        <f>参数调整!$K$33*怪物掉落配置方案!$D4220</f>
        <v>0</v>
      </c>
    </row>
    <row r="3195" spans="1:4" ht="16.5" hidden="1" x14ac:dyDescent="0.3">
      <c r="A3195" s="10" t="str">
        <f>基本属性!$B$10&amp;"|"&amp;基本属性!$C$10</f>
        <v>75|0</v>
      </c>
      <c r="B3195" s="10" t="str">
        <f>参数调整!$J$33</f>
        <v>统领掉落</v>
      </c>
      <c r="C3195" s="8" t="str">
        <f>材料产出!$HX$2</f>
        <v>星座装备</v>
      </c>
      <c r="D3195" s="224">
        <f>参数调整!$K$33*怪物掉落配置方案!$D4221</f>
        <v>0</v>
      </c>
    </row>
    <row r="3196" spans="1:4" ht="16.5" hidden="1" x14ac:dyDescent="0.3">
      <c r="A3196" s="10" t="str">
        <f>基本属性!$B$11&amp;"|"&amp;基本属性!$C$11</f>
        <v>80|1</v>
      </c>
      <c r="B3196" s="10" t="str">
        <f>参数调整!$J$33</f>
        <v>统领掉落</v>
      </c>
      <c r="C3196" s="8" t="str">
        <f>材料产出!$HX$2</f>
        <v>星座装备</v>
      </c>
      <c r="D3196" s="224">
        <f>参数调整!$K$33*怪物掉落配置方案!$D4222</f>
        <v>0</v>
      </c>
    </row>
    <row r="3197" spans="1:4" ht="16.5" hidden="1" x14ac:dyDescent="0.3">
      <c r="A3197" s="10" t="str">
        <f>基本属性!$B$12&amp;"|"&amp;基本属性!$C$12</f>
        <v>90|2</v>
      </c>
      <c r="B3197" s="10" t="str">
        <f>参数调整!$J$33</f>
        <v>统领掉落</v>
      </c>
      <c r="C3197" s="8" t="str">
        <f>材料产出!$HX$2</f>
        <v>星座装备</v>
      </c>
      <c r="D3197" s="224">
        <f>参数调整!$K$33*怪物掉落配置方案!$D4223</f>
        <v>0</v>
      </c>
    </row>
    <row r="3198" spans="1:4" ht="16.5" hidden="1" x14ac:dyDescent="0.3">
      <c r="A3198" s="10" t="str">
        <f>基本属性!$B$13&amp;"|"&amp;基本属性!$C$13</f>
        <v>100|3</v>
      </c>
      <c r="B3198" s="10" t="str">
        <f>参数调整!$J$33</f>
        <v>统领掉落</v>
      </c>
      <c r="C3198" s="8" t="str">
        <f>材料产出!$HX$2</f>
        <v>星座装备</v>
      </c>
      <c r="D3198" s="224">
        <f>参数调整!$K$33*怪物掉落配置方案!$D4224</f>
        <v>0</v>
      </c>
    </row>
    <row r="3199" spans="1:4" ht="16.5" hidden="1" x14ac:dyDescent="0.3">
      <c r="A3199" s="10" t="str">
        <f>基本属性!$B$14&amp;"|"&amp;基本属性!$C$14</f>
        <v>105|4</v>
      </c>
      <c r="B3199" s="10" t="str">
        <f>参数调整!$J$33</f>
        <v>统领掉落</v>
      </c>
      <c r="C3199" s="8" t="str">
        <f>材料产出!$HX$2</f>
        <v>星座装备</v>
      </c>
      <c r="D3199" s="224">
        <f>参数调整!$K$33*怪物掉落配置方案!$D4225</f>
        <v>0</v>
      </c>
    </row>
    <row r="3200" spans="1:4" ht="16.5" hidden="1" x14ac:dyDescent="0.3">
      <c r="A3200" s="10" t="str">
        <f>基本属性!$B$15&amp;"|"&amp;基本属性!$C$15</f>
        <v>110|5</v>
      </c>
      <c r="B3200" s="10" t="str">
        <f>参数调整!$J$33</f>
        <v>统领掉落</v>
      </c>
      <c r="C3200" s="8" t="str">
        <f>材料产出!$HX$2</f>
        <v>星座装备</v>
      </c>
      <c r="D3200" s="224">
        <f>参数调整!$K$33*怪物掉落配置方案!$D4226</f>
        <v>0</v>
      </c>
    </row>
    <row r="3201" spans="1:4" ht="16.5" hidden="1" x14ac:dyDescent="0.3">
      <c r="A3201" s="10" t="str">
        <f>基本属性!$B$16&amp;"|"&amp;基本属性!$C$16</f>
        <v>120|6</v>
      </c>
      <c r="B3201" s="10" t="str">
        <f>参数调整!$J$33</f>
        <v>统领掉落</v>
      </c>
      <c r="C3201" s="8" t="str">
        <f>材料产出!$HX$2</f>
        <v>星座装备</v>
      </c>
      <c r="D3201" s="224">
        <f>参数调整!$K$33*怪物掉落配置方案!$D4227</f>
        <v>0</v>
      </c>
    </row>
    <row r="3202" spans="1:4" ht="16.5" hidden="1" x14ac:dyDescent="0.3">
      <c r="A3202" s="10" t="str">
        <f>基本属性!$B$17&amp;"|"&amp;基本属性!$C$17</f>
        <v>135|7</v>
      </c>
      <c r="B3202" s="10" t="str">
        <f>参数调整!$J$33</f>
        <v>统领掉落</v>
      </c>
      <c r="C3202" s="8" t="str">
        <f>材料产出!$HX$2</f>
        <v>星座装备</v>
      </c>
      <c r="D3202" s="224">
        <f>参数调整!$K$33*怪物掉落配置方案!$D4228</f>
        <v>0</v>
      </c>
    </row>
    <row r="3203" spans="1:4" ht="16.5" hidden="1" x14ac:dyDescent="0.3">
      <c r="A3203" s="10" t="str">
        <f>基本属性!$B$18&amp;"|"&amp;基本属性!$C$18</f>
        <v>155|8</v>
      </c>
      <c r="B3203" s="10" t="str">
        <f>参数调整!$J$33</f>
        <v>统领掉落</v>
      </c>
      <c r="C3203" s="8" t="str">
        <f>材料产出!$HX$2</f>
        <v>星座装备</v>
      </c>
      <c r="D3203" s="224">
        <f>参数调整!$K$33*怪物掉落配置方案!$D4229</f>
        <v>0</v>
      </c>
    </row>
    <row r="3204" spans="1:4" ht="16.5" hidden="1" x14ac:dyDescent="0.3">
      <c r="A3204" s="10" t="str">
        <f>基本属性!$B$19&amp;"|"&amp;基本属性!$C$19</f>
        <v>190|9</v>
      </c>
      <c r="B3204" s="10" t="str">
        <f>参数调整!$J$33</f>
        <v>统领掉落</v>
      </c>
      <c r="C3204" s="8" t="str">
        <f>材料产出!$HX$2</f>
        <v>星座装备</v>
      </c>
      <c r="D3204" s="224">
        <f>参数调整!$K$33*怪物掉落配置方案!$D4230</f>
        <v>0</v>
      </c>
    </row>
    <row r="3205" spans="1:4" ht="16.5" hidden="1" x14ac:dyDescent="0.3">
      <c r="A3205" s="10" t="str">
        <f>基本属性!$B$20&amp;"|"&amp;基本属性!$C$20</f>
        <v>200|10</v>
      </c>
      <c r="B3205" s="10" t="str">
        <f>参数调整!$J$33</f>
        <v>统领掉落</v>
      </c>
      <c r="C3205" s="8" t="str">
        <f>材料产出!$HX$2</f>
        <v>星座装备</v>
      </c>
      <c r="D3205" s="224">
        <f>参数调整!$K$33*怪物掉落配置方案!$D4231</f>
        <v>0</v>
      </c>
    </row>
    <row r="3206" spans="1:4" ht="16.5" hidden="1" x14ac:dyDescent="0.3">
      <c r="A3206" s="10" t="str">
        <f>基本属性!$B$21&amp;"|"&amp;基本属性!$C$21</f>
        <v>200|11</v>
      </c>
      <c r="B3206" s="10" t="str">
        <f>参数调整!$J$33</f>
        <v>统领掉落</v>
      </c>
      <c r="C3206" s="8" t="str">
        <f>材料产出!$HX$2</f>
        <v>星座装备</v>
      </c>
      <c r="D3206" s="224">
        <f>参数调整!$K$33*怪物掉落配置方案!$D4232</f>
        <v>0</v>
      </c>
    </row>
    <row r="3207" spans="1:4" ht="16.5" hidden="1" x14ac:dyDescent="0.3">
      <c r="A3207" s="10" t="str">
        <f>基本属性!$B$22&amp;"|"&amp;基本属性!$C$22</f>
        <v>210|12</v>
      </c>
      <c r="B3207" s="10" t="str">
        <f>参数调整!$J$33</f>
        <v>统领掉落</v>
      </c>
      <c r="C3207" s="8" t="str">
        <f>材料产出!$HX$2</f>
        <v>星座装备</v>
      </c>
      <c r="D3207" s="224">
        <f>参数调整!$K$33*怪物掉落配置方案!$D4233</f>
        <v>0</v>
      </c>
    </row>
    <row r="3208" spans="1:4" ht="16.5" hidden="1" x14ac:dyDescent="0.3">
      <c r="A3208" s="10" t="str">
        <f>基本属性!$B$23&amp;"|"&amp;基本属性!$C$23</f>
        <v>210|13</v>
      </c>
      <c r="B3208" s="10" t="str">
        <f>参数调整!$J$33</f>
        <v>统领掉落</v>
      </c>
      <c r="C3208" s="8" t="str">
        <f>材料产出!$HX$2</f>
        <v>星座装备</v>
      </c>
      <c r="D3208" s="224">
        <f>参数调整!$K$33*怪物掉落配置方案!$D4234</f>
        <v>0</v>
      </c>
    </row>
    <row r="3209" spans="1:4" ht="16.5" hidden="1" x14ac:dyDescent="0.3">
      <c r="A3209" s="10" t="str">
        <f>基本属性!$B$24&amp;"|"&amp;基本属性!$C$24</f>
        <v>220|14</v>
      </c>
      <c r="B3209" s="10" t="str">
        <f>参数调整!$J$33</f>
        <v>统领掉落</v>
      </c>
      <c r="C3209" s="8" t="str">
        <f>材料产出!$HX$2</f>
        <v>星座装备</v>
      </c>
      <c r="D3209" s="224">
        <f>参数调整!$K$33*怪物掉落配置方案!$D4235</f>
        <v>0</v>
      </c>
    </row>
    <row r="3210" spans="1:4" ht="16.5" hidden="1" x14ac:dyDescent="0.3">
      <c r="A3210" s="10" t="str">
        <f>基本属性!$B$25&amp;"|"&amp;基本属性!$C$25</f>
        <v>220|15</v>
      </c>
      <c r="B3210" s="10" t="str">
        <f>参数调整!$J$33</f>
        <v>统领掉落</v>
      </c>
      <c r="C3210" s="8" t="str">
        <f>材料产出!$HX$2</f>
        <v>星座装备</v>
      </c>
      <c r="D3210" s="224">
        <f>参数调整!$K$33*怪物掉落配置方案!$D4236</f>
        <v>0</v>
      </c>
    </row>
    <row r="3211" spans="1:4" ht="16.5" hidden="1" x14ac:dyDescent="0.3">
      <c r="A3211" s="10" t="str">
        <f>基本属性!$B$26&amp;"|"&amp;基本属性!$C$26</f>
        <v>230|16</v>
      </c>
      <c r="B3211" s="10" t="str">
        <f>参数调整!$J$33</f>
        <v>统领掉落</v>
      </c>
      <c r="C3211" s="8" t="str">
        <f>材料产出!$HX$2</f>
        <v>星座装备</v>
      </c>
      <c r="D3211" s="224">
        <f>参数调整!$K$33*怪物掉落配置方案!$D4237</f>
        <v>0</v>
      </c>
    </row>
    <row r="3212" spans="1:4" ht="16.5" hidden="1" x14ac:dyDescent="0.3">
      <c r="A3212" s="10" t="str">
        <f>基本属性!$B$27&amp;"|"&amp;基本属性!$C$27</f>
        <v>230|17</v>
      </c>
      <c r="B3212" s="10" t="str">
        <f>参数调整!$J$33</f>
        <v>统领掉落</v>
      </c>
      <c r="C3212" s="8" t="str">
        <f>材料产出!$HX$2</f>
        <v>星座装备</v>
      </c>
      <c r="D3212" s="224">
        <f>参数调整!$K$33*怪物掉落配置方案!$D4238</f>
        <v>0</v>
      </c>
    </row>
    <row r="3213" spans="1:4" ht="16.5" hidden="1" x14ac:dyDescent="0.3">
      <c r="A3213" s="10" t="str">
        <f>基本属性!$B$28&amp;"|"&amp;基本属性!$C$28</f>
        <v>240|18</v>
      </c>
      <c r="B3213" s="10" t="str">
        <f>参数调整!$J$33</f>
        <v>统领掉落</v>
      </c>
      <c r="C3213" s="8" t="str">
        <f>材料产出!$HX$2</f>
        <v>星座装备</v>
      </c>
      <c r="D3213" s="224">
        <f>参数调整!$K$33*怪物掉落配置方案!$D4239</f>
        <v>0</v>
      </c>
    </row>
    <row r="3214" spans="1:4" ht="16.5" hidden="1" x14ac:dyDescent="0.3">
      <c r="A3214" s="10" t="str">
        <f>基本属性!$B$29&amp;"|"&amp;基本属性!$C$29</f>
        <v>240|19</v>
      </c>
      <c r="B3214" s="10" t="str">
        <f>参数调整!$J$33</f>
        <v>统领掉落</v>
      </c>
      <c r="C3214" s="8" t="str">
        <f>材料产出!$HX$2</f>
        <v>星座装备</v>
      </c>
      <c r="D3214" s="224">
        <f>参数调整!$K$33*怪物掉落配置方案!$D4240</f>
        <v>0</v>
      </c>
    </row>
    <row r="3215" spans="1:4" ht="16.5" hidden="1" x14ac:dyDescent="0.3">
      <c r="A3215" s="10" t="str">
        <f>基本属性!$B$30&amp;"|"&amp;基本属性!$C$30</f>
        <v>250|20</v>
      </c>
      <c r="B3215" s="10" t="str">
        <f>参数调整!$J$33</f>
        <v>统领掉落</v>
      </c>
      <c r="C3215" s="8" t="str">
        <f>材料产出!$HX$2</f>
        <v>星座装备</v>
      </c>
      <c r="D3215" s="224">
        <f>参数调整!$K$33*怪物掉落配置方案!$D4241</f>
        <v>0</v>
      </c>
    </row>
    <row r="3216" spans="1:4" ht="16.5" hidden="1" x14ac:dyDescent="0.3">
      <c r="A3216" s="10" t="str">
        <f>基本属性!$B$4&amp;"|"&amp;基本属性!$C$4</f>
        <v>35|0</v>
      </c>
      <c r="B3216" s="10" t="str">
        <f>参数调整!$J$33</f>
        <v>统领掉落</v>
      </c>
      <c r="C3216" s="8" t="str">
        <f>材料产出!$BX$2</f>
        <v>新增材料9</v>
      </c>
      <c r="D3216" s="224">
        <f>参数调整!$K$33*怪物掉落配置方案!$D4242</f>
        <v>0</v>
      </c>
    </row>
    <row r="3217" spans="1:4" ht="16.5" hidden="1" x14ac:dyDescent="0.3">
      <c r="A3217" s="10" t="str">
        <f>基本属性!$B$5&amp;"|"&amp;基本属性!$C$5</f>
        <v>40|0</v>
      </c>
      <c r="B3217" s="10" t="str">
        <f>参数调整!$J$33</f>
        <v>统领掉落</v>
      </c>
      <c r="C3217" s="8" t="str">
        <f>材料产出!$BX$2</f>
        <v>新增材料9</v>
      </c>
      <c r="D3217" s="224">
        <f>参数调整!$K$33*怪物掉落配置方案!$D4243</f>
        <v>0</v>
      </c>
    </row>
    <row r="3218" spans="1:4" ht="16.5" hidden="1" x14ac:dyDescent="0.3">
      <c r="A3218" s="10" t="str">
        <f>基本属性!$B$6&amp;"|"&amp;基本属性!$C$6</f>
        <v>50|0</v>
      </c>
      <c r="B3218" s="10" t="str">
        <f>参数调整!$J$33</f>
        <v>统领掉落</v>
      </c>
      <c r="C3218" s="8" t="str">
        <f>材料产出!$BX$2</f>
        <v>新增材料9</v>
      </c>
      <c r="D3218" s="224">
        <f>参数调整!$K$33*怪物掉落配置方案!$D4244</f>
        <v>0</v>
      </c>
    </row>
    <row r="3219" spans="1:4" ht="16.5" hidden="1" x14ac:dyDescent="0.3">
      <c r="A3219" s="10" t="str">
        <f>基本属性!$B$7&amp;"|"&amp;基本属性!$C$7</f>
        <v>60|0</v>
      </c>
      <c r="B3219" s="10" t="str">
        <f>参数调整!$J$33</f>
        <v>统领掉落</v>
      </c>
      <c r="C3219" s="8" t="str">
        <f>材料产出!$BX$2</f>
        <v>新增材料9</v>
      </c>
      <c r="D3219" s="224">
        <f>参数调整!$K$33*怪物掉落配置方案!$D4245</f>
        <v>0</v>
      </c>
    </row>
    <row r="3220" spans="1:4" ht="16.5" hidden="1" x14ac:dyDescent="0.3">
      <c r="A3220" s="10" t="str">
        <f>基本属性!$B$8&amp;"|"&amp;基本属性!$C$8</f>
        <v>65|0</v>
      </c>
      <c r="B3220" s="10" t="str">
        <f>参数调整!$J$33</f>
        <v>统领掉落</v>
      </c>
      <c r="C3220" s="8" t="str">
        <f>材料产出!$BX$2</f>
        <v>新增材料9</v>
      </c>
      <c r="D3220" s="224">
        <f>参数调整!$K$33*怪物掉落配置方案!$D4246</f>
        <v>0</v>
      </c>
    </row>
    <row r="3221" spans="1:4" ht="16.5" hidden="1" x14ac:dyDescent="0.3">
      <c r="A3221" s="10" t="str">
        <f>基本属性!$B$9&amp;"|"&amp;基本属性!$C$9</f>
        <v>70|0</v>
      </c>
      <c r="B3221" s="10" t="str">
        <f>参数调整!$J$33</f>
        <v>统领掉落</v>
      </c>
      <c r="C3221" s="8" t="str">
        <f>材料产出!$BX$2</f>
        <v>新增材料9</v>
      </c>
      <c r="D3221" s="224">
        <f>参数调整!$K$33*怪物掉落配置方案!$D4247</f>
        <v>0</v>
      </c>
    </row>
    <row r="3222" spans="1:4" ht="16.5" hidden="1" x14ac:dyDescent="0.3">
      <c r="A3222" s="10" t="str">
        <f>基本属性!$B$10&amp;"|"&amp;基本属性!$C$10</f>
        <v>75|0</v>
      </c>
      <c r="B3222" s="10" t="str">
        <f>参数调整!$J$33</f>
        <v>统领掉落</v>
      </c>
      <c r="C3222" s="8" t="str">
        <f>材料产出!$BX$2</f>
        <v>新增材料9</v>
      </c>
      <c r="D3222" s="224">
        <f>参数调整!$K$33*怪物掉落配置方案!$D4248</f>
        <v>0</v>
      </c>
    </row>
    <row r="3223" spans="1:4" ht="16.5" hidden="1" x14ac:dyDescent="0.3">
      <c r="A3223" s="10" t="str">
        <f>基本属性!$B$11&amp;"|"&amp;基本属性!$C$11</f>
        <v>80|1</v>
      </c>
      <c r="B3223" s="10" t="str">
        <f>参数调整!$J$33</f>
        <v>统领掉落</v>
      </c>
      <c r="C3223" s="8" t="str">
        <f>材料产出!$BX$2</f>
        <v>新增材料9</v>
      </c>
      <c r="D3223" s="224">
        <f>参数调整!$K$33*怪物掉落配置方案!$D4249</f>
        <v>0</v>
      </c>
    </row>
    <row r="3224" spans="1:4" ht="16.5" hidden="1" x14ac:dyDescent="0.3">
      <c r="A3224" s="10" t="str">
        <f>基本属性!$B$12&amp;"|"&amp;基本属性!$C$12</f>
        <v>90|2</v>
      </c>
      <c r="B3224" s="10" t="str">
        <f>参数调整!$J$33</f>
        <v>统领掉落</v>
      </c>
      <c r="C3224" s="8" t="str">
        <f>材料产出!$BX$2</f>
        <v>新增材料9</v>
      </c>
      <c r="D3224" s="224">
        <f>参数调整!$K$33*怪物掉落配置方案!$D4250</f>
        <v>0</v>
      </c>
    </row>
    <row r="3225" spans="1:4" ht="16.5" hidden="1" x14ac:dyDescent="0.3">
      <c r="A3225" s="10" t="str">
        <f>基本属性!$B$13&amp;"|"&amp;基本属性!$C$13</f>
        <v>100|3</v>
      </c>
      <c r="B3225" s="10" t="str">
        <f>参数调整!$J$33</f>
        <v>统领掉落</v>
      </c>
      <c r="C3225" s="8" t="str">
        <f>材料产出!$BX$2</f>
        <v>新增材料9</v>
      </c>
      <c r="D3225" s="224">
        <f>参数调整!$K$33*怪物掉落配置方案!$D4251</f>
        <v>0</v>
      </c>
    </row>
    <row r="3226" spans="1:4" ht="16.5" hidden="1" x14ac:dyDescent="0.3">
      <c r="A3226" s="10" t="str">
        <f>基本属性!$B$14&amp;"|"&amp;基本属性!$C$14</f>
        <v>105|4</v>
      </c>
      <c r="B3226" s="10" t="str">
        <f>参数调整!$J$33</f>
        <v>统领掉落</v>
      </c>
      <c r="C3226" s="8" t="str">
        <f>材料产出!$BX$2</f>
        <v>新增材料9</v>
      </c>
      <c r="D3226" s="224">
        <f>参数调整!$K$33*怪物掉落配置方案!$D4252</f>
        <v>0</v>
      </c>
    </row>
    <row r="3227" spans="1:4" ht="16.5" hidden="1" x14ac:dyDescent="0.3">
      <c r="A3227" s="10" t="str">
        <f>基本属性!$B$15&amp;"|"&amp;基本属性!$C$15</f>
        <v>110|5</v>
      </c>
      <c r="B3227" s="10" t="str">
        <f>参数调整!$J$33</f>
        <v>统领掉落</v>
      </c>
      <c r="C3227" s="8" t="str">
        <f>材料产出!$BX$2</f>
        <v>新增材料9</v>
      </c>
      <c r="D3227" s="224">
        <f>参数调整!$K$33*怪物掉落配置方案!$D4253</f>
        <v>0</v>
      </c>
    </row>
    <row r="3228" spans="1:4" ht="16.5" hidden="1" x14ac:dyDescent="0.3">
      <c r="A3228" s="10" t="str">
        <f>基本属性!$B$16&amp;"|"&amp;基本属性!$C$16</f>
        <v>120|6</v>
      </c>
      <c r="B3228" s="10" t="str">
        <f>参数调整!$J$33</f>
        <v>统领掉落</v>
      </c>
      <c r="C3228" s="8" t="str">
        <f>材料产出!$BX$2</f>
        <v>新增材料9</v>
      </c>
      <c r="D3228" s="224">
        <f>参数调整!$K$33*怪物掉落配置方案!$D4254</f>
        <v>0</v>
      </c>
    </row>
    <row r="3229" spans="1:4" ht="16.5" hidden="1" x14ac:dyDescent="0.3">
      <c r="A3229" s="10" t="str">
        <f>基本属性!$B$17&amp;"|"&amp;基本属性!$C$17</f>
        <v>135|7</v>
      </c>
      <c r="B3229" s="10" t="str">
        <f>参数调整!$J$33</f>
        <v>统领掉落</v>
      </c>
      <c r="C3229" s="8" t="str">
        <f>材料产出!$BX$2</f>
        <v>新增材料9</v>
      </c>
      <c r="D3229" s="224">
        <f>参数调整!$K$33*怪物掉落配置方案!$D4255</f>
        <v>0</v>
      </c>
    </row>
    <row r="3230" spans="1:4" ht="16.5" hidden="1" x14ac:dyDescent="0.3">
      <c r="A3230" s="10" t="str">
        <f>基本属性!$B$18&amp;"|"&amp;基本属性!$C$18</f>
        <v>155|8</v>
      </c>
      <c r="B3230" s="10" t="str">
        <f>参数调整!$J$33</f>
        <v>统领掉落</v>
      </c>
      <c r="C3230" s="8" t="str">
        <f>材料产出!$BX$2</f>
        <v>新增材料9</v>
      </c>
      <c r="D3230" s="224">
        <f>参数调整!$K$33*怪物掉落配置方案!$D4256</f>
        <v>0</v>
      </c>
    </row>
    <row r="3231" spans="1:4" ht="16.5" hidden="1" x14ac:dyDescent="0.3">
      <c r="A3231" s="10" t="str">
        <f>基本属性!$B$19&amp;"|"&amp;基本属性!$C$19</f>
        <v>190|9</v>
      </c>
      <c r="B3231" s="10" t="str">
        <f>参数调整!$J$33</f>
        <v>统领掉落</v>
      </c>
      <c r="C3231" s="8" t="str">
        <f>材料产出!$BX$2</f>
        <v>新增材料9</v>
      </c>
      <c r="D3231" s="224">
        <f>参数调整!$K$33*怪物掉落配置方案!$D4257</f>
        <v>0</v>
      </c>
    </row>
    <row r="3232" spans="1:4" ht="16.5" hidden="1" x14ac:dyDescent="0.3">
      <c r="A3232" s="10" t="str">
        <f>基本属性!$B$20&amp;"|"&amp;基本属性!$C$20</f>
        <v>200|10</v>
      </c>
      <c r="B3232" s="10" t="str">
        <f>参数调整!$J$33</f>
        <v>统领掉落</v>
      </c>
      <c r="C3232" s="8" t="str">
        <f>材料产出!$BX$2</f>
        <v>新增材料9</v>
      </c>
      <c r="D3232" s="224">
        <f>参数调整!$K$33*怪物掉落配置方案!$D4258</f>
        <v>0</v>
      </c>
    </row>
    <row r="3233" spans="1:4" ht="16.5" hidden="1" x14ac:dyDescent="0.3">
      <c r="A3233" s="10" t="str">
        <f>基本属性!$B$21&amp;"|"&amp;基本属性!$C$21</f>
        <v>200|11</v>
      </c>
      <c r="B3233" s="10" t="str">
        <f>参数调整!$J$33</f>
        <v>统领掉落</v>
      </c>
      <c r="C3233" s="8" t="str">
        <f>材料产出!$BX$2</f>
        <v>新增材料9</v>
      </c>
      <c r="D3233" s="224">
        <f>参数调整!$K$33*怪物掉落配置方案!$D4259</f>
        <v>0</v>
      </c>
    </row>
    <row r="3234" spans="1:4" ht="16.5" hidden="1" x14ac:dyDescent="0.3">
      <c r="A3234" s="10" t="str">
        <f>基本属性!$B$22&amp;"|"&amp;基本属性!$C$22</f>
        <v>210|12</v>
      </c>
      <c r="B3234" s="10" t="str">
        <f>参数调整!$J$33</f>
        <v>统领掉落</v>
      </c>
      <c r="C3234" s="8" t="str">
        <f>材料产出!$BX$2</f>
        <v>新增材料9</v>
      </c>
      <c r="D3234" s="224">
        <f>参数调整!$K$33*怪物掉落配置方案!$D4260</f>
        <v>0</v>
      </c>
    </row>
    <row r="3235" spans="1:4" ht="16.5" hidden="1" x14ac:dyDescent="0.3">
      <c r="A3235" s="10" t="str">
        <f>基本属性!$B$23&amp;"|"&amp;基本属性!$C$23</f>
        <v>210|13</v>
      </c>
      <c r="B3235" s="10" t="str">
        <f>参数调整!$J$33</f>
        <v>统领掉落</v>
      </c>
      <c r="C3235" s="8" t="str">
        <f>材料产出!$BX$2</f>
        <v>新增材料9</v>
      </c>
      <c r="D3235" s="224">
        <f>参数调整!$K$33*怪物掉落配置方案!$D4261</f>
        <v>0</v>
      </c>
    </row>
    <row r="3236" spans="1:4" ht="16.5" hidden="1" x14ac:dyDescent="0.3">
      <c r="A3236" s="10" t="str">
        <f>基本属性!$B$24&amp;"|"&amp;基本属性!$C$24</f>
        <v>220|14</v>
      </c>
      <c r="B3236" s="10" t="str">
        <f>参数调整!$J$33</f>
        <v>统领掉落</v>
      </c>
      <c r="C3236" s="8" t="str">
        <f>材料产出!$BX$2</f>
        <v>新增材料9</v>
      </c>
      <c r="D3236" s="224">
        <f>参数调整!$K$33*怪物掉落配置方案!$D4262</f>
        <v>0</v>
      </c>
    </row>
    <row r="3237" spans="1:4" ht="16.5" hidden="1" x14ac:dyDescent="0.3">
      <c r="A3237" s="10" t="str">
        <f>基本属性!$B$25&amp;"|"&amp;基本属性!$C$25</f>
        <v>220|15</v>
      </c>
      <c r="B3237" s="10" t="str">
        <f>参数调整!$J$33</f>
        <v>统领掉落</v>
      </c>
      <c r="C3237" s="8" t="str">
        <f>材料产出!$BX$2</f>
        <v>新增材料9</v>
      </c>
      <c r="D3237" s="224">
        <f>参数调整!$K$33*怪物掉落配置方案!$D4263</f>
        <v>0</v>
      </c>
    </row>
    <row r="3238" spans="1:4" ht="16.5" hidden="1" x14ac:dyDescent="0.3">
      <c r="A3238" s="10" t="str">
        <f>基本属性!$B$26&amp;"|"&amp;基本属性!$C$26</f>
        <v>230|16</v>
      </c>
      <c r="B3238" s="10" t="str">
        <f>参数调整!$J$33</f>
        <v>统领掉落</v>
      </c>
      <c r="C3238" s="8" t="str">
        <f>材料产出!$BX$2</f>
        <v>新增材料9</v>
      </c>
      <c r="D3238" s="224">
        <f>参数调整!$K$33*怪物掉落配置方案!$D4264</f>
        <v>0</v>
      </c>
    </row>
    <row r="3239" spans="1:4" ht="16.5" hidden="1" x14ac:dyDescent="0.3">
      <c r="A3239" s="10" t="str">
        <f>基本属性!$B$27&amp;"|"&amp;基本属性!$C$27</f>
        <v>230|17</v>
      </c>
      <c r="B3239" s="10" t="str">
        <f>参数调整!$J$33</f>
        <v>统领掉落</v>
      </c>
      <c r="C3239" s="8" t="str">
        <f>材料产出!$BX$2</f>
        <v>新增材料9</v>
      </c>
      <c r="D3239" s="224">
        <f>参数调整!$K$33*怪物掉落配置方案!$D4265</f>
        <v>0</v>
      </c>
    </row>
    <row r="3240" spans="1:4" ht="16.5" hidden="1" x14ac:dyDescent="0.3">
      <c r="A3240" s="10" t="str">
        <f>基本属性!$B$28&amp;"|"&amp;基本属性!$C$28</f>
        <v>240|18</v>
      </c>
      <c r="B3240" s="10" t="str">
        <f>参数调整!$J$33</f>
        <v>统领掉落</v>
      </c>
      <c r="C3240" s="8" t="str">
        <f>材料产出!$BX$2</f>
        <v>新增材料9</v>
      </c>
      <c r="D3240" s="224">
        <f>参数调整!$K$33*怪物掉落配置方案!$D4266</f>
        <v>0</v>
      </c>
    </row>
    <row r="3241" spans="1:4" ht="16.5" hidden="1" x14ac:dyDescent="0.3">
      <c r="A3241" s="10" t="str">
        <f>基本属性!$B$29&amp;"|"&amp;基本属性!$C$29</f>
        <v>240|19</v>
      </c>
      <c r="B3241" s="10" t="str">
        <f>参数调整!$J$33</f>
        <v>统领掉落</v>
      </c>
      <c r="C3241" s="8" t="str">
        <f>材料产出!$BX$2</f>
        <v>新增材料9</v>
      </c>
      <c r="D3241" s="224">
        <f>参数调整!$K$33*怪物掉落配置方案!$D4267</f>
        <v>0</v>
      </c>
    </row>
    <row r="3242" spans="1:4" ht="16.5" hidden="1" x14ac:dyDescent="0.3">
      <c r="A3242" s="10" t="str">
        <f>基本属性!$B$30&amp;"|"&amp;基本属性!$C$30</f>
        <v>250|20</v>
      </c>
      <c r="B3242" s="10" t="str">
        <f>参数调整!$J$33</f>
        <v>统领掉落</v>
      </c>
      <c r="C3242" s="8" t="str">
        <f>材料产出!$BX$2</f>
        <v>新增材料9</v>
      </c>
      <c r="D3242" s="224">
        <f>参数调整!$K$33*怪物掉落配置方案!$D4268</f>
        <v>0</v>
      </c>
    </row>
    <row r="3243" spans="1:4" ht="16.5" hidden="1" x14ac:dyDescent="0.3">
      <c r="A3243" s="10" t="str">
        <f>基本属性!$B$4&amp;"|"&amp;基本属性!$C$4</f>
        <v>35|0</v>
      </c>
      <c r="B3243" s="10" t="str">
        <f>参数调整!$J$33</f>
        <v>统领掉落</v>
      </c>
      <c r="C3243" s="8" t="str">
        <f>材料产出!$BV$2</f>
        <v>新增材料8</v>
      </c>
      <c r="D3243" s="224">
        <f>参数调整!$K$33*怪物掉落配置方案!$D4269</f>
        <v>0</v>
      </c>
    </row>
    <row r="3244" spans="1:4" ht="16.5" hidden="1" x14ac:dyDescent="0.3">
      <c r="A3244" s="10" t="str">
        <f>基本属性!$B$5&amp;"|"&amp;基本属性!$C$5</f>
        <v>40|0</v>
      </c>
      <c r="B3244" s="10" t="str">
        <f>参数调整!$J$33</f>
        <v>统领掉落</v>
      </c>
      <c r="C3244" s="8" t="str">
        <f>材料产出!$BV$2</f>
        <v>新增材料8</v>
      </c>
      <c r="D3244" s="224">
        <f>参数调整!$K$33*怪物掉落配置方案!$D4270</f>
        <v>0</v>
      </c>
    </row>
    <row r="3245" spans="1:4" ht="16.5" hidden="1" x14ac:dyDescent="0.3">
      <c r="A3245" s="10" t="str">
        <f>基本属性!$B$6&amp;"|"&amp;基本属性!$C$6</f>
        <v>50|0</v>
      </c>
      <c r="B3245" s="10" t="str">
        <f>参数调整!$J$33</f>
        <v>统领掉落</v>
      </c>
      <c r="C3245" s="8" t="str">
        <f>材料产出!$BV$2</f>
        <v>新增材料8</v>
      </c>
      <c r="D3245" s="224">
        <f>参数调整!$K$33*怪物掉落配置方案!$D4271</f>
        <v>0</v>
      </c>
    </row>
    <row r="3246" spans="1:4" ht="16.5" hidden="1" x14ac:dyDescent="0.3">
      <c r="A3246" s="10" t="str">
        <f>基本属性!$B$7&amp;"|"&amp;基本属性!$C$7</f>
        <v>60|0</v>
      </c>
      <c r="B3246" s="10" t="str">
        <f>参数调整!$J$33</f>
        <v>统领掉落</v>
      </c>
      <c r="C3246" s="8" t="str">
        <f>材料产出!$BV$2</f>
        <v>新增材料8</v>
      </c>
      <c r="D3246" s="224">
        <f>参数调整!$K$33*怪物掉落配置方案!$D4272</f>
        <v>0</v>
      </c>
    </row>
    <row r="3247" spans="1:4" ht="16.5" hidden="1" x14ac:dyDescent="0.3">
      <c r="A3247" s="10" t="str">
        <f>基本属性!$B$8&amp;"|"&amp;基本属性!$C$8</f>
        <v>65|0</v>
      </c>
      <c r="B3247" s="10" t="str">
        <f>参数调整!$J$33</f>
        <v>统领掉落</v>
      </c>
      <c r="C3247" s="8" t="str">
        <f>材料产出!$BV$2</f>
        <v>新增材料8</v>
      </c>
      <c r="D3247" s="224">
        <f>参数调整!$K$33*怪物掉落配置方案!$D4273</f>
        <v>0</v>
      </c>
    </row>
    <row r="3248" spans="1:4" ht="16.5" hidden="1" x14ac:dyDescent="0.3">
      <c r="A3248" s="10" t="str">
        <f>基本属性!$B$9&amp;"|"&amp;基本属性!$C$9</f>
        <v>70|0</v>
      </c>
      <c r="B3248" s="10" t="str">
        <f>参数调整!$J$33</f>
        <v>统领掉落</v>
      </c>
      <c r="C3248" s="8" t="str">
        <f>材料产出!$BV$2</f>
        <v>新增材料8</v>
      </c>
      <c r="D3248" s="224">
        <f>参数调整!$K$33*怪物掉落配置方案!$D4274</f>
        <v>0</v>
      </c>
    </row>
    <row r="3249" spans="1:4" ht="16.5" hidden="1" x14ac:dyDescent="0.3">
      <c r="A3249" s="10" t="str">
        <f>基本属性!$B$10&amp;"|"&amp;基本属性!$C$10</f>
        <v>75|0</v>
      </c>
      <c r="B3249" s="10" t="str">
        <f>参数调整!$J$33</f>
        <v>统领掉落</v>
      </c>
      <c r="C3249" s="8" t="str">
        <f>材料产出!$BV$2</f>
        <v>新增材料8</v>
      </c>
      <c r="D3249" s="224">
        <f>参数调整!$K$33*怪物掉落配置方案!$D4275</f>
        <v>0</v>
      </c>
    </row>
    <row r="3250" spans="1:4" ht="16.5" hidden="1" x14ac:dyDescent="0.3">
      <c r="A3250" s="10" t="str">
        <f>基本属性!$B$11&amp;"|"&amp;基本属性!$C$11</f>
        <v>80|1</v>
      </c>
      <c r="B3250" s="10" t="str">
        <f>参数调整!$J$33</f>
        <v>统领掉落</v>
      </c>
      <c r="C3250" s="8" t="str">
        <f>材料产出!$BV$2</f>
        <v>新增材料8</v>
      </c>
      <c r="D3250" s="224">
        <f>参数调整!$K$33*怪物掉落配置方案!$D4276</f>
        <v>0</v>
      </c>
    </row>
    <row r="3251" spans="1:4" ht="16.5" hidden="1" x14ac:dyDescent="0.3">
      <c r="A3251" s="10" t="str">
        <f>基本属性!$B$12&amp;"|"&amp;基本属性!$C$12</f>
        <v>90|2</v>
      </c>
      <c r="B3251" s="10" t="str">
        <f>参数调整!$J$33</f>
        <v>统领掉落</v>
      </c>
      <c r="C3251" s="8" t="str">
        <f>材料产出!$BV$2</f>
        <v>新增材料8</v>
      </c>
      <c r="D3251" s="224">
        <f>参数调整!$K$33*怪物掉落配置方案!$D4277</f>
        <v>0</v>
      </c>
    </row>
    <row r="3252" spans="1:4" ht="16.5" hidden="1" x14ac:dyDescent="0.3">
      <c r="A3252" s="10" t="str">
        <f>基本属性!$B$13&amp;"|"&amp;基本属性!$C$13</f>
        <v>100|3</v>
      </c>
      <c r="B3252" s="10" t="str">
        <f>参数调整!$J$33</f>
        <v>统领掉落</v>
      </c>
      <c r="C3252" s="8" t="str">
        <f>材料产出!$BV$2</f>
        <v>新增材料8</v>
      </c>
      <c r="D3252" s="224">
        <f>参数调整!$K$33*怪物掉落配置方案!$D4278</f>
        <v>0</v>
      </c>
    </row>
    <row r="3253" spans="1:4" ht="16.5" hidden="1" x14ac:dyDescent="0.3">
      <c r="A3253" s="10" t="str">
        <f>基本属性!$B$14&amp;"|"&amp;基本属性!$C$14</f>
        <v>105|4</v>
      </c>
      <c r="B3253" s="10" t="str">
        <f>参数调整!$J$33</f>
        <v>统领掉落</v>
      </c>
      <c r="C3253" s="8" t="str">
        <f>材料产出!$BV$2</f>
        <v>新增材料8</v>
      </c>
      <c r="D3253" s="224">
        <f>参数调整!$K$33*怪物掉落配置方案!$D4279</f>
        <v>0</v>
      </c>
    </row>
    <row r="3254" spans="1:4" ht="16.5" hidden="1" x14ac:dyDescent="0.3">
      <c r="A3254" s="10" t="str">
        <f>基本属性!$B$15&amp;"|"&amp;基本属性!$C$15</f>
        <v>110|5</v>
      </c>
      <c r="B3254" s="10" t="str">
        <f>参数调整!$J$33</f>
        <v>统领掉落</v>
      </c>
      <c r="C3254" s="8" t="str">
        <f>材料产出!$BV$2</f>
        <v>新增材料8</v>
      </c>
      <c r="D3254" s="224">
        <f>参数调整!$K$33*怪物掉落配置方案!$D4280</f>
        <v>0</v>
      </c>
    </row>
    <row r="3255" spans="1:4" ht="16.5" hidden="1" x14ac:dyDescent="0.3">
      <c r="A3255" s="10" t="str">
        <f>基本属性!$B$16&amp;"|"&amp;基本属性!$C$16</f>
        <v>120|6</v>
      </c>
      <c r="B3255" s="10" t="str">
        <f>参数调整!$J$33</f>
        <v>统领掉落</v>
      </c>
      <c r="C3255" s="8" t="str">
        <f>材料产出!$BV$2</f>
        <v>新增材料8</v>
      </c>
      <c r="D3255" s="224">
        <f>参数调整!$K$33*怪物掉落配置方案!$D4281</f>
        <v>0</v>
      </c>
    </row>
    <row r="3256" spans="1:4" ht="16.5" hidden="1" x14ac:dyDescent="0.3">
      <c r="A3256" s="10" t="str">
        <f>基本属性!$B$17&amp;"|"&amp;基本属性!$C$17</f>
        <v>135|7</v>
      </c>
      <c r="B3256" s="10" t="str">
        <f>参数调整!$J$33</f>
        <v>统领掉落</v>
      </c>
      <c r="C3256" s="8" t="str">
        <f>材料产出!$BV$2</f>
        <v>新增材料8</v>
      </c>
      <c r="D3256" s="224">
        <f>参数调整!$K$33*怪物掉落配置方案!$D4282</f>
        <v>0</v>
      </c>
    </row>
    <row r="3257" spans="1:4" ht="16.5" hidden="1" x14ac:dyDescent="0.3">
      <c r="A3257" s="10" t="str">
        <f>基本属性!$B$18&amp;"|"&amp;基本属性!$C$18</f>
        <v>155|8</v>
      </c>
      <c r="B3257" s="10" t="str">
        <f>参数调整!$J$33</f>
        <v>统领掉落</v>
      </c>
      <c r="C3257" s="8" t="str">
        <f>材料产出!$BV$2</f>
        <v>新增材料8</v>
      </c>
      <c r="D3257" s="224">
        <f>参数调整!$K$33*怪物掉落配置方案!$D4283</f>
        <v>0</v>
      </c>
    </row>
    <row r="3258" spans="1:4" ht="16.5" hidden="1" x14ac:dyDescent="0.3">
      <c r="A3258" s="10" t="str">
        <f>基本属性!$B$19&amp;"|"&amp;基本属性!$C$19</f>
        <v>190|9</v>
      </c>
      <c r="B3258" s="10" t="str">
        <f>参数调整!$J$33</f>
        <v>统领掉落</v>
      </c>
      <c r="C3258" s="8" t="str">
        <f>材料产出!$BV$2</f>
        <v>新增材料8</v>
      </c>
      <c r="D3258" s="224">
        <f>参数调整!$K$33*怪物掉落配置方案!$D4284</f>
        <v>0</v>
      </c>
    </row>
    <row r="3259" spans="1:4" ht="16.5" hidden="1" x14ac:dyDescent="0.3">
      <c r="A3259" s="10" t="str">
        <f>基本属性!$B$20&amp;"|"&amp;基本属性!$C$20</f>
        <v>200|10</v>
      </c>
      <c r="B3259" s="10" t="str">
        <f>参数调整!$J$33</f>
        <v>统领掉落</v>
      </c>
      <c r="C3259" s="8" t="str">
        <f>材料产出!$BV$2</f>
        <v>新增材料8</v>
      </c>
      <c r="D3259" s="224">
        <f>参数调整!$K$33*怪物掉落配置方案!$D4285</f>
        <v>0</v>
      </c>
    </row>
    <row r="3260" spans="1:4" ht="16.5" hidden="1" x14ac:dyDescent="0.3">
      <c r="A3260" s="10" t="str">
        <f>基本属性!$B$21&amp;"|"&amp;基本属性!$C$21</f>
        <v>200|11</v>
      </c>
      <c r="B3260" s="10" t="str">
        <f>参数调整!$J$33</f>
        <v>统领掉落</v>
      </c>
      <c r="C3260" s="8" t="str">
        <f>材料产出!$BV$2</f>
        <v>新增材料8</v>
      </c>
      <c r="D3260" s="224">
        <f>参数调整!$K$33*怪物掉落配置方案!$D4286</f>
        <v>0</v>
      </c>
    </row>
    <row r="3261" spans="1:4" ht="16.5" hidden="1" x14ac:dyDescent="0.3">
      <c r="A3261" s="10" t="str">
        <f>基本属性!$B$22&amp;"|"&amp;基本属性!$C$22</f>
        <v>210|12</v>
      </c>
      <c r="B3261" s="10" t="str">
        <f>参数调整!$J$33</f>
        <v>统领掉落</v>
      </c>
      <c r="C3261" s="8" t="str">
        <f>材料产出!$BV$2</f>
        <v>新增材料8</v>
      </c>
      <c r="D3261" s="224">
        <f>参数调整!$K$33*怪物掉落配置方案!$D4287</f>
        <v>0</v>
      </c>
    </row>
    <row r="3262" spans="1:4" ht="16.5" hidden="1" x14ac:dyDescent="0.3">
      <c r="A3262" s="10" t="str">
        <f>基本属性!$B$23&amp;"|"&amp;基本属性!$C$23</f>
        <v>210|13</v>
      </c>
      <c r="B3262" s="10" t="str">
        <f>参数调整!$J$33</f>
        <v>统领掉落</v>
      </c>
      <c r="C3262" s="8" t="str">
        <f>材料产出!$BV$2</f>
        <v>新增材料8</v>
      </c>
      <c r="D3262" s="224">
        <f>参数调整!$K$33*怪物掉落配置方案!$D4288</f>
        <v>0</v>
      </c>
    </row>
    <row r="3263" spans="1:4" ht="16.5" hidden="1" x14ac:dyDescent="0.3">
      <c r="A3263" s="10" t="str">
        <f>基本属性!$B$24&amp;"|"&amp;基本属性!$C$24</f>
        <v>220|14</v>
      </c>
      <c r="B3263" s="10" t="str">
        <f>参数调整!$J$33</f>
        <v>统领掉落</v>
      </c>
      <c r="C3263" s="8" t="str">
        <f>材料产出!$BV$2</f>
        <v>新增材料8</v>
      </c>
      <c r="D3263" s="224">
        <f>参数调整!$K$33*怪物掉落配置方案!$D4289</f>
        <v>0</v>
      </c>
    </row>
    <row r="3264" spans="1:4" ht="16.5" hidden="1" x14ac:dyDescent="0.3">
      <c r="A3264" s="10" t="str">
        <f>基本属性!$B$25&amp;"|"&amp;基本属性!$C$25</f>
        <v>220|15</v>
      </c>
      <c r="B3264" s="10" t="str">
        <f>参数调整!$J$33</f>
        <v>统领掉落</v>
      </c>
      <c r="C3264" s="8" t="str">
        <f>材料产出!$BV$2</f>
        <v>新增材料8</v>
      </c>
      <c r="D3264" s="224">
        <f>参数调整!$K$33*怪物掉落配置方案!$D4290</f>
        <v>0</v>
      </c>
    </row>
    <row r="3265" spans="1:4" ht="16.5" hidden="1" x14ac:dyDescent="0.3">
      <c r="A3265" s="10" t="str">
        <f>基本属性!$B$26&amp;"|"&amp;基本属性!$C$26</f>
        <v>230|16</v>
      </c>
      <c r="B3265" s="10" t="str">
        <f>参数调整!$J$33</f>
        <v>统领掉落</v>
      </c>
      <c r="C3265" s="8" t="str">
        <f>材料产出!$BV$2</f>
        <v>新增材料8</v>
      </c>
      <c r="D3265" s="224">
        <f>参数调整!$K$33*怪物掉落配置方案!$D4291</f>
        <v>0</v>
      </c>
    </row>
    <row r="3266" spans="1:4" ht="16.5" hidden="1" x14ac:dyDescent="0.3">
      <c r="A3266" s="10" t="str">
        <f>基本属性!$B$27&amp;"|"&amp;基本属性!$C$27</f>
        <v>230|17</v>
      </c>
      <c r="B3266" s="10" t="str">
        <f>参数调整!$J$33</f>
        <v>统领掉落</v>
      </c>
      <c r="C3266" s="8" t="str">
        <f>材料产出!$BV$2</f>
        <v>新增材料8</v>
      </c>
      <c r="D3266" s="224">
        <f>参数调整!$K$33*怪物掉落配置方案!$D4292</f>
        <v>0</v>
      </c>
    </row>
    <row r="3267" spans="1:4" ht="16.5" hidden="1" x14ac:dyDescent="0.3">
      <c r="A3267" s="10" t="str">
        <f>基本属性!$B$28&amp;"|"&amp;基本属性!$C$28</f>
        <v>240|18</v>
      </c>
      <c r="B3267" s="10" t="str">
        <f>参数调整!$J$33</f>
        <v>统领掉落</v>
      </c>
      <c r="C3267" s="8" t="str">
        <f>材料产出!$BV$2</f>
        <v>新增材料8</v>
      </c>
      <c r="D3267" s="224">
        <f>参数调整!$K$33*怪物掉落配置方案!$D4293</f>
        <v>0</v>
      </c>
    </row>
    <row r="3268" spans="1:4" ht="16.5" hidden="1" x14ac:dyDescent="0.3">
      <c r="A3268" s="10" t="str">
        <f>基本属性!$B$29&amp;"|"&amp;基本属性!$C$29</f>
        <v>240|19</v>
      </c>
      <c r="B3268" s="10" t="str">
        <f>参数调整!$J$33</f>
        <v>统领掉落</v>
      </c>
      <c r="C3268" s="8" t="str">
        <f>材料产出!$BV$2</f>
        <v>新增材料8</v>
      </c>
      <c r="D3268" s="224">
        <f>参数调整!$K$33*怪物掉落配置方案!$D4294</f>
        <v>0</v>
      </c>
    </row>
    <row r="3269" spans="1:4" ht="16.5" hidden="1" x14ac:dyDescent="0.3">
      <c r="A3269" s="10" t="str">
        <f>基本属性!$B$30&amp;"|"&amp;基本属性!$C$30</f>
        <v>250|20</v>
      </c>
      <c r="B3269" s="10" t="str">
        <f>参数调整!$J$33</f>
        <v>统领掉落</v>
      </c>
      <c r="C3269" s="8" t="str">
        <f>材料产出!$BV$2</f>
        <v>新增材料8</v>
      </c>
      <c r="D3269" s="224">
        <f>参数调整!$K$33*怪物掉落配置方案!$D4295</f>
        <v>0</v>
      </c>
    </row>
    <row r="3270" spans="1:4" ht="16.5" hidden="1" x14ac:dyDescent="0.3">
      <c r="A3270" s="10" t="str">
        <f>基本属性!$B$4&amp;"|"&amp;基本属性!$C$4</f>
        <v>35|0</v>
      </c>
      <c r="B3270" s="10" t="str">
        <f>参数调整!$J$33</f>
        <v>统领掉落</v>
      </c>
      <c r="C3270" s="8" t="str">
        <f>材料产出!$BT$2</f>
        <v>新增材料7</v>
      </c>
      <c r="D3270" s="224">
        <f>参数调整!$K$33*怪物掉落配置方案!$D4296</f>
        <v>0</v>
      </c>
    </row>
    <row r="3271" spans="1:4" ht="16.5" hidden="1" x14ac:dyDescent="0.3">
      <c r="A3271" s="10" t="str">
        <f>基本属性!$B$5&amp;"|"&amp;基本属性!$C$5</f>
        <v>40|0</v>
      </c>
      <c r="B3271" s="10" t="str">
        <f>参数调整!$J$33</f>
        <v>统领掉落</v>
      </c>
      <c r="C3271" s="8" t="str">
        <f>材料产出!$BT$2</f>
        <v>新增材料7</v>
      </c>
      <c r="D3271" s="224">
        <f>参数调整!$K$33*怪物掉落配置方案!$D4297</f>
        <v>0</v>
      </c>
    </row>
    <row r="3272" spans="1:4" ht="16.5" hidden="1" x14ac:dyDescent="0.3">
      <c r="A3272" s="10" t="str">
        <f>基本属性!$B$6&amp;"|"&amp;基本属性!$C$6</f>
        <v>50|0</v>
      </c>
      <c r="B3272" s="10" t="str">
        <f>参数调整!$J$33</f>
        <v>统领掉落</v>
      </c>
      <c r="C3272" s="8" t="str">
        <f>材料产出!$BT$2</f>
        <v>新增材料7</v>
      </c>
      <c r="D3272" s="224">
        <f>参数调整!$K$33*怪物掉落配置方案!$D4298</f>
        <v>0</v>
      </c>
    </row>
    <row r="3273" spans="1:4" ht="16.5" hidden="1" x14ac:dyDescent="0.3">
      <c r="A3273" s="10" t="str">
        <f>基本属性!$B$7&amp;"|"&amp;基本属性!$C$7</f>
        <v>60|0</v>
      </c>
      <c r="B3273" s="10" t="str">
        <f>参数调整!$J$33</f>
        <v>统领掉落</v>
      </c>
      <c r="C3273" s="8" t="str">
        <f>材料产出!$BT$2</f>
        <v>新增材料7</v>
      </c>
      <c r="D3273" s="224">
        <f>参数调整!$K$33*怪物掉落配置方案!$D4299</f>
        <v>0</v>
      </c>
    </row>
    <row r="3274" spans="1:4" ht="16.5" hidden="1" x14ac:dyDescent="0.3">
      <c r="A3274" s="10" t="str">
        <f>基本属性!$B$8&amp;"|"&amp;基本属性!$C$8</f>
        <v>65|0</v>
      </c>
      <c r="B3274" s="10" t="str">
        <f>参数调整!$J$33</f>
        <v>统领掉落</v>
      </c>
      <c r="C3274" s="8" t="str">
        <f>材料产出!$BT$2</f>
        <v>新增材料7</v>
      </c>
      <c r="D3274" s="224">
        <f>参数调整!$K$33*怪物掉落配置方案!$D4300</f>
        <v>0</v>
      </c>
    </row>
    <row r="3275" spans="1:4" ht="16.5" hidden="1" x14ac:dyDescent="0.3">
      <c r="A3275" s="10" t="str">
        <f>基本属性!$B$9&amp;"|"&amp;基本属性!$C$9</f>
        <v>70|0</v>
      </c>
      <c r="B3275" s="10" t="str">
        <f>参数调整!$J$33</f>
        <v>统领掉落</v>
      </c>
      <c r="C3275" s="8" t="str">
        <f>材料产出!$BT$2</f>
        <v>新增材料7</v>
      </c>
      <c r="D3275" s="224">
        <f>参数调整!$K$33*怪物掉落配置方案!$D4301</f>
        <v>0</v>
      </c>
    </row>
    <row r="3276" spans="1:4" ht="16.5" hidden="1" x14ac:dyDescent="0.3">
      <c r="A3276" s="10" t="str">
        <f>基本属性!$B$10&amp;"|"&amp;基本属性!$C$10</f>
        <v>75|0</v>
      </c>
      <c r="B3276" s="10" t="str">
        <f>参数调整!$J$33</f>
        <v>统领掉落</v>
      </c>
      <c r="C3276" s="8" t="str">
        <f>材料产出!$BT$2</f>
        <v>新增材料7</v>
      </c>
      <c r="D3276" s="224">
        <f>参数调整!$K$33*怪物掉落配置方案!$D4302</f>
        <v>0</v>
      </c>
    </row>
    <row r="3277" spans="1:4" ht="16.5" hidden="1" x14ac:dyDescent="0.3">
      <c r="A3277" s="10" t="str">
        <f>基本属性!$B$11&amp;"|"&amp;基本属性!$C$11</f>
        <v>80|1</v>
      </c>
      <c r="B3277" s="10" t="str">
        <f>参数调整!$J$33</f>
        <v>统领掉落</v>
      </c>
      <c r="C3277" s="8" t="str">
        <f>材料产出!$BT$2</f>
        <v>新增材料7</v>
      </c>
      <c r="D3277" s="224">
        <f>参数调整!$K$33*怪物掉落配置方案!$D4303</f>
        <v>0</v>
      </c>
    </row>
    <row r="3278" spans="1:4" ht="16.5" hidden="1" x14ac:dyDescent="0.3">
      <c r="A3278" s="10" t="str">
        <f>基本属性!$B$12&amp;"|"&amp;基本属性!$C$12</f>
        <v>90|2</v>
      </c>
      <c r="B3278" s="10" t="str">
        <f>参数调整!$J$33</f>
        <v>统领掉落</v>
      </c>
      <c r="C3278" s="8" t="str">
        <f>材料产出!$BT$2</f>
        <v>新增材料7</v>
      </c>
      <c r="D3278" s="224">
        <f>参数调整!$K$33*怪物掉落配置方案!$D4304</f>
        <v>0</v>
      </c>
    </row>
    <row r="3279" spans="1:4" ht="16.5" hidden="1" x14ac:dyDescent="0.3">
      <c r="A3279" s="10" t="str">
        <f>基本属性!$B$13&amp;"|"&amp;基本属性!$C$13</f>
        <v>100|3</v>
      </c>
      <c r="B3279" s="10" t="str">
        <f>参数调整!$J$33</f>
        <v>统领掉落</v>
      </c>
      <c r="C3279" s="8" t="str">
        <f>材料产出!$BT$2</f>
        <v>新增材料7</v>
      </c>
      <c r="D3279" s="224">
        <f>参数调整!$K$33*怪物掉落配置方案!$D4305</f>
        <v>0</v>
      </c>
    </row>
    <row r="3280" spans="1:4" ht="16.5" hidden="1" x14ac:dyDescent="0.3">
      <c r="A3280" s="10" t="str">
        <f>基本属性!$B$14&amp;"|"&amp;基本属性!$C$14</f>
        <v>105|4</v>
      </c>
      <c r="B3280" s="10" t="str">
        <f>参数调整!$J$33</f>
        <v>统领掉落</v>
      </c>
      <c r="C3280" s="8" t="str">
        <f>材料产出!$BT$2</f>
        <v>新增材料7</v>
      </c>
      <c r="D3280" s="224">
        <f>参数调整!$K$33*怪物掉落配置方案!$D4306</f>
        <v>0</v>
      </c>
    </row>
    <row r="3281" spans="1:4" ht="16.5" hidden="1" x14ac:dyDescent="0.3">
      <c r="A3281" s="10" t="str">
        <f>基本属性!$B$15&amp;"|"&amp;基本属性!$C$15</f>
        <v>110|5</v>
      </c>
      <c r="B3281" s="10" t="str">
        <f>参数调整!$J$33</f>
        <v>统领掉落</v>
      </c>
      <c r="C3281" s="8" t="str">
        <f>材料产出!$BT$2</f>
        <v>新增材料7</v>
      </c>
      <c r="D3281" s="224">
        <f>参数调整!$K$33*怪物掉落配置方案!$D4307</f>
        <v>0</v>
      </c>
    </row>
    <row r="3282" spans="1:4" ht="16.5" hidden="1" x14ac:dyDescent="0.3">
      <c r="A3282" s="10" t="str">
        <f>基本属性!$B$16&amp;"|"&amp;基本属性!$C$16</f>
        <v>120|6</v>
      </c>
      <c r="B3282" s="10" t="str">
        <f>参数调整!$J$33</f>
        <v>统领掉落</v>
      </c>
      <c r="C3282" s="8" t="str">
        <f>材料产出!$BT$2</f>
        <v>新增材料7</v>
      </c>
      <c r="D3282" s="224">
        <f>参数调整!$K$33*怪物掉落配置方案!$D4308</f>
        <v>0</v>
      </c>
    </row>
    <row r="3283" spans="1:4" ht="16.5" hidden="1" x14ac:dyDescent="0.3">
      <c r="A3283" s="10" t="str">
        <f>基本属性!$B$17&amp;"|"&amp;基本属性!$C$17</f>
        <v>135|7</v>
      </c>
      <c r="B3283" s="10" t="str">
        <f>参数调整!$J$33</f>
        <v>统领掉落</v>
      </c>
      <c r="C3283" s="8" t="str">
        <f>材料产出!$BT$2</f>
        <v>新增材料7</v>
      </c>
      <c r="D3283" s="224">
        <f>参数调整!$K$33*怪物掉落配置方案!$D4309</f>
        <v>0</v>
      </c>
    </row>
    <row r="3284" spans="1:4" ht="16.5" hidden="1" x14ac:dyDescent="0.3">
      <c r="A3284" s="10" t="str">
        <f>基本属性!$B$18&amp;"|"&amp;基本属性!$C$18</f>
        <v>155|8</v>
      </c>
      <c r="B3284" s="10" t="str">
        <f>参数调整!$J$33</f>
        <v>统领掉落</v>
      </c>
      <c r="C3284" s="8" t="str">
        <f>材料产出!$BT$2</f>
        <v>新增材料7</v>
      </c>
      <c r="D3284" s="224">
        <f>参数调整!$K$33*怪物掉落配置方案!$D4310</f>
        <v>0</v>
      </c>
    </row>
    <row r="3285" spans="1:4" ht="16.5" hidden="1" x14ac:dyDescent="0.3">
      <c r="A3285" s="10" t="str">
        <f>基本属性!$B$19&amp;"|"&amp;基本属性!$C$19</f>
        <v>190|9</v>
      </c>
      <c r="B3285" s="10" t="str">
        <f>参数调整!$J$33</f>
        <v>统领掉落</v>
      </c>
      <c r="C3285" s="8" t="str">
        <f>材料产出!$BT$2</f>
        <v>新增材料7</v>
      </c>
      <c r="D3285" s="224">
        <f>参数调整!$K$33*怪物掉落配置方案!$D4311</f>
        <v>0</v>
      </c>
    </row>
    <row r="3286" spans="1:4" ht="16.5" hidden="1" x14ac:dyDescent="0.3">
      <c r="A3286" s="10" t="str">
        <f>基本属性!$B$20&amp;"|"&amp;基本属性!$C$20</f>
        <v>200|10</v>
      </c>
      <c r="B3286" s="10" t="str">
        <f>参数调整!$J$33</f>
        <v>统领掉落</v>
      </c>
      <c r="C3286" s="8" t="str">
        <f>材料产出!$BT$2</f>
        <v>新增材料7</v>
      </c>
      <c r="D3286" s="224">
        <f>参数调整!$K$33*怪物掉落配置方案!$D4312</f>
        <v>0</v>
      </c>
    </row>
    <row r="3287" spans="1:4" ht="16.5" hidden="1" x14ac:dyDescent="0.3">
      <c r="A3287" s="10" t="str">
        <f>基本属性!$B$21&amp;"|"&amp;基本属性!$C$21</f>
        <v>200|11</v>
      </c>
      <c r="B3287" s="10" t="str">
        <f>参数调整!$J$33</f>
        <v>统领掉落</v>
      </c>
      <c r="C3287" s="8" t="str">
        <f>材料产出!$BT$2</f>
        <v>新增材料7</v>
      </c>
      <c r="D3287" s="224">
        <f>参数调整!$K$33*怪物掉落配置方案!$D4313</f>
        <v>0</v>
      </c>
    </row>
    <row r="3288" spans="1:4" ht="16.5" hidden="1" x14ac:dyDescent="0.3">
      <c r="A3288" s="10" t="str">
        <f>基本属性!$B$22&amp;"|"&amp;基本属性!$C$22</f>
        <v>210|12</v>
      </c>
      <c r="B3288" s="10" t="str">
        <f>参数调整!$J$33</f>
        <v>统领掉落</v>
      </c>
      <c r="C3288" s="8" t="str">
        <f>材料产出!$BT$2</f>
        <v>新增材料7</v>
      </c>
      <c r="D3288" s="224">
        <f>参数调整!$K$33*怪物掉落配置方案!$D4314</f>
        <v>0</v>
      </c>
    </row>
    <row r="3289" spans="1:4" ht="16.5" hidden="1" x14ac:dyDescent="0.3">
      <c r="A3289" s="10" t="str">
        <f>基本属性!$B$23&amp;"|"&amp;基本属性!$C$23</f>
        <v>210|13</v>
      </c>
      <c r="B3289" s="10" t="str">
        <f>参数调整!$J$33</f>
        <v>统领掉落</v>
      </c>
      <c r="C3289" s="8" t="str">
        <f>材料产出!$BT$2</f>
        <v>新增材料7</v>
      </c>
      <c r="D3289" s="224">
        <f>参数调整!$K$33*怪物掉落配置方案!$D4315</f>
        <v>0</v>
      </c>
    </row>
    <row r="3290" spans="1:4" ht="16.5" hidden="1" x14ac:dyDescent="0.3">
      <c r="A3290" s="10" t="str">
        <f>基本属性!$B$24&amp;"|"&amp;基本属性!$C$24</f>
        <v>220|14</v>
      </c>
      <c r="B3290" s="10" t="str">
        <f>参数调整!$J$33</f>
        <v>统领掉落</v>
      </c>
      <c r="C3290" s="8" t="str">
        <f>材料产出!$BT$2</f>
        <v>新增材料7</v>
      </c>
      <c r="D3290" s="224">
        <f>参数调整!$K$33*怪物掉落配置方案!$D4316</f>
        <v>0</v>
      </c>
    </row>
    <row r="3291" spans="1:4" ht="16.5" hidden="1" x14ac:dyDescent="0.3">
      <c r="A3291" s="10" t="str">
        <f>基本属性!$B$25&amp;"|"&amp;基本属性!$C$25</f>
        <v>220|15</v>
      </c>
      <c r="B3291" s="10" t="str">
        <f>参数调整!$J$33</f>
        <v>统领掉落</v>
      </c>
      <c r="C3291" s="8" t="str">
        <f>材料产出!$BT$2</f>
        <v>新增材料7</v>
      </c>
      <c r="D3291" s="224">
        <f>参数调整!$K$33*怪物掉落配置方案!$D4317</f>
        <v>0</v>
      </c>
    </row>
    <row r="3292" spans="1:4" ht="16.5" hidden="1" x14ac:dyDescent="0.3">
      <c r="A3292" s="10" t="str">
        <f>基本属性!$B$26&amp;"|"&amp;基本属性!$C$26</f>
        <v>230|16</v>
      </c>
      <c r="B3292" s="10" t="str">
        <f>参数调整!$J$33</f>
        <v>统领掉落</v>
      </c>
      <c r="C3292" s="8" t="str">
        <f>材料产出!$BT$2</f>
        <v>新增材料7</v>
      </c>
      <c r="D3292" s="224">
        <f>参数调整!$K$33*怪物掉落配置方案!$D4318</f>
        <v>0</v>
      </c>
    </row>
    <row r="3293" spans="1:4" ht="16.5" hidden="1" x14ac:dyDescent="0.3">
      <c r="A3293" s="10" t="str">
        <f>基本属性!$B$27&amp;"|"&amp;基本属性!$C$27</f>
        <v>230|17</v>
      </c>
      <c r="B3293" s="10" t="str">
        <f>参数调整!$J$33</f>
        <v>统领掉落</v>
      </c>
      <c r="C3293" s="8" t="str">
        <f>材料产出!$BT$2</f>
        <v>新增材料7</v>
      </c>
      <c r="D3293" s="224">
        <f>参数调整!$K$33*怪物掉落配置方案!$D4319</f>
        <v>0</v>
      </c>
    </row>
    <row r="3294" spans="1:4" ht="16.5" hidden="1" x14ac:dyDescent="0.3">
      <c r="A3294" s="10" t="str">
        <f>基本属性!$B$28&amp;"|"&amp;基本属性!$C$28</f>
        <v>240|18</v>
      </c>
      <c r="B3294" s="10" t="str">
        <f>参数调整!$J$33</f>
        <v>统领掉落</v>
      </c>
      <c r="C3294" s="8" t="str">
        <f>材料产出!$BT$2</f>
        <v>新增材料7</v>
      </c>
      <c r="D3294" s="224">
        <f>参数调整!$K$33*怪物掉落配置方案!$D4320</f>
        <v>0</v>
      </c>
    </row>
    <row r="3295" spans="1:4" ht="16.5" hidden="1" x14ac:dyDescent="0.3">
      <c r="A3295" s="10" t="str">
        <f>基本属性!$B$29&amp;"|"&amp;基本属性!$C$29</f>
        <v>240|19</v>
      </c>
      <c r="B3295" s="10" t="str">
        <f>参数调整!$J$33</f>
        <v>统领掉落</v>
      </c>
      <c r="C3295" s="8" t="str">
        <f>材料产出!$BT$2</f>
        <v>新增材料7</v>
      </c>
      <c r="D3295" s="224">
        <f>参数调整!$K$33*怪物掉落配置方案!$D4321</f>
        <v>0</v>
      </c>
    </row>
    <row r="3296" spans="1:4" ht="16.5" hidden="1" x14ac:dyDescent="0.3">
      <c r="A3296" s="10" t="str">
        <f>基本属性!$B$30&amp;"|"&amp;基本属性!$C$30</f>
        <v>250|20</v>
      </c>
      <c r="B3296" s="10" t="str">
        <f>参数调整!$J$33</f>
        <v>统领掉落</v>
      </c>
      <c r="C3296" s="8" t="str">
        <f>材料产出!$BT$2</f>
        <v>新增材料7</v>
      </c>
      <c r="D3296" s="224">
        <f>参数调整!$K$33*怪物掉落配置方案!$D4322</f>
        <v>0</v>
      </c>
    </row>
    <row r="3297" spans="1:4" ht="16.5" hidden="1" x14ac:dyDescent="0.3">
      <c r="A3297" s="10" t="str">
        <f>基本属性!$B$4&amp;"|"&amp;基本属性!$C$4</f>
        <v>35|0</v>
      </c>
      <c r="B3297" s="10" t="str">
        <f>参数调整!$J$33</f>
        <v>统领掉落</v>
      </c>
      <c r="C3297" s="8" t="str">
        <f>材料产出!$BR$2</f>
        <v>新增材料6</v>
      </c>
      <c r="D3297" s="224">
        <f>参数调整!$K$33*怪物掉落配置方案!$D4323</f>
        <v>0</v>
      </c>
    </row>
    <row r="3298" spans="1:4" ht="16.5" hidden="1" x14ac:dyDescent="0.3">
      <c r="A3298" s="10" t="str">
        <f>基本属性!$B$5&amp;"|"&amp;基本属性!$C$5</f>
        <v>40|0</v>
      </c>
      <c r="B3298" s="10" t="str">
        <f>参数调整!$J$33</f>
        <v>统领掉落</v>
      </c>
      <c r="C3298" s="8" t="str">
        <f>材料产出!$BR$2</f>
        <v>新增材料6</v>
      </c>
      <c r="D3298" s="224">
        <f>参数调整!$K$33*怪物掉落配置方案!$D4324</f>
        <v>0</v>
      </c>
    </row>
    <row r="3299" spans="1:4" ht="16.5" hidden="1" x14ac:dyDescent="0.3">
      <c r="A3299" s="10" t="str">
        <f>基本属性!$B$6&amp;"|"&amp;基本属性!$C$6</f>
        <v>50|0</v>
      </c>
      <c r="B3299" s="10" t="str">
        <f>参数调整!$J$33</f>
        <v>统领掉落</v>
      </c>
      <c r="C3299" s="8" t="str">
        <f>材料产出!$BR$2</f>
        <v>新增材料6</v>
      </c>
      <c r="D3299" s="224">
        <f>参数调整!$K$33*怪物掉落配置方案!$D4325</f>
        <v>0</v>
      </c>
    </row>
    <row r="3300" spans="1:4" ht="16.5" hidden="1" x14ac:dyDescent="0.3">
      <c r="A3300" s="10" t="str">
        <f>基本属性!$B$7&amp;"|"&amp;基本属性!$C$7</f>
        <v>60|0</v>
      </c>
      <c r="B3300" s="10" t="str">
        <f>参数调整!$J$33</f>
        <v>统领掉落</v>
      </c>
      <c r="C3300" s="8" t="str">
        <f>材料产出!$BR$2</f>
        <v>新增材料6</v>
      </c>
      <c r="D3300" s="224">
        <f>参数调整!$K$33*怪物掉落配置方案!$D4326</f>
        <v>0</v>
      </c>
    </row>
    <row r="3301" spans="1:4" ht="16.5" hidden="1" x14ac:dyDescent="0.3">
      <c r="A3301" s="10" t="str">
        <f>基本属性!$B$8&amp;"|"&amp;基本属性!$C$8</f>
        <v>65|0</v>
      </c>
      <c r="B3301" s="10" t="str">
        <f>参数调整!$J$33</f>
        <v>统领掉落</v>
      </c>
      <c r="C3301" s="8" t="str">
        <f>材料产出!$BR$2</f>
        <v>新增材料6</v>
      </c>
      <c r="D3301" s="224">
        <f>参数调整!$K$33*怪物掉落配置方案!$D4327</f>
        <v>0</v>
      </c>
    </row>
    <row r="3302" spans="1:4" ht="16.5" hidden="1" x14ac:dyDescent="0.3">
      <c r="A3302" s="10" t="str">
        <f>基本属性!$B$9&amp;"|"&amp;基本属性!$C$9</f>
        <v>70|0</v>
      </c>
      <c r="B3302" s="10" t="str">
        <f>参数调整!$J$33</f>
        <v>统领掉落</v>
      </c>
      <c r="C3302" s="8" t="str">
        <f>材料产出!$BR$2</f>
        <v>新增材料6</v>
      </c>
      <c r="D3302" s="224">
        <f>参数调整!$K$33*怪物掉落配置方案!$D4328</f>
        <v>0</v>
      </c>
    </row>
    <row r="3303" spans="1:4" ht="16.5" hidden="1" x14ac:dyDescent="0.3">
      <c r="A3303" s="10" t="str">
        <f>基本属性!$B$10&amp;"|"&amp;基本属性!$C$10</f>
        <v>75|0</v>
      </c>
      <c r="B3303" s="10" t="str">
        <f>参数调整!$J$33</f>
        <v>统领掉落</v>
      </c>
      <c r="C3303" s="8" t="str">
        <f>材料产出!$BR$2</f>
        <v>新增材料6</v>
      </c>
      <c r="D3303" s="224">
        <f>参数调整!$K$33*怪物掉落配置方案!$D4329</f>
        <v>0</v>
      </c>
    </row>
    <row r="3304" spans="1:4" ht="16.5" hidden="1" x14ac:dyDescent="0.3">
      <c r="A3304" s="10" t="str">
        <f>基本属性!$B$11&amp;"|"&amp;基本属性!$C$11</f>
        <v>80|1</v>
      </c>
      <c r="B3304" s="10" t="str">
        <f>参数调整!$J$33</f>
        <v>统领掉落</v>
      </c>
      <c r="C3304" s="8" t="str">
        <f>材料产出!$BR$2</f>
        <v>新增材料6</v>
      </c>
      <c r="D3304" s="224">
        <f>参数调整!$K$33*怪物掉落配置方案!$D4330</f>
        <v>0</v>
      </c>
    </row>
    <row r="3305" spans="1:4" ht="16.5" hidden="1" x14ac:dyDescent="0.3">
      <c r="A3305" s="10" t="str">
        <f>基本属性!$B$12&amp;"|"&amp;基本属性!$C$12</f>
        <v>90|2</v>
      </c>
      <c r="B3305" s="10" t="str">
        <f>参数调整!$J$33</f>
        <v>统领掉落</v>
      </c>
      <c r="C3305" s="8" t="str">
        <f>材料产出!$BR$2</f>
        <v>新增材料6</v>
      </c>
      <c r="D3305" s="224">
        <f>参数调整!$K$33*怪物掉落配置方案!$D4331</f>
        <v>0</v>
      </c>
    </row>
    <row r="3306" spans="1:4" ht="16.5" hidden="1" x14ac:dyDescent="0.3">
      <c r="A3306" s="10" t="str">
        <f>基本属性!$B$13&amp;"|"&amp;基本属性!$C$13</f>
        <v>100|3</v>
      </c>
      <c r="B3306" s="10" t="str">
        <f>参数调整!$J$33</f>
        <v>统领掉落</v>
      </c>
      <c r="C3306" s="8" t="str">
        <f>材料产出!$BR$2</f>
        <v>新增材料6</v>
      </c>
      <c r="D3306" s="224">
        <f>参数调整!$K$33*怪物掉落配置方案!$D4332</f>
        <v>0</v>
      </c>
    </row>
    <row r="3307" spans="1:4" ht="16.5" hidden="1" x14ac:dyDescent="0.3">
      <c r="A3307" s="10" t="str">
        <f>基本属性!$B$14&amp;"|"&amp;基本属性!$C$14</f>
        <v>105|4</v>
      </c>
      <c r="B3307" s="10" t="str">
        <f>参数调整!$J$33</f>
        <v>统领掉落</v>
      </c>
      <c r="C3307" s="8" t="str">
        <f>材料产出!$BR$2</f>
        <v>新增材料6</v>
      </c>
      <c r="D3307" s="224">
        <f>参数调整!$K$33*怪物掉落配置方案!$D4333</f>
        <v>0</v>
      </c>
    </row>
    <row r="3308" spans="1:4" ht="16.5" hidden="1" x14ac:dyDescent="0.3">
      <c r="A3308" s="10" t="str">
        <f>基本属性!$B$15&amp;"|"&amp;基本属性!$C$15</f>
        <v>110|5</v>
      </c>
      <c r="B3308" s="10" t="str">
        <f>参数调整!$J$33</f>
        <v>统领掉落</v>
      </c>
      <c r="C3308" s="8" t="str">
        <f>材料产出!$BR$2</f>
        <v>新增材料6</v>
      </c>
      <c r="D3308" s="224">
        <f>参数调整!$K$33*怪物掉落配置方案!$D4334</f>
        <v>0</v>
      </c>
    </row>
    <row r="3309" spans="1:4" ht="16.5" hidden="1" x14ac:dyDescent="0.3">
      <c r="A3309" s="10" t="str">
        <f>基本属性!$B$16&amp;"|"&amp;基本属性!$C$16</f>
        <v>120|6</v>
      </c>
      <c r="B3309" s="10" t="str">
        <f>参数调整!$J$33</f>
        <v>统领掉落</v>
      </c>
      <c r="C3309" s="8" t="str">
        <f>材料产出!$BR$2</f>
        <v>新增材料6</v>
      </c>
      <c r="D3309" s="224">
        <f>参数调整!$K$33*怪物掉落配置方案!$D4335</f>
        <v>0</v>
      </c>
    </row>
    <row r="3310" spans="1:4" ht="16.5" hidden="1" x14ac:dyDescent="0.3">
      <c r="A3310" s="10" t="str">
        <f>基本属性!$B$17&amp;"|"&amp;基本属性!$C$17</f>
        <v>135|7</v>
      </c>
      <c r="B3310" s="10" t="str">
        <f>参数调整!$J$33</f>
        <v>统领掉落</v>
      </c>
      <c r="C3310" s="8" t="str">
        <f>材料产出!$BR$2</f>
        <v>新增材料6</v>
      </c>
      <c r="D3310" s="224">
        <f>参数调整!$K$33*怪物掉落配置方案!$D4336</f>
        <v>0</v>
      </c>
    </row>
    <row r="3311" spans="1:4" ht="16.5" hidden="1" x14ac:dyDescent="0.3">
      <c r="A3311" s="10" t="str">
        <f>基本属性!$B$18&amp;"|"&amp;基本属性!$C$18</f>
        <v>155|8</v>
      </c>
      <c r="B3311" s="10" t="str">
        <f>参数调整!$J$33</f>
        <v>统领掉落</v>
      </c>
      <c r="C3311" s="8" t="str">
        <f>材料产出!$BR$2</f>
        <v>新增材料6</v>
      </c>
      <c r="D3311" s="224">
        <f>参数调整!$K$33*怪物掉落配置方案!$D4337</f>
        <v>0</v>
      </c>
    </row>
    <row r="3312" spans="1:4" ht="16.5" hidden="1" x14ac:dyDescent="0.3">
      <c r="A3312" s="10" t="str">
        <f>基本属性!$B$19&amp;"|"&amp;基本属性!$C$19</f>
        <v>190|9</v>
      </c>
      <c r="B3312" s="10" t="str">
        <f>参数调整!$J$33</f>
        <v>统领掉落</v>
      </c>
      <c r="C3312" s="8" t="str">
        <f>材料产出!$BR$2</f>
        <v>新增材料6</v>
      </c>
      <c r="D3312" s="224">
        <f>参数调整!$K$33*怪物掉落配置方案!$D4338</f>
        <v>0</v>
      </c>
    </row>
    <row r="3313" spans="1:4" ht="16.5" hidden="1" x14ac:dyDescent="0.3">
      <c r="A3313" s="10" t="str">
        <f>基本属性!$B$20&amp;"|"&amp;基本属性!$C$20</f>
        <v>200|10</v>
      </c>
      <c r="B3313" s="10" t="str">
        <f>参数调整!$J$33</f>
        <v>统领掉落</v>
      </c>
      <c r="C3313" s="8" t="str">
        <f>材料产出!$BR$2</f>
        <v>新增材料6</v>
      </c>
      <c r="D3313" s="224">
        <f>参数调整!$K$33*怪物掉落配置方案!$D4339</f>
        <v>0</v>
      </c>
    </row>
    <row r="3314" spans="1:4" ht="16.5" hidden="1" x14ac:dyDescent="0.3">
      <c r="A3314" s="10" t="str">
        <f>基本属性!$B$21&amp;"|"&amp;基本属性!$C$21</f>
        <v>200|11</v>
      </c>
      <c r="B3314" s="10" t="str">
        <f>参数调整!$J$33</f>
        <v>统领掉落</v>
      </c>
      <c r="C3314" s="8" t="str">
        <f>材料产出!$BR$2</f>
        <v>新增材料6</v>
      </c>
      <c r="D3314" s="224">
        <f>参数调整!$K$33*怪物掉落配置方案!$D4340</f>
        <v>0</v>
      </c>
    </row>
    <row r="3315" spans="1:4" ht="16.5" hidden="1" x14ac:dyDescent="0.3">
      <c r="A3315" s="10" t="str">
        <f>基本属性!$B$22&amp;"|"&amp;基本属性!$C$22</f>
        <v>210|12</v>
      </c>
      <c r="B3315" s="10" t="str">
        <f>参数调整!$J$33</f>
        <v>统领掉落</v>
      </c>
      <c r="C3315" s="8" t="str">
        <f>材料产出!$BR$2</f>
        <v>新增材料6</v>
      </c>
      <c r="D3315" s="224">
        <f>参数调整!$K$33*怪物掉落配置方案!$D4341</f>
        <v>0</v>
      </c>
    </row>
    <row r="3316" spans="1:4" ht="16.5" hidden="1" x14ac:dyDescent="0.3">
      <c r="A3316" s="10" t="str">
        <f>基本属性!$B$23&amp;"|"&amp;基本属性!$C$23</f>
        <v>210|13</v>
      </c>
      <c r="B3316" s="10" t="str">
        <f>参数调整!$J$33</f>
        <v>统领掉落</v>
      </c>
      <c r="C3316" s="8" t="str">
        <f>材料产出!$BR$2</f>
        <v>新增材料6</v>
      </c>
      <c r="D3316" s="224">
        <f>参数调整!$K$33*怪物掉落配置方案!$D4342</f>
        <v>0</v>
      </c>
    </row>
    <row r="3317" spans="1:4" ht="16.5" hidden="1" x14ac:dyDescent="0.3">
      <c r="A3317" s="10" t="str">
        <f>基本属性!$B$24&amp;"|"&amp;基本属性!$C$24</f>
        <v>220|14</v>
      </c>
      <c r="B3317" s="10" t="str">
        <f>参数调整!$J$33</f>
        <v>统领掉落</v>
      </c>
      <c r="C3317" s="8" t="str">
        <f>材料产出!$BR$2</f>
        <v>新增材料6</v>
      </c>
      <c r="D3317" s="224">
        <f>参数调整!$K$33*怪物掉落配置方案!$D4343</f>
        <v>0</v>
      </c>
    </row>
    <row r="3318" spans="1:4" ht="16.5" hidden="1" x14ac:dyDescent="0.3">
      <c r="A3318" s="10" t="str">
        <f>基本属性!$B$25&amp;"|"&amp;基本属性!$C$25</f>
        <v>220|15</v>
      </c>
      <c r="B3318" s="10" t="str">
        <f>参数调整!$J$33</f>
        <v>统领掉落</v>
      </c>
      <c r="C3318" s="8" t="str">
        <f>材料产出!$BR$2</f>
        <v>新增材料6</v>
      </c>
      <c r="D3318" s="224">
        <f>参数调整!$K$33*怪物掉落配置方案!$D4344</f>
        <v>0</v>
      </c>
    </row>
    <row r="3319" spans="1:4" ht="16.5" hidden="1" x14ac:dyDescent="0.3">
      <c r="A3319" s="10" t="str">
        <f>基本属性!$B$26&amp;"|"&amp;基本属性!$C$26</f>
        <v>230|16</v>
      </c>
      <c r="B3319" s="10" t="str">
        <f>参数调整!$J$33</f>
        <v>统领掉落</v>
      </c>
      <c r="C3319" s="8" t="str">
        <f>材料产出!$BR$2</f>
        <v>新增材料6</v>
      </c>
      <c r="D3319" s="224">
        <f>参数调整!$K$33*怪物掉落配置方案!$D4345</f>
        <v>0</v>
      </c>
    </row>
    <row r="3320" spans="1:4" ht="16.5" hidden="1" x14ac:dyDescent="0.3">
      <c r="A3320" s="10" t="str">
        <f>基本属性!$B$27&amp;"|"&amp;基本属性!$C$27</f>
        <v>230|17</v>
      </c>
      <c r="B3320" s="10" t="str">
        <f>参数调整!$J$33</f>
        <v>统领掉落</v>
      </c>
      <c r="C3320" s="8" t="str">
        <f>材料产出!$BR$2</f>
        <v>新增材料6</v>
      </c>
      <c r="D3320" s="224">
        <f>参数调整!$K$33*怪物掉落配置方案!$D4346</f>
        <v>0</v>
      </c>
    </row>
    <row r="3321" spans="1:4" ht="16.5" hidden="1" x14ac:dyDescent="0.3">
      <c r="A3321" s="10" t="str">
        <f>基本属性!$B$28&amp;"|"&amp;基本属性!$C$28</f>
        <v>240|18</v>
      </c>
      <c r="B3321" s="10" t="str">
        <f>参数调整!$J$33</f>
        <v>统领掉落</v>
      </c>
      <c r="C3321" s="8" t="str">
        <f>材料产出!$BR$2</f>
        <v>新增材料6</v>
      </c>
      <c r="D3321" s="224">
        <f>参数调整!$K$33*怪物掉落配置方案!$D4347</f>
        <v>0</v>
      </c>
    </row>
    <row r="3322" spans="1:4" ht="16.5" hidden="1" x14ac:dyDescent="0.3">
      <c r="A3322" s="10" t="str">
        <f>基本属性!$B$29&amp;"|"&amp;基本属性!$C$29</f>
        <v>240|19</v>
      </c>
      <c r="B3322" s="10" t="str">
        <f>参数调整!$J$33</f>
        <v>统领掉落</v>
      </c>
      <c r="C3322" s="8" t="str">
        <f>材料产出!$BR$2</f>
        <v>新增材料6</v>
      </c>
      <c r="D3322" s="224">
        <f>参数调整!$K$33*怪物掉落配置方案!$D4348</f>
        <v>0</v>
      </c>
    </row>
    <row r="3323" spans="1:4" ht="16.5" hidden="1" x14ac:dyDescent="0.3">
      <c r="A3323" s="10" t="str">
        <f>基本属性!$B$30&amp;"|"&amp;基本属性!$C$30</f>
        <v>250|20</v>
      </c>
      <c r="B3323" s="10" t="str">
        <f>参数调整!$J$33</f>
        <v>统领掉落</v>
      </c>
      <c r="C3323" s="8" t="str">
        <f>材料产出!$BR$2</f>
        <v>新增材料6</v>
      </c>
      <c r="D3323" s="224">
        <f>参数调整!$K$33*怪物掉落配置方案!$D4349</f>
        <v>0</v>
      </c>
    </row>
    <row r="3324" spans="1:4" ht="16.5" hidden="1" x14ac:dyDescent="0.3">
      <c r="A3324" s="10" t="str">
        <f>基本属性!$B$4&amp;"|"&amp;基本属性!$C$4</f>
        <v>35|0</v>
      </c>
      <c r="B3324" s="10" t="str">
        <f>参数调整!$J$33</f>
        <v>统领掉落</v>
      </c>
      <c r="C3324" s="8" t="str">
        <f>材料产出!$BP$2</f>
        <v>新增材料5</v>
      </c>
      <c r="D3324" s="224">
        <f>参数调整!$K$33*怪物掉落配置方案!$D4350</f>
        <v>0</v>
      </c>
    </row>
    <row r="3325" spans="1:4" ht="16.5" hidden="1" x14ac:dyDescent="0.3">
      <c r="A3325" s="10" t="str">
        <f>基本属性!$B$5&amp;"|"&amp;基本属性!$C$5</f>
        <v>40|0</v>
      </c>
      <c r="B3325" s="10" t="str">
        <f>参数调整!$J$33</f>
        <v>统领掉落</v>
      </c>
      <c r="C3325" s="8" t="str">
        <f>材料产出!$BP$2</f>
        <v>新增材料5</v>
      </c>
      <c r="D3325" s="224">
        <f>参数调整!$K$33*怪物掉落配置方案!$D4351</f>
        <v>0</v>
      </c>
    </row>
    <row r="3326" spans="1:4" ht="16.5" hidden="1" x14ac:dyDescent="0.3">
      <c r="A3326" s="10" t="str">
        <f>基本属性!$B$6&amp;"|"&amp;基本属性!$C$6</f>
        <v>50|0</v>
      </c>
      <c r="B3326" s="10" t="str">
        <f>参数调整!$J$33</f>
        <v>统领掉落</v>
      </c>
      <c r="C3326" s="8" t="str">
        <f>材料产出!$BP$2</f>
        <v>新增材料5</v>
      </c>
      <c r="D3326" s="224">
        <f>参数调整!$K$33*怪物掉落配置方案!$D4352</f>
        <v>0</v>
      </c>
    </row>
    <row r="3327" spans="1:4" ht="16.5" hidden="1" x14ac:dyDescent="0.3">
      <c r="A3327" s="10" t="str">
        <f>基本属性!$B$7&amp;"|"&amp;基本属性!$C$7</f>
        <v>60|0</v>
      </c>
      <c r="B3327" s="10" t="str">
        <f>参数调整!$J$33</f>
        <v>统领掉落</v>
      </c>
      <c r="C3327" s="8" t="str">
        <f>材料产出!$BP$2</f>
        <v>新增材料5</v>
      </c>
      <c r="D3327" s="224">
        <f>参数调整!$K$33*怪物掉落配置方案!$D4353</f>
        <v>0</v>
      </c>
    </row>
    <row r="3328" spans="1:4" ht="16.5" hidden="1" x14ac:dyDescent="0.3">
      <c r="A3328" s="10" t="str">
        <f>基本属性!$B$8&amp;"|"&amp;基本属性!$C$8</f>
        <v>65|0</v>
      </c>
      <c r="B3328" s="10" t="str">
        <f>参数调整!$J$33</f>
        <v>统领掉落</v>
      </c>
      <c r="C3328" s="8" t="str">
        <f>材料产出!$BP$2</f>
        <v>新增材料5</v>
      </c>
      <c r="D3328" s="224">
        <f>参数调整!$K$33*怪物掉落配置方案!$D4354</f>
        <v>0</v>
      </c>
    </row>
    <row r="3329" spans="1:4" ht="16.5" hidden="1" x14ac:dyDescent="0.3">
      <c r="A3329" s="10" t="str">
        <f>基本属性!$B$9&amp;"|"&amp;基本属性!$C$9</f>
        <v>70|0</v>
      </c>
      <c r="B3329" s="10" t="str">
        <f>参数调整!$J$33</f>
        <v>统领掉落</v>
      </c>
      <c r="C3329" s="8" t="str">
        <f>材料产出!$BP$2</f>
        <v>新增材料5</v>
      </c>
      <c r="D3329" s="224">
        <f>参数调整!$K$33*怪物掉落配置方案!$D4355</f>
        <v>0</v>
      </c>
    </row>
    <row r="3330" spans="1:4" ht="16.5" hidden="1" x14ac:dyDescent="0.3">
      <c r="A3330" s="10" t="str">
        <f>基本属性!$B$10&amp;"|"&amp;基本属性!$C$10</f>
        <v>75|0</v>
      </c>
      <c r="B3330" s="10" t="str">
        <f>参数调整!$J$33</f>
        <v>统领掉落</v>
      </c>
      <c r="C3330" s="8" t="str">
        <f>材料产出!$BP$2</f>
        <v>新增材料5</v>
      </c>
      <c r="D3330" s="224">
        <f>参数调整!$K$33*怪物掉落配置方案!$D4356</f>
        <v>0</v>
      </c>
    </row>
    <row r="3331" spans="1:4" ht="16.5" hidden="1" x14ac:dyDescent="0.3">
      <c r="A3331" s="10" t="str">
        <f>基本属性!$B$11&amp;"|"&amp;基本属性!$C$11</f>
        <v>80|1</v>
      </c>
      <c r="B3331" s="10" t="str">
        <f>参数调整!$J$33</f>
        <v>统领掉落</v>
      </c>
      <c r="C3331" s="8" t="str">
        <f>材料产出!$BP$2</f>
        <v>新增材料5</v>
      </c>
      <c r="D3331" s="224">
        <f>参数调整!$K$33*怪物掉落配置方案!$D4357</f>
        <v>0</v>
      </c>
    </row>
    <row r="3332" spans="1:4" ht="16.5" hidden="1" x14ac:dyDescent="0.3">
      <c r="A3332" s="10" t="str">
        <f>基本属性!$B$12&amp;"|"&amp;基本属性!$C$12</f>
        <v>90|2</v>
      </c>
      <c r="B3332" s="10" t="str">
        <f>参数调整!$J$33</f>
        <v>统领掉落</v>
      </c>
      <c r="C3332" s="8" t="str">
        <f>材料产出!$BP$2</f>
        <v>新增材料5</v>
      </c>
      <c r="D3332" s="224">
        <f>参数调整!$K$33*怪物掉落配置方案!$D4358</f>
        <v>0</v>
      </c>
    </row>
    <row r="3333" spans="1:4" ht="16.5" hidden="1" x14ac:dyDescent="0.3">
      <c r="A3333" s="10" t="str">
        <f>基本属性!$B$13&amp;"|"&amp;基本属性!$C$13</f>
        <v>100|3</v>
      </c>
      <c r="B3333" s="10" t="str">
        <f>参数调整!$J$33</f>
        <v>统领掉落</v>
      </c>
      <c r="C3333" s="8" t="str">
        <f>材料产出!$BP$2</f>
        <v>新增材料5</v>
      </c>
      <c r="D3333" s="224">
        <f>参数调整!$K$33*怪物掉落配置方案!$D4359</f>
        <v>0</v>
      </c>
    </row>
    <row r="3334" spans="1:4" ht="16.5" hidden="1" x14ac:dyDescent="0.3">
      <c r="A3334" s="10" t="str">
        <f>基本属性!$B$14&amp;"|"&amp;基本属性!$C$14</f>
        <v>105|4</v>
      </c>
      <c r="B3334" s="10" t="str">
        <f>参数调整!$J$33</f>
        <v>统领掉落</v>
      </c>
      <c r="C3334" s="8" t="str">
        <f>材料产出!$BP$2</f>
        <v>新增材料5</v>
      </c>
      <c r="D3334" s="224">
        <f>参数调整!$K$33*怪物掉落配置方案!$D4360</f>
        <v>0</v>
      </c>
    </row>
    <row r="3335" spans="1:4" ht="16.5" hidden="1" x14ac:dyDescent="0.3">
      <c r="A3335" s="10" t="str">
        <f>基本属性!$B$15&amp;"|"&amp;基本属性!$C$15</f>
        <v>110|5</v>
      </c>
      <c r="B3335" s="10" t="str">
        <f>参数调整!$J$33</f>
        <v>统领掉落</v>
      </c>
      <c r="C3335" s="8" t="str">
        <f>材料产出!$BP$2</f>
        <v>新增材料5</v>
      </c>
      <c r="D3335" s="224">
        <f>参数调整!$K$33*怪物掉落配置方案!$D4361</f>
        <v>0</v>
      </c>
    </row>
    <row r="3336" spans="1:4" ht="16.5" hidden="1" x14ac:dyDescent="0.3">
      <c r="A3336" s="10" t="str">
        <f>基本属性!$B$16&amp;"|"&amp;基本属性!$C$16</f>
        <v>120|6</v>
      </c>
      <c r="B3336" s="10" t="str">
        <f>参数调整!$J$33</f>
        <v>统领掉落</v>
      </c>
      <c r="C3336" s="8" t="str">
        <f>材料产出!$BP$2</f>
        <v>新增材料5</v>
      </c>
      <c r="D3336" s="224">
        <f>参数调整!$K$33*怪物掉落配置方案!$D4362</f>
        <v>0</v>
      </c>
    </row>
    <row r="3337" spans="1:4" ht="16.5" hidden="1" x14ac:dyDescent="0.3">
      <c r="A3337" s="10" t="str">
        <f>基本属性!$B$17&amp;"|"&amp;基本属性!$C$17</f>
        <v>135|7</v>
      </c>
      <c r="B3337" s="10" t="str">
        <f>参数调整!$J$33</f>
        <v>统领掉落</v>
      </c>
      <c r="C3337" s="8" t="str">
        <f>材料产出!$BP$2</f>
        <v>新增材料5</v>
      </c>
      <c r="D3337" s="224">
        <f>参数调整!$K$33*怪物掉落配置方案!$D4363</f>
        <v>0</v>
      </c>
    </row>
    <row r="3338" spans="1:4" ht="16.5" hidden="1" x14ac:dyDescent="0.3">
      <c r="A3338" s="10" t="str">
        <f>基本属性!$B$18&amp;"|"&amp;基本属性!$C$18</f>
        <v>155|8</v>
      </c>
      <c r="B3338" s="10" t="str">
        <f>参数调整!$J$33</f>
        <v>统领掉落</v>
      </c>
      <c r="C3338" s="8" t="str">
        <f>材料产出!$BP$2</f>
        <v>新增材料5</v>
      </c>
      <c r="D3338" s="224">
        <f>参数调整!$K$33*怪物掉落配置方案!$D4364</f>
        <v>0</v>
      </c>
    </row>
    <row r="3339" spans="1:4" ht="16.5" hidden="1" x14ac:dyDescent="0.3">
      <c r="A3339" s="10" t="str">
        <f>基本属性!$B$19&amp;"|"&amp;基本属性!$C$19</f>
        <v>190|9</v>
      </c>
      <c r="B3339" s="10" t="str">
        <f>参数调整!$J$33</f>
        <v>统领掉落</v>
      </c>
      <c r="C3339" s="8" t="str">
        <f>材料产出!$BP$2</f>
        <v>新增材料5</v>
      </c>
      <c r="D3339" s="224">
        <f>参数调整!$K$33*怪物掉落配置方案!$D4365</f>
        <v>0</v>
      </c>
    </row>
    <row r="3340" spans="1:4" ht="16.5" hidden="1" x14ac:dyDescent="0.3">
      <c r="A3340" s="10" t="str">
        <f>基本属性!$B$20&amp;"|"&amp;基本属性!$C$20</f>
        <v>200|10</v>
      </c>
      <c r="B3340" s="10" t="str">
        <f>参数调整!$J$33</f>
        <v>统领掉落</v>
      </c>
      <c r="C3340" s="8" t="str">
        <f>材料产出!$BP$2</f>
        <v>新增材料5</v>
      </c>
      <c r="D3340" s="224">
        <f>参数调整!$K$33*怪物掉落配置方案!$D4366</f>
        <v>0</v>
      </c>
    </row>
    <row r="3341" spans="1:4" ht="16.5" hidden="1" x14ac:dyDescent="0.3">
      <c r="A3341" s="10" t="str">
        <f>基本属性!$B$21&amp;"|"&amp;基本属性!$C$21</f>
        <v>200|11</v>
      </c>
      <c r="B3341" s="10" t="str">
        <f>参数调整!$J$33</f>
        <v>统领掉落</v>
      </c>
      <c r="C3341" s="8" t="str">
        <f>材料产出!$BP$2</f>
        <v>新增材料5</v>
      </c>
      <c r="D3341" s="224">
        <f>参数调整!$K$33*怪物掉落配置方案!$D4367</f>
        <v>0</v>
      </c>
    </row>
    <row r="3342" spans="1:4" ht="16.5" hidden="1" x14ac:dyDescent="0.3">
      <c r="A3342" s="10" t="str">
        <f>基本属性!$B$22&amp;"|"&amp;基本属性!$C$22</f>
        <v>210|12</v>
      </c>
      <c r="B3342" s="10" t="str">
        <f>参数调整!$J$33</f>
        <v>统领掉落</v>
      </c>
      <c r="C3342" s="8" t="str">
        <f>材料产出!$BP$2</f>
        <v>新增材料5</v>
      </c>
      <c r="D3342" s="224">
        <f>参数调整!$K$33*怪物掉落配置方案!$D4368</f>
        <v>0</v>
      </c>
    </row>
    <row r="3343" spans="1:4" ht="16.5" hidden="1" x14ac:dyDescent="0.3">
      <c r="A3343" s="10" t="str">
        <f>基本属性!$B$23&amp;"|"&amp;基本属性!$C$23</f>
        <v>210|13</v>
      </c>
      <c r="B3343" s="10" t="str">
        <f>参数调整!$J$33</f>
        <v>统领掉落</v>
      </c>
      <c r="C3343" s="8" t="str">
        <f>材料产出!$BP$2</f>
        <v>新增材料5</v>
      </c>
      <c r="D3343" s="224">
        <f>参数调整!$K$33*怪物掉落配置方案!$D4369</f>
        <v>0</v>
      </c>
    </row>
    <row r="3344" spans="1:4" ht="16.5" hidden="1" x14ac:dyDescent="0.3">
      <c r="A3344" s="10" t="str">
        <f>基本属性!$B$24&amp;"|"&amp;基本属性!$C$24</f>
        <v>220|14</v>
      </c>
      <c r="B3344" s="10" t="str">
        <f>参数调整!$J$33</f>
        <v>统领掉落</v>
      </c>
      <c r="C3344" s="8" t="str">
        <f>材料产出!$BP$2</f>
        <v>新增材料5</v>
      </c>
      <c r="D3344" s="224">
        <f>参数调整!$K$33*怪物掉落配置方案!$D4370</f>
        <v>0</v>
      </c>
    </row>
    <row r="3345" spans="1:4" ht="16.5" hidden="1" x14ac:dyDescent="0.3">
      <c r="A3345" s="10" t="str">
        <f>基本属性!$B$25&amp;"|"&amp;基本属性!$C$25</f>
        <v>220|15</v>
      </c>
      <c r="B3345" s="10" t="str">
        <f>参数调整!$J$33</f>
        <v>统领掉落</v>
      </c>
      <c r="C3345" s="8" t="str">
        <f>材料产出!$BP$2</f>
        <v>新增材料5</v>
      </c>
      <c r="D3345" s="224">
        <f>参数调整!$K$33*怪物掉落配置方案!$D4371</f>
        <v>0</v>
      </c>
    </row>
    <row r="3346" spans="1:4" ht="16.5" hidden="1" x14ac:dyDescent="0.3">
      <c r="A3346" s="10" t="str">
        <f>基本属性!$B$26&amp;"|"&amp;基本属性!$C$26</f>
        <v>230|16</v>
      </c>
      <c r="B3346" s="10" t="str">
        <f>参数调整!$J$33</f>
        <v>统领掉落</v>
      </c>
      <c r="C3346" s="8" t="str">
        <f>材料产出!$BP$2</f>
        <v>新增材料5</v>
      </c>
      <c r="D3346" s="224">
        <f>参数调整!$K$33*怪物掉落配置方案!$D4372</f>
        <v>0</v>
      </c>
    </row>
    <row r="3347" spans="1:4" ht="16.5" hidden="1" x14ac:dyDescent="0.3">
      <c r="A3347" s="10" t="str">
        <f>基本属性!$B$27&amp;"|"&amp;基本属性!$C$27</f>
        <v>230|17</v>
      </c>
      <c r="B3347" s="10" t="str">
        <f>参数调整!$J$33</f>
        <v>统领掉落</v>
      </c>
      <c r="C3347" s="8" t="str">
        <f>材料产出!$BP$2</f>
        <v>新增材料5</v>
      </c>
      <c r="D3347" s="224">
        <f>参数调整!$K$33*怪物掉落配置方案!$D4373</f>
        <v>0</v>
      </c>
    </row>
    <row r="3348" spans="1:4" ht="16.5" hidden="1" x14ac:dyDescent="0.3">
      <c r="A3348" s="10" t="str">
        <f>基本属性!$B$28&amp;"|"&amp;基本属性!$C$28</f>
        <v>240|18</v>
      </c>
      <c r="B3348" s="10" t="str">
        <f>参数调整!$J$33</f>
        <v>统领掉落</v>
      </c>
      <c r="C3348" s="8" t="str">
        <f>材料产出!$BP$2</f>
        <v>新增材料5</v>
      </c>
      <c r="D3348" s="224">
        <f>参数调整!$K$33*怪物掉落配置方案!$D4374</f>
        <v>0</v>
      </c>
    </row>
    <row r="3349" spans="1:4" ht="16.5" hidden="1" x14ac:dyDescent="0.3">
      <c r="A3349" s="10" t="str">
        <f>基本属性!$B$29&amp;"|"&amp;基本属性!$C$29</f>
        <v>240|19</v>
      </c>
      <c r="B3349" s="10" t="str">
        <f>参数调整!$J$33</f>
        <v>统领掉落</v>
      </c>
      <c r="C3349" s="8" t="str">
        <f>材料产出!$BP$2</f>
        <v>新增材料5</v>
      </c>
      <c r="D3349" s="224">
        <f>参数调整!$K$33*怪物掉落配置方案!$D4375</f>
        <v>0</v>
      </c>
    </row>
    <row r="3350" spans="1:4" ht="16.5" hidden="1" x14ac:dyDescent="0.3">
      <c r="A3350" s="10" t="str">
        <f>基本属性!$B$30&amp;"|"&amp;基本属性!$C$30</f>
        <v>250|20</v>
      </c>
      <c r="B3350" s="10" t="str">
        <f>参数调整!$J$33</f>
        <v>统领掉落</v>
      </c>
      <c r="C3350" s="8" t="str">
        <f>材料产出!$BP$2</f>
        <v>新增材料5</v>
      </c>
      <c r="D3350" s="224">
        <f>参数调整!$K$33*怪物掉落配置方案!$D4376</f>
        <v>0</v>
      </c>
    </row>
    <row r="3351" spans="1:4" ht="16.5" hidden="1" x14ac:dyDescent="0.3">
      <c r="A3351" s="10" t="str">
        <f>基本属性!$B$4&amp;"|"&amp;基本属性!$C$4</f>
        <v>35|0</v>
      </c>
      <c r="B3351" s="10" t="str">
        <f>参数调整!$J$33</f>
        <v>统领掉落</v>
      </c>
      <c r="C3351" s="8" t="str">
        <f>材料产出!$BN$2</f>
        <v>新增材料4</v>
      </c>
      <c r="D3351" s="224">
        <f>参数调整!$K$33*怪物掉落配置方案!$D4377</f>
        <v>0</v>
      </c>
    </row>
    <row r="3352" spans="1:4" ht="16.5" hidden="1" x14ac:dyDescent="0.3">
      <c r="A3352" s="10" t="str">
        <f>基本属性!$B$5&amp;"|"&amp;基本属性!$C$5</f>
        <v>40|0</v>
      </c>
      <c r="B3352" s="10" t="str">
        <f>参数调整!$J$33</f>
        <v>统领掉落</v>
      </c>
      <c r="C3352" s="8" t="str">
        <f>材料产出!$BN$2</f>
        <v>新增材料4</v>
      </c>
      <c r="D3352" s="224">
        <f>参数调整!$K$33*怪物掉落配置方案!$D4378</f>
        <v>0</v>
      </c>
    </row>
    <row r="3353" spans="1:4" ht="16.5" hidden="1" x14ac:dyDescent="0.3">
      <c r="A3353" s="10" t="str">
        <f>基本属性!$B$6&amp;"|"&amp;基本属性!$C$6</f>
        <v>50|0</v>
      </c>
      <c r="B3353" s="10" t="str">
        <f>参数调整!$J$33</f>
        <v>统领掉落</v>
      </c>
      <c r="C3353" s="8" t="str">
        <f>材料产出!$BN$2</f>
        <v>新增材料4</v>
      </c>
      <c r="D3353" s="224">
        <f>参数调整!$K$33*怪物掉落配置方案!$D4379</f>
        <v>0</v>
      </c>
    </row>
    <row r="3354" spans="1:4" ht="16.5" hidden="1" x14ac:dyDescent="0.3">
      <c r="A3354" s="10" t="str">
        <f>基本属性!$B$7&amp;"|"&amp;基本属性!$C$7</f>
        <v>60|0</v>
      </c>
      <c r="B3354" s="10" t="str">
        <f>参数调整!$J$33</f>
        <v>统领掉落</v>
      </c>
      <c r="C3354" s="8" t="str">
        <f>材料产出!$BN$2</f>
        <v>新增材料4</v>
      </c>
      <c r="D3354" s="224">
        <f>参数调整!$K$33*怪物掉落配置方案!$D4380</f>
        <v>0</v>
      </c>
    </row>
    <row r="3355" spans="1:4" ht="16.5" hidden="1" x14ac:dyDescent="0.3">
      <c r="A3355" s="10" t="str">
        <f>基本属性!$B$8&amp;"|"&amp;基本属性!$C$8</f>
        <v>65|0</v>
      </c>
      <c r="B3355" s="10" t="str">
        <f>参数调整!$J$33</f>
        <v>统领掉落</v>
      </c>
      <c r="C3355" s="8" t="str">
        <f>材料产出!$BN$2</f>
        <v>新增材料4</v>
      </c>
      <c r="D3355" s="224">
        <f>参数调整!$K$33*怪物掉落配置方案!$D4381</f>
        <v>0</v>
      </c>
    </row>
    <row r="3356" spans="1:4" ht="16.5" hidden="1" x14ac:dyDescent="0.3">
      <c r="A3356" s="10" t="str">
        <f>基本属性!$B$9&amp;"|"&amp;基本属性!$C$9</f>
        <v>70|0</v>
      </c>
      <c r="B3356" s="10" t="str">
        <f>参数调整!$J$33</f>
        <v>统领掉落</v>
      </c>
      <c r="C3356" s="8" t="str">
        <f>材料产出!$BN$2</f>
        <v>新增材料4</v>
      </c>
      <c r="D3356" s="224">
        <f>参数调整!$K$33*怪物掉落配置方案!$D4382</f>
        <v>0</v>
      </c>
    </row>
    <row r="3357" spans="1:4" ht="16.5" hidden="1" x14ac:dyDescent="0.3">
      <c r="A3357" s="10" t="str">
        <f>基本属性!$B$10&amp;"|"&amp;基本属性!$C$10</f>
        <v>75|0</v>
      </c>
      <c r="B3357" s="10" t="str">
        <f>参数调整!$J$33</f>
        <v>统领掉落</v>
      </c>
      <c r="C3357" s="8" t="str">
        <f>材料产出!$BN$2</f>
        <v>新增材料4</v>
      </c>
      <c r="D3357" s="224">
        <f>参数调整!$K$33*怪物掉落配置方案!$D4383</f>
        <v>0</v>
      </c>
    </row>
    <row r="3358" spans="1:4" ht="16.5" hidden="1" x14ac:dyDescent="0.3">
      <c r="A3358" s="10" t="str">
        <f>基本属性!$B$11&amp;"|"&amp;基本属性!$C$11</f>
        <v>80|1</v>
      </c>
      <c r="B3358" s="10" t="str">
        <f>参数调整!$J$33</f>
        <v>统领掉落</v>
      </c>
      <c r="C3358" s="8" t="str">
        <f>材料产出!$BN$2</f>
        <v>新增材料4</v>
      </c>
      <c r="D3358" s="224">
        <f>参数调整!$K$33*怪物掉落配置方案!$D4384</f>
        <v>0</v>
      </c>
    </row>
    <row r="3359" spans="1:4" ht="16.5" hidden="1" x14ac:dyDescent="0.3">
      <c r="A3359" s="10" t="str">
        <f>基本属性!$B$12&amp;"|"&amp;基本属性!$C$12</f>
        <v>90|2</v>
      </c>
      <c r="B3359" s="10" t="str">
        <f>参数调整!$J$33</f>
        <v>统领掉落</v>
      </c>
      <c r="C3359" s="8" t="str">
        <f>材料产出!$BN$2</f>
        <v>新增材料4</v>
      </c>
      <c r="D3359" s="224">
        <f>参数调整!$K$33*怪物掉落配置方案!$D4385</f>
        <v>0</v>
      </c>
    </row>
    <row r="3360" spans="1:4" ht="16.5" hidden="1" x14ac:dyDescent="0.3">
      <c r="A3360" s="10" t="str">
        <f>基本属性!$B$13&amp;"|"&amp;基本属性!$C$13</f>
        <v>100|3</v>
      </c>
      <c r="B3360" s="10" t="str">
        <f>参数调整!$J$33</f>
        <v>统领掉落</v>
      </c>
      <c r="C3360" s="8" t="str">
        <f>材料产出!$BN$2</f>
        <v>新增材料4</v>
      </c>
      <c r="D3360" s="224">
        <f>参数调整!$K$33*怪物掉落配置方案!$D4386</f>
        <v>0</v>
      </c>
    </row>
    <row r="3361" spans="1:4" ht="16.5" hidden="1" x14ac:dyDescent="0.3">
      <c r="A3361" s="10" t="str">
        <f>基本属性!$B$14&amp;"|"&amp;基本属性!$C$14</f>
        <v>105|4</v>
      </c>
      <c r="B3361" s="10" t="str">
        <f>参数调整!$J$33</f>
        <v>统领掉落</v>
      </c>
      <c r="C3361" s="8" t="str">
        <f>材料产出!$BN$2</f>
        <v>新增材料4</v>
      </c>
      <c r="D3361" s="224">
        <f>参数调整!$K$33*怪物掉落配置方案!$D4387</f>
        <v>0</v>
      </c>
    </row>
    <row r="3362" spans="1:4" ht="16.5" hidden="1" x14ac:dyDescent="0.3">
      <c r="A3362" s="10" t="str">
        <f>基本属性!$B$15&amp;"|"&amp;基本属性!$C$15</f>
        <v>110|5</v>
      </c>
      <c r="B3362" s="10" t="str">
        <f>参数调整!$J$33</f>
        <v>统领掉落</v>
      </c>
      <c r="C3362" s="8" t="str">
        <f>材料产出!$BN$2</f>
        <v>新增材料4</v>
      </c>
      <c r="D3362" s="224">
        <f>参数调整!$K$33*怪物掉落配置方案!$D4388</f>
        <v>0</v>
      </c>
    </row>
    <row r="3363" spans="1:4" ht="16.5" hidden="1" x14ac:dyDescent="0.3">
      <c r="A3363" s="10" t="str">
        <f>基本属性!$B$16&amp;"|"&amp;基本属性!$C$16</f>
        <v>120|6</v>
      </c>
      <c r="B3363" s="10" t="str">
        <f>参数调整!$J$33</f>
        <v>统领掉落</v>
      </c>
      <c r="C3363" s="8" t="str">
        <f>材料产出!$BN$2</f>
        <v>新增材料4</v>
      </c>
      <c r="D3363" s="224">
        <f>参数调整!$K$33*怪物掉落配置方案!$D4389</f>
        <v>0</v>
      </c>
    </row>
    <row r="3364" spans="1:4" ht="16.5" hidden="1" x14ac:dyDescent="0.3">
      <c r="A3364" s="10" t="str">
        <f>基本属性!$B$17&amp;"|"&amp;基本属性!$C$17</f>
        <v>135|7</v>
      </c>
      <c r="B3364" s="10" t="str">
        <f>参数调整!$J$33</f>
        <v>统领掉落</v>
      </c>
      <c r="C3364" s="8" t="str">
        <f>材料产出!$BN$2</f>
        <v>新增材料4</v>
      </c>
      <c r="D3364" s="224">
        <f>参数调整!$K$33*怪物掉落配置方案!$D4390</f>
        <v>0</v>
      </c>
    </row>
    <row r="3365" spans="1:4" ht="16.5" hidden="1" x14ac:dyDescent="0.3">
      <c r="A3365" s="10" t="str">
        <f>基本属性!$B$18&amp;"|"&amp;基本属性!$C$18</f>
        <v>155|8</v>
      </c>
      <c r="B3365" s="10" t="str">
        <f>参数调整!$J$33</f>
        <v>统领掉落</v>
      </c>
      <c r="C3365" s="8" t="str">
        <f>材料产出!$BN$2</f>
        <v>新增材料4</v>
      </c>
      <c r="D3365" s="224">
        <f>参数调整!$K$33*怪物掉落配置方案!$D4391</f>
        <v>0</v>
      </c>
    </row>
    <row r="3366" spans="1:4" ht="16.5" hidden="1" x14ac:dyDescent="0.3">
      <c r="A3366" s="10" t="str">
        <f>基本属性!$B$19&amp;"|"&amp;基本属性!$C$19</f>
        <v>190|9</v>
      </c>
      <c r="B3366" s="10" t="str">
        <f>参数调整!$J$33</f>
        <v>统领掉落</v>
      </c>
      <c r="C3366" s="8" t="str">
        <f>材料产出!$BN$2</f>
        <v>新增材料4</v>
      </c>
      <c r="D3366" s="224">
        <f>参数调整!$K$33*怪物掉落配置方案!$D4392</f>
        <v>0</v>
      </c>
    </row>
    <row r="3367" spans="1:4" ht="16.5" hidden="1" x14ac:dyDescent="0.3">
      <c r="A3367" s="10" t="str">
        <f>基本属性!$B$20&amp;"|"&amp;基本属性!$C$20</f>
        <v>200|10</v>
      </c>
      <c r="B3367" s="10" t="str">
        <f>参数调整!$J$33</f>
        <v>统领掉落</v>
      </c>
      <c r="C3367" s="8" t="str">
        <f>材料产出!$BN$2</f>
        <v>新增材料4</v>
      </c>
      <c r="D3367" s="224">
        <f>参数调整!$K$33*怪物掉落配置方案!$D4393</f>
        <v>0</v>
      </c>
    </row>
    <row r="3368" spans="1:4" ht="16.5" hidden="1" x14ac:dyDescent="0.3">
      <c r="A3368" s="10" t="str">
        <f>基本属性!$B$21&amp;"|"&amp;基本属性!$C$21</f>
        <v>200|11</v>
      </c>
      <c r="B3368" s="10" t="str">
        <f>参数调整!$J$33</f>
        <v>统领掉落</v>
      </c>
      <c r="C3368" s="8" t="str">
        <f>材料产出!$BN$2</f>
        <v>新增材料4</v>
      </c>
      <c r="D3368" s="224">
        <f>参数调整!$K$33*怪物掉落配置方案!$D4394</f>
        <v>0</v>
      </c>
    </row>
    <row r="3369" spans="1:4" ht="16.5" hidden="1" x14ac:dyDescent="0.3">
      <c r="A3369" s="10" t="str">
        <f>基本属性!$B$22&amp;"|"&amp;基本属性!$C$22</f>
        <v>210|12</v>
      </c>
      <c r="B3369" s="10" t="str">
        <f>参数调整!$J$33</f>
        <v>统领掉落</v>
      </c>
      <c r="C3369" s="8" t="str">
        <f>材料产出!$BN$2</f>
        <v>新增材料4</v>
      </c>
      <c r="D3369" s="224">
        <f>参数调整!$K$33*怪物掉落配置方案!$D4395</f>
        <v>0</v>
      </c>
    </row>
    <row r="3370" spans="1:4" ht="16.5" hidden="1" x14ac:dyDescent="0.3">
      <c r="A3370" s="10" t="str">
        <f>基本属性!$B$23&amp;"|"&amp;基本属性!$C$23</f>
        <v>210|13</v>
      </c>
      <c r="B3370" s="10" t="str">
        <f>参数调整!$J$33</f>
        <v>统领掉落</v>
      </c>
      <c r="C3370" s="8" t="str">
        <f>材料产出!$BN$2</f>
        <v>新增材料4</v>
      </c>
      <c r="D3370" s="224">
        <f>参数调整!$K$33*怪物掉落配置方案!$D4396</f>
        <v>0</v>
      </c>
    </row>
    <row r="3371" spans="1:4" ht="16.5" hidden="1" x14ac:dyDescent="0.3">
      <c r="A3371" s="10" t="str">
        <f>基本属性!$B$24&amp;"|"&amp;基本属性!$C$24</f>
        <v>220|14</v>
      </c>
      <c r="B3371" s="10" t="str">
        <f>参数调整!$J$33</f>
        <v>统领掉落</v>
      </c>
      <c r="C3371" s="8" t="str">
        <f>材料产出!$BN$2</f>
        <v>新增材料4</v>
      </c>
      <c r="D3371" s="224">
        <f>参数调整!$K$33*怪物掉落配置方案!$D4397</f>
        <v>0</v>
      </c>
    </row>
    <row r="3372" spans="1:4" ht="16.5" hidden="1" x14ac:dyDescent="0.3">
      <c r="A3372" s="10" t="str">
        <f>基本属性!$B$25&amp;"|"&amp;基本属性!$C$25</f>
        <v>220|15</v>
      </c>
      <c r="B3372" s="10" t="str">
        <f>参数调整!$J$33</f>
        <v>统领掉落</v>
      </c>
      <c r="C3372" s="8" t="str">
        <f>材料产出!$BN$2</f>
        <v>新增材料4</v>
      </c>
      <c r="D3372" s="224">
        <f>参数调整!$K$33*怪物掉落配置方案!$D4398</f>
        <v>0</v>
      </c>
    </row>
    <row r="3373" spans="1:4" ht="16.5" hidden="1" x14ac:dyDescent="0.3">
      <c r="A3373" s="10" t="str">
        <f>基本属性!$B$26&amp;"|"&amp;基本属性!$C$26</f>
        <v>230|16</v>
      </c>
      <c r="B3373" s="10" t="str">
        <f>参数调整!$J$33</f>
        <v>统领掉落</v>
      </c>
      <c r="C3373" s="8" t="str">
        <f>材料产出!$BN$2</f>
        <v>新增材料4</v>
      </c>
      <c r="D3373" s="224">
        <f>参数调整!$K$33*怪物掉落配置方案!$D4399</f>
        <v>0</v>
      </c>
    </row>
    <row r="3374" spans="1:4" ht="16.5" hidden="1" x14ac:dyDescent="0.3">
      <c r="A3374" s="10" t="str">
        <f>基本属性!$B$27&amp;"|"&amp;基本属性!$C$27</f>
        <v>230|17</v>
      </c>
      <c r="B3374" s="10" t="str">
        <f>参数调整!$J$33</f>
        <v>统领掉落</v>
      </c>
      <c r="C3374" s="8" t="str">
        <f>材料产出!$BN$2</f>
        <v>新增材料4</v>
      </c>
      <c r="D3374" s="224">
        <f>参数调整!$K$33*怪物掉落配置方案!$D4400</f>
        <v>0</v>
      </c>
    </row>
    <row r="3375" spans="1:4" ht="16.5" hidden="1" x14ac:dyDescent="0.3">
      <c r="A3375" s="10" t="str">
        <f>基本属性!$B$28&amp;"|"&amp;基本属性!$C$28</f>
        <v>240|18</v>
      </c>
      <c r="B3375" s="10" t="str">
        <f>参数调整!$J$33</f>
        <v>统领掉落</v>
      </c>
      <c r="C3375" s="8" t="str">
        <f>材料产出!$BN$2</f>
        <v>新增材料4</v>
      </c>
      <c r="D3375" s="224">
        <f>参数调整!$K$33*怪物掉落配置方案!$D4401</f>
        <v>0</v>
      </c>
    </row>
    <row r="3376" spans="1:4" ht="16.5" hidden="1" x14ac:dyDescent="0.3">
      <c r="A3376" s="10" t="str">
        <f>基本属性!$B$29&amp;"|"&amp;基本属性!$C$29</f>
        <v>240|19</v>
      </c>
      <c r="B3376" s="10" t="str">
        <f>参数调整!$J$33</f>
        <v>统领掉落</v>
      </c>
      <c r="C3376" s="8" t="str">
        <f>材料产出!$BN$2</f>
        <v>新增材料4</v>
      </c>
      <c r="D3376" s="224">
        <f>参数调整!$K$33*怪物掉落配置方案!$D4402</f>
        <v>0</v>
      </c>
    </row>
    <row r="3377" spans="1:4" ht="16.5" hidden="1" x14ac:dyDescent="0.3">
      <c r="A3377" s="10" t="str">
        <f>基本属性!$B$30&amp;"|"&amp;基本属性!$C$30</f>
        <v>250|20</v>
      </c>
      <c r="B3377" s="10" t="str">
        <f>参数调整!$J$33</f>
        <v>统领掉落</v>
      </c>
      <c r="C3377" s="8" t="str">
        <f>材料产出!$BN$2</f>
        <v>新增材料4</v>
      </c>
      <c r="D3377" s="224">
        <f>参数调整!$K$33*怪物掉落配置方案!$D4403</f>
        <v>0</v>
      </c>
    </row>
    <row r="3378" spans="1:4" ht="16.5" hidden="1" x14ac:dyDescent="0.3">
      <c r="A3378" s="10" t="str">
        <f>基本属性!$B$4&amp;"|"&amp;基本属性!$C$4</f>
        <v>35|0</v>
      </c>
      <c r="B3378" s="10" t="str">
        <f>参数调整!$J$33</f>
        <v>统领掉落</v>
      </c>
      <c r="C3378" s="8" t="str">
        <f>材料产出!$BL$2</f>
        <v>新增材料3</v>
      </c>
      <c r="D3378" s="224">
        <f>参数调整!$K$33*怪物掉落配置方案!$D4404</f>
        <v>0</v>
      </c>
    </row>
    <row r="3379" spans="1:4" ht="16.5" hidden="1" x14ac:dyDescent="0.3">
      <c r="A3379" s="10" t="str">
        <f>基本属性!$B$5&amp;"|"&amp;基本属性!$C$5</f>
        <v>40|0</v>
      </c>
      <c r="B3379" s="10" t="str">
        <f>参数调整!$J$33</f>
        <v>统领掉落</v>
      </c>
      <c r="C3379" s="8" t="str">
        <f>材料产出!$BL$2</f>
        <v>新增材料3</v>
      </c>
      <c r="D3379" s="224">
        <f>参数调整!$K$33*怪物掉落配置方案!$D4405</f>
        <v>0</v>
      </c>
    </row>
    <row r="3380" spans="1:4" ht="16.5" hidden="1" x14ac:dyDescent="0.3">
      <c r="A3380" s="10" t="str">
        <f>基本属性!$B$6&amp;"|"&amp;基本属性!$C$6</f>
        <v>50|0</v>
      </c>
      <c r="B3380" s="10" t="str">
        <f>参数调整!$J$33</f>
        <v>统领掉落</v>
      </c>
      <c r="C3380" s="8" t="str">
        <f>材料产出!$BL$2</f>
        <v>新增材料3</v>
      </c>
      <c r="D3380" s="224">
        <f>参数调整!$K$33*怪物掉落配置方案!$D4406</f>
        <v>0</v>
      </c>
    </row>
    <row r="3381" spans="1:4" ht="16.5" hidden="1" x14ac:dyDescent="0.3">
      <c r="A3381" s="10" t="str">
        <f>基本属性!$B$7&amp;"|"&amp;基本属性!$C$7</f>
        <v>60|0</v>
      </c>
      <c r="B3381" s="10" t="str">
        <f>参数调整!$J$33</f>
        <v>统领掉落</v>
      </c>
      <c r="C3381" s="8" t="str">
        <f>材料产出!$BL$2</f>
        <v>新增材料3</v>
      </c>
      <c r="D3381" s="224">
        <f>参数调整!$K$33*怪物掉落配置方案!$D4407</f>
        <v>0</v>
      </c>
    </row>
    <row r="3382" spans="1:4" ht="16.5" hidden="1" x14ac:dyDescent="0.3">
      <c r="A3382" s="10" t="str">
        <f>基本属性!$B$8&amp;"|"&amp;基本属性!$C$8</f>
        <v>65|0</v>
      </c>
      <c r="B3382" s="10" t="str">
        <f>参数调整!$J$33</f>
        <v>统领掉落</v>
      </c>
      <c r="C3382" s="8" t="str">
        <f>材料产出!$BL$2</f>
        <v>新增材料3</v>
      </c>
      <c r="D3382" s="224">
        <f>参数调整!$K$33*怪物掉落配置方案!$D4408</f>
        <v>0</v>
      </c>
    </row>
    <row r="3383" spans="1:4" ht="16.5" hidden="1" x14ac:dyDescent="0.3">
      <c r="A3383" s="10" t="str">
        <f>基本属性!$B$9&amp;"|"&amp;基本属性!$C$9</f>
        <v>70|0</v>
      </c>
      <c r="B3383" s="10" t="str">
        <f>参数调整!$J$33</f>
        <v>统领掉落</v>
      </c>
      <c r="C3383" s="8" t="str">
        <f>材料产出!$BL$2</f>
        <v>新增材料3</v>
      </c>
      <c r="D3383" s="224">
        <f>参数调整!$K$33*怪物掉落配置方案!$D4409</f>
        <v>0</v>
      </c>
    </row>
    <row r="3384" spans="1:4" ht="16.5" hidden="1" x14ac:dyDescent="0.3">
      <c r="A3384" s="10" t="str">
        <f>基本属性!$B$10&amp;"|"&amp;基本属性!$C$10</f>
        <v>75|0</v>
      </c>
      <c r="B3384" s="10" t="str">
        <f>参数调整!$J$33</f>
        <v>统领掉落</v>
      </c>
      <c r="C3384" s="8" t="str">
        <f>材料产出!$BL$2</f>
        <v>新增材料3</v>
      </c>
      <c r="D3384" s="224">
        <f>参数调整!$K$33*怪物掉落配置方案!$D4410</f>
        <v>0</v>
      </c>
    </row>
    <row r="3385" spans="1:4" ht="16.5" hidden="1" x14ac:dyDescent="0.3">
      <c r="A3385" s="10" t="str">
        <f>基本属性!$B$11&amp;"|"&amp;基本属性!$C$11</f>
        <v>80|1</v>
      </c>
      <c r="B3385" s="10" t="str">
        <f>参数调整!$J$33</f>
        <v>统领掉落</v>
      </c>
      <c r="C3385" s="8" t="str">
        <f>材料产出!$BL$2</f>
        <v>新增材料3</v>
      </c>
      <c r="D3385" s="224">
        <f>参数调整!$K$33*怪物掉落配置方案!$D4411</f>
        <v>0</v>
      </c>
    </row>
    <row r="3386" spans="1:4" ht="16.5" hidden="1" x14ac:dyDescent="0.3">
      <c r="A3386" s="10" t="str">
        <f>基本属性!$B$12&amp;"|"&amp;基本属性!$C$12</f>
        <v>90|2</v>
      </c>
      <c r="B3386" s="10" t="str">
        <f>参数调整!$J$33</f>
        <v>统领掉落</v>
      </c>
      <c r="C3386" s="8" t="str">
        <f>材料产出!$BL$2</f>
        <v>新增材料3</v>
      </c>
      <c r="D3386" s="224">
        <f>参数调整!$K$33*怪物掉落配置方案!$D4412</f>
        <v>0</v>
      </c>
    </row>
    <row r="3387" spans="1:4" ht="16.5" hidden="1" x14ac:dyDescent="0.3">
      <c r="A3387" s="10" t="str">
        <f>基本属性!$B$13&amp;"|"&amp;基本属性!$C$13</f>
        <v>100|3</v>
      </c>
      <c r="B3387" s="10" t="str">
        <f>参数调整!$J$33</f>
        <v>统领掉落</v>
      </c>
      <c r="C3387" s="8" t="str">
        <f>材料产出!$BL$2</f>
        <v>新增材料3</v>
      </c>
      <c r="D3387" s="224">
        <f>参数调整!$K$33*怪物掉落配置方案!$D4413</f>
        <v>0</v>
      </c>
    </row>
    <row r="3388" spans="1:4" ht="16.5" hidden="1" x14ac:dyDescent="0.3">
      <c r="A3388" s="10" t="str">
        <f>基本属性!$B$14&amp;"|"&amp;基本属性!$C$14</f>
        <v>105|4</v>
      </c>
      <c r="B3388" s="10" t="str">
        <f>参数调整!$J$33</f>
        <v>统领掉落</v>
      </c>
      <c r="C3388" s="8" t="str">
        <f>材料产出!$BL$2</f>
        <v>新增材料3</v>
      </c>
      <c r="D3388" s="224">
        <f>参数调整!$K$33*怪物掉落配置方案!$D4414</f>
        <v>0</v>
      </c>
    </row>
    <row r="3389" spans="1:4" ht="16.5" hidden="1" x14ac:dyDescent="0.3">
      <c r="A3389" s="10" t="str">
        <f>基本属性!$B$15&amp;"|"&amp;基本属性!$C$15</f>
        <v>110|5</v>
      </c>
      <c r="B3389" s="10" t="str">
        <f>参数调整!$J$33</f>
        <v>统领掉落</v>
      </c>
      <c r="C3389" s="8" t="str">
        <f>材料产出!$BL$2</f>
        <v>新增材料3</v>
      </c>
      <c r="D3389" s="224">
        <f>参数调整!$K$33*怪物掉落配置方案!$D4415</f>
        <v>0</v>
      </c>
    </row>
    <row r="3390" spans="1:4" ht="16.5" hidden="1" x14ac:dyDescent="0.3">
      <c r="A3390" s="10" t="str">
        <f>基本属性!$B$16&amp;"|"&amp;基本属性!$C$16</f>
        <v>120|6</v>
      </c>
      <c r="B3390" s="10" t="str">
        <f>参数调整!$J$33</f>
        <v>统领掉落</v>
      </c>
      <c r="C3390" s="8" t="str">
        <f>材料产出!$BL$2</f>
        <v>新增材料3</v>
      </c>
      <c r="D3390" s="224">
        <f>参数调整!$K$33*怪物掉落配置方案!$D4416</f>
        <v>0</v>
      </c>
    </row>
    <row r="3391" spans="1:4" ht="16.5" hidden="1" x14ac:dyDescent="0.3">
      <c r="A3391" s="10" t="str">
        <f>基本属性!$B$17&amp;"|"&amp;基本属性!$C$17</f>
        <v>135|7</v>
      </c>
      <c r="B3391" s="10" t="str">
        <f>参数调整!$J$33</f>
        <v>统领掉落</v>
      </c>
      <c r="C3391" s="8" t="str">
        <f>材料产出!$BL$2</f>
        <v>新增材料3</v>
      </c>
      <c r="D3391" s="224">
        <f>参数调整!$K$33*怪物掉落配置方案!$D4417</f>
        <v>0</v>
      </c>
    </row>
    <row r="3392" spans="1:4" ht="16.5" hidden="1" x14ac:dyDescent="0.3">
      <c r="A3392" s="10" t="str">
        <f>基本属性!$B$18&amp;"|"&amp;基本属性!$C$18</f>
        <v>155|8</v>
      </c>
      <c r="B3392" s="10" t="str">
        <f>参数调整!$J$33</f>
        <v>统领掉落</v>
      </c>
      <c r="C3392" s="8" t="str">
        <f>材料产出!$BL$2</f>
        <v>新增材料3</v>
      </c>
      <c r="D3392" s="224">
        <f>参数调整!$K$33*怪物掉落配置方案!$D4418</f>
        <v>0</v>
      </c>
    </row>
    <row r="3393" spans="1:4" ht="16.5" hidden="1" x14ac:dyDescent="0.3">
      <c r="A3393" s="10" t="str">
        <f>基本属性!$B$19&amp;"|"&amp;基本属性!$C$19</f>
        <v>190|9</v>
      </c>
      <c r="B3393" s="10" t="str">
        <f>参数调整!$J$33</f>
        <v>统领掉落</v>
      </c>
      <c r="C3393" s="8" t="str">
        <f>材料产出!$BL$2</f>
        <v>新增材料3</v>
      </c>
      <c r="D3393" s="224">
        <f>参数调整!$K$33*怪物掉落配置方案!$D4419</f>
        <v>0</v>
      </c>
    </row>
    <row r="3394" spans="1:4" ht="16.5" hidden="1" x14ac:dyDescent="0.3">
      <c r="A3394" s="10" t="str">
        <f>基本属性!$B$20&amp;"|"&amp;基本属性!$C$20</f>
        <v>200|10</v>
      </c>
      <c r="B3394" s="10" t="str">
        <f>参数调整!$J$33</f>
        <v>统领掉落</v>
      </c>
      <c r="C3394" s="8" t="str">
        <f>材料产出!$BL$2</f>
        <v>新增材料3</v>
      </c>
      <c r="D3394" s="224">
        <f>参数调整!$K$33*怪物掉落配置方案!$D4420</f>
        <v>0</v>
      </c>
    </row>
    <row r="3395" spans="1:4" ht="16.5" hidden="1" x14ac:dyDescent="0.3">
      <c r="A3395" s="10" t="str">
        <f>基本属性!$B$21&amp;"|"&amp;基本属性!$C$21</f>
        <v>200|11</v>
      </c>
      <c r="B3395" s="10" t="str">
        <f>参数调整!$J$33</f>
        <v>统领掉落</v>
      </c>
      <c r="C3395" s="8" t="str">
        <f>材料产出!$BL$2</f>
        <v>新增材料3</v>
      </c>
      <c r="D3395" s="224">
        <f>参数调整!$K$33*怪物掉落配置方案!$D4421</f>
        <v>0</v>
      </c>
    </row>
    <row r="3396" spans="1:4" ht="16.5" hidden="1" x14ac:dyDescent="0.3">
      <c r="A3396" s="10" t="str">
        <f>基本属性!$B$22&amp;"|"&amp;基本属性!$C$22</f>
        <v>210|12</v>
      </c>
      <c r="B3396" s="10" t="str">
        <f>参数调整!$J$33</f>
        <v>统领掉落</v>
      </c>
      <c r="C3396" s="8" t="str">
        <f>材料产出!$BL$2</f>
        <v>新增材料3</v>
      </c>
      <c r="D3396" s="224">
        <f>参数调整!$K$33*怪物掉落配置方案!$D4422</f>
        <v>0</v>
      </c>
    </row>
    <row r="3397" spans="1:4" ht="16.5" hidden="1" x14ac:dyDescent="0.3">
      <c r="A3397" s="10" t="str">
        <f>基本属性!$B$23&amp;"|"&amp;基本属性!$C$23</f>
        <v>210|13</v>
      </c>
      <c r="B3397" s="10" t="str">
        <f>参数调整!$J$33</f>
        <v>统领掉落</v>
      </c>
      <c r="C3397" s="8" t="str">
        <f>材料产出!$BL$2</f>
        <v>新增材料3</v>
      </c>
      <c r="D3397" s="224">
        <f>参数调整!$K$33*怪物掉落配置方案!$D4423</f>
        <v>0</v>
      </c>
    </row>
    <row r="3398" spans="1:4" ht="16.5" hidden="1" x14ac:dyDescent="0.3">
      <c r="A3398" s="10" t="str">
        <f>基本属性!$B$24&amp;"|"&amp;基本属性!$C$24</f>
        <v>220|14</v>
      </c>
      <c r="B3398" s="10" t="str">
        <f>参数调整!$J$33</f>
        <v>统领掉落</v>
      </c>
      <c r="C3398" s="8" t="str">
        <f>材料产出!$BL$2</f>
        <v>新增材料3</v>
      </c>
      <c r="D3398" s="224">
        <f>参数调整!$K$33*怪物掉落配置方案!$D4424</f>
        <v>0</v>
      </c>
    </row>
    <row r="3399" spans="1:4" ht="16.5" hidden="1" x14ac:dyDescent="0.3">
      <c r="A3399" s="10" t="str">
        <f>基本属性!$B$25&amp;"|"&amp;基本属性!$C$25</f>
        <v>220|15</v>
      </c>
      <c r="B3399" s="10" t="str">
        <f>参数调整!$J$33</f>
        <v>统领掉落</v>
      </c>
      <c r="C3399" s="8" t="str">
        <f>材料产出!$BL$2</f>
        <v>新增材料3</v>
      </c>
      <c r="D3399" s="224">
        <f>参数调整!$K$33*怪物掉落配置方案!$D4425</f>
        <v>0</v>
      </c>
    </row>
    <row r="3400" spans="1:4" ht="16.5" hidden="1" x14ac:dyDescent="0.3">
      <c r="A3400" s="10" t="str">
        <f>基本属性!$B$26&amp;"|"&amp;基本属性!$C$26</f>
        <v>230|16</v>
      </c>
      <c r="B3400" s="10" t="str">
        <f>参数调整!$J$33</f>
        <v>统领掉落</v>
      </c>
      <c r="C3400" s="8" t="str">
        <f>材料产出!$BL$2</f>
        <v>新增材料3</v>
      </c>
      <c r="D3400" s="224">
        <f>参数调整!$K$33*怪物掉落配置方案!$D4426</f>
        <v>0</v>
      </c>
    </row>
    <row r="3401" spans="1:4" ht="16.5" hidden="1" x14ac:dyDescent="0.3">
      <c r="A3401" s="10" t="str">
        <f>基本属性!$B$27&amp;"|"&amp;基本属性!$C$27</f>
        <v>230|17</v>
      </c>
      <c r="B3401" s="10" t="str">
        <f>参数调整!$J$33</f>
        <v>统领掉落</v>
      </c>
      <c r="C3401" s="8" t="str">
        <f>材料产出!$BL$2</f>
        <v>新增材料3</v>
      </c>
      <c r="D3401" s="224">
        <f>参数调整!$K$33*怪物掉落配置方案!$D4427</f>
        <v>0</v>
      </c>
    </row>
    <row r="3402" spans="1:4" ht="16.5" hidden="1" x14ac:dyDescent="0.3">
      <c r="A3402" s="10" t="str">
        <f>基本属性!$B$28&amp;"|"&amp;基本属性!$C$28</f>
        <v>240|18</v>
      </c>
      <c r="B3402" s="10" t="str">
        <f>参数调整!$J$33</f>
        <v>统领掉落</v>
      </c>
      <c r="C3402" s="8" t="str">
        <f>材料产出!$BL$2</f>
        <v>新增材料3</v>
      </c>
      <c r="D3402" s="224">
        <f>参数调整!$K$33*怪物掉落配置方案!$D4428</f>
        <v>0</v>
      </c>
    </row>
    <row r="3403" spans="1:4" ht="16.5" hidden="1" x14ac:dyDescent="0.3">
      <c r="A3403" s="10" t="str">
        <f>基本属性!$B$29&amp;"|"&amp;基本属性!$C$29</f>
        <v>240|19</v>
      </c>
      <c r="B3403" s="10" t="str">
        <f>参数调整!$J$33</f>
        <v>统领掉落</v>
      </c>
      <c r="C3403" s="8" t="str">
        <f>材料产出!$BL$2</f>
        <v>新增材料3</v>
      </c>
      <c r="D3403" s="224">
        <f>参数调整!$K$33*怪物掉落配置方案!$D4429</f>
        <v>0</v>
      </c>
    </row>
    <row r="3404" spans="1:4" ht="16.5" hidden="1" x14ac:dyDescent="0.3">
      <c r="A3404" s="10" t="str">
        <f>基本属性!$B$30&amp;"|"&amp;基本属性!$C$30</f>
        <v>250|20</v>
      </c>
      <c r="B3404" s="10" t="str">
        <f>参数调整!$J$33</f>
        <v>统领掉落</v>
      </c>
      <c r="C3404" s="8" t="str">
        <f>材料产出!$BL$2</f>
        <v>新增材料3</v>
      </c>
      <c r="D3404" s="224">
        <f>参数调整!$K$33*怪物掉落配置方案!$D4430</f>
        <v>0</v>
      </c>
    </row>
    <row r="3405" spans="1:4" ht="16.5" hidden="1" x14ac:dyDescent="0.3">
      <c r="A3405" s="10" t="str">
        <f>基本属性!$B$4&amp;"|"&amp;基本属性!$C$4</f>
        <v>35|0</v>
      </c>
      <c r="B3405" s="10" t="str">
        <f>参数调整!$J$33</f>
        <v>统领掉落</v>
      </c>
      <c r="C3405" s="8" t="str">
        <f>材料产出!$BJ$2</f>
        <v>新增材料2</v>
      </c>
      <c r="D3405" s="224">
        <f>参数调整!$K$33*怪物掉落配置方案!$D4431</f>
        <v>0</v>
      </c>
    </row>
    <row r="3406" spans="1:4" ht="16.5" hidden="1" x14ac:dyDescent="0.3">
      <c r="A3406" s="10" t="str">
        <f>基本属性!$B$5&amp;"|"&amp;基本属性!$C$5</f>
        <v>40|0</v>
      </c>
      <c r="B3406" s="10" t="str">
        <f>参数调整!$J$33</f>
        <v>统领掉落</v>
      </c>
      <c r="C3406" s="8" t="str">
        <f>材料产出!$BJ$2</f>
        <v>新增材料2</v>
      </c>
      <c r="D3406" s="224">
        <f>参数调整!$K$33*怪物掉落配置方案!$D4432</f>
        <v>0</v>
      </c>
    </row>
    <row r="3407" spans="1:4" ht="16.5" hidden="1" x14ac:dyDescent="0.3">
      <c r="A3407" s="10" t="str">
        <f>基本属性!$B$6&amp;"|"&amp;基本属性!$C$6</f>
        <v>50|0</v>
      </c>
      <c r="B3407" s="10" t="str">
        <f>参数调整!$J$33</f>
        <v>统领掉落</v>
      </c>
      <c r="C3407" s="8" t="str">
        <f>材料产出!$BJ$2</f>
        <v>新增材料2</v>
      </c>
      <c r="D3407" s="224">
        <f>参数调整!$K$33*怪物掉落配置方案!$D4433</f>
        <v>0</v>
      </c>
    </row>
    <row r="3408" spans="1:4" ht="16.5" hidden="1" x14ac:dyDescent="0.3">
      <c r="A3408" s="10" t="str">
        <f>基本属性!$B$7&amp;"|"&amp;基本属性!$C$7</f>
        <v>60|0</v>
      </c>
      <c r="B3408" s="10" t="str">
        <f>参数调整!$J$33</f>
        <v>统领掉落</v>
      </c>
      <c r="C3408" s="8" t="str">
        <f>材料产出!$BJ$2</f>
        <v>新增材料2</v>
      </c>
      <c r="D3408" s="224">
        <f>参数调整!$K$33*怪物掉落配置方案!$D4434</f>
        <v>0</v>
      </c>
    </row>
    <row r="3409" spans="1:4" ht="16.5" hidden="1" x14ac:dyDescent="0.3">
      <c r="A3409" s="10" t="str">
        <f>基本属性!$B$8&amp;"|"&amp;基本属性!$C$8</f>
        <v>65|0</v>
      </c>
      <c r="B3409" s="10" t="str">
        <f>参数调整!$J$33</f>
        <v>统领掉落</v>
      </c>
      <c r="C3409" s="8" t="str">
        <f>材料产出!$BJ$2</f>
        <v>新增材料2</v>
      </c>
      <c r="D3409" s="224">
        <f>参数调整!$K$33*怪物掉落配置方案!$D4435</f>
        <v>0</v>
      </c>
    </row>
    <row r="3410" spans="1:4" ht="16.5" hidden="1" x14ac:dyDescent="0.3">
      <c r="A3410" s="10" t="str">
        <f>基本属性!$B$9&amp;"|"&amp;基本属性!$C$9</f>
        <v>70|0</v>
      </c>
      <c r="B3410" s="10" t="str">
        <f>参数调整!$J$33</f>
        <v>统领掉落</v>
      </c>
      <c r="C3410" s="8" t="str">
        <f>材料产出!$BJ$2</f>
        <v>新增材料2</v>
      </c>
      <c r="D3410" s="224">
        <f>参数调整!$K$33*怪物掉落配置方案!$D4436</f>
        <v>0</v>
      </c>
    </row>
    <row r="3411" spans="1:4" ht="16.5" hidden="1" x14ac:dyDescent="0.3">
      <c r="A3411" s="10" t="str">
        <f>基本属性!$B$10&amp;"|"&amp;基本属性!$C$10</f>
        <v>75|0</v>
      </c>
      <c r="B3411" s="10" t="str">
        <f>参数调整!$J$33</f>
        <v>统领掉落</v>
      </c>
      <c r="C3411" s="8" t="str">
        <f>材料产出!$BJ$2</f>
        <v>新增材料2</v>
      </c>
      <c r="D3411" s="224">
        <f>参数调整!$K$33*怪物掉落配置方案!$D4437</f>
        <v>0</v>
      </c>
    </row>
    <row r="3412" spans="1:4" ht="16.5" hidden="1" x14ac:dyDescent="0.3">
      <c r="A3412" s="10" t="str">
        <f>基本属性!$B$11&amp;"|"&amp;基本属性!$C$11</f>
        <v>80|1</v>
      </c>
      <c r="B3412" s="10" t="str">
        <f>参数调整!$J$33</f>
        <v>统领掉落</v>
      </c>
      <c r="C3412" s="8" t="str">
        <f>材料产出!$BJ$2</f>
        <v>新增材料2</v>
      </c>
      <c r="D3412" s="224">
        <f>参数调整!$K$33*怪物掉落配置方案!$D4438</f>
        <v>0</v>
      </c>
    </row>
    <row r="3413" spans="1:4" ht="16.5" hidden="1" x14ac:dyDescent="0.3">
      <c r="A3413" s="10" t="str">
        <f>基本属性!$B$12&amp;"|"&amp;基本属性!$C$12</f>
        <v>90|2</v>
      </c>
      <c r="B3413" s="10" t="str">
        <f>参数调整!$J$33</f>
        <v>统领掉落</v>
      </c>
      <c r="C3413" s="8" t="str">
        <f>材料产出!$BJ$2</f>
        <v>新增材料2</v>
      </c>
      <c r="D3413" s="224">
        <f>参数调整!$K$33*怪物掉落配置方案!$D4439</f>
        <v>0</v>
      </c>
    </row>
    <row r="3414" spans="1:4" ht="16.5" hidden="1" x14ac:dyDescent="0.3">
      <c r="A3414" s="10" t="str">
        <f>基本属性!$B$13&amp;"|"&amp;基本属性!$C$13</f>
        <v>100|3</v>
      </c>
      <c r="B3414" s="10" t="str">
        <f>参数调整!$J$33</f>
        <v>统领掉落</v>
      </c>
      <c r="C3414" s="8" t="str">
        <f>材料产出!$BJ$2</f>
        <v>新增材料2</v>
      </c>
      <c r="D3414" s="224">
        <f>参数调整!$K$33*怪物掉落配置方案!$D4440</f>
        <v>0</v>
      </c>
    </row>
    <row r="3415" spans="1:4" ht="16.5" hidden="1" x14ac:dyDescent="0.3">
      <c r="A3415" s="10" t="str">
        <f>基本属性!$B$14&amp;"|"&amp;基本属性!$C$14</f>
        <v>105|4</v>
      </c>
      <c r="B3415" s="10" t="str">
        <f>参数调整!$J$33</f>
        <v>统领掉落</v>
      </c>
      <c r="C3415" s="8" t="str">
        <f>材料产出!$BJ$2</f>
        <v>新增材料2</v>
      </c>
      <c r="D3415" s="224">
        <f>参数调整!$K$33*怪物掉落配置方案!$D4441</f>
        <v>0</v>
      </c>
    </row>
    <row r="3416" spans="1:4" ht="16.5" hidden="1" x14ac:dyDescent="0.3">
      <c r="A3416" s="10" t="str">
        <f>基本属性!$B$15&amp;"|"&amp;基本属性!$C$15</f>
        <v>110|5</v>
      </c>
      <c r="B3416" s="10" t="str">
        <f>参数调整!$J$33</f>
        <v>统领掉落</v>
      </c>
      <c r="C3416" s="8" t="str">
        <f>材料产出!$BJ$2</f>
        <v>新增材料2</v>
      </c>
      <c r="D3416" s="224">
        <f>参数调整!$K$33*怪物掉落配置方案!$D4442</f>
        <v>0</v>
      </c>
    </row>
    <row r="3417" spans="1:4" ht="16.5" hidden="1" x14ac:dyDescent="0.3">
      <c r="A3417" s="10" t="str">
        <f>基本属性!$B$16&amp;"|"&amp;基本属性!$C$16</f>
        <v>120|6</v>
      </c>
      <c r="B3417" s="10" t="str">
        <f>参数调整!$J$33</f>
        <v>统领掉落</v>
      </c>
      <c r="C3417" s="8" t="str">
        <f>材料产出!$BJ$2</f>
        <v>新增材料2</v>
      </c>
      <c r="D3417" s="224">
        <f>参数调整!$K$33*怪物掉落配置方案!$D4443</f>
        <v>0</v>
      </c>
    </row>
    <row r="3418" spans="1:4" ht="16.5" hidden="1" x14ac:dyDescent="0.3">
      <c r="A3418" s="10" t="str">
        <f>基本属性!$B$17&amp;"|"&amp;基本属性!$C$17</f>
        <v>135|7</v>
      </c>
      <c r="B3418" s="10" t="str">
        <f>参数调整!$J$33</f>
        <v>统领掉落</v>
      </c>
      <c r="C3418" s="8" t="str">
        <f>材料产出!$BJ$2</f>
        <v>新增材料2</v>
      </c>
      <c r="D3418" s="224">
        <f>参数调整!$K$33*怪物掉落配置方案!$D4444</f>
        <v>0</v>
      </c>
    </row>
    <row r="3419" spans="1:4" ht="16.5" hidden="1" x14ac:dyDescent="0.3">
      <c r="A3419" s="10" t="str">
        <f>基本属性!$B$18&amp;"|"&amp;基本属性!$C$18</f>
        <v>155|8</v>
      </c>
      <c r="B3419" s="10" t="str">
        <f>参数调整!$J$33</f>
        <v>统领掉落</v>
      </c>
      <c r="C3419" s="8" t="str">
        <f>材料产出!$BJ$2</f>
        <v>新增材料2</v>
      </c>
      <c r="D3419" s="224">
        <f>参数调整!$K$33*怪物掉落配置方案!$D4445</f>
        <v>0</v>
      </c>
    </row>
    <row r="3420" spans="1:4" ht="16.5" hidden="1" x14ac:dyDescent="0.3">
      <c r="A3420" s="10" t="str">
        <f>基本属性!$B$19&amp;"|"&amp;基本属性!$C$19</f>
        <v>190|9</v>
      </c>
      <c r="B3420" s="10" t="str">
        <f>参数调整!$J$33</f>
        <v>统领掉落</v>
      </c>
      <c r="C3420" s="8" t="str">
        <f>材料产出!$BJ$2</f>
        <v>新增材料2</v>
      </c>
      <c r="D3420" s="224">
        <f>参数调整!$K$33*怪物掉落配置方案!$D4446</f>
        <v>0</v>
      </c>
    </row>
    <row r="3421" spans="1:4" ht="16.5" hidden="1" x14ac:dyDescent="0.3">
      <c r="A3421" s="10" t="str">
        <f>基本属性!$B$20&amp;"|"&amp;基本属性!$C$20</f>
        <v>200|10</v>
      </c>
      <c r="B3421" s="10" t="str">
        <f>参数调整!$J$33</f>
        <v>统领掉落</v>
      </c>
      <c r="C3421" s="8" t="str">
        <f>材料产出!$BJ$2</f>
        <v>新增材料2</v>
      </c>
      <c r="D3421" s="224">
        <f>参数调整!$K$33*怪物掉落配置方案!$D4447</f>
        <v>0</v>
      </c>
    </row>
    <row r="3422" spans="1:4" ht="16.5" hidden="1" x14ac:dyDescent="0.3">
      <c r="A3422" s="10" t="str">
        <f>基本属性!$B$21&amp;"|"&amp;基本属性!$C$21</f>
        <v>200|11</v>
      </c>
      <c r="B3422" s="10" t="str">
        <f>参数调整!$J$33</f>
        <v>统领掉落</v>
      </c>
      <c r="C3422" s="8" t="str">
        <f>材料产出!$BJ$2</f>
        <v>新增材料2</v>
      </c>
      <c r="D3422" s="224">
        <f>参数调整!$K$33*怪物掉落配置方案!$D4448</f>
        <v>0</v>
      </c>
    </row>
    <row r="3423" spans="1:4" ht="16.5" hidden="1" x14ac:dyDescent="0.3">
      <c r="A3423" s="10" t="str">
        <f>基本属性!$B$22&amp;"|"&amp;基本属性!$C$22</f>
        <v>210|12</v>
      </c>
      <c r="B3423" s="10" t="str">
        <f>参数调整!$J$33</f>
        <v>统领掉落</v>
      </c>
      <c r="C3423" s="8" t="str">
        <f>材料产出!$BJ$2</f>
        <v>新增材料2</v>
      </c>
      <c r="D3423" s="224">
        <f>参数调整!$K$33*怪物掉落配置方案!$D4449</f>
        <v>0</v>
      </c>
    </row>
    <row r="3424" spans="1:4" ht="16.5" hidden="1" x14ac:dyDescent="0.3">
      <c r="A3424" s="10" t="str">
        <f>基本属性!$B$23&amp;"|"&amp;基本属性!$C$23</f>
        <v>210|13</v>
      </c>
      <c r="B3424" s="10" t="str">
        <f>参数调整!$J$33</f>
        <v>统领掉落</v>
      </c>
      <c r="C3424" s="8" t="str">
        <f>材料产出!$BJ$2</f>
        <v>新增材料2</v>
      </c>
      <c r="D3424" s="224">
        <f>参数调整!$K$33*怪物掉落配置方案!$D4450</f>
        <v>0</v>
      </c>
    </row>
    <row r="3425" spans="1:4" ht="16.5" hidden="1" x14ac:dyDescent="0.3">
      <c r="A3425" s="10" t="str">
        <f>基本属性!$B$24&amp;"|"&amp;基本属性!$C$24</f>
        <v>220|14</v>
      </c>
      <c r="B3425" s="10" t="str">
        <f>参数调整!$J$33</f>
        <v>统领掉落</v>
      </c>
      <c r="C3425" s="8" t="str">
        <f>材料产出!$BJ$2</f>
        <v>新增材料2</v>
      </c>
      <c r="D3425" s="224">
        <f>参数调整!$K$33*怪物掉落配置方案!$D4451</f>
        <v>0</v>
      </c>
    </row>
    <row r="3426" spans="1:4" ht="16.5" hidden="1" x14ac:dyDescent="0.3">
      <c r="A3426" s="10" t="str">
        <f>基本属性!$B$25&amp;"|"&amp;基本属性!$C$25</f>
        <v>220|15</v>
      </c>
      <c r="B3426" s="10" t="str">
        <f>参数调整!$J$33</f>
        <v>统领掉落</v>
      </c>
      <c r="C3426" s="8" t="str">
        <f>材料产出!$BJ$2</f>
        <v>新增材料2</v>
      </c>
      <c r="D3426" s="224">
        <f>参数调整!$K$33*怪物掉落配置方案!$D4452</f>
        <v>0</v>
      </c>
    </row>
    <row r="3427" spans="1:4" ht="16.5" hidden="1" x14ac:dyDescent="0.3">
      <c r="A3427" s="10" t="str">
        <f>基本属性!$B$26&amp;"|"&amp;基本属性!$C$26</f>
        <v>230|16</v>
      </c>
      <c r="B3427" s="10" t="str">
        <f>参数调整!$J$33</f>
        <v>统领掉落</v>
      </c>
      <c r="C3427" s="8" t="str">
        <f>材料产出!$BJ$2</f>
        <v>新增材料2</v>
      </c>
      <c r="D3427" s="224">
        <f>参数调整!$K$33*怪物掉落配置方案!$D4453</f>
        <v>0</v>
      </c>
    </row>
    <row r="3428" spans="1:4" ht="16.5" hidden="1" x14ac:dyDescent="0.3">
      <c r="A3428" s="10" t="str">
        <f>基本属性!$B$27&amp;"|"&amp;基本属性!$C$27</f>
        <v>230|17</v>
      </c>
      <c r="B3428" s="10" t="str">
        <f>参数调整!$J$33</f>
        <v>统领掉落</v>
      </c>
      <c r="C3428" s="8" t="str">
        <f>材料产出!$BJ$2</f>
        <v>新增材料2</v>
      </c>
      <c r="D3428" s="224">
        <f>参数调整!$K$33*怪物掉落配置方案!$D4454</f>
        <v>0</v>
      </c>
    </row>
    <row r="3429" spans="1:4" ht="16.5" hidden="1" x14ac:dyDescent="0.3">
      <c r="A3429" s="10" t="str">
        <f>基本属性!$B$28&amp;"|"&amp;基本属性!$C$28</f>
        <v>240|18</v>
      </c>
      <c r="B3429" s="10" t="str">
        <f>参数调整!$J$33</f>
        <v>统领掉落</v>
      </c>
      <c r="C3429" s="8" t="str">
        <f>材料产出!$BJ$2</f>
        <v>新增材料2</v>
      </c>
      <c r="D3429" s="224">
        <f>参数调整!$K$33*怪物掉落配置方案!$D4455</f>
        <v>0</v>
      </c>
    </row>
    <row r="3430" spans="1:4" ht="16.5" hidden="1" x14ac:dyDescent="0.3">
      <c r="A3430" s="10" t="str">
        <f>基本属性!$B$29&amp;"|"&amp;基本属性!$C$29</f>
        <v>240|19</v>
      </c>
      <c r="B3430" s="10" t="str">
        <f>参数调整!$J$33</f>
        <v>统领掉落</v>
      </c>
      <c r="C3430" s="8" t="str">
        <f>材料产出!$BJ$2</f>
        <v>新增材料2</v>
      </c>
      <c r="D3430" s="224">
        <f>参数调整!$K$33*怪物掉落配置方案!$D4456</f>
        <v>0</v>
      </c>
    </row>
    <row r="3431" spans="1:4" ht="16.5" hidden="1" x14ac:dyDescent="0.3">
      <c r="A3431" s="10" t="str">
        <f>基本属性!$B$30&amp;"|"&amp;基本属性!$C$30</f>
        <v>250|20</v>
      </c>
      <c r="B3431" s="10" t="str">
        <f>参数调整!$J$33</f>
        <v>统领掉落</v>
      </c>
      <c r="C3431" s="8" t="str">
        <f>材料产出!$BJ$2</f>
        <v>新增材料2</v>
      </c>
      <c r="D3431" s="224">
        <f>参数调整!$K$33*怪物掉落配置方案!$D4457</f>
        <v>0</v>
      </c>
    </row>
    <row r="3432" spans="1:4" ht="16.5" hidden="1" x14ac:dyDescent="0.3">
      <c r="A3432" s="10" t="str">
        <f>基本属性!$B$4&amp;"|"&amp;基本属性!$C$4</f>
        <v>35|0</v>
      </c>
      <c r="B3432" s="10" t="str">
        <f>参数调整!$J$33</f>
        <v>统领掉落</v>
      </c>
      <c r="C3432" s="8" t="str">
        <f>材料产出!$BH$2</f>
        <v>新增材料1</v>
      </c>
      <c r="D3432" s="224">
        <f>参数调整!$K$33*怪物掉落配置方案!$D4458</f>
        <v>0</v>
      </c>
    </row>
    <row r="3433" spans="1:4" ht="16.5" hidden="1" x14ac:dyDescent="0.3">
      <c r="A3433" s="10" t="str">
        <f>基本属性!$B$5&amp;"|"&amp;基本属性!$C$5</f>
        <v>40|0</v>
      </c>
      <c r="B3433" s="10" t="str">
        <f>参数调整!$J$33</f>
        <v>统领掉落</v>
      </c>
      <c r="C3433" s="8" t="str">
        <f>材料产出!$BH$2</f>
        <v>新增材料1</v>
      </c>
      <c r="D3433" s="224">
        <f>参数调整!$K$33*怪物掉落配置方案!$D4459</f>
        <v>0</v>
      </c>
    </row>
    <row r="3434" spans="1:4" ht="16.5" hidden="1" x14ac:dyDescent="0.3">
      <c r="A3434" s="10" t="str">
        <f>基本属性!$B$6&amp;"|"&amp;基本属性!$C$6</f>
        <v>50|0</v>
      </c>
      <c r="B3434" s="10" t="str">
        <f>参数调整!$J$33</f>
        <v>统领掉落</v>
      </c>
      <c r="C3434" s="8" t="str">
        <f>材料产出!$BH$2</f>
        <v>新增材料1</v>
      </c>
      <c r="D3434" s="224">
        <f>参数调整!$K$33*怪物掉落配置方案!$D4460</f>
        <v>0</v>
      </c>
    </row>
    <row r="3435" spans="1:4" ht="16.5" hidden="1" x14ac:dyDescent="0.3">
      <c r="A3435" s="10" t="str">
        <f>基本属性!$B$7&amp;"|"&amp;基本属性!$C$7</f>
        <v>60|0</v>
      </c>
      <c r="B3435" s="10" t="str">
        <f>参数调整!$J$33</f>
        <v>统领掉落</v>
      </c>
      <c r="C3435" s="8" t="str">
        <f>材料产出!$BH$2</f>
        <v>新增材料1</v>
      </c>
      <c r="D3435" s="224">
        <f>参数调整!$K$33*怪物掉落配置方案!$D4461</f>
        <v>0</v>
      </c>
    </row>
    <row r="3436" spans="1:4" ht="16.5" hidden="1" x14ac:dyDescent="0.3">
      <c r="A3436" s="10" t="str">
        <f>基本属性!$B$8&amp;"|"&amp;基本属性!$C$8</f>
        <v>65|0</v>
      </c>
      <c r="B3436" s="10" t="str">
        <f>参数调整!$J$33</f>
        <v>统领掉落</v>
      </c>
      <c r="C3436" s="8" t="str">
        <f>材料产出!$BH$2</f>
        <v>新增材料1</v>
      </c>
      <c r="D3436" s="224">
        <f>参数调整!$K$33*怪物掉落配置方案!$D4462</f>
        <v>0</v>
      </c>
    </row>
    <row r="3437" spans="1:4" ht="16.5" hidden="1" x14ac:dyDescent="0.3">
      <c r="A3437" s="10" t="str">
        <f>基本属性!$B$9&amp;"|"&amp;基本属性!$C$9</f>
        <v>70|0</v>
      </c>
      <c r="B3437" s="10" t="str">
        <f>参数调整!$J$33</f>
        <v>统领掉落</v>
      </c>
      <c r="C3437" s="8" t="str">
        <f>材料产出!$BH$2</f>
        <v>新增材料1</v>
      </c>
      <c r="D3437" s="224">
        <f>参数调整!$K$33*怪物掉落配置方案!$D4463</f>
        <v>0</v>
      </c>
    </row>
    <row r="3438" spans="1:4" ht="16.5" hidden="1" x14ac:dyDescent="0.3">
      <c r="A3438" s="10" t="str">
        <f>基本属性!$B$10&amp;"|"&amp;基本属性!$C$10</f>
        <v>75|0</v>
      </c>
      <c r="B3438" s="10" t="str">
        <f>参数调整!$J$33</f>
        <v>统领掉落</v>
      </c>
      <c r="C3438" s="8" t="str">
        <f>材料产出!$BH$2</f>
        <v>新增材料1</v>
      </c>
      <c r="D3438" s="224">
        <f>参数调整!$K$33*怪物掉落配置方案!$D4464</f>
        <v>0</v>
      </c>
    </row>
    <row r="3439" spans="1:4" ht="16.5" hidden="1" x14ac:dyDescent="0.3">
      <c r="A3439" s="10" t="str">
        <f>基本属性!$B$11&amp;"|"&amp;基本属性!$C$11</f>
        <v>80|1</v>
      </c>
      <c r="B3439" s="10" t="str">
        <f>参数调整!$J$33</f>
        <v>统领掉落</v>
      </c>
      <c r="C3439" s="8" t="str">
        <f>材料产出!$BH$2</f>
        <v>新增材料1</v>
      </c>
      <c r="D3439" s="224">
        <f>参数调整!$K$33*怪物掉落配置方案!$D4465</f>
        <v>0</v>
      </c>
    </row>
    <row r="3440" spans="1:4" ht="16.5" hidden="1" x14ac:dyDescent="0.3">
      <c r="A3440" s="10" t="str">
        <f>基本属性!$B$12&amp;"|"&amp;基本属性!$C$12</f>
        <v>90|2</v>
      </c>
      <c r="B3440" s="10" t="str">
        <f>参数调整!$J$33</f>
        <v>统领掉落</v>
      </c>
      <c r="C3440" s="8" t="str">
        <f>材料产出!$BH$2</f>
        <v>新增材料1</v>
      </c>
      <c r="D3440" s="224">
        <f>参数调整!$K$33*怪物掉落配置方案!$D4466</f>
        <v>0</v>
      </c>
    </row>
    <row r="3441" spans="1:4" ht="16.5" hidden="1" x14ac:dyDescent="0.3">
      <c r="A3441" s="10" t="str">
        <f>基本属性!$B$13&amp;"|"&amp;基本属性!$C$13</f>
        <v>100|3</v>
      </c>
      <c r="B3441" s="10" t="str">
        <f>参数调整!$J$33</f>
        <v>统领掉落</v>
      </c>
      <c r="C3441" s="8" t="str">
        <f>材料产出!$BH$2</f>
        <v>新增材料1</v>
      </c>
      <c r="D3441" s="224">
        <f>参数调整!$K$33*怪物掉落配置方案!$D4467</f>
        <v>0</v>
      </c>
    </row>
    <row r="3442" spans="1:4" ht="16.5" hidden="1" x14ac:dyDescent="0.3">
      <c r="A3442" s="10" t="str">
        <f>基本属性!$B$14&amp;"|"&amp;基本属性!$C$14</f>
        <v>105|4</v>
      </c>
      <c r="B3442" s="10" t="str">
        <f>参数调整!$J$33</f>
        <v>统领掉落</v>
      </c>
      <c r="C3442" s="8" t="str">
        <f>材料产出!$BH$2</f>
        <v>新增材料1</v>
      </c>
      <c r="D3442" s="224">
        <f>参数调整!$K$33*怪物掉落配置方案!$D4468</f>
        <v>0</v>
      </c>
    </row>
    <row r="3443" spans="1:4" ht="16.5" hidden="1" x14ac:dyDescent="0.3">
      <c r="A3443" s="10" t="str">
        <f>基本属性!$B$15&amp;"|"&amp;基本属性!$C$15</f>
        <v>110|5</v>
      </c>
      <c r="B3443" s="10" t="str">
        <f>参数调整!$J$33</f>
        <v>统领掉落</v>
      </c>
      <c r="C3443" s="8" t="str">
        <f>材料产出!$BH$2</f>
        <v>新增材料1</v>
      </c>
      <c r="D3443" s="224">
        <f>参数调整!$K$33*怪物掉落配置方案!$D4469</f>
        <v>0</v>
      </c>
    </row>
    <row r="3444" spans="1:4" ht="16.5" hidden="1" x14ac:dyDescent="0.3">
      <c r="A3444" s="10" t="str">
        <f>基本属性!$B$16&amp;"|"&amp;基本属性!$C$16</f>
        <v>120|6</v>
      </c>
      <c r="B3444" s="10" t="str">
        <f>参数调整!$J$33</f>
        <v>统领掉落</v>
      </c>
      <c r="C3444" s="8" t="str">
        <f>材料产出!$BH$2</f>
        <v>新增材料1</v>
      </c>
      <c r="D3444" s="224">
        <f>参数调整!$K$33*怪物掉落配置方案!$D4470</f>
        <v>0</v>
      </c>
    </row>
    <row r="3445" spans="1:4" ht="16.5" hidden="1" x14ac:dyDescent="0.3">
      <c r="A3445" s="10" t="str">
        <f>基本属性!$B$17&amp;"|"&amp;基本属性!$C$17</f>
        <v>135|7</v>
      </c>
      <c r="B3445" s="10" t="str">
        <f>参数调整!$J$33</f>
        <v>统领掉落</v>
      </c>
      <c r="C3445" s="8" t="str">
        <f>材料产出!$BH$2</f>
        <v>新增材料1</v>
      </c>
      <c r="D3445" s="224">
        <f>参数调整!$K$33*怪物掉落配置方案!$D4471</f>
        <v>0</v>
      </c>
    </row>
    <row r="3446" spans="1:4" ht="16.5" hidden="1" x14ac:dyDescent="0.3">
      <c r="A3446" s="10" t="str">
        <f>基本属性!$B$18&amp;"|"&amp;基本属性!$C$18</f>
        <v>155|8</v>
      </c>
      <c r="B3446" s="10" t="str">
        <f>参数调整!$J$33</f>
        <v>统领掉落</v>
      </c>
      <c r="C3446" s="8" t="str">
        <f>材料产出!$BH$2</f>
        <v>新增材料1</v>
      </c>
      <c r="D3446" s="224">
        <f>参数调整!$K$33*怪物掉落配置方案!$D4472</f>
        <v>0</v>
      </c>
    </row>
    <row r="3447" spans="1:4" ht="16.5" hidden="1" x14ac:dyDescent="0.3">
      <c r="A3447" s="10" t="str">
        <f>基本属性!$B$19&amp;"|"&amp;基本属性!$C$19</f>
        <v>190|9</v>
      </c>
      <c r="B3447" s="10" t="str">
        <f>参数调整!$J$33</f>
        <v>统领掉落</v>
      </c>
      <c r="C3447" s="8" t="str">
        <f>材料产出!$BH$2</f>
        <v>新增材料1</v>
      </c>
      <c r="D3447" s="224">
        <f>参数调整!$K$33*怪物掉落配置方案!$D4473</f>
        <v>0</v>
      </c>
    </row>
    <row r="3448" spans="1:4" ht="16.5" hidden="1" x14ac:dyDescent="0.3">
      <c r="A3448" s="10" t="str">
        <f>基本属性!$B$20&amp;"|"&amp;基本属性!$C$20</f>
        <v>200|10</v>
      </c>
      <c r="B3448" s="10" t="str">
        <f>参数调整!$J$33</f>
        <v>统领掉落</v>
      </c>
      <c r="C3448" s="8" t="str">
        <f>材料产出!$BH$2</f>
        <v>新增材料1</v>
      </c>
      <c r="D3448" s="224">
        <f>参数调整!$K$33*怪物掉落配置方案!$D4474</f>
        <v>0</v>
      </c>
    </row>
    <row r="3449" spans="1:4" ht="16.5" hidden="1" x14ac:dyDescent="0.3">
      <c r="A3449" s="10" t="str">
        <f>基本属性!$B$21&amp;"|"&amp;基本属性!$C$21</f>
        <v>200|11</v>
      </c>
      <c r="B3449" s="10" t="str">
        <f>参数调整!$J$33</f>
        <v>统领掉落</v>
      </c>
      <c r="C3449" s="8" t="str">
        <f>材料产出!$BH$2</f>
        <v>新增材料1</v>
      </c>
      <c r="D3449" s="224">
        <f>参数调整!$K$33*怪物掉落配置方案!$D4475</f>
        <v>0</v>
      </c>
    </row>
    <row r="3450" spans="1:4" ht="16.5" hidden="1" x14ac:dyDescent="0.3">
      <c r="A3450" s="10" t="str">
        <f>基本属性!$B$22&amp;"|"&amp;基本属性!$C$22</f>
        <v>210|12</v>
      </c>
      <c r="B3450" s="10" t="str">
        <f>参数调整!$J$33</f>
        <v>统领掉落</v>
      </c>
      <c r="C3450" s="8" t="str">
        <f>材料产出!$BH$2</f>
        <v>新增材料1</v>
      </c>
      <c r="D3450" s="224">
        <f>参数调整!$K$33*怪物掉落配置方案!$D4476</f>
        <v>0</v>
      </c>
    </row>
    <row r="3451" spans="1:4" ht="16.5" hidden="1" x14ac:dyDescent="0.3">
      <c r="A3451" s="10" t="str">
        <f>基本属性!$B$23&amp;"|"&amp;基本属性!$C$23</f>
        <v>210|13</v>
      </c>
      <c r="B3451" s="10" t="str">
        <f>参数调整!$J$33</f>
        <v>统领掉落</v>
      </c>
      <c r="C3451" s="8" t="str">
        <f>材料产出!$BH$2</f>
        <v>新增材料1</v>
      </c>
      <c r="D3451" s="224">
        <f>参数调整!$K$33*怪物掉落配置方案!$D4477</f>
        <v>0</v>
      </c>
    </row>
    <row r="3452" spans="1:4" ht="16.5" hidden="1" x14ac:dyDescent="0.3">
      <c r="A3452" s="10" t="str">
        <f>基本属性!$B$24&amp;"|"&amp;基本属性!$C$24</f>
        <v>220|14</v>
      </c>
      <c r="B3452" s="10" t="str">
        <f>参数调整!$J$33</f>
        <v>统领掉落</v>
      </c>
      <c r="C3452" s="8" t="str">
        <f>材料产出!$BH$2</f>
        <v>新增材料1</v>
      </c>
      <c r="D3452" s="224">
        <f>参数调整!$K$33*怪物掉落配置方案!$D4478</f>
        <v>0</v>
      </c>
    </row>
    <row r="3453" spans="1:4" ht="16.5" hidden="1" x14ac:dyDescent="0.3">
      <c r="A3453" s="10" t="str">
        <f>基本属性!$B$25&amp;"|"&amp;基本属性!$C$25</f>
        <v>220|15</v>
      </c>
      <c r="B3453" s="10" t="str">
        <f>参数调整!$J$33</f>
        <v>统领掉落</v>
      </c>
      <c r="C3453" s="8" t="str">
        <f>材料产出!$BH$2</f>
        <v>新增材料1</v>
      </c>
      <c r="D3453" s="224">
        <f>参数调整!$K$33*怪物掉落配置方案!$D4479</f>
        <v>0</v>
      </c>
    </row>
    <row r="3454" spans="1:4" ht="16.5" hidden="1" x14ac:dyDescent="0.3">
      <c r="A3454" s="10" t="str">
        <f>基本属性!$B$26&amp;"|"&amp;基本属性!$C$26</f>
        <v>230|16</v>
      </c>
      <c r="B3454" s="10" t="str">
        <f>参数调整!$J$33</f>
        <v>统领掉落</v>
      </c>
      <c r="C3454" s="8" t="str">
        <f>材料产出!$BH$2</f>
        <v>新增材料1</v>
      </c>
      <c r="D3454" s="224">
        <f>参数调整!$K$33*怪物掉落配置方案!$D4480</f>
        <v>0</v>
      </c>
    </row>
    <row r="3455" spans="1:4" ht="16.5" hidden="1" x14ac:dyDescent="0.3">
      <c r="A3455" s="10" t="str">
        <f>基本属性!$B$27&amp;"|"&amp;基本属性!$C$27</f>
        <v>230|17</v>
      </c>
      <c r="B3455" s="10" t="str">
        <f>参数调整!$J$33</f>
        <v>统领掉落</v>
      </c>
      <c r="C3455" s="8" t="str">
        <f>材料产出!$BH$2</f>
        <v>新增材料1</v>
      </c>
      <c r="D3455" s="224">
        <f>参数调整!$K$33*怪物掉落配置方案!$D4481</f>
        <v>0</v>
      </c>
    </row>
    <row r="3456" spans="1:4" ht="16.5" hidden="1" x14ac:dyDescent="0.3">
      <c r="A3456" s="10" t="str">
        <f>基本属性!$B$28&amp;"|"&amp;基本属性!$C$28</f>
        <v>240|18</v>
      </c>
      <c r="B3456" s="10" t="str">
        <f>参数调整!$J$33</f>
        <v>统领掉落</v>
      </c>
      <c r="C3456" s="8" t="str">
        <f>材料产出!$BH$2</f>
        <v>新增材料1</v>
      </c>
      <c r="D3456" s="224">
        <f>参数调整!$K$33*怪物掉落配置方案!$D4482</f>
        <v>0</v>
      </c>
    </row>
    <row r="3457" spans="1:4" ht="16.5" hidden="1" x14ac:dyDescent="0.3">
      <c r="A3457" s="10" t="str">
        <f>基本属性!$B$29&amp;"|"&amp;基本属性!$C$29</f>
        <v>240|19</v>
      </c>
      <c r="B3457" s="10" t="str">
        <f>参数调整!$J$33</f>
        <v>统领掉落</v>
      </c>
      <c r="C3457" s="8" t="str">
        <f>材料产出!$BH$2</f>
        <v>新增材料1</v>
      </c>
      <c r="D3457" s="224">
        <f>参数调整!$K$33*怪物掉落配置方案!$D4483</f>
        <v>0</v>
      </c>
    </row>
    <row r="3458" spans="1:4" ht="16.5" hidden="1" x14ac:dyDescent="0.3">
      <c r="A3458" s="10" t="str">
        <f>基本属性!$B$30&amp;"|"&amp;基本属性!$C$30</f>
        <v>250|20</v>
      </c>
      <c r="B3458" s="10" t="str">
        <f>参数调整!$J$33</f>
        <v>统领掉落</v>
      </c>
      <c r="C3458" s="8" t="str">
        <f>材料产出!$BH$2</f>
        <v>新增材料1</v>
      </c>
      <c r="D3458" s="224">
        <f>参数调整!$K$33*怪物掉落配置方案!$D4484</f>
        <v>0</v>
      </c>
    </row>
    <row r="3459" spans="1:4" ht="16.5" hidden="1" x14ac:dyDescent="0.3">
      <c r="A3459" s="10" t="str">
        <f>基本属性!$B$4&amp;"|"&amp;基本属性!$C$4</f>
        <v>35|0</v>
      </c>
      <c r="B3459" s="10" t="str">
        <f>参数调整!$J$33</f>
        <v>统领掉落</v>
      </c>
      <c r="C3459" s="8" t="str">
        <f>材料产出!$AF$2</f>
        <v>仙品升星石</v>
      </c>
      <c r="D3459" s="224">
        <f>参数调整!$K$33*怪物掉落配置方案!$D4485</f>
        <v>0.11341260654530148</v>
      </c>
    </row>
    <row r="3460" spans="1:4" ht="16.5" hidden="1" x14ac:dyDescent="0.3">
      <c r="A3460" s="10" t="str">
        <f>基本属性!$B$5&amp;"|"&amp;基本属性!$C$5</f>
        <v>40|0</v>
      </c>
      <c r="B3460" s="10" t="str">
        <f>参数调整!$J$33</f>
        <v>统领掉落</v>
      </c>
      <c r="C3460" s="8" t="str">
        <f>材料产出!$AF$2</f>
        <v>仙品升星石</v>
      </c>
      <c r="D3460" s="224">
        <f>参数调整!$K$33*怪物掉落配置方案!$D4486</f>
        <v>0.14353783015889723</v>
      </c>
    </row>
    <row r="3461" spans="1:4" ht="16.5" hidden="1" x14ac:dyDescent="0.3">
      <c r="A3461" s="10" t="str">
        <f>基本属性!$B$6&amp;"|"&amp;基本属性!$C$6</f>
        <v>50|0</v>
      </c>
      <c r="B3461" s="10" t="str">
        <f>参数调整!$J$33</f>
        <v>统领掉落</v>
      </c>
      <c r="C3461" s="8" t="str">
        <f>材料产出!$AF$2</f>
        <v>仙品升星石</v>
      </c>
      <c r="D3461" s="224">
        <f>参数调整!$K$33*怪物掉落配置方案!$D4487</f>
        <v>0.17720719772703358</v>
      </c>
    </row>
    <row r="3462" spans="1:4" ht="16.5" hidden="1" x14ac:dyDescent="0.3">
      <c r="A3462" s="10" t="str">
        <f>基本属性!$B$7&amp;"|"&amp;基本属性!$C$7</f>
        <v>60|0</v>
      </c>
      <c r="B3462" s="10" t="str">
        <f>参数调整!$J$33</f>
        <v>统领掉落</v>
      </c>
      <c r="C3462" s="8" t="str">
        <f>材料产出!$AF$2</f>
        <v>仙品升星石</v>
      </c>
      <c r="D3462" s="224">
        <f>参数调整!$K$33*怪物掉落配置方案!$D4488</f>
        <v>0.21442070924971063</v>
      </c>
    </row>
    <row r="3463" spans="1:4" ht="16.5" hidden="1" x14ac:dyDescent="0.3">
      <c r="A3463" s="10" t="str">
        <f>基本属性!$B$8&amp;"|"&amp;基本属性!$C$8</f>
        <v>65|0</v>
      </c>
      <c r="B3463" s="10" t="str">
        <f>参数调整!$J$33</f>
        <v>统领掉落</v>
      </c>
      <c r="C3463" s="8" t="str">
        <f>材料产出!$AF$2</f>
        <v>仙品升星石</v>
      </c>
      <c r="D3463" s="224">
        <f>参数调整!$K$33*怪物掉落配置方案!$D4489</f>
        <v>0.25517836472692834</v>
      </c>
    </row>
    <row r="3464" spans="1:4" ht="16.5" hidden="1" x14ac:dyDescent="0.3">
      <c r="A3464" s="10" t="str">
        <f>基本属性!$B$9&amp;"|"&amp;基本属性!$C$9</f>
        <v>70|0</v>
      </c>
      <c r="B3464" s="10" t="str">
        <f>参数调整!$J$33</f>
        <v>统领掉落</v>
      </c>
      <c r="C3464" s="8" t="str">
        <f>材料产出!$AF$2</f>
        <v>仙品升星石</v>
      </c>
      <c r="D3464" s="224">
        <f>参数调整!$K$33*怪物掉落配置方案!$D4490</f>
        <v>0.29948016415868672</v>
      </c>
    </row>
    <row r="3465" spans="1:4" ht="16.5" hidden="1" x14ac:dyDescent="0.3">
      <c r="A3465" s="10" t="str">
        <f>基本属性!$B$10&amp;"|"&amp;基本属性!$C$10</f>
        <v>75|0</v>
      </c>
      <c r="B3465" s="10" t="str">
        <f>参数调整!$J$33</f>
        <v>统领掉落</v>
      </c>
      <c r="C3465" s="8" t="str">
        <f>材料产出!$AF$2</f>
        <v>仙品升星石</v>
      </c>
      <c r="D3465" s="224">
        <f>参数调整!$K$33*怪物掉落配置方案!$D4491</f>
        <v>0.34732610754498577</v>
      </c>
    </row>
    <row r="3466" spans="1:4" ht="16.5" hidden="1" x14ac:dyDescent="0.3">
      <c r="A3466" s="10" t="str">
        <f>基本属性!$B$11&amp;"|"&amp;基本属性!$C$11</f>
        <v>80|1</v>
      </c>
      <c r="B3466" s="10" t="str">
        <f>参数调整!$J$33</f>
        <v>统领掉落</v>
      </c>
      <c r="C3466" s="8" t="str">
        <f>材料产出!$AF$2</f>
        <v>仙品升星石</v>
      </c>
      <c r="D3466" s="224">
        <f>参数调整!$K$33*怪物掉落配置方案!$D4492</f>
        <v>0.39871619488582555</v>
      </c>
    </row>
    <row r="3467" spans="1:4" ht="16.5" hidden="1" x14ac:dyDescent="0.3">
      <c r="A3467" s="10" t="str">
        <f>基本属性!$B$12&amp;"|"&amp;基本属性!$C$12</f>
        <v>90|2</v>
      </c>
      <c r="B3467" s="10" t="str">
        <f>参数调整!$J$33</f>
        <v>统领掉落</v>
      </c>
      <c r="C3467" s="8" t="str">
        <f>材料产出!$AF$2</f>
        <v>仙品升星石</v>
      </c>
      <c r="D3467" s="224">
        <f>参数调整!$K$33*怪物掉落配置方案!$D4493</f>
        <v>0.4536504261812061</v>
      </c>
    </row>
    <row r="3468" spans="1:4" ht="16.5" hidden="1" x14ac:dyDescent="0.3">
      <c r="A3468" s="10" t="str">
        <f>基本属性!$B$13&amp;"|"&amp;基本属性!$C$13</f>
        <v>100|3</v>
      </c>
      <c r="B3468" s="10" t="str">
        <f>参数调整!$J$33</f>
        <v>统领掉落</v>
      </c>
      <c r="C3468" s="8" t="str">
        <f>材料产出!$AF$2</f>
        <v>仙品升星石</v>
      </c>
      <c r="D3468" s="224">
        <f>参数调整!$K$33*怪物掉落配置方案!$D4494</f>
        <v>0.57415132063558894</v>
      </c>
    </row>
    <row r="3469" spans="1:4" ht="16.5" hidden="1" x14ac:dyDescent="0.3">
      <c r="A3469" s="10" t="str">
        <f>基本属性!$B$14&amp;"|"&amp;基本属性!$C$14</f>
        <v>105|4</v>
      </c>
      <c r="B3469" s="10" t="str">
        <f>参数调整!$J$33</f>
        <v>统领掉落</v>
      </c>
      <c r="C3469" s="8" t="str">
        <f>材料产出!$AF$2</f>
        <v>仙品升星石</v>
      </c>
      <c r="D3469" s="224">
        <f>参数调整!$K$33*怪物掉落配置方案!$D4495</f>
        <v>0.70882879090813422</v>
      </c>
    </row>
    <row r="3470" spans="1:4" ht="16.5" hidden="1" x14ac:dyDescent="0.3">
      <c r="A3470" s="10" t="str">
        <f>基本属性!$B$15&amp;"|"&amp;基本属性!$C$15</f>
        <v>110|5</v>
      </c>
      <c r="B3470" s="10" t="str">
        <f>参数调整!$J$33</f>
        <v>统领掉落</v>
      </c>
      <c r="C3470" s="8" t="str">
        <f>材料产出!$AF$2</f>
        <v>仙品升星石</v>
      </c>
      <c r="D3470" s="224">
        <f>参数调整!$K$33*怪物掉落配置方案!$D4496</f>
        <v>0.85768283699884251</v>
      </c>
    </row>
    <row r="3471" spans="1:4" ht="16.5" hidden="1" x14ac:dyDescent="0.3">
      <c r="A3471" s="10" t="str">
        <f>基本属性!$B$16&amp;"|"&amp;基本属性!$C$16</f>
        <v>120|6</v>
      </c>
      <c r="B3471" s="10" t="str">
        <f>参数调整!$J$33</f>
        <v>统领掉落</v>
      </c>
      <c r="C3471" s="8" t="str">
        <f>材料产出!$AF$2</f>
        <v>仙品升星石</v>
      </c>
      <c r="D3471" s="224">
        <f>参数调整!$K$33*怪物掉落配置方案!$D4497</f>
        <v>1.1075449857939599</v>
      </c>
    </row>
    <row r="3472" spans="1:4" ht="16.5" hidden="1" x14ac:dyDescent="0.3">
      <c r="A3472" s="10" t="str">
        <f>基本属性!$B$17&amp;"|"&amp;基本属性!$C$17</f>
        <v>135|7</v>
      </c>
      <c r="B3472" s="10" t="str">
        <f>参数调整!$J$33</f>
        <v>统领掉落</v>
      </c>
      <c r="C3472" s="8" t="str">
        <f>材料产出!$AF$2</f>
        <v>仙品升星石</v>
      </c>
      <c r="D3472" s="224">
        <f>参数调整!$K$33*怪物掉落配置方案!$D4498</f>
        <v>1.5948647795433022</v>
      </c>
    </row>
    <row r="3473" spans="1:4" ht="16.5" hidden="1" x14ac:dyDescent="0.3">
      <c r="A3473" s="10" t="str">
        <f>基本属性!$B$18&amp;"|"&amp;基本属性!$C$18</f>
        <v>155|8</v>
      </c>
      <c r="B3473" s="10" t="str">
        <f>参数调整!$J$33</f>
        <v>统领掉落</v>
      </c>
      <c r="C3473" s="8" t="str">
        <f>材料产出!$AF$2</f>
        <v>仙品升星石</v>
      </c>
      <c r="D3473" s="224">
        <f>参数调整!$K$33*怪物掉落配置方案!$D4499</f>
        <v>2.1707881721561617</v>
      </c>
    </row>
    <row r="3474" spans="1:4" ht="16.5" hidden="1" x14ac:dyDescent="0.3">
      <c r="A3474" s="10" t="str">
        <f>基本属性!$B$19&amp;"|"&amp;基本属性!$C$19</f>
        <v>190|9</v>
      </c>
      <c r="B3474" s="10" t="str">
        <f>参数调整!$J$33</f>
        <v>统领掉落</v>
      </c>
      <c r="C3474" s="8" t="str">
        <f>材料产出!$AF$2</f>
        <v>仙品升星石</v>
      </c>
      <c r="D3474" s="224">
        <f>参数调整!$K$33*怪物掉落配置方案!$D4500</f>
        <v>2.4259665368830903</v>
      </c>
    </row>
    <row r="3475" spans="1:4" ht="16.5" hidden="1" x14ac:dyDescent="0.3">
      <c r="A3475" s="10" t="str">
        <f>基本属性!$B$20&amp;"|"&amp;基本属性!$C$20</f>
        <v>200|10</v>
      </c>
      <c r="B3475" s="10" t="str">
        <f>参数调整!$J$33</f>
        <v>统领掉落</v>
      </c>
      <c r="C3475" s="8" t="str">
        <f>材料产出!$AF$2</f>
        <v>仙品升星石</v>
      </c>
      <c r="D3475" s="224">
        <f>参数调整!$K$33*怪物掉落配置方案!$D4501</f>
        <v>2.8353151636325369</v>
      </c>
    </row>
    <row r="3476" spans="1:4" ht="16.5" hidden="1" x14ac:dyDescent="0.3">
      <c r="A3476" s="10" t="str">
        <f>基本属性!$B$21&amp;"|"&amp;基本属性!$C$21</f>
        <v>200|11</v>
      </c>
      <c r="B3476" s="10" t="str">
        <f>参数调整!$J$33</f>
        <v>统领掉落</v>
      </c>
      <c r="C3476" s="8" t="str">
        <f>材料产出!$AF$2</f>
        <v>仙品升星石</v>
      </c>
      <c r="D3476" s="224">
        <f>参数调整!$K$33*怪物掉落配置方案!$D4502</f>
        <v>3.2765610859728502</v>
      </c>
    </row>
    <row r="3477" spans="1:4" ht="16.5" hidden="1" x14ac:dyDescent="0.3">
      <c r="A3477" s="10" t="str">
        <f>基本属性!$B$22&amp;"|"&amp;基本属性!$C$22</f>
        <v>210|12</v>
      </c>
      <c r="B3477" s="10" t="str">
        <f>参数调整!$J$33</f>
        <v>统领掉落</v>
      </c>
      <c r="C3477" s="8" t="str">
        <f>材料产出!$AF$2</f>
        <v>仙品升星石</v>
      </c>
      <c r="D3477" s="224">
        <f>参数调整!$K$33*怪物掉落配置方案!$D4503</f>
        <v>3.7497043039040299</v>
      </c>
    </row>
    <row r="3478" spans="1:4" ht="16.5" hidden="1" x14ac:dyDescent="0.3">
      <c r="A3478" s="10" t="str">
        <f>基本属性!$B$23&amp;"|"&amp;基本属性!$C$23</f>
        <v>210|13</v>
      </c>
      <c r="B3478" s="10" t="str">
        <f>参数调整!$J$33</f>
        <v>统领掉落</v>
      </c>
      <c r="C3478" s="8" t="str">
        <f>材料产出!$AF$2</f>
        <v>仙品升星石</v>
      </c>
      <c r="D3478" s="224">
        <f>参数调整!$K$33*怪物掉落配置方案!$D4504</f>
        <v>4.2547448174260758</v>
      </c>
    </row>
    <row r="3479" spans="1:4" ht="16.5" hidden="1" x14ac:dyDescent="0.3">
      <c r="A3479" s="10" t="str">
        <f>基本属性!$B$24&amp;"|"&amp;基本属性!$C$24</f>
        <v>220|14</v>
      </c>
      <c r="B3479" s="10" t="str">
        <f>参数调整!$J$33</f>
        <v>统领掉落</v>
      </c>
      <c r="C3479" s="8" t="str">
        <f>材料产出!$AF$2</f>
        <v>仙品升星石</v>
      </c>
      <c r="D3479" s="224">
        <f>参数调整!$K$33*怪物掉落配置方案!$D4505</f>
        <v>4.7916826265389885</v>
      </c>
    </row>
    <row r="3480" spans="1:4" ht="16.5" hidden="1" x14ac:dyDescent="0.3">
      <c r="A3480" s="10" t="str">
        <f>基本属性!$B$25&amp;"|"&amp;基本属性!$C$25</f>
        <v>220|15</v>
      </c>
      <c r="B3480" s="10" t="str">
        <f>参数调整!$J$33</f>
        <v>统领掉落</v>
      </c>
      <c r="C3480" s="8" t="str">
        <f>材料产出!$AF$2</f>
        <v>仙品升星石</v>
      </c>
      <c r="D3480" s="224">
        <f>参数调整!$K$33*怪物掉落配置方案!$D4506</f>
        <v>5.3605177312427639</v>
      </c>
    </row>
    <row r="3481" spans="1:4" ht="16.5" hidden="1" x14ac:dyDescent="0.3">
      <c r="A3481" s="10" t="str">
        <f>基本属性!$B$26&amp;"|"&amp;基本属性!$C$26</f>
        <v>230|16</v>
      </c>
      <c r="B3481" s="10" t="str">
        <f>参数调整!$J$33</f>
        <v>统领掉落</v>
      </c>
      <c r="C3481" s="8" t="str">
        <f>材料产出!$AF$2</f>
        <v>仙品升星石</v>
      </c>
      <c r="D3481" s="224">
        <f>参数调整!$K$33*怪物掉落配置方案!$D4507</f>
        <v>5.9612501315374091</v>
      </c>
    </row>
    <row r="3482" spans="1:4" ht="16.5" hidden="1" x14ac:dyDescent="0.3">
      <c r="A3482" s="10" t="str">
        <f>基本属性!$B$27&amp;"|"&amp;基本属性!$C$27</f>
        <v>230|17</v>
      </c>
      <c r="B3482" s="10" t="str">
        <f>参数调整!$J$33</f>
        <v>统领掉落</v>
      </c>
      <c r="C3482" s="8" t="str">
        <f>材料产出!$AF$2</f>
        <v>仙品升星石</v>
      </c>
      <c r="D3482" s="224">
        <f>参数调整!$K$33*怪物掉落配置方案!$D4508</f>
        <v>6.5938798274229189</v>
      </c>
    </row>
    <row r="3483" spans="1:4" ht="16.5" hidden="1" x14ac:dyDescent="0.3">
      <c r="A3483" s="10" t="str">
        <f>基本属性!$B$28&amp;"|"&amp;基本属性!$C$28</f>
        <v>240|18</v>
      </c>
      <c r="B3483" s="10" t="str">
        <f>参数调整!$J$33</f>
        <v>统领掉落</v>
      </c>
      <c r="C3483" s="8" t="str">
        <f>材料产出!$AF$2</f>
        <v>仙品升星石</v>
      </c>
      <c r="D3483" s="224">
        <f>参数调整!$K$33*怪物掉落配置方案!$D4509</f>
        <v>7.2584068188992958</v>
      </c>
    </row>
    <row r="3484" spans="1:4" ht="16.5" hidden="1" x14ac:dyDescent="0.3">
      <c r="A3484" s="10" t="str">
        <f>基本属性!$B$29&amp;"|"&amp;基本属性!$C$29</f>
        <v>240|19</v>
      </c>
      <c r="B3484" s="10" t="str">
        <f>参数调整!$J$33</f>
        <v>统领掉落</v>
      </c>
      <c r="C3484" s="8" t="str">
        <f>材料产出!$AF$2</f>
        <v>仙品升星石</v>
      </c>
      <c r="D3484" s="224">
        <f>参数调整!$K$33*怪物掉落配置方案!$D4510</f>
        <v>7.9548311059665382</v>
      </c>
    </row>
    <row r="3485" spans="1:4" ht="16.5" hidden="1" x14ac:dyDescent="0.3">
      <c r="A3485" s="10" t="str">
        <f>基本属性!$B$30&amp;"|"&amp;基本属性!$C$30</f>
        <v>250|20</v>
      </c>
      <c r="B3485" s="10" t="str">
        <f>参数调整!$J$33</f>
        <v>统领掉落</v>
      </c>
      <c r="C3485" s="8" t="str">
        <f>材料产出!$AF$2</f>
        <v>仙品升星石</v>
      </c>
      <c r="D3485" s="224">
        <f>参数调整!$K$33*怪物掉落配置方案!$D4511</f>
        <v>8.6831526886246451</v>
      </c>
    </row>
    <row r="3486" spans="1:4" ht="16.5" hidden="1" x14ac:dyDescent="0.3">
      <c r="A3486" s="10" t="str">
        <f>基本属性!$B$4&amp;"|"&amp;基本属性!$C$4</f>
        <v>35|0</v>
      </c>
      <c r="B3486" s="10" t="str">
        <f>参数调整!$J$33</f>
        <v>统领掉落</v>
      </c>
      <c r="C3486" s="8" t="str">
        <f>材料产出!$T$2</f>
        <v>洗髓丹</v>
      </c>
      <c r="D3486" s="224">
        <f>参数调整!$K$33*怪物掉落配置方案!$D4512</f>
        <v>2.9537171981491247E-2</v>
      </c>
    </row>
    <row r="3487" spans="1:4" ht="16.5" hidden="1" x14ac:dyDescent="0.3">
      <c r="A3487" s="10" t="str">
        <f>基本属性!$B$5&amp;"|"&amp;基本属性!$C$5</f>
        <v>40|0</v>
      </c>
      <c r="B3487" s="10" t="str">
        <f>参数调整!$J$33</f>
        <v>统领掉落</v>
      </c>
      <c r="C3487" s="8" t="str">
        <f>材料产出!$T$2</f>
        <v>洗髓丹</v>
      </c>
      <c r="D3487" s="224">
        <f>参数调整!$K$33*怪物掉落配置方案!$D4513</f>
        <v>3.7382983289074863E-2</v>
      </c>
    </row>
    <row r="3488" spans="1:4" ht="16.5" hidden="1" x14ac:dyDescent="0.3">
      <c r="A3488" s="10" t="str">
        <f>基本属性!$B$6&amp;"|"&amp;基本属性!$C$6</f>
        <v>50|0</v>
      </c>
      <c r="B3488" s="10" t="str">
        <f>参数调整!$J$33</f>
        <v>统领掉落</v>
      </c>
      <c r="C3488" s="8" t="str">
        <f>材料产出!$T$2</f>
        <v>洗髓丹</v>
      </c>
      <c r="D3488" s="224">
        <f>参数调整!$K$33*怪物掉落配置方案!$D4514</f>
        <v>4.6151831221080075E-2</v>
      </c>
    </row>
    <row r="3489" spans="1:4" ht="16.5" hidden="1" x14ac:dyDescent="0.3">
      <c r="A3489" s="10" t="str">
        <f>基本属性!$B$7&amp;"|"&amp;基本属性!$C$7</f>
        <v>60|0</v>
      </c>
      <c r="B3489" s="10" t="str">
        <f>参数调整!$J$33</f>
        <v>统领掉落</v>
      </c>
      <c r="C3489" s="8" t="str">
        <f>材料产出!$T$2</f>
        <v>洗髓丹</v>
      </c>
      <c r="D3489" s="224">
        <f>参数调整!$K$33*怪物掉落配置方案!$D4515</f>
        <v>5.5843715777506901E-2</v>
      </c>
    </row>
    <row r="3490" spans="1:4" ht="16.5" hidden="1" x14ac:dyDescent="0.3">
      <c r="A3490" s="10" t="str">
        <f>基本属性!$B$8&amp;"|"&amp;基本属性!$C$8</f>
        <v>65|0</v>
      </c>
      <c r="B3490" s="10" t="str">
        <f>参数调整!$J$33</f>
        <v>统领掉落</v>
      </c>
      <c r="C3490" s="8" t="str">
        <f>材料产出!$T$2</f>
        <v>洗髓丹</v>
      </c>
      <c r="D3490" s="224">
        <f>参数调整!$K$33*怪物掉落配置方案!$D4516</f>
        <v>6.6458636958355313E-2</v>
      </c>
    </row>
    <row r="3491" spans="1:4" ht="16.5" hidden="1" x14ac:dyDescent="0.3">
      <c r="A3491" s="10" t="str">
        <f>基本属性!$B$9&amp;"|"&amp;基本属性!$C$9</f>
        <v>70|0</v>
      </c>
      <c r="B3491" s="10" t="str">
        <f>参数调整!$J$33</f>
        <v>统领掉落</v>
      </c>
      <c r="C3491" s="8" t="str">
        <f>材料产出!$T$2</f>
        <v>洗髓丹</v>
      </c>
      <c r="D3491" s="224">
        <f>参数调整!$K$33*怪物掉落配置方案!$D4517</f>
        <v>7.7996594763625332E-2</v>
      </c>
    </row>
    <row r="3492" spans="1:4" ht="16.5" hidden="1" x14ac:dyDescent="0.3">
      <c r="A3492" s="10" t="str">
        <f>基本属性!$B$10&amp;"|"&amp;基本属性!$C$10</f>
        <v>75|0</v>
      </c>
      <c r="B3492" s="10" t="str">
        <f>参数调整!$J$33</f>
        <v>统领掉落</v>
      </c>
      <c r="C3492" s="8" t="str">
        <f>材料产出!$T$2</f>
        <v>洗髓丹</v>
      </c>
      <c r="D3492" s="224">
        <f>参数调整!$K$33*怪物掉落配置方案!$D4518</f>
        <v>9.0457589193316937E-2</v>
      </c>
    </row>
    <row r="3493" spans="1:4" ht="16.5" hidden="1" x14ac:dyDescent="0.3">
      <c r="A3493" s="10" t="str">
        <f>基本属性!$B$11&amp;"|"&amp;基本属性!$C$11</f>
        <v>80|1</v>
      </c>
      <c r="B3493" s="10" t="str">
        <f>参数调整!$J$33</f>
        <v>统领掉落</v>
      </c>
      <c r="C3493" s="8" t="str">
        <f>材料产出!$T$2</f>
        <v>洗髓丹</v>
      </c>
      <c r="D3493" s="224">
        <f>参数调整!$K$33*怪物掉落配置方案!$D4519</f>
        <v>0.10384162024743018</v>
      </c>
    </row>
    <row r="3494" spans="1:4" ht="16.5" hidden="1" x14ac:dyDescent="0.3">
      <c r="A3494" s="10" t="str">
        <f>基本属性!$B$12&amp;"|"&amp;基本属性!$C$12</f>
        <v>90|2</v>
      </c>
      <c r="B3494" s="10" t="str">
        <f>参数调整!$J$33</f>
        <v>统领掉落</v>
      </c>
      <c r="C3494" s="8" t="str">
        <f>材料产出!$T$2</f>
        <v>洗髓丹</v>
      </c>
      <c r="D3494" s="224">
        <f>参数调整!$K$33*怪物掉落配置方案!$D4520</f>
        <v>0.11814868792596502</v>
      </c>
    </row>
    <row r="3495" spans="1:4" ht="16.5" hidden="1" x14ac:dyDescent="0.3">
      <c r="A3495" s="10" t="str">
        <f>基本属性!$B$13&amp;"|"&amp;基本属性!$C$13</f>
        <v>100|3</v>
      </c>
      <c r="B3495" s="10" t="str">
        <f>参数调整!$J$33</f>
        <v>统领掉落</v>
      </c>
      <c r="C3495" s="8" t="str">
        <f>材料产出!$T$2</f>
        <v>洗髓丹</v>
      </c>
      <c r="D3495" s="224">
        <f>参数调整!$K$33*怪物掉落配置方案!$D4521</f>
        <v>0.14953193315629948</v>
      </c>
    </row>
    <row r="3496" spans="1:4" ht="16.5" hidden="1" x14ac:dyDescent="0.3">
      <c r="A3496" s="10" t="str">
        <f>基本属性!$B$14&amp;"|"&amp;基本属性!$C$14</f>
        <v>105|4</v>
      </c>
      <c r="B3496" s="10" t="str">
        <f>参数调整!$J$33</f>
        <v>统领掉落</v>
      </c>
      <c r="C3496" s="8" t="str">
        <f>材料产出!$T$2</f>
        <v>洗髓丹</v>
      </c>
      <c r="D3496" s="224">
        <f>参数调整!$K$33*怪物掉落配置方案!$D4522</f>
        <v>0.1846073248843203</v>
      </c>
    </row>
    <row r="3497" spans="1:4" ht="16.5" hidden="1" x14ac:dyDescent="0.3">
      <c r="A3497" s="10" t="str">
        <f>基本属性!$B$15&amp;"|"&amp;基本属性!$C$15</f>
        <v>110|5</v>
      </c>
      <c r="B3497" s="10" t="str">
        <f>参数调整!$J$33</f>
        <v>统领掉落</v>
      </c>
      <c r="C3497" s="8" t="str">
        <f>材料产出!$T$2</f>
        <v>洗髓丹</v>
      </c>
      <c r="D3497" s="224">
        <f>参数调整!$K$33*怪物掉落配置方案!$D4523</f>
        <v>0.2233748631100276</v>
      </c>
    </row>
    <row r="3498" spans="1:4" ht="16.5" hidden="1" x14ac:dyDescent="0.3">
      <c r="A3498" s="10" t="str">
        <f>基本属性!$B$16&amp;"|"&amp;基本属性!$C$16</f>
        <v>120|6</v>
      </c>
      <c r="B3498" s="10" t="str">
        <f>参数调整!$J$33</f>
        <v>统领掉落</v>
      </c>
      <c r="C3498" s="8" t="str">
        <f>材料产出!$T$2</f>
        <v>洗髓丹</v>
      </c>
      <c r="D3498" s="224">
        <f>参数调整!$K$33*怪物掉落配置方案!$D4524</f>
        <v>0.28844894513175046</v>
      </c>
    </row>
    <row r="3499" spans="1:4" ht="16.5" hidden="1" x14ac:dyDescent="0.3">
      <c r="A3499" s="10" t="str">
        <f>基本属性!$B$17&amp;"|"&amp;基本属性!$C$17</f>
        <v>135|7</v>
      </c>
      <c r="B3499" s="10" t="str">
        <f>参数调整!$J$33</f>
        <v>统领掉落</v>
      </c>
      <c r="C3499" s="8" t="str">
        <f>材料产出!$T$2</f>
        <v>洗髓丹</v>
      </c>
      <c r="D3499" s="224">
        <f>参数调整!$K$33*怪物掉落配置方案!$D4525</f>
        <v>0.41536648098972073</v>
      </c>
    </row>
    <row r="3500" spans="1:4" ht="16.5" hidden="1" x14ac:dyDescent="0.3">
      <c r="A3500" s="10" t="str">
        <f>基本属性!$B$18&amp;"|"&amp;基本属性!$C$18</f>
        <v>155|8</v>
      </c>
      <c r="B3500" s="10" t="str">
        <f>参数调整!$J$33</f>
        <v>统领掉落</v>
      </c>
      <c r="C3500" s="8" t="str">
        <f>材料产出!$T$2</f>
        <v>洗髓丹</v>
      </c>
      <c r="D3500" s="224">
        <f>参数调整!$K$33*怪物掉落配置方案!$D4526</f>
        <v>0.56535993245823102</v>
      </c>
    </row>
    <row r="3501" spans="1:4" ht="16.5" hidden="1" x14ac:dyDescent="0.3">
      <c r="A3501" s="10" t="str">
        <f>基本属性!$B$19&amp;"|"&amp;基本属性!$C$19</f>
        <v>190|9</v>
      </c>
      <c r="B3501" s="10" t="str">
        <f>参数调整!$J$33</f>
        <v>统领掉落</v>
      </c>
      <c r="C3501" s="8" t="str">
        <f>材料产出!$T$2</f>
        <v>洗髓丹</v>
      </c>
      <c r="D3501" s="224">
        <f>参数调整!$K$33*怪物掉落配置方案!$D4527</f>
        <v>0.63181856941658632</v>
      </c>
    </row>
    <row r="3502" spans="1:4" ht="16.5" hidden="1" x14ac:dyDescent="0.3">
      <c r="A3502" s="10" t="str">
        <f>基本属性!$B$20&amp;"|"&amp;基本属性!$C$20</f>
        <v>200|10</v>
      </c>
      <c r="B3502" s="10" t="str">
        <f>参数调整!$J$33</f>
        <v>统领掉落</v>
      </c>
      <c r="C3502" s="8" t="str">
        <f>材料产出!$T$2</f>
        <v>洗髓丹</v>
      </c>
      <c r="D3502" s="224">
        <f>参数调整!$K$33*怪物掉落配置方案!$D4528</f>
        <v>0.7384292995372812</v>
      </c>
    </row>
    <row r="3503" spans="1:4" ht="16.5" hidden="1" x14ac:dyDescent="0.3">
      <c r="A3503" s="10" t="str">
        <f>基本属性!$B$21&amp;"|"&amp;基本属性!$C$21</f>
        <v>200|11</v>
      </c>
      <c r="B3503" s="10" t="str">
        <f>参数调整!$J$33</f>
        <v>统领掉落</v>
      </c>
      <c r="C3503" s="8" t="str">
        <f>材料产出!$T$2</f>
        <v>洗髓丹</v>
      </c>
      <c r="D3503" s="224">
        <f>参数调整!$K$33*怪物掉落配置方案!$D4529</f>
        <v>0.85334735927777039</v>
      </c>
    </row>
    <row r="3504" spans="1:4" ht="16.5" hidden="1" x14ac:dyDescent="0.3">
      <c r="A3504" s="10" t="str">
        <f>基本属性!$B$22&amp;"|"&amp;基本属性!$C$22</f>
        <v>210|12</v>
      </c>
      <c r="B3504" s="10" t="str">
        <f>参数调整!$J$33</f>
        <v>统领掉落</v>
      </c>
      <c r="C3504" s="8" t="str">
        <f>材料产出!$T$2</f>
        <v>洗髓丹</v>
      </c>
      <c r="D3504" s="224">
        <f>参数调整!$K$33*怪物掉落配置方案!$D4530</f>
        <v>0.97657274863805421</v>
      </c>
    </row>
    <row r="3505" spans="1:4" ht="16.5" hidden="1" x14ac:dyDescent="0.3">
      <c r="A3505" s="10" t="str">
        <f>基本属性!$B$23&amp;"|"&amp;基本属性!$C$23</f>
        <v>210|13</v>
      </c>
      <c r="B3505" s="10" t="str">
        <f>参数调整!$J$33</f>
        <v>统领掉落</v>
      </c>
      <c r="C3505" s="8" t="str">
        <f>材料产出!$T$2</f>
        <v>洗髓丹</v>
      </c>
      <c r="D3505" s="224">
        <f>参数调整!$K$33*怪物掉落配置方案!$D4531</f>
        <v>1.1081054676181328</v>
      </c>
    </row>
    <row r="3506" spans="1:4" ht="16.5" hidden="1" x14ac:dyDescent="0.3">
      <c r="A3506" s="10" t="str">
        <f>基本属性!$B$24&amp;"|"&amp;基本属性!$C$24</f>
        <v>220|14</v>
      </c>
      <c r="B3506" s="10" t="str">
        <f>参数调整!$J$33</f>
        <v>统领掉落</v>
      </c>
      <c r="C3506" s="8" t="str">
        <f>材料产出!$T$2</f>
        <v>洗髓丹</v>
      </c>
      <c r="D3506" s="224">
        <f>参数调整!$K$33*怪物掉落配置方案!$D4532</f>
        <v>1.2479455162180053</v>
      </c>
    </row>
    <row r="3507" spans="1:4" ht="16.5" hidden="1" x14ac:dyDescent="0.3">
      <c r="A3507" s="10" t="str">
        <f>基本属性!$B$25&amp;"|"&amp;基本属性!$C$25</f>
        <v>220|15</v>
      </c>
      <c r="B3507" s="10" t="str">
        <f>参数调整!$J$33</f>
        <v>统领掉落</v>
      </c>
      <c r="C3507" s="8" t="str">
        <f>材料产出!$T$2</f>
        <v>洗髓丹</v>
      </c>
      <c r="D3507" s="224">
        <f>参数调整!$K$33*怪物掉落配置方案!$D4533</f>
        <v>1.3960928944376723</v>
      </c>
    </row>
    <row r="3508" spans="1:4" ht="16.5" hidden="1" x14ac:dyDescent="0.3">
      <c r="A3508" s="10" t="str">
        <f>基本属性!$B$26&amp;"|"&amp;基本属性!$C$26</f>
        <v>230|16</v>
      </c>
      <c r="B3508" s="10" t="str">
        <f>参数调整!$J$33</f>
        <v>统领掉落</v>
      </c>
      <c r="C3508" s="8" t="str">
        <f>材料产出!$T$2</f>
        <v>洗髓丹</v>
      </c>
      <c r="D3508" s="224">
        <f>参数调整!$K$33*怪物掉落配置方案!$D4534</f>
        <v>1.5525476022771336</v>
      </c>
    </row>
    <row r="3509" spans="1:4" ht="16.5" hidden="1" x14ac:dyDescent="0.3">
      <c r="A3509" s="10" t="str">
        <f>基本属性!$B$27&amp;"|"&amp;基本属性!$C$27</f>
        <v>230|17</v>
      </c>
      <c r="B3509" s="10" t="str">
        <f>参数调整!$J$33</f>
        <v>统领掉落</v>
      </c>
      <c r="C3509" s="8" t="str">
        <f>材料产出!$T$2</f>
        <v>洗髓丹</v>
      </c>
      <c r="D3509" s="224">
        <f>参数调整!$K$33*怪物掉落配置方案!$D4535</f>
        <v>1.7173096397363894</v>
      </c>
    </row>
    <row r="3510" spans="1:4" ht="16.5" hidden="1" x14ac:dyDescent="0.3">
      <c r="A3510" s="10" t="str">
        <f>基本属性!$B$28&amp;"|"&amp;基本属性!$C$28</f>
        <v>240|18</v>
      </c>
      <c r="B3510" s="10" t="str">
        <f>参数调整!$J$33</f>
        <v>统领掉落</v>
      </c>
      <c r="C3510" s="8" t="str">
        <f>材料产出!$T$2</f>
        <v>洗髓丹</v>
      </c>
      <c r="D3510" s="224">
        <f>参数调整!$K$33*怪物掉落配置方案!$D4536</f>
        <v>1.8903790068154402</v>
      </c>
    </row>
    <row r="3511" spans="1:4" ht="16.5" hidden="1" x14ac:dyDescent="0.3">
      <c r="A3511" s="10" t="str">
        <f>基本属性!$B$29&amp;"|"&amp;基本属性!$C$29</f>
        <v>240|19</v>
      </c>
      <c r="B3511" s="10" t="str">
        <f>参数调整!$J$33</f>
        <v>统领掉落</v>
      </c>
      <c r="C3511" s="8" t="str">
        <f>材料产出!$T$2</f>
        <v>洗髓丹</v>
      </c>
      <c r="D3511" s="224">
        <f>参数调整!$K$33*怪物掉落配置方案!$D4537</f>
        <v>2.0717557035142846</v>
      </c>
    </row>
    <row r="3512" spans="1:4" ht="16.5" hidden="1" x14ac:dyDescent="0.3">
      <c r="A3512" s="10" t="str">
        <f>基本属性!$B$30&amp;"|"&amp;基本属性!$C$30</f>
        <v>250|20</v>
      </c>
      <c r="B3512" s="10" t="str">
        <f>参数调整!$J$33</f>
        <v>统领掉落</v>
      </c>
      <c r="C3512" s="8" t="str">
        <f>材料产出!$T$2</f>
        <v>洗髓丹</v>
      </c>
      <c r="D3512" s="224">
        <f>参数调整!$K$33*怪物掉落配置方案!$D4538</f>
        <v>2.2614397298329236</v>
      </c>
    </row>
    <row r="3513" spans="1:4" ht="16.5" hidden="1" x14ac:dyDescent="0.3">
      <c r="A3513" s="10" t="str">
        <f>基本属性!$B$4&amp;"|"&amp;基本属性!$C$4</f>
        <v>35|0</v>
      </c>
      <c r="B3513" s="10" t="str">
        <f>参数调整!$J$33</f>
        <v>统领掉落</v>
      </c>
      <c r="C3513" s="8" t="str">
        <f>材料产出!$AZ$2</f>
        <v>武器碎片</v>
      </c>
      <c r="D3513" s="224">
        <f>参数调整!$K$33*怪物掉落配置方案!$D4539</f>
        <v>4.0583486041949769E-4</v>
      </c>
    </row>
    <row r="3514" spans="1:4" ht="16.5" hidden="1" x14ac:dyDescent="0.3">
      <c r="A3514" s="10" t="str">
        <f>基本属性!$B$5&amp;"|"&amp;基本属性!$C$5</f>
        <v>40|0</v>
      </c>
      <c r="B3514" s="10" t="str">
        <f>参数调整!$J$33</f>
        <v>统领掉落</v>
      </c>
      <c r="C3514" s="8" t="str">
        <f>材料产出!$AZ$2</f>
        <v>武器碎片</v>
      </c>
      <c r="D3514" s="224">
        <f>参数调整!$K$33*怪物掉落配置方案!$D4540</f>
        <v>5.136347452184268E-4</v>
      </c>
    </row>
    <row r="3515" spans="1:4" ht="16.5" hidden="1" x14ac:dyDescent="0.3">
      <c r="A3515" s="10" t="str">
        <f>基本属性!$B$6&amp;"|"&amp;基本属性!$C$6</f>
        <v>50|0</v>
      </c>
      <c r="B3515" s="10" t="str">
        <f>参数调整!$J$33</f>
        <v>统领掉落</v>
      </c>
      <c r="C3515" s="8" t="str">
        <f>材料产出!$AZ$2</f>
        <v>武器碎片</v>
      </c>
      <c r="D3515" s="224">
        <f>参数调整!$K$33*怪物掉落配置方案!$D4541</f>
        <v>6.3411696940546519E-4</v>
      </c>
    </row>
    <row r="3516" spans="1:4" ht="16.5" hidden="1" x14ac:dyDescent="0.3">
      <c r="A3516" s="10" t="str">
        <f>基本属性!$B$7&amp;"|"&amp;基本属性!$C$7</f>
        <v>60|0</v>
      </c>
      <c r="B3516" s="10" t="str">
        <f>参数调整!$J$33</f>
        <v>统领掉落</v>
      </c>
      <c r="C3516" s="8" t="str">
        <f>材料产出!$AZ$2</f>
        <v>武器碎片</v>
      </c>
      <c r="D3516" s="224">
        <f>参数调整!$K$33*怪物掉落配置方案!$D4542</f>
        <v>7.6728153298061285E-4</v>
      </c>
    </row>
    <row r="3517" spans="1:4" ht="16.5" hidden="1" x14ac:dyDescent="0.3">
      <c r="A3517" s="10" t="str">
        <f>基本属性!$B$8&amp;"|"&amp;基本属性!$C$8</f>
        <v>65|0</v>
      </c>
      <c r="B3517" s="10" t="str">
        <f>参数调整!$J$33</f>
        <v>统领掉落</v>
      </c>
      <c r="C3517" s="8" t="str">
        <f>材料产出!$AZ$2</f>
        <v>武器碎片</v>
      </c>
      <c r="D3517" s="224">
        <f>参数调整!$K$33*怪物掉落配置方案!$D4543</f>
        <v>9.131284359438699E-4</v>
      </c>
    </row>
    <row r="3518" spans="1:4" ht="16.5" hidden="1" x14ac:dyDescent="0.3">
      <c r="A3518" s="10" t="str">
        <f>基本属性!$B$9&amp;"|"&amp;基本属性!$C$9</f>
        <v>70|0</v>
      </c>
      <c r="B3518" s="10" t="str">
        <f>参数调整!$J$33</f>
        <v>统领掉落</v>
      </c>
      <c r="C3518" s="8" t="str">
        <f>材料产出!$AZ$2</f>
        <v>武器碎片</v>
      </c>
      <c r="D3518" s="224">
        <f>参数调整!$K$33*怪物掉落配置方案!$D4544</f>
        <v>1.0716576782952361E-3</v>
      </c>
    </row>
    <row r="3519" spans="1:4" ht="16.5" hidden="1" x14ac:dyDescent="0.3">
      <c r="A3519" s="10" t="str">
        <f>基本属性!$B$10&amp;"|"&amp;基本属性!$C$10</f>
        <v>75|0</v>
      </c>
      <c r="B3519" s="10" t="str">
        <f>参数调整!$J$33</f>
        <v>统领掉落</v>
      </c>
      <c r="C3519" s="8" t="str">
        <f>材料产出!$AZ$2</f>
        <v>武器碎片</v>
      </c>
      <c r="D3519" s="224">
        <f>参数调整!$K$33*怪物掉落配置方案!$D4545</f>
        <v>1.2428692600347116E-3</v>
      </c>
    </row>
    <row r="3520" spans="1:4" ht="16.5" hidden="1" x14ac:dyDescent="0.3">
      <c r="A3520" s="10" t="str">
        <f>基本属性!$B$11&amp;"|"&amp;基本属性!$C$11</f>
        <v>80|1</v>
      </c>
      <c r="B3520" s="10" t="str">
        <f>参数调整!$J$33</f>
        <v>统领掉落</v>
      </c>
      <c r="C3520" s="8" t="str">
        <f>材料产出!$AZ$2</f>
        <v>武器碎片</v>
      </c>
      <c r="D3520" s="224">
        <f>参数调整!$K$33*怪物掉落配置方案!$D4546</f>
        <v>1.4267631811622965E-3</v>
      </c>
    </row>
    <row r="3521" spans="1:4" ht="16.5" hidden="1" x14ac:dyDescent="0.3">
      <c r="A3521" s="10" t="str">
        <f>基本属性!$B$12&amp;"|"&amp;基本属性!$C$12</f>
        <v>90|2</v>
      </c>
      <c r="B3521" s="10" t="str">
        <f>参数调整!$J$33</f>
        <v>统领掉落</v>
      </c>
      <c r="C3521" s="8" t="str">
        <f>材料产出!$AZ$2</f>
        <v>武器碎片</v>
      </c>
      <c r="D3521" s="224">
        <f>参数调整!$K$33*怪物掉落配置方案!$D4547</f>
        <v>1.6233394416779912E-3</v>
      </c>
    </row>
    <row r="3522" spans="1:4" ht="16.5" hidden="1" x14ac:dyDescent="0.3">
      <c r="A3522" s="10" t="str">
        <f>基本属性!$B$13&amp;"|"&amp;基本属性!$C$13</f>
        <v>100|3</v>
      </c>
      <c r="B3522" s="10" t="str">
        <f>参数调整!$J$33</f>
        <v>统领掉落</v>
      </c>
      <c r="C3522" s="8" t="str">
        <f>材料产出!$AZ$2</f>
        <v>武器碎片</v>
      </c>
      <c r="D3522" s="224">
        <f>参数调整!$K$33*怪物掉落配置方案!$D4548</f>
        <v>2.0545389808737076E-3</v>
      </c>
    </row>
    <row r="3523" spans="1:4" ht="16.5" hidden="1" x14ac:dyDescent="0.3">
      <c r="A3523" s="10" t="str">
        <f>基本属性!$B$14&amp;"|"&amp;基本属性!$C$14</f>
        <v>105|4</v>
      </c>
      <c r="B3523" s="10" t="str">
        <f>参数调整!$J$33</f>
        <v>统领掉落</v>
      </c>
      <c r="C3523" s="8" t="str">
        <f>材料产出!$AZ$2</f>
        <v>武器碎片</v>
      </c>
      <c r="D3523" s="224">
        <f>参数调整!$K$33*怪物掉落配置方案!$D4549</f>
        <v>2.5364678776218607E-3</v>
      </c>
    </row>
    <row r="3524" spans="1:4" ht="16.5" hidden="1" x14ac:dyDescent="0.3">
      <c r="A3524" s="10" t="str">
        <f>基本属性!$B$15&amp;"|"&amp;基本属性!$C$15</f>
        <v>110|5</v>
      </c>
      <c r="B3524" s="10" t="str">
        <f>参数调整!$J$33</f>
        <v>统领掉落</v>
      </c>
      <c r="C3524" s="8" t="str">
        <f>材料产出!$AZ$2</f>
        <v>武器碎片</v>
      </c>
      <c r="D3524" s="224">
        <f>参数调整!$K$33*怪物掉落配置方案!$D4550</f>
        <v>3.0691261319224523E-3</v>
      </c>
    </row>
    <row r="3525" spans="1:4" ht="16.5" hidden="1" x14ac:dyDescent="0.3">
      <c r="A3525" s="10" t="str">
        <f>基本属性!$B$16&amp;"|"&amp;基本属性!$C$16</f>
        <v>120|6</v>
      </c>
      <c r="B3525" s="10" t="str">
        <f>参数调整!$J$33</f>
        <v>统领掉落</v>
      </c>
      <c r="C3525" s="8" t="str">
        <f>材料产出!$AZ$2</f>
        <v>武器碎片</v>
      </c>
      <c r="D3525" s="224">
        <f>参数调整!$K$33*怪物掉落配置方案!$D4551</f>
        <v>3.9632310587841583E-3</v>
      </c>
    </row>
    <row r="3526" spans="1:4" ht="16.5" hidden="1" x14ac:dyDescent="0.3">
      <c r="A3526" s="10" t="str">
        <f>基本属性!$B$17&amp;"|"&amp;基本属性!$C$17</f>
        <v>135|7</v>
      </c>
      <c r="B3526" s="10" t="str">
        <f>参数调整!$J$33</f>
        <v>统领掉落</v>
      </c>
      <c r="C3526" s="8" t="str">
        <f>材料产出!$AZ$2</f>
        <v>武器碎片</v>
      </c>
      <c r="D3526" s="224">
        <f>参数调整!$K$33*怪物掉落配置方案!$D4552</f>
        <v>5.7070527246491859E-3</v>
      </c>
    </row>
    <row r="3527" spans="1:4" ht="16.5" hidden="1" x14ac:dyDescent="0.3">
      <c r="A3527" s="10" t="str">
        <f>基本属性!$B$18&amp;"|"&amp;基本属性!$C$18</f>
        <v>155|8</v>
      </c>
      <c r="B3527" s="10" t="str">
        <f>参数调整!$J$33</f>
        <v>统领掉落</v>
      </c>
      <c r="C3527" s="8" t="str">
        <f>材料产出!$AZ$2</f>
        <v>武器碎片</v>
      </c>
      <c r="D3527" s="224">
        <f>参数调整!$K$33*怪物掉落配置方案!$D4553</f>
        <v>7.7679328752169492E-3</v>
      </c>
    </row>
    <row r="3528" spans="1:4" ht="16.5" hidden="1" x14ac:dyDescent="0.3">
      <c r="A3528" s="10" t="str">
        <f>基本属性!$B$19&amp;"|"&amp;基本属性!$C$19</f>
        <v>190|9</v>
      </c>
      <c r="B3528" s="10" t="str">
        <f>参数调整!$J$33</f>
        <v>统领掉落</v>
      </c>
      <c r="C3528" s="8" t="str">
        <f>材料产出!$AZ$2</f>
        <v>武器碎片</v>
      </c>
      <c r="D3528" s="224">
        <f>参数调整!$K$33*怪物掉落配置方案!$D4554</f>
        <v>8.6810613111608179E-3</v>
      </c>
    </row>
    <row r="3529" spans="1:4" ht="16.5" hidden="1" x14ac:dyDescent="0.3">
      <c r="A3529" s="10" t="str">
        <f>基本属性!$B$20&amp;"|"&amp;基本属性!$C$20</f>
        <v>200|10</v>
      </c>
      <c r="B3529" s="10" t="str">
        <f>参数调整!$J$33</f>
        <v>统领掉落</v>
      </c>
      <c r="C3529" s="8" t="str">
        <f>材料产出!$AZ$2</f>
        <v>武器碎片</v>
      </c>
      <c r="D3529" s="224">
        <f>参数调整!$K$33*怪物掉落配置方案!$D4555</f>
        <v>1.0145871510487443E-2</v>
      </c>
    </row>
    <row r="3530" spans="1:4" ht="16.5" hidden="1" x14ac:dyDescent="0.3">
      <c r="A3530" s="10" t="str">
        <f>基本属性!$B$21&amp;"|"&amp;基本属性!$C$21</f>
        <v>200|11</v>
      </c>
      <c r="B3530" s="10" t="str">
        <f>参数调整!$J$33</f>
        <v>统领掉落</v>
      </c>
      <c r="C3530" s="8" t="str">
        <f>材料产出!$AZ$2</f>
        <v>武器碎片</v>
      </c>
      <c r="D3530" s="224">
        <f>参数调整!$K$33*怪物掉落配置方案!$D4556</f>
        <v>1.1724822764307048E-2</v>
      </c>
    </row>
    <row r="3531" spans="1:4" ht="16.5" hidden="1" x14ac:dyDescent="0.3">
      <c r="A3531" s="10" t="str">
        <f>基本属性!$B$22&amp;"|"&amp;基本属性!$C$22</f>
        <v>210|12</v>
      </c>
      <c r="B3531" s="10" t="str">
        <f>参数调整!$J$33</f>
        <v>统领掉落</v>
      </c>
      <c r="C3531" s="8" t="str">
        <f>材料产出!$AZ$2</f>
        <v>武器碎片</v>
      </c>
      <c r="D3531" s="224">
        <f>参数调整!$K$33*怪物掉落配置方案!$D4557</f>
        <v>1.3417915072619638E-2</v>
      </c>
    </row>
    <row r="3532" spans="1:4" ht="16.5" hidden="1" x14ac:dyDescent="0.3">
      <c r="A3532" s="10" t="str">
        <f>基本属性!$B$23&amp;"|"&amp;基本属性!$C$23</f>
        <v>210|13</v>
      </c>
      <c r="B3532" s="10" t="str">
        <f>参数调整!$J$33</f>
        <v>统领掉落</v>
      </c>
      <c r="C3532" s="8" t="str">
        <f>材料产出!$AZ$2</f>
        <v>武器碎片</v>
      </c>
      <c r="D3532" s="224">
        <f>参数调整!$K$33*怪物掉落配置方案!$D4558</f>
        <v>1.5225148435425221E-2</v>
      </c>
    </row>
    <row r="3533" spans="1:4" ht="16.5" hidden="1" x14ac:dyDescent="0.3">
      <c r="A3533" s="10" t="str">
        <f>基本属性!$B$24&amp;"|"&amp;基本属性!$C$24</f>
        <v>220|14</v>
      </c>
      <c r="B3533" s="10" t="str">
        <f>参数调整!$J$33</f>
        <v>统领掉落</v>
      </c>
      <c r="C3533" s="8" t="str">
        <f>材料产出!$AZ$2</f>
        <v>武器碎片</v>
      </c>
      <c r="D3533" s="224">
        <f>参数调整!$K$33*怪物掉落配置方案!$D4559</f>
        <v>1.7146522852723778E-2</v>
      </c>
    </row>
    <row r="3534" spans="1:4" ht="16.5" hidden="1" x14ac:dyDescent="0.3">
      <c r="A3534" s="10" t="str">
        <f>基本属性!$B$25&amp;"|"&amp;基本属性!$C$25</f>
        <v>220|15</v>
      </c>
      <c r="B3534" s="10" t="str">
        <f>参数调整!$J$33</f>
        <v>统领掉落</v>
      </c>
      <c r="C3534" s="8" t="str">
        <f>材料产出!$AZ$2</f>
        <v>武器碎片</v>
      </c>
      <c r="D3534" s="224">
        <f>参数调整!$K$33*怪物掉落配置方案!$D4560</f>
        <v>1.9182038324515316E-2</v>
      </c>
    </row>
    <row r="3535" spans="1:4" ht="16.5" hidden="1" x14ac:dyDescent="0.3">
      <c r="A3535" s="10" t="str">
        <f>基本属性!$B$26&amp;"|"&amp;基本属性!$C$26</f>
        <v>230|16</v>
      </c>
      <c r="B3535" s="10" t="str">
        <f>参数调整!$J$33</f>
        <v>统领掉落</v>
      </c>
      <c r="C3535" s="8" t="str">
        <f>材料产出!$AZ$2</f>
        <v>武器碎片</v>
      </c>
      <c r="D3535" s="224">
        <f>参数调整!$K$33*怪物掉落配置方案!$D4561</f>
        <v>2.1331694850799846E-2</v>
      </c>
    </row>
    <row r="3536" spans="1:4" ht="16.5" hidden="1" x14ac:dyDescent="0.3">
      <c r="A3536" s="10" t="str">
        <f>基本属性!$B$27&amp;"|"&amp;基本属性!$C$27</f>
        <v>230|17</v>
      </c>
      <c r="B3536" s="10" t="str">
        <f>参数调整!$J$33</f>
        <v>统领掉落</v>
      </c>
      <c r="C3536" s="8" t="str">
        <f>材料产出!$AZ$2</f>
        <v>武器碎片</v>
      </c>
      <c r="D3536" s="224">
        <f>参数调整!$K$33*怪物掉落配置方案!$D4562</f>
        <v>2.3595492431577356E-2</v>
      </c>
    </row>
    <row r="3537" spans="1:4" ht="16.5" hidden="1" x14ac:dyDescent="0.3">
      <c r="A3537" s="10" t="str">
        <f>基本属性!$B$28&amp;"|"&amp;基本属性!$C$28</f>
        <v>240|18</v>
      </c>
      <c r="B3537" s="10" t="str">
        <f>参数调整!$J$33</f>
        <v>统领掉落</v>
      </c>
      <c r="C3537" s="8" t="str">
        <f>材料产出!$AZ$2</f>
        <v>武器碎片</v>
      </c>
      <c r="D3537" s="224">
        <f>参数调整!$K$33*怪物掉落配置方案!$D4563</f>
        <v>2.5973431066847852E-2</v>
      </c>
    </row>
    <row r="3538" spans="1:4" ht="16.5" hidden="1" x14ac:dyDescent="0.3">
      <c r="A3538" s="10" t="str">
        <f>基本属性!$B$29&amp;"|"&amp;基本属性!$C$29</f>
        <v>240|19</v>
      </c>
      <c r="B3538" s="10" t="str">
        <f>参数调整!$J$33</f>
        <v>统领掉落</v>
      </c>
      <c r="C3538" s="8" t="str">
        <f>材料产出!$AZ$2</f>
        <v>武器碎片</v>
      </c>
      <c r="D3538" s="224">
        <f>参数调整!$K$33*怪物掉落配置方案!$D4564</f>
        <v>2.8465510756611332E-2</v>
      </c>
    </row>
    <row r="3539" spans="1:4" ht="16.5" hidden="1" x14ac:dyDescent="0.3">
      <c r="A3539" s="10" t="str">
        <f>基本属性!$B$30&amp;"|"&amp;基本属性!$C$30</f>
        <v>250|20</v>
      </c>
      <c r="B3539" s="10" t="str">
        <f>参数调整!$J$33</f>
        <v>统领掉落</v>
      </c>
      <c r="C3539" s="8" t="str">
        <f>材料产出!$AZ$2</f>
        <v>武器碎片</v>
      </c>
      <c r="D3539" s="224">
        <f>参数调整!$K$33*怪物掉落配置方案!$D4565</f>
        <v>3.1071731500867783E-2</v>
      </c>
    </row>
    <row r="3540" spans="1:4" ht="16.5" hidden="1" x14ac:dyDescent="0.3">
      <c r="A3540" s="10" t="str">
        <f>基本属性!$B$4&amp;"|"&amp;基本属性!$C$4</f>
        <v>35|0</v>
      </c>
      <c r="B3540" s="10" t="str">
        <f>参数调整!$J$33</f>
        <v>统领掉落</v>
      </c>
      <c r="C3540" s="8" t="str">
        <f>材料产出!$HW$2</f>
        <v>特戒装备</v>
      </c>
      <c r="D3540" s="224">
        <f>参数调整!$K$33*怪物掉落配置方案!$D4566</f>
        <v>0</v>
      </c>
    </row>
    <row r="3541" spans="1:4" ht="16.5" hidden="1" x14ac:dyDescent="0.3">
      <c r="A3541" s="10" t="str">
        <f>基本属性!$B$5&amp;"|"&amp;基本属性!$C$5</f>
        <v>40|0</v>
      </c>
      <c r="B3541" s="10" t="str">
        <f>参数调整!$J$33</f>
        <v>统领掉落</v>
      </c>
      <c r="C3541" s="8" t="str">
        <f>材料产出!$HW$2</f>
        <v>特戒装备</v>
      </c>
      <c r="D3541" s="224">
        <f>参数调整!$K$33*怪物掉落配置方案!$D4567</f>
        <v>0</v>
      </c>
    </row>
    <row r="3542" spans="1:4" ht="16.5" hidden="1" x14ac:dyDescent="0.3">
      <c r="A3542" s="10" t="str">
        <f>基本属性!$B$6&amp;"|"&amp;基本属性!$C$6</f>
        <v>50|0</v>
      </c>
      <c r="B3542" s="10" t="str">
        <f>参数调整!$J$33</f>
        <v>统领掉落</v>
      </c>
      <c r="C3542" s="8" t="str">
        <f>材料产出!$HW$2</f>
        <v>特戒装备</v>
      </c>
      <c r="D3542" s="224">
        <f>参数调整!$K$33*怪物掉落配置方案!$D4568</f>
        <v>0</v>
      </c>
    </row>
    <row r="3543" spans="1:4" ht="16.5" hidden="1" x14ac:dyDescent="0.3">
      <c r="A3543" s="10" t="str">
        <f>基本属性!$B$7&amp;"|"&amp;基本属性!$C$7</f>
        <v>60|0</v>
      </c>
      <c r="B3543" s="10" t="str">
        <f>参数调整!$J$33</f>
        <v>统领掉落</v>
      </c>
      <c r="C3543" s="8" t="str">
        <f>材料产出!$HW$2</f>
        <v>特戒装备</v>
      </c>
      <c r="D3543" s="224">
        <f>参数调整!$K$33*怪物掉落配置方案!$D4569</f>
        <v>0</v>
      </c>
    </row>
    <row r="3544" spans="1:4" ht="16.5" hidden="1" x14ac:dyDescent="0.3">
      <c r="A3544" s="10" t="str">
        <f>基本属性!$B$8&amp;"|"&amp;基本属性!$C$8</f>
        <v>65|0</v>
      </c>
      <c r="B3544" s="10" t="str">
        <f>参数调整!$J$33</f>
        <v>统领掉落</v>
      </c>
      <c r="C3544" s="8" t="str">
        <f>材料产出!$HW$2</f>
        <v>特戒装备</v>
      </c>
      <c r="D3544" s="224">
        <f>参数调整!$K$33*怪物掉落配置方案!$D4570</f>
        <v>0</v>
      </c>
    </row>
    <row r="3545" spans="1:4" ht="16.5" hidden="1" x14ac:dyDescent="0.3">
      <c r="A3545" s="10" t="str">
        <f>基本属性!$B$9&amp;"|"&amp;基本属性!$C$9</f>
        <v>70|0</v>
      </c>
      <c r="B3545" s="10" t="str">
        <f>参数调整!$J$33</f>
        <v>统领掉落</v>
      </c>
      <c r="C3545" s="8" t="str">
        <f>材料产出!$HW$2</f>
        <v>特戒装备</v>
      </c>
      <c r="D3545" s="224">
        <f>参数调整!$K$33*怪物掉落配置方案!$D4571</f>
        <v>0</v>
      </c>
    </row>
    <row r="3546" spans="1:4" ht="16.5" hidden="1" x14ac:dyDescent="0.3">
      <c r="A3546" s="10" t="str">
        <f>基本属性!$B$10&amp;"|"&amp;基本属性!$C$10</f>
        <v>75|0</v>
      </c>
      <c r="B3546" s="10" t="str">
        <f>参数调整!$J$33</f>
        <v>统领掉落</v>
      </c>
      <c r="C3546" s="8" t="str">
        <f>材料产出!$HW$2</f>
        <v>特戒装备</v>
      </c>
      <c r="D3546" s="224">
        <f>参数调整!$K$33*怪物掉落配置方案!$D4572</f>
        <v>0</v>
      </c>
    </row>
    <row r="3547" spans="1:4" ht="16.5" hidden="1" x14ac:dyDescent="0.3">
      <c r="A3547" s="10" t="str">
        <f>基本属性!$B$11&amp;"|"&amp;基本属性!$C$11</f>
        <v>80|1</v>
      </c>
      <c r="B3547" s="10" t="str">
        <f>参数调整!$J$33</f>
        <v>统领掉落</v>
      </c>
      <c r="C3547" s="8" t="str">
        <f>材料产出!$HW$2</f>
        <v>特戒装备</v>
      </c>
      <c r="D3547" s="224">
        <f>参数调整!$K$33*怪物掉落配置方案!$D4573</f>
        <v>0</v>
      </c>
    </row>
    <row r="3548" spans="1:4" ht="16.5" hidden="1" x14ac:dyDescent="0.3">
      <c r="A3548" s="10" t="str">
        <f>基本属性!$B$12&amp;"|"&amp;基本属性!$C$12</f>
        <v>90|2</v>
      </c>
      <c r="B3548" s="10" t="str">
        <f>参数调整!$J$33</f>
        <v>统领掉落</v>
      </c>
      <c r="C3548" s="8" t="str">
        <f>材料产出!$HW$2</f>
        <v>特戒装备</v>
      </c>
      <c r="D3548" s="224">
        <f>参数调整!$K$33*怪物掉落配置方案!$D4574</f>
        <v>0</v>
      </c>
    </row>
    <row r="3549" spans="1:4" ht="16.5" hidden="1" x14ac:dyDescent="0.3">
      <c r="A3549" s="10" t="str">
        <f>基本属性!$B$13&amp;"|"&amp;基本属性!$C$13</f>
        <v>100|3</v>
      </c>
      <c r="B3549" s="10" t="str">
        <f>参数调整!$J$33</f>
        <v>统领掉落</v>
      </c>
      <c r="C3549" s="8" t="str">
        <f>材料产出!$HW$2</f>
        <v>特戒装备</v>
      </c>
      <c r="D3549" s="224">
        <f>参数调整!$K$33*怪物掉落配置方案!$D4575</f>
        <v>0</v>
      </c>
    </row>
    <row r="3550" spans="1:4" ht="16.5" hidden="1" x14ac:dyDescent="0.3">
      <c r="A3550" s="10" t="str">
        <f>基本属性!$B$14&amp;"|"&amp;基本属性!$C$14</f>
        <v>105|4</v>
      </c>
      <c r="B3550" s="10" t="str">
        <f>参数调整!$J$33</f>
        <v>统领掉落</v>
      </c>
      <c r="C3550" s="8" t="str">
        <f>材料产出!$HW$2</f>
        <v>特戒装备</v>
      </c>
      <c r="D3550" s="224">
        <f>参数调整!$K$33*怪物掉落配置方案!$D4576</f>
        <v>0</v>
      </c>
    </row>
    <row r="3551" spans="1:4" ht="16.5" hidden="1" x14ac:dyDescent="0.3">
      <c r="A3551" s="10" t="str">
        <f>基本属性!$B$15&amp;"|"&amp;基本属性!$C$15</f>
        <v>110|5</v>
      </c>
      <c r="B3551" s="10" t="str">
        <f>参数调整!$J$33</f>
        <v>统领掉落</v>
      </c>
      <c r="C3551" s="8" t="str">
        <f>材料产出!$HW$2</f>
        <v>特戒装备</v>
      </c>
      <c r="D3551" s="224">
        <f>参数调整!$K$33*怪物掉落配置方案!$D4577</f>
        <v>0</v>
      </c>
    </row>
    <row r="3552" spans="1:4" ht="16.5" hidden="1" x14ac:dyDescent="0.3">
      <c r="A3552" s="10" t="str">
        <f>基本属性!$B$16&amp;"|"&amp;基本属性!$C$16</f>
        <v>120|6</v>
      </c>
      <c r="B3552" s="10" t="str">
        <f>参数调整!$J$33</f>
        <v>统领掉落</v>
      </c>
      <c r="C3552" s="8" t="str">
        <f>材料产出!$HW$2</f>
        <v>特戒装备</v>
      </c>
      <c r="D3552" s="224">
        <f>参数调整!$K$33*怪物掉落配置方案!$D4578</f>
        <v>0</v>
      </c>
    </row>
    <row r="3553" spans="1:4" ht="16.5" hidden="1" x14ac:dyDescent="0.3">
      <c r="A3553" s="10" t="str">
        <f>基本属性!$B$17&amp;"|"&amp;基本属性!$C$17</f>
        <v>135|7</v>
      </c>
      <c r="B3553" s="10" t="str">
        <f>参数调整!$J$33</f>
        <v>统领掉落</v>
      </c>
      <c r="C3553" s="8" t="str">
        <f>材料产出!$HW$2</f>
        <v>特戒装备</v>
      </c>
      <c r="D3553" s="224">
        <f>参数调整!$K$33*怪物掉落配置方案!$D4579</f>
        <v>0</v>
      </c>
    </row>
    <row r="3554" spans="1:4" ht="16.5" hidden="1" x14ac:dyDescent="0.3">
      <c r="A3554" s="10" t="str">
        <f>基本属性!$B$18&amp;"|"&amp;基本属性!$C$18</f>
        <v>155|8</v>
      </c>
      <c r="B3554" s="10" t="str">
        <f>参数调整!$J$33</f>
        <v>统领掉落</v>
      </c>
      <c r="C3554" s="8" t="str">
        <f>材料产出!$HW$2</f>
        <v>特戒装备</v>
      </c>
      <c r="D3554" s="224">
        <f>参数调整!$K$33*怪物掉落配置方案!$D4580</f>
        <v>0</v>
      </c>
    </row>
    <row r="3555" spans="1:4" ht="16.5" hidden="1" x14ac:dyDescent="0.3">
      <c r="A3555" s="10" t="str">
        <f>基本属性!$B$19&amp;"|"&amp;基本属性!$C$19</f>
        <v>190|9</v>
      </c>
      <c r="B3555" s="10" t="str">
        <f>参数调整!$J$33</f>
        <v>统领掉落</v>
      </c>
      <c r="C3555" s="8" t="str">
        <f>材料产出!$HW$2</f>
        <v>特戒装备</v>
      </c>
      <c r="D3555" s="224">
        <f>参数调整!$K$33*怪物掉落配置方案!$D4581</f>
        <v>0</v>
      </c>
    </row>
    <row r="3556" spans="1:4" ht="16.5" hidden="1" x14ac:dyDescent="0.3">
      <c r="A3556" s="10" t="str">
        <f>基本属性!$B$20&amp;"|"&amp;基本属性!$C$20</f>
        <v>200|10</v>
      </c>
      <c r="B3556" s="10" t="str">
        <f>参数调整!$J$33</f>
        <v>统领掉落</v>
      </c>
      <c r="C3556" s="8" t="str">
        <f>材料产出!$HW$2</f>
        <v>特戒装备</v>
      </c>
      <c r="D3556" s="224">
        <f>参数调整!$K$33*怪物掉落配置方案!$D4582</f>
        <v>0</v>
      </c>
    </row>
    <row r="3557" spans="1:4" ht="16.5" hidden="1" x14ac:dyDescent="0.3">
      <c r="A3557" s="10" t="str">
        <f>基本属性!$B$21&amp;"|"&amp;基本属性!$C$21</f>
        <v>200|11</v>
      </c>
      <c r="B3557" s="10" t="str">
        <f>参数调整!$J$33</f>
        <v>统领掉落</v>
      </c>
      <c r="C3557" s="8" t="str">
        <f>材料产出!$HW$2</f>
        <v>特戒装备</v>
      </c>
      <c r="D3557" s="224">
        <f>参数调整!$K$33*怪物掉落配置方案!$D4583</f>
        <v>0</v>
      </c>
    </row>
    <row r="3558" spans="1:4" ht="16.5" hidden="1" x14ac:dyDescent="0.3">
      <c r="A3558" s="10" t="str">
        <f>基本属性!$B$22&amp;"|"&amp;基本属性!$C$22</f>
        <v>210|12</v>
      </c>
      <c r="B3558" s="10" t="str">
        <f>参数调整!$J$33</f>
        <v>统领掉落</v>
      </c>
      <c r="C3558" s="8" t="str">
        <f>材料产出!$HW$2</f>
        <v>特戒装备</v>
      </c>
      <c r="D3558" s="224">
        <f>参数调整!$K$33*怪物掉落配置方案!$D4584</f>
        <v>0</v>
      </c>
    </row>
    <row r="3559" spans="1:4" ht="16.5" hidden="1" x14ac:dyDescent="0.3">
      <c r="A3559" s="10" t="str">
        <f>基本属性!$B$23&amp;"|"&amp;基本属性!$C$23</f>
        <v>210|13</v>
      </c>
      <c r="B3559" s="10" t="str">
        <f>参数调整!$J$33</f>
        <v>统领掉落</v>
      </c>
      <c r="C3559" s="8" t="str">
        <f>材料产出!$HW$2</f>
        <v>特戒装备</v>
      </c>
      <c r="D3559" s="224">
        <f>参数调整!$K$33*怪物掉落配置方案!$D4585</f>
        <v>0</v>
      </c>
    </row>
    <row r="3560" spans="1:4" ht="16.5" hidden="1" x14ac:dyDescent="0.3">
      <c r="A3560" s="10" t="str">
        <f>基本属性!$B$24&amp;"|"&amp;基本属性!$C$24</f>
        <v>220|14</v>
      </c>
      <c r="B3560" s="10" t="str">
        <f>参数调整!$J$33</f>
        <v>统领掉落</v>
      </c>
      <c r="C3560" s="8" t="str">
        <f>材料产出!$HW$2</f>
        <v>特戒装备</v>
      </c>
      <c r="D3560" s="224">
        <f>参数调整!$K$33*怪物掉落配置方案!$D4586</f>
        <v>0</v>
      </c>
    </row>
    <row r="3561" spans="1:4" ht="16.5" hidden="1" x14ac:dyDescent="0.3">
      <c r="A3561" s="10" t="str">
        <f>基本属性!$B$25&amp;"|"&amp;基本属性!$C$25</f>
        <v>220|15</v>
      </c>
      <c r="B3561" s="10" t="str">
        <f>参数调整!$J$33</f>
        <v>统领掉落</v>
      </c>
      <c r="C3561" s="8" t="str">
        <f>材料产出!$HW$2</f>
        <v>特戒装备</v>
      </c>
      <c r="D3561" s="224">
        <f>参数调整!$K$33*怪物掉落配置方案!$D4587</f>
        <v>0</v>
      </c>
    </row>
    <row r="3562" spans="1:4" ht="16.5" hidden="1" x14ac:dyDescent="0.3">
      <c r="A3562" s="10" t="str">
        <f>基本属性!$B$26&amp;"|"&amp;基本属性!$C$26</f>
        <v>230|16</v>
      </c>
      <c r="B3562" s="10" t="str">
        <f>参数调整!$J$33</f>
        <v>统领掉落</v>
      </c>
      <c r="C3562" s="8" t="str">
        <f>材料产出!$HW$2</f>
        <v>特戒装备</v>
      </c>
      <c r="D3562" s="224">
        <f>参数调整!$K$33*怪物掉落配置方案!$D4588</f>
        <v>0</v>
      </c>
    </row>
    <row r="3563" spans="1:4" ht="16.5" hidden="1" x14ac:dyDescent="0.3">
      <c r="A3563" s="10" t="str">
        <f>基本属性!$B$27&amp;"|"&amp;基本属性!$C$27</f>
        <v>230|17</v>
      </c>
      <c r="B3563" s="10" t="str">
        <f>参数调整!$J$33</f>
        <v>统领掉落</v>
      </c>
      <c r="C3563" s="8" t="str">
        <f>材料产出!$HW$2</f>
        <v>特戒装备</v>
      </c>
      <c r="D3563" s="224">
        <f>参数调整!$K$33*怪物掉落配置方案!$D4589</f>
        <v>0</v>
      </c>
    </row>
    <row r="3564" spans="1:4" ht="16.5" hidden="1" x14ac:dyDescent="0.3">
      <c r="A3564" s="10" t="str">
        <f>基本属性!$B$28&amp;"|"&amp;基本属性!$C$28</f>
        <v>240|18</v>
      </c>
      <c r="B3564" s="10" t="str">
        <f>参数调整!$J$33</f>
        <v>统领掉落</v>
      </c>
      <c r="C3564" s="8" t="str">
        <f>材料产出!$HW$2</f>
        <v>特戒装备</v>
      </c>
      <c r="D3564" s="224">
        <f>参数调整!$K$33*怪物掉落配置方案!$D4590</f>
        <v>0</v>
      </c>
    </row>
    <row r="3565" spans="1:4" ht="16.5" hidden="1" x14ac:dyDescent="0.3">
      <c r="A3565" s="10" t="str">
        <f>基本属性!$B$29&amp;"|"&amp;基本属性!$C$29</f>
        <v>240|19</v>
      </c>
      <c r="B3565" s="10" t="str">
        <f>参数调整!$J$33</f>
        <v>统领掉落</v>
      </c>
      <c r="C3565" s="8" t="str">
        <f>材料产出!$HW$2</f>
        <v>特戒装备</v>
      </c>
      <c r="D3565" s="224">
        <f>参数调整!$K$33*怪物掉落配置方案!$D4591</f>
        <v>0</v>
      </c>
    </row>
    <row r="3566" spans="1:4" ht="16.5" hidden="1" x14ac:dyDescent="0.3">
      <c r="A3566" s="10" t="str">
        <f>基本属性!$B$30&amp;"|"&amp;基本属性!$C$30</f>
        <v>250|20</v>
      </c>
      <c r="B3566" s="10" t="str">
        <f>参数调整!$J$33</f>
        <v>统领掉落</v>
      </c>
      <c r="C3566" s="8" t="str">
        <f>材料产出!$HW$2</f>
        <v>特戒装备</v>
      </c>
      <c r="D3566" s="224">
        <f>参数调整!$K$33*怪物掉落配置方案!$D4592</f>
        <v>0</v>
      </c>
    </row>
    <row r="3567" spans="1:4" ht="16.5" hidden="1" x14ac:dyDescent="0.3">
      <c r="A3567" s="10" t="str">
        <f>基本属性!$B$4&amp;"|"&amp;基本属性!$C$4</f>
        <v>35|0</v>
      </c>
      <c r="B3567" s="10" t="str">
        <f>参数调整!$J$33</f>
        <v>统领掉落</v>
      </c>
      <c r="C3567" s="8" t="str">
        <f>材料产出!$BF$2</f>
        <v>首饰碎片</v>
      </c>
      <c r="D3567" s="224">
        <f>参数调整!$K$33*怪物掉落配置方案!$D4593</f>
        <v>2.0291743020974884E-3</v>
      </c>
    </row>
    <row r="3568" spans="1:4" ht="16.5" hidden="1" x14ac:dyDescent="0.3">
      <c r="A3568" s="10" t="str">
        <f>基本属性!$B$5&amp;"|"&amp;基本属性!$C$5</f>
        <v>40|0</v>
      </c>
      <c r="B3568" s="10" t="str">
        <f>参数调整!$J$33</f>
        <v>统领掉落</v>
      </c>
      <c r="C3568" s="8" t="str">
        <f>材料产出!$BF$2</f>
        <v>首饰碎片</v>
      </c>
      <c r="D3568" s="224">
        <f>参数调整!$K$33*怪物掉落配置方案!$D4594</f>
        <v>2.5681737260921339E-3</v>
      </c>
    </row>
    <row r="3569" spans="1:4" ht="16.5" hidden="1" x14ac:dyDescent="0.3">
      <c r="A3569" s="10" t="str">
        <f>基本属性!$B$6&amp;"|"&amp;基本属性!$C$6</f>
        <v>50|0</v>
      </c>
      <c r="B3569" s="10" t="str">
        <f>参数调整!$J$33</f>
        <v>统领掉落</v>
      </c>
      <c r="C3569" s="8" t="str">
        <f>材料产出!$BF$2</f>
        <v>首饰碎片</v>
      </c>
      <c r="D3569" s="224">
        <f>参数调整!$K$33*怪物掉落配置方案!$D4595</f>
        <v>3.1705848470273256E-3</v>
      </c>
    </row>
    <row r="3570" spans="1:4" ht="16.5" hidden="1" x14ac:dyDescent="0.3">
      <c r="A3570" s="10" t="str">
        <f>基本属性!$B$7&amp;"|"&amp;基本属性!$C$7</f>
        <v>60|0</v>
      </c>
      <c r="B3570" s="10" t="str">
        <f>参数调整!$J$33</f>
        <v>统领掉落</v>
      </c>
      <c r="C3570" s="8" t="str">
        <f>材料产出!$BF$2</f>
        <v>首饰碎片</v>
      </c>
      <c r="D3570" s="224">
        <f>参数调整!$K$33*怪物掉落配置方案!$D4596</f>
        <v>3.8364076649030649E-3</v>
      </c>
    </row>
    <row r="3571" spans="1:4" ht="16.5" hidden="1" x14ac:dyDescent="0.3">
      <c r="A3571" s="10" t="str">
        <f>基本属性!$B$8&amp;"|"&amp;基本属性!$C$8</f>
        <v>65|0</v>
      </c>
      <c r="B3571" s="10" t="str">
        <f>参数调整!$J$33</f>
        <v>统领掉落</v>
      </c>
      <c r="C3571" s="8" t="str">
        <f>材料产出!$BF$2</f>
        <v>首饰碎片</v>
      </c>
      <c r="D3571" s="224">
        <f>参数调整!$K$33*怪物掉落配置方案!$D4597</f>
        <v>4.5656421797193487E-3</v>
      </c>
    </row>
    <row r="3572" spans="1:4" ht="16.5" hidden="1" x14ac:dyDescent="0.3">
      <c r="A3572" s="10" t="str">
        <f>基本属性!$B$9&amp;"|"&amp;基本属性!$C$9</f>
        <v>70|0</v>
      </c>
      <c r="B3572" s="10" t="str">
        <f>参数调整!$J$33</f>
        <v>统领掉落</v>
      </c>
      <c r="C3572" s="8" t="str">
        <f>材料产出!$BF$2</f>
        <v>首饰碎片</v>
      </c>
      <c r="D3572" s="224">
        <f>参数调整!$K$33*怪物掉落配置方案!$D4598</f>
        <v>5.3582883914761806E-3</v>
      </c>
    </row>
    <row r="3573" spans="1:4" ht="16.5" hidden="1" x14ac:dyDescent="0.3">
      <c r="A3573" s="10" t="str">
        <f>基本属性!$B$10&amp;"|"&amp;基本属性!$C$10</f>
        <v>75|0</v>
      </c>
      <c r="B3573" s="10" t="str">
        <f>参数调整!$J$33</f>
        <v>统领掉落</v>
      </c>
      <c r="C3573" s="8" t="str">
        <f>材料产出!$BF$2</f>
        <v>首饰碎片</v>
      </c>
      <c r="D3573" s="224">
        <f>参数调整!$K$33*怪物掉落配置方案!$D4599</f>
        <v>6.2143463001735578E-3</v>
      </c>
    </row>
    <row r="3574" spans="1:4" ht="16.5" hidden="1" x14ac:dyDescent="0.3">
      <c r="A3574" s="10" t="str">
        <f>基本属性!$B$11&amp;"|"&amp;基本属性!$C$11</f>
        <v>80|1</v>
      </c>
      <c r="B3574" s="10" t="str">
        <f>参数调整!$J$33</f>
        <v>统领掉落</v>
      </c>
      <c r="C3574" s="8" t="str">
        <f>材料产出!$BF$2</f>
        <v>首饰碎片</v>
      </c>
      <c r="D3574" s="224">
        <f>参数调整!$K$33*怪物掉落配置方案!$D4600</f>
        <v>7.1338159058114839E-3</v>
      </c>
    </row>
    <row r="3575" spans="1:4" ht="16.5" hidden="1" x14ac:dyDescent="0.3">
      <c r="A3575" s="10" t="str">
        <f>基本属性!$B$12&amp;"|"&amp;基本属性!$C$12</f>
        <v>90|2</v>
      </c>
      <c r="B3575" s="10" t="str">
        <f>参数调整!$J$33</f>
        <v>统领掉落</v>
      </c>
      <c r="C3575" s="8" t="str">
        <f>材料产出!$BF$2</f>
        <v>首饰碎片</v>
      </c>
      <c r="D3575" s="224">
        <f>参数调整!$K$33*怪物掉落配置方案!$D4601</f>
        <v>8.1166972083899572E-3</v>
      </c>
    </row>
    <row r="3576" spans="1:4" ht="16.5" hidden="1" x14ac:dyDescent="0.3">
      <c r="A3576" s="10" t="str">
        <f>基本属性!$B$13&amp;"|"&amp;基本属性!$C$13</f>
        <v>100|3</v>
      </c>
      <c r="B3576" s="10" t="str">
        <f>参数调整!$J$33</f>
        <v>统领掉落</v>
      </c>
      <c r="C3576" s="8" t="str">
        <f>材料产出!$BF$2</f>
        <v>首饰碎片</v>
      </c>
      <c r="D3576" s="224">
        <f>参数调整!$K$33*怪物掉落配置方案!$D4602</f>
        <v>1.0272694904368537E-2</v>
      </c>
    </row>
    <row r="3577" spans="1:4" ht="16.5" hidden="1" x14ac:dyDescent="0.3">
      <c r="A3577" s="10" t="str">
        <f>基本属性!$B$14&amp;"|"&amp;基本属性!$C$14</f>
        <v>105|4</v>
      </c>
      <c r="B3577" s="10" t="str">
        <f>参数调整!$J$33</f>
        <v>统领掉落</v>
      </c>
      <c r="C3577" s="8" t="str">
        <f>材料产出!$BF$2</f>
        <v>首饰碎片</v>
      </c>
      <c r="D3577" s="224">
        <f>参数调整!$K$33*怪物掉落配置方案!$D4603</f>
        <v>1.2682339388109306E-2</v>
      </c>
    </row>
    <row r="3578" spans="1:4" ht="16.5" hidden="1" x14ac:dyDescent="0.3">
      <c r="A3578" s="10" t="str">
        <f>基本属性!$B$15&amp;"|"&amp;基本属性!$C$15</f>
        <v>110|5</v>
      </c>
      <c r="B3578" s="10" t="str">
        <f>参数调整!$J$33</f>
        <v>统领掉落</v>
      </c>
      <c r="C3578" s="8" t="str">
        <f>材料产出!$BF$2</f>
        <v>首饰碎片</v>
      </c>
      <c r="D3578" s="224">
        <f>参数调整!$K$33*怪物掉落配置方案!$D4604</f>
        <v>1.534563065961226E-2</v>
      </c>
    </row>
    <row r="3579" spans="1:4" ht="16.5" hidden="1" x14ac:dyDescent="0.3">
      <c r="A3579" s="10" t="str">
        <f>基本属性!$B$16&amp;"|"&amp;基本属性!$C$16</f>
        <v>120|6</v>
      </c>
      <c r="B3579" s="10" t="str">
        <f>参数调整!$J$33</f>
        <v>统领掉落</v>
      </c>
      <c r="C3579" s="8" t="str">
        <f>材料产出!$BF$2</f>
        <v>首饰碎片</v>
      </c>
      <c r="D3579" s="224">
        <f>参数调整!$K$33*怪物掉落配置方案!$D4605</f>
        <v>1.9816155293920789E-2</v>
      </c>
    </row>
    <row r="3580" spans="1:4" ht="16.5" hidden="1" x14ac:dyDescent="0.3">
      <c r="A3580" s="10" t="str">
        <f>基本属性!$B$17&amp;"|"&amp;基本属性!$C$17</f>
        <v>135|7</v>
      </c>
      <c r="B3580" s="10" t="str">
        <f>参数调整!$J$33</f>
        <v>统领掉落</v>
      </c>
      <c r="C3580" s="8" t="str">
        <f>材料产出!$BF$2</f>
        <v>首饰碎片</v>
      </c>
      <c r="D3580" s="224">
        <f>参数调整!$K$33*怪物掉落配置方案!$D4606</f>
        <v>2.8535263623245929E-2</v>
      </c>
    </row>
    <row r="3581" spans="1:4" ht="16.5" hidden="1" x14ac:dyDescent="0.3">
      <c r="A3581" s="10" t="str">
        <f>基本属性!$B$18&amp;"|"&amp;基本属性!$C$18</f>
        <v>155|8</v>
      </c>
      <c r="B3581" s="10" t="str">
        <f>参数调整!$J$33</f>
        <v>统领掉落</v>
      </c>
      <c r="C3581" s="8" t="str">
        <f>材料产出!$BF$2</f>
        <v>首饰碎片</v>
      </c>
      <c r="D3581" s="224">
        <f>参数调整!$K$33*怪物掉落配置方案!$D4607</f>
        <v>3.883966437608475E-2</v>
      </c>
    </row>
    <row r="3582" spans="1:4" ht="16.5" hidden="1" x14ac:dyDescent="0.3">
      <c r="A3582" s="10" t="str">
        <f>基本属性!$B$19&amp;"|"&amp;基本属性!$C$19</f>
        <v>190|9</v>
      </c>
      <c r="B3582" s="10" t="str">
        <f>参数调整!$J$33</f>
        <v>统领掉落</v>
      </c>
      <c r="C3582" s="8" t="str">
        <f>材料产出!$BF$2</f>
        <v>首饰碎片</v>
      </c>
      <c r="D3582" s="224">
        <f>参数调整!$K$33*怪物掉落配置方案!$D4608</f>
        <v>4.3405306555804095E-2</v>
      </c>
    </row>
    <row r="3583" spans="1:4" ht="16.5" hidden="1" x14ac:dyDescent="0.3">
      <c r="A3583" s="10" t="str">
        <f>基本属性!$B$20&amp;"|"&amp;基本属性!$C$20</f>
        <v>200|10</v>
      </c>
      <c r="B3583" s="10" t="str">
        <f>参数调整!$J$33</f>
        <v>统领掉落</v>
      </c>
      <c r="C3583" s="8" t="str">
        <f>材料产出!$BF$2</f>
        <v>首饰碎片</v>
      </c>
      <c r="D3583" s="224">
        <f>参数调整!$K$33*怪物掉落配置方案!$D4609</f>
        <v>5.0729357552437224E-2</v>
      </c>
    </row>
    <row r="3584" spans="1:4" ht="16.5" hidden="1" x14ac:dyDescent="0.3">
      <c r="A3584" s="10" t="str">
        <f>基本属性!$B$21&amp;"|"&amp;基本属性!$C$21</f>
        <v>200|11</v>
      </c>
      <c r="B3584" s="10" t="str">
        <f>参数调整!$J$33</f>
        <v>统领掉落</v>
      </c>
      <c r="C3584" s="8" t="str">
        <f>材料产出!$BF$2</f>
        <v>首饰碎片</v>
      </c>
      <c r="D3584" s="224">
        <f>参数调整!$K$33*怪物掉落配置方案!$D4610</f>
        <v>5.8624113821535241E-2</v>
      </c>
    </row>
    <row r="3585" spans="1:4" ht="16.5" hidden="1" x14ac:dyDescent="0.3">
      <c r="A3585" s="10" t="str">
        <f>基本属性!$B$22&amp;"|"&amp;基本属性!$C$22</f>
        <v>210|12</v>
      </c>
      <c r="B3585" s="10" t="str">
        <f>参数调整!$J$33</f>
        <v>统领掉落</v>
      </c>
      <c r="C3585" s="8" t="str">
        <f>材料产出!$BF$2</f>
        <v>首饰碎片</v>
      </c>
      <c r="D3585" s="224">
        <f>参数调整!$K$33*怪物掉落配置方案!$D4611</f>
        <v>6.7089575363098203E-2</v>
      </c>
    </row>
    <row r="3586" spans="1:4" ht="16.5" hidden="1" x14ac:dyDescent="0.3">
      <c r="A3586" s="10" t="str">
        <f>基本属性!$B$23&amp;"|"&amp;基本属性!$C$23</f>
        <v>210|13</v>
      </c>
      <c r="B3586" s="10" t="str">
        <f>参数调整!$J$33</f>
        <v>统领掉落</v>
      </c>
      <c r="C3586" s="8" t="str">
        <f>材料产出!$BF$2</f>
        <v>首饰碎片</v>
      </c>
      <c r="D3586" s="224">
        <f>参数调整!$K$33*怪物掉落配置方案!$D4612</f>
        <v>7.6125742177126102E-2</v>
      </c>
    </row>
    <row r="3587" spans="1:4" ht="16.5" hidden="1" x14ac:dyDescent="0.3">
      <c r="A3587" s="10" t="str">
        <f>基本属性!$B$24&amp;"|"&amp;基本属性!$C$24</f>
        <v>220|14</v>
      </c>
      <c r="B3587" s="10" t="str">
        <f>参数调整!$J$33</f>
        <v>统领掉落</v>
      </c>
      <c r="C3587" s="8" t="str">
        <f>材料产出!$BF$2</f>
        <v>首饰碎片</v>
      </c>
      <c r="D3587" s="224">
        <f>参数调整!$K$33*怪物掉落配置方案!$D4613</f>
        <v>8.5732614263618889E-2</v>
      </c>
    </row>
    <row r="3588" spans="1:4" ht="16.5" hidden="1" x14ac:dyDescent="0.3">
      <c r="A3588" s="10" t="str">
        <f>基本属性!$B$25&amp;"|"&amp;基本属性!$C$25</f>
        <v>220|15</v>
      </c>
      <c r="B3588" s="10" t="str">
        <f>参数调整!$J$33</f>
        <v>统领掉落</v>
      </c>
      <c r="C3588" s="8" t="str">
        <f>材料产出!$BF$2</f>
        <v>首饰碎片</v>
      </c>
      <c r="D3588" s="224">
        <f>参数调整!$K$33*怪物掉落配置方案!$D4614</f>
        <v>9.5910191622576593E-2</v>
      </c>
    </row>
    <row r="3589" spans="1:4" ht="16.5" hidden="1" x14ac:dyDescent="0.3">
      <c r="A3589" s="10" t="str">
        <f>基本属性!$B$26&amp;"|"&amp;基本属性!$C$26</f>
        <v>230|16</v>
      </c>
      <c r="B3589" s="10" t="str">
        <f>参数调整!$J$33</f>
        <v>统领掉落</v>
      </c>
      <c r="C3589" s="8" t="str">
        <f>材料产出!$BF$2</f>
        <v>首饰碎片</v>
      </c>
      <c r="D3589" s="224">
        <f>参数调整!$K$33*怪物掉落配置方案!$D4615</f>
        <v>0.10665847425399921</v>
      </c>
    </row>
    <row r="3590" spans="1:4" ht="16.5" hidden="1" x14ac:dyDescent="0.3">
      <c r="A3590" s="10" t="str">
        <f>基本属性!$B$27&amp;"|"&amp;基本属性!$C$27</f>
        <v>230|17</v>
      </c>
      <c r="B3590" s="10" t="str">
        <f>参数调整!$J$33</f>
        <v>统领掉落</v>
      </c>
      <c r="C3590" s="8" t="str">
        <f>材料产出!$BF$2</f>
        <v>首饰碎片</v>
      </c>
      <c r="D3590" s="224">
        <f>参数调整!$K$33*怪物掉落配置方案!$D4616</f>
        <v>0.11797746215788678</v>
      </c>
    </row>
    <row r="3591" spans="1:4" ht="16.5" hidden="1" x14ac:dyDescent="0.3">
      <c r="A3591" s="10" t="str">
        <f>基本属性!$B$28&amp;"|"&amp;基本属性!$C$28</f>
        <v>240|18</v>
      </c>
      <c r="B3591" s="10" t="str">
        <f>参数调整!$J$33</f>
        <v>统领掉落</v>
      </c>
      <c r="C3591" s="8" t="str">
        <f>材料产出!$BF$2</f>
        <v>首饰碎片</v>
      </c>
      <c r="D3591" s="224">
        <f>参数调整!$K$33*怪物掉落配置方案!$D4617</f>
        <v>0.12986715533423929</v>
      </c>
    </row>
    <row r="3592" spans="1:4" ht="16.5" hidden="1" x14ac:dyDescent="0.3">
      <c r="A3592" s="10" t="str">
        <f>基本属性!$B$29&amp;"|"&amp;基本属性!$C$29</f>
        <v>240|19</v>
      </c>
      <c r="B3592" s="10" t="str">
        <f>参数调整!$J$33</f>
        <v>统领掉落</v>
      </c>
      <c r="C3592" s="8" t="str">
        <f>材料产出!$BF$2</f>
        <v>首饰碎片</v>
      </c>
      <c r="D3592" s="224">
        <f>参数调整!$K$33*怪物掉落配置方案!$D4618</f>
        <v>0.14232755378305667</v>
      </c>
    </row>
    <row r="3593" spans="1:4" ht="16.5" hidden="1" x14ac:dyDescent="0.3">
      <c r="A3593" s="10" t="str">
        <f>基本属性!$B$30&amp;"|"&amp;基本属性!$C$30</f>
        <v>250|20</v>
      </c>
      <c r="B3593" s="10" t="str">
        <f>参数调整!$J$33</f>
        <v>统领掉落</v>
      </c>
      <c r="C3593" s="8" t="str">
        <f>材料产出!$BF$2</f>
        <v>首饰碎片</v>
      </c>
      <c r="D3593" s="224">
        <f>参数调整!$K$33*怪物掉落配置方案!$D4619</f>
        <v>0.15535865750433894</v>
      </c>
    </row>
    <row r="3594" spans="1:4" ht="16.5" hidden="1" x14ac:dyDescent="0.3">
      <c r="A3594" s="10" t="str">
        <f>基本属性!$B$4&amp;"|"&amp;基本属性!$C$4</f>
        <v>35|0</v>
      </c>
      <c r="B3594" s="10" t="str">
        <f>参数调整!$J$33</f>
        <v>统领掉落</v>
      </c>
      <c r="C3594" s="8" t="str">
        <f>材料产出!$P$2</f>
        <v>声望</v>
      </c>
      <c r="D3594" s="224">
        <f>参数调整!$K$33*怪物掉落配置方案!$D4620</f>
        <v>0.32475046866291735</v>
      </c>
    </row>
    <row r="3595" spans="1:4" ht="16.5" hidden="1" x14ac:dyDescent="0.3">
      <c r="A3595" s="10" t="str">
        <f>基本属性!$B$5&amp;"|"&amp;基本属性!$C$5</f>
        <v>40|0</v>
      </c>
      <c r="B3595" s="10" t="str">
        <f>参数调整!$J$33</f>
        <v>统领掉落</v>
      </c>
      <c r="C3595" s="8" t="str">
        <f>材料产出!$P$2</f>
        <v>声望</v>
      </c>
      <c r="D3595" s="224">
        <f>参数调整!$K$33*怪物掉落配置方案!$D4621</f>
        <v>0.41101231190150478</v>
      </c>
    </row>
    <row r="3596" spans="1:4" ht="16.5" hidden="1" x14ac:dyDescent="0.3">
      <c r="A3596" s="10" t="str">
        <f>基本属性!$B$6&amp;"|"&amp;基本属性!$C$6</f>
        <v>50|0</v>
      </c>
      <c r="B3596" s="10" t="str">
        <f>参数调整!$J$33</f>
        <v>统领掉落</v>
      </c>
      <c r="C3596" s="8" t="str">
        <f>材料产出!$P$2</f>
        <v>声望</v>
      </c>
      <c r="D3596" s="224">
        <f>参数调整!$K$33*怪物掉落配置方案!$D4622</f>
        <v>0.50742260728580835</v>
      </c>
    </row>
    <row r="3597" spans="1:4" ht="16.5" hidden="1" x14ac:dyDescent="0.3">
      <c r="A3597" s="10" t="str">
        <f>基本属性!$B$7&amp;"|"&amp;基本属性!$C$7</f>
        <v>60|0</v>
      </c>
      <c r="B3597" s="10" t="str">
        <f>参数调整!$J$33</f>
        <v>统领掉落</v>
      </c>
      <c r="C3597" s="8" t="str">
        <f>材料产出!$P$2</f>
        <v>声望</v>
      </c>
      <c r="D3597" s="224">
        <f>参数调整!$K$33*怪物掉落配置方案!$D4623</f>
        <v>0.61398135481582816</v>
      </c>
    </row>
    <row r="3598" spans="1:4" ht="16.5" hidden="1" x14ac:dyDescent="0.3">
      <c r="A3598" s="10" t="str">
        <f>基本属性!$B$8&amp;"|"&amp;基本属性!$C$8</f>
        <v>65|0</v>
      </c>
      <c r="B3598" s="10" t="str">
        <f>参数调整!$J$33</f>
        <v>统领掉落</v>
      </c>
      <c r="C3598" s="8" t="str">
        <f>材料产出!$P$2</f>
        <v>声望</v>
      </c>
      <c r="D3598" s="224">
        <f>参数调整!$K$33*怪物掉落配置方案!$D4624</f>
        <v>0.730688554491564</v>
      </c>
    </row>
    <row r="3599" spans="1:4" ht="16.5" hidden="1" x14ac:dyDescent="0.3">
      <c r="A3599" s="10" t="str">
        <f>基本属性!$B$9&amp;"|"&amp;基本属性!$C$9</f>
        <v>70|0</v>
      </c>
      <c r="B3599" s="10" t="str">
        <f>参数调整!$J$33</f>
        <v>统领掉落</v>
      </c>
      <c r="C3599" s="8" t="str">
        <f>材料产出!$P$2</f>
        <v>声望</v>
      </c>
      <c r="D3599" s="224">
        <f>参数调整!$K$33*怪物掉落配置方案!$D4625</f>
        <v>0.8575442063130162</v>
      </c>
    </row>
    <row r="3600" spans="1:4" ht="16.5" hidden="1" x14ac:dyDescent="0.3">
      <c r="A3600" s="10" t="str">
        <f>基本属性!$B$10&amp;"|"&amp;基本属性!$C$10</f>
        <v>75|0</v>
      </c>
      <c r="B3600" s="10" t="str">
        <f>参数调整!$J$33</f>
        <v>统领掉落</v>
      </c>
      <c r="C3600" s="8" t="str">
        <f>材料产出!$P$2</f>
        <v>声望</v>
      </c>
      <c r="D3600" s="224">
        <f>参数调整!$K$33*怪物掉落配置方案!$D4626</f>
        <v>0.99454831028018431</v>
      </c>
    </row>
    <row r="3601" spans="1:4" ht="16.5" hidden="1" x14ac:dyDescent="0.3">
      <c r="A3601" s="10" t="str">
        <f>基本属性!$B$11&amp;"|"&amp;基本属性!$C$11</f>
        <v>80|1</v>
      </c>
      <c r="B3601" s="10" t="str">
        <f>参数调整!$J$33</f>
        <v>统领掉落</v>
      </c>
      <c r="C3601" s="8" t="str">
        <f>材料产出!$P$2</f>
        <v>声望</v>
      </c>
      <c r="D3601" s="224">
        <f>参数调整!$K$33*怪物掉落配置方案!$D4627</f>
        <v>1.1417008663930688</v>
      </c>
    </row>
    <row r="3602" spans="1:4" ht="16.5" hidden="1" x14ac:dyDescent="0.3">
      <c r="A3602" s="10" t="str">
        <f>基本属性!$B$12&amp;"|"&amp;基本属性!$C$12</f>
        <v>90|2</v>
      </c>
      <c r="B3602" s="10" t="str">
        <f>参数调整!$J$33</f>
        <v>统领掉落</v>
      </c>
      <c r="C3602" s="8" t="str">
        <f>材料产出!$P$2</f>
        <v>声望</v>
      </c>
      <c r="D3602" s="224">
        <f>参数调整!$K$33*怪物掉落配置方案!$D4628</f>
        <v>1.2990018746516696</v>
      </c>
    </row>
    <row r="3603" spans="1:4" ht="16.5" hidden="1" x14ac:dyDescent="0.3">
      <c r="A3603" s="10" t="str">
        <f>基本属性!$B$13&amp;"|"&amp;基本属性!$C$13</f>
        <v>100|3</v>
      </c>
      <c r="B3603" s="10" t="str">
        <f>参数调整!$J$33</f>
        <v>统领掉落</v>
      </c>
      <c r="C3603" s="8" t="str">
        <f>材料产出!$P$2</f>
        <v>声望</v>
      </c>
      <c r="D3603" s="224">
        <f>参数调整!$K$33*怪物掉落配置方案!$D4629</f>
        <v>1.6440492476060191</v>
      </c>
    </row>
    <row r="3604" spans="1:4" ht="16.5" hidden="1" x14ac:dyDescent="0.3">
      <c r="A3604" s="10" t="str">
        <f>基本属性!$B$14&amp;"|"&amp;基本属性!$C$14</f>
        <v>105|4</v>
      </c>
      <c r="B3604" s="10" t="str">
        <f>参数调整!$J$33</f>
        <v>统领掉落</v>
      </c>
      <c r="C3604" s="8" t="str">
        <f>材料产出!$P$2</f>
        <v>声望</v>
      </c>
      <c r="D3604" s="224">
        <f>参数调整!$K$33*怪物掉落配置方案!$D4630</f>
        <v>2.0296904291432338</v>
      </c>
    </row>
    <row r="3605" spans="1:4" ht="16.5" hidden="1" x14ac:dyDescent="0.3">
      <c r="A3605" s="10" t="str">
        <f>基本属性!$B$15&amp;"|"&amp;基本属性!$C$15</f>
        <v>110|5</v>
      </c>
      <c r="B3605" s="10" t="str">
        <f>参数调整!$J$33</f>
        <v>统领掉落</v>
      </c>
      <c r="C3605" s="8" t="str">
        <f>材料产出!$P$2</f>
        <v>声望</v>
      </c>
      <c r="D3605" s="224">
        <f>参数调整!$K$33*怪物掉落配置方案!$D4631</f>
        <v>2.4559254192633126</v>
      </c>
    </row>
    <row r="3606" spans="1:4" ht="16.5" hidden="1" x14ac:dyDescent="0.3">
      <c r="A3606" s="10" t="str">
        <f>基本属性!$B$16&amp;"|"&amp;基本属性!$C$16</f>
        <v>120|6</v>
      </c>
      <c r="B3606" s="10" t="str">
        <f>参数调整!$J$33</f>
        <v>统领掉落</v>
      </c>
      <c r="C3606" s="8" t="str">
        <f>材料产出!$P$2</f>
        <v>声望</v>
      </c>
      <c r="D3606" s="224">
        <f>参数调整!$K$33*怪物掉落配置方案!$D4632</f>
        <v>3.1713912955363019</v>
      </c>
    </row>
    <row r="3607" spans="1:4" ht="16.5" hidden="1" x14ac:dyDescent="0.3">
      <c r="A3607" s="10" t="str">
        <f>基本属性!$B$17&amp;"|"&amp;基本属性!$C$17</f>
        <v>135|7</v>
      </c>
      <c r="B3607" s="10" t="str">
        <f>参数调整!$J$33</f>
        <v>统领掉落</v>
      </c>
      <c r="C3607" s="8" t="str">
        <f>材料产出!$P$2</f>
        <v>声望</v>
      </c>
      <c r="D3607" s="224">
        <f>参数调整!$K$33*怪物掉落配置方案!$D4633</f>
        <v>4.5668034655722751</v>
      </c>
    </row>
    <row r="3608" spans="1:4" ht="16.5" hidden="1" x14ac:dyDescent="0.3">
      <c r="A3608" s="10" t="str">
        <f>基本属性!$B$18&amp;"|"&amp;基本属性!$C$18</f>
        <v>155|8</v>
      </c>
      <c r="B3608" s="10" t="str">
        <f>参数调整!$J$33</f>
        <v>统领掉落</v>
      </c>
      <c r="C3608" s="8" t="str">
        <f>材料产出!$P$2</f>
        <v>声望</v>
      </c>
      <c r="D3608" s="224">
        <f>参数调整!$K$33*怪物掉落配置方案!$D4634</f>
        <v>6.2159269392511529</v>
      </c>
    </row>
    <row r="3609" spans="1:4" ht="16.5" hidden="1" x14ac:dyDescent="0.3">
      <c r="A3609" s="10" t="str">
        <f>基本属性!$B$19&amp;"|"&amp;基本属性!$C$19</f>
        <v>190|9</v>
      </c>
      <c r="B3609" s="10" t="str">
        <f>参数调整!$J$33</f>
        <v>统领掉落</v>
      </c>
      <c r="C3609" s="8" t="str">
        <f>材料产出!$P$2</f>
        <v>声望</v>
      </c>
      <c r="D3609" s="224">
        <f>参数调整!$K$33*怪物掉落配置方案!$D4635</f>
        <v>6.9466154937427183</v>
      </c>
    </row>
    <row r="3610" spans="1:4" ht="16.5" hidden="1" x14ac:dyDescent="0.3">
      <c r="A3610" s="10" t="str">
        <f>基本属性!$B$20&amp;"|"&amp;基本属性!$C$20</f>
        <v>200|10</v>
      </c>
      <c r="B3610" s="10" t="str">
        <f>参数调整!$J$33</f>
        <v>统领掉落</v>
      </c>
      <c r="C3610" s="8" t="str">
        <f>材料产出!$P$2</f>
        <v>声望</v>
      </c>
      <c r="D3610" s="224">
        <f>参数调整!$K$33*怪物掉落配置方案!$D4636</f>
        <v>8.1187617165729353</v>
      </c>
    </row>
    <row r="3611" spans="1:4" ht="16.5" hidden="1" x14ac:dyDescent="0.3">
      <c r="A3611" s="10" t="str">
        <f>基本属性!$B$21&amp;"|"&amp;基本属性!$C$21</f>
        <v>200|11</v>
      </c>
      <c r="B3611" s="10" t="str">
        <f>参数调整!$J$33</f>
        <v>统领掉落</v>
      </c>
      <c r="C3611" s="8" t="str">
        <f>材料产出!$P$2</f>
        <v>声望</v>
      </c>
      <c r="D3611" s="224">
        <f>参数调整!$K$33*怪物掉落配置方案!$D4637</f>
        <v>9.3822440087145953</v>
      </c>
    </row>
    <row r="3612" spans="1:4" ht="16.5" hidden="1" x14ac:dyDescent="0.3">
      <c r="A3612" s="10" t="str">
        <f>基本属性!$B$22&amp;"|"&amp;基本属性!$C$22</f>
        <v>210|12</v>
      </c>
      <c r="B3612" s="10" t="str">
        <f>参数调整!$J$33</f>
        <v>统领掉落</v>
      </c>
      <c r="C3612" s="8" t="str">
        <f>材料产出!$P$2</f>
        <v>声望</v>
      </c>
      <c r="D3612" s="224">
        <f>参数调整!$K$33*怪物掉落配置方案!$D4638</f>
        <v>10.737062370167703</v>
      </c>
    </row>
    <row r="3613" spans="1:4" ht="16.5" hidden="1" x14ac:dyDescent="0.3">
      <c r="A3613" s="10" t="str">
        <f>基本属性!$B$23&amp;"|"&amp;基本属性!$C$23</f>
        <v>210|13</v>
      </c>
      <c r="B3613" s="10" t="str">
        <f>参数调整!$J$33</f>
        <v>统领掉落</v>
      </c>
      <c r="C3613" s="8" t="str">
        <f>材料产出!$P$2</f>
        <v>声望</v>
      </c>
      <c r="D3613" s="224">
        <f>参数调整!$K$33*怪物掉落配置方案!$D4639</f>
        <v>12.183216800932261</v>
      </c>
    </row>
    <row r="3614" spans="1:4" ht="16.5" hidden="1" x14ac:dyDescent="0.3">
      <c r="A3614" s="10" t="str">
        <f>基本属性!$B$24&amp;"|"&amp;基本属性!$C$24</f>
        <v>220|14</v>
      </c>
      <c r="B3614" s="10" t="str">
        <f>参数调整!$J$33</f>
        <v>统领掉落</v>
      </c>
      <c r="C3614" s="8" t="str">
        <f>材料产出!$P$2</f>
        <v>声望</v>
      </c>
      <c r="D3614" s="224">
        <f>参数调整!$K$33*怪物掉落配置方案!$D4640</f>
        <v>13.720707301008259</v>
      </c>
    </row>
    <row r="3615" spans="1:4" ht="16.5" hidden="1" x14ac:dyDescent="0.3">
      <c r="A3615" s="10" t="str">
        <f>基本属性!$B$25&amp;"|"&amp;基本属性!$C$25</f>
        <v>220|15</v>
      </c>
      <c r="B3615" s="10" t="str">
        <f>参数调整!$J$33</f>
        <v>统领掉落</v>
      </c>
      <c r="C3615" s="8" t="str">
        <f>材料产出!$P$2</f>
        <v>声望</v>
      </c>
      <c r="D3615" s="224">
        <f>参数调整!$K$33*怪物掉落配置方案!$D4641</f>
        <v>15.349533870395701</v>
      </c>
    </row>
    <row r="3616" spans="1:4" ht="16.5" hidden="1" x14ac:dyDescent="0.3">
      <c r="A3616" s="10" t="str">
        <f>基本属性!$B$26&amp;"|"&amp;基本属性!$C$26</f>
        <v>230|16</v>
      </c>
      <c r="B3616" s="10" t="str">
        <f>参数调整!$J$33</f>
        <v>统领掉落</v>
      </c>
      <c r="C3616" s="8" t="str">
        <f>材料产出!$P$2</f>
        <v>声望</v>
      </c>
      <c r="D3616" s="224">
        <f>参数调整!$K$33*怪物掉落配置方案!$D4642</f>
        <v>17.069696509094594</v>
      </c>
    </row>
    <row r="3617" spans="1:4" ht="16.5" hidden="1" x14ac:dyDescent="0.3">
      <c r="A3617" s="10" t="str">
        <f>基本属性!$B$27&amp;"|"&amp;基本属性!$C$27</f>
        <v>230|17</v>
      </c>
      <c r="B3617" s="10" t="str">
        <f>参数调整!$J$33</f>
        <v>统领掉落</v>
      </c>
      <c r="C3617" s="8" t="str">
        <f>材料产出!$P$2</f>
        <v>声望</v>
      </c>
      <c r="D3617" s="224">
        <f>参数调整!$K$33*怪物掉落配置方案!$D4643</f>
        <v>18.881195217104928</v>
      </c>
    </row>
    <row r="3618" spans="1:4" ht="16.5" hidden="1" x14ac:dyDescent="0.3">
      <c r="A3618" s="10" t="str">
        <f>基本属性!$B$28&amp;"|"&amp;基本属性!$C$28</f>
        <v>240|18</v>
      </c>
      <c r="B3618" s="10" t="str">
        <f>参数调整!$J$33</f>
        <v>统领掉落</v>
      </c>
      <c r="C3618" s="8" t="str">
        <f>材料产出!$P$2</f>
        <v>声望</v>
      </c>
      <c r="D3618" s="224">
        <f>参数调整!$K$33*怪物掉落配置方案!$D4644</f>
        <v>20.784029994426714</v>
      </c>
    </row>
    <row r="3619" spans="1:4" ht="16.5" hidden="1" x14ac:dyDescent="0.3">
      <c r="A3619" s="10" t="str">
        <f>基本属性!$B$29&amp;"|"&amp;基本属性!$C$29</f>
        <v>240|19</v>
      </c>
      <c r="B3619" s="10" t="str">
        <f>参数调整!$J$33</f>
        <v>统领掉落</v>
      </c>
      <c r="C3619" s="8" t="str">
        <f>材料产出!$P$2</f>
        <v>声望</v>
      </c>
      <c r="D3619" s="224">
        <f>参数调整!$K$33*怪物掉落配置方案!$D4645</f>
        <v>22.778200841059938</v>
      </c>
    </row>
    <row r="3620" spans="1:4" ht="16.5" hidden="1" x14ac:dyDescent="0.3">
      <c r="A3620" s="10" t="str">
        <f>基本属性!$B$30&amp;"|"&amp;基本属性!$C$30</f>
        <v>250|20</v>
      </c>
      <c r="B3620" s="10" t="str">
        <f>参数调整!$J$33</f>
        <v>统领掉落</v>
      </c>
      <c r="C3620" s="8" t="str">
        <f>材料产出!$P$2</f>
        <v>声望</v>
      </c>
      <c r="D3620" s="224">
        <f>参数调整!$K$33*怪物掉落配置方案!$D4646</f>
        <v>24.863707757004605</v>
      </c>
    </row>
    <row r="3621" spans="1:4" ht="16.5" hidden="1" x14ac:dyDescent="0.3">
      <c r="A3621" s="10" t="str">
        <f>基本属性!$B$4&amp;"|"&amp;基本属性!$C$4</f>
        <v>35|0</v>
      </c>
      <c r="B3621" s="10" t="str">
        <f>参数调整!$J$33</f>
        <v>统领掉落</v>
      </c>
      <c r="C3621" s="8" t="str">
        <f>材料产出!$AV$2</f>
        <v>神器图纸</v>
      </c>
      <c r="D3621" s="224">
        <f>参数调整!$K$33*怪物掉落配置方案!$D4647</f>
        <v>1.4610054975101915E-3</v>
      </c>
    </row>
    <row r="3622" spans="1:4" ht="16.5" hidden="1" x14ac:dyDescent="0.3">
      <c r="A3622" s="10" t="str">
        <f>基本属性!$B$5&amp;"|"&amp;基本属性!$C$5</f>
        <v>40|0</v>
      </c>
      <c r="B3622" s="10" t="str">
        <f>参数调整!$J$33</f>
        <v>统领掉落</v>
      </c>
      <c r="C3622" s="8" t="str">
        <f>材料产出!$AV$2</f>
        <v>神器图纸</v>
      </c>
      <c r="D3622" s="224">
        <f>参数调整!$K$33*怪物掉落配置方案!$D4648</f>
        <v>1.849085082786336E-3</v>
      </c>
    </row>
    <row r="3623" spans="1:4" ht="16.5" hidden="1" x14ac:dyDescent="0.3">
      <c r="A3623" s="10" t="str">
        <f>基本属性!$B$6&amp;"|"&amp;基本属性!$C$6</f>
        <v>50|0</v>
      </c>
      <c r="B3623" s="10" t="str">
        <f>参数调整!$J$33</f>
        <v>统领掉落</v>
      </c>
      <c r="C3623" s="8" t="str">
        <f>材料产出!$AV$2</f>
        <v>神器图纸</v>
      </c>
      <c r="D3623" s="224">
        <f>参数调整!$K$33*怪物掉落配置方案!$D4649</f>
        <v>2.2828210898596744E-3</v>
      </c>
    </row>
    <row r="3624" spans="1:4" ht="16.5" hidden="1" x14ac:dyDescent="0.3">
      <c r="A3624" s="10" t="str">
        <f>基本属性!$B$7&amp;"|"&amp;基本属性!$C$7</f>
        <v>60|0</v>
      </c>
      <c r="B3624" s="10" t="str">
        <f>参数调整!$J$33</f>
        <v>统领掉落</v>
      </c>
      <c r="C3624" s="8" t="str">
        <f>材料产出!$AV$2</f>
        <v>神器图纸</v>
      </c>
      <c r="D3624" s="224">
        <f>参数调整!$K$33*怪物掉落配置方案!$D4650</f>
        <v>2.7622135187302063E-3</v>
      </c>
    </row>
    <row r="3625" spans="1:4" ht="16.5" hidden="1" x14ac:dyDescent="0.3">
      <c r="A3625" s="10" t="str">
        <f>基本属性!$B$8&amp;"|"&amp;基本属性!$C$8</f>
        <v>65|0</v>
      </c>
      <c r="B3625" s="10" t="str">
        <f>参数调整!$J$33</f>
        <v>统领掉落</v>
      </c>
      <c r="C3625" s="8" t="str">
        <f>材料产出!$AV$2</f>
        <v>神器图纸</v>
      </c>
      <c r="D3625" s="224">
        <f>参数调整!$K$33*怪物掉落配置方案!$D4651</f>
        <v>3.2872623693979306E-3</v>
      </c>
    </row>
    <row r="3626" spans="1:4" ht="16.5" hidden="1" x14ac:dyDescent="0.3">
      <c r="A3626" s="10" t="str">
        <f>基本属性!$B$9&amp;"|"&amp;基本属性!$C$9</f>
        <v>70|0</v>
      </c>
      <c r="B3626" s="10" t="str">
        <f>参数调整!$J$33</f>
        <v>统领掉落</v>
      </c>
      <c r="C3626" s="8" t="str">
        <f>材料产出!$AV$2</f>
        <v>神器图纸</v>
      </c>
      <c r="D3626" s="224">
        <f>参数调整!$K$33*怪物掉落配置方案!$D4652</f>
        <v>3.8579676418628497E-3</v>
      </c>
    </row>
    <row r="3627" spans="1:4" ht="16.5" hidden="1" x14ac:dyDescent="0.3">
      <c r="A3627" s="10" t="str">
        <f>基本属性!$B$10&amp;"|"&amp;基本属性!$C$10</f>
        <v>75|0</v>
      </c>
      <c r="B3627" s="10" t="str">
        <f>参数调整!$J$33</f>
        <v>统领掉落</v>
      </c>
      <c r="C3627" s="8" t="str">
        <f>材料产出!$AV$2</f>
        <v>神器图纸</v>
      </c>
      <c r="D3627" s="224">
        <f>参数调整!$K$33*怪物掉落配置方案!$D4653</f>
        <v>4.4743293361249612E-3</v>
      </c>
    </row>
    <row r="3628" spans="1:4" ht="16.5" hidden="1" x14ac:dyDescent="0.3">
      <c r="A3628" s="10" t="str">
        <f>基本属性!$B$11&amp;"|"&amp;基本属性!$C$11</f>
        <v>80|1</v>
      </c>
      <c r="B3628" s="10" t="str">
        <f>参数调整!$J$33</f>
        <v>统领掉落</v>
      </c>
      <c r="C3628" s="8" t="str">
        <f>材料产出!$AV$2</f>
        <v>神器图纸</v>
      </c>
      <c r="D3628" s="224">
        <f>参数调整!$K$33*怪物掉落配置方案!$D4654</f>
        <v>5.1363474521842669E-3</v>
      </c>
    </row>
    <row r="3629" spans="1:4" ht="16.5" hidden="1" x14ac:dyDescent="0.3">
      <c r="A3629" s="10" t="str">
        <f>基本属性!$B$12&amp;"|"&amp;基本属性!$C$12</f>
        <v>90|2</v>
      </c>
      <c r="B3629" s="10" t="str">
        <f>参数调整!$J$33</f>
        <v>统领掉落</v>
      </c>
      <c r="C3629" s="8" t="str">
        <f>材料产出!$AV$2</f>
        <v>神器图纸</v>
      </c>
      <c r="D3629" s="224">
        <f>参数调整!$K$33*怪物掉落配置方案!$D4655</f>
        <v>5.8440219900407677E-3</v>
      </c>
    </row>
    <row r="3630" spans="1:4" ht="16.5" hidden="1" x14ac:dyDescent="0.3">
      <c r="A3630" s="10" t="str">
        <f>基本属性!$B$13&amp;"|"&amp;基本属性!$C$13</f>
        <v>100|3</v>
      </c>
      <c r="B3630" s="10" t="str">
        <f>参数调整!$J$33</f>
        <v>统领掉落</v>
      </c>
      <c r="C3630" s="8" t="str">
        <f>材料产出!$AV$2</f>
        <v>神器图纸</v>
      </c>
      <c r="D3630" s="224">
        <f>参数调整!$K$33*怪物掉落配置方案!$D4656</f>
        <v>7.3963403311453459E-3</v>
      </c>
    </row>
    <row r="3631" spans="1:4" ht="16.5" hidden="1" x14ac:dyDescent="0.3">
      <c r="A3631" s="10" t="str">
        <f>基本属性!$B$14&amp;"|"&amp;基本属性!$C$14</f>
        <v>105|4</v>
      </c>
      <c r="B3631" s="10" t="str">
        <f>参数调整!$J$33</f>
        <v>统领掉落</v>
      </c>
      <c r="C3631" s="8" t="str">
        <f>材料产出!$AV$2</f>
        <v>神器图纸</v>
      </c>
      <c r="D3631" s="224">
        <f>参数调整!$K$33*怪物掉落配置方案!$D4657</f>
        <v>9.1312843594386975E-3</v>
      </c>
    </row>
    <row r="3632" spans="1:4" ht="16.5" hidden="1" x14ac:dyDescent="0.3">
      <c r="A3632" s="10" t="str">
        <f>基本属性!$B$15&amp;"|"&amp;基本属性!$C$15</f>
        <v>110|5</v>
      </c>
      <c r="B3632" s="10" t="str">
        <f>参数调整!$J$33</f>
        <v>统领掉落</v>
      </c>
      <c r="C3632" s="8" t="str">
        <f>材料产出!$AV$2</f>
        <v>神器图纸</v>
      </c>
      <c r="D3632" s="224">
        <f>参数调整!$K$33*怪物掉落配置方案!$D4658</f>
        <v>1.1048854074920825E-2</v>
      </c>
    </row>
    <row r="3633" spans="1:4" ht="16.5" hidden="1" x14ac:dyDescent="0.3">
      <c r="A3633" s="10" t="str">
        <f>基本属性!$B$16&amp;"|"&amp;基本属性!$C$16</f>
        <v>120|6</v>
      </c>
      <c r="B3633" s="10" t="str">
        <f>参数调整!$J$33</f>
        <v>统领掉落</v>
      </c>
      <c r="C3633" s="8" t="str">
        <f>材料产出!$AV$2</f>
        <v>神器图纸</v>
      </c>
      <c r="D3633" s="224">
        <f>参数调整!$K$33*怪物掉落配置方案!$D4659</f>
        <v>1.4267631811622964E-2</v>
      </c>
    </row>
    <row r="3634" spans="1:4" ht="16.5" hidden="1" x14ac:dyDescent="0.3">
      <c r="A3634" s="10" t="str">
        <f>基本属性!$B$17&amp;"|"&amp;基本属性!$C$17</f>
        <v>135|7</v>
      </c>
      <c r="B3634" s="10" t="str">
        <f>参数调整!$J$33</f>
        <v>统领掉落</v>
      </c>
      <c r="C3634" s="8" t="str">
        <f>材料产出!$AV$2</f>
        <v>神器图纸</v>
      </c>
      <c r="D3634" s="224">
        <f>参数调整!$K$33*怪物掉落配置方案!$D4660</f>
        <v>2.0545389808737068E-2</v>
      </c>
    </row>
    <row r="3635" spans="1:4" ht="16.5" hidden="1" x14ac:dyDescent="0.3">
      <c r="A3635" s="10" t="str">
        <f>基本属性!$B$18&amp;"|"&amp;基本属性!$C$18</f>
        <v>155|8</v>
      </c>
      <c r="B3635" s="10" t="str">
        <f>参数调整!$J$33</f>
        <v>统领掉落</v>
      </c>
      <c r="C3635" s="8" t="str">
        <f>材料产出!$AV$2</f>
        <v>神器图纸</v>
      </c>
      <c r="D3635" s="224">
        <f>参数调整!$K$33*怪物掉落配置方案!$D4661</f>
        <v>2.7964558350781012E-2</v>
      </c>
    </row>
    <row r="3636" spans="1:4" ht="16.5" hidden="1" x14ac:dyDescent="0.3">
      <c r="A3636" s="10" t="str">
        <f>基本属性!$B$19&amp;"|"&amp;基本属性!$C$19</f>
        <v>190|9</v>
      </c>
      <c r="B3636" s="10" t="str">
        <f>参数调整!$J$33</f>
        <v>统领掉落</v>
      </c>
      <c r="C3636" s="8" t="str">
        <f>材料产出!$AV$2</f>
        <v>神器图纸</v>
      </c>
      <c r="D3636" s="224">
        <f>参数调整!$K$33*怪物掉落配置方案!$D4662</f>
        <v>3.1251820720178944E-2</v>
      </c>
    </row>
    <row r="3637" spans="1:4" ht="16.5" hidden="1" x14ac:dyDescent="0.3">
      <c r="A3637" s="10" t="str">
        <f>基本属性!$B$20&amp;"|"&amp;基本属性!$C$20</f>
        <v>200|10</v>
      </c>
      <c r="B3637" s="10" t="str">
        <f>参数调整!$J$33</f>
        <v>统领掉落</v>
      </c>
      <c r="C3637" s="8" t="str">
        <f>材料产出!$AV$2</f>
        <v>神器图纸</v>
      </c>
      <c r="D3637" s="224">
        <f>参数调整!$K$33*怪物掉落配置方案!$D4663</f>
        <v>3.652513743775479E-2</v>
      </c>
    </row>
    <row r="3638" spans="1:4" ht="16.5" hidden="1" x14ac:dyDescent="0.3">
      <c r="A3638" s="10" t="str">
        <f>基本属性!$B$21&amp;"|"&amp;基本属性!$C$21</f>
        <v>200|11</v>
      </c>
      <c r="B3638" s="10" t="str">
        <f>参数调整!$J$33</f>
        <v>统领掉落</v>
      </c>
      <c r="C3638" s="8" t="str">
        <f>材料产出!$AV$2</f>
        <v>神器图纸</v>
      </c>
      <c r="D3638" s="224">
        <f>参数调整!$K$33*怪物掉落配置方案!$D4664</f>
        <v>4.2209361951505368E-2</v>
      </c>
    </row>
    <row r="3639" spans="1:4" ht="16.5" hidden="1" x14ac:dyDescent="0.3">
      <c r="A3639" s="10" t="str">
        <f>基本属性!$B$22&amp;"|"&amp;基本属性!$C$22</f>
        <v>210|12</v>
      </c>
      <c r="B3639" s="10" t="str">
        <f>参数调整!$J$33</f>
        <v>统领掉落</v>
      </c>
      <c r="C3639" s="8" t="str">
        <f>材料产出!$AV$2</f>
        <v>神器图纸</v>
      </c>
      <c r="D3639" s="224">
        <f>参数调整!$K$33*怪物掉落配置方案!$D4665</f>
        <v>4.8304494261430693E-2</v>
      </c>
    </row>
    <row r="3640" spans="1:4" ht="16.5" hidden="1" x14ac:dyDescent="0.3">
      <c r="A3640" s="10" t="str">
        <f>基本属性!$B$23&amp;"|"&amp;基本属性!$C$23</f>
        <v>210|13</v>
      </c>
      <c r="B3640" s="10" t="str">
        <f>参数调整!$J$33</f>
        <v>统领掉落</v>
      </c>
      <c r="C3640" s="8" t="str">
        <f>材料产出!$AV$2</f>
        <v>神器图纸</v>
      </c>
      <c r="D3640" s="224">
        <f>参数调整!$K$33*怪物掉落配置方案!$D4666</f>
        <v>5.4810534367530792E-2</v>
      </c>
    </row>
    <row r="3641" spans="1:4" ht="16.5" hidden="1" x14ac:dyDescent="0.3">
      <c r="A3641" s="10" t="str">
        <f>基本属性!$B$24&amp;"|"&amp;基本属性!$C$24</f>
        <v>220|14</v>
      </c>
      <c r="B3641" s="10" t="str">
        <f>参数调整!$J$33</f>
        <v>统领掉落</v>
      </c>
      <c r="C3641" s="8" t="str">
        <f>材料产出!$AV$2</f>
        <v>神器图纸</v>
      </c>
      <c r="D3641" s="224">
        <f>参数调整!$K$33*怪物掉落配置方案!$D4667</f>
        <v>6.1727482269805595E-2</v>
      </c>
    </row>
    <row r="3642" spans="1:4" ht="16.5" hidden="1" x14ac:dyDescent="0.3">
      <c r="A3642" s="10" t="str">
        <f>基本属性!$B$25&amp;"|"&amp;基本属性!$C$25</f>
        <v>220|15</v>
      </c>
      <c r="B3642" s="10" t="str">
        <f>参数调整!$J$33</f>
        <v>统领掉落</v>
      </c>
      <c r="C3642" s="8" t="str">
        <f>材料产出!$AV$2</f>
        <v>神器图纸</v>
      </c>
      <c r="D3642" s="224">
        <f>参数调整!$K$33*怪物掉落配置方案!$D4668</f>
        <v>6.9055337968255137E-2</v>
      </c>
    </row>
    <row r="3643" spans="1:4" ht="16.5" hidden="1" x14ac:dyDescent="0.3">
      <c r="A3643" s="10" t="str">
        <f>基本属性!$B$26&amp;"|"&amp;基本属性!$C$26</f>
        <v>230|16</v>
      </c>
      <c r="B3643" s="10" t="str">
        <f>参数调整!$J$33</f>
        <v>统领掉落</v>
      </c>
      <c r="C3643" s="8" t="str">
        <f>材料产出!$AV$2</f>
        <v>神器图纸</v>
      </c>
      <c r="D3643" s="224">
        <f>参数调整!$K$33*怪物掉落配置方案!$D4669</f>
        <v>7.6794101462879433E-2</v>
      </c>
    </row>
    <row r="3644" spans="1:4" ht="16.5" hidden="1" x14ac:dyDescent="0.3">
      <c r="A3644" s="10" t="str">
        <f>基本属性!$B$27&amp;"|"&amp;基本属性!$C$27</f>
        <v>230|17</v>
      </c>
      <c r="B3644" s="10" t="str">
        <f>参数调整!$J$33</f>
        <v>统领掉落</v>
      </c>
      <c r="C3644" s="8" t="str">
        <f>材料产出!$AV$2</f>
        <v>神器图纸</v>
      </c>
      <c r="D3644" s="224">
        <f>参数调整!$K$33*怪物掉落配置方案!$D4670</f>
        <v>8.4943772753678468E-2</v>
      </c>
    </row>
    <row r="3645" spans="1:4" ht="16.5" hidden="1" x14ac:dyDescent="0.3">
      <c r="A3645" s="10" t="str">
        <f>基本属性!$B$28&amp;"|"&amp;基本属性!$C$28</f>
        <v>240|18</v>
      </c>
      <c r="B3645" s="10" t="str">
        <f>参数调整!$J$33</f>
        <v>统领掉落</v>
      </c>
      <c r="C3645" s="8" t="str">
        <f>材料产出!$AV$2</f>
        <v>神器图纸</v>
      </c>
      <c r="D3645" s="224">
        <f>参数调整!$K$33*怪物掉落配置方案!$D4671</f>
        <v>9.3504351840652283E-2</v>
      </c>
    </row>
    <row r="3646" spans="1:4" ht="16.5" hidden="1" x14ac:dyDescent="0.3">
      <c r="A3646" s="10" t="str">
        <f>基本属性!$B$29&amp;"|"&amp;基本属性!$C$29</f>
        <v>240|19</v>
      </c>
      <c r="B3646" s="10" t="str">
        <f>参数调整!$J$33</f>
        <v>统领掉落</v>
      </c>
      <c r="C3646" s="8" t="str">
        <f>材料产出!$AV$2</f>
        <v>神器图纸</v>
      </c>
      <c r="D3646" s="224">
        <f>参数调整!$K$33*怪物掉落配置方案!$D4672</f>
        <v>0.10247583872380078</v>
      </c>
    </row>
    <row r="3647" spans="1:4" ht="16.5" hidden="1" x14ac:dyDescent="0.3">
      <c r="A3647" s="10" t="str">
        <f>基本属性!$B$30&amp;"|"&amp;基本属性!$C$30</f>
        <v>250|20</v>
      </c>
      <c r="B3647" s="10" t="str">
        <f>参数调整!$J$33</f>
        <v>统领掉落</v>
      </c>
      <c r="C3647" s="8" t="str">
        <f>材料产出!$AV$2</f>
        <v>神器图纸</v>
      </c>
      <c r="D3647" s="224">
        <f>参数调整!$K$33*怪物掉落配置方案!$D4673</f>
        <v>0.11185823340312404</v>
      </c>
    </row>
    <row r="3648" spans="1:4" ht="16.5" hidden="1" x14ac:dyDescent="0.3">
      <c r="A3648" s="10" t="str">
        <f>基本属性!$B$4&amp;"|"&amp;基本属性!$C$4</f>
        <v>35|0</v>
      </c>
      <c r="B3648" s="10" t="str">
        <f>参数调整!$J$33</f>
        <v>统领掉落</v>
      </c>
      <c r="C3648" s="8" t="str">
        <f>材料产出!$AH$2</f>
        <v>神品升星石</v>
      </c>
      <c r="D3648" s="224">
        <f>参数调整!$K$33*怪物掉落配置方案!$D4674</f>
        <v>2.2682521309060295E-2</v>
      </c>
    </row>
    <row r="3649" spans="1:4" ht="16.5" hidden="1" x14ac:dyDescent="0.3">
      <c r="A3649" s="10" t="str">
        <f>基本属性!$B$5&amp;"|"&amp;基本属性!$C$5</f>
        <v>40|0</v>
      </c>
      <c r="B3649" s="10" t="str">
        <f>参数调整!$J$33</f>
        <v>统领掉落</v>
      </c>
      <c r="C3649" s="8" t="str">
        <f>材料产出!$AH$2</f>
        <v>神品升星石</v>
      </c>
      <c r="D3649" s="224">
        <f>参数调整!$K$33*怪物掉落配置方案!$D4675</f>
        <v>2.8707566031779441E-2</v>
      </c>
    </row>
    <row r="3650" spans="1:4" ht="16.5" hidden="1" x14ac:dyDescent="0.3">
      <c r="A3650" s="10" t="str">
        <f>基本属性!$B$6&amp;"|"&amp;基本属性!$C$6</f>
        <v>50|0</v>
      </c>
      <c r="B3650" s="10" t="str">
        <f>参数调整!$J$33</f>
        <v>统领掉落</v>
      </c>
      <c r="C3650" s="8" t="str">
        <f>材料产出!$AH$2</f>
        <v>神品升星石</v>
      </c>
      <c r="D3650" s="224">
        <f>参数调整!$K$33*怪物掉落配置方案!$D4676</f>
        <v>3.5441439545406711E-2</v>
      </c>
    </row>
    <row r="3651" spans="1:4" ht="16.5" hidden="1" x14ac:dyDescent="0.3">
      <c r="A3651" s="10" t="str">
        <f>基本属性!$B$7&amp;"|"&amp;基本属性!$C$7</f>
        <v>60|0</v>
      </c>
      <c r="B3651" s="10" t="str">
        <f>参数调整!$J$33</f>
        <v>统领掉落</v>
      </c>
      <c r="C3651" s="8" t="str">
        <f>材料产出!$AH$2</f>
        <v>神品升星石</v>
      </c>
      <c r="D3651" s="224">
        <f>参数调整!$K$33*怪物掉落配置方案!$D4677</f>
        <v>4.2884141849942124E-2</v>
      </c>
    </row>
    <row r="3652" spans="1:4" ht="16.5" hidden="1" x14ac:dyDescent="0.3">
      <c r="A3652" s="10" t="str">
        <f>基本属性!$B$8&amp;"|"&amp;基本属性!$C$8</f>
        <v>65|0</v>
      </c>
      <c r="B3652" s="10" t="str">
        <f>参数调整!$J$33</f>
        <v>统领掉落</v>
      </c>
      <c r="C3652" s="8" t="str">
        <f>材料产出!$AH$2</f>
        <v>神品升星石</v>
      </c>
      <c r="D3652" s="224">
        <f>参数调整!$K$33*怪物掉落配置方案!$D4678</f>
        <v>5.103567294538567E-2</v>
      </c>
    </row>
    <row r="3653" spans="1:4" ht="16.5" hidden="1" x14ac:dyDescent="0.3">
      <c r="A3653" s="10" t="str">
        <f>基本属性!$B$9&amp;"|"&amp;基本属性!$C$9</f>
        <v>70|0</v>
      </c>
      <c r="B3653" s="10" t="str">
        <f>参数调整!$J$33</f>
        <v>统领掉落</v>
      </c>
      <c r="C3653" s="8" t="str">
        <f>材料产出!$AH$2</f>
        <v>神品升星石</v>
      </c>
      <c r="D3653" s="224">
        <f>参数调整!$K$33*怪物掉落配置方案!$D4679</f>
        <v>5.9896032831737354E-2</v>
      </c>
    </row>
    <row r="3654" spans="1:4" ht="16.5" hidden="1" x14ac:dyDescent="0.3">
      <c r="A3654" s="10" t="str">
        <f>基本属性!$B$10&amp;"|"&amp;基本属性!$C$10</f>
        <v>75|0</v>
      </c>
      <c r="B3654" s="10" t="str">
        <f>参数调整!$J$33</f>
        <v>统领掉落</v>
      </c>
      <c r="C3654" s="8" t="str">
        <f>材料产出!$AH$2</f>
        <v>神品升星石</v>
      </c>
      <c r="D3654" s="224">
        <f>参数调整!$K$33*怪物掉落配置方案!$D4680</f>
        <v>6.9465221508997144E-2</v>
      </c>
    </row>
    <row r="3655" spans="1:4" ht="16.5" hidden="1" x14ac:dyDescent="0.3">
      <c r="A3655" s="10" t="str">
        <f>基本属性!$B$11&amp;"|"&amp;基本属性!$C$11</f>
        <v>80|1</v>
      </c>
      <c r="B3655" s="10" t="str">
        <f>参数调整!$J$33</f>
        <v>统领掉落</v>
      </c>
      <c r="C3655" s="8" t="str">
        <f>材料产出!$AH$2</f>
        <v>神品升星石</v>
      </c>
      <c r="D3655" s="224">
        <f>参数调整!$K$33*怪物掉落配置方案!$D4681</f>
        <v>7.9743238977165107E-2</v>
      </c>
    </row>
    <row r="3656" spans="1:4" ht="16.5" hidden="1" x14ac:dyDescent="0.3">
      <c r="A3656" s="10" t="str">
        <f>基本属性!$B$12&amp;"|"&amp;基本属性!$C$12</f>
        <v>90|2</v>
      </c>
      <c r="B3656" s="10" t="str">
        <f>参数调整!$J$33</f>
        <v>统领掉落</v>
      </c>
      <c r="C3656" s="8" t="str">
        <f>材料产出!$AH$2</f>
        <v>神品升星石</v>
      </c>
      <c r="D3656" s="224">
        <f>参数调整!$K$33*怪物掉落配置方案!$D4682</f>
        <v>9.0730085236241209E-2</v>
      </c>
    </row>
    <row r="3657" spans="1:4" ht="16.5" hidden="1" x14ac:dyDescent="0.3">
      <c r="A3657" s="10" t="str">
        <f>基本属性!$B$13&amp;"|"&amp;基本属性!$C$13</f>
        <v>100|3</v>
      </c>
      <c r="B3657" s="10" t="str">
        <f>参数调整!$J$33</f>
        <v>统领掉落</v>
      </c>
      <c r="C3657" s="8" t="str">
        <f>材料产出!$AH$2</f>
        <v>神品升星石</v>
      </c>
      <c r="D3657" s="224">
        <f>参数调整!$K$33*怪物掉落配置方案!$D4683</f>
        <v>0.11483026412711778</v>
      </c>
    </row>
    <row r="3658" spans="1:4" ht="16.5" hidden="1" x14ac:dyDescent="0.3">
      <c r="A3658" s="10" t="str">
        <f>基本属性!$B$14&amp;"|"&amp;基本属性!$C$14</f>
        <v>105|4</v>
      </c>
      <c r="B3658" s="10" t="str">
        <f>参数调整!$J$33</f>
        <v>统领掉落</v>
      </c>
      <c r="C3658" s="8" t="str">
        <f>材料产出!$AH$2</f>
        <v>神品升星石</v>
      </c>
      <c r="D3658" s="224">
        <f>参数调整!$K$33*怪物掉落配置方案!$D4684</f>
        <v>0.14176575818162684</v>
      </c>
    </row>
    <row r="3659" spans="1:4" ht="16.5" hidden="1" x14ac:dyDescent="0.3">
      <c r="A3659" s="10" t="str">
        <f>基本属性!$B$15&amp;"|"&amp;基本属性!$C$15</f>
        <v>110|5</v>
      </c>
      <c r="B3659" s="10" t="str">
        <f>参数调整!$J$33</f>
        <v>统领掉落</v>
      </c>
      <c r="C3659" s="8" t="str">
        <f>材料产出!$AH$2</f>
        <v>神品升星石</v>
      </c>
      <c r="D3659" s="224">
        <f>参数调整!$K$33*怪物掉落配置方案!$D4685</f>
        <v>0.17153656739976852</v>
      </c>
    </row>
    <row r="3660" spans="1:4" ht="16.5" hidden="1" x14ac:dyDescent="0.3">
      <c r="A3660" s="10" t="str">
        <f>基本属性!$B$16&amp;"|"&amp;基本属性!$C$16</f>
        <v>120|6</v>
      </c>
      <c r="B3660" s="10" t="str">
        <f>参数调整!$J$33</f>
        <v>统领掉落</v>
      </c>
      <c r="C3660" s="8" t="str">
        <f>材料产出!$AH$2</f>
        <v>神品升星石</v>
      </c>
      <c r="D3660" s="224">
        <f>参数调整!$K$33*怪物掉落配置方案!$D4686</f>
        <v>0.22150899715879202</v>
      </c>
    </row>
    <row r="3661" spans="1:4" ht="16.5" hidden="1" x14ac:dyDescent="0.3">
      <c r="A3661" s="10" t="str">
        <f>基本属性!$B$17&amp;"|"&amp;基本属性!$C$17</f>
        <v>135|7</v>
      </c>
      <c r="B3661" s="10" t="str">
        <f>参数调整!$J$33</f>
        <v>统领掉落</v>
      </c>
      <c r="C3661" s="8" t="str">
        <f>材料产出!$AH$2</f>
        <v>神品升星石</v>
      </c>
      <c r="D3661" s="224">
        <f>参数调整!$K$33*怪物掉落配置方案!$D4687</f>
        <v>0.31897295590866043</v>
      </c>
    </row>
    <row r="3662" spans="1:4" ht="16.5" hidden="1" x14ac:dyDescent="0.3">
      <c r="A3662" s="10" t="str">
        <f>基本属性!$B$18&amp;"|"&amp;基本属性!$C$18</f>
        <v>155|8</v>
      </c>
      <c r="B3662" s="10" t="str">
        <f>参数调整!$J$33</f>
        <v>统领掉落</v>
      </c>
      <c r="C3662" s="8" t="str">
        <f>材料产出!$AH$2</f>
        <v>神品升星石</v>
      </c>
      <c r="D3662" s="224">
        <f>参数调整!$K$33*怪物掉落配置方案!$D4688</f>
        <v>0.43415763443123234</v>
      </c>
    </row>
    <row r="3663" spans="1:4" ht="16.5" hidden="1" x14ac:dyDescent="0.3">
      <c r="A3663" s="10" t="str">
        <f>基本属性!$B$19&amp;"|"&amp;基本属性!$C$19</f>
        <v>190|9</v>
      </c>
      <c r="B3663" s="10" t="str">
        <f>参数调整!$J$33</f>
        <v>统领掉落</v>
      </c>
      <c r="C3663" s="8" t="str">
        <f>材料产出!$AH$2</f>
        <v>神品升星石</v>
      </c>
      <c r="D3663" s="224">
        <f>参数调整!$K$33*怪物掉落配置方案!$D4689</f>
        <v>0.48519330737661798</v>
      </c>
    </row>
    <row r="3664" spans="1:4" ht="16.5" hidden="1" x14ac:dyDescent="0.3">
      <c r="A3664" s="10" t="str">
        <f>基本属性!$B$20&amp;"|"&amp;基本属性!$C$20</f>
        <v>200|10</v>
      </c>
      <c r="B3664" s="10" t="str">
        <f>参数调整!$J$33</f>
        <v>统领掉落</v>
      </c>
      <c r="C3664" s="8" t="str">
        <f>材料产出!$AH$2</f>
        <v>神品升星石</v>
      </c>
      <c r="D3664" s="224">
        <f>参数调整!$K$33*怪物掉落配置方案!$D4690</f>
        <v>0.56706303272650738</v>
      </c>
    </row>
    <row r="3665" spans="1:4" ht="16.5" hidden="1" x14ac:dyDescent="0.3">
      <c r="A3665" s="10" t="str">
        <f>基本属性!$B$21&amp;"|"&amp;基本属性!$C$21</f>
        <v>200|11</v>
      </c>
      <c r="B3665" s="10" t="str">
        <f>参数调整!$J$33</f>
        <v>统领掉落</v>
      </c>
      <c r="C3665" s="8" t="str">
        <f>材料产出!$AH$2</f>
        <v>神品升星石</v>
      </c>
      <c r="D3665" s="224">
        <f>参数调整!$K$33*怪物掉落配置方案!$D4691</f>
        <v>0.65531221719457</v>
      </c>
    </row>
    <row r="3666" spans="1:4" ht="16.5" hidden="1" x14ac:dyDescent="0.3">
      <c r="A3666" s="10" t="str">
        <f>基本属性!$B$22&amp;"|"&amp;基本属性!$C$22</f>
        <v>210|12</v>
      </c>
      <c r="B3666" s="10" t="str">
        <f>参数调整!$J$33</f>
        <v>统领掉落</v>
      </c>
      <c r="C3666" s="8" t="str">
        <f>材料产出!$AH$2</f>
        <v>神品升星石</v>
      </c>
      <c r="D3666" s="224">
        <f>参数调整!$K$33*怪物掉落配置方案!$D4692</f>
        <v>0.74994086078080591</v>
      </c>
    </row>
    <row r="3667" spans="1:4" ht="16.5" hidden="1" x14ac:dyDescent="0.3">
      <c r="A3667" s="10" t="str">
        <f>基本属性!$B$23&amp;"|"&amp;基本属性!$C$23</f>
        <v>210|13</v>
      </c>
      <c r="B3667" s="10" t="str">
        <f>参数调整!$J$33</f>
        <v>统领掉落</v>
      </c>
      <c r="C3667" s="8" t="str">
        <f>材料产出!$AH$2</f>
        <v>神品升星石</v>
      </c>
      <c r="D3667" s="224">
        <f>参数调整!$K$33*怪物掉落配置方案!$D4693</f>
        <v>0.85094896348521543</v>
      </c>
    </row>
    <row r="3668" spans="1:4" ht="16.5" hidden="1" x14ac:dyDescent="0.3">
      <c r="A3668" s="10" t="str">
        <f>基本属性!$B$24&amp;"|"&amp;基本属性!$C$24</f>
        <v>220|14</v>
      </c>
      <c r="B3668" s="10" t="str">
        <f>参数调整!$J$33</f>
        <v>统领掉落</v>
      </c>
      <c r="C3668" s="8" t="str">
        <f>材料产出!$AH$2</f>
        <v>神品升星石</v>
      </c>
      <c r="D3668" s="224">
        <f>参数调整!$K$33*怪物掉落配置方案!$D4694</f>
        <v>0.95833652530779767</v>
      </c>
    </row>
    <row r="3669" spans="1:4" ht="16.5" hidden="1" x14ac:dyDescent="0.3">
      <c r="A3669" s="10" t="str">
        <f>基本属性!$B$25&amp;"|"&amp;基本属性!$C$25</f>
        <v>220|15</v>
      </c>
      <c r="B3669" s="10" t="str">
        <f>参数调整!$J$33</f>
        <v>统领掉落</v>
      </c>
      <c r="C3669" s="8" t="str">
        <f>材料产出!$AH$2</f>
        <v>神品升星石</v>
      </c>
      <c r="D3669" s="224">
        <f>参数调整!$K$33*怪物掉落配置方案!$D4695</f>
        <v>1.0721035462485531</v>
      </c>
    </row>
    <row r="3670" spans="1:4" ht="16.5" hidden="1" x14ac:dyDescent="0.3">
      <c r="A3670" s="10" t="str">
        <f>基本属性!$B$26&amp;"|"&amp;基本属性!$C$26</f>
        <v>230|16</v>
      </c>
      <c r="B3670" s="10" t="str">
        <f>参数调整!$J$33</f>
        <v>统领掉落</v>
      </c>
      <c r="C3670" s="8" t="str">
        <f>材料产出!$AH$2</f>
        <v>神品升星石</v>
      </c>
      <c r="D3670" s="224">
        <f>参数调整!$K$33*怪物掉落配置方案!$D4696</f>
        <v>1.1922500263074818</v>
      </c>
    </row>
    <row r="3671" spans="1:4" ht="16.5" hidden="1" x14ac:dyDescent="0.3">
      <c r="A3671" s="10" t="str">
        <f>基本属性!$B$27&amp;"|"&amp;基本属性!$C$27</f>
        <v>230|17</v>
      </c>
      <c r="B3671" s="10" t="str">
        <f>参数调整!$J$33</f>
        <v>统领掉落</v>
      </c>
      <c r="C3671" s="8" t="str">
        <f>材料产出!$AH$2</f>
        <v>神品升星石</v>
      </c>
      <c r="D3671" s="224">
        <f>参数调整!$K$33*怪物掉落配置方案!$D4697</f>
        <v>1.3187759654845839</v>
      </c>
    </row>
    <row r="3672" spans="1:4" ht="16.5" hidden="1" x14ac:dyDescent="0.3">
      <c r="A3672" s="10" t="str">
        <f>基本属性!$B$28&amp;"|"&amp;基本属性!$C$28</f>
        <v>240|18</v>
      </c>
      <c r="B3672" s="10" t="str">
        <f>参数调整!$J$33</f>
        <v>统领掉落</v>
      </c>
      <c r="C3672" s="8" t="str">
        <f>材料产出!$AH$2</f>
        <v>神品升星石</v>
      </c>
      <c r="D3672" s="224">
        <f>参数调整!$K$33*怪物掉落配置方案!$D4698</f>
        <v>1.4516813637798589</v>
      </c>
    </row>
    <row r="3673" spans="1:4" ht="16.5" hidden="1" x14ac:dyDescent="0.3">
      <c r="A3673" s="10" t="str">
        <f>基本属性!$B$29&amp;"|"&amp;基本属性!$C$29</f>
        <v>240|19</v>
      </c>
      <c r="B3673" s="10" t="str">
        <f>参数调整!$J$33</f>
        <v>统领掉落</v>
      </c>
      <c r="C3673" s="8" t="str">
        <f>材料产出!$AH$2</f>
        <v>神品升星石</v>
      </c>
      <c r="D3673" s="224">
        <f>参数调整!$K$33*怪物掉落配置方案!$D4699</f>
        <v>1.5909662211933078</v>
      </c>
    </row>
    <row r="3674" spans="1:4" ht="16.5" hidden="1" x14ac:dyDescent="0.3">
      <c r="A3674" s="10" t="str">
        <f>基本属性!$B$30&amp;"|"&amp;基本属性!$C$30</f>
        <v>250|20</v>
      </c>
      <c r="B3674" s="10" t="str">
        <f>参数调整!$J$33</f>
        <v>统领掉落</v>
      </c>
      <c r="C3674" s="8" t="str">
        <f>材料产出!$AH$2</f>
        <v>神品升星石</v>
      </c>
      <c r="D3674" s="224">
        <f>参数调整!$K$33*怪物掉落配置方案!$D4700</f>
        <v>1.7366305377249285</v>
      </c>
    </row>
    <row r="3675" spans="1:4" ht="16.5" hidden="1" x14ac:dyDescent="0.3">
      <c r="A3675" s="10" t="str">
        <f>基本属性!$B$4&amp;"|"&amp;基本属性!$C$4</f>
        <v>35|0</v>
      </c>
      <c r="B3675" s="10" t="str">
        <f>参数调整!$J$33</f>
        <v>统领掉落</v>
      </c>
      <c r="C3675" s="8" t="str">
        <f>材料产出!$AL$2</f>
        <v>上品注灵石</v>
      </c>
      <c r="D3675" s="224">
        <f>参数调整!$K$33*怪物掉落配置方案!$D4701</f>
        <v>0.12961025723558917</v>
      </c>
    </row>
    <row r="3676" spans="1:4" ht="16.5" hidden="1" x14ac:dyDescent="0.3">
      <c r="A3676" s="10" t="str">
        <f>基本属性!$B$5&amp;"|"&amp;基本属性!$C$5</f>
        <v>40|0</v>
      </c>
      <c r="B3676" s="10" t="str">
        <f>参数调整!$J$33</f>
        <v>统领掉落</v>
      </c>
      <c r="C3676" s="8" t="str">
        <f>材料产出!$AL$2</f>
        <v>上品注灵石</v>
      </c>
      <c r="D3676" s="224">
        <f>参数调整!$K$33*怪物掉落配置方案!$D4702</f>
        <v>0.16403798181379253</v>
      </c>
    </row>
    <row r="3677" spans="1:4" ht="16.5" hidden="1" x14ac:dyDescent="0.3">
      <c r="A3677" s="10" t="str">
        <f>基本属性!$B$6&amp;"|"&amp;基本属性!$C$6</f>
        <v>50|0</v>
      </c>
      <c r="B3677" s="10" t="str">
        <f>参数调整!$J$33</f>
        <v>统领掉落</v>
      </c>
      <c r="C3677" s="8" t="str">
        <f>材料产出!$AL$2</f>
        <v>上品注灵石</v>
      </c>
      <c r="D3677" s="224">
        <f>参数调整!$K$33*怪物掉落配置方案!$D4703</f>
        <v>0.20251602693060808</v>
      </c>
    </row>
    <row r="3678" spans="1:4" ht="16.5" hidden="1" x14ac:dyDescent="0.3">
      <c r="A3678" s="10" t="str">
        <f>基本属性!$B$7&amp;"|"&amp;基本属性!$C$7</f>
        <v>60|0</v>
      </c>
      <c r="B3678" s="10" t="str">
        <f>参数调整!$J$33</f>
        <v>统领掉落</v>
      </c>
      <c r="C3678" s="8" t="str">
        <f>材料产出!$AL$2</f>
        <v>上品注灵石</v>
      </c>
      <c r="D3678" s="224">
        <f>参数调整!$K$33*怪物掉落配置方案!$D4704</f>
        <v>0.2450443925860358</v>
      </c>
    </row>
    <row r="3679" spans="1:4" ht="16.5" hidden="1" x14ac:dyDescent="0.3">
      <c r="A3679" s="10" t="str">
        <f>基本属性!$B$8&amp;"|"&amp;基本属性!$C$8</f>
        <v>65|0</v>
      </c>
      <c r="B3679" s="10" t="str">
        <f>参数调整!$J$33</f>
        <v>统领掉落</v>
      </c>
      <c r="C3679" s="8" t="str">
        <f>材料产出!$AL$2</f>
        <v>上品注灵石</v>
      </c>
      <c r="D3679" s="224">
        <f>参数调整!$K$33*怪物掉落配置方案!$D4705</f>
        <v>0.2916230787800756</v>
      </c>
    </row>
    <row r="3680" spans="1:4" ht="16.5" hidden="1" x14ac:dyDescent="0.3">
      <c r="A3680" s="10" t="str">
        <f>基本属性!$B$9&amp;"|"&amp;基本属性!$C$9</f>
        <v>70|0</v>
      </c>
      <c r="B3680" s="10" t="str">
        <f>参数调整!$J$33</f>
        <v>统领掉落</v>
      </c>
      <c r="C3680" s="8" t="str">
        <f>材料产出!$AL$2</f>
        <v>上品注灵石</v>
      </c>
      <c r="D3680" s="224">
        <f>参数调整!$K$33*怪物掉落配置方案!$D4706</f>
        <v>0.34225208551272762</v>
      </c>
    </row>
    <row r="3681" spans="1:4" ht="16.5" hidden="1" x14ac:dyDescent="0.3">
      <c r="A3681" s="10" t="str">
        <f>基本属性!$B$10&amp;"|"&amp;基本属性!$C$10</f>
        <v>75|0</v>
      </c>
      <c r="B3681" s="10" t="str">
        <f>参数调整!$J$33</f>
        <v>统领掉落</v>
      </c>
      <c r="C3681" s="8" t="str">
        <f>材料产出!$AL$2</f>
        <v>上品注灵石</v>
      </c>
      <c r="D3681" s="224">
        <f>参数调整!$K$33*怪物掉落配置方案!$D4707</f>
        <v>0.39693141278399174</v>
      </c>
    </row>
    <row r="3682" spans="1:4" ht="16.5" hidden="1" x14ac:dyDescent="0.3">
      <c r="A3682" s="10" t="str">
        <f>基本属性!$B$11&amp;"|"&amp;基本属性!$C$11</f>
        <v>80|1</v>
      </c>
      <c r="B3682" s="10" t="str">
        <f>参数调整!$J$33</f>
        <v>统领掉落</v>
      </c>
      <c r="C3682" s="8" t="str">
        <f>材料产出!$AL$2</f>
        <v>上品注灵石</v>
      </c>
      <c r="D3682" s="224">
        <f>参数调整!$K$33*怪物掉落配置方案!$D4708</f>
        <v>0.45566106059386818</v>
      </c>
    </row>
    <row r="3683" spans="1:4" ht="16.5" hidden="1" x14ac:dyDescent="0.3">
      <c r="A3683" s="10" t="str">
        <f>基本属性!$B$12&amp;"|"&amp;基本属性!$C$12</f>
        <v>90|2</v>
      </c>
      <c r="B3683" s="10" t="str">
        <f>参数调整!$J$33</f>
        <v>统领掉落</v>
      </c>
      <c r="C3683" s="8" t="str">
        <f>材料产出!$AL$2</f>
        <v>上品注灵石</v>
      </c>
      <c r="D3683" s="224">
        <f>参数调整!$K$33*怪物掉落配置方案!$D4709</f>
        <v>0.51844102894235666</v>
      </c>
    </row>
    <row r="3684" spans="1:4" ht="16.5" hidden="1" x14ac:dyDescent="0.3">
      <c r="A3684" s="10" t="str">
        <f>基本属性!$B$13&amp;"|"&amp;基本属性!$C$13</f>
        <v>100|3</v>
      </c>
      <c r="B3684" s="10" t="str">
        <f>参数调整!$J$33</f>
        <v>统领掉落</v>
      </c>
      <c r="C3684" s="8" t="str">
        <f>材料产出!$AL$2</f>
        <v>上品注灵石</v>
      </c>
      <c r="D3684" s="224">
        <f>参数调整!$K$33*怪物掉落配置方案!$D4710</f>
        <v>0.65615192725517013</v>
      </c>
    </row>
    <row r="3685" spans="1:4" ht="16.5" hidden="1" x14ac:dyDescent="0.3">
      <c r="A3685" s="10" t="str">
        <f>基本属性!$B$14&amp;"|"&amp;基本属性!$C$14</f>
        <v>105|4</v>
      </c>
      <c r="B3685" s="10" t="str">
        <f>参数调整!$J$33</f>
        <v>统领掉落</v>
      </c>
      <c r="C3685" s="8" t="str">
        <f>材料产出!$AL$2</f>
        <v>上品注灵石</v>
      </c>
      <c r="D3685" s="224">
        <f>参数调整!$K$33*怪物掉落配置方案!$D4711</f>
        <v>0.81006410772243231</v>
      </c>
    </row>
    <row r="3686" spans="1:4" ht="16.5" hidden="1" x14ac:dyDescent="0.3">
      <c r="A3686" s="10" t="str">
        <f>基本属性!$B$15&amp;"|"&amp;基本属性!$C$15</f>
        <v>110|5</v>
      </c>
      <c r="B3686" s="10" t="str">
        <f>参数调整!$J$33</f>
        <v>统领掉落</v>
      </c>
      <c r="C3686" s="8" t="str">
        <f>材料产出!$AL$2</f>
        <v>上品注灵石</v>
      </c>
      <c r="D3686" s="224">
        <f>参数调整!$K$33*怪物掉落配置方案!$D4712</f>
        <v>0.98017757034414321</v>
      </c>
    </row>
    <row r="3687" spans="1:4" ht="16.5" hidden="1" x14ac:dyDescent="0.3">
      <c r="A3687" s="10" t="str">
        <f>基本属性!$B$16&amp;"|"&amp;基本属性!$C$16</f>
        <v>120|6</v>
      </c>
      <c r="B3687" s="10" t="str">
        <f>参数调整!$J$33</f>
        <v>统领掉落</v>
      </c>
      <c r="C3687" s="8" t="str">
        <f>材料产出!$AL$2</f>
        <v>上品注灵石</v>
      </c>
      <c r="D3687" s="224">
        <f>参数调整!$K$33*怪物掉落配置方案!$D4713</f>
        <v>1.2657251683163004</v>
      </c>
    </row>
    <row r="3688" spans="1:4" ht="16.5" hidden="1" x14ac:dyDescent="0.3">
      <c r="A3688" s="10" t="str">
        <f>基本属性!$B$17&amp;"|"&amp;基本属性!$C$17</f>
        <v>135|7</v>
      </c>
      <c r="B3688" s="10" t="str">
        <f>参数调整!$J$33</f>
        <v>统领掉落</v>
      </c>
      <c r="C3688" s="8" t="str">
        <f>材料产出!$AL$2</f>
        <v>上品注灵石</v>
      </c>
      <c r="D3688" s="224">
        <f>参数调整!$K$33*怪物掉落配置方案!$D4714</f>
        <v>1.8226442423754727</v>
      </c>
    </row>
    <row r="3689" spans="1:4" ht="16.5" hidden="1" x14ac:dyDescent="0.3">
      <c r="A3689" s="10" t="str">
        <f>基本属性!$B$18&amp;"|"&amp;基本属性!$C$18</f>
        <v>155|8</v>
      </c>
      <c r="B3689" s="10" t="str">
        <f>参数调整!$J$33</f>
        <v>统领掉落</v>
      </c>
      <c r="C3689" s="8" t="str">
        <f>材料产出!$AL$2</f>
        <v>上品注灵石</v>
      </c>
      <c r="D3689" s="224">
        <f>参数调整!$K$33*怪物掉落配置方案!$D4715</f>
        <v>2.4808213298999489</v>
      </c>
    </row>
    <row r="3690" spans="1:4" ht="16.5" hidden="1" x14ac:dyDescent="0.3">
      <c r="A3690" s="10" t="str">
        <f>基本属性!$B$19&amp;"|"&amp;基本属性!$C$19</f>
        <v>190|9</v>
      </c>
      <c r="B3690" s="10" t="str">
        <f>参数调整!$J$33</f>
        <v>统领掉落</v>
      </c>
      <c r="C3690" s="8" t="str">
        <f>材料产出!$AL$2</f>
        <v>上品注灵石</v>
      </c>
      <c r="D3690" s="224">
        <f>参数调整!$K$33*怪物掉落配置方案!$D4716</f>
        <v>2.7724444086800251</v>
      </c>
    </row>
    <row r="3691" spans="1:4" ht="16.5" hidden="1" x14ac:dyDescent="0.3">
      <c r="A3691" s="10" t="str">
        <f>基本属性!$B$20&amp;"|"&amp;基本属性!$C$20</f>
        <v>200|10</v>
      </c>
      <c r="B3691" s="10" t="str">
        <f>参数调整!$J$33</f>
        <v>统领掉落</v>
      </c>
      <c r="C3691" s="8" t="str">
        <f>材料产出!$AL$2</f>
        <v>上品注灵石</v>
      </c>
      <c r="D3691" s="224">
        <f>参数调整!$K$33*怪物掉落配置方案!$D4717</f>
        <v>3.2402564308897293</v>
      </c>
    </row>
    <row r="3692" spans="1:4" ht="16.5" hidden="1" x14ac:dyDescent="0.3">
      <c r="A3692" s="10" t="str">
        <f>基本属性!$B$21&amp;"|"&amp;基本属性!$C$21</f>
        <v>200|11</v>
      </c>
      <c r="B3692" s="10" t="str">
        <f>参数调整!$J$33</f>
        <v>统领掉落</v>
      </c>
      <c r="C3692" s="8" t="str">
        <f>材料产出!$AL$2</f>
        <v>上品注灵石</v>
      </c>
      <c r="D3692" s="224">
        <f>参数调整!$K$33*怪物掉落配置方案!$D4718</f>
        <v>3.7445213379469426</v>
      </c>
    </row>
    <row r="3693" spans="1:4" ht="16.5" hidden="1" x14ac:dyDescent="0.3">
      <c r="A3693" s="10" t="str">
        <f>基本属性!$B$22&amp;"|"&amp;基本属性!$C$22</f>
        <v>210|12</v>
      </c>
      <c r="B3693" s="10" t="str">
        <f>参数调整!$J$33</f>
        <v>统领掉落</v>
      </c>
      <c r="C3693" s="8" t="str">
        <f>材料产出!$AL$2</f>
        <v>上品注灵石</v>
      </c>
      <c r="D3693" s="224">
        <f>参数调整!$K$33*怪物掉落配置方案!$D4719</f>
        <v>4.2852391298516652</v>
      </c>
    </row>
    <row r="3694" spans="1:4" ht="16.5" hidden="1" x14ac:dyDescent="0.3">
      <c r="A3694" s="10" t="str">
        <f>基本属性!$B$23&amp;"|"&amp;基本属性!$C$23</f>
        <v>210|13</v>
      </c>
      <c r="B3694" s="10" t="str">
        <f>参数调整!$J$33</f>
        <v>统领掉落</v>
      </c>
      <c r="C3694" s="8" t="str">
        <f>材料产出!$AL$2</f>
        <v>上品注灵石</v>
      </c>
      <c r="D3694" s="224">
        <f>参数调整!$K$33*怪物掉落配置方案!$D4720</f>
        <v>4.8624098066038997</v>
      </c>
    </row>
    <row r="3695" spans="1:4" ht="16.5" hidden="1" x14ac:dyDescent="0.3">
      <c r="A3695" s="10" t="str">
        <f>基本属性!$B$24&amp;"|"&amp;基本属性!$C$24</f>
        <v>220|14</v>
      </c>
      <c r="B3695" s="10" t="str">
        <f>参数调整!$J$33</f>
        <v>统领掉落</v>
      </c>
      <c r="C3695" s="8" t="str">
        <f>材料产出!$AL$2</f>
        <v>上品注灵石</v>
      </c>
      <c r="D3695" s="224">
        <f>参数调整!$K$33*怪物掉落配置方案!$D4721</f>
        <v>5.4760333682036419</v>
      </c>
    </row>
    <row r="3696" spans="1:4" ht="16.5" hidden="1" x14ac:dyDescent="0.3">
      <c r="A3696" s="10" t="str">
        <f>基本属性!$B$25&amp;"|"&amp;基本属性!$C$25</f>
        <v>220|15</v>
      </c>
      <c r="B3696" s="10" t="str">
        <f>参数调整!$J$33</f>
        <v>统领掉落</v>
      </c>
      <c r="C3696" s="8" t="str">
        <f>材料产出!$AL$2</f>
        <v>上品注灵石</v>
      </c>
      <c r="D3696" s="224">
        <f>参数调整!$K$33*怪物掉落配置方案!$D4722</f>
        <v>6.1261098146508939</v>
      </c>
    </row>
    <row r="3697" spans="1:4" ht="16.5" hidden="1" x14ac:dyDescent="0.3">
      <c r="A3697" s="10" t="str">
        <f>基本属性!$B$26&amp;"|"&amp;基本属性!$C$26</f>
        <v>230|16</v>
      </c>
      <c r="B3697" s="10" t="str">
        <f>参数调整!$J$33</f>
        <v>统领掉落</v>
      </c>
      <c r="C3697" s="8" t="str">
        <f>材料产出!$AL$2</f>
        <v>上品注灵石</v>
      </c>
      <c r="D3697" s="224">
        <f>参数调整!$K$33*怪物掉落配置方案!$D4723</f>
        <v>6.8126391459456537</v>
      </c>
    </row>
    <row r="3698" spans="1:4" ht="16.5" hidden="1" x14ac:dyDescent="0.3">
      <c r="A3698" s="10" t="str">
        <f>基本属性!$B$27&amp;"|"&amp;基本属性!$C$27</f>
        <v>230|17</v>
      </c>
      <c r="B3698" s="10" t="str">
        <f>参数调整!$J$33</f>
        <v>统领掉落</v>
      </c>
      <c r="C3698" s="8" t="str">
        <f>材料产出!$AL$2</f>
        <v>上品注灵石</v>
      </c>
      <c r="D3698" s="224">
        <f>参数调整!$K$33*怪物掉落配置方案!$D4724</f>
        <v>7.5356213620879258</v>
      </c>
    </row>
    <row r="3699" spans="1:4" ht="16.5" hidden="1" x14ac:dyDescent="0.3">
      <c r="A3699" s="10" t="str">
        <f>基本属性!$B$28&amp;"|"&amp;基本属性!$C$28</f>
        <v>240|18</v>
      </c>
      <c r="B3699" s="10" t="str">
        <f>参数调整!$J$33</f>
        <v>统领掉落</v>
      </c>
      <c r="C3699" s="8" t="str">
        <f>材料产出!$AL$2</f>
        <v>上品注灵石</v>
      </c>
      <c r="D3699" s="224">
        <f>参数调整!$K$33*怪物掉落配置方案!$D4725</f>
        <v>8.2950564630777066</v>
      </c>
    </row>
    <row r="3700" spans="1:4" ht="16.5" hidden="1" x14ac:dyDescent="0.3">
      <c r="A3700" s="10" t="str">
        <f>基本属性!$B$29&amp;"|"&amp;基本属性!$C$29</f>
        <v>240|19</v>
      </c>
      <c r="B3700" s="10" t="str">
        <f>参数调整!$J$33</f>
        <v>统领掉落</v>
      </c>
      <c r="C3700" s="8" t="str">
        <f>材料产出!$AL$2</f>
        <v>上品注灵石</v>
      </c>
      <c r="D3700" s="224">
        <f>参数调整!$K$33*怪物掉落配置方案!$D4726</f>
        <v>9.0909444489149962</v>
      </c>
    </row>
    <row r="3701" spans="1:4" ht="16.5" hidden="1" x14ac:dyDescent="0.3">
      <c r="A3701" s="10" t="str">
        <f>基本属性!$B$30&amp;"|"&amp;基本属性!$C$30</f>
        <v>250|20</v>
      </c>
      <c r="B3701" s="10" t="str">
        <f>参数调整!$J$33</f>
        <v>统领掉落</v>
      </c>
      <c r="C3701" s="8" t="str">
        <f>材料产出!$AL$2</f>
        <v>上品注灵石</v>
      </c>
      <c r="D3701" s="224">
        <f>参数调整!$K$33*怪物掉落配置方案!$D4727</f>
        <v>9.9232853195997954</v>
      </c>
    </row>
    <row r="3702" spans="1:4" ht="16.5" hidden="1" x14ac:dyDescent="0.3">
      <c r="A3702" s="10" t="str">
        <f>基本属性!$B$4&amp;"|"&amp;基本属性!$C$4</f>
        <v>35|0</v>
      </c>
      <c r="B3702" s="10" t="str">
        <f>参数调整!$J$33</f>
        <v>统领掉落</v>
      </c>
      <c r="C3702" s="8" t="str">
        <f>材料产出!$AT$2</f>
        <v>魔龙之心</v>
      </c>
      <c r="D3702" s="224">
        <f>参数调整!$K$33*怪物掉落配置方案!$D4728</f>
        <v>1.6233394416779911E-4</v>
      </c>
    </row>
    <row r="3703" spans="1:4" ht="16.5" hidden="1" x14ac:dyDescent="0.3">
      <c r="A3703" s="10" t="str">
        <f>基本属性!$B$5&amp;"|"&amp;基本属性!$C$5</f>
        <v>40|0</v>
      </c>
      <c r="B3703" s="10" t="str">
        <f>参数调整!$J$33</f>
        <v>统领掉落</v>
      </c>
      <c r="C3703" s="8" t="str">
        <f>材料产出!$AT$2</f>
        <v>魔龙之心</v>
      </c>
      <c r="D3703" s="224">
        <f>参数调整!$K$33*怪物掉落配置方案!$D4729</f>
        <v>2.0545389808737072E-4</v>
      </c>
    </row>
    <row r="3704" spans="1:4" ht="16.5" hidden="1" x14ac:dyDescent="0.3">
      <c r="A3704" s="10" t="str">
        <f>基本属性!$B$6&amp;"|"&amp;基本属性!$C$6</f>
        <v>50|0</v>
      </c>
      <c r="B3704" s="10" t="str">
        <f>参数调整!$J$33</f>
        <v>统领掉落</v>
      </c>
      <c r="C3704" s="8" t="str">
        <f>材料产出!$AT$2</f>
        <v>魔龙之心</v>
      </c>
      <c r="D3704" s="224">
        <f>参数调整!$K$33*怪物掉落配置方案!$D4730</f>
        <v>2.5364678776218605E-4</v>
      </c>
    </row>
    <row r="3705" spans="1:4" ht="16.5" hidden="1" x14ac:dyDescent="0.3">
      <c r="A3705" s="10" t="str">
        <f>基本属性!$B$7&amp;"|"&amp;基本属性!$C$7</f>
        <v>60|0</v>
      </c>
      <c r="B3705" s="10" t="str">
        <f>参数调整!$J$33</f>
        <v>统领掉落</v>
      </c>
      <c r="C3705" s="8" t="str">
        <f>材料产出!$AT$2</f>
        <v>魔龙之心</v>
      </c>
      <c r="D3705" s="224">
        <f>参数调整!$K$33*怪物掉落配置方案!$D4731</f>
        <v>3.0691261319224525E-4</v>
      </c>
    </row>
    <row r="3706" spans="1:4" ht="16.5" hidden="1" x14ac:dyDescent="0.3">
      <c r="A3706" s="10" t="str">
        <f>基本属性!$B$8&amp;"|"&amp;基本属性!$C$8</f>
        <v>65|0</v>
      </c>
      <c r="B3706" s="10" t="str">
        <f>参数调整!$J$33</f>
        <v>统领掉落</v>
      </c>
      <c r="C3706" s="8" t="str">
        <f>材料产出!$AT$2</f>
        <v>魔龙之心</v>
      </c>
      <c r="D3706" s="224">
        <f>参数调整!$K$33*怪物掉落配置方案!$D4732</f>
        <v>3.6525137437754793E-4</v>
      </c>
    </row>
    <row r="3707" spans="1:4" ht="16.5" hidden="1" x14ac:dyDescent="0.3">
      <c r="A3707" s="10" t="str">
        <f>基本属性!$B$9&amp;"|"&amp;基本属性!$C$9</f>
        <v>70|0</v>
      </c>
      <c r="B3707" s="10" t="str">
        <f>参数调整!$J$33</f>
        <v>统领掉落</v>
      </c>
      <c r="C3707" s="8" t="str">
        <f>材料产出!$AT$2</f>
        <v>魔龙之心</v>
      </c>
      <c r="D3707" s="224">
        <f>参数调整!$K$33*怪物掉落配置方案!$D4733</f>
        <v>4.2866307131809447E-4</v>
      </c>
    </row>
    <row r="3708" spans="1:4" ht="16.5" hidden="1" x14ac:dyDescent="0.3">
      <c r="A3708" s="10" t="str">
        <f>基本属性!$B$10&amp;"|"&amp;基本属性!$C$10</f>
        <v>75|0</v>
      </c>
      <c r="B3708" s="10" t="str">
        <f>参数调整!$J$33</f>
        <v>统领掉落</v>
      </c>
      <c r="C3708" s="8" t="str">
        <f>材料产出!$AT$2</f>
        <v>魔龙之心</v>
      </c>
      <c r="D3708" s="224">
        <f>参数调整!$K$33*怪物掉落配置方案!$D4734</f>
        <v>4.971477040138846E-4</v>
      </c>
    </row>
    <row r="3709" spans="1:4" ht="16.5" hidden="1" x14ac:dyDescent="0.3">
      <c r="A3709" s="10" t="str">
        <f>基本属性!$B$11&amp;"|"&amp;基本属性!$C$11</f>
        <v>80|1</v>
      </c>
      <c r="B3709" s="10" t="str">
        <f>参数调整!$J$33</f>
        <v>统领掉落</v>
      </c>
      <c r="C3709" s="8" t="str">
        <f>材料产出!$AT$2</f>
        <v>魔龙之心</v>
      </c>
      <c r="D3709" s="224">
        <f>参数调整!$K$33*怪物掉落配置方案!$D4735</f>
        <v>5.7070527246491859E-4</v>
      </c>
    </row>
    <row r="3710" spans="1:4" ht="16.5" hidden="1" x14ac:dyDescent="0.3">
      <c r="A3710" s="10" t="str">
        <f>基本属性!$B$12&amp;"|"&amp;基本属性!$C$12</f>
        <v>90|2</v>
      </c>
      <c r="B3710" s="10" t="str">
        <f>参数调整!$J$33</f>
        <v>统领掉落</v>
      </c>
      <c r="C3710" s="8" t="str">
        <f>材料产出!$AT$2</f>
        <v>魔龙之心</v>
      </c>
      <c r="D3710" s="224">
        <f>参数调整!$K$33*怪物掉落配置方案!$D4736</f>
        <v>6.4933577667119645E-4</v>
      </c>
    </row>
    <row r="3711" spans="1:4" ht="16.5" hidden="1" x14ac:dyDescent="0.3">
      <c r="A3711" s="10" t="str">
        <f>基本属性!$B$13&amp;"|"&amp;基本属性!$C$13</f>
        <v>100|3</v>
      </c>
      <c r="B3711" s="10" t="str">
        <f>参数调整!$J$33</f>
        <v>统领掉落</v>
      </c>
      <c r="C3711" s="8" t="str">
        <f>材料产出!$AT$2</f>
        <v>魔龙之心</v>
      </c>
      <c r="D3711" s="224">
        <f>参数调整!$K$33*怪物掉落配置方案!$D4737</f>
        <v>8.2181559234948309E-4</v>
      </c>
    </row>
    <row r="3712" spans="1:4" ht="16.5" hidden="1" x14ac:dyDescent="0.3">
      <c r="A3712" s="10" t="str">
        <f>基本属性!$B$14&amp;"|"&amp;基本属性!$C$14</f>
        <v>105|4</v>
      </c>
      <c r="B3712" s="10" t="str">
        <f>参数调整!$J$33</f>
        <v>统领掉落</v>
      </c>
      <c r="C3712" s="8" t="str">
        <f>材料产出!$AT$2</f>
        <v>魔龙之心</v>
      </c>
      <c r="D3712" s="224">
        <f>参数调整!$K$33*怪物掉落配置方案!$D4738</f>
        <v>1.0145871510487442E-3</v>
      </c>
    </row>
    <row r="3713" spans="1:4" ht="16.5" hidden="1" x14ac:dyDescent="0.3">
      <c r="A3713" s="10" t="str">
        <f>基本属性!$B$15&amp;"|"&amp;基本属性!$C$15</f>
        <v>110|5</v>
      </c>
      <c r="B3713" s="10" t="str">
        <f>参数调整!$J$33</f>
        <v>统领掉落</v>
      </c>
      <c r="C3713" s="8" t="str">
        <f>材料产出!$AT$2</f>
        <v>魔龙之心</v>
      </c>
      <c r="D3713" s="224">
        <f>参数调整!$K$33*怪物掉落配置方案!$D4739</f>
        <v>1.227650452768981E-3</v>
      </c>
    </row>
    <row r="3714" spans="1:4" ht="16.5" hidden="1" x14ac:dyDescent="0.3">
      <c r="A3714" s="10" t="str">
        <f>基本属性!$B$16&amp;"|"&amp;基本属性!$C$16</f>
        <v>120|6</v>
      </c>
      <c r="B3714" s="10" t="str">
        <f>参数调整!$J$33</f>
        <v>统领掉落</v>
      </c>
      <c r="C3714" s="8" t="str">
        <f>材料产出!$AT$2</f>
        <v>魔龙之心</v>
      </c>
      <c r="D3714" s="224">
        <f>参数调整!$K$33*怪物掉落配置方案!$D4740</f>
        <v>1.5852924235136632E-3</v>
      </c>
    </row>
    <row r="3715" spans="1:4" ht="16.5" hidden="1" x14ac:dyDescent="0.3">
      <c r="A3715" s="10" t="str">
        <f>基本属性!$B$17&amp;"|"&amp;基本属性!$C$17</f>
        <v>135|7</v>
      </c>
      <c r="B3715" s="10" t="str">
        <f>参数调整!$J$33</f>
        <v>统领掉落</v>
      </c>
      <c r="C3715" s="8" t="str">
        <f>材料产出!$AT$2</f>
        <v>魔龙之心</v>
      </c>
      <c r="D3715" s="224">
        <f>参数调整!$K$33*怪物掉落配置方案!$D4741</f>
        <v>2.2828210898596744E-3</v>
      </c>
    </row>
    <row r="3716" spans="1:4" ht="16.5" hidden="1" x14ac:dyDescent="0.3">
      <c r="A3716" s="10" t="str">
        <f>基本属性!$B$18&amp;"|"&amp;基本属性!$C$18</f>
        <v>155|8</v>
      </c>
      <c r="B3716" s="10" t="str">
        <f>参数调整!$J$33</f>
        <v>统领掉落</v>
      </c>
      <c r="C3716" s="8" t="str">
        <f>材料产出!$AT$2</f>
        <v>魔龙之心</v>
      </c>
      <c r="D3716" s="224">
        <f>参数调整!$K$33*怪物掉落配置方案!$D4742</f>
        <v>3.1071731500867802E-3</v>
      </c>
    </row>
    <row r="3717" spans="1:4" ht="16.5" hidden="1" x14ac:dyDescent="0.3">
      <c r="A3717" s="10" t="str">
        <f>基本属性!$B$19&amp;"|"&amp;基本属性!$C$19</f>
        <v>190|9</v>
      </c>
      <c r="B3717" s="10" t="str">
        <f>参数调整!$J$33</f>
        <v>统领掉落</v>
      </c>
      <c r="C3717" s="8" t="str">
        <f>材料产出!$AT$2</f>
        <v>魔龙之心</v>
      </c>
      <c r="D3717" s="224">
        <f>参数调整!$K$33*怪物掉落配置方案!$D4743</f>
        <v>3.4724245244643274E-3</v>
      </c>
    </row>
    <row r="3718" spans="1:4" ht="16.5" hidden="1" x14ac:dyDescent="0.3">
      <c r="A3718" s="10" t="str">
        <f>基本属性!$B$20&amp;"|"&amp;基本属性!$C$20</f>
        <v>200|10</v>
      </c>
      <c r="B3718" s="10" t="str">
        <f>参数调整!$J$33</f>
        <v>统领掉落</v>
      </c>
      <c r="C3718" s="8" t="str">
        <f>材料产出!$AT$2</f>
        <v>魔龙之心</v>
      </c>
      <c r="D3718" s="224">
        <f>参数调整!$K$33*怪物掉落配置方案!$D4744</f>
        <v>4.0583486041949769E-3</v>
      </c>
    </row>
    <row r="3719" spans="1:4" ht="16.5" hidden="1" x14ac:dyDescent="0.3">
      <c r="A3719" s="10" t="str">
        <f>基本属性!$B$21&amp;"|"&amp;基本属性!$C$21</f>
        <v>200|11</v>
      </c>
      <c r="B3719" s="10" t="str">
        <f>参数调整!$J$33</f>
        <v>统领掉落</v>
      </c>
      <c r="C3719" s="8" t="str">
        <f>材料产出!$AT$2</f>
        <v>魔龙之心</v>
      </c>
      <c r="D3719" s="224">
        <f>参数调整!$K$33*怪物掉落配置方案!$D4745</f>
        <v>4.6899291057228201E-3</v>
      </c>
    </row>
    <row r="3720" spans="1:4" ht="16.5" hidden="1" x14ac:dyDescent="0.3">
      <c r="A3720" s="10" t="str">
        <f>基本属性!$B$22&amp;"|"&amp;基本属性!$C$22</f>
        <v>210|12</v>
      </c>
      <c r="B3720" s="10" t="str">
        <f>参数调整!$J$33</f>
        <v>统领掉落</v>
      </c>
      <c r="C3720" s="8" t="str">
        <f>材料产出!$AT$2</f>
        <v>魔龙之心</v>
      </c>
      <c r="D3720" s="224">
        <f>参数调整!$K$33*怪物掉落配置方案!$D4746</f>
        <v>5.3671660290478566E-3</v>
      </c>
    </row>
    <row r="3721" spans="1:4" ht="16.5" hidden="1" x14ac:dyDescent="0.3">
      <c r="A3721" s="10" t="str">
        <f>基本属性!$B$23&amp;"|"&amp;基本属性!$C$23</f>
        <v>210|13</v>
      </c>
      <c r="B3721" s="10" t="str">
        <f>参数调整!$J$33</f>
        <v>统领掉落</v>
      </c>
      <c r="C3721" s="8" t="str">
        <f>材料产出!$AT$2</f>
        <v>魔龙之心</v>
      </c>
      <c r="D3721" s="224">
        <f>参数调整!$K$33*怪物掉落配置方案!$D4747</f>
        <v>6.0900593741700891E-3</v>
      </c>
    </row>
    <row r="3722" spans="1:4" ht="16.5" hidden="1" x14ac:dyDescent="0.3">
      <c r="A3722" s="10" t="str">
        <f>基本属性!$B$24&amp;"|"&amp;基本属性!$C$24</f>
        <v>220|14</v>
      </c>
      <c r="B3722" s="10" t="str">
        <f>参数调整!$J$33</f>
        <v>统领掉落</v>
      </c>
      <c r="C3722" s="8" t="str">
        <f>材料产出!$AT$2</f>
        <v>魔龙之心</v>
      </c>
      <c r="D3722" s="224">
        <f>参数调整!$K$33*怪物掉落配置方案!$D4748</f>
        <v>6.8586091410895115E-3</v>
      </c>
    </row>
    <row r="3723" spans="1:4" ht="16.5" hidden="1" x14ac:dyDescent="0.3">
      <c r="A3723" s="10" t="str">
        <f>基本属性!$B$25&amp;"|"&amp;基本属性!$C$25</f>
        <v>220|15</v>
      </c>
      <c r="B3723" s="10" t="str">
        <f>参数调整!$J$33</f>
        <v>统领掉落</v>
      </c>
      <c r="C3723" s="8" t="str">
        <f>材料产出!$AT$2</f>
        <v>魔龙之心</v>
      </c>
      <c r="D3723" s="224">
        <f>参数调整!$K$33*怪物掉落配置方案!$D4749</f>
        <v>7.6728153298061272E-3</v>
      </c>
    </row>
    <row r="3724" spans="1:4" ht="16.5" hidden="1" x14ac:dyDescent="0.3">
      <c r="A3724" s="10" t="str">
        <f>基本属性!$B$26&amp;"|"&amp;基本属性!$C$26</f>
        <v>230|16</v>
      </c>
      <c r="B3724" s="10" t="str">
        <f>参数调整!$J$33</f>
        <v>统领掉落</v>
      </c>
      <c r="C3724" s="8" t="str">
        <f>材料产出!$AT$2</f>
        <v>魔龙之心</v>
      </c>
      <c r="D3724" s="224">
        <f>参数调整!$K$33*怪物掉落配置方案!$D4750</f>
        <v>8.5326779403199372E-3</v>
      </c>
    </row>
    <row r="3725" spans="1:4" ht="16.5" hidden="1" x14ac:dyDescent="0.3">
      <c r="A3725" s="10" t="str">
        <f>基本属性!$B$27&amp;"|"&amp;基本属性!$C$27</f>
        <v>230|17</v>
      </c>
      <c r="B3725" s="10" t="str">
        <f>参数调整!$J$33</f>
        <v>统领掉落</v>
      </c>
      <c r="C3725" s="8" t="str">
        <f>材料产出!$AT$2</f>
        <v>魔龙之心</v>
      </c>
      <c r="D3725" s="224">
        <f>参数调整!$K$33*怪物掉落配置方案!$D4751</f>
        <v>9.4381969726309422E-3</v>
      </c>
    </row>
    <row r="3726" spans="1:4" ht="16.5" hidden="1" x14ac:dyDescent="0.3">
      <c r="A3726" s="10" t="str">
        <f>基本属性!$B$28&amp;"|"&amp;基本属性!$C$28</f>
        <v>240|18</v>
      </c>
      <c r="B3726" s="10" t="str">
        <f>参数调整!$J$33</f>
        <v>统领掉落</v>
      </c>
      <c r="C3726" s="8" t="str">
        <f>材料产出!$AT$2</f>
        <v>魔龙之心</v>
      </c>
      <c r="D3726" s="224">
        <f>参数调整!$K$33*怪物掉落配置方案!$D4752</f>
        <v>1.0389372426739143E-2</v>
      </c>
    </row>
    <row r="3727" spans="1:4" ht="16.5" hidden="1" x14ac:dyDescent="0.3">
      <c r="A3727" s="10" t="str">
        <f>基本属性!$B$29&amp;"|"&amp;基本属性!$C$29</f>
        <v>240|19</v>
      </c>
      <c r="B3727" s="10" t="str">
        <f>参数调整!$J$33</f>
        <v>统领掉落</v>
      </c>
      <c r="C3727" s="8" t="str">
        <f>材料产出!$AT$2</f>
        <v>魔龙之心</v>
      </c>
      <c r="D3727" s="224">
        <f>参数调整!$K$33*怪物掉落配置方案!$D4753</f>
        <v>1.1386204302644535E-2</v>
      </c>
    </row>
    <row r="3728" spans="1:4" ht="16.5" hidden="1" x14ac:dyDescent="0.3">
      <c r="A3728" s="10" t="str">
        <f>基本属性!$B$30&amp;"|"&amp;基本属性!$C$30</f>
        <v>250|20</v>
      </c>
      <c r="B3728" s="10" t="str">
        <f>参数调整!$J$33</f>
        <v>统领掉落</v>
      </c>
      <c r="C3728" s="8" t="str">
        <f>材料产出!$AT$2</f>
        <v>魔龙之心</v>
      </c>
      <c r="D3728" s="224">
        <f>参数调整!$K$33*怪物掉落配置方案!$D4754</f>
        <v>1.2428692600347116E-2</v>
      </c>
    </row>
    <row r="3729" spans="1:4" ht="16.5" hidden="1" x14ac:dyDescent="0.3">
      <c r="A3729" s="10" t="str">
        <f>基本属性!$B$4&amp;"|"&amp;基本属性!$C$4</f>
        <v>35|0</v>
      </c>
      <c r="B3729" s="10" t="str">
        <f>参数调整!$J$33</f>
        <v>统领掉落</v>
      </c>
      <c r="C3729" s="8" t="str">
        <f>材料产出!$X$2</f>
        <v>龍の心</v>
      </c>
      <c r="D3729" s="224">
        <f>参数调整!$K$33*怪物掉落配置方案!$D4755</f>
        <v>2.9537171981491247E-2</v>
      </c>
    </row>
    <row r="3730" spans="1:4" ht="16.5" hidden="1" x14ac:dyDescent="0.3">
      <c r="A3730" s="10" t="str">
        <f>基本属性!$B$5&amp;"|"&amp;基本属性!$C$5</f>
        <v>40|0</v>
      </c>
      <c r="B3730" s="10" t="str">
        <f>参数调整!$J$33</f>
        <v>统领掉落</v>
      </c>
      <c r="C3730" s="8" t="str">
        <f>材料产出!$X$2</f>
        <v>龍の心</v>
      </c>
      <c r="D3730" s="224">
        <f>参数调整!$K$33*怪物掉落配置方案!$D4756</f>
        <v>3.7382983289074863E-2</v>
      </c>
    </row>
    <row r="3731" spans="1:4" ht="16.5" hidden="1" x14ac:dyDescent="0.3">
      <c r="A3731" s="10" t="str">
        <f>基本属性!$B$6&amp;"|"&amp;基本属性!$C$6</f>
        <v>50|0</v>
      </c>
      <c r="B3731" s="10" t="str">
        <f>参数调整!$J$33</f>
        <v>统领掉落</v>
      </c>
      <c r="C3731" s="8" t="str">
        <f>材料产出!$X$2</f>
        <v>龍の心</v>
      </c>
      <c r="D3731" s="224">
        <f>参数调整!$K$33*怪物掉落配置方案!$D4757</f>
        <v>4.6151831221080075E-2</v>
      </c>
    </row>
    <row r="3732" spans="1:4" ht="16.5" hidden="1" x14ac:dyDescent="0.3">
      <c r="A3732" s="10" t="str">
        <f>基本属性!$B$7&amp;"|"&amp;基本属性!$C$7</f>
        <v>60|0</v>
      </c>
      <c r="B3732" s="10" t="str">
        <f>参数调整!$J$33</f>
        <v>统领掉落</v>
      </c>
      <c r="C3732" s="8" t="str">
        <f>材料产出!$X$2</f>
        <v>龍の心</v>
      </c>
      <c r="D3732" s="224">
        <f>参数调整!$K$33*怪物掉落配置方案!$D4758</f>
        <v>5.5843715777506901E-2</v>
      </c>
    </row>
    <row r="3733" spans="1:4" ht="16.5" hidden="1" x14ac:dyDescent="0.3">
      <c r="A3733" s="10" t="str">
        <f>基本属性!$B$8&amp;"|"&amp;基本属性!$C$8</f>
        <v>65|0</v>
      </c>
      <c r="B3733" s="10" t="str">
        <f>参数调整!$J$33</f>
        <v>统领掉落</v>
      </c>
      <c r="C3733" s="8" t="str">
        <f>材料产出!$X$2</f>
        <v>龍の心</v>
      </c>
      <c r="D3733" s="224">
        <f>参数调整!$K$33*怪物掉落配置方案!$D4759</f>
        <v>6.6458636958355313E-2</v>
      </c>
    </row>
    <row r="3734" spans="1:4" ht="16.5" hidden="1" x14ac:dyDescent="0.3">
      <c r="A3734" s="10" t="str">
        <f>基本属性!$B$9&amp;"|"&amp;基本属性!$C$9</f>
        <v>70|0</v>
      </c>
      <c r="B3734" s="10" t="str">
        <f>参数调整!$J$33</f>
        <v>统领掉落</v>
      </c>
      <c r="C3734" s="8" t="str">
        <f>材料产出!$X$2</f>
        <v>龍の心</v>
      </c>
      <c r="D3734" s="224">
        <f>参数调整!$K$33*怪物掉落配置方案!$D4760</f>
        <v>7.7996594763625332E-2</v>
      </c>
    </row>
    <row r="3735" spans="1:4" ht="16.5" hidden="1" x14ac:dyDescent="0.3">
      <c r="A3735" s="10" t="str">
        <f>基本属性!$B$10&amp;"|"&amp;基本属性!$C$10</f>
        <v>75|0</v>
      </c>
      <c r="B3735" s="10" t="str">
        <f>参数调整!$J$33</f>
        <v>统领掉落</v>
      </c>
      <c r="C3735" s="8" t="str">
        <f>材料产出!$X$2</f>
        <v>龍の心</v>
      </c>
      <c r="D3735" s="224">
        <f>参数调整!$K$33*怪物掉落配置方案!$D4761</f>
        <v>9.0457589193316937E-2</v>
      </c>
    </row>
    <row r="3736" spans="1:4" ht="16.5" hidden="1" x14ac:dyDescent="0.3">
      <c r="A3736" s="10" t="str">
        <f>基本属性!$B$11&amp;"|"&amp;基本属性!$C$11</f>
        <v>80|1</v>
      </c>
      <c r="B3736" s="10" t="str">
        <f>参数调整!$J$33</f>
        <v>统领掉落</v>
      </c>
      <c r="C3736" s="8" t="str">
        <f>材料产出!$X$2</f>
        <v>龍の心</v>
      </c>
      <c r="D3736" s="224">
        <f>参数调整!$K$33*怪物掉落配置方案!$D4762</f>
        <v>0.10384162024743018</v>
      </c>
    </row>
    <row r="3737" spans="1:4" ht="16.5" hidden="1" x14ac:dyDescent="0.3">
      <c r="A3737" s="10" t="str">
        <f>基本属性!$B$12&amp;"|"&amp;基本属性!$C$12</f>
        <v>90|2</v>
      </c>
      <c r="B3737" s="10" t="str">
        <f>参数调整!$J$33</f>
        <v>统领掉落</v>
      </c>
      <c r="C3737" s="8" t="str">
        <f>材料产出!$X$2</f>
        <v>龍の心</v>
      </c>
      <c r="D3737" s="224">
        <f>参数调整!$K$33*怪物掉落配置方案!$D4763</f>
        <v>0.11814868792596502</v>
      </c>
    </row>
    <row r="3738" spans="1:4" ht="16.5" hidden="1" x14ac:dyDescent="0.3">
      <c r="A3738" s="10" t="str">
        <f>基本属性!$B$13&amp;"|"&amp;基本属性!$C$13</f>
        <v>100|3</v>
      </c>
      <c r="B3738" s="10" t="str">
        <f>参数调整!$J$33</f>
        <v>统领掉落</v>
      </c>
      <c r="C3738" s="8" t="str">
        <f>材料产出!$X$2</f>
        <v>龍の心</v>
      </c>
      <c r="D3738" s="224">
        <f>参数调整!$K$33*怪物掉落配置方案!$D4764</f>
        <v>0.14953193315629948</v>
      </c>
    </row>
    <row r="3739" spans="1:4" ht="16.5" hidden="1" x14ac:dyDescent="0.3">
      <c r="A3739" s="10" t="str">
        <f>基本属性!$B$14&amp;"|"&amp;基本属性!$C$14</f>
        <v>105|4</v>
      </c>
      <c r="B3739" s="10" t="str">
        <f>参数调整!$J$33</f>
        <v>统领掉落</v>
      </c>
      <c r="C3739" s="8" t="str">
        <f>材料产出!$X$2</f>
        <v>龍の心</v>
      </c>
      <c r="D3739" s="224">
        <f>参数调整!$K$33*怪物掉落配置方案!$D4765</f>
        <v>0.1846073248843203</v>
      </c>
    </row>
    <row r="3740" spans="1:4" ht="16.5" hidden="1" x14ac:dyDescent="0.3">
      <c r="A3740" s="10" t="str">
        <f>基本属性!$B$15&amp;"|"&amp;基本属性!$C$15</f>
        <v>110|5</v>
      </c>
      <c r="B3740" s="10" t="str">
        <f>参数调整!$J$33</f>
        <v>统领掉落</v>
      </c>
      <c r="C3740" s="8" t="str">
        <f>材料产出!$X$2</f>
        <v>龍の心</v>
      </c>
      <c r="D3740" s="224">
        <f>参数调整!$K$33*怪物掉落配置方案!$D4766</f>
        <v>0.2233748631100276</v>
      </c>
    </row>
    <row r="3741" spans="1:4" ht="16.5" hidden="1" x14ac:dyDescent="0.3">
      <c r="A3741" s="10" t="str">
        <f>基本属性!$B$16&amp;"|"&amp;基本属性!$C$16</f>
        <v>120|6</v>
      </c>
      <c r="B3741" s="10" t="str">
        <f>参数调整!$J$33</f>
        <v>统领掉落</v>
      </c>
      <c r="C3741" s="8" t="str">
        <f>材料产出!$X$2</f>
        <v>龍の心</v>
      </c>
      <c r="D3741" s="224">
        <f>参数调整!$K$33*怪物掉落配置方案!$D4767</f>
        <v>0.28844894513175046</v>
      </c>
    </row>
    <row r="3742" spans="1:4" ht="16.5" hidden="1" x14ac:dyDescent="0.3">
      <c r="A3742" s="10" t="str">
        <f>基本属性!$B$17&amp;"|"&amp;基本属性!$C$17</f>
        <v>135|7</v>
      </c>
      <c r="B3742" s="10" t="str">
        <f>参数调整!$J$33</f>
        <v>统领掉落</v>
      </c>
      <c r="C3742" s="8" t="str">
        <f>材料产出!$X$2</f>
        <v>龍の心</v>
      </c>
      <c r="D3742" s="224">
        <f>参数调整!$K$33*怪物掉落配置方案!$D4768</f>
        <v>0.41536648098972073</v>
      </c>
    </row>
    <row r="3743" spans="1:4" ht="16.5" hidden="1" x14ac:dyDescent="0.3">
      <c r="A3743" s="10" t="str">
        <f>基本属性!$B$18&amp;"|"&amp;基本属性!$C$18</f>
        <v>155|8</v>
      </c>
      <c r="B3743" s="10" t="str">
        <f>参数调整!$J$33</f>
        <v>统领掉落</v>
      </c>
      <c r="C3743" s="8" t="str">
        <f>材料产出!$X$2</f>
        <v>龍の心</v>
      </c>
      <c r="D3743" s="224">
        <f>参数调整!$K$33*怪物掉落配置方案!$D4769</f>
        <v>0.56535993245823102</v>
      </c>
    </row>
    <row r="3744" spans="1:4" ht="16.5" hidden="1" x14ac:dyDescent="0.3">
      <c r="A3744" s="10" t="str">
        <f>基本属性!$B$19&amp;"|"&amp;基本属性!$C$19</f>
        <v>190|9</v>
      </c>
      <c r="B3744" s="10" t="str">
        <f>参数调整!$J$33</f>
        <v>统领掉落</v>
      </c>
      <c r="C3744" s="8" t="str">
        <f>材料产出!$X$2</f>
        <v>龍の心</v>
      </c>
      <c r="D3744" s="224">
        <f>参数调整!$K$33*怪物掉落配置方案!$D4770</f>
        <v>0.63181856941658632</v>
      </c>
    </row>
    <row r="3745" spans="1:4" ht="16.5" hidden="1" x14ac:dyDescent="0.3">
      <c r="A3745" s="10" t="str">
        <f>基本属性!$B$20&amp;"|"&amp;基本属性!$C$20</f>
        <v>200|10</v>
      </c>
      <c r="B3745" s="10" t="str">
        <f>参数调整!$J$33</f>
        <v>统领掉落</v>
      </c>
      <c r="C3745" s="8" t="str">
        <f>材料产出!$X$2</f>
        <v>龍の心</v>
      </c>
      <c r="D3745" s="224">
        <f>参数调整!$K$33*怪物掉落配置方案!$D4771</f>
        <v>0.7384292995372812</v>
      </c>
    </row>
    <row r="3746" spans="1:4" ht="16.5" hidden="1" x14ac:dyDescent="0.3">
      <c r="A3746" s="10" t="str">
        <f>基本属性!$B$21&amp;"|"&amp;基本属性!$C$21</f>
        <v>200|11</v>
      </c>
      <c r="B3746" s="10" t="str">
        <f>参数调整!$J$33</f>
        <v>统领掉落</v>
      </c>
      <c r="C3746" s="8" t="str">
        <f>材料产出!$X$2</f>
        <v>龍の心</v>
      </c>
      <c r="D3746" s="224">
        <f>参数调整!$K$33*怪物掉落配置方案!$D4772</f>
        <v>0.85334735927777039</v>
      </c>
    </row>
    <row r="3747" spans="1:4" ht="16.5" hidden="1" x14ac:dyDescent="0.3">
      <c r="A3747" s="10" t="str">
        <f>基本属性!$B$22&amp;"|"&amp;基本属性!$C$22</f>
        <v>210|12</v>
      </c>
      <c r="B3747" s="10" t="str">
        <f>参数调整!$J$33</f>
        <v>统领掉落</v>
      </c>
      <c r="C3747" s="8" t="str">
        <f>材料产出!$X$2</f>
        <v>龍の心</v>
      </c>
      <c r="D3747" s="224">
        <f>参数调整!$K$33*怪物掉落配置方案!$D4773</f>
        <v>0.97657274863805421</v>
      </c>
    </row>
    <row r="3748" spans="1:4" ht="16.5" hidden="1" x14ac:dyDescent="0.3">
      <c r="A3748" s="10" t="str">
        <f>基本属性!$B$23&amp;"|"&amp;基本属性!$C$23</f>
        <v>210|13</v>
      </c>
      <c r="B3748" s="10" t="str">
        <f>参数调整!$J$33</f>
        <v>统领掉落</v>
      </c>
      <c r="C3748" s="8" t="str">
        <f>材料产出!$X$2</f>
        <v>龍の心</v>
      </c>
      <c r="D3748" s="224">
        <f>参数调整!$K$33*怪物掉落配置方案!$D4774</f>
        <v>1.1081054676181328</v>
      </c>
    </row>
    <row r="3749" spans="1:4" ht="16.5" hidden="1" x14ac:dyDescent="0.3">
      <c r="A3749" s="10" t="str">
        <f>基本属性!$B$24&amp;"|"&amp;基本属性!$C$24</f>
        <v>220|14</v>
      </c>
      <c r="B3749" s="10" t="str">
        <f>参数调整!$J$33</f>
        <v>统领掉落</v>
      </c>
      <c r="C3749" s="8" t="str">
        <f>材料产出!$X$2</f>
        <v>龍の心</v>
      </c>
      <c r="D3749" s="224">
        <f>参数调整!$K$33*怪物掉落配置方案!$D4775</f>
        <v>1.2479455162180053</v>
      </c>
    </row>
    <row r="3750" spans="1:4" ht="16.5" hidden="1" x14ac:dyDescent="0.3">
      <c r="A3750" s="10" t="str">
        <f>基本属性!$B$25&amp;"|"&amp;基本属性!$C$25</f>
        <v>220|15</v>
      </c>
      <c r="B3750" s="10" t="str">
        <f>参数调整!$J$33</f>
        <v>统领掉落</v>
      </c>
      <c r="C3750" s="8" t="str">
        <f>材料产出!$X$2</f>
        <v>龍の心</v>
      </c>
      <c r="D3750" s="224">
        <f>参数调整!$K$33*怪物掉落配置方案!$D4776</f>
        <v>1.3960928944376723</v>
      </c>
    </row>
    <row r="3751" spans="1:4" ht="16.5" hidden="1" x14ac:dyDescent="0.3">
      <c r="A3751" s="10" t="str">
        <f>基本属性!$B$26&amp;"|"&amp;基本属性!$C$26</f>
        <v>230|16</v>
      </c>
      <c r="B3751" s="10" t="str">
        <f>参数调整!$J$33</f>
        <v>统领掉落</v>
      </c>
      <c r="C3751" s="8" t="str">
        <f>材料产出!$X$2</f>
        <v>龍の心</v>
      </c>
      <c r="D3751" s="224">
        <f>参数调整!$K$33*怪物掉落配置方案!$D4777</f>
        <v>1.5525476022771336</v>
      </c>
    </row>
    <row r="3752" spans="1:4" ht="16.5" hidden="1" x14ac:dyDescent="0.3">
      <c r="A3752" s="10" t="str">
        <f>基本属性!$B$27&amp;"|"&amp;基本属性!$C$27</f>
        <v>230|17</v>
      </c>
      <c r="B3752" s="10" t="str">
        <f>参数调整!$J$33</f>
        <v>统领掉落</v>
      </c>
      <c r="C3752" s="8" t="str">
        <f>材料产出!$X$2</f>
        <v>龍の心</v>
      </c>
      <c r="D3752" s="224">
        <f>参数调整!$K$33*怪物掉落配置方案!$D4778</f>
        <v>1.7173096397363894</v>
      </c>
    </row>
    <row r="3753" spans="1:4" ht="16.5" hidden="1" x14ac:dyDescent="0.3">
      <c r="A3753" s="10" t="str">
        <f>基本属性!$B$28&amp;"|"&amp;基本属性!$C$28</f>
        <v>240|18</v>
      </c>
      <c r="B3753" s="10" t="str">
        <f>参数调整!$J$33</f>
        <v>统领掉落</v>
      </c>
      <c r="C3753" s="8" t="str">
        <f>材料产出!$X$2</f>
        <v>龍の心</v>
      </c>
      <c r="D3753" s="224">
        <f>参数调整!$K$33*怪物掉落配置方案!$D4779</f>
        <v>1.8903790068154402</v>
      </c>
    </row>
    <row r="3754" spans="1:4" ht="16.5" hidden="1" x14ac:dyDescent="0.3">
      <c r="A3754" s="10" t="str">
        <f>基本属性!$B$29&amp;"|"&amp;基本属性!$C$29</f>
        <v>240|19</v>
      </c>
      <c r="B3754" s="10" t="str">
        <f>参数调整!$J$33</f>
        <v>统领掉落</v>
      </c>
      <c r="C3754" s="8" t="str">
        <f>材料产出!$X$2</f>
        <v>龍の心</v>
      </c>
      <c r="D3754" s="224">
        <f>参数调整!$K$33*怪物掉落配置方案!$D4780</f>
        <v>2.0717557035142846</v>
      </c>
    </row>
    <row r="3755" spans="1:4" ht="16.5" hidden="1" x14ac:dyDescent="0.3">
      <c r="A3755" s="10" t="str">
        <f>基本属性!$B$30&amp;"|"&amp;基本属性!$C$30</f>
        <v>250|20</v>
      </c>
      <c r="B3755" s="10" t="str">
        <f>参数调整!$J$33</f>
        <v>统领掉落</v>
      </c>
      <c r="C3755" s="8" t="str">
        <f>材料产出!$X$2</f>
        <v>龍の心</v>
      </c>
      <c r="D3755" s="224">
        <f>参数调整!$K$33*怪物掉落配置方案!$D4781</f>
        <v>2.2614397298329236</v>
      </c>
    </row>
    <row r="3756" spans="1:4" ht="16.5" hidden="1" x14ac:dyDescent="0.3">
      <c r="A3756" s="10" t="str">
        <f>基本属性!$B$4&amp;"|"&amp;基本属性!$C$4</f>
        <v>35|0</v>
      </c>
      <c r="B3756" s="10" t="str">
        <f>参数调整!$J$33</f>
        <v>统领掉落</v>
      </c>
      <c r="C3756" s="8" t="str">
        <f>材料产出!$V$2</f>
        <v>龍の魄</v>
      </c>
      <c r="D3756" s="224">
        <f>参数调整!$K$33*怪物掉落配置方案!$D4782</f>
        <v>2.9537171981491247E-2</v>
      </c>
    </row>
    <row r="3757" spans="1:4" ht="16.5" hidden="1" x14ac:dyDescent="0.3">
      <c r="A3757" s="10" t="str">
        <f>基本属性!$B$5&amp;"|"&amp;基本属性!$C$5</f>
        <v>40|0</v>
      </c>
      <c r="B3757" s="10" t="str">
        <f>参数调整!$J$33</f>
        <v>统领掉落</v>
      </c>
      <c r="C3757" s="8" t="str">
        <f>材料产出!$V$2</f>
        <v>龍の魄</v>
      </c>
      <c r="D3757" s="224">
        <f>参数调整!$K$33*怪物掉落配置方案!$D4783</f>
        <v>3.7382983289074863E-2</v>
      </c>
    </row>
    <row r="3758" spans="1:4" ht="16.5" hidden="1" x14ac:dyDescent="0.3">
      <c r="A3758" s="10" t="str">
        <f>基本属性!$B$6&amp;"|"&amp;基本属性!$C$6</f>
        <v>50|0</v>
      </c>
      <c r="B3758" s="10" t="str">
        <f>参数调整!$J$33</f>
        <v>统领掉落</v>
      </c>
      <c r="C3758" s="8" t="str">
        <f>材料产出!$V$2</f>
        <v>龍の魄</v>
      </c>
      <c r="D3758" s="224">
        <f>参数调整!$K$33*怪物掉落配置方案!$D4784</f>
        <v>4.6151831221080075E-2</v>
      </c>
    </row>
    <row r="3759" spans="1:4" ht="16.5" hidden="1" x14ac:dyDescent="0.3">
      <c r="A3759" s="10" t="str">
        <f>基本属性!$B$7&amp;"|"&amp;基本属性!$C$7</f>
        <v>60|0</v>
      </c>
      <c r="B3759" s="10" t="str">
        <f>参数调整!$J$33</f>
        <v>统领掉落</v>
      </c>
      <c r="C3759" s="8" t="str">
        <f>材料产出!$V$2</f>
        <v>龍の魄</v>
      </c>
      <c r="D3759" s="224">
        <f>参数调整!$K$33*怪物掉落配置方案!$D4785</f>
        <v>5.5843715777506901E-2</v>
      </c>
    </row>
    <row r="3760" spans="1:4" ht="16.5" hidden="1" x14ac:dyDescent="0.3">
      <c r="A3760" s="10" t="str">
        <f>基本属性!$B$8&amp;"|"&amp;基本属性!$C$8</f>
        <v>65|0</v>
      </c>
      <c r="B3760" s="10" t="str">
        <f>参数调整!$J$33</f>
        <v>统领掉落</v>
      </c>
      <c r="C3760" s="8" t="str">
        <f>材料产出!$V$2</f>
        <v>龍の魄</v>
      </c>
      <c r="D3760" s="224">
        <f>参数调整!$K$33*怪物掉落配置方案!$D4786</f>
        <v>6.6458636958355313E-2</v>
      </c>
    </row>
    <row r="3761" spans="1:4" ht="16.5" hidden="1" x14ac:dyDescent="0.3">
      <c r="A3761" s="10" t="str">
        <f>基本属性!$B$9&amp;"|"&amp;基本属性!$C$9</f>
        <v>70|0</v>
      </c>
      <c r="B3761" s="10" t="str">
        <f>参数调整!$J$33</f>
        <v>统领掉落</v>
      </c>
      <c r="C3761" s="8" t="str">
        <f>材料产出!$V$2</f>
        <v>龍の魄</v>
      </c>
      <c r="D3761" s="224">
        <f>参数调整!$K$33*怪物掉落配置方案!$D4787</f>
        <v>7.7996594763625332E-2</v>
      </c>
    </row>
    <row r="3762" spans="1:4" ht="16.5" hidden="1" x14ac:dyDescent="0.3">
      <c r="A3762" s="10" t="str">
        <f>基本属性!$B$10&amp;"|"&amp;基本属性!$C$10</f>
        <v>75|0</v>
      </c>
      <c r="B3762" s="10" t="str">
        <f>参数调整!$J$33</f>
        <v>统领掉落</v>
      </c>
      <c r="C3762" s="8" t="str">
        <f>材料产出!$V$2</f>
        <v>龍の魄</v>
      </c>
      <c r="D3762" s="224">
        <f>参数调整!$K$33*怪物掉落配置方案!$D4788</f>
        <v>9.0457589193316937E-2</v>
      </c>
    </row>
    <row r="3763" spans="1:4" ht="16.5" hidden="1" x14ac:dyDescent="0.3">
      <c r="A3763" s="10" t="str">
        <f>基本属性!$B$11&amp;"|"&amp;基本属性!$C$11</f>
        <v>80|1</v>
      </c>
      <c r="B3763" s="10" t="str">
        <f>参数调整!$J$33</f>
        <v>统领掉落</v>
      </c>
      <c r="C3763" s="8" t="str">
        <f>材料产出!$V$2</f>
        <v>龍の魄</v>
      </c>
      <c r="D3763" s="224">
        <f>参数调整!$K$33*怪物掉落配置方案!$D4789</f>
        <v>0.10384162024743018</v>
      </c>
    </row>
    <row r="3764" spans="1:4" ht="16.5" hidden="1" x14ac:dyDescent="0.3">
      <c r="A3764" s="10" t="str">
        <f>基本属性!$B$12&amp;"|"&amp;基本属性!$C$12</f>
        <v>90|2</v>
      </c>
      <c r="B3764" s="10" t="str">
        <f>参数调整!$J$33</f>
        <v>统领掉落</v>
      </c>
      <c r="C3764" s="8" t="str">
        <f>材料产出!$V$2</f>
        <v>龍の魄</v>
      </c>
      <c r="D3764" s="224">
        <f>参数调整!$K$33*怪物掉落配置方案!$D4790</f>
        <v>0.11814868792596502</v>
      </c>
    </row>
    <row r="3765" spans="1:4" ht="16.5" hidden="1" x14ac:dyDescent="0.3">
      <c r="A3765" s="10" t="str">
        <f>基本属性!$B$13&amp;"|"&amp;基本属性!$C$13</f>
        <v>100|3</v>
      </c>
      <c r="B3765" s="10" t="str">
        <f>参数调整!$J$33</f>
        <v>统领掉落</v>
      </c>
      <c r="C3765" s="8" t="str">
        <f>材料产出!$V$2</f>
        <v>龍の魄</v>
      </c>
      <c r="D3765" s="224">
        <f>参数调整!$K$33*怪物掉落配置方案!$D4791</f>
        <v>0.14953193315629948</v>
      </c>
    </row>
    <row r="3766" spans="1:4" ht="16.5" hidden="1" x14ac:dyDescent="0.3">
      <c r="A3766" s="10" t="str">
        <f>基本属性!$B$14&amp;"|"&amp;基本属性!$C$14</f>
        <v>105|4</v>
      </c>
      <c r="B3766" s="10" t="str">
        <f>参数调整!$J$33</f>
        <v>统领掉落</v>
      </c>
      <c r="C3766" s="8" t="str">
        <f>材料产出!$V$2</f>
        <v>龍の魄</v>
      </c>
      <c r="D3766" s="224">
        <f>参数调整!$K$33*怪物掉落配置方案!$D4792</f>
        <v>0.1846073248843203</v>
      </c>
    </row>
    <row r="3767" spans="1:4" ht="16.5" hidden="1" x14ac:dyDescent="0.3">
      <c r="A3767" s="10" t="str">
        <f>基本属性!$B$15&amp;"|"&amp;基本属性!$C$15</f>
        <v>110|5</v>
      </c>
      <c r="B3767" s="10" t="str">
        <f>参数调整!$J$33</f>
        <v>统领掉落</v>
      </c>
      <c r="C3767" s="8" t="str">
        <f>材料产出!$V$2</f>
        <v>龍の魄</v>
      </c>
      <c r="D3767" s="224">
        <f>参数调整!$K$33*怪物掉落配置方案!$D4793</f>
        <v>0.2233748631100276</v>
      </c>
    </row>
    <row r="3768" spans="1:4" ht="16.5" hidden="1" x14ac:dyDescent="0.3">
      <c r="A3768" s="10" t="str">
        <f>基本属性!$B$16&amp;"|"&amp;基本属性!$C$16</f>
        <v>120|6</v>
      </c>
      <c r="B3768" s="10" t="str">
        <f>参数调整!$J$33</f>
        <v>统领掉落</v>
      </c>
      <c r="C3768" s="8" t="str">
        <f>材料产出!$V$2</f>
        <v>龍の魄</v>
      </c>
      <c r="D3768" s="224">
        <f>参数调整!$K$33*怪物掉落配置方案!$D4794</f>
        <v>0.28844894513175046</v>
      </c>
    </row>
    <row r="3769" spans="1:4" ht="16.5" hidden="1" x14ac:dyDescent="0.3">
      <c r="A3769" s="10" t="str">
        <f>基本属性!$B$17&amp;"|"&amp;基本属性!$C$17</f>
        <v>135|7</v>
      </c>
      <c r="B3769" s="10" t="str">
        <f>参数调整!$J$33</f>
        <v>统领掉落</v>
      </c>
      <c r="C3769" s="8" t="str">
        <f>材料产出!$V$2</f>
        <v>龍の魄</v>
      </c>
      <c r="D3769" s="224">
        <f>参数调整!$K$33*怪物掉落配置方案!$D4795</f>
        <v>0.41536648098972073</v>
      </c>
    </row>
    <row r="3770" spans="1:4" ht="16.5" hidden="1" x14ac:dyDescent="0.3">
      <c r="A3770" s="10" t="str">
        <f>基本属性!$B$18&amp;"|"&amp;基本属性!$C$18</f>
        <v>155|8</v>
      </c>
      <c r="B3770" s="10" t="str">
        <f>参数调整!$J$33</f>
        <v>统领掉落</v>
      </c>
      <c r="C3770" s="8" t="str">
        <f>材料产出!$V$2</f>
        <v>龍の魄</v>
      </c>
      <c r="D3770" s="224">
        <f>参数调整!$K$33*怪物掉落配置方案!$D4796</f>
        <v>0.56535993245823102</v>
      </c>
    </row>
    <row r="3771" spans="1:4" ht="16.5" hidden="1" x14ac:dyDescent="0.3">
      <c r="A3771" s="10" t="str">
        <f>基本属性!$B$19&amp;"|"&amp;基本属性!$C$19</f>
        <v>190|9</v>
      </c>
      <c r="B3771" s="10" t="str">
        <f>参数调整!$J$33</f>
        <v>统领掉落</v>
      </c>
      <c r="C3771" s="8" t="str">
        <f>材料产出!$V$2</f>
        <v>龍の魄</v>
      </c>
      <c r="D3771" s="224">
        <f>参数调整!$K$33*怪物掉落配置方案!$D4797</f>
        <v>0.63181856941658632</v>
      </c>
    </row>
    <row r="3772" spans="1:4" ht="16.5" hidden="1" x14ac:dyDescent="0.3">
      <c r="A3772" s="10" t="str">
        <f>基本属性!$B$20&amp;"|"&amp;基本属性!$C$20</f>
        <v>200|10</v>
      </c>
      <c r="B3772" s="10" t="str">
        <f>参数调整!$J$33</f>
        <v>统领掉落</v>
      </c>
      <c r="C3772" s="8" t="str">
        <f>材料产出!$V$2</f>
        <v>龍の魄</v>
      </c>
      <c r="D3772" s="224">
        <f>参数调整!$K$33*怪物掉落配置方案!$D4798</f>
        <v>0.7384292995372812</v>
      </c>
    </row>
    <row r="3773" spans="1:4" ht="16.5" hidden="1" x14ac:dyDescent="0.3">
      <c r="A3773" s="10" t="str">
        <f>基本属性!$B$21&amp;"|"&amp;基本属性!$C$21</f>
        <v>200|11</v>
      </c>
      <c r="B3773" s="10" t="str">
        <f>参数调整!$J$33</f>
        <v>统领掉落</v>
      </c>
      <c r="C3773" s="8" t="str">
        <f>材料产出!$V$2</f>
        <v>龍の魄</v>
      </c>
      <c r="D3773" s="224">
        <f>参数调整!$K$33*怪物掉落配置方案!$D4799</f>
        <v>0.85334735927777039</v>
      </c>
    </row>
    <row r="3774" spans="1:4" ht="16.5" hidden="1" x14ac:dyDescent="0.3">
      <c r="A3774" s="10" t="str">
        <f>基本属性!$B$22&amp;"|"&amp;基本属性!$C$22</f>
        <v>210|12</v>
      </c>
      <c r="B3774" s="10" t="str">
        <f>参数调整!$J$33</f>
        <v>统领掉落</v>
      </c>
      <c r="C3774" s="8" t="str">
        <f>材料产出!$V$2</f>
        <v>龍の魄</v>
      </c>
      <c r="D3774" s="224">
        <f>参数调整!$K$33*怪物掉落配置方案!$D4800</f>
        <v>0.97657274863805421</v>
      </c>
    </row>
    <row r="3775" spans="1:4" ht="16.5" hidden="1" x14ac:dyDescent="0.3">
      <c r="A3775" s="10" t="str">
        <f>基本属性!$B$23&amp;"|"&amp;基本属性!$C$23</f>
        <v>210|13</v>
      </c>
      <c r="B3775" s="10" t="str">
        <f>参数调整!$J$33</f>
        <v>统领掉落</v>
      </c>
      <c r="C3775" s="8" t="str">
        <f>材料产出!$V$2</f>
        <v>龍の魄</v>
      </c>
      <c r="D3775" s="224">
        <f>参数调整!$K$33*怪物掉落配置方案!$D4801</f>
        <v>1.1081054676181328</v>
      </c>
    </row>
    <row r="3776" spans="1:4" ht="16.5" hidden="1" x14ac:dyDescent="0.3">
      <c r="A3776" s="10" t="str">
        <f>基本属性!$B$24&amp;"|"&amp;基本属性!$C$24</f>
        <v>220|14</v>
      </c>
      <c r="B3776" s="10" t="str">
        <f>参数调整!$J$33</f>
        <v>统领掉落</v>
      </c>
      <c r="C3776" s="8" t="str">
        <f>材料产出!$V$2</f>
        <v>龍の魄</v>
      </c>
      <c r="D3776" s="224">
        <f>参数调整!$K$33*怪物掉落配置方案!$D4802</f>
        <v>1.2479455162180053</v>
      </c>
    </row>
    <row r="3777" spans="1:4" ht="16.5" hidden="1" x14ac:dyDescent="0.3">
      <c r="A3777" s="10" t="str">
        <f>基本属性!$B$25&amp;"|"&amp;基本属性!$C$25</f>
        <v>220|15</v>
      </c>
      <c r="B3777" s="10" t="str">
        <f>参数调整!$J$33</f>
        <v>统领掉落</v>
      </c>
      <c r="C3777" s="8" t="str">
        <f>材料产出!$V$2</f>
        <v>龍の魄</v>
      </c>
      <c r="D3777" s="224">
        <f>参数调整!$K$33*怪物掉落配置方案!$D4803</f>
        <v>1.3960928944376723</v>
      </c>
    </row>
    <row r="3778" spans="1:4" ht="16.5" hidden="1" x14ac:dyDescent="0.3">
      <c r="A3778" s="10" t="str">
        <f>基本属性!$B$26&amp;"|"&amp;基本属性!$C$26</f>
        <v>230|16</v>
      </c>
      <c r="B3778" s="10" t="str">
        <f>参数调整!$J$33</f>
        <v>统领掉落</v>
      </c>
      <c r="C3778" s="8" t="str">
        <f>材料产出!$V$2</f>
        <v>龍の魄</v>
      </c>
      <c r="D3778" s="224">
        <f>参数调整!$K$33*怪物掉落配置方案!$D4804</f>
        <v>1.5525476022771336</v>
      </c>
    </row>
    <row r="3779" spans="1:4" ht="16.5" hidden="1" x14ac:dyDescent="0.3">
      <c r="A3779" s="10" t="str">
        <f>基本属性!$B$27&amp;"|"&amp;基本属性!$C$27</f>
        <v>230|17</v>
      </c>
      <c r="B3779" s="10" t="str">
        <f>参数调整!$J$33</f>
        <v>统领掉落</v>
      </c>
      <c r="C3779" s="8" t="str">
        <f>材料产出!$V$2</f>
        <v>龍の魄</v>
      </c>
      <c r="D3779" s="224">
        <f>参数调整!$K$33*怪物掉落配置方案!$D4805</f>
        <v>1.7173096397363894</v>
      </c>
    </row>
    <row r="3780" spans="1:4" ht="16.5" hidden="1" x14ac:dyDescent="0.3">
      <c r="A3780" s="10" t="str">
        <f>基本属性!$B$28&amp;"|"&amp;基本属性!$C$28</f>
        <v>240|18</v>
      </c>
      <c r="B3780" s="10" t="str">
        <f>参数调整!$J$33</f>
        <v>统领掉落</v>
      </c>
      <c r="C3780" s="8" t="str">
        <f>材料产出!$V$2</f>
        <v>龍の魄</v>
      </c>
      <c r="D3780" s="224">
        <f>参数调整!$K$33*怪物掉落配置方案!$D4806</f>
        <v>1.8903790068154402</v>
      </c>
    </row>
    <row r="3781" spans="1:4" ht="16.5" hidden="1" x14ac:dyDescent="0.3">
      <c r="A3781" s="10" t="str">
        <f>基本属性!$B$29&amp;"|"&amp;基本属性!$C$29</f>
        <v>240|19</v>
      </c>
      <c r="B3781" s="10" t="str">
        <f>参数调整!$J$33</f>
        <v>统领掉落</v>
      </c>
      <c r="C3781" s="8" t="str">
        <f>材料产出!$V$2</f>
        <v>龍の魄</v>
      </c>
      <c r="D3781" s="224">
        <f>参数调整!$K$33*怪物掉落配置方案!$D4807</f>
        <v>2.0717557035142846</v>
      </c>
    </row>
    <row r="3782" spans="1:4" ht="16.5" hidden="1" x14ac:dyDescent="0.3">
      <c r="A3782" s="10" t="str">
        <f>基本属性!$B$30&amp;"|"&amp;基本属性!$C$30</f>
        <v>250|20</v>
      </c>
      <c r="B3782" s="10" t="str">
        <f>参数调整!$J$33</f>
        <v>统领掉落</v>
      </c>
      <c r="C3782" s="8" t="str">
        <f>材料产出!$V$2</f>
        <v>龍の魄</v>
      </c>
      <c r="D3782" s="224">
        <f>参数调整!$K$33*怪物掉落配置方案!$D4808</f>
        <v>2.2614397298329236</v>
      </c>
    </row>
    <row r="3783" spans="1:4" ht="16.5" hidden="1" x14ac:dyDescent="0.3">
      <c r="A3783" s="10" t="str">
        <f>基本属性!$B$4&amp;"|"&amp;基本属性!$C$4</f>
        <v>35|0</v>
      </c>
      <c r="B3783" s="10" t="str">
        <f>参数调整!$J$33</f>
        <v>统领掉落</v>
      </c>
      <c r="C3783" s="8" t="str">
        <f>材料产出!$AB$2</f>
        <v>龙晶碎片</v>
      </c>
      <c r="D3783" s="224">
        <f>参数调整!$K$33*怪物掉落配置方案!$D4809</f>
        <v>0.75715660941379137</v>
      </c>
    </row>
    <row r="3784" spans="1:4" ht="16.5" hidden="1" x14ac:dyDescent="0.3">
      <c r="A3784" s="10" t="str">
        <f>基本属性!$B$5&amp;"|"&amp;基本属性!$C$5</f>
        <v>40|0</v>
      </c>
      <c r="B3784" s="10" t="str">
        <f>参数调整!$J$33</f>
        <v>统领掉落</v>
      </c>
      <c r="C3784" s="8" t="str">
        <f>材料产出!$AB$2</f>
        <v>龙晶碎片</v>
      </c>
      <c r="D3784" s="224">
        <f>参数调整!$K$33*怪物掉落配置方案!$D4810</f>
        <v>0.95827633378932975</v>
      </c>
    </row>
    <row r="3785" spans="1:4" ht="16.5" hidden="1" x14ac:dyDescent="0.3">
      <c r="A3785" s="10" t="str">
        <f>基本属性!$B$6&amp;"|"&amp;基本属性!$C$6</f>
        <v>50|0</v>
      </c>
      <c r="B3785" s="10" t="str">
        <f>参数调整!$J$33</f>
        <v>统领掉落</v>
      </c>
      <c r="C3785" s="8" t="str">
        <f>材料产出!$AB$2</f>
        <v>龙晶碎片</v>
      </c>
      <c r="D3785" s="224">
        <f>参数调整!$K$33*怪物掉落配置方案!$D4811</f>
        <v>1.1830572022090491</v>
      </c>
    </row>
    <row r="3786" spans="1:4" ht="16.5" hidden="1" x14ac:dyDescent="0.3">
      <c r="A3786" s="10" t="str">
        <f>基本属性!$B$7&amp;"|"&amp;基本属性!$C$7</f>
        <v>60|0</v>
      </c>
      <c r="B3786" s="10" t="str">
        <f>参数调整!$J$33</f>
        <v>统领掉落</v>
      </c>
      <c r="C3786" s="8" t="str">
        <f>材料产出!$AB$2</f>
        <v>龙晶碎片</v>
      </c>
      <c r="D3786" s="224">
        <f>参数调整!$K$33*怪物掉落配置方案!$D4812</f>
        <v>1.4314992146729495</v>
      </c>
    </row>
    <row r="3787" spans="1:4" ht="16.5" hidden="1" x14ac:dyDescent="0.3">
      <c r="A3787" s="10" t="str">
        <f>基本属性!$B$8&amp;"|"&amp;基本属性!$C$8</f>
        <v>65|0</v>
      </c>
      <c r="B3787" s="10" t="str">
        <f>参数调整!$J$33</f>
        <v>统领掉落</v>
      </c>
      <c r="C3787" s="8" t="str">
        <f>材料产出!$AB$2</f>
        <v>龙晶碎片</v>
      </c>
      <c r="D3787" s="224">
        <f>参数调整!$K$33*怪物掉落配置方案!$D4813</f>
        <v>1.7036023711810306</v>
      </c>
    </row>
    <row r="3788" spans="1:4" ht="16.5" hidden="1" x14ac:dyDescent="0.3">
      <c r="A3788" s="10" t="str">
        <f>基本属性!$B$9&amp;"|"&amp;基本属性!$C$9</f>
        <v>70|0</v>
      </c>
      <c r="B3788" s="10" t="str">
        <f>参数调整!$J$33</f>
        <v>统领掉落</v>
      </c>
      <c r="C3788" s="8" t="str">
        <f>材料产出!$AB$2</f>
        <v>龙晶碎片</v>
      </c>
      <c r="D3788" s="224">
        <f>参数调整!$K$33*怪物掉落配置方案!$D4814</f>
        <v>1.9993666717332925</v>
      </c>
    </row>
    <row r="3789" spans="1:4" ht="16.5" hidden="1" x14ac:dyDescent="0.3">
      <c r="A3789" s="10" t="str">
        <f>基本属性!$B$10&amp;"|"&amp;基本属性!$C$10</f>
        <v>75|0</v>
      </c>
      <c r="B3789" s="10" t="str">
        <f>参数调整!$J$33</f>
        <v>统领掉落</v>
      </c>
      <c r="C3789" s="8" t="str">
        <f>材料产出!$AB$2</f>
        <v>龙晶碎片</v>
      </c>
      <c r="D3789" s="224">
        <f>参数调整!$K$33*怪物掉落配置方案!$D4815</f>
        <v>2.3187921163297354</v>
      </c>
    </row>
    <row r="3790" spans="1:4" ht="16.5" hidden="1" x14ac:dyDescent="0.3">
      <c r="A3790" s="10" t="str">
        <f>基本属性!$B$11&amp;"|"&amp;基本属性!$C$11</f>
        <v>80|1</v>
      </c>
      <c r="B3790" s="10" t="str">
        <f>参数调整!$J$33</f>
        <v>统领掉落</v>
      </c>
      <c r="C3790" s="8" t="str">
        <f>材料产出!$AB$2</f>
        <v>龙晶碎片</v>
      </c>
      <c r="D3790" s="224">
        <f>参数调整!$K$33*怪物掉落配置方案!$D4816</f>
        <v>2.6618787049703601</v>
      </c>
    </row>
    <row r="3791" spans="1:4" ht="16.5" hidden="1" x14ac:dyDescent="0.3">
      <c r="A3791" s="10" t="str">
        <f>基本属性!$B$12&amp;"|"&amp;基本属性!$C$12</f>
        <v>90|2</v>
      </c>
      <c r="B3791" s="10" t="str">
        <f>参数调整!$J$33</f>
        <v>统领掉落</v>
      </c>
      <c r="C3791" s="8" t="str">
        <f>材料产出!$AB$2</f>
        <v>龙晶碎片</v>
      </c>
      <c r="D3791" s="224">
        <f>参数调整!$K$33*怪物掉落配置方案!$D4817</f>
        <v>3.0286264376551659</v>
      </c>
    </row>
    <row r="3792" spans="1:4" ht="16.5" hidden="1" x14ac:dyDescent="0.3">
      <c r="A3792" s="10" t="str">
        <f>基本属性!$B$13&amp;"|"&amp;基本属性!$C$13</f>
        <v>100|3</v>
      </c>
      <c r="B3792" s="10" t="str">
        <f>参数调整!$J$33</f>
        <v>统领掉落</v>
      </c>
      <c r="C3792" s="8" t="str">
        <f>材料产出!$AB$2</f>
        <v>龙晶碎片</v>
      </c>
      <c r="D3792" s="224">
        <f>参数调整!$K$33*怪物掉落配置方案!$D4818</f>
        <v>3.833105335157319</v>
      </c>
    </row>
    <row r="3793" spans="1:4" ht="16.5" hidden="1" x14ac:dyDescent="0.3">
      <c r="A3793" s="10" t="str">
        <f>基本属性!$B$14&amp;"|"&amp;基本属性!$C$14</f>
        <v>105|4</v>
      </c>
      <c r="B3793" s="10" t="str">
        <f>参数调整!$J$33</f>
        <v>统领掉落</v>
      </c>
      <c r="C3793" s="8" t="str">
        <f>材料产出!$AB$2</f>
        <v>龙晶碎片</v>
      </c>
      <c r="D3793" s="224">
        <f>参数调整!$K$33*怪物掉落配置方案!$D4819</f>
        <v>4.7322288088361963</v>
      </c>
    </row>
    <row r="3794" spans="1:4" ht="16.5" hidden="1" x14ac:dyDescent="0.3">
      <c r="A3794" s="10" t="str">
        <f>基本属性!$B$15&amp;"|"&amp;基本属性!$C$15</f>
        <v>110|5</v>
      </c>
      <c r="B3794" s="10" t="str">
        <f>参数调整!$J$33</f>
        <v>统领掉落</v>
      </c>
      <c r="C3794" s="8" t="str">
        <f>材料产出!$AB$2</f>
        <v>龙晶碎片</v>
      </c>
      <c r="D3794" s="224">
        <f>参数调整!$K$33*怪物掉落配置方案!$D4820</f>
        <v>5.7259968586917989</v>
      </c>
    </row>
    <row r="3795" spans="1:4" ht="16.5" hidden="1" x14ac:dyDescent="0.3">
      <c r="A3795" s="10" t="str">
        <f>基本属性!$B$16&amp;"|"&amp;基本属性!$C$16</f>
        <v>120|6</v>
      </c>
      <c r="B3795" s="10" t="str">
        <f>参数调整!$J$33</f>
        <v>统领掉落</v>
      </c>
      <c r="C3795" s="8" t="str">
        <f>材料产出!$AB$2</f>
        <v>龙晶碎片</v>
      </c>
      <c r="D3795" s="224">
        <f>参数调整!$K$33*怪物掉落配置方案!$D4821</f>
        <v>7.3941075138065555</v>
      </c>
    </row>
    <row r="3796" spans="1:4" ht="16.5" hidden="1" x14ac:dyDescent="0.3">
      <c r="A3796" s="10" t="str">
        <f>基本属性!$B$17&amp;"|"&amp;基本属性!$C$17</f>
        <v>135|7</v>
      </c>
      <c r="B3796" s="10" t="str">
        <f>参数调整!$J$33</f>
        <v>统领掉落</v>
      </c>
      <c r="C3796" s="8" t="str">
        <f>材料产出!$AB$2</f>
        <v>龙晶碎片</v>
      </c>
      <c r="D3796" s="224">
        <f>参数调整!$K$33*怪物掉落配置方案!$D4822</f>
        <v>10.64751481988144</v>
      </c>
    </row>
    <row r="3797" spans="1:4" ht="16.5" hidden="1" x14ac:dyDescent="0.3">
      <c r="A3797" s="10" t="str">
        <f>基本属性!$B$18&amp;"|"&amp;基本属性!$C$18</f>
        <v>155|8</v>
      </c>
      <c r="B3797" s="10" t="str">
        <f>参数调整!$J$33</f>
        <v>统领掉落</v>
      </c>
      <c r="C3797" s="8" t="str">
        <f>材料产出!$AB$2</f>
        <v>龙晶碎片</v>
      </c>
      <c r="D3797" s="224">
        <f>参数调整!$K$33*怪物掉落配置方案!$D4823</f>
        <v>14.492450727060852</v>
      </c>
    </row>
    <row r="3798" spans="1:4" ht="16.5" hidden="1" x14ac:dyDescent="0.3">
      <c r="A3798" s="10" t="str">
        <f>基本属性!$B$19&amp;"|"&amp;基本属性!$C$19</f>
        <v>190|9</v>
      </c>
      <c r="B3798" s="10" t="str">
        <f>参数调整!$J$33</f>
        <v>统领掉落</v>
      </c>
      <c r="C3798" s="8" t="str">
        <f>材料产出!$AB$2</f>
        <v>龙晶碎片</v>
      </c>
      <c r="D3798" s="224">
        <f>参数调整!$K$33*怪物掉落配置方案!$D4824</f>
        <v>16.196053098241883</v>
      </c>
    </row>
    <row r="3799" spans="1:4" ht="16.5" hidden="1" x14ac:dyDescent="0.3">
      <c r="A3799" s="10" t="str">
        <f>基本属性!$B$20&amp;"|"&amp;基本属性!$C$20</f>
        <v>200|10</v>
      </c>
      <c r="B3799" s="10" t="str">
        <f>参数调整!$J$33</f>
        <v>统领掉落</v>
      </c>
      <c r="C3799" s="8" t="str">
        <f>材料产出!$AB$2</f>
        <v>龙晶碎片</v>
      </c>
      <c r="D3799" s="224">
        <f>参数调整!$K$33*怪物掉落配置方案!$D4825</f>
        <v>18.928915235344785</v>
      </c>
    </row>
    <row r="3800" spans="1:4" ht="16.5" hidden="1" x14ac:dyDescent="0.3">
      <c r="A3800" s="10" t="str">
        <f>基本属性!$B$21&amp;"|"&amp;基本属性!$C$21</f>
        <v>200|11</v>
      </c>
      <c r="B3800" s="10" t="str">
        <f>参数调整!$J$33</f>
        <v>统领掉落</v>
      </c>
      <c r="C3800" s="8" t="str">
        <f>材料产出!$AB$2</f>
        <v>龙晶碎片</v>
      </c>
      <c r="D3800" s="224">
        <f>参数调整!$K$33*怪物掉落配置方案!$D4826</f>
        <v>21.87472766884531</v>
      </c>
    </row>
    <row r="3801" spans="1:4" ht="16.5" hidden="1" x14ac:dyDescent="0.3">
      <c r="A3801" s="10" t="str">
        <f>基本属性!$B$22&amp;"|"&amp;基本属性!$C$22</f>
        <v>210|12</v>
      </c>
      <c r="B3801" s="10" t="str">
        <f>参数调整!$J$33</f>
        <v>统领掉落</v>
      </c>
      <c r="C3801" s="8" t="str">
        <f>材料产出!$AB$2</f>
        <v>龙晶碎片</v>
      </c>
      <c r="D3801" s="224">
        <f>参数调整!$K$33*怪物掉落配置方案!$D4827</f>
        <v>25.033490398743474</v>
      </c>
    </row>
    <row r="3802" spans="1:4" ht="16.5" hidden="1" x14ac:dyDescent="0.3">
      <c r="A3802" s="10" t="str">
        <f>基本属性!$B$23&amp;"|"&amp;基本属性!$C$23</f>
        <v>210|13</v>
      </c>
      <c r="B3802" s="10" t="str">
        <f>参数调整!$J$33</f>
        <v>统领掉落</v>
      </c>
      <c r="C3802" s="8" t="str">
        <f>材料产出!$AB$2</f>
        <v>龙晶碎片</v>
      </c>
      <c r="D3802" s="224">
        <f>参数调整!$K$33*怪物掉落配置方案!$D4828</f>
        <v>28.405203425039264</v>
      </c>
    </row>
    <row r="3803" spans="1:4" ht="16.5" hidden="1" x14ac:dyDescent="0.3">
      <c r="A3803" s="10" t="str">
        <f>基本属性!$B$24&amp;"|"&amp;基本属性!$C$24</f>
        <v>220|14</v>
      </c>
      <c r="B3803" s="10" t="str">
        <f>参数调整!$J$33</f>
        <v>统领掉落</v>
      </c>
      <c r="C3803" s="8" t="str">
        <f>材料产出!$AB$2</f>
        <v>龙晶碎片</v>
      </c>
      <c r="D3803" s="224">
        <f>参数调整!$K$33*怪物掉落配置方案!$D4829</f>
        <v>31.989866747732687</v>
      </c>
    </row>
    <row r="3804" spans="1:4" ht="16.5" hidden="1" x14ac:dyDescent="0.3">
      <c r="A3804" s="10" t="str">
        <f>基本属性!$B$25&amp;"|"&amp;基本属性!$C$25</f>
        <v>220|15</v>
      </c>
      <c r="B3804" s="10" t="str">
        <f>参数调整!$J$33</f>
        <v>统领掉落</v>
      </c>
      <c r="C3804" s="8" t="str">
        <f>材料产出!$AB$2</f>
        <v>龙晶碎片</v>
      </c>
      <c r="D3804" s="224">
        <f>参数调整!$K$33*怪物掉落配置方案!$D4830</f>
        <v>35.787480366823729</v>
      </c>
    </row>
    <row r="3805" spans="1:4" ht="16.5" hidden="1" x14ac:dyDescent="0.3">
      <c r="A3805" s="10" t="str">
        <f>基本属性!$B$26&amp;"|"&amp;基本属性!$C$26</f>
        <v>230|16</v>
      </c>
      <c r="B3805" s="10" t="str">
        <f>参数调整!$J$33</f>
        <v>统领掉落</v>
      </c>
      <c r="C3805" s="8" t="str">
        <f>材料产出!$AB$2</f>
        <v>龙晶碎片</v>
      </c>
      <c r="D3805" s="224">
        <f>参数调整!$K$33*怪物掉落配置方案!$D4831</f>
        <v>39.798044282312404</v>
      </c>
    </row>
    <row r="3806" spans="1:4" ht="16.5" hidden="1" x14ac:dyDescent="0.3">
      <c r="A3806" s="10" t="str">
        <f>基本属性!$B$27&amp;"|"&amp;基本属性!$C$27</f>
        <v>230|17</v>
      </c>
      <c r="B3806" s="10" t="str">
        <f>参数调整!$J$33</f>
        <v>统领掉落</v>
      </c>
      <c r="C3806" s="8" t="str">
        <f>材料产出!$AB$2</f>
        <v>龙晶碎片</v>
      </c>
      <c r="D3806" s="224">
        <f>参数调整!$K$33*怪物掉落配置方案!$D4832</f>
        <v>44.021558494198707</v>
      </c>
    </row>
    <row r="3807" spans="1:4" ht="16.5" hidden="1" x14ac:dyDescent="0.3">
      <c r="A3807" s="10" t="str">
        <f>基本属性!$B$28&amp;"|"&amp;基本属性!$C$28</f>
        <v>240|18</v>
      </c>
      <c r="B3807" s="10" t="str">
        <f>参数调整!$J$33</f>
        <v>统领掉落</v>
      </c>
      <c r="C3807" s="8" t="str">
        <f>材料产出!$AB$2</f>
        <v>龙晶碎片</v>
      </c>
      <c r="D3807" s="224">
        <f>参数调整!$K$33*怪物掉落配置方案!$D4833</f>
        <v>48.458023002482655</v>
      </c>
    </row>
    <row r="3808" spans="1:4" ht="16.5" hidden="1" x14ac:dyDescent="0.3">
      <c r="A3808" s="10" t="str">
        <f>基本属性!$B$29&amp;"|"&amp;基本属性!$C$29</f>
        <v>240|19</v>
      </c>
      <c r="B3808" s="10" t="str">
        <f>参数调整!$J$33</f>
        <v>统领掉落</v>
      </c>
      <c r="C3808" s="8" t="str">
        <f>材料产出!$AB$2</f>
        <v>龙晶碎片</v>
      </c>
      <c r="D3808" s="224">
        <f>参数调整!$K$33*怪物掉落配置方案!$D4834</f>
        <v>53.107437807164217</v>
      </c>
    </row>
    <row r="3809" spans="1:4" ht="16.5" hidden="1" x14ac:dyDescent="0.3">
      <c r="A3809" s="10" t="str">
        <f>基本属性!$B$30&amp;"|"&amp;基本属性!$C$30</f>
        <v>250|20</v>
      </c>
      <c r="B3809" s="10" t="str">
        <f>参数调整!$J$33</f>
        <v>统领掉落</v>
      </c>
      <c r="C3809" s="8" t="str">
        <f>材料产出!$AB$2</f>
        <v>龙晶碎片</v>
      </c>
      <c r="D3809" s="224">
        <f>参数调整!$K$33*怪物掉落配置方案!$D4835</f>
        <v>57.969802908243381</v>
      </c>
    </row>
    <row r="3810" spans="1:4" ht="16.5" hidden="1" x14ac:dyDescent="0.3">
      <c r="A3810" s="10" t="str">
        <f>基本属性!$B$4&amp;"|"&amp;基本属性!$C$4</f>
        <v>35|0</v>
      </c>
      <c r="B3810" s="10" t="str">
        <f>参数调整!$J$33</f>
        <v>统领掉落</v>
      </c>
      <c r="C3810" s="8" t="str">
        <f>材料产出!$AX$2</f>
        <v>烈焰玄铁</v>
      </c>
      <c r="D3810" s="224">
        <f>参数调整!$K$33*怪物掉落配置方案!$D4836</f>
        <v>4.4641834646144745E-3</v>
      </c>
    </row>
    <row r="3811" spans="1:4" ht="16.5" hidden="1" x14ac:dyDescent="0.3">
      <c r="A3811" s="10" t="str">
        <f>基本属性!$B$5&amp;"|"&amp;基本属性!$C$5</f>
        <v>40|0</v>
      </c>
      <c r="B3811" s="10" t="str">
        <f>参数调整!$J$33</f>
        <v>统领掉落</v>
      </c>
      <c r="C3811" s="8" t="str">
        <f>材料产出!$AX$2</f>
        <v>烈焰玄铁</v>
      </c>
      <c r="D3811" s="224">
        <f>参数调整!$K$33*怪物掉落配置方案!$D4837</f>
        <v>5.6499821974026936E-3</v>
      </c>
    </row>
    <row r="3812" spans="1:4" ht="16.5" hidden="1" x14ac:dyDescent="0.3">
      <c r="A3812" s="10" t="str">
        <f>基本属性!$B$6&amp;"|"&amp;基本属性!$C$6</f>
        <v>50|0</v>
      </c>
      <c r="B3812" s="10" t="str">
        <f>参数调整!$J$33</f>
        <v>统领掉落</v>
      </c>
      <c r="C3812" s="8" t="str">
        <f>材料产出!$AX$2</f>
        <v>烈焰玄铁</v>
      </c>
      <c r="D3812" s="224">
        <f>参数调整!$K$33*怪物掉落配置方案!$D4838</f>
        <v>6.9752866634601165E-3</v>
      </c>
    </row>
    <row r="3813" spans="1:4" ht="16.5" hidden="1" x14ac:dyDescent="0.3">
      <c r="A3813" s="10" t="str">
        <f>基本属性!$B$7&amp;"|"&amp;基本属性!$C$7</f>
        <v>60|0</v>
      </c>
      <c r="B3813" s="10" t="str">
        <f>参数调整!$J$33</f>
        <v>统领掉落</v>
      </c>
      <c r="C3813" s="8" t="str">
        <f>材料产出!$AX$2</f>
        <v>烈焰玄铁</v>
      </c>
      <c r="D3813" s="224">
        <f>参数调整!$K$33*怪物掉落配置方案!$D4839</f>
        <v>8.4400968627867425E-3</v>
      </c>
    </row>
    <row r="3814" spans="1:4" ht="16.5" hidden="1" x14ac:dyDescent="0.3">
      <c r="A3814" s="10" t="str">
        <f>基本属性!$B$8&amp;"|"&amp;基本属性!$C$8</f>
        <v>65|0</v>
      </c>
      <c r="B3814" s="10" t="str">
        <f>参数调整!$J$33</f>
        <v>统领掉落</v>
      </c>
      <c r="C3814" s="8" t="str">
        <f>材料产出!$AX$2</f>
        <v>烈焰玄铁</v>
      </c>
      <c r="D3814" s="224">
        <f>参数调整!$K$33*怪物掉落配置方案!$D4840</f>
        <v>1.0044412795382568E-2</v>
      </c>
    </row>
    <row r="3815" spans="1:4" ht="16.5" hidden="1" x14ac:dyDescent="0.3">
      <c r="A3815" s="10" t="str">
        <f>基本属性!$B$9&amp;"|"&amp;基本属性!$C$9</f>
        <v>70|0</v>
      </c>
      <c r="B3815" s="10" t="str">
        <f>参数调整!$J$33</f>
        <v>统领掉落</v>
      </c>
      <c r="C3815" s="8" t="str">
        <f>材料产出!$AX$2</f>
        <v>烈焰玄铁</v>
      </c>
      <c r="D3815" s="224">
        <f>参数调整!$K$33*怪物掉落配置方案!$D4841</f>
        <v>1.1788234461247599E-2</v>
      </c>
    </row>
    <row r="3816" spans="1:4" ht="16.5" hidden="1" x14ac:dyDescent="0.3">
      <c r="A3816" s="10" t="str">
        <f>基本属性!$B$10&amp;"|"&amp;基本属性!$C$10</f>
        <v>75|0</v>
      </c>
      <c r="B3816" s="10" t="str">
        <f>参数调整!$J$33</f>
        <v>统领掉落</v>
      </c>
      <c r="C3816" s="8" t="str">
        <f>材料产出!$AX$2</f>
        <v>烈焰玄铁</v>
      </c>
      <c r="D3816" s="224">
        <f>参数调整!$K$33*怪物掉落配置方案!$D4842</f>
        <v>1.3671561860381827E-2</v>
      </c>
    </row>
    <row r="3817" spans="1:4" ht="16.5" hidden="1" x14ac:dyDescent="0.3">
      <c r="A3817" s="10" t="str">
        <f>基本属性!$B$11&amp;"|"&amp;基本属性!$C$11</f>
        <v>80|1</v>
      </c>
      <c r="B3817" s="10" t="str">
        <f>参数调整!$J$33</f>
        <v>统领掉落</v>
      </c>
      <c r="C3817" s="8" t="str">
        <f>材料产出!$AX$2</f>
        <v>烈焰玄铁</v>
      </c>
      <c r="D3817" s="224">
        <f>参数调整!$K$33*怪物掉落配置方案!$D4843</f>
        <v>1.5694394992785264E-2</v>
      </c>
    </row>
    <row r="3818" spans="1:4" ht="16.5" hidden="1" x14ac:dyDescent="0.3">
      <c r="A3818" s="10" t="str">
        <f>基本属性!$B$12&amp;"|"&amp;基本属性!$C$12</f>
        <v>90|2</v>
      </c>
      <c r="B3818" s="10" t="str">
        <f>参数调整!$J$33</f>
        <v>统领掉落</v>
      </c>
      <c r="C3818" s="8" t="str">
        <f>材料产出!$AX$2</f>
        <v>烈焰玄铁</v>
      </c>
      <c r="D3818" s="224">
        <f>参数调整!$K$33*怪物掉落配置方案!$D4844</f>
        <v>1.7856733858457902E-2</v>
      </c>
    </row>
    <row r="3819" spans="1:4" ht="16.5" hidden="1" x14ac:dyDescent="0.3">
      <c r="A3819" s="10" t="str">
        <f>基本属性!$B$13&amp;"|"&amp;基本属性!$C$13</f>
        <v>100|3</v>
      </c>
      <c r="B3819" s="10" t="str">
        <f>参数调整!$J$33</f>
        <v>统领掉落</v>
      </c>
      <c r="C3819" s="8" t="str">
        <f>材料产出!$AX$2</f>
        <v>烈焰玄铁</v>
      </c>
      <c r="D3819" s="224">
        <f>参数调整!$K$33*怪物掉落配置方案!$D4845</f>
        <v>2.2599928789610781E-2</v>
      </c>
    </row>
    <row r="3820" spans="1:4" ht="16.5" hidden="1" x14ac:dyDescent="0.3">
      <c r="A3820" s="10" t="str">
        <f>基本属性!$B$14&amp;"|"&amp;基本属性!$C$14</f>
        <v>105|4</v>
      </c>
      <c r="B3820" s="10" t="str">
        <f>参数调整!$J$33</f>
        <v>统领掉落</v>
      </c>
      <c r="C3820" s="8" t="str">
        <f>材料产出!$AX$2</f>
        <v>烈焰玄铁</v>
      </c>
      <c r="D3820" s="224">
        <f>参数调整!$K$33*怪物掉落配置方案!$D4846</f>
        <v>2.790114665384047E-2</v>
      </c>
    </row>
    <row r="3821" spans="1:4" ht="16.5" hidden="1" x14ac:dyDescent="0.3">
      <c r="A3821" s="10" t="str">
        <f>基本属性!$B$15&amp;"|"&amp;基本属性!$C$15</f>
        <v>110|5</v>
      </c>
      <c r="B3821" s="10" t="str">
        <f>参数调整!$J$33</f>
        <v>统领掉落</v>
      </c>
      <c r="C3821" s="8" t="str">
        <f>材料产出!$AX$2</f>
        <v>烈焰玄铁</v>
      </c>
      <c r="D3821" s="224">
        <f>参数调整!$K$33*怪物掉落配置方案!$D4847</f>
        <v>3.3760387451146977E-2</v>
      </c>
    </row>
    <row r="3822" spans="1:4" ht="16.5" hidden="1" x14ac:dyDescent="0.3">
      <c r="A3822" s="10" t="str">
        <f>基本属性!$B$16&amp;"|"&amp;基本属性!$C$16</f>
        <v>120|6</v>
      </c>
      <c r="B3822" s="10" t="str">
        <f>参数调整!$J$33</f>
        <v>统领掉落</v>
      </c>
      <c r="C3822" s="8" t="str">
        <f>材料产出!$AX$2</f>
        <v>烈焰玄铁</v>
      </c>
      <c r="D3822" s="224">
        <f>参数调整!$K$33*怪物掉落配置方案!$D4848</f>
        <v>4.3595541646625727E-2</v>
      </c>
    </row>
    <row r="3823" spans="1:4" ht="16.5" hidden="1" x14ac:dyDescent="0.3">
      <c r="A3823" s="10" t="str">
        <f>基本属性!$B$17&amp;"|"&amp;基本属性!$C$17</f>
        <v>135|7</v>
      </c>
      <c r="B3823" s="10" t="str">
        <f>参数调整!$J$33</f>
        <v>统领掉落</v>
      </c>
      <c r="C3823" s="8" t="str">
        <f>材料产出!$AX$2</f>
        <v>烈焰玄铁</v>
      </c>
      <c r="D3823" s="224">
        <f>参数调整!$K$33*怪物掉落配置方案!$D4849</f>
        <v>6.2777579971141056E-2</v>
      </c>
    </row>
    <row r="3824" spans="1:4" ht="16.5" hidden="1" x14ac:dyDescent="0.3">
      <c r="A3824" s="10" t="str">
        <f>基本属性!$B$18&amp;"|"&amp;基本属性!$C$18</f>
        <v>155|8</v>
      </c>
      <c r="B3824" s="10" t="str">
        <f>参数调整!$J$33</f>
        <v>统领掉落</v>
      </c>
      <c r="C3824" s="8" t="str">
        <f>材料产出!$AX$2</f>
        <v>烈焰玄铁</v>
      </c>
      <c r="D3824" s="224">
        <f>参数调整!$K$33*怪物掉落配置方案!$D4850</f>
        <v>8.5447261627386445E-2</v>
      </c>
    </row>
    <row r="3825" spans="1:4" ht="16.5" hidden="1" x14ac:dyDescent="0.3">
      <c r="A3825" s="10" t="str">
        <f>基本属性!$B$19&amp;"|"&amp;基本属性!$C$19</f>
        <v>190|9</v>
      </c>
      <c r="B3825" s="10" t="str">
        <f>参数调整!$J$33</f>
        <v>统领掉落</v>
      </c>
      <c r="C3825" s="8" t="str">
        <f>材料产出!$AX$2</f>
        <v>烈焰玄铁</v>
      </c>
      <c r="D3825" s="224">
        <f>参数调整!$K$33*怪物掉落配置方案!$D4851</f>
        <v>9.5491674422769013E-2</v>
      </c>
    </row>
    <row r="3826" spans="1:4" ht="16.5" hidden="1" x14ac:dyDescent="0.3">
      <c r="A3826" s="10" t="str">
        <f>基本属性!$B$20&amp;"|"&amp;基本属性!$C$20</f>
        <v>200|10</v>
      </c>
      <c r="B3826" s="10" t="str">
        <f>参数调整!$J$33</f>
        <v>统领掉落</v>
      </c>
      <c r="C3826" s="8" t="str">
        <f>材料产出!$AX$2</f>
        <v>烈焰玄铁</v>
      </c>
      <c r="D3826" s="224">
        <f>参数调整!$K$33*怪物掉落配置方案!$D4852</f>
        <v>0.11160458661536188</v>
      </c>
    </row>
    <row r="3827" spans="1:4" ht="16.5" hidden="1" x14ac:dyDescent="0.3">
      <c r="A3827" s="10" t="str">
        <f>基本属性!$B$21&amp;"|"&amp;基本属性!$C$21</f>
        <v>200|11</v>
      </c>
      <c r="B3827" s="10" t="str">
        <f>参数调整!$J$33</f>
        <v>统领掉落</v>
      </c>
      <c r="C3827" s="8" t="str">
        <f>材料产出!$AX$2</f>
        <v>烈焰玄铁</v>
      </c>
      <c r="D3827" s="224">
        <f>参数调整!$K$33*怪物掉落配置方案!$D4853</f>
        <v>0.12897305040737753</v>
      </c>
    </row>
    <row r="3828" spans="1:4" ht="16.5" hidden="1" x14ac:dyDescent="0.3">
      <c r="A3828" s="10" t="str">
        <f>基本属性!$B$22&amp;"|"&amp;基本属性!$C$22</f>
        <v>210|12</v>
      </c>
      <c r="B3828" s="10" t="str">
        <f>参数调整!$J$33</f>
        <v>统领掉落</v>
      </c>
      <c r="C3828" s="8" t="str">
        <f>材料产出!$AX$2</f>
        <v>烈焰玄铁</v>
      </c>
      <c r="D3828" s="224">
        <f>参数调整!$K$33*怪物掉落配置方案!$D4854</f>
        <v>0.14759706579881604</v>
      </c>
    </row>
    <row r="3829" spans="1:4" ht="16.5" hidden="1" x14ac:dyDescent="0.3">
      <c r="A3829" s="10" t="str">
        <f>基本属性!$B$23&amp;"|"&amp;基本属性!$C$23</f>
        <v>210|13</v>
      </c>
      <c r="B3829" s="10" t="str">
        <f>参数调整!$J$33</f>
        <v>统领掉落</v>
      </c>
      <c r="C3829" s="8" t="str">
        <f>材料产出!$AX$2</f>
        <v>烈焰玄铁</v>
      </c>
      <c r="D3829" s="224">
        <f>参数调整!$K$33*怪物掉落配置方案!$D4855</f>
        <v>0.16747663278967742</v>
      </c>
    </row>
    <row r="3830" spans="1:4" ht="16.5" hidden="1" x14ac:dyDescent="0.3">
      <c r="A3830" s="10" t="str">
        <f>基本属性!$B$24&amp;"|"&amp;基本属性!$C$24</f>
        <v>220|14</v>
      </c>
      <c r="B3830" s="10" t="str">
        <f>参数调整!$J$33</f>
        <v>统领掉落</v>
      </c>
      <c r="C3830" s="8" t="str">
        <f>材料产出!$AX$2</f>
        <v>烈焰玄铁</v>
      </c>
      <c r="D3830" s="224">
        <f>参数调整!$K$33*怪物掉落配置方案!$D4856</f>
        <v>0.18861175137996156</v>
      </c>
    </row>
    <row r="3831" spans="1:4" ht="16.5" hidden="1" x14ac:dyDescent="0.3">
      <c r="A3831" s="10" t="str">
        <f>基本属性!$B$25&amp;"|"&amp;基本属性!$C$25</f>
        <v>220|15</v>
      </c>
      <c r="B3831" s="10" t="str">
        <f>参数调整!$J$33</f>
        <v>统领掉落</v>
      </c>
      <c r="C3831" s="8" t="str">
        <f>材料产出!$AX$2</f>
        <v>烈焰玄铁</v>
      </c>
      <c r="D3831" s="224">
        <f>参数调整!$K$33*怪物掉落配置方案!$D4857</f>
        <v>0.21100242156966853</v>
      </c>
    </row>
    <row r="3832" spans="1:4" ht="16.5" hidden="1" x14ac:dyDescent="0.3">
      <c r="A3832" s="10" t="str">
        <f>基本属性!$B$26&amp;"|"&amp;基本属性!$C$26</f>
        <v>230|16</v>
      </c>
      <c r="B3832" s="10" t="str">
        <f>参数调整!$J$33</f>
        <v>统领掉落</v>
      </c>
      <c r="C3832" s="8" t="str">
        <f>材料产出!$AX$2</f>
        <v>烈焰玄铁</v>
      </c>
      <c r="D3832" s="224">
        <f>参数调整!$K$33*怪物掉落配置方案!$D4858</f>
        <v>0.23464864335879829</v>
      </c>
    </row>
    <row r="3833" spans="1:4" ht="16.5" hidden="1" x14ac:dyDescent="0.3">
      <c r="A3833" s="10" t="str">
        <f>基本属性!$B$27&amp;"|"&amp;基本属性!$C$27</f>
        <v>230|17</v>
      </c>
      <c r="B3833" s="10" t="str">
        <f>参数调整!$J$33</f>
        <v>统领掉落</v>
      </c>
      <c r="C3833" s="8" t="str">
        <f>材料产出!$AX$2</f>
        <v>烈焰玄铁</v>
      </c>
      <c r="D3833" s="224">
        <f>参数调整!$K$33*怪物掉落配置方案!$D4859</f>
        <v>0.25955041674735085</v>
      </c>
    </row>
    <row r="3834" spans="1:4" ht="16.5" hidden="1" x14ac:dyDescent="0.3">
      <c r="A3834" s="10" t="str">
        <f>基本属性!$B$28&amp;"|"&amp;基本属性!$C$28</f>
        <v>240|18</v>
      </c>
      <c r="B3834" s="10" t="str">
        <f>参数调整!$J$33</f>
        <v>统领掉落</v>
      </c>
      <c r="C3834" s="8" t="str">
        <f>材料产出!$AX$2</f>
        <v>烈焰玄铁</v>
      </c>
      <c r="D3834" s="224">
        <f>参数调整!$K$33*怪物掉落配置方案!$D4860</f>
        <v>0.28570774173532643</v>
      </c>
    </row>
    <row r="3835" spans="1:4" ht="16.5" hidden="1" x14ac:dyDescent="0.3">
      <c r="A3835" s="10" t="str">
        <f>基本属性!$B$29&amp;"|"&amp;基本属性!$C$29</f>
        <v>240|19</v>
      </c>
      <c r="B3835" s="10" t="str">
        <f>参数调整!$J$33</f>
        <v>统领掉落</v>
      </c>
      <c r="C3835" s="8" t="str">
        <f>材料产出!$AX$2</f>
        <v>烈焰玄铁</v>
      </c>
      <c r="D3835" s="224">
        <f>参数调整!$K$33*怪物掉落配置方案!$D4861</f>
        <v>0.31312061832272464</v>
      </c>
    </row>
    <row r="3836" spans="1:4" ht="16.5" hidden="1" x14ac:dyDescent="0.3">
      <c r="A3836" s="10" t="str">
        <f>基本属性!$B$30&amp;"|"&amp;基本属性!$C$30</f>
        <v>250|20</v>
      </c>
      <c r="B3836" s="10" t="str">
        <f>参数调整!$J$33</f>
        <v>统领掉落</v>
      </c>
      <c r="C3836" s="8" t="str">
        <f>材料产出!$AX$2</f>
        <v>烈焰玄铁</v>
      </c>
      <c r="D3836" s="224">
        <f>参数调整!$K$33*怪物掉落配置方案!$D4862</f>
        <v>0.34178904650954567</v>
      </c>
    </row>
    <row r="3837" spans="1:4" ht="16.5" hidden="1" x14ac:dyDescent="0.3">
      <c r="A3837" s="10" t="str">
        <f>基本属性!$B$4&amp;"|"&amp;基本属性!$C$4</f>
        <v>35|0</v>
      </c>
      <c r="B3837" s="10" t="str">
        <f>参数调整!$J$33</f>
        <v>统领掉落</v>
      </c>
      <c r="C3837" s="8" t="str">
        <f>材料产出!$H$2</f>
        <v>经验</v>
      </c>
      <c r="D3837" s="224">
        <f>参数调整!$K$33*怪物掉落配置方案!$D4863</f>
        <v>41650</v>
      </c>
    </row>
    <row r="3838" spans="1:4" ht="16.5" hidden="1" x14ac:dyDescent="0.3">
      <c r="A3838" s="10" t="str">
        <f>基本属性!$B$5&amp;"|"&amp;基本属性!$C$5</f>
        <v>40|0</v>
      </c>
      <c r="B3838" s="10" t="str">
        <f>参数调整!$J$33</f>
        <v>统领掉落</v>
      </c>
      <c r="C3838" s="8" t="str">
        <f>材料产出!$H$2</f>
        <v>经验</v>
      </c>
      <c r="D3838" s="224">
        <f>参数调整!$K$33*怪物掉落配置方案!$D4864</f>
        <v>79850</v>
      </c>
    </row>
    <row r="3839" spans="1:4" ht="16.5" hidden="1" x14ac:dyDescent="0.3">
      <c r="A3839" s="10" t="str">
        <f>基本属性!$B$6&amp;"|"&amp;基本属性!$C$6</f>
        <v>50|0</v>
      </c>
      <c r="B3839" s="10" t="str">
        <f>参数调整!$J$33</f>
        <v>统领掉落</v>
      </c>
      <c r="C3839" s="8" t="str">
        <f>材料产出!$H$2</f>
        <v>经验</v>
      </c>
      <c r="D3839" s="224">
        <f>参数调整!$K$33*怪物掉落配置方案!$D4865</f>
        <v>216650</v>
      </c>
    </row>
    <row r="3840" spans="1:4" ht="16.5" hidden="1" x14ac:dyDescent="0.3">
      <c r="A3840" s="10" t="str">
        <f>基本属性!$B$7&amp;"|"&amp;基本属性!$C$7</f>
        <v>60|0</v>
      </c>
      <c r="B3840" s="10" t="str">
        <f>参数调整!$J$33</f>
        <v>统领掉落</v>
      </c>
      <c r="C3840" s="8" t="str">
        <f>材料产出!$H$2</f>
        <v>经验</v>
      </c>
      <c r="D3840" s="224">
        <f>参数调整!$K$33*怪物掉落配置方案!$D4866</f>
        <v>270850</v>
      </c>
    </row>
    <row r="3841" spans="1:4" ht="16.5" hidden="1" x14ac:dyDescent="0.3">
      <c r="A3841" s="10" t="str">
        <f>基本属性!$B$8&amp;"|"&amp;基本属性!$C$8</f>
        <v>65|0</v>
      </c>
      <c r="B3841" s="10" t="str">
        <f>参数调整!$J$33</f>
        <v>统领掉落</v>
      </c>
      <c r="C3841" s="8" t="str">
        <f>材料产出!$H$2</f>
        <v>经验</v>
      </c>
      <c r="D3841" s="224">
        <f>参数调整!$K$33*怪物掉落配置方案!$D4867</f>
        <v>272200</v>
      </c>
    </row>
    <row r="3842" spans="1:4" ht="16.5" hidden="1" x14ac:dyDescent="0.3">
      <c r="A3842" s="10" t="str">
        <f>基本属性!$B$9&amp;"|"&amp;基本属性!$C$9</f>
        <v>70|0</v>
      </c>
      <c r="B3842" s="10" t="str">
        <f>参数调整!$J$33</f>
        <v>统领掉落</v>
      </c>
      <c r="C3842" s="8" t="str">
        <f>材料产出!$H$2</f>
        <v>经验</v>
      </c>
      <c r="D3842" s="224">
        <f>参数调整!$K$33*怪物掉落配置方案!$D4868</f>
        <v>278700</v>
      </c>
    </row>
    <row r="3843" spans="1:4" ht="16.5" hidden="1" x14ac:dyDescent="0.3">
      <c r="A3843" s="10" t="str">
        <f>基本属性!$B$10&amp;"|"&amp;基本属性!$C$10</f>
        <v>75|0</v>
      </c>
      <c r="B3843" s="10" t="str">
        <f>参数调整!$J$33</f>
        <v>统领掉落</v>
      </c>
      <c r="C3843" s="8" t="str">
        <f>材料产出!$H$2</f>
        <v>经验</v>
      </c>
      <c r="D3843" s="224">
        <f>参数调整!$K$33*怪物掉落配置方案!$D4869</f>
        <v>314550</v>
      </c>
    </row>
    <row r="3844" spans="1:4" ht="16.5" hidden="1" x14ac:dyDescent="0.3">
      <c r="A3844" s="10" t="str">
        <f>基本属性!$B$11&amp;"|"&amp;基本属性!$C$11</f>
        <v>80|1</v>
      </c>
      <c r="B3844" s="10" t="str">
        <f>参数调整!$J$33</f>
        <v>统领掉落</v>
      </c>
      <c r="C3844" s="8" t="str">
        <f>材料产出!$H$2</f>
        <v>经验</v>
      </c>
      <c r="D3844" s="224">
        <f>参数调整!$K$33*怪物掉落配置方案!$D4870</f>
        <v>504050</v>
      </c>
    </row>
    <row r="3845" spans="1:4" ht="16.5" hidden="1" x14ac:dyDescent="0.3">
      <c r="A3845" s="10" t="str">
        <f>基本属性!$B$12&amp;"|"&amp;基本属性!$C$12</f>
        <v>90|2</v>
      </c>
      <c r="B3845" s="10" t="str">
        <f>参数调整!$J$33</f>
        <v>统领掉落</v>
      </c>
      <c r="C3845" s="8" t="str">
        <f>材料产出!$H$2</f>
        <v>经验</v>
      </c>
      <c r="D3845" s="224">
        <f>参数调整!$K$33*怪物掉落配置方案!$D4871</f>
        <v>866750</v>
      </c>
    </row>
    <row r="3846" spans="1:4" ht="16.5" hidden="1" x14ac:dyDescent="0.3">
      <c r="A3846" s="10" t="str">
        <f>基本属性!$B$13&amp;"|"&amp;基本属性!$C$13</f>
        <v>100|3</v>
      </c>
      <c r="B3846" s="10" t="str">
        <f>参数调整!$J$33</f>
        <v>统领掉落</v>
      </c>
      <c r="C3846" s="8" t="str">
        <f>材料产出!$H$2</f>
        <v>经验</v>
      </c>
      <c r="D3846" s="224">
        <f>参数调整!$K$33*怪物掉落配置方案!$D4872</f>
        <v>1019850</v>
      </c>
    </row>
    <row r="3847" spans="1:4" ht="16.5" hidden="1" x14ac:dyDescent="0.3">
      <c r="A3847" s="10" t="str">
        <f>基本属性!$B$14&amp;"|"&amp;基本属性!$C$14</f>
        <v>105|4</v>
      </c>
      <c r="B3847" s="10" t="str">
        <f>参数调整!$J$33</f>
        <v>统领掉落</v>
      </c>
      <c r="C3847" s="8" t="str">
        <f>材料产出!$H$2</f>
        <v>经验</v>
      </c>
      <c r="D3847" s="224">
        <f>参数调整!$K$33*怪物掉落配置方案!$D4873</f>
        <v>1575000</v>
      </c>
    </row>
    <row r="3848" spans="1:4" ht="16.5" hidden="1" x14ac:dyDescent="0.3">
      <c r="A3848" s="10" t="str">
        <f>基本属性!$B$15&amp;"|"&amp;基本属性!$C$15</f>
        <v>110|5</v>
      </c>
      <c r="B3848" s="10" t="str">
        <f>参数调整!$J$33</f>
        <v>统领掉落</v>
      </c>
      <c r="C3848" s="8" t="str">
        <f>材料产出!$H$2</f>
        <v>经验</v>
      </c>
      <c r="D3848" s="224">
        <f>参数调整!$K$33*怪物掉落配置方案!$D4874</f>
        <v>1627800</v>
      </c>
    </row>
    <row r="3849" spans="1:4" ht="16.5" hidden="1" x14ac:dyDescent="0.3">
      <c r="A3849" s="10" t="str">
        <f>基本属性!$B$16&amp;"|"&amp;基本属性!$C$16</f>
        <v>120|6</v>
      </c>
      <c r="B3849" s="10" t="str">
        <f>参数调整!$J$33</f>
        <v>统领掉落</v>
      </c>
      <c r="C3849" s="8" t="str">
        <f>材料产出!$H$2</f>
        <v>经验</v>
      </c>
      <c r="D3849" s="224">
        <f>参数调整!$K$33*怪物掉落配置方案!$D4875</f>
        <v>6490700</v>
      </c>
    </row>
    <row r="3850" spans="1:4" ht="16.5" hidden="1" x14ac:dyDescent="0.3">
      <c r="A3850" s="10" t="str">
        <f>基本属性!$B$17&amp;"|"&amp;基本属性!$C$17</f>
        <v>135|7</v>
      </c>
      <c r="B3850" s="10" t="str">
        <f>参数调整!$J$33</f>
        <v>统领掉落</v>
      </c>
      <c r="C3850" s="8" t="str">
        <f>材料产出!$H$2</f>
        <v>经验</v>
      </c>
      <c r="D3850" s="224">
        <f>参数调整!$K$33*怪物掉落配置方案!$D4876</f>
        <v>22220850</v>
      </c>
    </row>
    <row r="3851" spans="1:4" ht="16.5" hidden="1" x14ac:dyDescent="0.3">
      <c r="A3851" s="10" t="str">
        <f>基本属性!$B$18&amp;"|"&amp;基本属性!$C$18</f>
        <v>155|8</v>
      </c>
      <c r="B3851" s="10" t="str">
        <f>参数调整!$J$33</f>
        <v>统领掉落</v>
      </c>
      <c r="C3851" s="8" t="str">
        <f>材料产出!$H$2</f>
        <v>经验</v>
      </c>
      <c r="D3851" s="224">
        <f>参数调整!$K$33*怪物掉落配置方案!$D4877</f>
        <v>268419450</v>
      </c>
    </row>
    <row r="3852" spans="1:4" ht="16.5" hidden="1" x14ac:dyDescent="0.3">
      <c r="A3852" s="10" t="str">
        <f>基本属性!$B$19&amp;"|"&amp;基本属性!$C$19</f>
        <v>190|9</v>
      </c>
      <c r="B3852" s="10" t="str">
        <f>参数调整!$J$33</f>
        <v>统领掉落</v>
      </c>
      <c r="C3852" s="8" t="str">
        <f>材料产出!$H$2</f>
        <v>经验</v>
      </c>
      <c r="D3852" s="224">
        <f>参数调整!$K$33*怪物掉落配置方案!$D4878</f>
        <v>244073350</v>
      </c>
    </row>
    <row r="3853" spans="1:4" ht="16.5" hidden="1" x14ac:dyDescent="0.3">
      <c r="A3853" s="10" t="str">
        <f>基本属性!$B$20&amp;"|"&amp;基本属性!$C$20</f>
        <v>200|10</v>
      </c>
      <c r="B3853" s="10" t="str">
        <f>参数调整!$J$33</f>
        <v>统领掉落</v>
      </c>
      <c r="C3853" s="8" t="str">
        <f>材料产出!$H$2</f>
        <v>经验</v>
      </c>
      <c r="D3853" s="224">
        <f>参数调整!$K$33*怪物掉落配置方案!$D4879</f>
        <v>291666650</v>
      </c>
    </row>
    <row r="3854" spans="1:4" ht="16.5" hidden="1" x14ac:dyDescent="0.3">
      <c r="A3854" s="10" t="str">
        <f>基本属性!$B$21&amp;"|"&amp;基本属性!$C$21</f>
        <v>200|11</v>
      </c>
      <c r="B3854" s="10" t="str">
        <f>参数调整!$J$33</f>
        <v>统领掉落</v>
      </c>
      <c r="C3854" s="8" t="str">
        <f>材料产出!$H$2</f>
        <v>经验</v>
      </c>
      <c r="D3854" s="224">
        <f>参数调整!$K$33*怪物掉落配置方案!$D4880</f>
        <v>58333350</v>
      </c>
    </row>
    <row r="3855" spans="1:4" ht="16.5" hidden="1" x14ac:dyDescent="0.3">
      <c r="A3855" s="10" t="str">
        <f>基本属性!$B$22&amp;"|"&amp;基本属性!$C$22</f>
        <v>210|12</v>
      </c>
      <c r="B3855" s="10" t="str">
        <f>参数调整!$J$33</f>
        <v>统领掉落</v>
      </c>
      <c r="C3855" s="8" t="str">
        <f>材料产出!$H$2</f>
        <v>经验</v>
      </c>
      <c r="D3855" s="224">
        <f>参数调整!$K$33*怪物掉落配置方案!$D4881</f>
        <v>58333350</v>
      </c>
    </row>
    <row r="3856" spans="1:4" ht="16.5" hidden="1" x14ac:dyDescent="0.3">
      <c r="A3856" s="10" t="str">
        <f>基本属性!$B$23&amp;"|"&amp;基本属性!$C$23</f>
        <v>210|13</v>
      </c>
      <c r="B3856" s="10" t="str">
        <f>参数调整!$J$33</f>
        <v>统领掉落</v>
      </c>
      <c r="C3856" s="8" t="str">
        <f>材料产出!$H$2</f>
        <v>经验</v>
      </c>
      <c r="D3856" s="224">
        <f>参数调整!$K$33*怪物掉落配置方案!$D4882</f>
        <v>58333350</v>
      </c>
    </row>
    <row r="3857" spans="1:4" ht="16.5" hidden="1" x14ac:dyDescent="0.3">
      <c r="A3857" s="10" t="str">
        <f>基本属性!$B$24&amp;"|"&amp;基本属性!$C$24</f>
        <v>220|14</v>
      </c>
      <c r="B3857" s="10" t="str">
        <f>参数调整!$J$33</f>
        <v>统领掉落</v>
      </c>
      <c r="C3857" s="8" t="str">
        <f>材料产出!$H$2</f>
        <v>经验</v>
      </c>
      <c r="D3857" s="224">
        <f>参数调整!$K$33*怪物掉落配置方案!$D4883</f>
        <v>58333350</v>
      </c>
    </row>
    <row r="3858" spans="1:4" ht="16.5" hidden="1" x14ac:dyDescent="0.3">
      <c r="A3858" s="10" t="str">
        <f>基本属性!$B$25&amp;"|"&amp;基本属性!$C$25</f>
        <v>220|15</v>
      </c>
      <c r="B3858" s="10" t="str">
        <f>参数调整!$J$33</f>
        <v>统领掉落</v>
      </c>
      <c r="C3858" s="8" t="str">
        <f>材料产出!$H$2</f>
        <v>经验</v>
      </c>
      <c r="D3858" s="224">
        <f>参数调整!$K$33*怪物掉落配置方案!$D4884</f>
        <v>58333350</v>
      </c>
    </row>
    <row r="3859" spans="1:4" ht="16.5" hidden="1" x14ac:dyDescent="0.3">
      <c r="A3859" s="10" t="str">
        <f>基本属性!$B$26&amp;"|"&amp;基本属性!$C$26</f>
        <v>230|16</v>
      </c>
      <c r="B3859" s="10" t="str">
        <f>参数调整!$J$33</f>
        <v>统领掉落</v>
      </c>
      <c r="C3859" s="8" t="str">
        <f>材料产出!$H$2</f>
        <v>经验</v>
      </c>
      <c r="D3859" s="224">
        <f>参数调整!$K$33*怪物掉落配置方案!$D4885</f>
        <v>29166650</v>
      </c>
    </row>
    <row r="3860" spans="1:4" ht="16.5" hidden="1" x14ac:dyDescent="0.3">
      <c r="A3860" s="10" t="str">
        <f>基本属性!$B$27&amp;"|"&amp;基本属性!$C$27</f>
        <v>230|17</v>
      </c>
      <c r="B3860" s="10" t="str">
        <f>参数调整!$J$33</f>
        <v>统领掉落</v>
      </c>
      <c r="C3860" s="8" t="str">
        <f>材料产出!$H$2</f>
        <v>经验</v>
      </c>
      <c r="D3860" s="224">
        <f>参数调整!$K$33*怪物掉落配置方案!$D4886</f>
        <v>29166650</v>
      </c>
    </row>
    <row r="3861" spans="1:4" ht="16.5" hidden="1" x14ac:dyDescent="0.3">
      <c r="A3861" s="10" t="str">
        <f>基本属性!$B$28&amp;"|"&amp;基本属性!$C$28</f>
        <v>240|18</v>
      </c>
      <c r="B3861" s="10" t="str">
        <f>参数调整!$J$33</f>
        <v>统领掉落</v>
      </c>
      <c r="C3861" s="8" t="str">
        <f>材料产出!$H$2</f>
        <v>经验</v>
      </c>
      <c r="D3861" s="224">
        <f>参数调整!$K$33*怪物掉落配置方案!$D4887</f>
        <v>29166650</v>
      </c>
    </row>
    <row r="3862" spans="1:4" ht="16.5" hidden="1" x14ac:dyDescent="0.3">
      <c r="A3862" s="10" t="str">
        <f>基本属性!$B$29&amp;"|"&amp;基本属性!$C$29</f>
        <v>240|19</v>
      </c>
      <c r="B3862" s="10" t="str">
        <f>参数调整!$J$33</f>
        <v>统领掉落</v>
      </c>
      <c r="C3862" s="8" t="str">
        <f>材料产出!$H$2</f>
        <v>经验</v>
      </c>
      <c r="D3862" s="224">
        <f>参数调整!$K$33*怪物掉落配置方案!$D4888</f>
        <v>29166650</v>
      </c>
    </row>
    <row r="3863" spans="1:4" ht="16.5" hidden="1" x14ac:dyDescent="0.3">
      <c r="A3863" s="10" t="str">
        <f>基本属性!$B$30&amp;"|"&amp;基本属性!$C$30</f>
        <v>250|20</v>
      </c>
      <c r="B3863" s="10" t="str">
        <f>参数调整!$J$33</f>
        <v>统领掉落</v>
      </c>
      <c r="C3863" s="8" t="str">
        <f>材料产出!$H$2</f>
        <v>经验</v>
      </c>
      <c r="D3863" s="224">
        <f>参数调整!$K$33*怪物掉落配置方案!$D4889</f>
        <v>29166650</v>
      </c>
    </row>
    <row r="3864" spans="1:4" ht="16.5" hidden="1" x14ac:dyDescent="0.3">
      <c r="A3864" s="10" t="str">
        <f>基本属性!$B$4&amp;"|"&amp;基本属性!$C$4</f>
        <v>35|0</v>
      </c>
      <c r="B3864" s="10" t="str">
        <f>参数调整!$J$33</f>
        <v>统领掉落</v>
      </c>
      <c r="C3864" s="8" t="str">
        <f>材料产出!$AN$2</f>
        <v>极品注灵石</v>
      </c>
      <c r="D3864" s="224">
        <f>参数调整!$K$33*怪物掉落配置方案!$D4890</f>
        <v>2.5922051447117834E-2</v>
      </c>
    </row>
    <row r="3865" spans="1:4" ht="16.5" hidden="1" x14ac:dyDescent="0.3">
      <c r="A3865" s="10" t="str">
        <f>基本属性!$B$5&amp;"|"&amp;基本属性!$C$5</f>
        <v>40|0</v>
      </c>
      <c r="B3865" s="10" t="str">
        <f>参数调整!$J$33</f>
        <v>统领掉落</v>
      </c>
      <c r="C3865" s="8" t="str">
        <f>材料产出!$AN$2</f>
        <v>极品注灵石</v>
      </c>
      <c r="D3865" s="224">
        <f>参数调整!$K$33*怪物掉落配置方案!$D4891</f>
        <v>3.2807596362758505E-2</v>
      </c>
    </row>
    <row r="3866" spans="1:4" ht="16.5" hidden="1" x14ac:dyDescent="0.3">
      <c r="A3866" s="10" t="str">
        <f>基本属性!$B$6&amp;"|"&amp;基本属性!$C$6</f>
        <v>50|0</v>
      </c>
      <c r="B3866" s="10" t="str">
        <f>参数调整!$J$33</f>
        <v>统领掉落</v>
      </c>
      <c r="C3866" s="8" t="str">
        <f>材料产出!$AN$2</f>
        <v>极品注灵石</v>
      </c>
      <c r="D3866" s="224">
        <f>参数调整!$K$33*怪物掉落配置方案!$D4892</f>
        <v>4.0503205386121614E-2</v>
      </c>
    </row>
    <row r="3867" spans="1:4" ht="16.5" hidden="1" x14ac:dyDescent="0.3">
      <c r="A3867" s="10" t="str">
        <f>基本属性!$B$7&amp;"|"&amp;基本属性!$C$7</f>
        <v>60|0</v>
      </c>
      <c r="B3867" s="10" t="str">
        <f>参数调整!$J$33</f>
        <v>统领掉落</v>
      </c>
      <c r="C3867" s="8" t="str">
        <f>材料产出!$AN$2</f>
        <v>极品注灵石</v>
      </c>
      <c r="D3867" s="224">
        <f>参数调整!$K$33*怪物掉落配置方案!$D4893</f>
        <v>4.9008878517207165E-2</v>
      </c>
    </row>
    <row r="3868" spans="1:4" ht="16.5" hidden="1" x14ac:dyDescent="0.3">
      <c r="A3868" s="10" t="str">
        <f>基本属性!$B$8&amp;"|"&amp;基本属性!$C$8</f>
        <v>65|0</v>
      </c>
      <c r="B3868" s="10" t="str">
        <f>参数调整!$J$33</f>
        <v>统领掉落</v>
      </c>
      <c r="C3868" s="8" t="str">
        <f>材料产出!$AN$2</f>
        <v>极品注灵石</v>
      </c>
      <c r="D3868" s="224">
        <f>参数调整!$K$33*怪物掉落配置方案!$D4894</f>
        <v>5.8324615756015115E-2</v>
      </c>
    </row>
    <row r="3869" spans="1:4" ht="16.5" hidden="1" x14ac:dyDescent="0.3">
      <c r="A3869" s="10" t="str">
        <f>基本属性!$B$9&amp;"|"&amp;基本属性!$C$9</f>
        <v>70|0</v>
      </c>
      <c r="B3869" s="10" t="str">
        <f>参数调整!$J$33</f>
        <v>统领掉落</v>
      </c>
      <c r="C3869" s="8" t="str">
        <f>材料产出!$AN$2</f>
        <v>极品注灵石</v>
      </c>
      <c r="D3869" s="224">
        <f>参数调整!$K$33*怪物掉落配置方案!$D4895</f>
        <v>6.8450417102545541E-2</v>
      </c>
    </row>
    <row r="3870" spans="1:4" ht="16.5" hidden="1" x14ac:dyDescent="0.3">
      <c r="A3870" s="10" t="str">
        <f>基本属性!$B$10&amp;"|"&amp;基本属性!$C$10</f>
        <v>75|0</v>
      </c>
      <c r="B3870" s="10" t="str">
        <f>参数调整!$J$33</f>
        <v>统领掉落</v>
      </c>
      <c r="C3870" s="8" t="str">
        <f>材料产出!$AN$2</f>
        <v>极品注灵石</v>
      </c>
      <c r="D3870" s="224">
        <f>参数调整!$K$33*怪物掉落配置方案!$D4896</f>
        <v>7.9386282556798346E-2</v>
      </c>
    </row>
    <row r="3871" spans="1:4" ht="16.5" hidden="1" x14ac:dyDescent="0.3">
      <c r="A3871" s="10" t="str">
        <f>基本属性!$B$11&amp;"|"&amp;基本属性!$C$11</f>
        <v>80|1</v>
      </c>
      <c r="B3871" s="10" t="str">
        <f>参数调整!$J$33</f>
        <v>统领掉落</v>
      </c>
      <c r="C3871" s="8" t="str">
        <f>材料产出!$AN$2</f>
        <v>极品注灵石</v>
      </c>
      <c r="D3871" s="224">
        <f>参数调整!$K$33*怪物掉落配置方案!$D4897</f>
        <v>9.1132212118773634E-2</v>
      </c>
    </row>
    <row r="3872" spans="1:4" ht="16.5" hidden="1" x14ac:dyDescent="0.3">
      <c r="A3872" s="10" t="str">
        <f>基本属性!$B$12&amp;"|"&amp;基本属性!$C$12</f>
        <v>90|2</v>
      </c>
      <c r="B3872" s="10" t="str">
        <f>参数调整!$J$33</f>
        <v>统领掉落</v>
      </c>
      <c r="C3872" s="8" t="str">
        <f>材料产出!$AN$2</f>
        <v>极品注灵石</v>
      </c>
      <c r="D3872" s="224">
        <f>参数调整!$K$33*怪物掉落配置方案!$D4898</f>
        <v>0.10368820578847135</v>
      </c>
    </row>
    <row r="3873" spans="1:4" ht="16.5" hidden="1" x14ac:dyDescent="0.3">
      <c r="A3873" s="10" t="str">
        <f>基本属性!$B$13&amp;"|"&amp;基本属性!$C$13</f>
        <v>100|3</v>
      </c>
      <c r="B3873" s="10" t="str">
        <f>参数调整!$J$33</f>
        <v>统领掉落</v>
      </c>
      <c r="C3873" s="8" t="str">
        <f>材料产出!$AN$2</f>
        <v>极品注灵石</v>
      </c>
      <c r="D3873" s="224">
        <f>参数调整!$K$33*怪物掉落配置方案!$D4899</f>
        <v>0.13123038545103405</v>
      </c>
    </row>
    <row r="3874" spans="1:4" ht="16.5" hidden="1" x14ac:dyDescent="0.3">
      <c r="A3874" s="10" t="str">
        <f>基本属性!$B$14&amp;"|"&amp;基本属性!$C$14</f>
        <v>105|4</v>
      </c>
      <c r="B3874" s="10" t="str">
        <f>参数调整!$J$33</f>
        <v>统领掉落</v>
      </c>
      <c r="C3874" s="8" t="str">
        <f>材料产出!$AN$2</f>
        <v>极品注灵石</v>
      </c>
      <c r="D3874" s="224">
        <f>参数调整!$K$33*怪物掉落配置方案!$D4900</f>
        <v>0.16201282154448646</v>
      </c>
    </row>
    <row r="3875" spans="1:4" ht="16.5" hidden="1" x14ac:dyDescent="0.3">
      <c r="A3875" s="10" t="str">
        <f>基本属性!$B$15&amp;"|"&amp;基本属性!$C$15</f>
        <v>110|5</v>
      </c>
      <c r="B3875" s="10" t="str">
        <f>参数调整!$J$33</f>
        <v>统领掉落</v>
      </c>
      <c r="C3875" s="8" t="str">
        <f>材料产出!$AN$2</f>
        <v>极品注灵石</v>
      </c>
      <c r="D3875" s="224">
        <f>参数调整!$K$33*怪物掉落配置方案!$D4901</f>
        <v>0.19603551406882866</v>
      </c>
    </row>
    <row r="3876" spans="1:4" ht="16.5" hidden="1" x14ac:dyDescent="0.3">
      <c r="A3876" s="10" t="str">
        <f>基本属性!$B$16&amp;"|"&amp;基本属性!$C$16</f>
        <v>120|6</v>
      </c>
      <c r="B3876" s="10" t="str">
        <f>参数调整!$J$33</f>
        <v>统领掉落</v>
      </c>
      <c r="C3876" s="8" t="str">
        <f>材料产出!$AN$2</f>
        <v>极品注灵石</v>
      </c>
      <c r="D3876" s="224">
        <f>参数调整!$K$33*怪物掉落配置方案!$D4902</f>
        <v>0.25314503366326008</v>
      </c>
    </row>
    <row r="3877" spans="1:4" ht="16.5" hidden="1" x14ac:dyDescent="0.3">
      <c r="A3877" s="10" t="str">
        <f>基本属性!$B$17&amp;"|"&amp;基本属性!$C$17</f>
        <v>135|7</v>
      </c>
      <c r="B3877" s="10" t="str">
        <f>参数调整!$J$33</f>
        <v>统领掉落</v>
      </c>
      <c r="C3877" s="8" t="str">
        <f>材料产出!$AN$2</f>
        <v>极品注灵石</v>
      </c>
      <c r="D3877" s="224">
        <f>参数调整!$K$33*怪物掉落配置方案!$D4903</f>
        <v>0.36452884847509454</v>
      </c>
    </row>
    <row r="3878" spans="1:4" ht="16.5" hidden="1" x14ac:dyDescent="0.3">
      <c r="A3878" s="10" t="str">
        <f>基本属性!$B$18&amp;"|"&amp;基本属性!$C$18</f>
        <v>155|8</v>
      </c>
      <c r="B3878" s="10" t="str">
        <f>参数调整!$J$33</f>
        <v>统领掉落</v>
      </c>
      <c r="C3878" s="8" t="str">
        <f>材料产出!$AN$2</f>
        <v>极品注灵石</v>
      </c>
      <c r="D3878" s="224">
        <f>参数调整!$K$33*怪物掉落配置方案!$D4904</f>
        <v>0.49616426597998986</v>
      </c>
    </row>
    <row r="3879" spans="1:4" ht="16.5" hidden="1" x14ac:dyDescent="0.3">
      <c r="A3879" s="10" t="str">
        <f>基本属性!$B$19&amp;"|"&amp;基本属性!$C$19</f>
        <v>190|9</v>
      </c>
      <c r="B3879" s="10" t="str">
        <f>参数调整!$J$33</f>
        <v>统领掉落</v>
      </c>
      <c r="C3879" s="8" t="str">
        <f>材料产出!$AN$2</f>
        <v>极品注灵石</v>
      </c>
      <c r="D3879" s="224">
        <f>参数调整!$K$33*怪物掉落配置方案!$D4905</f>
        <v>0.55448888173600497</v>
      </c>
    </row>
    <row r="3880" spans="1:4" ht="16.5" hidden="1" x14ac:dyDescent="0.3">
      <c r="A3880" s="10" t="str">
        <f>基本属性!$B$20&amp;"|"&amp;基本属性!$C$20</f>
        <v>200|10</v>
      </c>
      <c r="B3880" s="10" t="str">
        <f>参数调整!$J$33</f>
        <v>统领掉落</v>
      </c>
      <c r="C3880" s="8" t="str">
        <f>材料产出!$AN$2</f>
        <v>极品注灵石</v>
      </c>
      <c r="D3880" s="224">
        <f>参数调整!$K$33*怪物掉落配置方案!$D4906</f>
        <v>0.64805128617794583</v>
      </c>
    </row>
    <row r="3881" spans="1:4" ht="16.5" hidden="1" x14ac:dyDescent="0.3">
      <c r="A3881" s="10" t="str">
        <f>基本属性!$B$21&amp;"|"&amp;基本属性!$C$21</f>
        <v>200|11</v>
      </c>
      <c r="B3881" s="10" t="str">
        <f>参数调整!$J$33</f>
        <v>统领掉落</v>
      </c>
      <c r="C3881" s="8" t="str">
        <f>材料产出!$AN$2</f>
        <v>极品注灵石</v>
      </c>
      <c r="D3881" s="224">
        <f>参数调整!$K$33*怪物掉落配置方案!$D4907</f>
        <v>0.74890426758938844</v>
      </c>
    </row>
    <row r="3882" spans="1:4" ht="16.5" hidden="1" x14ac:dyDescent="0.3">
      <c r="A3882" s="10" t="str">
        <f>基本属性!$B$22&amp;"|"&amp;基本属性!$C$22</f>
        <v>210|12</v>
      </c>
      <c r="B3882" s="10" t="str">
        <f>参数调整!$J$33</f>
        <v>统领掉落</v>
      </c>
      <c r="C3882" s="8" t="str">
        <f>材料产出!$AN$2</f>
        <v>极品注灵石</v>
      </c>
      <c r="D3882" s="224">
        <f>参数调整!$K$33*怪物掉落配置方案!$D4908</f>
        <v>0.85704782597033324</v>
      </c>
    </row>
    <row r="3883" spans="1:4" ht="16.5" hidden="1" x14ac:dyDescent="0.3">
      <c r="A3883" s="10" t="str">
        <f>基本属性!$B$23&amp;"|"&amp;基本属性!$C$23</f>
        <v>210|13</v>
      </c>
      <c r="B3883" s="10" t="str">
        <f>参数调整!$J$33</f>
        <v>统领掉落</v>
      </c>
      <c r="C3883" s="8" t="str">
        <f>材料产出!$AN$2</f>
        <v>极品注灵石</v>
      </c>
      <c r="D3883" s="224">
        <f>参数调整!$K$33*怪物掉落配置方案!$D4909</f>
        <v>0.97248196132078002</v>
      </c>
    </row>
    <row r="3884" spans="1:4" ht="16.5" hidden="1" x14ac:dyDescent="0.3">
      <c r="A3884" s="10" t="str">
        <f>基本属性!$B$24&amp;"|"&amp;基本属性!$C$24</f>
        <v>220|14</v>
      </c>
      <c r="B3884" s="10" t="str">
        <f>参数调整!$J$33</f>
        <v>统领掉落</v>
      </c>
      <c r="C3884" s="8" t="str">
        <f>材料产出!$AN$2</f>
        <v>极品注灵石</v>
      </c>
      <c r="D3884" s="224">
        <f>参数调整!$K$33*怪物掉落配置方案!$D4910</f>
        <v>1.0952066736407287</v>
      </c>
    </row>
    <row r="3885" spans="1:4" ht="16.5" hidden="1" x14ac:dyDescent="0.3">
      <c r="A3885" s="10" t="str">
        <f>基本属性!$B$25&amp;"|"&amp;基本属性!$C$25</f>
        <v>220|15</v>
      </c>
      <c r="B3885" s="10" t="str">
        <f>参数调整!$J$33</f>
        <v>统领掉落</v>
      </c>
      <c r="C3885" s="8" t="str">
        <f>材料产出!$AN$2</f>
        <v>极品注灵石</v>
      </c>
      <c r="D3885" s="224">
        <f>参数调整!$K$33*怪物掉落配置方案!$D4911</f>
        <v>1.2252219629301786</v>
      </c>
    </row>
    <row r="3886" spans="1:4" ht="16.5" hidden="1" x14ac:dyDescent="0.3">
      <c r="A3886" s="10" t="str">
        <f>基本属性!$B$26&amp;"|"&amp;基本属性!$C$26</f>
        <v>230|16</v>
      </c>
      <c r="B3886" s="10" t="str">
        <f>参数调整!$J$33</f>
        <v>统领掉落</v>
      </c>
      <c r="C3886" s="8" t="str">
        <f>材料产出!$AN$2</f>
        <v>极品注灵石</v>
      </c>
      <c r="D3886" s="224">
        <f>参数调整!$K$33*怪物掉落配置方案!$D4912</f>
        <v>1.362527829189131</v>
      </c>
    </row>
    <row r="3887" spans="1:4" ht="16.5" hidden="1" x14ac:dyDescent="0.3">
      <c r="A3887" s="10" t="str">
        <f>基本属性!$B$27&amp;"|"&amp;基本属性!$C$27</f>
        <v>230|17</v>
      </c>
      <c r="B3887" s="10" t="str">
        <f>参数调整!$J$33</f>
        <v>统领掉落</v>
      </c>
      <c r="C3887" s="8" t="str">
        <f>材料产出!$AN$2</f>
        <v>极品注灵石</v>
      </c>
      <c r="D3887" s="224">
        <f>参数调整!$K$33*怪物掉落配置方案!$D4913</f>
        <v>1.5071242724175851</v>
      </c>
    </row>
    <row r="3888" spans="1:4" ht="16.5" hidden="1" x14ac:dyDescent="0.3">
      <c r="A3888" s="10" t="str">
        <f>基本属性!$B$28&amp;"|"&amp;基本属性!$C$28</f>
        <v>240|18</v>
      </c>
      <c r="B3888" s="10" t="str">
        <f>参数调整!$J$33</f>
        <v>统领掉落</v>
      </c>
      <c r="C3888" s="8" t="str">
        <f>材料产出!$AN$2</f>
        <v>极品注灵石</v>
      </c>
      <c r="D3888" s="224">
        <f>参数调整!$K$33*怪物掉落配置方案!$D4914</f>
        <v>1.6590112926155416</v>
      </c>
    </row>
    <row r="3889" spans="1:4" ht="16.5" hidden="1" x14ac:dyDescent="0.3">
      <c r="A3889" s="10" t="str">
        <f>基本属性!$B$29&amp;"|"&amp;基本属性!$C$29</f>
        <v>240|19</v>
      </c>
      <c r="B3889" s="10" t="str">
        <f>参数调整!$J$33</f>
        <v>统领掉落</v>
      </c>
      <c r="C3889" s="8" t="str">
        <f>材料产出!$AN$2</f>
        <v>极品注灵石</v>
      </c>
      <c r="D3889" s="224">
        <f>参数调整!$K$33*怪物掉落配置方案!$D4915</f>
        <v>1.8181888897829994</v>
      </c>
    </row>
    <row r="3890" spans="1:4" ht="16.5" hidden="1" x14ac:dyDescent="0.3">
      <c r="A3890" s="10" t="str">
        <f>基本属性!$B$30&amp;"|"&amp;基本属性!$C$30</f>
        <v>250|20</v>
      </c>
      <c r="B3890" s="10" t="str">
        <f>参数调整!$J$33</f>
        <v>统领掉落</v>
      </c>
      <c r="C3890" s="8" t="str">
        <f>材料产出!$AN$2</f>
        <v>极品注灵石</v>
      </c>
      <c r="D3890" s="224">
        <f>参数调整!$K$33*怪物掉落配置方案!$D4916</f>
        <v>1.9846570639199586</v>
      </c>
    </row>
    <row r="3891" spans="1:4" ht="16.5" hidden="1" x14ac:dyDescent="0.3">
      <c r="A3891" s="10" t="str">
        <f>基本属性!$B$4&amp;"|"&amp;基本属性!$C$4</f>
        <v>35|0</v>
      </c>
      <c r="B3891" s="10" t="str">
        <f>参数调整!$J$33</f>
        <v>统领掉落</v>
      </c>
      <c r="C3891" s="8" t="str">
        <f>材料产出!$HV$2</f>
        <v>基本装备</v>
      </c>
      <c r="D3891" s="224">
        <f>参数调整!$K$33*怪物掉落配置方案!$D4917</f>
        <v>0</v>
      </c>
    </row>
    <row r="3892" spans="1:4" ht="16.5" hidden="1" x14ac:dyDescent="0.3">
      <c r="A3892" s="10" t="str">
        <f>基本属性!$B$5&amp;"|"&amp;基本属性!$C$5</f>
        <v>40|0</v>
      </c>
      <c r="B3892" s="10" t="str">
        <f>参数调整!$J$33</f>
        <v>统领掉落</v>
      </c>
      <c r="C3892" s="8" t="str">
        <f>材料产出!$HV$2</f>
        <v>基本装备</v>
      </c>
      <c r="D3892" s="224">
        <f>参数调整!$K$33*怪物掉落配置方案!$D4918</f>
        <v>0</v>
      </c>
    </row>
    <row r="3893" spans="1:4" ht="16.5" hidden="1" x14ac:dyDescent="0.3">
      <c r="A3893" s="10" t="str">
        <f>基本属性!$B$6&amp;"|"&amp;基本属性!$C$6</f>
        <v>50|0</v>
      </c>
      <c r="B3893" s="10" t="str">
        <f>参数调整!$J$33</f>
        <v>统领掉落</v>
      </c>
      <c r="C3893" s="8" t="str">
        <f>材料产出!$HV$2</f>
        <v>基本装备</v>
      </c>
      <c r="D3893" s="224">
        <f>参数调整!$K$33*怪物掉落配置方案!$D4919</f>
        <v>0</v>
      </c>
    </row>
    <row r="3894" spans="1:4" ht="16.5" hidden="1" x14ac:dyDescent="0.3">
      <c r="A3894" s="10" t="str">
        <f>基本属性!$B$7&amp;"|"&amp;基本属性!$C$7</f>
        <v>60|0</v>
      </c>
      <c r="B3894" s="10" t="str">
        <f>参数调整!$J$33</f>
        <v>统领掉落</v>
      </c>
      <c r="C3894" s="8" t="str">
        <f>材料产出!$HV$2</f>
        <v>基本装备</v>
      </c>
      <c r="D3894" s="224">
        <f>参数调整!$K$33*怪物掉落配置方案!$D4920</f>
        <v>0</v>
      </c>
    </row>
    <row r="3895" spans="1:4" ht="16.5" hidden="1" x14ac:dyDescent="0.3">
      <c r="A3895" s="10" t="str">
        <f>基本属性!$B$8&amp;"|"&amp;基本属性!$C$8</f>
        <v>65|0</v>
      </c>
      <c r="B3895" s="10" t="str">
        <f>参数调整!$J$33</f>
        <v>统领掉落</v>
      </c>
      <c r="C3895" s="8" t="str">
        <f>材料产出!$HV$2</f>
        <v>基本装备</v>
      </c>
      <c r="D3895" s="224">
        <f>参数调整!$K$33*怪物掉落配置方案!$D4921</f>
        <v>0</v>
      </c>
    </row>
    <row r="3896" spans="1:4" ht="16.5" hidden="1" x14ac:dyDescent="0.3">
      <c r="A3896" s="10" t="str">
        <f>基本属性!$B$9&amp;"|"&amp;基本属性!$C$9</f>
        <v>70|0</v>
      </c>
      <c r="B3896" s="10" t="str">
        <f>参数调整!$J$33</f>
        <v>统领掉落</v>
      </c>
      <c r="C3896" s="8" t="str">
        <f>材料产出!$HV$2</f>
        <v>基本装备</v>
      </c>
      <c r="D3896" s="224">
        <f>参数调整!$K$33*怪物掉落配置方案!$D4922</f>
        <v>0</v>
      </c>
    </row>
    <row r="3897" spans="1:4" ht="16.5" hidden="1" x14ac:dyDescent="0.3">
      <c r="A3897" s="10" t="str">
        <f>基本属性!$B$10&amp;"|"&amp;基本属性!$C$10</f>
        <v>75|0</v>
      </c>
      <c r="B3897" s="10" t="str">
        <f>参数调整!$J$33</f>
        <v>统领掉落</v>
      </c>
      <c r="C3897" s="8" t="str">
        <f>材料产出!$HV$2</f>
        <v>基本装备</v>
      </c>
      <c r="D3897" s="224">
        <f>参数调整!$K$33*怪物掉落配置方案!$D4923</f>
        <v>0</v>
      </c>
    </row>
    <row r="3898" spans="1:4" ht="16.5" hidden="1" x14ac:dyDescent="0.3">
      <c r="A3898" s="10" t="str">
        <f>基本属性!$B$11&amp;"|"&amp;基本属性!$C$11</f>
        <v>80|1</v>
      </c>
      <c r="B3898" s="10" t="str">
        <f>参数调整!$J$33</f>
        <v>统领掉落</v>
      </c>
      <c r="C3898" s="8" t="str">
        <f>材料产出!$HV$2</f>
        <v>基本装备</v>
      </c>
      <c r="D3898" s="224">
        <f>参数调整!$K$33*怪物掉落配置方案!$D4924</f>
        <v>0</v>
      </c>
    </row>
    <row r="3899" spans="1:4" ht="16.5" hidden="1" x14ac:dyDescent="0.3">
      <c r="A3899" s="10" t="str">
        <f>基本属性!$B$12&amp;"|"&amp;基本属性!$C$12</f>
        <v>90|2</v>
      </c>
      <c r="B3899" s="10" t="str">
        <f>参数调整!$J$33</f>
        <v>统领掉落</v>
      </c>
      <c r="C3899" s="8" t="str">
        <f>材料产出!$HV$2</f>
        <v>基本装备</v>
      </c>
      <c r="D3899" s="224">
        <f>参数调整!$K$33*怪物掉落配置方案!$D4925</f>
        <v>0</v>
      </c>
    </row>
    <row r="3900" spans="1:4" ht="16.5" hidden="1" x14ac:dyDescent="0.3">
      <c r="A3900" s="10" t="str">
        <f>基本属性!$B$13&amp;"|"&amp;基本属性!$C$13</f>
        <v>100|3</v>
      </c>
      <c r="B3900" s="10" t="str">
        <f>参数调整!$J$33</f>
        <v>统领掉落</v>
      </c>
      <c r="C3900" s="8" t="str">
        <f>材料产出!$HV$2</f>
        <v>基本装备</v>
      </c>
      <c r="D3900" s="224">
        <f>参数调整!$K$33*怪物掉落配置方案!$D4926</f>
        <v>0</v>
      </c>
    </row>
    <row r="3901" spans="1:4" ht="16.5" hidden="1" x14ac:dyDescent="0.3">
      <c r="A3901" s="10" t="str">
        <f>基本属性!$B$14&amp;"|"&amp;基本属性!$C$14</f>
        <v>105|4</v>
      </c>
      <c r="B3901" s="10" t="str">
        <f>参数调整!$J$33</f>
        <v>统领掉落</v>
      </c>
      <c r="C3901" s="8" t="str">
        <f>材料产出!$HV$2</f>
        <v>基本装备</v>
      </c>
      <c r="D3901" s="224">
        <f>参数调整!$K$33*怪物掉落配置方案!$D4927</f>
        <v>0</v>
      </c>
    </row>
    <row r="3902" spans="1:4" ht="16.5" hidden="1" x14ac:dyDescent="0.3">
      <c r="A3902" s="10" t="str">
        <f>基本属性!$B$15&amp;"|"&amp;基本属性!$C$15</f>
        <v>110|5</v>
      </c>
      <c r="B3902" s="10" t="str">
        <f>参数调整!$J$33</f>
        <v>统领掉落</v>
      </c>
      <c r="C3902" s="8" t="str">
        <f>材料产出!$HV$2</f>
        <v>基本装备</v>
      </c>
      <c r="D3902" s="224">
        <f>参数调整!$K$33*怪物掉落配置方案!$D4928</f>
        <v>0</v>
      </c>
    </row>
    <row r="3903" spans="1:4" ht="16.5" hidden="1" x14ac:dyDescent="0.3">
      <c r="A3903" s="10" t="str">
        <f>基本属性!$B$16&amp;"|"&amp;基本属性!$C$16</f>
        <v>120|6</v>
      </c>
      <c r="B3903" s="10" t="str">
        <f>参数调整!$J$33</f>
        <v>统领掉落</v>
      </c>
      <c r="C3903" s="8" t="str">
        <f>材料产出!$HV$2</f>
        <v>基本装备</v>
      </c>
      <c r="D3903" s="224">
        <f>参数调整!$K$33*怪物掉落配置方案!$D4929</f>
        <v>0</v>
      </c>
    </row>
    <row r="3904" spans="1:4" ht="16.5" hidden="1" x14ac:dyDescent="0.3">
      <c r="A3904" s="10" t="str">
        <f>基本属性!$B$17&amp;"|"&amp;基本属性!$C$17</f>
        <v>135|7</v>
      </c>
      <c r="B3904" s="10" t="str">
        <f>参数调整!$J$33</f>
        <v>统领掉落</v>
      </c>
      <c r="C3904" s="8" t="str">
        <f>材料产出!$HV$2</f>
        <v>基本装备</v>
      </c>
      <c r="D3904" s="224">
        <f>参数调整!$K$33*怪物掉落配置方案!$D4930</f>
        <v>0</v>
      </c>
    </row>
    <row r="3905" spans="1:4" ht="16.5" hidden="1" x14ac:dyDescent="0.3">
      <c r="A3905" s="10" t="str">
        <f>基本属性!$B$18&amp;"|"&amp;基本属性!$C$18</f>
        <v>155|8</v>
      </c>
      <c r="B3905" s="10" t="str">
        <f>参数调整!$J$33</f>
        <v>统领掉落</v>
      </c>
      <c r="C3905" s="8" t="str">
        <f>材料产出!$HV$2</f>
        <v>基本装备</v>
      </c>
      <c r="D3905" s="224">
        <f>参数调整!$K$33*怪物掉落配置方案!$D4931</f>
        <v>0</v>
      </c>
    </row>
    <row r="3906" spans="1:4" ht="16.5" hidden="1" x14ac:dyDescent="0.3">
      <c r="A3906" s="10" t="str">
        <f>基本属性!$B$19&amp;"|"&amp;基本属性!$C$19</f>
        <v>190|9</v>
      </c>
      <c r="B3906" s="10" t="str">
        <f>参数调整!$J$33</f>
        <v>统领掉落</v>
      </c>
      <c r="C3906" s="8" t="str">
        <f>材料产出!$HV$2</f>
        <v>基本装备</v>
      </c>
      <c r="D3906" s="224">
        <f>参数调整!$K$33*怪物掉落配置方案!$D4932</f>
        <v>0</v>
      </c>
    </row>
    <row r="3907" spans="1:4" ht="16.5" hidden="1" x14ac:dyDescent="0.3">
      <c r="A3907" s="10" t="str">
        <f>基本属性!$B$20&amp;"|"&amp;基本属性!$C$20</f>
        <v>200|10</v>
      </c>
      <c r="B3907" s="10" t="str">
        <f>参数调整!$J$33</f>
        <v>统领掉落</v>
      </c>
      <c r="C3907" s="8" t="str">
        <f>材料产出!$HV$2</f>
        <v>基本装备</v>
      </c>
      <c r="D3907" s="224">
        <f>参数调整!$K$33*怪物掉落配置方案!$D4933</f>
        <v>0</v>
      </c>
    </row>
    <row r="3908" spans="1:4" ht="16.5" hidden="1" x14ac:dyDescent="0.3">
      <c r="A3908" s="10" t="str">
        <f>基本属性!$B$21&amp;"|"&amp;基本属性!$C$21</f>
        <v>200|11</v>
      </c>
      <c r="B3908" s="10" t="str">
        <f>参数调整!$J$33</f>
        <v>统领掉落</v>
      </c>
      <c r="C3908" s="8" t="str">
        <f>材料产出!$HV$2</f>
        <v>基本装备</v>
      </c>
      <c r="D3908" s="224">
        <f>参数调整!$K$33*怪物掉落配置方案!$D4934</f>
        <v>0</v>
      </c>
    </row>
    <row r="3909" spans="1:4" ht="16.5" hidden="1" x14ac:dyDescent="0.3">
      <c r="A3909" s="10" t="str">
        <f>基本属性!$B$22&amp;"|"&amp;基本属性!$C$22</f>
        <v>210|12</v>
      </c>
      <c r="B3909" s="10" t="str">
        <f>参数调整!$J$33</f>
        <v>统领掉落</v>
      </c>
      <c r="C3909" s="8" t="str">
        <f>材料产出!$HV$2</f>
        <v>基本装备</v>
      </c>
      <c r="D3909" s="224">
        <f>参数调整!$K$33*怪物掉落配置方案!$D4935</f>
        <v>0</v>
      </c>
    </row>
    <row r="3910" spans="1:4" ht="16.5" hidden="1" x14ac:dyDescent="0.3">
      <c r="A3910" s="10" t="str">
        <f>基本属性!$B$23&amp;"|"&amp;基本属性!$C$23</f>
        <v>210|13</v>
      </c>
      <c r="B3910" s="10" t="str">
        <f>参数调整!$J$33</f>
        <v>统领掉落</v>
      </c>
      <c r="C3910" s="8" t="str">
        <f>材料产出!$HV$2</f>
        <v>基本装备</v>
      </c>
      <c r="D3910" s="224">
        <f>参数调整!$K$33*怪物掉落配置方案!$D4936</f>
        <v>0</v>
      </c>
    </row>
    <row r="3911" spans="1:4" ht="16.5" hidden="1" x14ac:dyDescent="0.3">
      <c r="A3911" s="10" t="str">
        <f>基本属性!$B$24&amp;"|"&amp;基本属性!$C$24</f>
        <v>220|14</v>
      </c>
      <c r="B3911" s="10" t="str">
        <f>参数调整!$J$33</f>
        <v>统领掉落</v>
      </c>
      <c r="C3911" s="8" t="str">
        <f>材料产出!$HV$2</f>
        <v>基本装备</v>
      </c>
      <c r="D3911" s="224">
        <f>参数调整!$K$33*怪物掉落配置方案!$D4937</f>
        <v>0</v>
      </c>
    </row>
    <row r="3912" spans="1:4" ht="16.5" hidden="1" x14ac:dyDescent="0.3">
      <c r="A3912" s="10" t="str">
        <f>基本属性!$B$25&amp;"|"&amp;基本属性!$C$25</f>
        <v>220|15</v>
      </c>
      <c r="B3912" s="10" t="str">
        <f>参数调整!$J$33</f>
        <v>统领掉落</v>
      </c>
      <c r="C3912" s="8" t="str">
        <f>材料产出!$HV$2</f>
        <v>基本装备</v>
      </c>
      <c r="D3912" s="224">
        <f>参数调整!$K$33*怪物掉落配置方案!$D4938</f>
        <v>0</v>
      </c>
    </row>
    <row r="3913" spans="1:4" ht="16.5" hidden="1" x14ac:dyDescent="0.3">
      <c r="A3913" s="10" t="str">
        <f>基本属性!$B$26&amp;"|"&amp;基本属性!$C$26</f>
        <v>230|16</v>
      </c>
      <c r="B3913" s="10" t="str">
        <f>参数调整!$J$33</f>
        <v>统领掉落</v>
      </c>
      <c r="C3913" s="8" t="str">
        <f>材料产出!$HV$2</f>
        <v>基本装备</v>
      </c>
      <c r="D3913" s="224">
        <f>参数调整!$K$33*怪物掉落配置方案!$D4939</f>
        <v>0</v>
      </c>
    </row>
    <row r="3914" spans="1:4" ht="16.5" hidden="1" x14ac:dyDescent="0.3">
      <c r="A3914" s="10" t="str">
        <f>基本属性!$B$27&amp;"|"&amp;基本属性!$C$27</f>
        <v>230|17</v>
      </c>
      <c r="B3914" s="10" t="str">
        <f>参数调整!$J$33</f>
        <v>统领掉落</v>
      </c>
      <c r="C3914" s="8" t="str">
        <f>材料产出!$HV$2</f>
        <v>基本装备</v>
      </c>
      <c r="D3914" s="224">
        <f>参数调整!$K$33*怪物掉落配置方案!$D4940</f>
        <v>0</v>
      </c>
    </row>
    <row r="3915" spans="1:4" ht="16.5" hidden="1" x14ac:dyDescent="0.3">
      <c r="A3915" s="10" t="str">
        <f>基本属性!$B$28&amp;"|"&amp;基本属性!$C$28</f>
        <v>240|18</v>
      </c>
      <c r="B3915" s="10" t="str">
        <f>参数调整!$J$33</f>
        <v>统领掉落</v>
      </c>
      <c r="C3915" s="8" t="str">
        <f>材料产出!$HV$2</f>
        <v>基本装备</v>
      </c>
      <c r="D3915" s="224">
        <f>参数调整!$K$33*怪物掉落配置方案!$D4941</f>
        <v>0</v>
      </c>
    </row>
    <row r="3916" spans="1:4" ht="16.5" hidden="1" x14ac:dyDescent="0.3">
      <c r="A3916" s="10" t="str">
        <f>基本属性!$B$29&amp;"|"&amp;基本属性!$C$29</f>
        <v>240|19</v>
      </c>
      <c r="B3916" s="10" t="str">
        <f>参数调整!$J$33</f>
        <v>统领掉落</v>
      </c>
      <c r="C3916" s="8" t="str">
        <f>材料产出!$HV$2</f>
        <v>基本装备</v>
      </c>
      <c r="D3916" s="224">
        <f>参数调整!$K$33*怪物掉落配置方案!$D4942</f>
        <v>0</v>
      </c>
    </row>
    <row r="3917" spans="1:4" ht="16.5" hidden="1" x14ac:dyDescent="0.3">
      <c r="A3917" s="10" t="str">
        <f>基本属性!$B$30&amp;"|"&amp;基本属性!$C$30</f>
        <v>250|20</v>
      </c>
      <c r="B3917" s="10" t="str">
        <f>参数调整!$J$33</f>
        <v>统领掉落</v>
      </c>
      <c r="C3917" s="8" t="str">
        <f>材料产出!$HV$2</f>
        <v>基本装备</v>
      </c>
      <c r="D3917" s="224">
        <f>参数调整!$K$33*怪物掉落配置方案!$D4943</f>
        <v>0</v>
      </c>
    </row>
    <row r="3918" spans="1:4" ht="16.5" hidden="1" x14ac:dyDescent="0.3">
      <c r="A3918" s="10" t="str">
        <f>基本属性!$B$4&amp;"|"&amp;基本属性!$C$4</f>
        <v>35|0</v>
      </c>
      <c r="B3918" s="10" t="str">
        <f>参数调整!$J$33</f>
        <v>统领掉落</v>
      </c>
      <c r="C3918" s="8" t="str">
        <f>材料产出!$AP$2</f>
        <v>火龙气息</v>
      </c>
      <c r="D3918" s="224">
        <f>参数调整!$K$33*怪物掉落配置方案!$D4944</f>
        <v>1.2298418705647924E-2</v>
      </c>
    </row>
    <row r="3919" spans="1:4" ht="16.5" hidden="1" x14ac:dyDescent="0.3">
      <c r="A3919" s="10" t="str">
        <f>基本属性!$B$5&amp;"|"&amp;基本属性!$C$5</f>
        <v>40|0</v>
      </c>
      <c r="B3919" s="10" t="str">
        <f>参数调整!$J$33</f>
        <v>统领掉落</v>
      </c>
      <c r="C3919" s="8" t="str">
        <f>材料产出!$AP$2</f>
        <v>火龙气息</v>
      </c>
      <c r="D3919" s="224">
        <f>参数调整!$K$33*怪物掉落配置方案!$D4945</f>
        <v>1.5565186174335655E-2</v>
      </c>
    </row>
    <row r="3920" spans="1:4" ht="16.5" hidden="1" x14ac:dyDescent="0.3">
      <c r="A3920" s="10" t="str">
        <f>基本属性!$B$6&amp;"|"&amp;基本属性!$C$6</f>
        <v>50|0</v>
      </c>
      <c r="B3920" s="10" t="str">
        <f>参数调整!$J$33</f>
        <v>统领掉落</v>
      </c>
      <c r="C3920" s="8" t="str">
        <f>材料产出!$AP$2</f>
        <v>火龙气息</v>
      </c>
      <c r="D3920" s="224">
        <f>参数调整!$K$33*怪物掉落配置方案!$D4946</f>
        <v>1.9216279227574885E-2</v>
      </c>
    </row>
    <row r="3921" spans="1:4" ht="16.5" hidden="1" x14ac:dyDescent="0.3">
      <c r="A3921" s="10" t="str">
        <f>基本属性!$B$7&amp;"|"&amp;基本属性!$C$7</f>
        <v>60|0</v>
      </c>
      <c r="B3921" s="10" t="str">
        <f>参数调整!$J$33</f>
        <v>统领掉落</v>
      </c>
      <c r="C3921" s="8" t="str">
        <f>材料产出!$AP$2</f>
        <v>火龙气息</v>
      </c>
      <c r="D3921" s="224">
        <f>参数调整!$K$33*怪物掉落配置方案!$D4947</f>
        <v>2.3251697865365614E-2</v>
      </c>
    </row>
    <row r="3922" spans="1:4" ht="16.5" hidden="1" x14ac:dyDescent="0.3">
      <c r="A3922" s="10" t="str">
        <f>基本属性!$B$8&amp;"|"&amp;基本属性!$C$8</f>
        <v>65|0</v>
      </c>
      <c r="B3922" s="10" t="str">
        <f>参数调整!$J$33</f>
        <v>统领掉落</v>
      </c>
      <c r="C3922" s="8" t="str">
        <f>材料产出!$AP$2</f>
        <v>火龙气息</v>
      </c>
      <c r="D3922" s="224">
        <f>参数调整!$K$33*怪物掉落配置方案!$D4948</f>
        <v>2.7671442087707832E-2</v>
      </c>
    </row>
    <row r="3923" spans="1:4" ht="16.5" hidden="1" x14ac:dyDescent="0.3">
      <c r="A3923" s="10" t="str">
        <f>基本属性!$B$9&amp;"|"&amp;基本属性!$C$9</f>
        <v>70|0</v>
      </c>
      <c r="B3923" s="10" t="str">
        <f>参数调整!$J$33</f>
        <v>统领掉落</v>
      </c>
      <c r="C3923" s="8" t="str">
        <f>材料产出!$AP$2</f>
        <v>火龙气息</v>
      </c>
      <c r="D3923" s="224">
        <f>参数调整!$K$33*怪物掉落配置方案!$D4949</f>
        <v>3.2475511894601551E-2</v>
      </c>
    </row>
    <row r="3924" spans="1:4" ht="16.5" hidden="1" x14ac:dyDescent="0.3">
      <c r="A3924" s="10" t="str">
        <f>基本属性!$B$10&amp;"|"&amp;基本属性!$C$10</f>
        <v>75|0</v>
      </c>
      <c r="B3924" s="10" t="str">
        <f>参数调整!$J$33</f>
        <v>统领掉落</v>
      </c>
      <c r="C3924" s="8" t="str">
        <f>材料产出!$AP$2</f>
        <v>火龙气息</v>
      </c>
      <c r="D3924" s="224">
        <f>参数调整!$K$33*怪物掉落配置方案!$D4950</f>
        <v>3.7663907286046759E-2</v>
      </c>
    </row>
    <row r="3925" spans="1:4" ht="16.5" hidden="1" x14ac:dyDescent="0.3">
      <c r="A3925" s="10" t="str">
        <f>基本属性!$B$11&amp;"|"&amp;基本属性!$C$11</f>
        <v>80|1</v>
      </c>
      <c r="B3925" s="10" t="str">
        <f>参数调整!$J$33</f>
        <v>统领掉落</v>
      </c>
      <c r="C3925" s="8" t="str">
        <f>材料产出!$AP$2</f>
        <v>火龙气息</v>
      </c>
      <c r="D3925" s="224">
        <f>参数调整!$K$33*怪物掉落配置方案!$D4951</f>
        <v>4.3236628262043483E-2</v>
      </c>
    </row>
    <row r="3926" spans="1:4" ht="16.5" hidden="1" x14ac:dyDescent="0.3">
      <c r="A3926" s="10" t="str">
        <f>基本属性!$B$12&amp;"|"&amp;基本属性!$C$12</f>
        <v>90|2</v>
      </c>
      <c r="B3926" s="10" t="str">
        <f>参数调整!$J$33</f>
        <v>统领掉落</v>
      </c>
      <c r="C3926" s="8" t="str">
        <f>材料产出!$AP$2</f>
        <v>火龙气息</v>
      </c>
      <c r="D3926" s="224">
        <f>参数调整!$K$33*怪物掉落配置方案!$D4952</f>
        <v>4.9193674822591696E-2</v>
      </c>
    </row>
    <row r="3927" spans="1:4" ht="16.5" hidden="1" x14ac:dyDescent="0.3">
      <c r="A3927" s="10" t="str">
        <f>基本属性!$B$13&amp;"|"&amp;基本属性!$C$13</f>
        <v>100|3</v>
      </c>
      <c r="B3927" s="10" t="str">
        <f>参数调整!$J$33</f>
        <v>统领掉落</v>
      </c>
      <c r="C3927" s="8" t="str">
        <f>材料产出!$AP$2</f>
        <v>火龙气息</v>
      </c>
      <c r="D3927" s="224">
        <f>参数调整!$K$33*怪物掉落配置方案!$D4953</f>
        <v>6.2260744697342621E-2</v>
      </c>
    </row>
    <row r="3928" spans="1:4" ht="16.5" hidden="1" x14ac:dyDescent="0.3">
      <c r="A3928" s="10" t="str">
        <f>基本属性!$B$14&amp;"|"&amp;基本属性!$C$14</f>
        <v>105|4</v>
      </c>
      <c r="B3928" s="10" t="str">
        <f>参数调整!$J$33</f>
        <v>统领掉落</v>
      </c>
      <c r="C3928" s="8" t="str">
        <f>材料产出!$AP$2</f>
        <v>火龙气息</v>
      </c>
      <c r="D3928" s="224">
        <f>参数调整!$K$33*怪物掉落配置方案!$D4954</f>
        <v>7.6865116910299541E-2</v>
      </c>
    </row>
    <row r="3929" spans="1:4" ht="16.5" hidden="1" x14ac:dyDescent="0.3">
      <c r="A3929" s="10" t="str">
        <f>基本属性!$B$15&amp;"|"&amp;基本属性!$C$15</f>
        <v>110|5</v>
      </c>
      <c r="B3929" s="10" t="str">
        <f>参数调整!$J$33</f>
        <v>统领掉落</v>
      </c>
      <c r="C3929" s="8" t="str">
        <f>材料产出!$AP$2</f>
        <v>火龙气息</v>
      </c>
      <c r="D3929" s="224">
        <f>参数调整!$K$33*怪物掉落配置方案!$D4955</f>
        <v>9.3006791461462457E-2</v>
      </c>
    </row>
    <row r="3930" spans="1:4" ht="16.5" hidden="1" x14ac:dyDescent="0.3">
      <c r="A3930" s="10" t="str">
        <f>基本属性!$B$16&amp;"|"&amp;基本属性!$C$16</f>
        <v>120|6</v>
      </c>
      <c r="B3930" s="10" t="str">
        <f>参数调整!$J$33</f>
        <v>统领掉落</v>
      </c>
      <c r="C3930" s="8" t="str">
        <f>材料产出!$AP$2</f>
        <v>火龙气息</v>
      </c>
      <c r="D3930" s="224">
        <f>参数调整!$K$33*怪物掉落配置方案!$D4956</f>
        <v>0.12010174517234301</v>
      </c>
    </row>
    <row r="3931" spans="1:4" ht="16.5" hidden="1" x14ac:dyDescent="0.3">
      <c r="A3931" s="10" t="str">
        <f>基本属性!$B$17&amp;"|"&amp;基本属性!$C$17</f>
        <v>135|7</v>
      </c>
      <c r="B3931" s="10" t="str">
        <f>参数调整!$J$33</f>
        <v>统领掉落</v>
      </c>
      <c r="C3931" s="8" t="str">
        <f>材料产出!$AP$2</f>
        <v>火龙气息</v>
      </c>
      <c r="D3931" s="224">
        <f>参数调整!$K$33*怪物掉落配置方案!$D4957</f>
        <v>0.17294651304817393</v>
      </c>
    </row>
    <row r="3932" spans="1:4" ht="16.5" hidden="1" x14ac:dyDescent="0.3">
      <c r="A3932" s="10" t="str">
        <f>基本属性!$B$18&amp;"|"&amp;基本属性!$C$18</f>
        <v>155|8</v>
      </c>
      <c r="B3932" s="10" t="str">
        <f>参数调整!$J$33</f>
        <v>统领掉落</v>
      </c>
      <c r="C3932" s="8" t="str">
        <f>材料产出!$AP$2</f>
        <v>火龙气息</v>
      </c>
      <c r="D3932" s="224">
        <f>参数调整!$K$33*怪物掉落配置方案!$D4958</f>
        <v>0.23539942053779234</v>
      </c>
    </row>
    <row r="3933" spans="1:4" ht="16.5" hidden="1" x14ac:dyDescent="0.3">
      <c r="A3933" s="10" t="str">
        <f>基本属性!$B$19&amp;"|"&amp;基本属性!$C$19</f>
        <v>190|9</v>
      </c>
      <c r="B3933" s="10" t="str">
        <f>参数调整!$J$33</f>
        <v>统领掉落</v>
      </c>
      <c r="C3933" s="8" t="str">
        <f>材料产出!$AP$2</f>
        <v>火龙气息</v>
      </c>
      <c r="D3933" s="224">
        <f>参数调整!$K$33*怪物掉落配置方案!$D4959</f>
        <v>0.26307086262550017</v>
      </c>
    </row>
    <row r="3934" spans="1:4" ht="16.5" hidden="1" x14ac:dyDescent="0.3">
      <c r="A3934" s="10" t="str">
        <f>基本属性!$B$20&amp;"|"&amp;基本属性!$C$20</f>
        <v>200|10</v>
      </c>
      <c r="B3934" s="10" t="str">
        <f>参数调整!$J$33</f>
        <v>统领掉落</v>
      </c>
      <c r="C3934" s="8" t="str">
        <f>材料产出!$AP$2</f>
        <v>火龙气息</v>
      </c>
      <c r="D3934" s="224">
        <f>参数调整!$K$33*怪物掉落配置方案!$D4960</f>
        <v>0.30746046764119817</v>
      </c>
    </row>
    <row r="3935" spans="1:4" ht="16.5" hidden="1" x14ac:dyDescent="0.3">
      <c r="A3935" s="10" t="str">
        <f>基本属性!$B$21&amp;"|"&amp;基本属性!$C$21</f>
        <v>200|11</v>
      </c>
      <c r="B3935" s="10" t="str">
        <f>参数调整!$J$33</f>
        <v>统领掉落</v>
      </c>
      <c r="C3935" s="8" t="str">
        <f>材料产出!$AP$2</f>
        <v>火龙气息</v>
      </c>
      <c r="D3935" s="224">
        <f>参数调整!$K$33*怪物掉落配置方案!$D4961</f>
        <v>0.35530900291785955</v>
      </c>
    </row>
    <row r="3936" spans="1:4" ht="16.5" hidden="1" x14ac:dyDescent="0.3">
      <c r="A3936" s="10" t="str">
        <f>基本属性!$B$22&amp;"|"&amp;基本属性!$C$22</f>
        <v>210|12</v>
      </c>
      <c r="B3936" s="10" t="str">
        <f>参数调整!$J$33</f>
        <v>统领掉落</v>
      </c>
      <c r="C3936" s="8" t="str">
        <f>材料产出!$AP$2</f>
        <v>火龙气息</v>
      </c>
      <c r="D3936" s="224">
        <f>参数调整!$K$33*怪物掉落配置方案!$D4962</f>
        <v>0.40661646845548438</v>
      </c>
    </row>
    <row r="3937" spans="1:4" ht="16.5" hidden="1" x14ac:dyDescent="0.3">
      <c r="A3937" s="10" t="str">
        <f>基本属性!$B$23&amp;"|"&amp;基本属性!$C$23</f>
        <v>210|13</v>
      </c>
      <c r="B3937" s="10" t="str">
        <f>参数调整!$J$33</f>
        <v>统领掉落</v>
      </c>
      <c r="C3937" s="8" t="str">
        <f>材料产出!$AP$2</f>
        <v>火龙气息</v>
      </c>
      <c r="D3937" s="224">
        <f>参数调整!$K$33*怪物掉落配置方案!$D4963</f>
        <v>0.46138286425407304</v>
      </c>
    </row>
    <row r="3938" spans="1:4" ht="16.5" hidden="1" x14ac:dyDescent="0.3">
      <c r="A3938" s="10" t="str">
        <f>基本属性!$B$24&amp;"|"&amp;基本属性!$C$24</f>
        <v>220|14</v>
      </c>
      <c r="B3938" s="10" t="str">
        <f>参数调整!$J$33</f>
        <v>统领掉落</v>
      </c>
      <c r="C3938" s="8" t="str">
        <f>材料产出!$AP$2</f>
        <v>火龙气息</v>
      </c>
      <c r="D3938" s="224">
        <f>参数调整!$K$33*怪物掉落配置方案!$D4964</f>
        <v>0.51960819031362482</v>
      </c>
    </row>
    <row r="3939" spans="1:4" ht="16.5" hidden="1" x14ac:dyDescent="0.3">
      <c r="A3939" s="10" t="str">
        <f>基本属性!$B$25&amp;"|"&amp;基本属性!$C$25</f>
        <v>220|15</v>
      </c>
      <c r="B3939" s="10" t="str">
        <f>参数调整!$J$33</f>
        <v>统领掉落</v>
      </c>
      <c r="C3939" s="8" t="str">
        <f>材料产出!$AP$2</f>
        <v>火龙气息</v>
      </c>
      <c r="D3939" s="224">
        <f>参数调整!$K$33*怪物掉落配置方案!$D4965</f>
        <v>0.58129244663414015</v>
      </c>
    </row>
    <row r="3940" spans="1:4" ht="16.5" hidden="1" x14ac:dyDescent="0.3">
      <c r="A3940" s="10" t="str">
        <f>基本属性!$B$26&amp;"|"&amp;基本属性!$C$26</f>
        <v>230|16</v>
      </c>
      <c r="B3940" s="10" t="str">
        <f>参数调整!$J$33</f>
        <v>统领掉落</v>
      </c>
      <c r="C3940" s="8" t="str">
        <f>材料产出!$AP$2</f>
        <v>火龙气息</v>
      </c>
      <c r="D3940" s="224">
        <f>参数调整!$K$33*怪物掉落配置方案!$D4966</f>
        <v>0.64643563321561903</v>
      </c>
    </row>
    <row r="3941" spans="1:4" ht="16.5" hidden="1" x14ac:dyDescent="0.3">
      <c r="A3941" s="10" t="str">
        <f>基本属性!$B$27&amp;"|"&amp;基本属性!$C$27</f>
        <v>230|17</v>
      </c>
      <c r="B3941" s="10" t="str">
        <f>参数调整!$J$33</f>
        <v>统领掉落</v>
      </c>
      <c r="C3941" s="8" t="str">
        <f>材料产出!$AP$2</f>
        <v>火龙气息</v>
      </c>
      <c r="D3941" s="224">
        <f>参数调整!$K$33*怪物掉落配置方案!$D4967</f>
        <v>0.71503775005806125</v>
      </c>
    </row>
    <row r="3942" spans="1:4" ht="16.5" hidden="1" x14ac:dyDescent="0.3">
      <c r="A3942" s="10" t="str">
        <f>基本属性!$B$28&amp;"|"&amp;基本属性!$C$28</f>
        <v>240|18</v>
      </c>
      <c r="B3942" s="10" t="str">
        <f>参数调整!$J$33</f>
        <v>统领掉落</v>
      </c>
      <c r="C3942" s="8" t="str">
        <f>材料产出!$AP$2</f>
        <v>火龙气息</v>
      </c>
      <c r="D3942" s="224">
        <f>参数调整!$K$33*怪物掉落配置方案!$D4968</f>
        <v>0.78709879716146713</v>
      </c>
    </row>
    <row r="3943" spans="1:4" ht="16.5" hidden="1" x14ac:dyDescent="0.3">
      <c r="A3943" s="10" t="str">
        <f>基本属性!$B$29&amp;"|"&amp;基本属性!$C$29</f>
        <v>240|19</v>
      </c>
      <c r="B3943" s="10" t="str">
        <f>参数调整!$J$33</f>
        <v>统领掉落</v>
      </c>
      <c r="C3943" s="8" t="str">
        <f>材料产出!$AP$2</f>
        <v>火龙气息</v>
      </c>
      <c r="D3943" s="224">
        <f>参数调整!$K$33*怪物掉落配置方案!$D4969</f>
        <v>0.86261877452583657</v>
      </c>
    </row>
    <row r="3944" spans="1:4" ht="16.5" hidden="1" x14ac:dyDescent="0.3">
      <c r="A3944" s="10" t="str">
        <f>基本属性!$B$30&amp;"|"&amp;基本属性!$C$30</f>
        <v>250|20</v>
      </c>
      <c r="B3944" s="10" t="str">
        <f>参数调整!$J$33</f>
        <v>统领掉落</v>
      </c>
      <c r="C3944" s="8" t="str">
        <f>材料产出!$AP$2</f>
        <v>火龙气息</v>
      </c>
      <c r="D3944" s="224">
        <f>参数调整!$K$33*怪物掉落配置方案!$D4970</f>
        <v>0.94159768215116912</v>
      </c>
    </row>
    <row r="3945" spans="1:4" ht="16.5" hidden="1" x14ac:dyDescent="0.3">
      <c r="A3945" s="10" t="str">
        <f>基本属性!$B$4&amp;"|"&amp;基本属性!$C$4</f>
        <v>35|0</v>
      </c>
      <c r="B3945" s="10" t="str">
        <f>参数调整!$J$33</f>
        <v>统领掉落</v>
      </c>
      <c r="C3945" s="8" t="str">
        <f>材料产出!$N$2</f>
        <v>火龙凭证</v>
      </c>
      <c r="D3945" s="224">
        <f>参数调整!$K$33*怪物掉落配置方案!$D4971</f>
        <v>0.32475046866291735</v>
      </c>
    </row>
    <row r="3946" spans="1:4" ht="16.5" hidden="1" x14ac:dyDescent="0.3">
      <c r="A3946" s="10" t="str">
        <f>基本属性!$B$5&amp;"|"&amp;基本属性!$C$5</f>
        <v>40|0</v>
      </c>
      <c r="B3946" s="10" t="str">
        <f>参数调整!$J$33</f>
        <v>统领掉落</v>
      </c>
      <c r="C3946" s="8" t="str">
        <f>材料产出!$N$2</f>
        <v>火龙凭证</v>
      </c>
      <c r="D3946" s="224">
        <f>参数调整!$K$33*怪物掉落配置方案!$D4972</f>
        <v>0.41101231190150478</v>
      </c>
    </row>
    <row r="3947" spans="1:4" ht="16.5" hidden="1" x14ac:dyDescent="0.3">
      <c r="A3947" s="10" t="str">
        <f>基本属性!$B$6&amp;"|"&amp;基本属性!$C$6</f>
        <v>50|0</v>
      </c>
      <c r="B3947" s="10" t="str">
        <f>参数调整!$J$33</f>
        <v>统领掉落</v>
      </c>
      <c r="C3947" s="8" t="str">
        <f>材料产出!$N$2</f>
        <v>火龙凭证</v>
      </c>
      <c r="D3947" s="224">
        <f>参数调整!$K$33*怪物掉落配置方案!$D4973</f>
        <v>0.50742260728580835</v>
      </c>
    </row>
    <row r="3948" spans="1:4" ht="16.5" hidden="1" x14ac:dyDescent="0.3">
      <c r="A3948" s="10" t="str">
        <f>基本属性!$B$7&amp;"|"&amp;基本属性!$C$7</f>
        <v>60|0</v>
      </c>
      <c r="B3948" s="10" t="str">
        <f>参数调整!$J$33</f>
        <v>统领掉落</v>
      </c>
      <c r="C3948" s="8" t="str">
        <f>材料产出!$N$2</f>
        <v>火龙凭证</v>
      </c>
      <c r="D3948" s="224">
        <f>参数调整!$K$33*怪物掉落配置方案!$D4974</f>
        <v>0.61398135481582816</v>
      </c>
    </row>
    <row r="3949" spans="1:4" ht="16.5" hidden="1" x14ac:dyDescent="0.3">
      <c r="A3949" s="10" t="str">
        <f>基本属性!$B$8&amp;"|"&amp;基本属性!$C$8</f>
        <v>65|0</v>
      </c>
      <c r="B3949" s="10" t="str">
        <f>参数调整!$J$33</f>
        <v>统领掉落</v>
      </c>
      <c r="C3949" s="8" t="str">
        <f>材料产出!$N$2</f>
        <v>火龙凭证</v>
      </c>
      <c r="D3949" s="224">
        <f>参数调整!$K$33*怪物掉落配置方案!$D4975</f>
        <v>0.730688554491564</v>
      </c>
    </row>
    <row r="3950" spans="1:4" ht="16.5" hidden="1" x14ac:dyDescent="0.3">
      <c r="A3950" s="10" t="str">
        <f>基本属性!$B$9&amp;"|"&amp;基本属性!$C$9</f>
        <v>70|0</v>
      </c>
      <c r="B3950" s="10" t="str">
        <f>参数调整!$J$33</f>
        <v>统领掉落</v>
      </c>
      <c r="C3950" s="8" t="str">
        <f>材料产出!$N$2</f>
        <v>火龙凭证</v>
      </c>
      <c r="D3950" s="224">
        <f>参数调整!$K$33*怪物掉落配置方案!$D4976</f>
        <v>0.8575442063130162</v>
      </c>
    </row>
    <row r="3951" spans="1:4" ht="16.5" hidden="1" x14ac:dyDescent="0.3">
      <c r="A3951" s="10" t="str">
        <f>基本属性!$B$10&amp;"|"&amp;基本属性!$C$10</f>
        <v>75|0</v>
      </c>
      <c r="B3951" s="10" t="str">
        <f>参数调整!$J$33</f>
        <v>统领掉落</v>
      </c>
      <c r="C3951" s="8" t="str">
        <f>材料产出!$N$2</f>
        <v>火龙凭证</v>
      </c>
      <c r="D3951" s="224">
        <f>参数调整!$K$33*怪物掉落配置方案!$D4977</f>
        <v>0.99454831028018431</v>
      </c>
    </row>
    <row r="3952" spans="1:4" ht="16.5" hidden="1" x14ac:dyDescent="0.3">
      <c r="A3952" s="10" t="str">
        <f>基本属性!$B$11&amp;"|"&amp;基本属性!$C$11</f>
        <v>80|1</v>
      </c>
      <c r="B3952" s="10" t="str">
        <f>参数调整!$J$33</f>
        <v>统领掉落</v>
      </c>
      <c r="C3952" s="8" t="str">
        <f>材料产出!$N$2</f>
        <v>火龙凭证</v>
      </c>
      <c r="D3952" s="224">
        <f>参数调整!$K$33*怪物掉落配置方案!$D4978</f>
        <v>1.1417008663930688</v>
      </c>
    </row>
    <row r="3953" spans="1:4" ht="16.5" hidden="1" x14ac:dyDescent="0.3">
      <c r="A3953" s="10" t="str">
        <f>基本属性!$B$12&amp;"|"&amp;基本属性!$C$12</f>
        <v>90|2</v>
      </c>
      <c r="B3953" s="10" t="str">
        <f>参数调整!$J$33</f>
        <v>统领掉落</v>
      </c>
      <c r="C3953" s="8" t="str">
        <f>材料产出!$N$2</f>
        <v>火龙凭证</v>
      </c>
      <c r="D3953" s="224">
        <f>参数调整!$K$33*怪物掉落配置方案!$D4979</f>
        <v>1.2990018746516696</v>
      </c>
    </row>
    <row r="3954" spans="1:4" ht="16.5" hidden="1" x14ac:dyDescent="0.3">
      <c r="A3954" s="10" t="str">
        <f>基本属性!$B$13&amp;"|"&amp;基本属性!$C$13</f>
        <v>100|3</v>
      </c>
      <c r="B3954" s="10" t="str">
        <f>参数调整!$J$33</f>
        <v>统领掉落</v>
      </c>
      <c r="C3954" s="8" t="str">
        <f>材料产出!$N$2</f>
        <v>火龙凭证</v>
      </c>
      <c r="D3954" s="224">
        <f>参数调整!$K$33*怪物掉落配置方案!$D4980</f>
        <v>1.6440492476060191</v>
      </c>
    </row>
    <row r="3955" spans="1:4" ht="16.5" hidden="1" x14ac:dyDescent="0.3">
      <c r="A3955" s="10" t="str">
        <f>基本属性!$B$14&amp;"|"&amp;基本属性!$C$14</f>
        <v>105|4</v>
      </c>
      <c r="B3955" s="10" t="str">
        <f>参数调整!$J$33</f>
        <v>统领掉落</v>
      </c>
      <c r="C3955" s="8" t="str">
        <f>材料产出!$N$2</f>
        <v>火龙凭证</v>
      </c>
      <c r="D3955" s="224">
        <f>参数调整!$K$33*怪物掉落配置方案!$D4981</f>
        <v>2.0296904291432338</v>
      </c>
    </row>
    <row r="3956" spans="1:4" ht="16.5" hidden="1" x14ac:dyDescent="0.3">
      <c r="A3956" s="10" t="str">
        <f>基本属性!$B$15&amp;"|"&amp;基本属性!$C$15</f>
        <v>110|5</v>
      </c>
      <c r="B3956" s="10" t="str">
        <f>参数调整!$J$33</f>
        <v>统领掉落</v>
      </c>
      <c r="C3956" s="8" t="str">
        <f>材料产出!$N$2</f>
        <v>火龙凭证</v>
      </c>
      <c r="D3956" s="224">
        <f>参数调整!$K$33*怪物掉落配置方案!$D4982</f>
        <v>2.4559254192633126</v>
      </c>
    </row>
    <row r="3957" spans="1:4" ht="16.5" hidden="1" x14ac:dyDescent="0.3">
      <c r="A3957" s="10" t="str">
        <f>基本属性!$B$16&amp;"|"&amp;基本属性!$C$16</f>
        <v>120|6</v>
      </c>
      <c r="B3957" s="10" t="str">
        <f>参数调整!$J$33</f>
        <v>统领掉落</v>
      </c>
      <c r="C3957" s="8" t="str">
        <f>材料产出!$N$2</f>
        <v>火龙凭证</v>
      </c>
      <c r="D3957" s="224">
        <f>参数调整!$K$33*怪物掉落配置方案!$D4983</f>
        <v>3.1713912955363019</v>
      </c>
    </row>
    <row r="3958" spans="1:4" ht="16.5" hidden="1" x14ac:dyDescent="0.3">
      <c r="A3958" s="10" t="str">
        <f>基本属性!$B$17&amp;"|"&amp;基本属性!$C$17</f>
        <v>135|7</v>
      </c>
      <c r="B3958" s="10" t="str">
        <f>参数调整!$J$33</f>
        <v>统领掉落</v>
      </c>
      <c r="C3958" s="8" t="str">
        <f>材料产出!$N$2</f>
        <v>火龙凭证</v>
      </c>
      <c r="D3958" s="224">
        <f>参数调整!$K$33*怪物掉落配置方案!$D4984</f>
        <v>4.5668034655722751</v>
      </c>
    </row>
    <row r="3959" spans="1:4" ht="16.5" hidden="1" x14ac:dyDescent="0.3">
      <c r="A3959" s="10" t="str">
        <f>基本属性!$B$18&amp;"|"&amp;基本属性!$C$18</f>
        <v>155|8</v>
      </c>
      <c r="B3959" s="10" t="str">
        <f>参数调整!$J$33</f>
        <v>统领掉落</v>
      </c>
      <c r="C3959" s="8" t="str">
        <f>材料产出!$N$2</f>
        <v>火龙凭证</v>
      </c>
      <c r="D3959" s="224">
        <f>参数调整!$K$33*怪物掉落配置方案!$D4985</f>
        <v>6.2159269392511529</v>
      </c>
    </row>
    <row r="3960" spans="1:4" ht="16.5" hidden="1" x14ac:dyDescent="0.3">
      <c r="A3960" s="10" t="str">
        <f>基本属性!$B$19&amp;"|"&amp;基本属性!$C$19</f>
        <v>190|9</v>
      </c>
      <c r="B3960" s="10" t="str">
        <f>参数调整!$J$33</f>
        <v>统领掉落</v>
      </c>
      <c r="C3960" s="8" t="str">
        <f>材料产出!$N$2</f>
        <v>火龙凭证</v>
      </c>
      <c r="D3960" s="224">
        <f>参数调整!$K$33*怪物掉落配置方案!$D4986</f>
        <v>6.9466154937427183</v>
      </c>
    </row>
    <row r="3961" spans="1:4" ht="16.5" hidden="1" x14ac:dyDescent="0.3">
      <c r="A3961" s="10" t="str">
        <f>基本属性!$B$20&amp;"|"&amp;基本属性!$C$20</f>
        <v>200|10</v>
      </c>
      <c r="B3961" s="10" t="str">
        <f>参数调整!$J$33</f>
        <v>统领掉落</v>
      </c>
      <c r="C3961" s="8" t="str">
        <f>材料产出!$N$2</f>
        <v>火龙凭证</v>
      </c>
      <c r="D3961" s="224">
        <f>参数调整!$K$33*怪物掉落配置方案!$D4987</f>
        <v>8.1187617165729353</v>
      </c>
    </row>
    <row r="3962" spans="1:4" ht="16.5" hidden="1" x14ac:dyDescent="0.3">
      <c r="A3962" s="10" t="str">
        <f>基本属性!$B$21&amp;"|"&amp;基本属性!$C$21</f>
        <v>200|11</v>
      </c>
      <c r="B3962" s="10" t="str">
        <f>参数调整!$J$33</f>
        <v>统领掉落</v>
      </c>
      <c r="C3962" s="8" t="str">
        <f>材料产出!$N$2</f>
        <v>火龙凭证</v>
      </c>
      <c r="D3962" s="224">
        <f>参数调整!$K$33*怪物掉落配置方案!$D4988</f>
        <v>9.3822440087145953</v>
      </c>
    </row>
    <row r="3963" spans="1:4" ht="16.5" hidden="1" x14ac:dyDescent="0.3">
      <c r="A3963" s="10" t="str">
        <f>基本属性!$B$22&amp;"|"&amp;基本属性!$C$22</f>
        <v>210|12</v>
      </c>
      <c r="B3963" s="10" t="str">
        <f>参数调整!$J$33</f>
        <v>统领掉落</v>
      </c>
      <c r="C3963" s="8" t="str">
        <f>材料产出!$N$2</f>
        <v>火龙凭证</v>
      </c>
      <c r="D3963" s="224">
        <f>参数调整!$K$33*怪物掉落配置方案!$D4989</f>
        <v>10.737062370167703</v>
      </c>
    </row>
    <row r="3964" spans="1:4" ht="16.5" hidden="1" x14ac:dyDescent="0.3">
      <c r="A3964" s="10" t="str">
        <f>基本属性!$B$23&amp;"|"&amp;基本属性!$C$23</f>
        <v>210|13</v>
      </c>
      <c r="B3964" s="10" t="str">
        <f>参数调整!$J$33</f>
        <v>统领掉落</v>
      </c>
      <c r="C3964" s="8" t="str">
        <f>材料产出!$N$2</f>
        <v>火龙凭证</v>
      </c>
      <c r="D3964" s="224">
        <f>参数调整!$K$33*怪物掉落配置方案!$D4990</f>
        <v>12.183216800932261</v>
      </c>
    </row>
    <row r="3965" spans="1:4" ht="16.5" hidden="1" x14ac:dyDescent="0.3">
      <c r="A3965" s="10" t="str">
        <f>基本属性!$B$24&amp;"|"&amp;基本属性!$C$24</f>
        <v>220|14</v>
      </c>
      <c r="B3965" s="10" t="str">
        <f>参数调整!$J$33</f>
        <v>统领掉落</v>
      </c>
      <c r="C3965" s="8" t="str">
        <f>材料产出!$N$2</f>
        <v>火龙凭证</v>
      </c>
      <c r="D3965" s="224">
        <f>参数调整!$K$33*怪物掉落配置方案!$D4991</f>
        <v>13.720707301008259</v>
      </c>
    </row>
    <row r="3966" spans="1:4" ht="16.5" hidden="1" x14ac:dyDescent="0.3">
      <c r="A3966" s="10" t="str">
        <f>基本属性!$B$25&amp;"|"&amp;基本属性!$C$25</f>
        <v>220|15</v>
      </c>
      <c r="B3966" s="10" t="str">
        <f>参数调整!$J$33</f>
        <v>统领掉落</v>
      </c>
      <c r="C3966" s="8" t="str">
        <f>材料产出!$N$2</f>
        <v>火龙凭证</v>
      </c>
      <c r="D3966" s="224">
        <f>参数调整!$K$33*怪物掉落配置方案!$D4992</f>
        <v>15.349533870395701</v>
      </c>
    </row>
    <row r="3967" spans="1:4" ht="16.5" hidden="1" x14ac:dyDescent="0.3">
      <c r="A3967" s="10" t="str">
        <f>基本属性!$B$26&amp;"|"&amp;基本属性!$C$26</f>
        <v>230|16</v>
      </c>
      <c r="B3967" s="10" t="str">
        <f>参数调整!$J$33</f>
        <v>统领掉落</v>
      </c>
      <c r="C3967" s="8" t="str">
        <f>材料产出!$N$2</f>
        <v>火龙凭证</v>
      </c>
      <c r="D3967" s="224">
        <f>参数调整!$K$33*怪物掉落配置方案!$D4993</f>
        <v>17.069696509094594</v>
      </c>
    </row>
    <row r="3968" spans="1:4" ht="16.5" hidden="1" x14ac:dyDescent="0.3">
      <c r="A3968" s="10" t="str">
        <f>基本属性!$B$27&amp;"|"&amp;基本属性!$C$27</f>
        <v>230|17</v>
      </c>
      <c r="B3968" s="10" t="str">
        <f>参数调整!$J$33</f>
        <v>统领掉落</v>
      </c>
      <c r="C3968" s="8" t="str">
        <f>材料产出!$N$2</f>
        <v>火龙凭证</v>
      </c>
      <c r="D3968" s="224">
        <f>参数调整!$K$33*怪物掉落配置方案!$D4994</f>
        <v>18.881195217104928</v>
      </c>
    </row>
    <row r="3969" spans="1:4" ht="16.5" hidden="1" x14ac:dyDescent="0.3">
      <c r="A3969" s="10" t="str">
        <f>基本属性!$B$28&amp;"|"&amp;基本属性!$C$28</f>
        <v>240|18</v>
      </c>
      <c r="B3969" s="10" t="str">
        <f>参数调整!$J$33</f>
        <v>统领掉落</v>
      </c>
      <c r="C3969" s="8" t="str">
        <f>材料产出!$N$2</f>
        <v>火龙凭证</v>
      </c>
      <c r="D3969" s="224">
        <f>参数调整!$K$33*怪物掉落配置方案!$D4995</f>
        <v>20.784029994426714</v>
      </c>
    </row>
    <row r="3970" spans="1:4" ht="16.5" hidden="1" x14ac:dyDescent="0.3">
      <c r="A3970" s="10" t="str">
        <f>基本属性!$B$29&amp;"|"&amp;基本属性!$C$29</f>
        <v>240|19</v>
      </c>
      <c r="B3970" s="10" t="str">
        <f>参数调整!$J$33</f>
        <v>统领掉落</v>
      </c>
      <c r="C3970" s="8" t="str">
        <f>材料产出!$N$2</f>
        <v>火龙凭证</v>
      </c>
      <c r="D3970" s="224">
        <f>参数调整!$K$33*怪物掉落配置方案!$D4996</f>
        <v>22.778200841059938</v>
      </c>
    </row>
    <row r="3971" spans="1:4" ht="16.5" hidden="1" x14ac:dyDescent="0.3">
      <c r="A3971" s="10" t="str">
        <f>基本属性!$B$30&amp;"|"&amp;基本属性!$C$30</f>
        <v>250|20</v>
      </c>
      <c r="B3971" s="10" t="str">
        <f>参数调整!$J$33</f>
        <v>统领掉落</v>
      </c>
      <c r="C3971" s="8" t="str">
        <f>材料产出!$N$2</f>
        <v>火龙凭证</v>
      </c>
      <c r="D3971" s="224">
        <f>参数调整!$K$33*怪物掉落配置方案!$D4997</f>
        <v>24.863707757004605</v>
      </c>
    </row>
    <row r="3972" spans="1:4" ht="16.5" hidden="1" x14ac:dyDescent="0.3">
      <c r="A3972" s="10" t="str">
        <f>基本属性!$B$4&amp;"|"&amp;基本属性!$C$4</f>
        <v>35|0</v>
      </c>
      <c r="B3972" s="10" t="str">
        <f>参数调整!$J$33</f>
        <v>统领掉落</v>
      </c>
      <c r="C3972" s="8" t="str">
        <f>材料产出!$AR$2</f>
        <v>火龙精魄</v>
      </c>
      <c r="D3972" s="224">
        <f>参数调整!$K$33*怪物掉落配置方案!$D4998</f>
        <v>1.6233394416779911E-4</v>
      </c>
    </row>
    <row r="3973" spans="1:4" ht="16.5" hidden="1" x14ac:dyDescent="0.3">
      <c r="A3973" s="10" t="str">
        <f>基本属性!$B$5&amp;"|"&amp;基本属性!$C$5</f>
        <v>40|0</v>
      </c>
      <c r="B3973" s="10" t="str">
        <f>参数调整!$J$33</f>
        <v>统领掉落</v>
      </c>
      <c r="C3973" s="8" t="str">
        <f>材料产出!$AR$2</f>
        <v>火龙精魄</v>
      </c>
      <c r="D3973" s="224">
        <f>参数调整!$K$33*怪物掉落配置方案!$D4999</f>
        <v>2.0545389808737072E-4</v>
      </c>
    </row>
    <row r="3974" spans="1:4" ht="16.5" hidden="1" x14ac:dyDescent="0.3">
      <c r="A3974" s="10" t="str">
        <f>基本属性!$B$6&amp;"|"&amp;基本属性!$C$6</f>
        <v>50|0</v>
      </c>
      <c r="B3974" s="10" t="str">
        <f>参数调整!$J$33</f>
        <v>统领掉落</v>
      </c>
      <c r="C3974" s="8" t="str">
        <f>材料产出!$AR$2</f>
        <v>火龙精魄</v>
      </c>
      <c r="D3974" s="224">
        <f>参数调整!$K$33*怪物掉落配置方案!$D5000</f>
        <v>2.5364678776218605E-4</v>
      </c>
    </row>
    <row r="3975" spans="1:4" ht="16.5" hidden="1" x14ac:dyDescent="0.3">
      <c r="A3975" s="10" t="str">
        <f>基本属性!$B$7&amp;"|"&amp;基本属性!$C$7</f>
        <v>60|0</v>
      </c>
      <c r="B3975" s="10" t="str">
        <f>参数调整!$J$33</f>
        <v>统领掉落</v>
      </c>
      <c r="C3975" s="8" t="str">
        <f>材料产出!$AR$2</f>
        <v>火龙精魄</v>
      </c>
      <c r="D3975" s="224">
        <f>参数调整!$K$33*怪物掉落配置方案!$D5001</f>
        <v>3.0691261319224525E-4</v>
      </c>
    </row>
    <row r="3976" spans="1:4" ht="16.5" hidden="1" x14ac:dyDescent="0.3">
      <c r="A3976" s="10" t="str">
        <f>基本属性!$B$8&amp;"|"&amp;基本属性!$C$8</f>
        <v>65|0</v>
      </c>
      <c r="B3976" s="10" t="str">
        <f>参数调整!$J$33</f>
        <v>统领掉落</v>
      </c>
      <c r="C3976" s="8" t="str">
        <f>材料产出!$AR$2</f>
        <v>火龙精魄</v>
      </c>
      <c r="D3976" s="224">
        <f>参数调整!$K$33*怪物掉落配置方案!$D5002</f>
        <v>3.6525137437754793E-4</v>
      </c>
    </row>
    <row r="3977" spans="1:4" ht="16.5" hidden="1" x14ac:dyDescent="0.3">
      <c r="A3977" s="10" t="str">
        <f>基本属性!$B$9&amp;"|"&amp;基本属性!$C$9</f>
        <v>70|0</v>
      </c>
      <c r="B3977" s="10" t="str">
        <f>参数调整!$J$33</f>
        <v>统领掉落</v>
      </c>
      <c r="C3977" s="8" t="str">
        <f>材料产出!$AR$2</f>
        <v>火龙精魄</v>
      </c>
      <c r="D3977" s="224">
        <f>参数调整!$K$33*怪物掉落配置方案!$D5003</f>
        <v>4.2866307131809447E-4</v>
      </c>
    </row>
    <row r="3978" spans="1:4" ht="16.5" hidden="1" x14ac:dyDescent="0.3">
      <c r="A3978" s="10" t="str">
        <f>基本属性!$B$10&amp;"|"&amp;基本属性!$C$10</f>
        <v>75|0</v>
      </c>
      <c r="B3978" s="10" t="str">
        <f>参数调整!$J$33</f>
        <v>统领掉落</v>
      </c>
      <c r="C3978" s="8" t="str">
        <f>材料产出!$AR$2</f>
        <v>火龙精魄</v>
      </c>
      <c r="D3978" s="224">
        <f>参数调整!$K$33*怪物掉落配置方案!$D5004</f>
        <v>4.971477040138846E-4</v>
      </c>
    </row>
    <row r="3979" spans="1:4" ht="16.5" hidden="1" x14ac:dyDescent="0.3">
      <c r="A3979" s="10" t="str">
        <f>基本属性!$B$11&amp;"|"&amp;基本属性!$C$11</f>
        <v>80|1</v>
      </c>
      <c r="B3979" s="10" t="str">
        <f>参数调整!$J$33</f>
        <v>统领掉落</v>
      </c>
      <c r="C3979" s="8" t="str">
        <f>材料产出!$AR$2</f>
        <v>火龙精魄</v>
      </c>
      <c r="D3979" s="224">
        <f>参数调整!$K$33*怪物掉落配置方案!$D5005</f>
        <v>5.7070527246491859E-4</v>
      </c>
    </row>
    <row r="3980" spans="1:4" ht="16.5" hidden="1" x14ac:dyDescent="0.3">
      <c r="A3980" s="10" t="str">
        <f>基本属性!$B$12&amp;"|"&amp;基本属性!$C$12</f>
        <v>90|2</v>
      </c>
      <c r="B3980" s="10" t="str">
        <f>参数调整!$J$33</f>
        <v>统领掉落</v>
      </c>
      <c r="C3980" s="8" t="str">
        <f>材料产出!$AR$2</f>
        <v>火龙精魄</v>
      </c>
      <c r="D3980" s="224">
        <f>参数调整!$K$33*怪物掉落配置方案!$D5006</f>
        <v>6.4933577667119645E-4</v>
      </c>
    </row>
    <row r="3981" spans="1:4" ht="16.5" hidden="1" x14ac:dyDescent="0.3">
      <c r="A3981" s="10" t="str">
        <f>基本属性!$B$13&amp;"|"&amp;基本属性!$C$13</f>
        <v>100|3</v>
      </c>
      <c r="B3981" s="10" t="str">
        <f>参数调整!$J$33</f>
        <v>统领掉落</v>
      </c>
      <c r="C3981" s="8" t="str">
        <f>材料产出!$AR$2</f>
        <v>火龙精魄</v>
      </c>
      <c r="D3981" s="224">
        <f>参数调整!$K$33*怪物掉落配置方案!$D5007</f>
        <v>8.2181559234948309E-4</v>
      </c>
    </row>
    <row r="3982" spans="1:4" ht="16.5" hidden="1" x14ac:dyDescent="0.3">
      <c r="A3982" s="10" t="str">
        <f>基本属性!$B$14&amp;"|"&amp;基本属性!$C$14</f>
        <v>105|4</v>
      </c>
      <c r="B3982" s="10" t="str">
        <f>参数调整!$J$33</f>
        <v>统领掉落</v>
      </c>
      <c r="C3982" s="8" t="str">
        <f>材料产出!$AR$2</f>
        <v>火龙精魄</v>
      </c>
      <c r="D3982" s="224">
        <f>参数调整!$K$33*怪物掉落配置方案!$D5008</f>
        <v>1.0145871510487442E-3</v>
      </c>
    </row>
    <row r="3983" spans="1:4" ht="16.5" hidden="1" x14ac:dyDescent="0.3">
      <c r="A3983" s="10" t="str">
        <f>基本属性!$B$15&amp;"|"&amp;基本属性!$C$15</f>
        <v>110|5</v>
      </c>
      <c r="B3983" s="10" t="str">
        <f>参数调整!$J$33</f>
        <v>统领掉落</v>
      </c>
      <c r="C3983" s="8" t="str">
        <f>材料产出!$AR$2</f>
        <v>火龙精魄</v>
      </c>
      <c r="D3983" s="224">
        <f>参数调整!$K$33*怪物掉落配置方案!$D5009</f>
        <v>1.227650452768981E-3</v>
      </c>
    </row>
    <row r="3984" spans="1:4" ht="16.5" hidden="1" x14ac:dyDescent="0.3">
      <c r="A3984" s="10" t="str">
        <f>基本属性!$B$16&amp;"|"&amp;基本属性!$C$16</f>
        <v>120|6</v>
      </c>
      <c r="B3984" s="10" t="str">
        <f>参数调整!$J$33</f>
        <v>统领掉落</v>
      </c>
      <c r="C3984" s="8" t="str">
        <f>材料产出!$AR$2</f>
        <v>火龙精魄</v>
      </c>
      <c r="D3984" s="224">
        <f>参数调整!$K$33*怪物掉落配置方案!$D5010</f>
        <v>1.5852924235136632E-3</v>
      </c>
    </row>
    <row r="3985" spans="1:4" ht="16.5" hidden="1" x14ac:dyDescent="0.3">
      <c r="A3985" s="10" t="str">
        <f>基本属性!$B$17&amp;"|"&amp;基本属性!$C$17</f>
        <v>135|7</v>
      </c>
      <c r="B3985" s="10" t="str">
        <f>参数调整!$J$33</f>
        <v>统领掉落</v>
      </c>
      <c r="C3985" s="8" t="str">
        <f>材料产出!$AR$2</f>
        <v>火龙精魄</v>
      </c>
      <c r="D3985" s="224">
        <f>参数调整!$K$33*怪物掉落配置方案!$D5011</f>
        <v>2.2828210898596744E-3</v>
      </c>
    </row>
    <row r="3986" spans="1:4" ht="16.5" hidden="1" x14ac:dyDescent="0.3">
      <c r="A3986" s="10" t="str">
        <f>基本属性!$B$18&amp;"|"&amp;基本属性!$C$18</f>
        <v>155|8</v>
      </c>
      <c r="B3986" s="10" t="str">
        <f>参数调整!$J$33</f>
        <v>统领掉落</v>
      </c>
      <c r="C3986" s="8" t="str">
        <f>材料产出!$AR$2</f>
        <v>火龙精魄</v>
      </c>
      <c r="D3986" s="224">
        <f>参数调整!$K$33*怪物掉落配置方案!$D5012</f>
        <v>3.1071731500867802E-3</v>
      </c>
    </row>
    <row r="3987" spans="1:4" ht="16.5" hidden="1" x14ac:dyDescent="0.3">
      <c r="A3987" s="10" t="str">
        <f>基本属性!$B$19&amp;"|"&amp;基本属性!$C$19</f>
        <v>190|9</v>
      </c>
      <c r="B3987" s="10" t="str">
        <f>参数调整!$J$33</f>
        <v>统领掉落</v>
      </c>
      <c r="C3987" s="8" t="str">
        <f>材料产出!$AR$2</f>
        <v>火龙精魄</v>
      </c>
      <c r="D3987" s="224">
        <f>参数调整!$K$33*怪物掉落配置方案!$D5013</f>
        <v>3.4724245244643274E-3</v>
      </c>
    </row>
    <row r="3988" spans="1:4" ht="16.5" hidden="1" x14ac:dyDescent="0.3">
      <c r="A3988" s="10" t="str">
        <f>基本属性!$B$20&amp;"|"&amp;基本属性!$C$20</f>
        <v>200|10</v>
      </c>
      <c r="B3988" s="10" t="str">
        <f>参数调整!$J$33</f>
        <v>统领掉落</v>
      </c>
      <c r="C3988" s="8" t="str">
        <f>材料产出!$AR$2</f>
        <v>火龙精魄</v>
      </c>
      <c r="D3988" s="224">
        <f>参数调整!$K$33*怪物掉落配置方案!$D5014</f>
        <v>4.0583486041949769E-3</v>
      </c>
    </row>
    <row r="3989" spans="1:4" ht="16.5" hidden="1" x14ac:dyDescent="0.3">
      <c r="A3989" s="10" t="str">
        <f>基本属性!$B$21&amp;"|"&amp;基本属性!$C$21</f>
        <v>200|11</v>
      </c>
      <c r="B3989" s="10" t="str">
        <f>参数调整!$J$33</f>
        <v>统领掉落</v>
      </c>
      <c r="C3989" s="8" t="str">
        <f>材料产出!$AR$2</f>
        <v>火龙精魄</v>
      </c>
      <c r="D3989" s="224">
        <f>参数调整!$K$33*怪物掉落配置方案!$D5015</f>
        <v>4.6899291057228201E-3</v>
      </c>
    </row>
    <row r="3990" spans="1:4" ht="16.5" hidden="1" x14ac:dyDescent="0.3">
      <c r="A3990" s="10" t="str">
        <f>基本属性!$B$22&amp;"|"&amp;基本属性!$C$22</f>
        <v>210|12</v>
      </c>
      <c r="B3990" s="10" t="str">
        <f>参数调整!$J$33</f>
        <v>统领掉落</v>
      </c>
      <c r="C3990" s="8" t="str">
        <f>材料产出!$AR$2</f>
        <v>火龙精魄</v>
      </c>
      <c r="D3990" s="224">
        <f>参数调整!$K$33*怪物掉落配置方案!$D5016</f>
        <v>5.3671660290478566E-3</v>
      </c>
    </row>
    <row r="3991" spans="1:4" ht="16.5" hidden="1" x14ac:dyDescent="0.3">
      <c r="A3991" s="10" t="str">
        <f>基本属性!$B$23&amp;"|"&amp;基本属性!$C$23</f>
        <v>210|13</v>
      </c>
      <c r="B3991" s="10" t="str">
        <f>参数调整!$J$33</f>
        <v>统领掉落</v>
      </c>
      <c r="C3991" s="8" t="str">
        <f>材料产出!$AR$2</f>
        <v>火龙精魄</v>
      </c>
      <c r="D3991" s="224">
        <f>参数调整!$K$33*怪物掉落配置方案!$D5017</f>
        <v>6.0900593741700891E-3</v>
      </c>
    </row>
    <row r="3992" spans="1:4" ht="16.5" hidden="1" x14ac:dyDescent="0.3">
      <c r="A3992" s="10" t="str">
        <f>基本属性!$B$24&amp;"|"&amp;基本属性!$C$24</f>
        <v>220|14</v>
      </c>
      <c r="B3992" s="10" t="str">
        <f>参数调整!$J$33</f>
        <v>统领掉落</v>
      </c>
      <c r="C3992" s="8" t="str">
        <f>材料产出!$AR$2</f>
        <v>火龙精魄</v>
      </c>
      <c r="D3992" s="224">
        <f>参数调整!$K$33*怪物掉落配置方案!$D5018</f>
        <v>6.8586091410895115E-3</v>
      </c>
    </row>
    <row r="3993" spans="1:4" ht="16.5" hidden="1" x14ac:dyDescent="0.3">
      <c r="A3993" s="10" t="str">
        <f>基本属性!$B$25&amp;"|"&amp;基本属性!$C$25</f>
        <v>220|15</v>
      </c>
      <c r="B3993" s="10" t="str">
        <f>参数调整!$J$33</f>
        <v>统领掉落</v>
      </c>
      <c r="C3993" s="8" t="str">
        <f>材料产出!$AR$2</f>
        <v>火龙精魄</v>
      </c>
      <c r="D3993" s="224">
        <f>参数调整!$K$33*怪物掉落配置方案!$D5019</f>
        <v>7.6728153298061272E-3</v>
      </c>
    </row>
    <row r="3994" spans="1:4" ht="16.5" hidden="1" x14ac:dyDescent="0.3">
      <c r="A3994" s="10" t="str">
        <f>基本属性!$B$26&amp;"|"&amp;基本属性!$C$26</f>
        <v>230|16</v>
      </c>
      <c r="B3994" s="10" t="str">
        <f>参数调整!$J$33</f>
        <v>统领掉落</v>
      </c>
      <c r="C3994" s="8" t="str">
        <f>材料产出!$AR$2</f>
        <v>火龙精魄</v>
      </c>
      <c r="D3994" s="224">
        <f>参数调整!$K$33*怪物掉落配置方案!$D5020</f>
        <v>8.5326779403199372E-3</v>
      </c>
    </row>
    <row r="3995" spans="1:4" ht="16.5" hidden="1" x14ac:dyDescent="0.3">
      <c r="A3995" s="10" t="str">
        <f>基本属性!$B$27&amp;"|"&amp;基本属性!$C$27</f>
        <v>230|17</v>
      </c>
      <c r="B3995" s="10" t="str">
        <f>参数调整!$J$33</f>
        <v>统领掉落</v>
      </c>
      <c r="C3995" s="8" t="str">
        <f>材料产出!$AR$2</f>
        <v>火龙精魄</v>
      </c>
      <c r="D3995" s="224">
        <f>参数调整!$K$33*怪物掉落配置方案!$D5021</f>
        <v>9.4381969726309422E-3</v>
      </c>
    </row>
    <row r="3996" spans="1:4" ht="16.5" hidden="1" x14ac:dyDescent="0.3">
      <c r="A3996" s="10" t="str">
        <f>基本属性!$B$28&amp;"|"&amp;基本属性!$C$28</f>
        <v>240|18</v>
      </c>
      <c r="B3996" s="10" t="str">
        <f>参数调整!$J$33</f>
        <v>统领掉落</v>
      </c>
      <c r="C3996" s="8" t="str">
        <f>材料产出!$AR$2</f>
        <v>火龙精魄</v>
      </c>
      <c r="D3996" s="224">
        <f>参数调整!$K$33*怪物掉落配置方案!$D5022</f>
        <v>1.0389372426739143E-2</v>
      </c>
    </row>
    <row r="3997" spans="1:4" ht="16.5" hidden="1" x14ac:dyDescent="0.3">
      <c r="A3997" s="10" t="str">
        <f>基本属性!$B$29&amp;"|"&amp;基本属性!$C$29</f>
        <v>240|19</v>
      </c>
      <c r="B3997" s="10" t="str">
        <f>参数调整!$J$33</f>
        <v>统领掉落</v>
      </c>
      <c r="C3997" s="8" t="str">
        <f>材料产出!$AR$2</f>
        <v>火龙精魄</v>
      </c>
      <c r="D3997" s="224">
        <f>参数调整!$K$33*怪物掉落配置方案!$D5023</f>
        <v>1.1386204302644535E-2</v>
      </c>
    </row>
    <row r="3998" spans="1:4" ht="16.5" hidden="1" x14ac:dyDescent="0.3">
      <c r="A3998" s="10" t="str">
        <f>基本属性!$B$30&amp;"|"&amp;基本属性!$C$30</f>
        <v>250|20</v>
      </c>
      <c r="B3998" s="10" t="str">
        <f>参数调整!$J$33</f>
        <v>统领掉落</v>
      </c>
      <c r="C3998" s="8" t="str">
        <f>材料产出!$AR$2</f>
        <v>火龙精魄</v>
      </c>
      <c r="D3998" s="224">
        <f>参数调整!$K$33*怪物掉落配置方案!$D5024</f>
        <v>1.2428692600347116E-2</v>
      </c>
    </row>
    <row r="3999" spans="1:4" ht="16.5" hidden="1" x14ac:dyDescent="0.3">
      <c r="A3999" s="10" t="str">
        <f>基本属性!$B$4&amp;"|"&amp;基本属性!$C$4</f>
        <v>35|0</v>
      </c>
      <c r="B3999" s="10" t="str">
        <f>参数调整!$J$33</f>
        <v>统领掉落</v>
      </c>
      <c r="C3999" s="8" t="str">
        <f>材料产出!$L$2</f>
        <v>火龙币</v>
      </c>
      <c r="D3999" s="224">
        <f>参数调整!$K$33*怪物掉落配置方案!$D5025</f>
        <v>4.4641834646144747E-2</v>
      </c>
    </row>
    <row r="4000" spans="1:4" ht="16.5" hidden="1" x14ac:dyDescent="0.3">
      <c r="A4000" s="10" t="str">
        <f>基本属性!$B$5&amp;"|"&amp;基本属性!$C$5</f>
        <v>40|0</v>
      </c>
      <c r="B4000" s="10" t="str">
        <f>参数调整!$J$33</f>
        <v>统领掉落</v>
      </c>
      <c r="C4000" s="8" t="str">
        <f>材料产出!$L$2</f>
        <v>火龙币</v>
      </c>
      <c r="D4000" s="224">
        <f>参数调整!$K$33*怪物掉落配置方案!$D5026</f>
        <v>5.6499821974026941E-2</v>
      </c>
    </row>
    <row r="4001" spans="1:4" ht="16.5" hidden="1" x14ac:dyDescent="0.3">
      <c r="A4001" s="10" t="str">
        <f>基本属性!$B$6&amp;"|"&amp;基本属性!$C$6</f>
        <v>50|0</v>
      </c>
      <c r="B4001" s="10" t="str">
        <f>参数调整!$J$33</f>
        <v>统领掉落</v>
      </c>
      <c r="C4001" s="8" t="str">
        <f>材料产出!$L$2</f>
        <v>火龙币</v>
      </c>
      <c r="D4001" s="224">
        <f>参数调整!$K$33*怪物掉落配置方案!$D5027</f>
        <v>6.9752866634601174E-2</v>
      </c>
    </row>
    <row r="4002" spans="1:4" ht="16.5" hidden="1" x14ac:dyDescent="0.3">
      <c r="A4002" s="10" t="str">
        <f>基本属性!$B$7&amp;"|"&amp;基本属性!$C$7</f>
        <v>60|0</v>
      </c>
      <c r="B4002" s="10" t="str">
        <f>参数调整!$J$33</f>
        <v>统领掉落</v>
      </c>
      <c r="C4002" s="8" t="str">
        <f>材料产出!$L$2</f>
        <v>火龙币</v>
      </c>
      <c r="D4002" s="224">
        <f>参数调整!$K$33*怪物掉落配置方案!$D5028</f>
        <v>8.4400968627867418E-2</v>
      </c>
    </row>
    <row r="4003" spans="1:4" ht="16.5" hidden="1" x14ac:dyDescent="0.3">
      <c r="A4003" s="10" t="str">
        <f>基本属性!$B$8&amp;"|"&amp;基本属性!$C$8</f>
        <v>65|0</v>
      </c>
      <c r="B4003" s="10" t="str">
        <f>参数调整!$J$33</f>
        <v>统领掉落</v>
      </c>
      <c r="C4003" s="8" t="str">
        <f>材料产出!$L$2</f>
        <v>火龙币</v>
      </c>
      <c r="D4003" s="224">
        <f>参数调整!$K$33*怪物掉落配置方案!$D5029</f>
        <v>0.10044412795382567</v>
      </c>
    </row>
    <row r="4004" spans="1:4" ht="16.5" hidden="1" x14ac:dyDescent="0.3">
      <c r="A4004" s="10" t="str">
        <f>基本属性!$B$9&amp;"|"&amp;基本属性!$C$9</f>
        <v>70|0</v>
      </c>
      <c r="B4004" s="10" t="str">
        <f>参数调整!$J$33</f>
        <v>统领掉落</v>
      </c>
      <c r="C4004" s="8" t="str">
        <f>材料产出!$L$2</f>
        <v>火龙币</v>
      </c>
      <c r="D4004" s="224">
        <f>参数调整!$K$33*怪物掉落配置方案!$D5030</f>
        <v>0.11788234461247596</v>
      </c>
    </row>
    <row r="4005" spans="1:4" ht="16.5" hidden="1" x14ac:dyDescent="0.3">
      <c r="A4005" s="10" t="str">
        <f>基本属性!$B$10&amp;"|"&amp;基本属性!$C$10</f>
        <v>75|0</v>
      </c>
      <c r="B4005" s="10" t="str">
        <f>参数调整!$J$33</f>
        <v>统领掉落</v>
      </c>
      <c r="C4005" s="8" t="str">
        <f>材料产出!$L$2</f>
        <v>火龙币</v>
      </c>
      <c r="D4005" s="224">
        <f>参数调整!$K$33*怪物掉落配置方案!$D5031</f>
        <v>0.13671561860381826</v>
      </c>
    </row>
    <row r="4006" spans="1:4" ht="16.5" hidden="1" x14ac:dyDescent="0.3">
      <c r="A4006" s="10" t="str">
        <f>基本属性!$B$11&amp;"|"&amp;基本属性!$C$11</f>
        <v>80|1</v>
      </c>
      <c r="B4006" s="10" t="str">
        <f>参数调整!$J$33</f>
        <v>统领掉落</v>
      </c>
      <c r="C4006" s="8" t="str">
        <f>材料产出!$L$2</f>
        <v>火龙币</v>
      </c>
      <c r="D4006" s="224">
        <f>参数调整!$K$33*怪物掉落配置方案!$D5032</f>
        <v>0.1569439499278526</v>
      </c>
    </row>
    <row r="4007" spans="1:4" ht="16.5" hidden="1" x14ac:dyDescent="0.3">
      <c r="A4007" s="10" t="str">
        <f>基本属性!$B$12&amp;"|"&amp;基本属性!$C$12</f>
        <v>90|2</v>
      </c>
      <c r="B4007" s="10" t="str">
        <f>参数调整!$J$33</f>
        <v>统领掉落</v>
      </c>
      <c r="C4007" s="8" t="str">
        <f>材料产出!$L$2</f>
        <v>火龙币</v>
      </c>
      <c r="D4007" s="224">
        <f>参数调整!$K$33*怪物掉落配置方案!$D5033</f>
        <v>0.17856733858457902</v>
      </c>
    </row>
    <row r="4008" spans="1:4" ht="16.5" hidden="1" x14ac:dyDescent="0.3">
      <c r="A4008" s="10" t="str">
        <f>基本属性!$B$13&amp;"|"&amp;基本属性!$C$13</f>
        <v>100|3</v>
      </c>
      <c r="B4008" s="10" t="str">
        <f>参数调整!$J$33</f>
        <v>统领掉落</v>
      </c>
      <c r="C4008" s="8" t="str">
        <f>材料产出!$L$2</f>
        <v>火龙币</v>
      </c>
      <c r="D4008" s="224">
        <f>参数调整!$K$33*怪物掉落配置方案!$D5034</f>
        <v>0.22599928789610782</v>
      </c>
    </row>
    <row r="4009" spans="1:4" ht="16.5" hidden="1" x14ac:dyDescent="0.3">
      <c r="A4009" s="10" t="str">
        <f>基本属性!$B$14&amp;"|"&amp;基本属性!$C$14</f>
        <v>105|4</v>
      </c>
      <c r="B4009" s="10" t="str">
        <f>参数调整!$J$33</f>
        <v>统领掉落</v>
      </c>
      <c r="C4009" s="8" t="str">
        <f>材料产出!$L$2</f>
        <v>火龙币</v>
      </c>
      <c r="D4009" s="224">
        <f>参数调整!$K$33*怪物掉落配置方案!$D5035</f>
        <v>0.2790114665384047</v>
      </c>
    </row>
    <row r="4010" spans="1:4" ht="16.5" hidden="1" x14ac:dyDescent="0.3">
      <c r="A4010" s="10" t="str">
        <f>基本属性!$B$15&amp;"|"&amp;基本属性!$C$15</f>
        <v>110|5</v>
      </c>
      <c r="B4010" s="10" t="str">
        <f>参数调整!$J$33</f>
        <v>统领掉落</v>
      </c>
      <c r="C4010" s="8" t="str">
        <f>材料产出!$L$2</f>
        <v>火龙币</v>
      </c>
      <c r="D4010" s="224">
        <f>参数调整!$K$33*怪物掉落配置方案!$D5036</f>
        <v>0.33760387451146967</v>
      </c>
    </row>
    <row r="4011" spans="1:4" ht="16.5" hidden="1" x14ac:dyDescent="0.3">
      <c r="A4011" s="10" t="str">
        <f>基本属性!$B$16&amp;"|"&amp;基本属性!$C$16</f>
        <v>120|6</v>
      </c>
      <c r="B4011" s="10" t="str">
        <f>参数调整!$J$33</f>
        <v>统领掉落</v>
      </c>
      <c r="C4011" s="8" t="str">
        <f>材料产出!$L$2</f>
        <v>火龙币</v>
      </c>
      <c r="D4011" s="224">
        <f>参数调整!$K$33*怪物掉落配置方案!$D5037</f>
        <v>0.43595541646625735</v>
      </c>
    </row>
    <row r="4012" spans="1:4" ht="16.5" hidden="1" x14ac:dyDescent="0.3">
      <c r="A4012" s="10" t="str">
        <f>基本属性!$B$17&amp;"|"&amp;基本属性!$C$17</f>
        <v>135|7</v>
      </c>
      <c r="B4012" s="10" t="str">
        <f>参数调整!$J$33</f>
        <v>统领掉落</v>
      </c>
      <c r="C4012" s="8" t="str">
        <f>材料产出!$L$2</f>
        <v>火龙币</v>
      </c>
      <c r="D4012" s="224">
        <f>参数调整!$K$33*怪物掉落配置方案!$D5038</f>
        <v>0.6277757997114104</v>
      </c>
    </row>
    <row r="4013" spans="1:4" ht="16.5" hidden="1" x14ac:dyDescent="0.3">
      <c r="A4013" s="10" t="str">
        <f>基本属性!$B$18&amp;"|"&amp;基本属性!$C$18</f>
        <v>155|8</v>
      </c>
      <c r="B4013" s="10" t="str">
        <f>参数调整!$J$33</f>
        <v>统领掉落</v>
      </c>
      <c r="C4013" s="8" t="str">
        <f>材料产出!$L$2</f>
        <v>火龙币</v>
      </c>
      <c r="D4013" s="224">
        <f>参数调整!$K$33*怪物掉落配置方案!$D5039</f>
        <v>0.85447261627386428</v>
      </c>
    </row>
    <row r="4014" spans="1:4" ht="16.5" hidden="1" x14ac:dyDescent="0.3">
      <c r="A4014" s="10" t="str">
        <f>基本属性!$B$19&amp;"|"&amp;基本属性!$C$19</f>
        <v>190|9</v>
      </c>
      <c r="B4014" s="10" t="str">
        <f>参数调整!$J$33</f>
        <v>统领掉落</v>
      </c>
      <c r="C4014" s="8" t="str">
        <f>材料产出!$L$2</f>
        <v>火龙币</v>
      </c>
      <c r="D4014" s="224">
        <f>参数调整!$K$33*怪物掉落配置方案!$D5040</f>
        <v>0.95491674422769002</v>
      </c>
    </row>
    <row r="4015" spans="1:4" ht="16.5" hidden="1" x14ac:dyDescent="0.3">
      <c r="A4015" s="10" t="str">
        <f>基本属性!$B$20&amp;"|"&amp;基本属性!$C$20</f>
        <v>200|10</v>
      </c>
      <c r="B4015" s="10" t="str">
        <f>参数调整!$J$33</f>
        <v>统领掉落</v>
      </c>
      <c r="C4015" s="8" t="str">
        <f>材料产出!$L$2</f>
        <v>火龙币</v>
      </c>
      <c r="D4015" s="224">
        <f>参数调整!$K$33*怪物掉落配置方案!$D5041</f>
        <v>1.1160458661536188</v>
      </c>
    </row>
    <row r="4016" spans="1:4" ht="16.5" hidden="1" x14ac:dyDescent="0.3">
      <c r="A4016" s="10" t="str">
        <f>基本属性!$B$21&amp;"|"&amp;基本属性!$C$21</f>
        <v>200|11</v>
      </c>
      <c r="B4016" s="10" t="str">
        <f>参数调整!$J$33</f>
        <v>统领掉落</v>
      </c>
      <c r="C4016" s="8" t="str">
        <f>材料产出!$L$2</f>
        <v>火龙币</v>
      </c>
      <c r="D4016" s="224">
        <f>参数调整!$K$33*怪物掉落配置方案!$D5042</f>
        <v>1.2897305040737752</v>
      </c>
    </row>
    <row r="4017" spans="1:4" ht="16.5" hidden="1" x14ac:dyDescent="0.3">
      <c r="A4017" s="10" t="str">
        <f>基本属性!$B$22&amp;"|"&amp;基本属性!$C$22</f>
        <v>210|12</v>
      </c>
      <c r="B4017" s="10" t="str">
        <f>参数调整!$J$33</f>
        <v>统领掉落</v>
      </c>
      <c r="C4017" s="8" t="str">
        <f>材料产出!$L$2</f>
        <v>火龙币</v>
      </c>
      <c r="D4017" s="224">
        <f>参数调整!$K$33*怪物掉落配置方案!$D5043</f>
        <v>1.4759706579881604</v>
      </c>
    </row>
    <row r="4018" spans="1:4" ht="16.5" hidden="1" x14ac:dyDescent="0.3">
      <c r="A4018" s="10" t="str">
        <f>基本属性!$B$23&amp;"|"&amp;基本属性!$C$23</f>
        <v>210|13</v>
      </c>
      <c r="B4018" s="10" t="str">
        <f>参数调整!$J$33</f>
        <v>统领掉落</v>
      </c>
      <c r="C4018" s="8" t="str">
        <f>材料产出!$L$2</f>
        <v>火龙币</v>
      </c>
      <c r="D4018" s="224">
        <f>参数调整!$K$33*怪物掉落配置方案!$D5044</f>
        <v>1.6747663278967742</v>
      </c>
    </row>
    <row r="4019" spans="1:4" ht="16.5" hidden="1" x14ac:dyDescent="0.3">
      <c r="A4019" s="10" t="str">
        <f>基本属性!$B$24&amp;"|"&amp;基本属性!$C$24</f>
        <v>220|14</v>
      </c>
      <c r="B4019" s="10" t="str">
        <f>参数调整!$J$33</f>
        <v>统领掉落</v>
      </c>
      <c r="C4019" s="8" t="str">
        <f>材料产出!$L$2</f>
        <v>火龙币</v>
      </c>
      <c r="D4019" s="224">
        <f>参数调整!$K$33*怪物掉落配置方案!$D5045</f>
        <v>1.8861175137996158</v>
      </c>
    </row>
    <row r="4020" spans="1:4" ht="16.5" hidden="1" x14ac:dyDescent="0.3">
      <c r="A4020" s="10" t="str">
        <f>基本属性!$B$25&amp;"|"&amp;基本属性!$C$25</f>
        <v>220|15</v>
      </c>
      <c r="B4020" s="10" t="str">
        <f>参数调整!$J$33</f>
        <v>统领掉落</v>
      </c>
      <c r="C4020" s="8" t="str">
        <f>材料产出!$L$2</f>
        <v>火龙币</v>
      </c>
      <c r="D4020" s="224">
        <f>参数调整!$K$33*怪物掉落配置方案!$D5046</f>
        <v>2.1100242156966851</v>
      </c>
    </row>
    <row r="4021" spans="1:4" ht="16.5" hidden="1" x14ac:dyDescent="0.3">
      <c r="A4021" s="10" t="str">
        <f>基本属性!$B$26&amp;"|"&amp;基本属性!$C$26</f>
        <v>230|16</v>
      </c>
      <c r="B4021" s="10" t="str">
        <f>参数调整!$J$33</f>
        <v>统领掉落</v>
      </c>
      <c r="C4021" s="8" t="str">
        <f>材料产出!$L$2</f>
        <v>火龙币</v>
      </c>
      <c r="D4021" s="224">
        <f>参数调整!$K$33*怪物掉落配置方案!$D5047</f>
        <v>2.3464864335879829</v>
      </c>
    </row>
    <row r="4022" spans="1:4" ht="16.5" hidden="1" x14ac:dyDescent="0.3">
      <c r="A4022" s="10" t="str">
        <f>基本属性!$B$27&amp;"|"&amp;基本属性!$C$27</f>
        <v>230|17</v>
      </c>
      <c r="B4022" s="10" t="str">
        <f>参数调整!$J$33</f>
        <v>统领掉落</v>
      </c>
      <c r="C4022" s="8" t="str">
        <f>材料产出!$L$2</f>
        <v>火龙币</v>
      </c>
      <c r="D4022" s="224">
        <f>参数调整!$K$33*怪物掉落配置方案!$D5048</f>
        <v>2.5955041674735089</v>
      </c>
    </row>
    <row r="4023" spans="1:4" ht="16.5" hidden="1" x14ac:dyDescent="0.3">
      <c r="A4023" s="10" t="str">
        <f>基本属性!$B$28&amp;"|"&amp;基本属性!$C$28</f>
        <v>240|18</v>
      </c>
      <c r="B4023" s="10" t="str">
        <f>参数调整!$J$33</f>
        <v>统领掉落</v>
      </c>
      <c r="C4023" s="8" t="str">
        <f>材料产出!$L$2</f>
        <v>火龙币</v>
      </c>
      <c r="D4023" s="224">
        <f>参数调整!$K$33*怪物掉落配置方案!$D5049</f>
        <v>2.8570774173532638</v>
      </c>
    </row>
    <row r="4024" spans="1:4" ht="16.5" hidden="1" x14ac:dyDescent="0.3">
      <c r="A4024" s="10" t="str">
        <f>基本属性!$B$29&amp;"|"&amp;基本属性!$C$29</f>
        <v>240|19</v>
      </c>
      <c r="B4024" s="10" t="str">
        <f>参数调整!$J$33</f>
        <v>统领掉落</v>
      </c>
      <c r="C4024" s="8" t="str">
        <f>材料产出!$L$2</f>
        <v>火龙币</v>
      </c>
      <c r="D4024" s="224">
        <f>参数调整!$K$33*怪物掉落配置方案!$D5050</f>
        <v>3.131206183227246</v>
      </c>
    </row>
    <row r="4025" spans="1:4" ht="16.5" hidden="1" x14ac:dyDescent="0.3">
      <c r="A4025" s="10" t="str">
        <f>基本属性!$B$30&amp;"|"&amp;基本属性!$C$30</f>
        <v>250|20</v>
      </c>
      <c r="B4025" s="10" t="str">
        <f>参数调整!$J$33</f>
        <v>统领掉落</v>
      </c>
      <c r="C4025" s="8" t="str">
        <f>材料产出!$L$2</f>
        <v>火龙币</v>
      </c>
      <c r="D4025" s="224">
        <f>参数调整!$K$33*怪物掉落配置方案!$D5051</f>
        <v>3.4178904650954562</v>
      </c>
    </row>
    <row r="4026" spans="1:4" ht="16.5" hidden="1" x14ac:dyDescent="0.3">
      <c r="A4026" s="10" t="str">
        <f>基本属性!$B$4&amp;"|"&amp;基本属性!$C$4</f>
        <v>35|0</v>
      </c>
      <c r="B4026" s="10" t="str">
        <f>参数调整!$J$33</f>
        <v>统领掉落</v>
      </c>
      <c r="C4026" s="8" t="str">
        <f>材料产出!$BD$2</f>
        <v>防具碎片</v>
      </c>
      <c r="D4026" s="224">
        <f>参数调整!$K$33*怪物掉落配置方案!$D5052</f>
        <v>1.6233394416779907E-3</v>
      </c>
    </row>
    <row r="4027" spans="1:4" ht="16.5" hidden="1" x14ac:dyDescent="0.3">
      <c r="A4027" s="10" t="str">
        <f>基本属性!$B$5&amp;"|"&amp;基本属性!$C$5</f>
        <v>40|0</v>
      </c>
      <c r="B4027" s="10" t="str">
        <f>参数调整!$J$33</f>
        <v>统领掉落</v>
      </c>
      <c r="C4027" s="8" t="str">
        <f>材料产出!$BD$2</f>
        <v>防具碎片</v>
      </c>
      <c r="D4027" s="224">
        <f>参数调整!$K$33*怪物掉落配置方案!$D5053</f>
        <v>2.0545389808737072E-3</v>
      </c>
    </row>
    <row r="4028" spans="1:4" ht="16.5" hidden="1" x14ac:dyDescent="0.3">
      <c r="A4028" s="10" t="str">
        <f>基本属性!$B$6&amp;"|"&amp;基本属性!$C$6</f>
        <v>50|0</v>
      </c>
      <c r="B4028" s="10" t="str">
        <f>参数调整!$J$33</f>
        <v>统领掉落</v>
      </c>
      <c r="C4028" s="8" t="str">
        <f>材料产出!$BD$2</f>
        <v>防具碎片</v>
      </c>
      <c r="D4028" s="224">
        <f>参数调整!$K$33*怪物掉落配置方案!$D5054</f>
        <v>2.5364678776218607E-3</v>
      </c>
    </row>
    <row r="4029" spans="1:4" ht="16.5" hidden="1" x14ac:dyDescent="0.3">
      <c r="A4029" s="10" t="str">
        <f>基本属性!$B$7&amp;"|"&amp;基本属性!$C$7</f>
        <v>60|0</v>
      </c>
      <c r="B4029" s="10" t="str">
        <f>参数调整!$J$33</f>
        <v>统领掉落</v>
      </c>
      <c r="C4029" s="8" t="str">
        <f>材料产出!$BD$2</f>
        <v>防具碎片</v>
      </c>
      <c r="D4029" s="224">
        <f>参数调整!$K$33*怪物掉落配置方案!$D5055</f>
        <v>3.0691261319224514E-3</v>
      </c>
    </row>
    <row r="4030" spans="1:4" ht="16.5" hidden="1" x14ac:dyDescent="0.3">
      <c r="A4030" s="10" t="str">
        <f>基本属性!$B$8&amp;"|"&amp;基本属性!$C$8</f>
        <v>65|0</v>
      </c>
      <c r="B4030" s="10" t="str">
        <f>参数调整!$J$33</f>
        <v>统领掉落</v>
      </c>
      <c r="C4030" s="8" t="str">
        <f>材料产出!$BD$2</f>
        <v>防具碎片</v>
      </c>
      <c r="D4030" s="224">
        <f>参数调整!$K$33*怪物掉落配置方案!$D5056</f>
        <v>3.6525137437754796E-3</v>
      </c>
    </row>
    <row r="4031" spans="1:4" ht="16.5" hidden="1" x14ac:dyDescent="0.3">
      <c r="A4031" s="10" t="str">
        <f>基本属性!$B$9&amp;"|"&amp;基本属性!$C$9</f>
        <v>70|0</v>
      </c>
      <c r="B4031" s="10" t="str">
        <f>参数调整!$J$33</f>
        <v>统领掉落</v>
      </c>
      <c r="C4031" s="8" t="str">
        <f>材料产出!$BD$2</f>
        <v>防具碎片</v>
      </c>
      <c r="D4031" s="224">
        <f>参数调整!$K$33*怪物掉落配置方案!$D5057</f>
        <v>4.2866307131809445E-3</v>
      </c>
    </row>
    <row r="4032" spans="1:4" ht="16.5" hidden="1" x14ac:dyDescent="0.3">
      <c r="A4032" s="10" t="str">
        <f>基本属性!$B$10&amp;"|"&amp;基本属性!$C$10</f>
        <v>75|0</v>
      </c>
      <c r="B4032" s="10" t="str">
        <f>参数调整!$J$33</f>
        <v>统领掉落</v>
      </c>
      <c r="C4032" s="8" t="str">
        <f>材料产出!$BD$2</f>
        <v>防具碎片</v>
      </c>
      <c r="D4032" s="224">
        <f>参数调整!$K$33*怪物掉落配置方案!$D5058</f>
        <v>4.9714770401388464E-3</v>
      </c>
    </row>
    <row r="4033" spans="1:4" ht="16.5" hidden="1" x14ac:dyDescent="0.3">
      <c r="A4033" s="10" t="str">
        <f>基本属性!$B$11&amp;"|"&amp;基本属性!$C$11</f>
        <v>80|1</v>
      </c>
      <c r="B4033" s="10" t="str">
        <f>参数调整!$J$33</f>
        <v>统领掉落</v>
      </c>
      <c r="C4033" s="8" t="str">
        <f>材料产出!$BD$2</f>
        <v>防具碎片</v>
      </c>
      <c r="D4033" s="224">
        <f>参数调整!$K$33*怪物掉落配置方案!$D5059</f>
        <v>5.7070527246491859E-3</v>
      </c>
    </row>
    <row r="4034" spans="1:4" ht="16.5" hidden="1" x14ac:dyDescent="0.3">
      <c r="A4034" s="10" t="str">
        <f>基本属性!$B$12&amp;"|"&amp;基本属性!$C$12</f>
        <v>90|2</v>
      </c>
      <c r="B4034" s="10" t="str">
        <f>参数调整!$J$33</f>
        <v>统领掉落</v>
      </c>
      <c r="C4034" s="8" t="str">
        <f>材料产出!$BD$2</f>
        <v>防具碎片</v>
      </c>
      <c r="D4034" s="224">
        <f>参数调整!$K$33*怪物掉落配置方案!$D5060</f>
        <v>6.4933577667119647E-3</v>
      </c>
    </row>
    <row r="4035" spans="1:4" ht="16.5" hidden="1" x14ac:dyDescent="0.3">
      <c r="A4035" s="10" t="str">
        <f>基本属性!$B$13&amp;"|"&amp;基本属性!$C$13</f>
        <v>100|3</v>
      </c>
      <c r="B4035" s="10" t="str">
        <f>参数调整!$J$33</f>
        <v>统领掉落</v>
      </c>
      <c r="C4035" s="8" t="str">
        <f>材料产出!$BD$2</f>
        <v>防具碎片</v>
      </c>
      <c r="D4035" s="224">
        <f>参数调整!$K$33*怪物掉落配置方案!$D5061</f>
        <v>8.2181559234948305E-3</v>
      </c>
    </row>
    <row r="4036" spans="1:4" ht="16.5" hidden="1" x14ac:dyDescent="0.3">
      <c r="A4036" s="10" t="str">
        <f>基本属性!$B$14&amp;"|"&amp;基本属性!$C$14</f>
        <v>105|4</v>
      </c>
      <c r="B4036" s="10" t="str">
        <f>参数调整!$J$33</f>
        <v>统领掉落</v>
      </c>
      <c r="C4036" s="8" t="str">
        <f>材料产出!$BD$2</f>
        <v>防具碎片</v>
      </c>
      <c r="D4036" s="224">
        <f>参数调整!$K$33*怪物掉落配置方案!$D5062</f>
        <v>1.0145871510487443E-2</v>
      </c>
    </row>
    <row r="4037" spans="1:4" ht="16.5" hidden="1" x14ac:dyDescent="0.3">
      <c r="A4037" s="10" t="str">
        <f>基本属性!$B$15&amp;"|"&amp;基本属性!$C$15</f>
        <v>110|5</v>
      </c>
      <c r="B4037" s="10" t="str">
        <f>参数调整!$J$33</f>
        <v>统领掉落</v>
      </c>
      <c r="C4037" s="8" t="str">
        <f>材料产出!$BD$2</f>
        <v>防具碎片</v>
      </c>
      <c r="D4037" s="224">
        <f>参数调整!$K$33*怪物掉落配置方案!$D5063</f>
        <v>1.2276504527689809E-2</v>
      </c>
    </row>
    <row r="4038" spans="1:4" ht="16.5" hidden="1" x14ac:dyDescent="0.3">
      <c r="A4038" s="10" t="str">
        <f>基本属性!$B$16&amp;"|"&amp;基本属性!$C$16</f>
        <v>120|6</v>
      </c>
      <c r="B4038" s="10" t="str">
        <f>参数调整!$J$33</f>
        <v>统领掉落</v>
      </c>
      <c r="C4038" s="8" t="str">
        <f>材料产出!$BD$2</f>
        <v>防具碎片</v>
      </c>
      <c r="D4038" s="224">
        <f>参数调整!$K$33*怪物掉落配置方案!$D5064</f>
        <v>1.5852924235136633E-2</v>
      </c>
    </row>
    <row r="4039" spans="1:4" ht="16.5" hidden="1" x14ac:dyDescent="0.3">
      <c r="A4039" s="10" t="str">
        <f>基本属性!$B$17&amp;"|"&amp;基本属性!$C$17</f>
        <v>135|7</v>
      </c>
      <c r="B4039" s="10" t="str">
        <f>参数调整!$J$33</f>
        <v>统领掉落</v>
      </c>
      <c r="C4039" s="8" t="str">
        <f>材料产出!$BD$2</f>
        <v>防具碎片</v>
      </c>
      <c r="D4039" s="224">
        <f>参数调整!$K$33*怪物掉落配置方案!$D5065</f>
        <v>2.2828210898596744E-2</v>
      </c>
    </row>
    <row r="4040" spans="1:4" ht="16.5" hidden="1" x14ac:dyDescent="0.3">
      <c r="A4040" s="10" t="str">
        <f>基本属性!$B$18&amp;"|"&amp;基本属性!$C$18</f>
        <v>155|8</v>
      </c>
      <c r="B4040" s="10" t="str">
        <f>参数调整!$J$33</f>
        <v>统领掉落</v>
      </c>
      <c r="C4040" s="8" t="str">
        <f>材料产出!$BD$2</f>
        <v>防具碎片</v>
      </c>
      <c r="D4040" s="224">
        <f>参数调整!$K$33*怪物掉落配置方案!$D5066</f>
        <v>3.1071731500867797E-2</v>
      </c>
    </row>
    <row r="4041" spans="1:4" ht="16.5" hidden="1" x14ac:dyDescent="0.3">
      <c r="A4041" s="10" t="str">
        <f>基本属性!$B$19&amp;"|"&amp;基本属性!$C$19</f>
        <v>190|9</v>
      </c>
      <c r="B4041" s="10" t="str">
        <f>参数调整!$J$33</f>
        <v>统领掉落</v>
      </c>
      <c r="C4041" s="8" t="str">
        <f>材料产出!$BD$2</f>
        <v>防具碎片</v>
      </c>
      <c r="D4041" s="224">
        <f>参数调整!$K$33*怪物掉落配置方案!$D5067</f>
        <v>3.4724245244643272E-2</v>
      </c>
    </row>
    <row r="4042" spans="1:4" ht="16.5" hidden="1" x14ac:dyDescent="0.3">
      <c r="A4042" s="10" t="str">
        <f>基本属性!$B$20&amp;"|"&amp;基本属性!$C$20</f>
        <v>200|10</v>
      </c>
      <c r="B4042" s="10" t="str">
        <f>参数调整!$J$33</f>
        <v>统领掉落</v>
      </c>
      <c r="C4042" s="8" t="str">
        <f>材料产出!$BD$2</f>
        <v>防具碎片</v>
      </c>
      <c r="D4042" s="224">
        <f>参数调整!$K$33*怪物掉落配置方案!$D5068</f>
        <v>4.0583486041949772E-2</v>
      </c>
    </row>
    <row r="4043" spans="1:4" ht="16.5" hidden="1" x14ac:dyDescent="0.3">
      <c r="A4043" s="10" t="str">
        <f>基本属性!$B$21&amp;"|"&amp;基本属性!$C$21</f>
        <v>200|11</v>
      </c>
      <c r="B4043" s="10" t="str">
        <f>参数调整!$J$33</f>
        <v>统领掉落</v>
      </c>
      <c r="C4043" s="8" t="str">
        <f>材料产出!$BD$2</f>
        <v>防具碎片</v>
      </c>
      <c r="D4043" s="224">
        <f>参数调整!$K$33*怪物掉落配置方案!$D5069</f>
        <v>4.689929105722819E-2</v>
      </c>
    </row>
    <row r="4044" spans="1:4" ht="16.5" hidden="1" x14ac:dyDescent="0.3">
      <c r="A4044" s="10" t="str">
        <f>基本属性!$B$22&amp;"|"&amp;基本属性!$C$22</f>
        <v>210|12</v>
      </c>
      <c r="B4044" s="10" t="str">
        <f>参数调整!$J$33</f>
        <v>统领掉落</v>
      </c>
      <c r="C4044" s="8" t="str">
        <f>材料产出!$BD$2</f>
        <v>防具碎片</v>
      </c>
      <c r="D4044" s="224">
        <f>参数调整!$K$33*怪物掉落配置方案!$D5070</f>
        <v>5.3671660290478554E-2</v>
      </c>
    </row>
    <row r="4045" spans="1:4" ht="16.5" hidden="1" x14ac:dyDescent="0.3">
      <c r="A4045" s="10" t="str">
        <f>基本属性!$B$23&amp;"|"&amp;基本属性!$C$23</f>
        <v>210|13</v>
      </c>
      <c r="B4045" s="10" t="str">
        <f>参数调整!$J$33</f>
        <v>统领掉落</v>
      </c>
      <c r="C4045" s="8" t="str">
        <f>材料产出!$BD$2</f>
        <v>防具碎片</v>
      </c>
      <c r="D4045" s="224">
        <f>参数调整!$K$33*怪物掉落配置方案!$D5071</f>
        <v>6.0900593741700884E-2</v>
      </c>
    </row>
    <row r="4046" spans="1:4" ht="16.5" hidden="1" x14ac:dyDescent="0.3">
      <c r="A4046" s="10" t="str">
        <f>基本属性!$B$24&amp;"|"&amp;基本属性!$C$24</f>
        <v>220|14</v>
      </c>
      <c r="B4046" s="10" t="str">
        <f>参数调整!$J$33</f>
        <v>统领掉落</v>
      </c>
      <c r="C4046" s="8" t="str">
        <f>材料产出!$BD$2</f>
        <v>防具碎片</v>
      </c>
      <c r="D4046" s="224">
        <f>参数调整!$K$33*怪物掉落配置方案!$D5072</f>
        <v>6.8586091410895111E-2</v>
      </c>
    </row>
    <row r="4047" spans="1:4" ht="16.5" hidden="1" x14ac:dyDescent="0.3">
      <c r="A4047" s="10" t="str">
        <f>基本属性!$B$25&amp;"|"&amp;基本属性!$C$25</f>
        <v>220|15</v>
      </c>
      <c r="B4047" s="10" t="str">
        <f>参数调整!$J$33</f>
        <v>统领掉落</v>
      </c>
      <c r="C4047" s="8" t="str">
        <f>材料产出!$BD$2</f>
        <v>防具碎片</v>
      </c>
      <c r="D4047" s="224">
        <f>参数调整!$K$33*怪物掉落配置方案!$D5073</f>
        <v>7.6728153298061263E-2</v>
      </c>
    </row>
    <row r="4048" spans="1:4" ht="16.5" hidden="1" x14ac:dyDescent="0.3">
      <c r="A4048" s="10" t="str">
        <f>基本属性!$B$26&amp;"|"&amp;基本属性!$C$26</f>
        <v>230|16</v>
      </c>
      <c r="B4048" s="10" t="str">
        <f>参数调整!$J$33</f>
        <v>统领掉落</v>
      </c>
      <c r="C4048" s="8" t="str">
        <f>材料产出!$BD$2</f>
        <v>防具碎片</v>
      </c>
      <c r="D4048" s="224">
        <f>参数调整!$K$33*怪物掉落配置方案!$D5074</f>
        <v>8.5326779403199382E-2</v>
      </c>
    </row>
    <row r="4049" spans="1:4" ht="16.5" hidden="1" x14ac:dyDescent="0.3">
      <c r="A4049" s="10" t="str">
        <f>基本属性!$B$27&amp;"|"&amp;基本属性!$C$27</f>
        <v>230|17</v>
      </c>
      <c r="B4049" s="10" t="str">
        <f>参数调整!$J$33</f>
        <v>统领掉落</v>
      </c>
      <c r="C4049" s="8" t="str">
        <f>材料产出!$BD$2</f>
        <v>防具碎片</v>
      </c>
      <c r="D4049" s="224">
        <f>参数调整!$K$33*怪物掉落配置方案!$D5075</f>
        <v>9.4381969726309425E-2</v>
      </c>
    </row>
    <row r="4050" spans="1:4" ht="16.5" hidden="1" x14ac:dyDescent="0.3">
      <c r="A4050" s="10" t="str">
        <f>基本属性!$B$28&amp;"|"&amp;基本属性!$C$28</f>
        <v>240|18</v>
      </c>
      <c r="B4050" s="10" t="str">
        <f>参数调整!$J$33</f>
        <v>统领掉落</v>
      </c>
      <c r="C4050" s="8" t="str">
        <f>材料产出!$BD$2</f>
        <v>防具碎片</v>
      </c>
      <c r="D4050" s="224">
        <f>参数调整!$K$33*怪物掉落配置方案!$D5076</f>
        <v>0.10389372426739141</v>
      </c>
    </row>
    <row r="4051" spans="1:4" ht="16.5" hidden="1" x14ac:dyDescent="0.3">
      <c r="A4051" s="10" t="str">
        <f>基本属性!$B$29&amp;"|"&amp;基本属性!$C$29</f>
        <v>240|19</v>
      </c>
      <c r="B4051" s="10" t="str">
        <f>参数调整!$J$33</f>
        <v>统领掉落</v>
      </c>
      <c r="C4051" s="8" t="str">
        <f>材料产出!$BD$2</f>
        <v>防具碎片</v>
      </c>
      <c r="D4051" s="224">
        <f>参数调整!$K$33*怪物掉落配置方案!$D5077</f>
        <v>0.11386204302644533</v>
      </c>
    </row>
    <row r="4052" spans="1:4" ht="16.5" hidden="1" x14ac:dyDescent="0.3">
      <c r="A4052" s="10" t="str">
        <f>基本属性!$B$30&amp;"|"&amp;基本属性!$C$30</f>
        <v>250|20</v>
      </c>
      <c r="B4052" s="10" t="str">
        <f>参数调整!$J$33</f>
        <v>统领掉落</v>
      </c>
      <c r="C4052" s="8" t="str">
        <f>材料产出!$BD$2</f>
        <v>防具碎片</v>
      </c>
      <c r="D4052" s="224">
        <f>参数调整!$K$33*怪物掉落配置方案!$D5078</f>
        <v>0.12428692600347113</v>
      </c>
    </row>
    <row r="4053" spans="1:4" ht="16.5" hidden="1" x14ac:dyDescent="0.3">
      <c r="A4053" s="10" t="str">
        <f>基本属性!$B$4&amp;"|"&amp;基本属性!$C$4</f>
        <v>35|0</v>
      </c>
      <c r="B4053" s="10" t="str">
        <f>参数调整!$J$33</f>
        <v>统领掉落</v>
      </c>
      <c r="C4053" s="8" t="str">
        <f>材料产出!$AD$2</f>
        <v>凡品升星石</v>
      </c>
      <c r="D4053" s="224">
        <f>参数调整!$K$33*怪物掉落配置方案!$D5079</f>
        <v>0.22682521309060297</v>
      </c>
    </row>
    <row r="4054" spans="1:4" ht="16.5" hidden="1" x14ac:dyDescent="0.3">
      <c r="A4054" s="10" t="str">
        <f>基本属性!$B$5&amp;"|"&amp;基本属性!$C$5</f>
        <v>40|0</v>
      </c>
      <c r="B4054" s="10" t="str">
        <f>参数调整!$J$33</f>
        <v>统领掉落</v>
      </c>
      <c r="C4054" s="8" t="str">
        <f>材料产出!$AD$2</f>
        <v>凡品升星石</v>
      </c>
      <c r="D4054" s="224">
        <f>参数调整!$K$33*怪物掉落配置方案!$D5080</f>
        <v>0.28707566031779447</v>
      </c>
    </row>
    <row r="4055" spans="1:4" ht="16.5" hidden="1" x14ac:dyDescent="0.3">
      <c r="A4055" s="10" t="str">
        <f>基本属性!$B$6&amp;"|"&amp;基本属性!$C$6</f>
        <v>50|0</v>
      </c>
      <c r="B4055" s="10" t="str">
        <f>参数调整!$J$33</f>
        <v>统领掉落</v>
      </c>
      <c r="C4055" s="8" t="str">
        <f>材料产出!$AD$2</f>
        <v>凡品升星石</v>
      </c>
      <c r="D4055" s="224">
        <f>参数调整!$K$33*怪物掉落配置方案!$D5081</f>
        <v>0.35441439545406717</v>
      </c>
    </row>
    <row r="4056" spans="1:4" ht="16.5" hidden="1" x14ac:dyDescent="0.3">
      <c r="A4056" s="10" t="str">
        <f>基本属性!$B$7&amp;"|"&amp;基本属性!$C$7</f>
        <v>60|0</v>
      </c>
      <c r="B4056" s="10" t="str">
        <f>参数调整!$J$33</f>
        <v>统领掉落</v>
      </c>
      <c r="C4056" s="8" t="str">
        <f>材料产出!$AD$2</f>
        <v>凡品升星石</v>
      </c>
      <c r="D4056" s="224">
        <f>参数调整!$K$33*怪物掉落配置方案!$D5082</f>
        <v>0.42884141849942126</v>
      </c>
    </row>
    <row r="4057" spans="1:4" ht="16.5" hidden="1" x14ac:dyDescent="0.3">
      <c r="A4057" s="10" t="str">
        <f>基本属性!$B$8&amp;"|"&amp;基本属性!$C$8</f>
        <v>65|0</v>
      </c>
      <c r="B4057" s="10" t="str">
        <f>参数调整!$J$33</f>
        <v>统领掉落</v>
      </c>
      <c r="C4057" s="8" t="str">
        <f>材料产出!$AD$2</f>
        <v>凡品升星石</v>
      </c>
      <c r="D4057" s="224">
        <f>参数调整!$K$33*怪物掉落配置方案!$D5083</f>
        <v>0.51035672945385668</v>
      </c>
    </row>
    <row r="4058" spans="1:4" ht="16.5" hidden="1" x14ac:dyDescent="0.3">
      <c r="A4058" s="10" t="str">
        <f>基本属性!$B$9&amp;"|"&amp;基本属性!$C$9</f>
        <v>70|0</v>
      </c>
      <c r="B4058" s="10" t="str">
        <f>参数调整!$J$33</f>
        <v>统领掉落</v>
      </c>
      <c r="C4058" s="8" t="str">
        <f>材料产出!$AD$2</f>
        <v>凡品升星石</v>
      </c>
      <c r="D4058" s="224">
        <f>参数调整!$K$33*怪物掉落配置方案!$D5084</f>
        <v>0.59896032831737345</v>
      </c>
    </row>
    <row r="4059" spans="1:4" ht="16.5" hidden="1" x14ac:dyDescent="0.3">
      <c r="A4059" s="10" t="str">
        <f>基本属性!$B$10&amp;"|"&amp;基本属性!$C$10</f>
        <v>75|0</v>
      </c>
      <c r="B4059" s="10" t="str">
        <f>参数调整!$J$33</f>
        <v>统领掉落</v>
      </c>
      <c r="C4059" s="8" t="str">
        <f>材料产出!$AD$2</f>
        <v>凡品升星石</v>
      </c>
      <c r="D4059" s="224">
        <f>参数调整!$K$33*怪物掉落配置方案!$D5085</f>
        <v>0.69465221508997155</v>
      </c>
    </row>
    <row r="4060" spans="1:4" ht="16.5" hidden="1" x14ac:dyDescent="0.3">
      <c r="A4060" s="10" t="str">
        <f>基本属性!$B$11&amp;"|"&amp;基本属性!$C$11</f>
        <v>80|1</v>
      </c>
      <c r="B4060" s="10" t="str">
        <f>参数调整!$J$33</f>
        <v>统领掉落</v>
      </c>
      <c r="C4060" s="8" t="str">
        <f>材料产出!$AD$2</f>
        <v>凡品升星石</v>
      </c>
      <c r="D4060" s="224">
        <f>参数调整!$K$33*怪物掉落配置方案!$D5086</f>
        <v>0.7974323897716511</v>
      </c>
    </row>
    <row r="4061" spans="1:4" ht="16.5" hidden="1" x14ac:dyDescent="0.3">
      <c r="A4061" s="10" t="str">
        <f>基本属性!$B$12&amp;"|"&amp;基本属性!$C$12</f>
        <v>90|2</v>
      </c>
      <c r="B4061" s="10" t="str">
        <f>参数调整!$J$33</f>
        <v>统领掉落</v>
      </c>
      <c r="C4061" s="8" t="str">
        <f>材料产出!$AD$2</f>
        <v>凡品升星石</v>
      </c>
      <c r="D4061" s="224">
        <f>参数调整!$K$33*怪物掉落配置方案!$D5087</f>
        <v>0.9073008523624122</v>
      </c>
    </row>
    <row r="4062" spans="1:4" ht="16.5" hidden="1" x14ac:dyDescent="0.3">
      <c r="A4062" s="10" t="str">
        <f>基本属性!$B$13&amp;"|"&amp;基本属性!$C$13</f>
        <v>100|3</v>
      </c>
      <c r="B4062" s="10" t="str">
        <f>参数调整!$J$33</f>
        <v>统领掉落</v>
      </c>
      <c r="C4062" s="8" t="str">
        <f>材料产出!$AD$2</f>
        <v>凡品升星石</v>
      </c>
      <c r="D4062" s="224">
        <f>参数调整!$K$33*怪物掉落配置方案!$D5088</f>
        <v>1.1483026412711779</v>
      </c>
    </row>
    <row r="4063" spans="1:4" ht="16.5" hidden="1" x14ac:dyDescent="0.3">
      <c r="A4063" s="10" t="str">
        <f>基本属性!$B$14&amp;"|"&amp;基本属性!$C$14</f>
        <v>105|4</v>
      </c>
      <c r="B4063" s="10" t="str">
        <f>参数调整!$J$33</f>
        <v>统领掉落</v>
      </c>
      <c r="C4063" s="8" t="str">
        <f>材料产出!$AD$2</f>
        <v>凡品升星石</v>
      </c>
      <c r="D4063" s="224">
        <f>参数调整!$K$33*怪物掉落配置方案!$D5089</f>
        <v>1.4176575818162684</v>
      </c>
    </row>
    <row r="4064" spans="1:4" ht="16.5" hidden="1" x14ac:dyDescent="0.3">
      <c r="A4064" s="10" t="str">
        <f>基本属性!$B$15&amp;"|"&amp;基本属性!$C$15</f>
        <v>110|5</v>
      </c>
      <c r="B4064" s="10" t="str">
        <f>参数调整!$J$33</f>
        <v>统领掉落</v>
      </c>
      <c r="C4064" s="8" t="str">
        <f>材料产出!$AD$2</f>
        <v>凡品升星石</v>
      </c>
      <c r="D4064" s="224">
        <f>参数调整!$K$33*怪物掉落配置方案!$D5090</f>
        <v>1.715365673997685</v>
      </c>
    </row>
    <row r="4065" spans="1:4" ht="16.5" hidden="1" x14ac:dyDescent="0.3">
      <c r="A4065" s="10" t="str">
        <f>基本属性!$B$16&amp;"|"&amp;基本属性!$C$16</f>
        <v>120|6</v>
      </c>
      <c r="B4065" s="10" t="str">
        <f>参数调整!$J$33</f>
        <v>统领掉落</v>
      </c>
      <c r="C4065" s="8" t="str">
        <f>材料产出!$AD$2</f>
        <v>凡品升星石</v>
      </c>
      <c r="D4065" s="224">
        <f>参数调整!$K$33*怪物掉落配置方案!$D5091</f>
        <v>2.2150899715879198</v>
      </c>
    </row>
    <row r="4066" spans="1:4" ht="16.5" hidden="1" x14ac:dyDescent="0.3">
      <c r="A4066" s="10" t="str">
        <f>基本属性!$B$17&amp;"|"&amp;基本属性!$C$17</f>
        <v>135|7</v>
      </c>
      <c r="B4066" s="10" t="str">
        <f>参数调整!$J$33</f>
        <v>统领掉落</v>
      </c>
      <c r="C4066" s="8" t="str">
        <f>材料产出!$AD$2</f>
        <v>凡品升星石</v>
      </c>
      <c r="D4066" s="224">
        <f>参数调整!$K$33*怪物掉落配置方案!$D5092</f>
        <v>3.1897295590866044</v>
      </c>
    </row>
    <row r="4067" spans="1:4" ht="16.5" hidden="1" x14ac:dyDescent="0.3">
      <c r="A4067" s="10" t="str">
        <f>基本属性!$B$18&amp;"|"&amp;基本属性!$C$18</f>
        <v>155|8</v>
      </c>
      <c r="B4067" s="10" t="str">
        <f>参数调整!$J$33</f>
        <v>统领掉落</v>
      </c>
      <c r="C4067" s="8" t="str">
        <f>材料产出!$AD$2</f>
        <v>凡品升星石</v>
      </c>
      <c r="D4067" s="224">
        <f>参数调整!$K$33*怪物掉落配置方案!$D5093</f>
        <v>4.3415763443123234</v>
      </c>
    </row>
    <row r="4068" spans="1:4" ht="16.5" hidden="1" x14ac:dyDescent="0.3">
      <c r="A4068" s="10" t="str">
        <f>基本属性!$B$19&amp;"|"&amp;基本属性!$C$19</f>
        <v>190|9</v>
      </c>
      <c r="B4068" s="10" t="str">
        <f>参数调整!$J$33</f>
        <v>统领掉落</v>
      </c>
      <c r="C4068" s="8" t="str">
        <f>材料产出!$AD$2</f>
        <v>凡品升星石</v>
      </c>
      <c r="D4068" s="224">
        <f>参数调整!$K$33*怪物掉落配置方案!$D5094</f>
        <v>4.8519330737661805</v>
      </c>
    </row>
    <row r="4069" spans="1:4" ht="16.5" hidden="1" x14ac:dyDescent="0.3">
      <c r="A4069" s="10" t="str">
        <f>基本属性!$B$20&amp;"|"&amp;基本属性!$C$20</f>
        <v>200|10</v>
      </c>
      <c r="B4069" s="10" t="str">
        <f>参数调整!$J$33</f>
        <v>统领掉落</v>
      </c>
      <c r="C4069" s="8" t="str">
        <f>材料产出!$AD$2</f>
        <v>凡品升星石</v>
      </c>
      <c r="D4069" s="224">
        <f>参数调整!$K$33*怪物掉落配置方案!$D5095</f>
        <v>5.6706303272650738</v>
      </c>
    </row>
    <row r="4070" spans="1:4" ht="16.5" hidden="1" x14ac:dyDescent="0.3">
      <c r="A4070" s="10" t="str">
        <f>基本属性!$B$21&amp;"|"&amp;基本属性!$C$21</f>
        <v>200|11</v>
      </c>
      <c r="B4070" s="10" t="str">
        <f>参数调整!$J$33</f>
        <v>统领掉落</v>
      </c>
      <c r="C4070" s="8" t="str">
        <f>材料产出!$AD$2</f>
        <v>凡品升星石</v>
      </c>
      <c r="D4070" s="224">
        <f>参数调整!$K$33*怪物掉落配置方案!$D5096</f>
        <v>6.5531221719457005</v>
      </c>
    </row>
    <row r="4071" spans="1:4" ht="16.5" hidden="1" x14ac:dyDescent="0.3">
      <c r="A4071" s="10" t="str">
        <f>基本属性!$B$22&amp;"|"&amp;基本属性!$C$22</f>
        <v>210|12</v>
      </c>
      <c r="B4071" s="10" t="str">
        <f>参数调整!$J$33</f>
        <v>统领掉落</v>
      </c>
      <c r="C4071" s="8" t="str">
        <f>材料产出!$AD$2</f>
        <v>凡品升星石</v>
      </c>
      <c r="D4071" s="224">
        <f>参数调整!$K$33*怪物掉落配置方案!$D5097</f>
        <v>7.4994086078080597</v>
      </c>
    </row>
    <row r="4072" spans="1:4" ht="16.5" hidden="1" x14ac:dyDescent="0.3">
      <c r="A4072" s="10" t="str">
        <f>基本属性!$B$23&amp;"|"&amp;基本属性!$C$23</f>
        <v>210|13</v>
      </c>
      <c r="B4072" s="10" t="str">
        <f>参数调整!$J$33</f>
        <v>统领掉落</v>
      </c>
      <c r="C4072" s="8" t="str">
        <f>材料产出!$AD$2</f>
        <v>凡品升星石</v>
      </c>
      <c r="D4072" s="224">
        <f>参数调整!$K$33*怪物掉落配置方案!$D5098</f>
        <v>8.5094896348521516</v>
      </c>
    </row>
    <row r="4073" spans="1:4" ht="16.5" hidden="1" x14ac:dyDescent="0.3">
      <c r="A4073" s="10" t="str">
        <f>基本属性!$B$24&amp;"|"&amp;基本属性!$C$24</f>
        <v>220|14</v>
      </c>
      <c r="B4073" s="10" t="str">
        <f>参数调整!$J$33</f>
        <v>统领掉落</v>
      </c>
      <c r="C4073" s="8" t="str">
        <f>材料产出!$AD$2</f>
        <v>凡品升星石</v>
      </c>
      <c r="D4073" s="224">
        <f>参数调整!$K$33*怪物掉落配置方案!$D5099</f>
        <v>9.5833652530779769</v>
      </c>
    </row>
    <row r="4074" spans="1:4" ht="16.5" hidden="1" x14ac:dyDescent="0.3">
      <c r="A4074" s="10" t="str">
        <f>基本属性!$B$25&amp;"|"&amp;基本属性!$C$25</f>
        <v>220|15</v>
      </c>
      <c r="B4074" s="10" t="str">
        <f>参数调整!$J$33</f>
        <v>统领掉落</v>
      </c>
      <c r="C4074" s="8" t="str">
        <f>材料产出!$AD$2</f>
        <v>凡品升星石</v>
      </c>
      <c r="D4074" s="224">
        <f>参数调整!$K$33*怪物掉落配置方案!$D5100</f>
        <v>10.721035462485528</v>
      </c>
    </row>
    <row r="4075" spans="1:4" ht="16.5" hidden="1" x14ac:dyDescent="0.3">
      <c r="A4075" s="10" t="str">
        <f>基本属性!$B$26&amp;"|"&amp;基本属性!$C$26</f>
        <v>230|16</v>
      </c>
      <c r="B4075" s="10" t="str">
        <f>参数调整!$J$33</f>
        <v>统领掉落</v>
      </c>
      <c r="C4075" s="8" t="str">
        <f>材料产出!$AD$2</f>
        <v>凡品升星石</v>
      </c>
      <c r="D4075" s="224">
        <f>参数调整!$K$33*怪物掉落配置方案!$D5101</f>
        <v>11.922500263074818</v>
      </c>
    </row>
    <row r="4076" spans="1:4" ht="16.5" hidden="1" x14ac:dyDescent="0.3">
      <c r="A4076" s="10" t="str">
        <f>基本属性!$B$27&amp;"|"&amp;基本属性!$C$27</f>
        <v>230|17</v>
      </c>
      <c r="B4076" s="10" t="str">
        <f>参数调整!$J$33</f>
        <v>统领掉落</v>
      </c>
      <c r="C4076" s="8" t="str">
        <f>材料产出!$AD$2</f>
        <v>凡品升星石</v>
      </c>
      <c r="D4076" s="224">
        <f>参数调整!$K$33*怪物掉落配置方案!$D5102</f>
        <v>13.187759654845838</v>
      </c>
    </row>
    <row r="4077" spans="1:4" ht="16.5" hidden="1" x14ac:dyDescent="0.3">
      <c r="A4077" s="10" t="str">
        <f>基本属性!$B$28&amp;"|"&amp;基本属性!$C$28</f>
        <v>240|18</v>
      </c>
      <c r="B4077" s="10" t="str">
        <f>参数调整!$J$33</f>
        <v>统领掉落</v>
      </c>
      <c r="C4077" s="8" t="str">
        <f>材料产出!$AD$2</f>
        <v>凡品升星石</v>
      </c>
      <c r="D4077" s="224">
        <f>参数调整!$K$33*怪物掉落配置方案!$D5103</f>
        <v>14.516813637798592</v>
      </c>
    </row>
    <row r="4078" spans="1:4" ht="16.5" hidden="1" x14ac:dyDescent="0.3">
      <c r="A4078" s="10" t="str">
        <f>基本属性!$B$29&amp;"|"&amp;基本属性!$C$29</f>
        <v>240|19</v>
      </c>
      <c r="B4078" s="10" t="str">
        <f>参数调整!$J$33</f>
        <v>统领掉落</v>
      </c>
      <c r="C4078" s="8" t="str">
        <f>材料产出!$AD$2</f>
        <v>凡品升星石</v>
      </c>
      <c r="D4078" s="224">
        <f>参数调整!$K$33*怪物掉落配置方案!$D5104</f>
        <v>15.909662211933076</v>
      </c>
    </row>
    <row r="4079" spans="1:4" ht="16.5" hidden="1" x14ac:dyDescent="0.3">
      <c r="A4079" s="10" t="str">
        <f>基本属性!$B$30&amp;"|"&amp;基本属性!$C$30</f>
        <v>250|20</v>
      </c>
      <c r="B4079" s="10" t="str">
        <f>参数调整!$J$33</f>
        <v>统领掉落</v>
      </c>
      <c r="C4079" s="8" t="str">
        <f>材料产出!$AD$2</f>
        <v>凡品升星石</v>
      </c>
      <c r="D4079" s="224">
        <f>参数调整!$K$33*怪物掉落配置方案!$D5105</f>
        <v>17.36630537724929</v>
      </c>
    </row>
    <row r="4080" spans="1:4" ht="16.5" hidden="1" x14ac:dyDescent="0.3">
      <c r="A4080" s="10" t="str">
        <f>基本属性!$B$4&amp;"|"&amp;基本属性!$C$4</f>
        <v>35|0</v>
      </c>
      <c r="B4080" s="10" t="str">
        <f>参数调整!$J$33</f>
        <v>统领掉落</v>
      </c>
      <c r="C4080" s="8" t="str">
        <f>材料产出!$Z$2</f>
        <v>恶魔头颅</v>
      </c>
      <c r="D4080" s="224">
        <f>参数调整!$K$33*怪物掉落配置方案!$D5106</f>
        <v>2.9537171981491247E-2</v>
      </c>
    </row>
    <row r="4081" spans="1:4" ht="16.5" hidden="1" x14ac:dyDescent="0.3">
      <c r="A4081" s="10" t="str">
        <f>基本属性!$B$5&amp;"|"&amp;基本属性!$C$5</f>
        <v>40|0</v>
      </c>
      <c r="B4081" s="10" t="str">
        <f>参数调整!$J$33</f>
        <v>统领掉落</v>
      </c>
      <c r="C4081" s="8" t="str">
        <f>材料产出!$Z$2</f>
        <v>恶魔头颅</v>
      </c>
      <c r="D4081" s="224">
        <f>参数调整!$K$33*怪物掉落配置方案!$D5107</f>
        <v>3.7382983289074863E-2</v>
      </c>
    </row>
    <row r="4082" spans="1:4" ht="16.5" hidden="1" x14ac:dyDescent="0.3">
      <c r="A4082" s="10" t="str">
        <f>基本属性!$B$6&amp;"|"&amp;基本属性!$C$6</f>
        <v>50|0</v>
      </c>
      <c r="B4082" s="10" t="str">
        <f>参数调整!$J$33</f>
        <v>统领掉落</v>
      </c>
      <c r="C4082" s="8" t="str">
        <f>材料产出!$Z$2</f>
        <v>恶魔头颅</v>
      </c>
      <c r="D4082" s="224">
        <f>参数调整!$K$33*怪物掉落配置方案!$D5108</f>
        <v>4.6151831221080075E-2</v>
      </c>
    </row>
    <row r="4083" spans="1:4" ht="16.5" hidden="1" x14ac:dyDescent="0.3">
      <c r="A4083" s="10" t="str">
        <f>基本属性!$B$7&amp;"|"&amp;基本属性!$C$7</f>
        <v>60|0</v>
      </c>
      <c r="B4083" s="10" t="str">
        <f>参数调整!$J$33</f>
        <v>统领掉落</v>
      </c>
      <c r="C4083" s="8" t="str">
        <f>材料产出!$Z$2</f>
        <v>恶魔头颅</v>
      </c>
      <c r="D4083" s="224">
        <f>参数调整!$K$33*怪物掉落配置方案!$D5109</f>
        <v>5.5843715777506901E-2</v>
      </c>
    </row>
    <row r="4084" spans="1:4" ht="16.5" hidden="1" x14ac:dyDescent="0.3">
      <c r="A4084" s="10" t="str">
        <f>基本属性!$B$8&amp;"|"&amp;基本属性!$C$8</f>
        <v>65|0</v>
      </c>
      <c r="B4084" s="10" t="str">
        <f>参数调整!$J$33</f>
        <v>统领掉落</v>
      </c>
      <c r="C4084" s="8" t="str">
        <f>材料产出!$Z$2</f>
        <v>恶魔头颅</v>
      </c>
      <c r="D4084" s="224">
        <f>参数调整!$K$33*怪物掉落配置方案!$D5110</f>
        <v>6.6458636958355313E-2</v>
      </c>
    </row>
    <row r="4085" spans="1:4" ht="16.5" hidden="1" x14ac:dyDescent="0.3">
      <c r="A4085" s="10" t="str">
        <f>基本属性!$B$9&amp;"|"&amp;基本属性!$C$9</f>
        <v>70|0</v>
      </c>
      <c r="B4085" s="10" t="str">
        <f>参数调整!$J$33</f>
        <v>统领掉落</v>
      </c>
      <c r="C4085" s="8" t="str">
        <f>材料产出!$Z$2</f>
        <v>恶魔头颅</v>
      </c>
      <c r="D4085" s="224">
        <f>参数调整!$K$33*怪物掉落配置方案!$D5111</f>
        <v>7.7996594763625332E-2</v>
      </c>
    </row>
    <row r="4086" spans="1:4" ht="16.5" hidden="1" x14ac:dyDescent="0.3">
      <c r="A4086" s="10" t="str">
        <f>基本属性!$B$10&amp;"|"&amp;基本属性!$C$10</f>
        <v>75|0</v>
      </c>
      <c r="B4086" s="10" t="str">
        <f>参数调整!$J$33</f>
        <v>统领掉落</v>
      </c>
      <c r="C4086" s="8" t="str">
        <f>材料产出!$Z$2</f>
        <v>恶魔头颅</v>
      </c>
      <c r="D4086" s="224">
        <f>参数调整!$K$33*怪物掉落配置方案!$D5112</f>
        <v>9.0457589193316937E-2</v>
      </c>
    </row>
    <row r="4087" spans="1:4" ht="16.5" hidden="1" x14ac:dyDescent="0.3">
      <c r="A4087" s="10" t="str">
        <f>基本属性!$B$11&amp;"|"&amp;基本属性!$C$11</f>
        <v>80|1</v>
      </c>
      <c r="B4087" s="10" t="str">
        <f>参数调整!$J$33</f>
        <v>统领掉落</v>
      </c>
      <c r="C4087" s="8" t="str">
        <f>材料产出!$Z$2</f>
        <v>恶魔头颅</v>
      </c>
      <c r="D4087" s="224">
        <f>参数调整!$K$33*怪物掉落配置方案!$D5113</f>
        <v>0.10384162024743018</v>
      </c>
    </row>
    <row r="4088" spans="1:4" ht="16.5" hidden="1" x14ac:dyDescent="0.3">
      <c r="A4088" s="10" t="str">
        <f>基本属性!$B$12&amp;"|"&amp;基本属性!$C$12</f>
        <v>90|2</v>
      </c>
      <c r="B4088" s="10" t="str">
        <f>参数调整!$J$33</f>
        <v>统领掉落</v>
      </c>
      <c r="C4088" s="8" t="str">
        <f>材料产出!$Z$2</f>
        <v>恶魔头颅</v>
      </c>
      <c r="D4088" s="224">
        <f>参数调整!$K$33*怪物掉落配置方案!$D5114</f>
        <v>0.11814868792596502</v>
      </c>
    </row>
    <row r="4089" spans="1:4" ht="16.5" hidden="1" x14ac:dyDescent="0.3">
      <c r="A4089" s="10" t="str">
        <f>基本属性!$B$13&amp;"|"&amp;基本属性!$C$13</f>
        <v>100|3</v>
      </c>
      <c r="B4089" s="10" t="str">
        <f>参数调整!$J$33</f>
        <v>统领掉落</v>
      </c>
      <c r="C4089" s="8" t="str">
        <f>材料产出!$Z$2</f>
        <v>恶魔头颅</v>
      </c>
      <c r="D4089" s="224">
        <f>参数调整!$K$33*怪物掉落配置方案!$D5115</f>
        <v>0.14953193315629948</v>
      </c>
    </row>
    <row r="4090" spans="1:4" ht="16.5" hidden="1" x14ac:dyDescent="0.3">
      <c r="A4090" s="10" t="str">
        <f>基本属性!$B$14&amp;"|"&amp;基本属性!$C$14</f>
        <v>105|4</v>
      </c>
      <c r="B4090" s="10" t="str">
        <f>参数调整!$J$33</f>
        <v>统领掉落</v>
      </c>
      <c r="C4090" s="8" t="str">
        <f>材料产出!$Z$2</f>
        <v>恶魔头颅</v>
      </c>
      <c r="D4090" s="224">
        <f>参数调整!$K$33*怪物掉落配置方案!$D5116</f>
        <v>0.1846073248843203</v>
      </c>
    </row>
    <row r="4091" spans="1:4" ht="16.5" hidden="1" x14ac:dyDescent="0.3">
      <c r="A4091" s="10" t="str">
        <f>基本属性!$B$15&amp;"|"&amp;基本属性!$C$15</f>
        <v>110|5</v>
      </c>
      <c r="B4091" s="10" t="str">
        <f>参数调整!$J$33</f>
        <v>统领掉落</v>
      </c>
      <c r="C4091" s="8" t="str">
        <f>材料产出!$Z$2</f>
        <v>恶魔头颅</v>
      </c>
      <c r="D4091" s="224">
        <f>参数调整!$K$33*怪物掉落配置方案!$D5117</f>
        <v>0.2233748631100276</v>
      </c>
    </row>
    <row r="4092" spans="1:4" ht="16.5" hidden="1" x14ac:dyDescent="0.3">
      <c r="A4092" s="10" t="str">
        <f>基本属性!$B$16&amp;"|"&amp;基本属性!$C$16</f>
        <v>120|6</v>
      </c>
      <c r="B4092" s="10" t="str">
        <f>参数调整!$J$33</f>
        <v>统领掉落</v>
      </c>
      <c r="C4092" s="8" t="str">
        <f>材料产出!$Z$2</f>
        <v>恶魔头颅</v>
      </c>
      <c r="D4092" s="224">
        <f>参数调整!$K$33*怪物掉落配置方案!$D5118</f>
        <v>0.28844894513175046</v>
      </c>
    </row>
    <row r="4093" spans="1:4" ht="16.5" hidden="1" x14ac:dyDescent="0.3">
      <c r="A4093" s="10" t="str">
        <f>基本属性!$B$17&amp;"|"&amp;基本属性!$C$17</f>
        <v>135|7</v>
      </c>
      <c r="B4093" s="10" t="str">
        <f>参数调整!$J$33</f>
        <v>统领掉落</v>
      </c>
      <c r="C4093" s="8" t="str">
        <f>材料产出!$Z$2</f>
        <v>恶魔头颅</v>
      </c>
      <c r="D4093" s="224">
        <f>参数调整!$K$33*怪物掉落配置方案!$D5119</f>
        <v>0.41536648098972073</v>
      </c>
    </row>
    <row r="4094" spans="1:4" ht="16.5" hidden="1" x14ac:dyDescent="0.3">
      <c r="A4094" s="10" t="str">
        <f>基本属性!$B$18&amp;"|"&amp;基本属性!$C$18</f>
        <v>155|8</v>
      </c>
      <c r="B4094" s="10" t="str">
        <f>参数调整!$J$33</f>
        <v>统领掉落</v>
      </c>
      <c r="C4094" s="8" t="str">
        <f>材料产出!$Z$2</f>
        <v>恶魔头颅</v>
      </c>
      <c r="D4094" s="224">
        <f>参数调整!$K$33*怪物掉落配置方案!$D5120</f>
        <v>0.56535993245823102</v>
      </c>
    </row>
    <row r="4095" spans="1:4" ht="16.5" hidden="1" x14ac:dyDescent="0.3">
      <c r="A4095" s="10" t="str">
        <f>基本属性!$B$19&amp;"|"&amp;基本属性!$C$19</f>
        <v>190|9</v>
      </c>
      <c r="B4095" s="10" t="str">
        <f>参数调整!$J$33</f>
        <v>统领掉落</v>
      </c>
      <c r="C4095" s="8" t="str">
        <f>材料产出!$Z$2</f>
        <v>恶魔头颅</v>
      </c>
      <c r="D4095" s="224">
        <f>参数调整!$K$33*怪物掉落配置方案!$D5121</f>
        <v>0.63181856941658632</v>
      </c>
    </row>
    <row r="4096" spans="1:4" ht="16.5" hidden="1" x14ac:dyDescent="0.3">
      <c r="A4096" s="10" t="str">
        <f>基本属性!$B$20&amp;"|"&amp;基本属性!$C$20</f>
        <v>200|10</v>
      </c>
      <c r="B4096" s="10" t="str">
        <f>参数调整!$J$33</f>
        <v>统领掉落</v>
      </c>
      <c r="C4096" s="8" t="str">
        <f>材料产出!$Z$2</f>
        <v>恶魔头颅</v>
      </c>
      <c r="D4096" s="224">
        <f>参数调整!$K$33*怪物掉落配置方案!$D5122</f>
        <v>0.7384292995372812</v>
      </c>
    </row>
    <row r="4097" spans="1:4" ht="16.5" hidden="1" x14ac:dyDescent="0.3">
      <c r="A4097" s="10" t="str">
        <f>基本属性!$B$21&amp;"|"&amp;基本属性!$C$21</f>
        <v>200|11</v>
      </c>
      <c r="B4097" s="10" t="str">
        <f>参数调整!$J$33</f>
        <v>统领掉落</v>
      </c>
      <c r="C4097" s="8" t="str">
        <f>材料产出!$Z$2</f>
        <v>恶魔头颅</v>
      </c>
      <c r="D4097" s="224">
        <f>参数调整!$K$33*怪物掉落配置方案!$D5123</f>
        <v>0.85334735927777039</v>
      </c>
    </row>
    <row r="4098" spans="1:4" ht="16.5" hidden="1" x14ac:dyDescent="0.3">
      <c r="A4098" s="10" t="str">
        <f>基本属性!$B$22&amp;"|"&amp;基本属性!$C$22</f>
        <v>210|12</v>
      </c>
      <c r="B4098" s="10" t="str">
        <f>参数调整!$J$33</f>
        <v>统领掉落</v>
      </c>
      <c r="C4098" s="8" t="str">
        <f>材料产出!$Z$2</f>
        <v>恶魔头颅</v>
      </c>
      <c r="D4098" s="224">
        <f>参数调整!$K$33*怪物掉落配置方案!$D5124</f>
        <v>0.97657274863805421</v>
      </c>
    </row>
    <row r="4099" spans="1:4" ht="16.5" hidden="1" x14ac:dyDescent="0.3">
      <c r="A4099" s="10" t="str">
        <f>基本属性!$B$23&amp;"|"&amp;基本属性!$C$23</f>
        <v>210|13</v>
      </c>
      <c r="B4099" s="10" t="str">
        <f>参数调整!$J$33</f>
        <v>统领掉落</v>
      </c>
      <c r="C4099" s="8" t="str">
        <f>材料产出!$Z$2</f>
        <v>恶魔头颅</v>
      </c>
      <c r="D4099" s="224">
        <f>参数调整!$K$33*怪物掉落配置方案!$D5125</f>
        <v>1.1081054676181328</v>
      </c>
    </row>
    <row r="4100" spans="1:4" ht="16.5" hidden="1" x14ac:dyDescent="0.3">
      <c r="A4100" s="10" t="str">
        <f>基本属性!$B$24&amp;"|"&amp;基本属性!$C$24</f>
        <v>220|14</v>
      </c>
      <c r="B4100" s="10" t="str">
        <f>参数调整!$J$33</f>
        <v>统领掉落</v>
      </c>
      <c r="C4100" s="8" t="str">
        <f>材料产出!$Z$2</f>
        <v>恶魔头颅</v>
      </c>
      <c r="D4100" s="224">
        <f>参数调整!$K$33*怪物掉落配置方案!$D5126</f>
        <v>1.2479455162180053</v>
      </c>
    </row>
    <row r="4101" spans="1:4" ht="16.5" hidden="1" x14ac:dyDescent="0.3">
      <c r="A4101" s="10" t="str">
        <f>基本属性!$B$25&amp;"|"&amp;基本属性!$C$25</f>
        <v>220|15</v>
      </c>
      <c r="B4101" s="10" t="str">
        <f>参数调整!$J$33</f>
        <v>统领掉落</v>
      </c>
      <c r="C4101" s="8" t="str">
        <f>材料产出!$Z$2</f>
        <v>恶魔头颅</v>
      </c>
      <c r="D4101" s="224">
        <f>参数调整!$K$33*怪物掉落配置方案!$D5127</f>
        <v>1.3960928944376723</v>
      </c>
    </row>
    <row r="4102" spans="1:4" ht="16.5" hidden="1" x14ac:dyDescent="0.3">
      <c r="A4102" s="10" t="str">
        <f>基本属性!$B$26&amp;"|"&amp;基本属性!$C$26</f>
        <v>230|16</v>
      </c>
      <c r="B4102" s="10" t="str">
        <f>参数调整!$J$33</f>
        <v>统领掉落</v>
      </c>
      <c r="C4102" s="8" t="str">
        <f>材料产出!$Z$2</f>
        <v>恶魔头颅</v>
      </c>
      <c r="D4102" s="224">
        <f>参数调整!$K$33*怪物掉落配置方案!$D5128</f>
        <v>1.5525476022771336</v>
      </c>
    </row>
    <row r="4103" spans="1:4" ht="16.5" hidden="1" x14ac:dyDescent="0.3">
      <c r="A4103" s="10" t="str">
        <f>基本属性!$B$27&amp;"|"&amp;基本属性!$C$27</f>
        <v>230|17</v>
      </c>
      <c r="B4103" s="10" t="str">
        <f>参数调整!$J$33</f>
        <v>统领掉落</v>
      </c>
      <c r="C4103" s="8" t="str">
        <f>材料产出!$Z$2</f>
        <v>恶魔头颅</v>
      </c>
      <c r="D4103" s="224">
        <f>参数调整!$K$33*怪物掉落配置方案!$D5129</f>
        <v>1.7173096397363894</v>
      </c>
    </row>
    <row r="4104" spans="1:4" ht="16.5" hidden="1" x14ac:dyDescent="0.3">
      <c r="A4104" s="10" t="str">
        <f>基本属性!$B$28&amp;"|"&amp;基本属性!$C$28</f>
        <v>240|18</v>
      </c>
      <c r="B4104" s="10" t="str">
        <f>参数调整!$J$33</f>
        <v>统领掉落</v>
      </c>
      <c r="C4104" s="8" t="str">
        <f>材料产出!$Z$2</f>
        <v>恶魔头颅</v>
      </c>
      <c r="D4104" s="224">
        <f>参数调整!$K$33*怪物掉落配置方案!$D5130</f>
        <v>1.8903790068154402</v>
      </c>
    </row>
    <row r="4105" spans="1:4" ht="16.5" hidden="1" x14ac:dyDescent="0.3">
      <c r="A4105" s="10" t="str">
        <f>基本属性!$B$29&amp;"|"&amp;基本属性!$C$29</f>
        <v>240|19</v>
      </c>
      <c r="B4105" s="10" t="str">
        <f>参数调整!$J$33</f>
        <v>统领掉落</v>
      </c>
      <c r="C4105" s="8" t="str">
        <f>材料产出!$Z$2</f>
        <v>恶魔头颅</v>
      </c>
      <c r="D4105" s="224">
        <f>参数调整!$K$33*怪物掉落配置方案!$D5131</f>
        <v>2.0717557035142846</v>
      </c>
    </row>
    <row r="4106" spans="1:4" ht="16.5" hidden="1" x14ac:dyDescent="0.3">
      <c r="A4106" s="10" t="str">
        <f>基本属性!$B$30&amp;"|"&amp;基本属性!$C$30</f>
        <v>250|20</v>
      </c>
      <c r="B4106" s="10" t="str">
        <f>参数调整!$J$33</f>
        <v>统领掉落</v>
      </c>
      <c r="C4106" s="8" t="str">
        <f>材料产出!$Z$2</f>
        <v>恶魔头颅</v>
      </c>
      <c r="D4106" s="224">
        <f>参数调整!$K$33*怪物掉落配置方案!$D5132</f>
        <v>2.2614397298329236</v>
      </c>
    </row>
    <row r="4107" spans="1:4" ht="16.5" x14ac:dyDescent="0.3">
      <c r="A4107" s="10" t="str">
        <f>基本属性!$B$4&amp;"|"&amp;基本属性!$C$4</f>
        <v>35|0</v>
      </c>
      <c r="B4107" s="10" t="str">
        <f>参数调整!$J$31</f>
        <v>小怪掉落</v>
      </c>
      <c r="C4107" s="8" t="str">
        <f>材料产出!$R$2</f>
        <v>转生精华</v>
      </c>
      <c r="D4107" s="224">
        <f>材料产出!$R$4/(基本属性!$A$4/(基本属性!$AS$4*1/3600))*材料产出!$D$4</f>
        <v>3.9560216851598524E-4</v>
      </c>
    </row>
    <row r="4108" spans="1:4" ht="16.5" x14ac:dyDescent="0.3">
      <c r="A4108" s="10" t="str">
        <f>基本属性!$B$5&amp;"|"&amp;基本属性!$C$5</f>
        <v>40|0</v>
      </c>
      <c r="B4108" s="10" t="str">
        <f>参数调整!$J$31</f>
        <v>小怪掉落</v>
      </c>
      <c r="C4108" s="8" t="str">
        <f>材料产出!$R$2</f>
        <v>转生精华</v>
      </c>
      <c r="D4108" s="224">
        <f>材料产出!$R$5/(基本属性!$A$5/(基本属性!$AS$5*1/3600))*材料产出!$D$5</f>
        <v>5.0068399452804372E-4</v>
      </c>
    </row>
    <row r="4109" spans="1:4" ht="16.5" x14ac:dyDescent="0.3">
      <c r="A4109" s="10" t="str">
        <f>基本属性!$B$6&amp;"|"&amp;基本属性!$C$6</f>
        <v>50|0</v>
      </c>
      <c r="B4109" s="10" t="str">
        <f>参数调整!$J$31</f>
        <v>小怪掉落</v>
      </c>
      <c r="C4109" s="8" t="str">
        <f>材料产出!$R$2</f>
        <v>转生精华</v>
      </c>
      <c r="D4109" s="224">
        <f>材料产出!$R$6/(基本属性!$A$6/(基本属性!$AS$6*1/3600))*材料产出!$D$6</f>
        <v>6.1812838830622692E-4</v>
      </c>
    </row>
    <row r="4110" spans="1:4" ht="16.5" x14ac:dyDescent="0.3">
      <c r="A4110" s="10" t="str">
        <f>基本属性!$B$7&amp;"|"&amp;基本属性!$C$7</f>
        <v>60|0</v>
      </c>
      <c r="B4110" s="10" t="str">
        <f>参数调整!$J$31</f>
        <v>小怪掉落</v>
      </c>
      <c r="C4110" s="8" t="str">
        <f>材料产出!$R$2</f>
        <v>转生精华</v>
      </c>
      <c r="D4110" s="224">
        <f>材料产出!$R$7/(基本属性!$A$7/(基本属性!$AS$7*1/3600))*材料产出!$D$7</f>
        <v>7.4793534985053464E-4</v>
      </c>
    </row>
    <row r="4111" spans="1:4" ht="16.5" x14ac:dyDescent="0.3">
      <c r="A4111" s="10" t="str">
        <f>基本属性!$B$8&amp;"|"&amp;基本属性!$C$8</f>
        <v>65|0</v>
      </c>
      <c r="B4111" s="10" t="str">
        <f>参数调整!$J$31</f>
        <v>小怪掉落</v>
      </c>
      <c r="C4111" s="8" t="str">
        <f>材料产出!$R$2</f>
        <v>转生精华</v>
      </c>
      <c r="D4111" s="224">
        <f>材料产出!$R$8/(基本属性!$A$8/(基本属性!$AS$8*1/3600))*材料产出!$D$8</f>
        <v>8.9010487916096664E-4</v>
      </c>
    </row>
    <row r="4112" spans="1:4" ht="16.5" x14ac:dyDescent="0.3">
      <c r="A4112" s="10" t="str">
        <f>基本属性!$B$9&amp;"|"&amp;基本属性!$C$9</f>
        <v>70|0</v>
      </c>
      <c r="B4112" s="10" t="str">
        <f>参数调整!$J$31</f>
        <v>小怪掉落</v>
      </c>
      <c r="C4112" s="8" t="str">
        <f>材料产出!$R$2</f>
        <v>转生精华</v>
      </c>
      <c r="D4112" s="224">
        <f>材料产出!$R$9/(基本属性!$A$9/(基本属性!$AS$9*1/3600))*材料产出!$D$9</f>
        <v>1.0446369762375234E-3</v>
      </c>
    </row>
    <row r="4113" spans="1:4" ht="16.5" x14ac:dyDescent="0.3">
      <c r="A4113" s="10" t="str">
        <f>基本属性!$B$10&amp;"|"&amp;基本属性!$C$10</f>
        <v>75|0</v>
      </c>
      <c r="B4113" s="10" t="str">
        <f>参数调整!$J$31</f>
        <v>小怪掉落</v>
      </c>
      <c r="C4113" s="8" t="str">
        <f>材料产出!$R$2</f>
        <v>转生精华</v>
      </c>
      <c r="D4113" s="224">
        <f>材料产出!$R$10/(基本属性!$A$10/(基本属性!$AS$10*1/3600))*材料产出!$D$10</f>
        <v>1.2115316410802044E-3</v>
      </c>
    </row>
    <row r="4114" spans="1:4" ht="16.5" x14ac:dyDescent="0.3">
      <c r="A4114" s="10" t="str">
        <f>基本属性!$B$11&amp;"|"&amp;基本属性!$C$11</f>
        <v>80|1</v>
      </c>
      <c r="B4114" s="10" t="str">
        <f>参数调整!$J$31</f>
        <v>小怪掉落</v>
      </c>
      <c r="C4114" s="8" t="str">
        <f>材料产出!$R$2</f>
        <v>转生精华</v>
      </c>
      <c r="D4114" s="224">
        <f>材料产出!$R$11/(基本属性!$A$11/(基本属性!$AS$11*1/3600))*材料产出!$D$11</f>
        <v>1.3907888736890105E-3</v>
      </c>
    </row>
    <row r="4115" spans="1:4" ht="16.5" x14ac:dyDescent="0.3">
      <c r="A4115" s="10" t="str">
        <f>基本属性!$B$12&amp;"|"&amp;基本属性!$C$12</f>
        <v>90|2</v>
      </c>
      <c r="B4115" s="10" t="str">
        <f>参数调整!$J$31</f>
        <v>小怪掉落</v>
      </c>
      <c r="C4115" s="8" t="str">
        <f>材料产出!$R$2</f>
        <v>转生精华</v>
      </c>
      <c r="D4115" s="224">
        <f>材料产出!$R$12/(基本属性!$A$12/(基本属性!$AS$12*1/3600))*材料产出!$D$12</f>
        <v>1.5824086740639414E-3</v>
      </c>
    </row>
    <row r="4116" spans="1:4" ht="16.5" x14ac:dyDescent="0.3">
      <c r="A4116" s="10" t="str">
        <f>基本属性!$B$13&amp;"|"&amp;基本属性!$C$13</f>
        <v>100|3</v>
      </c>
      <c r="B4116" s="10" t="str">
        <f>参数调整!$J$31</f>
        <v>小怪掉落</v>
      </c>
      <c r="C4116" s="8" t="str">
        <f>材料产出!$R$2</f>
        <v>转生精华</v>
      </c>
      <c r="D4116" s="224">
        <f>材料产出!$R$13/(基本属性!$A$13/(基本属性!$AS$13*1/3600))*材料产出!$D$13</f>
        <v>2.0027359781121753E-3</v>
      </c>
    </row>
    <row r="4117" spans="1:4" ht="16.5" x14ac:dyDescent="0.3">
      <c r="A4117" s="10" t="str">
        <f>基本属性!$B$14&amp;"|"&amp;基本属性!$C$14</f>
        <v>105|4</v>
      </c>
      <c r="B4117" s="10" t="str">
        <f>参数调整!$J$31</f>
        <v>小怪掉落</v>
      </c>
      <c r="C4117" s="8" t="str">
        <f>材料产出!$R$2</f>
        <v>转生精华</v>
      </c>
      <c r="D4117" s="224">
        <f>材料产出!$R$14/(基本属性!$A$14/(基本属性!$AS$14*1/3600))*材料产出!$D$14</f>
        <v>2.4725135532249077E-3</v>
      </c>
    </row>
    <row r="4118" spans="1:4" ht="16.5" x14ac:dyDescent="0.3">
      <c r="A4118" s="10" t="str">
        <f>基本属性!$B$15&amp;"|"&amp;基本属性!$C$15</f>
        <v>110|5</v>
      </c>
      <c r="B4118" s="10" t="str">
        <f>参数调整!$J$31</f>
        <v>小怪掉落</v>
      </c>
      <c r="C4118" s="8" t="str">
        <f>材料产出!$R$2</f>
        <v>转生精华</v>
      </c>
      <c r="D4118" s="224">
        <f>材料产出!$R$15/(基本属性!$A$15/(基本属性!$AS$15*1/3600))*材料产出!$D$15</f>
        <v>2.991741399402139E-3</v>
      </c>
    </row>
    <row r="4119" spans="1:4" ht="16.5" x14ac:dyDescent="0.3">
      <c r="A4119" s="10" t="str">
        <f>基本属性!$B$16&amp;"|"&amp;基本属性!$C$16</f>
        <v>120|6</v>
      </c>
      <c r="B4119" s="10" t="str">
        <f>参数调整!$J$31</f>
        <v>小怪掉落</v>
      </c>
      <c r="C4119" s="8" t="str">
        <f>材料产出!$R$2</f>
        <v>转生精华</v>
      </c>
      <c r="D4119" s="224">
        <f>材料产出!$R$16/(基本属性!$A$16/(基本属性!$AS$16*1/3600))*材料产出!$D$16</f>
        <v>3.8633024269139182E-3</v>
      </c>
    </row>
    <row r="4120" spans="1:4" ht="16.5" x14ac:dyDescent="0.3">
      <c r="A4120" s="10" t="str">
        <f>基本属性!$B$17&amp;"|"&amp;基本属性!$C$17</f>
        <v>135|7</v>
      </c>
      <c r="B4120" s="10" t="str">
        <f>参数调整!$J$31</f>
        <v>小怪掉落</v>
      </c>
      <c r="C4120" s="8" t="str">
        <f>材料产出!$R$2</f>
        <v>转生精华</v>
      </c>
      <c r="D4120" s="224">
        <f>材料产出!$R$17/(基本属性!$A$17/(基本属性!$AS$17*1/3600))*材料产出!$D$17</f>
        <v>5.5631554947560419E-3</v>
      </c>
    </row>
    <row r="4121" spans="1:4" ht="16.5" x14ac:dyDescent="0.3">
      <c r="A4121" s="10" t="str">
        <f>基本属性!$B$18&amp;"|"&amp;基本属性!$C$18</f>
        <v>155|8</v>
      </c>
      <c r="B4121" s="10" t="str">
        <f>参数调整!$J$31</f>
        <v>小怪掉落</v>
      </c>
      <c r="C4121" s="8" t="str">
        <f>材料产出!$R$2</f>
        <v>转生精华</v>
      </c>
      <c r="D4121" s="224">
        <f>材料产出!$R$18/(基本属性!$A$18/(基本属性!$AS$18*1/3600))*材料产出!$D$18</f>
        <v>7.5720727567512806E-3</v>
      </c>
    </row>
    <row r="4122" spans="1:4" ht="16.5" x14ac:dyDescent="0.3">
      <c r="A4122" s="10" t="str">
        <f>基本属性!$B$19&amp;"|"&amp;基本属性!$C$19</f>
        <v>190|9</v>
      </c>
      <c r="B4122" s="10" t="str">
        <f>参数调整!$J$31</f>
        <v>小怪掉落</v>
      </c>
      <c r="C4122" s="8" t="str">
        <f>材料产出!$R$2</f>
        <v>转生精华</v>
      </c>
      <c r="D4122" s="224">
        <f>材料产出!$R$19/(基本属性!$A$19/(基本属性!$AS$19*1/3600))*材料产出!$D$19</f>
        <v>8.462177635912246E-3</v>
      </c>
    </row>
    <row r="4123" spans="1:4" ht="16.5" x14ac:dyDescent="0.3">
      <c r="A4123" s="10" t="str">
        <f>基本属性!$B$20&amp;"|"&amp;基本属性!$C$20</f>
        <v>200|10</v>
      </c>
      <c r="B4123" s="10" t="str">
        <f>参数调整!$J$31</f>
        <v>小怪掉落</v>
      </c>
      <c r="C4123" s="8" t="str">
        <f>材料产出!$R$2</f>
        <v>转生精华</v>
      </c>
      <c r="D4123" s="224">
        <f>材料产出!$R$20/(基本属性!$A$20/(基本属性!$AS$20*1/3600))*材料产出!$D$20</f>
        <v>9.8900542128996308E-3</v>
      </c>
    </row>
    <row r="4124" spans="1:4" ht="16.5" x14ac:dyDescent="0.3">
      <c r="A4124" s="10" t="str">
        <f>基本属性!$B$21&amp;"|"&amp;基本属性!$C$21</f>
        <v>200|11</v>
      </c>
      <c r="B4124" s="10" t="str">
        <f>参数调整!$J$31</f>
        <v>小怪掉落</v>
      </c>
      <c r="C4124" s="8" t="str">
        <f>材料产出!$R$2</f>
        <v>转生精华</v>
      </c>
      <c r="D4124" s="224">
        <f>材料产出!$R$21/(基本属性!$A$21/(基本属性!$AS$21*1/3600))*材料产出!$D$21</f>
        <v>1.1429193899782133E-2</v>
      </c>
    </row>
    <row r="4125" spans="1:4" ht="16.5" x14ac:dyDescent="0.3">
      <c r="A4125" s="10" t="str">
        <f>基本属性!$B$22&amp;"|"&amp;基本属性!$C$22</f>
        <v>210|12</v>
      </c>
      <c r="B4125" s="10" t="str">
        <f>参数调整!$J$31</f>
        <v>小怪掉落</v>
      </c>
      <c r="C4125" s="8" t="str">
        <f>材料产出!$R$2</f>
        <v>转生精华</v>
      </c>
      <c r="D4125" s="224">
        <f>材料产出!$R$22/(基本属性!$A$22/(基本属性!$AS$22*1/3600))*材料产出!$D$22</f>
        <v>1.3079596696559757E-2</v>
      </c>
    </row>
    <row r="4126" spans="1:4" ht="16.5" x14ac:dyDescent="0.3">
      <c r="A4126" s="10" t="str">
        <f>基本属性!$B$23&amp;"|"&amp;基本属性!$C$23</f>
        <v>210|13</v>
      </c>
      <c r="B4126" s="10" t="str">
        <f>参数调整!$J$31</f>
        <v>小怪掉落</v>
      </c>
      <c r="C4126" s="8" t="str">
        <f>材料产出!$R$2</f>
        <v>转生精华</v>
      </c>
      <c r="D4126" s="224">
        <f>材料产出!$R$23/(基本属性!$A$23/(基本属性!$AS$23*1/3600))*材料产出!$D$23</f>
        <v>1.484126260323251E-2</v>
      </c>
    </row>
    <row r="4127" spans="1:4" ht="16.5" x14ac:dyDescent="0.3">
      <c r="A4127" s="10" t="str">
        <f>基本属性!$B$24&amp;"|"&amp;基本属性!$C$24</f>
        <v>220|14</v>
      </c>
      <c r="B4127" s="10" t="str">
        <f>参数调整!$J$31</f>
        <v>小怪掉落</v>
      </c>
      <c r="C4127" s="8" t="str">
        <f>材料产出!$R$2</f>
        <v>转生精华</v>
      </c>
      <c r="D4127" s="224">
        <f>材料产出!$R$24/(基本属性!$A$24/(基本属性!$AS$24*1/3600))*材料产出!$D$24</f>
        <v>1.6714191619800377E-2</v>
      </c>
    </row>
    <row r="4128" spans="1:4" ht="16.5" x14ac:dyDescent="0.3">
      <c r="A4128" s="10" t="str">
        <f>基本属性!$B$25&amp;"|"&amp;基本属性!$C$25</f>
        <v>220|15</v>
      </c>
      <c r="B4128" s="10" t="str">
        <f>参数调整!$J$31</f>
        <v>小怪掉落</v>
      </c>
      <c r="C4128" s="8" t="str">
        <f>材料产出!$R$2</f>
        <v>转生精华</v>
      </c>
      <c r="D4128" s="224">
        <f>材料产出!$R$25/(基本属性!$A$25/(基本属性!$AS$25*1/3600))*材料产出!$D$25</f>
        <v>1.8698383746263363E-2</v>
      </c>
    </row>
    <row r="4129" spans="1:4" ht="16.5" x14ac:dyDescent="0.3">
      <c r="A4129" s="10" t="str">
        <f>基本属性!$B$26&amp;"|"&amp;基本属性!$C$26</f>
        <v>230|16</v>
      </c>
      <c r="B4129" s="10" t="str">
        <f>参数调整!$J$31</f>
        <v>小怪掉落</v>
      </c>
      <c r="C4129" s="8" t="str">
        <f>材料产出!$R$2</f>
        <v>转生精华</v>
      </c>
      <c r="D4129" s="224">
        <f>材料产出!$R$26/(基本属性!$A$26/(基本属性!$AS$26*1/3600))*材料产出!$D$26</f>
        <v>2.0793838982621472E-2</v>
      </c>
    </row>
    <row r="4130" spans="1:4" ht="16.5" x14ac:dyDescent="0.3">
      <c r="A4130" s="10" t="str">
        <f>基本属性!$B$27&amp;"|"&amp;基本属性!$C$27</f>
        <v>230|17</v>
      </c>
      <c r="B4130" s="10" t="str">
        <f>参数调整!$J$31</f>
        <v>小怪掉落</v>
      </c>
      <c r="C4130" s="8" t="str">
        <f>材料产出!$R$2</f>
        <v>转生精华</v>
      </c>
      <c r="D4130" s="224">
        <f>材料产出!$R$27/(基本属性!$A$27/(基本属性!$AS$27*1/3600))*材料产出!$D$27</f>
        <v>2.30005573288747E-2</v>
      </c>
    </row>
    <row r="4131" spans="1:4" ht="16.5" x14ac:dyDescent="0.3">
      <c r="A4131" s="10" t="str">
        <f>基本属性!$B$28&amp;"|"&amp;基本属性!$C$28</f>
        <v>240|18</v>
      </c>
      <c r="B4131" s="10" t="str">
        <f>参数调整!$J$31</f>
        <v>小怪掉落</v>
      </c>
      <c r="C4131" s="8" t="str">
        <f>材料产出!$R$2</f>
        <v>转生精华</v>
      </c>
      <c r="D4131" s="224">
        <f>材料产出!$R$28/(基本属性!$A$28/(基本属性!$AS$28*1/3600))*材料产出!$D$28</f>
        <v>2.5318538785023055E-2</v>
      </c>
    </row>
    <row r="4132" spans="1:4" ht="16.5" x14ac:dyDescent="0.3">
      <c r="A4132" s="10" t="str">
        <f>基本属性!$B$29&amp;"|"&amp;基本属性!$C$29</f>
        <v>240|19</v>
      </c>
      <c r="B4132" s="10" t="str">
        <f>参数调整!$J$31</f>
        <v>小怪掉落</v>
      </c>
      <c r="C4132" s="8" t="str">
        <f>材料产出!$R$2</f>
        <v>转生精华</v>
      </c>
      <c r="D4132" s="224">
        <f>材料产出!$R$29/(基本属性!$A$29/(基本属性!$AS$29*1/3600))*材料产出!$D$29</f>
        <v>2.7747783351066525E-2</v>
      </c>
    </row>
    <row r="4133" spans="1:4" ht="16.5" x14ac:dyDescent="0.3">
      <c r="A4133" s="10" t="str">
        <f>基本属性!$B$30&amp;"|"&amp;基本属性!$C$30</f>
        <v>250|20</v>
      </c>
      <c r="B4133" s="10" t="str">
        <f>参数调整!$J$31</f>
        <v>小怪掉落</v>
      </c>
      <c r="C4133" s="8" t="str">
        <f>材料产出!$R$2</f>
        <v>转生精华</v>
      </c>
      <c r="D4133" s="224">
        <f>材料产出!$R$30/(基本属性!$A$30/(基本属性!$AS$30*1/3600))*材料产出!$D$30</f>
        <v>3.0288291027005108E-2</v>
      </c>
    </row>
    <row r="4134" spans="1:4" ht="16.5" x14ac:dyDescent="0.3">
      <c r="A4134" s="10" t="str">
        <f>基本属性!$B$4&amp;"|"&amp;基本属性!$C$4</f>
        <v>35|0</v>
      </c>
      <c r="B4134" s="10" t="str">
        <f>参数调整!$J$31</f>
        <v>小怪掉落</v>
      </c>
      <c r="C4134" s="8" t="str">
        <f>材料产出!$AJ$2</f>
        <v>中品注灵石</v>
      </c>
      <c r="D4134" s="224">
        <f>材料产出!$AJ$4/(基本属性!$A$4/(基本属性!$AS$4*1/3600))*材料产出!$D$4</f>
        <v>5.1844102894235662E-3</v>
      </c>
    </row>
    <row r="4135" spans="1:4" ht="16.5" x14ac:dyDescent="0.3">
      <c r="A4135" s="10" t="str">
        <f>基本属性!$B$5&amp;"|"&amp;基本属性!$C$5</f>
        <v>40|0</v>
      </c>
      <c r="B4135" s="10" t="str">
        <f>参数调整!$J$31</f>
        <v>小怪掉落</v>
      </c>
      <c r="C4135" s="8" t="str">
        <f>材料产出!$AJ$2</f>
        <v>中品注灵石</v>
      </c>
      <c r="D4135" s="224">
        <f>材料产出!$AJ$5/(基本属性!$A$5/(基本属性!$AS$5*1/3600))*材料产出!$D$5</f>
        <v>6.5615192725517017E-3</v>
      </c>
    </row>
    <row r="4136" spans="1:4" ht="16.5" x14ac:dyDescent="0.3">
      <c r="A4136" s="10" t="str">
        <f>基本属性!$B$6&amp;"|"&amp;基本属性!$C$6</f>
        <v>50|0</v>
      </c>
      <c r="B4136" s="10" t="str">
        <f>参数调整!$J$31</f>
        <v>小怪掉落</v>
      </c>
      <c r="C4136" s="8" t="str">
        <f>材料产出!$AJ$2</f>
        <v>中品注灵石</v>
      </c>
      <c r="D4136" s="224">
        <f>材料产出!$AJ$6/(基本属性!$A$6/(基本属性!$AS$6*1/3600))*材料产出!$D$6</f>
        <v>8.1006410772243229E-3</v>
      </c>
    </row>
    <row r="4137" spans="1:4" ht="16.5" x14ac:dyDescent="0.3">
      <c r="A4137" s="10" t="str">
        <f>基本属性!$B$7&amp;"|"&amp;基本属性!$C$7</f>
        <v>60|0</v>
      </c>
      <c r="B4137" s="10" t="str">
        <f>参数调整!$J$31</f>
        <v>小怪掉落</v>
      </c>
      <c r="C4137" s="8" t="str">
        <f>材料产出!$AJ$2</f>
        <v>中品注灵石</v>
      </c>
      <c r="D4137" s="224">
        <f>材料产出!$AJ$7/(基本属性!$A$7/(基本属性!$AS$7*1/3600))*材料产出!$D$7</f>
        <v>9.8017757034414323E-3</v>
      </c>
    </row>
    <row r="4138" spans="1:4" ht="16.5" x14ac:dyDescent="0.3">
      <c r="A4138" s="10" t="str">
        <f>基本属性!$B$8&amp;"|"&amp;基本属性!$C$8</f>
        <v>65|0</v>
      </c>
      <c r="B4138" s="10" t="str">
        <f>参数调整!$J$31</f>
        <v>小怪掉落</v>
      </c>
      <c r="C4138" s="8" t="str">
        <f>材料产出!$AJ$2</f>
        <v>中品注灵石</v>
      </c>
      <c r="D4138" s="224">
        <f>材料产出!$AJ$8/(基本属性!$A$8/(基本属性!$AS$8*1/3600))*材料产出!$D$8</f>
        <v>1.1664923151203023E-2</v>
      </c>
    </row>
    <row r="4139" spans="1:4" ht="16.5" x14ac:dyDescent="0.3">
      <c r="A4139" s="10" t="str">
        <f>基本属性!$B$9&amp;"|"&amp;基本属性!$C$9</f>
        <v>70|0</v>
      </c>
      <c r="B4139" s="10" t="str">
        <f>参数调整!$J$31</f>
        <v>小怪掉落</v>
      </c>
      <c r="C4139" s="8" t="str">
        <f>材料产出!$AJ$2</f>
        <v>中品注灵石</v>
      </c>
      <c r="D4139" s="224">
        <f>材料产出!$AJ$9/(基本属性!$A$9/(基本属性!$AS$9*1/3600))*材料产出!$D$9</f>
        <v>1.3690083420509105E-2</v>
      </c>
    </row>
    <row r="4140" spans="1:4" ht="16.5" x14ac:dyDescent="0.3">
      <c r="A4140" s="10" t="str">
        <f>基本属性!$B$10&amp;"|"&amp;基本属性!$C$10</f>
        <v>75|0</v>
      </c>
      <c r="B4140" s="10" t="str">
        <f>参数调整!$J$31</f>
        <v>小怪掉落</v>
      </c>
      <c r="C4140" s="8" t="str">
        <f>材料产出!$AJ$2</f>
        <v>中品注灵石</v>
      </c>
      <c r="D4140" s="224">
        <f>材料产出!$AJ$10/(基本属性!$A$10/(基本属性!$AS$10*1/3600))*材料产出!$D$10</f>
        <v>1.5877256511359669E-2</v>
      </c>
    </row>
    <row r="4141" spans="1:4" ht="16.5" x14ac:dyDescent="0.3">
      <c r="A4141" s="10" t="str">
        <f>基本属性!$B$11&amp;"|"&amp;基本属性!$C$11</f>
        <v>80|1</v>
      </c>
      <c r="B4141" s="10" t="str">
        <f>参数调整!$J$31</f>
        <v>小怪掉落</v>
      </c>
      <c r="C4141" s="8" t="str">
        <f>材料产出!$AJ$2</f>
        <v>中品注灵石</v>
      </c>
      <c r="D4141" s="224">
        <f>材料产出!$AJ$11/(基本属性!$A$11/(基本属性!$AS$11*1/3600))*材料产出!$D$11</f>
        <v>1.8226442423754728E-2</v>
      </c>
    </row>
    <row r="4142" spans="1:4" ht="16.5" x14ac:dyDescent="0.3">
      <c r="A4142" s="10" t="str">
        <f>基本属性!$B$12&amp;"|"&amp;基本属性!$C$12</f>
        <v>90|2</v>
      </c>
      <c r="B4142" s="10" t="str">
        <f>参数调整!$J$31</f>
        <v>小怪掉落</v>
      </c>
      <c r="C4142" s="8" t="str">
        <f>材料产出!$AJ$2</f>
        <v>中品注灵石</v>
      </c>
      <c r="D4142" s="224">
        <f>材料产出!$AJ$12/(基本属性!$A$12/(基本属性!$AS$12*1/3600))*材料产出!$D$12</f>
        <v>2.0737641157694268E-2</v>
      </c>
    </row>
    <row r="4143" spans="1:4" ht="16.5" x14ac:dyDescent="0.3">
      <c r="A4143" s="10" t="str">
        <f>基本属性!$B$13&amp;"|"&amp;基本属性!$C$13</f>
        <v>100|3</v>
      </c>
      <c r="B4143" s="10" t="str">
        <f>参数调整!$J$31</f>
        <v>小怪掉落</v>
      </c>
      <c r="C4143" s="8" t="str">
        <f>材料产出!$AJ$2</f>
        <v>中品注灵石</v>
      </c>
      <c r="D4143" s="224">
        <f>材料产出!$AJ$13/(基本属性!$A$13/(基本属性!$AS$13*1/3600))*材料产出!$D$13</f>
        <v>2.6246077090206807E-2</v>
      </c>
    </row>
    <row r="4144" spans="1:4" ht="16.5" x14ac:dyDescent="0.3">
      <c r="A4144" s="10" t="str">
        <f>基本属性!$B$14&amp;"|"&amp;基本属性!$C$14</f>
        <v>105|4</v>
      </c>
      <c r="B4144" s="10" t="str">
        <f>参数调整!$J$31</f>
        <v>小怪掉落</v>
      </c>
      <c r="C4144" s="8" t="str">
        <f>材料产出!$AJ$2</f>
        <v>中品注灵石</v>
      </c>
      <c r="D4144" s="224">
        <f>材料产出!$AJ$14/(基本属性!$A$14/(基本属性!$AS$14*1/3600))*材料产出!$D$14</f>
        <v>3.2402564308897291E-2</v>
      </c>
    </row>
    <row r="4145" spans="1:4" ht="16.5" x14ac:dyDescent="0.3">
      <c r="A4145" s="10" t="str">
        <f>基本属性!$B$15&amp;"|"&amp;基本属性!$C$15</f>
        <v>110|5</v>
      </c>
      <c r="B4145" s="10" t="str">
        <f>参数调整!$J$31</f>
        <v>小怪掉落</v>
      </c>
      <c r="C4145" s="8" t="str">
        <f>材料产出!$AJ$2</f>
        <v>中品注灵石</v>
      </c>
      <c r="D4145" s="224">
        <f>材料产出!$AJ$15/(基本属性!$A$15/(基本属性!$AS$15*1/3600))*材料产出!$D$15</f>
        <v>3.9207102813765729E-2</v>
      </c>
    </row>
    <row r="4146" spans="1:4" ht="16.5" x14ac:dyDescent="0.3">
      <c r="A4146" s="10" t="str">
        <f>基本属性!$B$16&amp;"|"&amp;基本属性!$C$16</f>
        <v>120|6</v>
      </c>
      <c r="B4146" s="10" t="str">
        <f>参数调整!$J$31</f>
        <v>小怪掉落</v>
      </c>
      <c r="C4146" s="8" t="str">
        <f>材料产出!$AJ$2</f>
        <v>中品注灵石</v>
      </c>
      <c r="D4146" s="224">
        <f>材料产出!$AJ$16/(基本属性!$A$16/(基本属性!$AS$16*1/3600))*材料产出!$D$16</f>
        <v>5.062900673265202E-2</v>
      </c>
    </row>
    <row r="4147" spans="1:4" ht="16.5" x14ac:dyDescent="0.3">
      <c r="A4147" s="10" t="str">
        <f>基本属性!$B$17&amp;"|"&amp;基本属性!$C$17</f>
        <v>135|7</v>
      </c>
      <c r="B4147" s="10" t="str">
        <f>参数调整!$J$31</f>
        <v>小怪掉落</v>
      </c>
      <c r="C4147" s="8" t="str">
        <f>材料产出!$AJ$2</f>
        <v>中品注灵石</v>
      </c>
      <c r="D4147" s="224">
        <f>材料产出!$AJ$17/(基本属性!$A$17/(基本属性!$AS$17*1/3600))*材料产出!$D$17</f>
        <v>7.2905769695018913E-2</v>
      </c>
    </row>
    <row r="4148" spans="1:4" ht="16.5" x14ac:dyDescent="0.3">
      <c r="A4148" s="10" t="str">
        <f>基本属性!$B$18&amp;"|"&amp;基本属性!$C$18</f>
        <v>155|8</v>
      </c>
      <c r="B4148" s="10" t="str">
        <f>参数调整!$J$31</f>
        <v>小怪掉落</v>
      </c>
      <c r="C4148" s="8" t="str">
        <f>材料产出!$AJ$2</f>
        <v>中品注灵石</v>
      </c>
      <c r="D4148" s="224">
        <f>材料产出!$AJ$18/(基本属性!$A$18/(基本属性!$AS$18*1/3600))*材料产出!$D$18</f>
        <v>9.923285319599795E-2</v>
      </c>
    </row>
    <row r="4149" spans="1:4" ht="16.5" x14ac:dyDescent="0.3">
      <c r="A4149" s="10" t="str">
        <f>基本属性!$B$19&amp;"|"&amp;基本属性!$C$19</f>
        <v>190|9</v>
      </c>
      <c r="B4149" s="10" t="str">
        <f>参数调整!$J$31</f>
        <v>小怪掉落</v>
      </c>
      <c r="C4149" s="8" t="str">
        <f>材料产出!$AJ$2</f>
        <v>中品注灵石</v>
      </c>
      <c r="D4149" s="224">
        <f>材料产出!$AJ$19/(基本属性!$A$19/(基本属性!$AS$19*1/3600))*材料产出!$D$19</f>
        <v>0.11089777634720099</v>
      </c>
    </row>
    <row r="4150" spans="1:4" ht="16.5" x14ac:dyDescent="0.3">
      <c r="A4150" s="10" t="str">
        <f>基本属性!$B$20&amp;"|"&amp;基本属性!$C$20</f>
        <v>200|10</v>
      </c>
      <c r="B4150" s="10" t="str">
        <f>参数调整!$J$31</f>
        <v>小怪掉落</v>
      </c>
      <c r="C4150" s="8" t="str">
        <f>材料产出!$AJ$2</f>
        <v>中品注灵石</v>
      </c>
      <c r="D4150" s="224">
        <f>材料产出!$AJ$20/(基本属性!$A$20/(基本属性!$AS$20*1/3600))*材料产出!$D$20</f>
        <v>0.12961025723558917</v>
      </c>
    </row>
    <row r="4151" spans="1:4" ht="16.5" x14ac:dyDescent="0.3">
      <c r="A4151" s="10" t="str">
        <f>基本属性!$B$21&amp;"|"&amp;基本属性!$C$21</f>
        <v>200|11</v>
      </c>
      <c r="B4151" s="10" t="str">
        <f>参数调整!$J$31</f>
        <v>小怪掉落</v>
      </c>
      <c r="C4151" s="8" t="str">
        <f>材料产出!$AJ$2</f>
        <v>中品注灵石</v>
      </c>
      <c r="D4151" s="224">
        <f>材料产出!$AJ$21/(基本属性!$A$21/(基本属性!$AS$21*1/3600))*材料产出!$D$21</f>
        <v>0.1497808535178777</v>
      </c>
    </row>
    <row r="4152" spans="1:4" ht="16.5" x14ac:dyDescent="0.3">
      <c r="A4152" s="10" t="str">
        <f>基本属性!$B$22&amp;"|"&amp;基本属性!$C$22</f>
        <v>210|12</v>
      </c>
      <c r="B4152" s="10" t="str">
        <f>参数调整!$J$31</f>
        <v>小怪掉落</v>
      </c>
      <c r="C4152" s="8" t="str">
        <f>材料产出!$AJ$2</f>
        <v>中品注灵石</v>
      </c>
      <c r="D4152" s="224">
        <f>材料产出!$AJ$22/(基本属性!$A$22/(基本属性!$AS$22*1/3600))*材料产出!$D$22</f>
        <v>0.17140956519406661</v>
      </c>
    </row>
    <row r="4153" spans="1:4" ht="16.5" x14ac:dyDescent="0.3">
      <c r="A4153" s="10" t="str">
        <f>基本属性!$B$23&amp;"|"&amp;基本属性!$C$23</f>
        <v>210|13</v>
      </c>
      <c r="B4153" s="10" t="str">
        <f>参数调整!$J$31</f>
        <v>小怪掉落</v>
      </c>
      <c r="C4153" s="8" t="str">
        <f>材料产出!$AJ$2</f>
        <v>中品注灵石</v>
      </c>
      <c r="D4153" s="224">
        <f>材料产出!$AJ$23/(基本属性!$A$23/(基本属性!$AS$23*1/3600))*材料产出!$D$23</f>
        <v>0.19449639226415599</v>
      </c>
    </row>
    <row r="4154" spans="1:4" ht="16.5" x14ac:dyDescent="0.3">
      <c r="A4154" s="10" t="str">
        <f>基本属性!$B$24&amp;"|"&amp;基本属性!$C$24</f>
        <v>220|14</v>
      </c>
      <c r="B4154" s="10" t="str">
        <f>参数调整!$J$31</f>
        <v>小怪掉落</v>
      </c>
      <c r="C4154" s="8" t="str">
        <f>材料产出!$AJ$2</f>
        <v>中品注灵石</v>
      </c>
      <c r="D4154" s="224">
        <f>材料产出!$AJ$24/(基本属性!$A$24/(基本属性!$AS$24*1/3600))*材料产出!$D$24</f>
        <v>0.21904133472814569</v>
      </c>
    </row>
    <row r="4155" spans="1:4" ht="16.5" x14ac:dyDescent="0.3">
      <c r="A4155" s="10" t="str">
        <f>基本属性!$B$25&amp;"|"&amp;基本属性!$C$25</f>
        <v>220|15</v>
      </c>
      <c r="B4155" s="10" t="str">
        <f>参数调整!$J$31</f>
        <v>小怪掉落</v>
      </c>
      <c r="C4155" s="8" t="str">
        <f>材料产出!$AJ$2</f>
        <v>中品注灵石</v>
      </c>
      <c r="D4155" s="224">
        <f>材料产出!$AJ$25/(基本属性!$A$25/(基本属性!$AS$25*1/3600))*材料产出!$D$25</f>
        <v>0.24504439258603575</v>
      </c>
    </row>
    <row r="4156" spans="1:4" ht="16.5" x14ac:dyDescent="0.3">
      <c r="A4156" s="10" t="str">
        <f>基本属性!$B$26&amp;"|"&amp;基本属性!$C$26</f>
        <v>230|16</v>
      </c>
      <c r="B4156" s="10" t="str">
        <f>参数调整!$J$31</f>
        <v>小怪掉落</v>
      </c>
      <c r="C4156" s="8" t="str">
        <f>材料产出!$AJ$2</f>
        <v>中品注灵石</v>
      </c>
      <c r="D4156" s="224">
        <f>材料产出!$AJ$26/(基本属性!$A$26/(基本属性!$AS$26*1/3600))*材料产出!$D$26</f>
        <v>0.27250556583782615</v>
      </c>
    </row>
    <row r="4157" spans="1:4" ht="16.5" x14ac:dyDescent="0.3">
      <c r="A4157" s="10" t="str">
        <f>基本属性!$B$27&amp;"|"&amp;基本属性!$C$27</f>
        <v>230|17</v>
      </c>
      <c r="B4157" s="10" t="str">
        <f>参数调整!$J$31</f>
        <v>小怪掉落</v>
      </c>
      <c r="C4157" s="8" t="str">
        <f>材料产出!$AJ$2</f>
        <v>中品注灵石</v>
      </c>
      <c r="D4157" s="224">
        <f>材料产出!$AJ$27/(基本属性!$A$27/(基本属性!$AS$27*1/3600))*材料产出!$D$27</f>
        <v>0.30142485448351702</v>
      </c>
    </row>
    <row r="4158" spans="1:4" ht="16.5" x14ac:dyDescent="0.3">
      <c r="A4158" s="10" t="str">
        <f>基本属性!$B$28&amp;"|"&amp;基本属性!$C$28</f>
        <v>240|18</v>
      </c>
      <c r="B4158" s="10" t="str">
        <f>参数调整!$J$31</f>
        <v>小怪掉落</v>
      </c>
      <c r="C4158" s="8" t="str">
        <f>材料产出!$AJ$2</f>
        <v>中品注灵石</v>
      </c>
      <c r="D4158" s="224">
        <f>材料产出!$AJ$28/(基本属性!$A$28/(基本属性!$AS$28*1/3600))*材料产出!$D$28</f>
        <v>0.3318022585231083</v>
      </c>
    </row>
    <row r="4159" spans="1:4" ht="16.5" x14ac:dyDescent="0.3">
      <c r="A4159" s="10" t="str">
        <f>基本属性!$B$29&amp;"|"&amp;基本属性!$C$29</f>
        <v>240|19</v>
      </c>
      <c r="B4159" s="10" t="str">
        <f>参数调整!$J$31</f>
        <v>小怪掉落</v>
      </c>
      <c r="C4159" s="8" t="str">
        <f>材料产出!$AJ$2</f>
        <v>中品注灵石</v>
      </c>
      <c r="D4159" s="224">
        <f>材料产出!$AJ$29/(基本属性!$A$29/(基本属性!$AS$29*1/3600))*材料产出!$D$29</f>
        <v>0.36363777795659985</v>
      </c>
    </row>
    <row r="4160" spans="1:4" ht="16.5" x14ac:dyDescent="0.3">
      <c r="A4160" s="10" t="str">
        <f>基本属性!$B$30&amp;"|"&amp;基本属性!$C$30</f>
        <v>250|20</v>
      </c>
      <c r="B4160" s="10" t="str">
        <f>参数调整!$J$31</f>
        <v>小怪掉落</v>
      </c>
      <c r="C4160" s="8" t="str">
        <f>材料产出!$AJ$2</f>
        <v>中品注灵石</v>
      </c>
      <c r="D4160" s="224">
        <f>材料产出!$AJ$30/(基本属性!$A$30/(基本属性!$AS$30*1/3600))*材料产出!$D$30</f>
        <v>0.3969314127839918</v>
      </c>
    </row>
    <row r="4161" spans="1:4" ht="16.5" x14ac:dyDescent="0.3">
      <c r="A4161" s="10" t="str">
        <f>基本属性!$B$4&amp;"|"&amp;基本属性!$C$4</f>
        <v>35|0</v>
      </c>
      <c r="B4161" s="10" t="str">
        <f>参数调整!$J$31</f>
        <v>小怪掉落</v>
      </c>
      <c r="C4161" s="8" t="str">
        <f>材料产出!$J$2</f>
        <v>元宝</v>
      </c>
      <c r="D4161" s="225">
        <f>ROUND(材料产出!$J$4/(基本属性!$A$4/(基本属性!$AS$4*1/3600))*材料产出!$D$4,0)</f>
        <v>67</v>
      </c>
    </row>
    <row r="4162" spans="1:4" ht="16.5" x14ac:dyDescent="0.3">
      <c r="A4162" s="10" t="str">
        <f>基本属性!$B$5&amp;"|"&amp;基本属性!$C$5</f>
        <v>40|0</v>
      </c>
      <c r="B4162" s="10" t="str">
        <f>参数调整!$J$31</f>
        <v>小怪掉落</v>
      </c>
      <c r="C4162" s="8" t="str">
        <f>材料产出!$J$2</f>
        <v>元宝</v>
      </c>
      <c r="D4162" s="225">
        <f>ROUND(材料产出!$J$5/(基本属性!$A$5/(基本属性!$AS$5*1/3600))*材料产出!$D$5,0)</f>
        <v>85</v>
      </c>
    </row>
    <row r="4163" spans="1:4" ht="16.5" x14ac:dyDescent="0.3">
      <c r="A4163" s="10" t="str">
        <f>基本属性!$B$6&amp;"|"&amp;基本属性!$C$6</f>
        <v>50|0</v>
      </c>
      <c r="B4163" s="10" t="str">
        <f>参数调整!$J$31</f>
        <v>小怪掉落</v>
      </c>
      <c r="C4163" s="8" t="str">
        <f>材料产出!$J$2</f>
        <v>元宝</v>
      </c>
      <c r="D4163" s="225">
        <f>ROUND(材料产出!$J$6/(基本属性!$A$6/(基本属性!$AS$6*1/3600))*材料产出!$D$6,0)</f>
        <v>105</v>
      </c>
    </row>
    <row r="4164" spans="1:4" ht="16.5" x14ac:dyDescent="0.3">
      <c r="A4164" s="10" t="str">
        <f>基本属性!$B$7&amp;"|"&amp;基本属性!$C$7</f>
        <v>60|0</v>
      </c>
      <c r="B4164" s="10" t="str">
        <f>参数调整!$J$31</f>
        <v>小怪掉落</v>
      </c>
      <c r="C4164" s="8" t="str">
        <f>材料产出!$J$2</f>
        <v>元宝</v>
      </c>
      <c r="D4164" s="225">
        <f>ROUND(材料产出!$J$7/(基本属性!$A$7/(基本属性!$AS$7*1/3600))*材料产出!$D$7,0)</f>
        <v>127</v>
      </c>
    </row>
    <row r="4165" spans="1:4" ht="16.5" x14ac:dyDescent="0.3">
      <c r="A4165" s="10" t="str">
        <f>基本属性!$B$8&amp;"|"&amp;基本属性!$C$8</f>
        <v>65|0</v>
      </c>
      <c r="B4165" s="10" t="str">
        <f>参数调整!$J$31</f>
        <v>小怪掉落</v>
      </c>
      <c r="C4165" s="8" t="str">
        <f>材料产出!$J$2</f>
        <v>元宝</v>
      </c>
      <c r="D4165" s="225">
        <f>ROUND(材料产出!$J$8/(基本属性!$A$8/(基本属性!$AS$8*1/3600))*材料产出!$D$8,0)</f>
        <v>151</v>
      </c>
    </row>
    <row r="4166" spans="1:4" ht="16.5" x14ac:dyDescent="0.3">
      <c r="A4166" s="10" t="str">
        <f>基本属性!$B$9&amp;"|"&amp;基本属性!$C$9</f>
        <v>70|0</v>
      </c>
      <c r="B4166" s="10" t="str">
        <f>参数调整!$J$31</f>
        <v>小怪掉落</v>
      </c>
      <c r="C4166" s="8" t="str">
        <f>材料产出!$J$2</f>
        <v>元宝</v>
      </c>
      <c r="D4166" s="225">
        <f>ROUND(材料产出!$J$9/(基本属性!$A$9/(基本属性!$AS$9*1/3600))*材料产出!$D$9,0)</f>
        <v>177</v>
      </c>
    </row>
    <row r="4167" spans="1:4" ht="16.5" x14ac:dyDescent="0.3">
      <c r="A4167" s="10" t="str">
        <f>基本属性!$B$10&amp;"|"&amp;基本属性!$C$10</f>
        <v>75|0</v>
      </c>
      <c r="B4167" s="10" t="str">
        <f>参数调整!$J$31</f>
        <v>小怪掉落</v>
      </c>
      <c r="C4167" s="8" t="str">
        <f>材料产出!$J$2</f>
        <v>元宝</v>
      </c>
      <c r="D4167" s="225">
        <f>ROUND(材料产出!$J$10/(基本属性!$A$10/(基本属性!$AS$10*1/3600))*材料产出!$D$10,0)</f>
        <v>205</v>
      </c>
    </row>
    <row r="4168" spans="1:4" ht="16.5" x14ac:dyDescent="0.3">
      <c r="A4168" s="10" t="str">
        <f>基本属性!$B$11&amp;"|"&amp;基本属性!$C$11</f>
        <v>80|1</v>
      </c>
      <c r="B4168" s="10" t="str">
        <f>参数调整!$J$31</f>
        <v>小怪掉落</v>
      </c>
      <c r="C4168" s="8" t="str">
        <f>材料产出!$J$2</f>
        <v>元宝</v>
      </c>
      <c r="D4168" s="225">
        <f>ROUND(材料产出!$J$11/(基本属性!$A$11/(基本属性!$AS$11*1/3600))*材料产出!$D$11,0)</f>
        <v>236</v>
      </c>
    </row>
    <row r="4169" spans="1:4" ht="16.5" x14ac:dyDescent="0.3">
      <c r="A4169" s="10" t="str">
        <f>基本属性!$B$12&amp;"|"&amp;基本属性!$C$12</f>
        <v>90|2</v>
      </c>
      <c r="B4169" s="10" t="str">
        <f>参数调整!$J$31</f>
        <v>小怪掉落</v>
      </c>
      <c r="C4169" s="8" t="str">
        <f>材料产出!$J$2</f>
        <v>元宝</v>
      </c>
      <c r="D4169" s="225">
        <f>ROUND(材料产出!$J$12/(基本属性!$A$12/(基本属性!$AS$12*1/3600))*材料产出!$D$12,0)</f>
        <v>268</v>
      </c>
    </row>
    <row r="4170" spans="1:4" ht="16.5" x14ac:dyDescent="0.3">
      <c r="A4170" s="10" t="str">
        <f>基本属性!$B$13&amp;"|"&amp;基本属性!$C$13</f>
        <v>100|3</v>
      </c>
      <c r="B4170" s="10" t="str">
        <f>参数调整!$J$31</f>
        <v>小怪掉落</v>
      </c>
      <c r="C4170" s="8" t="str">
        <f>材料产出!$J$2</f>
        <v>元宝</v>
      </c>
      <c r="D4170" s="225">
        <f>ROUND(材料产出!$J$13/(基本属性!$A$13/(基本属性!$AS$13*1/3600))*材料产出!$D$13,0)</f>
        <v>339</v>
      </c>
    </row>
    <row r="4171" spans="1:4" ht="16.5" x14ac:dyDescent="0.3">
      <c r="A4171" s="10" t="str">
        <f>基本属性!$B$14&amp;"|"&amp;基本属性!$C$14</f>
        <v>105|4</v>
      </c>
      <c r="B4171" s="10" t="str">
        <f>参数调整!$J$31</f>
        <v>小怪掉落</v>
      </c>
      <c r="C4171" s="8" t="str">
        <f>材料产出!$J$2</f>
        <v>元宝</v>
      </c>
      <c r="D4171" s="225">
        <f>ROUND(材料产出!$J$14/(基本属性!$A$14/(基本属性!$AS$14*1/3600))*材料产出!$D$14,0)</f>
        <v>419</v>
      </c>
    </row>
    <row r="4172" spans="1:4" ht="16.5" x14ac:dyDescent="0.3">
      <c r="A4172" s="10" t="str">
        <f>基本属性!$B$15&amp;"|"&amp;基本属性!$C$15</f>
        <v>110|5</v>
      </c>
      <c r="B4172" s="10" t="str">
        <f>参数调整!$J$31</f>
        <v>小怪掉落</v>
      </c>
      <c r="C4172" s="8" t="str">
        <f>材料产出!$J$2</f>
        <v>元宝</v>
      </c>
      <c r="D4172" s="225">
        <f>ROUND(材料产出!$J$15/(基本属性!$A$15/(基本属性!$AS$15*1/3600))*材料产出!$D$15,0)</f>
        <v>507</v>
      </c>
    </row>
    <row r="4173" spans="1:4" ht="16.5" x14ac:dyDescent="0.3">
      <c r="A4173" s="10" t="str">
        <f>基本属性!$B$16&amp;"|"&amp;基本属性!$C$16</f>
        <v>120|6</v>
      </c>
      <c r="B4173" s="10" t="str">
        <f>参数调整!$J$31</f>
        <v>小怪掉落</v>
      </c>
      <c r="C4173" s="8" t="str">
        <f>材料产出!$J$2</f>
        <v>元宝</v>
      </c>
      <c r="D4173" s="225">
        <f>ROUND(材料产出!$J$16/(基本属性!$A$16/(基本属性!$AS$16*1/3600))*材料产出!$D$16,0)</f>
        <v>655</v>
      </c>
    </row>
    <row r="4174" spans="1:4" ht="16.5" x14ac:dyDescent="0.3">
      <c r="A4174" s="10" t="str">
        <f>基本属性!$B$17&amp;"|"&amp;基本属性!$C$17</f>
        <v>135|7</v>
      </c>
      <c r="B4174" s="10" t="str">
        <f>参数调整!$J$31</f>
        <v>小怪掉落</v>
      </c>
      <c r="C4174" s="8" t="str">
        <f>材料产出!$J$2</f>
        <v>元宝</v>
      </c>
      <c r="D4174" s="225">
        <f>ROUND(材料产出!$J$17/(基本属性!$A$17/(基本属性!$AS$17*1/3600))*材料产出!$D$17,0)</f>
        <v>943</v>
      </c>
    </row>
    <row r="4175" spans="1:4" ht="16.5" x14ac:dyDescent="0.3">
      <c r="A4175" s="10" t="str">
        <f>基本属性!$B$18&amp;"|"&amp;基本属性!$C$18</f>
        <v>155|8</v>
      </c>
      <c r="B4175" s="10" t="str">
        <f>参数调整!$J$31</f>
        <v>小怪掉落</v>
      </c>
      <c r="C4175" s="8" t="str">
        <f>材料产出!$J$2</f>
        <v>元宝</v>
      </c>
      <c r="D4175" s="225">
        <f>ROUND(材料产出!$J$18/(基本属性!$A$18/(基本属性!$AS$18*1/3600))*材料产出!$D$18,0)</f>
        <v>1284</v>
      </c>
    </row>
    <row r="4176" spans="1:4" ht="16.5" x14ac:dyDescent="0.3">
      <c r="A4176" s="10" t="str">
        <f>基本属性!$B$19&amp;"|"&amp;基本属性!$C$19</f>
        <v>190|9</v>
      </c>
      <c r="B4176" s="10" t="str">
        <f>参数调整!$J$31</f>
        <v>小怪掉落</v>
      </c>
      <c r="C4176" s="8" t="str">
        <f>材料产出!$J$2</f>
        <v>元宝</v>
      </c>
      <c r="D4176" s="225">
        <f>ROUND(材料产出!$J$19/(基本属性!$A$19/(基本属性!$AS$19*1/3600))*材料产出!$D$19,0)</f>
        <v>1434</v>
      </c>
    </row>
    <row r="4177" spans="1:4" ht="16.5" x14ac:dyDescent="0.3">
      <c r="A4177" s="10" t="str">
        <f>基本属性!$B$20&amp;"|"&amp;基本属性!$C$20</f>
        <v>200|10</v>
      </c>
      <c r="B4177" s="10" t="str">
        <f>参数调整!$J$31</f>
        <v>小怪掉落</v>
      </c>
      <c r="C4177" s="8" t="str">
        <f>材料产出!$J$2</f>
        <v>元宝</v>
      </c>
      <c r="D4177" s="225">
        <f>ROUND(材料产出!$J$20/(基本属性!$A$20/(基本属性!$AS$20*1/3600))*材料产出!$D$20,0)</f>
        <v>1677</v>
      </c>
    </row>
    <row r="4178" spans="1:4" ht="16.5" x14ac:dyDescent="0.3">
      <c r="A4178" s="10" t="str">
        <f>基本属性!$B$21&amp;"|"&amp;基本属性!$C$21</f>
        <v>200|11</v>
      </c>
      <c r="B4178" s="10" t="str">
        <f>参数调整!$J$31</f>
        <v>小怪掉落</v>
      </c>
      <c r="C4178" s="8" t="str">
        <f>材料产出!$J$2</f>
        <v>元宝</v>
      </c>
      <c r="D4178" s="225">
        <f>ROUND(材料产出!$J$21/(基本属性!$A$21/(基本属性!$AS$21*1/3600))*材料产出!$D$21,0)</f>
        <v>1937</v>
      </c>
    </row>
    <row r="4179" spans="1:4" ht="16.5" x14ac:dyDescent="0.3">
      <c r="A4179" s="10" t="str">
        <f>基本属性!$B$22&amp;"|"&amp;基本属性!$C$22</f>
        <v>210|12</v>
      </c>
      <c r="B4179" s="10" t="str">
        <f>参数调整!$J$31</f>
        <v>小怪掉落</v>
      </c>
      <c r="C4179" s="8" t="str">
        <f>材料产出!$J$2</f>
        <v>元宝</v>
      </c>
      <c r="D4179" s="225">
        <f>ROUND(材料产出!$J$22/(基本属性!$A$22/(基本属性!$AS$22*1/3600))*材料产出!$D$22,0)</f>
        <v>2217</v>
      </c>
    </row>
    <row r="4180" spans="1:4" ht="16.5" x14ac:dyDescent="0.3">
      <c r="A4180" s="10" t="str">
        <f>基本属性!$B$23&amp;"|"&amp;基本属性!$C$23</f>
        <v>210|13</v>
      </c>
      <c r="B4180" s="10" t="str">
        <f>参数调整!$J$31</f>
        <v>小怪掉落</v>
      </c>
      <c r="C4180" s="8" t="str">
        <f>材料产出!$J$2</f>
        <v>元宝</v>
      </c>
      <c r="D4180" s="225">
        <f>ROUND(材料产出!$J$23/(基本属性!$A$23/(基本属性!$AS$23*1/3600))*材料产出!$D$23,0)</f>
        <v>2516</v>
      </c>
    </row>
    <row r="4181" spans="1:4" ht="16.5" x14ac:dyDescent="0.3">
      <c r="A4181" s="10" t="str">
        <f>基本属性!$B$24&amp;"|"&amp;基本属性!$C$24</f>
        <v>220|14</v>
      </c>
      <c r="B4181" s="10" t="str">
        <f>参数调整!$J$31</f>
        <v>小怪掉落</v>
      </c>
      <c r="C4181" s="8" t="str">
        <f>材料产出!$J$2</f>
        <v>元宝</v>
      </c>
      <c r="D4181" s="225">
        <f>ROUND(材料产出!$J$24/(基本属性!$A$24/(基本属性!$AS$24*1/3600))*材料产出!$D$24,0)</f>
        <v>2833</v>
      </c>
    </row>
    <row r="4182" spans="1:4" ht="16.5" x14ac:dyDescent="0.3">
      <c r="A4182" s="10" t="str">
        <f>基本属性!$B$25&amp;"|"&amp;基本属性!$C$25</f>
        <v>220|15</v>
      </c>
      <c r="B4182" s="10" t="str">
        <f>参数调整!$J$31</f>
        <v>小怪掉落</v>
      </c>
      <c r="C4182" s="8" t="str">
        <f>材料产出!$J$2</f>
        <v>元宝</v>
      </c>
      <c r="D4182" s="225">
        <f>ROUND(材料产出!$J$25/(基本属性!$A$25/(基本属性!$AS$25*1/3600))*材料产出!$D$25,0)</f>
        <v>3170</v>
      </c>
    </row>
    <row r="4183" spans="1:4" ht="16.5" x14ac:dyDescent="0.3">
      <c r="A4183" s="10" t="str">
        <f>基本属性!$B$26&amp;"|"&amp;基本属性!$C$26</f>
        <v>230|16</v>
      </c>
      <c r="B4183" s="10" t="str">
        <f>参数调整!$J$31</f>
        <v>小怪掉落</v>
      </c>
      <c r="C4183" s="8" t="str">
        <f>材料产出!$J$2</f>
        <v>元宝</v>
      </c>
      <c r="D4183" s="225">
        <f>ROUND(材料产出!$J$26/(基本属性!$A$26/(基本属性!$AS$26*1/3600))*材料产出!$D$26,0)</f>
        <v>3525</v>
      </c>
    </row>
    <row r="4184" spans="1:4" ht="16.5" x14ac:dyDescent="0.3">
      <c r="A4184" s="10" t="str">
        <f>基本属性!$B$27&amp;"|"&amp;基本属性!$C$27</f>
        <v>230|17</v>
      </c>
      <c r="B4184" s="10" t="str">
        <f>参数调整!$J$31</f>
        <v>小怪掉落</v>
      </c>
      <c r="C4184" s="8" t="str">
        <f>材料产出!$J$2</f>
        <v>元宝</v>
      </c>
      <c r="D4184" s="225">
        <f>ROUND(材料产出!$J$27/(基本属性!$A$27/(基本属性!$AS$27*1/3600))*材料产出!$D$27,0)</f>
        <v>3899</v>
      </c>
    </row>
    <row r="4185" spans="1:4" ht="16.5" x14ac:dyDescent="0.3">
      <c r="A4185" s="10" t="str">
        <f>基本属性!$B$28&amp;"|"&amp;基本属性!$C$28</f>
        <v>240|18</v>
      </c>
      <c r="B4185" s="10" t="str">
        <f>参数调整!$J$31</f>
        <v>小怪掉落</v>
      </c>
      <c r="C4185" s="8" t="str">
        <f>材料产出!$J$2</f>
        <v>元宝</v>
      </c>
      <c r="D4185" s="225">
        <f>ROUND(材料产出!$J$28/(基本属性!$A$28/(基本属性!$AS$28*1/3600))*材料产出!$D$28,0)</f>
        <v>4292</v>
      </c>
    </row>
    <row r="4186" spans="1:4" ht="16.5" x14ac:dyDescent="0.3">
      <c r="A4186" s="10" t="str">
        <f>基本属性!$B$29&amp;"|"&amp;基本属性!$C$29</f>
        <v>240|19</v>
      </c>
      <c r="B4186" s="10" t="str">
        <f>参数调整!$J$31</f>
        <v>小怪掉落</v>
      </c>
      <c r="C4186" s="8" t="str">
        <f>材料产出!$J$2</f>
        <v>元宝</v>
      </c>
      <c r="D4186" s="225">
        <f>ROUND(材料产出!$J$29/(基本属性!$A$29/(基本属性!$AS$29*1/3600))*材料产出!$D$29,0)</f>
        <v>4704</v>
      </c>
    </row>
    <row r="4187" spans="1:4" ht="16.5" x14ac:dyDescent="0.3">
      <c r="A4187" s="10" t="str">
        <f>基本属性!$B$30&amp;"|"&amp;基本属性!$C$30</f>
        <v>250|20</v>
      </c>
      <c r="B4187" s="10" t="str">
        <f>参数调整!$J$31</f>
        <v>小怪掉落</v>
      </c>
      <c r="C4187" s="8" t="str">
        <f>材料产出!$J$2</f>
        <v>元宝</v>
      </c>
      <c r="D4187" s="225">
        <f>ROUND(材料产出!$J$30/(基本属性!$A$30/(基本属性!$AS$30*1/3600))*材料产出!$D$30,0)</f>
        <v>5134</v>
      </c>
    </row>
    <row r="4188" spans="1:4" ht="16.5" x14ac:dyDescent="0.3">
      <c r="A4188" s="10" t="str">
        <f>基本属性!$B$4&amp;"|"&amp;基本属性!$C$4</f>
        <v>35|0</v>
      </c>
      <c r="B4188" s="10" t="str">
        <f>参数调整!$J$31</f>
        <v>小怪掉落</v>
      </c>
      <c r="C4188" s="8" t="str">
        <f>材料产出!$BB$2</f>
        <v>衣服碎片</v>
      </c>
      <c r="D4188" s="224">
        <f>材料产出!$BB$4/(基本属性!$A$4/(基本属性!$AS$4*1/3600))*材料产出!$D$4</f>
        <v>8.1166972083899542E-6</v>
      </c>
    </row>
    <row r="4189" spans="1:4" ht="16.5" x14ac:dyDescent="0.3">
      <c r="A4189" s="10" t="str">
        <f>基本属性!$B$5&amp;"|"&amp;基本属性!$C$5</f>
        <v>40|0</v>
      </c>
      <c r="B4189" s="10" t="str">
        <f>参数调整!$J$31</f>
        <v>小怪掉落</v>
      </c>
      <c r="C4189" s="8" t="str">
        <f>材料产出!$BB$2</f>
        <v>衣服碎片</v>
      </c>
      <c r="D4189" s="224">
        <f>材料产出!$BB$5/(基本属性!$A$5/(基本属性!$AS$5*1/3600))*材料产出!$D$5</f>
        <v>1.0272694904368536E-5</v>
      </c>
    </row>
    <row r="4190" spans="1:4" ht="16.5" x14ac:dyDescent="0.3">
      <c r="A4190" s="10" t="str">
        <f>基本属性!$B$6&amp;"|"&amp;基本属性!$C$6</f>
        <v>50|0</v>
      </c>
      <c r="B4190" s="10" t="str">
        <f>参数调整!$J$31</f>
        <v>小怪掉落</v>
      </c>
      <c r="C4190" s="8" t="str">
        <f>材料产出!$BB$2</f>
        <v>衣服碎片</v>
      </c>
      <c r="D4190" s="224">
        <f>材料产出!$BB$6/(基本属性!$A$6/(基本属性!$AS$6*1/3600))*材料产出!$D$6</f>
        <v>1.2682339388109304E-5</v>
      </c>
    </row>
    <row r="4191" spans="1:4" ht="16.5" x14ac:dyDescent="0.3">
      <c r="A4191" s="10" t="str">
        <f>基本属性!$B$7&amp;"|"&amp;基本属性!$C$7</f>
        <v>60|0</v>
      </c>
      <c r="B4191" s="10" t="str">
        <f>参数调整!$J$31</f>
        <v>小怪掉落</v>
      </c>
      <c r="C4191" s="8" t="str">
        <f>材料产出!$BB$2</f>
        <v>衣服碎片</v>
      </c>
      <c r="D4191" s="224">
        <f>材料产出!$BB$7/(基本属性!$A$7/(基本属性!$AS$7*1/3600))*材料产出!$D$7</f>
        <v>1.5345630659612257E-5</v>
      </c>
    </row>
    <row r="4192" spans="1:4" ht="16.5" x14ac:dyDescent="0.3">
      <c r="A4192" s="10" t="str">
        <f>基本属性!$B$8&amp;"|"&amp;基本属性!$C$8</f>
        <v>65|0</v>
      </c>
      <c r="B4192" s="10" t="str">
        <f>参数调整!$J$31</f>
        <v>小怪掉落</v>
      </c>
      <c r="C4192" s="8" t="str">
        <f>材料产出!$BB$2</f>
        <v>衣服碎片</v>
      </c>
      <c r="D4192" s="224">
        <f>材料产出!$BB$8/(基本属性!$A$8/(基本属性!$AS$8*1/3600))*材料产出!$D$8</f>
        <v>1.8262568718877397E-5</v>
      </c>
    </row>
    <row r="4193" spans="1:4" ht="16.5" x14ac:dyDescent="0.3">
      <c r="A4193" s="10" t="str">
        <f>基本属性!$B$9&amp;"|"&amp;基本属性!$C$9</f>
        <v>70|0</v>
      </c>
      <c r="B4193" s="10" t="str">
        <f>参数调整!$J$31</f>
        <v>小怪掉落</v>
      </c>
      <c r="C4193" s="8" t="str">
        <f>材料产出!$BB$2</f>
        <v>衣服碎片</v>
      </c>
      <c r="D4193" s="224">
        <f>材料产出!$BB$9/(基本属性!$A$9/(基本属性!$AS$9*1/3600))*材料产出!$D$9</f>
        <v>2.1433153565904723E-5</v>
      </c>
    </row>
    <row r="4194" spans="1:4" ht="16.5" x14ac:dyDescent="0.3">
      <c r="A4194" s="10" t="str">
        <f>基本属性!$B$10&amp;"|"&amp;基本属性!$C$10</f>
        <v>75|0</v>
      </c>
      <c r="B4194" s="10" t="str">
        <f>参数调整!$J$31</f>
        <v>小怪掉落</v>
      </c>
      <c r="C4194" s="8" t="str">
        <f>材料产出!$BB$2</f>
        <v>衣服碎片</v>
      </c>
      <c r="D4194" s="224">
        <f>材料产出!$BB$10/(基本属性!$A$10/(基本属性!$AS$10*1/3600))*材料产出!$D$10</f>
        <v>2.4857385200694231E-5</v>
      </c>
    </row>
    <row r="4195" spans="1:4" ht="16.5" x14ac:dyDescent="0.3">
      <c r="A4195" s="10" t="str">
        <f>基本属性!$B$11&amp;"|"&amp;基本属性!$C$11</f>
        <v>80|1</v>
      </c>
      <c r="B4195" s="10" t="str">
        <f>参数调整!$J$31</f>
        <v>小怪掉落</v>
      </c>
      <c r="C4195" s="8" t="str">
        <f>材料产出!$BB$2</f>
        <v>衣服碎片</v>
      </c>
      <c r="D4195" s="224">
        <f>材料产出!$BB$11/(基本属性!$A$11/(基本属性!$AS$11*1/3600))*材料产出!$D$11</f>
        <v>2.8535263623245931E-5</v>
      </c>
    </row>
    <row r="4196" spans="1:4" ht="16.5" x14ac:dyDescent="0.3">
      <c r="A4196" s="10" t="str">
        <f>基本属性!$B$12&amp;"|"&amp;基本属性!$C$12</f>
        <v>90|2</v>
      </c>
      <c r="B4196" s="10" t="str">
        <f>参数调整!$J$31</f>
        <v>小怪掉落</v>
      </c>
      <c r="C4196" s="8" t="str">
        <f>材料产出!$BB$2</f>
        <v>衣服碎片</v>
      </c>
      <c r="D4196" s="224">
        <f>材料产出!$BB$12/(基本属性!$A$12/(基本属性!$AS$12*1/3600))*材料产出!$D$12</f>
        <v>3.2466788833559824E-5</v>
      </c>
    </row>
    <row r="4197" spans="1:4" ht="16.5" x14ac:dyDescent="0.3">
      <c r="A4197" s="10" t="str">
        <f>基本属性!$B$13&amp;"|"&amp;基本属性!$C$13</f>
        <v>100|3</v>
      </c>
      <c r="B4197" s="10" t="str">
        <f>参数调整!$J$31</f>
        <v>小怪掉落</v>
      </c>
      <c r="C4197" s="8" t="str">
        <f>材料产出!$BB$2</f>
        <v>衣服碎片</v>
      </c>
      <c r="D4197" s="224">
        <f>材料产出!$BB$13/(基本属性!$A$13/(基本属性!$AS$13*1/3600))*材料产出!$D$13</f>
        <v>4.1090779617474149E-5</v>
      </c>
    </row>
    <row r="4198" spans="1:4" ht="16.5" x14ac:dyDescent="0.3">
      <c r="A4198" s="10" t="str">
        <f>基本属性!$B$14&amp;"|"&amp;基本属性!$C$14</f>
        <v>105|4</v>
      </c>
      <c r="B4198" s="10" t="str">
        <f>参数调整!$J$31</f>
        <v>小怪掉落</v>
      </c>
      <c r="C4198" s="8" t="str">
        <f>材料产出!$BB$2</f>
        <v>衣服碎片</v>
      </c>
      <c r="D4198" s="224">
        <f>材料产出!$BB$14/(基本属性!$A$14/(基本属性!$AS$14*1/3600))*材料产出!$D$14</f>
        <v>5.0729357552437217E-5</v>
      </c>
    </row>
    <row r="4199" spans="1:4" ht="16.5" x14ac:dyDescent="0.3">
      <c r="A4199" s="10" t="str">
        <f>基本属性!$B$15&amp;"|"&amp;基本属性!$C$15</f>
        <v>110|5</v>
      </c>
      <c r="B4199" s="10" t="str">
        <f>参数调整!$J$31</f>
        <v>小怪掉落</v>
      </c>
      <c r="C4199" s="8" t="str">
        <f>材料产出!$BB$2</f>
        <v>衣服碎片</v>
      </c>
      <c r="D4199" s="224">
        <f>材料产出!$BB$15/(基本属性!$A$15/(基本属性!$AS$15*1/3600))*材料产出!$D$15</f>
        <v>6.1382522638449042E-5</v>
      </c>
    </row>
    <row r="4200" spans="1:4" ht="16.5" x14ac:dyDescent="0.3">
      <c r="A4200" s="10" t="str">
        <f>基本属性!$B$16&amp;"|"&amp;基本属性!$C$16</f>
        <v>120|6</v>
      </c>
      <c r="B4200" s="10" t="str">
        <f>参数调整!$J$31</f>
        <v>小怪掉落</v>
      </c>
      <c r="C4200" s="8" t="str">
        <f>材料产出!$BB$2</f>
        <v>衣服碎片</v>
      </c>
      <c r="D4200" s="224">
        <f>材料产出!$BB$16/(基本属性!$A$16/(基本属性!$AS$16*1/3600))*材料产出!$D$16</f>
        <v>7.9264621175683162E-5</v>
      </c>
    </row>
    <row r="4201" spans="1:4" ht="16.5" x14ac:dyDescent="0.3">
      <c r="A4201" s="10" t="str">
        <f>基本属性!$B$17&amp;"|"&amp;基本属性!$C$17</f>
        <v>135|7</v>
      </c>
      <c r="B4201" s="10" t="str">
        <f>参数调整!$J$31</f>
        <v>小怪掉落</v>
      </c>
      <c r="C4201" s="8" t="str">
        <f>材料产出!$BB$2</f>
        <v>衣服碎片</v>
      </c>
      <c r="D4201" s="224">
        <f>材料产出!$BB$17/(基本属性!$A$17/(基本属性!$AS$17*1/3600))*材料产出!$D$17</f>
        <v>1.1414105449298372E-4</v>
      </c>
    </row>
    <row r="4202" spans="1:4" ht="16.5" x14ac:dyDescent="0.3">
      <c r="A4202" s="10" t="str">
        <f>基本属性!$B$18&amp;"|"&amp;基本属性!$C$18</f>
        <v>155|8</v>
      </c>
      <c r="B4202" s="10" t="str">
        <f>参数调整!$J$31</f>
        <v>小怪掉落</v>
      </c>
      <c r="C4202" s="8" t="str">
        <f>材料产出!$BB$2</f>
        <v>衣服碎片</v>
      </c>
      <c r="D4202" s="224">
        <f>材料产出!$BB$18/(基本属性!$A$18/(基本属性!$AS$18*1/3600))*材料产出!$D$18</f>
        <v>1.5535865750433898E-4</v>
      </c>
    </row>
    <row r="4203" spans="1:4" ht="16.5" x14ac:dyDescent="0.3">
      <c r="A4203" s="10" t="str">
        <f>基本属性!$B$19&amp;"|"&amp;基本属性!$C$19</f>
        <v>190|9</v>
      </c>
      <c r="B4203" s="10" t="str">
        <f>参数调整!$J$31</f>
        <v>小怪掉落</v>
      </c>
      <c r="C4203" s="8" t="str">
        <f>材料产出!$BB$2</f>
        <v>衣服碎片</v>
      </c>
      <c r="D4203" s="224">
        <f>材料产出!$BB$19/(基本属性!$A$19/(基本属性!$AS$19*1/3600))*材料产出!$D$19</f>
        <v>1.7362122622321637E-4</v>
      </c>
    </row>
    <row r="4204" spans="1:4" ht="16.5" x14ac:dyDescent="0.3">
      <c r="A4204" s="10" t="str">
        <f>基本属性!$B$20&amp;"|"&amp;基本属性!$C$20</f>
        <v>200|10</v>
      </c>
      <c r="B4204" s="10" t="str">
        <f>参数调整!$J$31</f>
        <v>小怪掉落</v>
      </c>
      <c r="C4204" s="8" t="str">
        <f>材料产出!$BB$2</f>
        <v>衣服碎片</v>
      </c>
      <c r="D4204" s="224">
        <f>材料产出!$BB$20/(基本属性!$A$20/(基本属性!$AS$20*1/3600))*材料产出!$D$20</f>
        <v>2.0291743020974887E-4</v>
      </c>
    </row>
    <row r="4205" spans="1:4" ht="16.5" x14ac:dyDescent="0.3">
      <c r="A4205" s="10" t="str">
        <f>基本属性!$B$21&amp;"|"&amp;基本属性!$C$21</f>
        <v>200|11</v>
      </c>
      <c r="B4205" s="10" t="str">
        <f>参数调整!$J$31</f>
        <v>小怪掉落</v>
      </c>
      <c r="C4205" s="8" t="str">
        <f>材料产出!$BB$2</f>
        <v>衣服碎片</v>
      </c>
      <c r="D4205" s="224">
        <f>材料产出!$BB$21/(基本属性!$A$21/(基本属性!$AS$21*1/3600))*材料产出!$D$21</f>
        <v>2.3449645528614095E-4</v>
      </c>
    </row>
    <row r="4206" spans="1:4" ht="16.5" x14ac:dyDescent="0.3">
      <c r="A4206" s="10" t="str">
        <f>基本属性!$B$22&amp;"|"&amp;基本属性!$C$22</f>
        <v>210|12</v>
      </c>
      <c r="B4206" s="10" t="str">
        <f>参数调整!$J$31</f>
        <v>小怪掉落</v>
      </c>
      <c r="C4206" s="8" t="str">
        <f>材料产出!$BB$2</f>
        <v>衣服碎片</v>
      </c>
      <c r="D4206" s="224">
        <f>材料产出!$BB$22/(基本属性!$A$22/(基本属性!$AS$22*1/3600))*材料产出!$D$22</f>
        <v>2.6835830145239279E-4</v>
      </c>
    </row>
    <row r="4207" spans="1:4" ht="16.5" x14ac:dyDescent="0.3">
      <c r="A4207" s="10" t="str">
        <f>基本属性!$B$23&amp;"|"&amp;基本属性!$C$23</f>
        <v>210|13</v>
      </c>
      <c r="B4207" s="10" t="str">
        <f>参数调整!$J$31</f>
        <v>小怪掉落</v>
      </c>
      <c r="C4207" s="8" t="str">
        <f>材料产出!$BB$2</f>
        <v>衣服碎片</v>
      </c>
      <c r="D4207" s="224">
        <f>材料产出!$BB$23/(基本属性!$A$23/(基本属性!$AS$23*1/3600))*材料产出!$D$23</f>
        <v>3.0450296870850442E-4</v>
      </c>
    </row>
    <row r="4208" spans="1:4" ht="16.5" x14ac:dyDescent="0.3">
      <c r="A4208" s="10" t="str">
        <f>基本属性!$B$24&amp;"|"&amp;基本属性!$C$24</f>
        <v>220|14</v>
      </c>
      <c r="B4208" s="10" t="str">
        <f>参数调整!$J$31</f>
        <v>小怪掉落</v>
      </c>
      <c r="C4208" s="8" t="str">
        <f>材料产出!$BB$2</f>
        <v>衣服碎片</v>
      </c>
      <c r="D4208" s="224">
        <f>材料产出!$BB$24/(基本属性!$A$24/(基本属性!$AS$24*1/3600))*材料产出!$D$24</f>
        <v>3.4293045705447556E-4</v>
      </c>
    </row>
    <row r="4209" spans="1:4" ht="16.5" x14ac:dyDescent="0.3">
      <c r="A4209" s="10" t="str">
        <f>基本属性!$B$25&amp;"|"&amp;基本属性!$C$25</f>
        <v>220|15</v>
      </c>
      <c r="B4209" s="10" t="str">
        <f>参数调整!$J$31</f>
        <v>小怪掉落</v>
      </c>
      <c r="C4209" s="8" t="str">
        <f>材料产出!$BB$2</f>
        <v>衣服碎片</v>
      </c>
      <c r="D4209" s="224">
        <f>材料产出!$BB$25/(基本属性!$A$25/(基本属性!$AS$25*1/3600))*材料产出!$D$25</f>
        <v>3.8364076649030632E-4</v>
      </c>
    </row>
    <row r="4210" spans="1:4" ht="16.5" x14ac:dyDescent="0.3">
      <c r="A4210" s="10" t="str">
        <f>基本属性!$B$26&amp;"|"&amp;基本属性!$C$26</f>
        <v>230|16</v>
      </c>
      <c r="B4210" s="10" t="str">
        <f>参数调整!$J$31</f>
        <v>小怪掉落</v>
      </c>
      <c r="C4210" s="8" t="str">
        <f>材料产出!$BB$2</f>
        <v>衣服碎片</v>
      </c>
      <c r="D4210" s="224">
        <f>材料产出!$BB$26/(基本属性!$A$26/(基本属性!$AS$26*1/3600))*材料产出!$D$26</f>
        <v>4.266338970159969E-4</v>
      </c>
    </row>
    <row r="4211" spans="1:4" ht="16.5" x14ac:dyDescent="0.3">
      <c r="A4211" s="10" t="str">
        <f>基本属性!$B$27&amp;"|"&amp;基本属性!$C$27</f>
        <v>230|17</v>
      </c>
      <c r="B4211" s="10" t="str">
        <f>参数调整!$J$31</f>
        <v>小怪掉落</v>
      </c>
      <c r="C4211" s="8" t="str">
        <f>材料产出!$BB$2</f>
        <v>衣服碎片</v>
      </c>
      <c r="D4211" s="224">
        <f>材料产出!$BB$27/(基本属性!$A$27/(基本属性!$AS$27*1/3600))*材料产出!$D$27</f>
        <v>4.719098486315471E-4</v>
      </c>
    </row>
    <row r="4212" spans="1:4" ht="16.5" x14ac:dyDescent="0.3">
      <c r="A4212" s="10" t="str">
        <f>基本属性!$B$28&amp;"|"&amp;基本属性!$C$28</f>
        <v>240|18</v>
      </c>
      <c r="B4212" s="10" t="str">
        <f>参数调整!$J$31</f>
        <v>小怪掉落</v>
      </c>
      <c r="C4212" s="8" t="str">
        <f>材料产出!$BB$2</f>
        <v>衣服碎片</v>
      </c>
      <c r="D4212" s="224">
        <f>材料产出!$BB$28/(基本属性!$A$28/(基本属性!$AS$28*1/3600))*材料产出!$D$28</f>
        <v>5.1946862133695707E-4</v>
      </c>
    </row>
    <row r="4213" spans="1:4" ht="16.5" x14ac:dyDescent="0.3">
      <c r="A4213" s="10" t="str">
        <f>基本属性!$B$29&amp;"|"&amp;基本属性!$C$29</f>
        <v>240|19</v>
      </c>
      <c r="B4213" s="10" t="str">
        <f>参数调整!$J$31</f>
        <v>小怪掉落</v>
      </c>
      <c r="C4213" s="8" t="str">
        <f>材料产出!$BB$2</f>
        <v>衣服碎片</v>
      </c>
      <c r="D4213" s="224">
        <f>材料产出!$BB$29/(基本属性!$A$29/(基本属性!$AS$29*1/3600))*材料产出!$D$29</f>
        <v>5.6931021513222666E-4</v>
      </c>
    </row>
    <row r="4214" spans="1:4" ht="16.5" x14ac:dyDescent="0.3">
      <c r="A4214" s="10" t="str">
        <f>基本属性!$B$30&amp;"|"&amp;基本属性!$C$30</f>
        <v>250|20</v>
      </c>
      <c r="B4214" s="10" t="str">
        <f>参数调整!$J$31</f>
        <v>小怪掉落</v>
      </c>
      <c r="C4214" s="8" t="str">
        <f>材料产出!$BB$2</f>
        <v>衣服碎片</v>
      </c>
      <c r="D4214" s="224">
        <f>材料产出!$BB$30/(基本属性!$A$30/(基本属性!$AS$30*1/3600))*材料产出!$D$30</f>
        <v>6.214346300173557E-4</v>
      </c>
    </row>
    <row r="4215" spans="1:4" ht="16.5" x14ac:dyDescent="0.3">
      <c r="A4215" s="10" t="str">
        <f>基本属性!$B$4&amp;"|"&amp;基本属性!$C$4</f>
        <v>35|0</v>
      </c>
      <c r="B4215" s="10" t="str">
        <f>参数调整!$J$31</f>
        <v>小怪掉落</v>
      </c>
      <c r="C4215" s="8" t="str">
        <f>材料产出!$HX$2</f>
        <v>星座装备</v>
      </c>
      <c r="D4215" s="225"/>
    </row>
    <row r="4216" spans="1:4" ht="16.5" x14ac:dyDescent="0.3">
      <c r="A4216" s="10" t="str">
        <f>基本属性!$B$5&amp;"|"&amp;基本属性!$C$5</f>
        <v>40|0</v>
      </c>
      <c r="B4216" s="10" t="str">
        <f>参数调整!$J$31</f>
        <v>小怪掉落</v>
      </c>
      <c r="C4216" s="8" t="str">
        <f>材料产出!$HX$2</f>
        <v>星座装备</v>
      </c>
      <c r="D4216" s="225"/>
    </row>
    <row r="4217" spans="1:4" ht="16.5" x14ac:dyDescent="0.3">
      <c r="A4217" s="10" t="str">
        <f>基本属性!$B$6&amp;"|"&amp;基本属性!$C$6</f>
        <v>50|0</v>
      </c>
      <c r="B4217" s="10" t="str">
        <f>参数调整!$J$31</f>
        <v>小怪掉落</v>
      </c>
      <c r="C4217" s="8" t="str">
        <f>材料产出!$HX$2</f>
        <v>星座装备</v>
      </c>
      <c r="D4217" s="225"/>
    </row>
    <row r="4218" spans="1:4" ht="16.5" x14ac:dyDescent="0.3">
      <c r="A4218" s="10" t="str">
        <f>基本属性!$B$7&amp;"|"&amp;基本属性!$C$7</f>
        <v>60|0</v>
      </c>
      <c r="B4218" s="10" t="str">
        <f>参数调整!$J$31</f>
        <v>小怪掉落</v>
      </c>
      <c r="C4218" s="8" t="str">
        <f>材料产出!$HX$2</f>
        <v>星座装备</v>
      </c>
      <c r="D4218" s="225"/>
    </row>
    <row r="4219" spans="1:4" ht="16.5" x14ac:dyDescent="0.3">
      <c r="A4219" s="10" t="str">
        <f>基本属性!$B$8&amp;"|"&amp;基本属性!$C$8</f>
        <v>65|0</v>
      </c>
      <c r="B4219" s="10" t="str">
        <f>参数调整!$J$31</f>
        <v>小怪掉落</v>
      </c>
      <c r="C4219" s="8" t="str">
        <f>材料产出!$HX$2</f>
        <v>星座装备</v>
      </c>
      <c r="D4219" s="225"/>
    </row>
    <row r="4220" spans="1:4" ht="16.5" x14ac:dyDescent="0.3">
      <c r="A4220" s="10" t="str">
        <f>基本属性!$B$9&amp;"|"&amp;基本属性!$C$9</f>
        <v>70|0</v>
      </c>
      <c r="B4220" s="10" t="str">
        <f>参数调整!$J$31</f>
        <v>小怪掉落</v>
      </c>
      <c r="C4220" s="8" t="str">
        <f>材料产出!$HX$2</f>
        <v>星座装备</v>
      </c>
      <c r="D4220" s="225"/>
    </row>
    <row r="4221" spans="1:4" ht="16.5" x14ac:dyDescent="0.3">
      <c r="A4221" s="10" t="str">
        <f>基本属性!$B$10&amp;"|"&amp;基本属性!$C$10</f>
        <v>75|0</v>
      </c>
      <c r="B4221" s="10" t="str">
        <f>参数调整!$J$31</f>
        <v>小怪掉落</v>
      </c>
      <c r="C4221" s="8" t="str">
        <f>材料产出!$HX$2</f>
        <v>星座装备</v>
      </c>
      <c r="D4221" s="225"/>
    </row>
    <row r="4222" spans="1:4" ht="16.5" x14ac:dyDescent="0.3">
      <c r="A4222" s="10" t="str">
        <f>基本属性!$B$11&amp;"|"&amp;基本属性!$C$11</f>
        <v>80|1</v>
      </c>
      <c r="B4222" s="10" t="str">
        <f>参数调整!$J$31</f>
        <v>小怪掉落</v>
      </c>
      <c r="C4222" s="8" t="str">
        <f>材料产出!$HX$2</f>
        <v>星座装备</v>
      </c>
      <c r="D4222" s="225"/>
    </row>
    <row r="4223" spans="1:4" ht="16.5" x14ac:dyDescent="0.3">
      <c r="A4223" s="10" t="str">
        <f>基本属性!$B$12&amp;"|"&amp;基本属性!$C$12</f>
        <v>90|2</v>
      </c>
      <c r="B4223" s="10" t="str">
        <f>参数调整!$J$31</f>
        <v>小怪掉落</v>
      </c>
      <c r="C4223" s="8" t="str">
        <f>材料产出!$HX$2</f>
        <v>星座装备</v>
      </c>
      <c r="D4223" s="225"/>
    </row>
    <row r="4224" spans="1:4" ht="16.5" x14ac:dyDescent="0.3">
      <c r="A4224" s="10" t="str">
        <f>基本属性!$B$13&amp;"|"&amp;基本属性!$C$13</f>
        <v>100|3</v>
      </c>
      <c r="B4224" s="10" t="str">
        <f>参数调整!$J$31</f>
        <v>小怪掉落</v>
      </c>
      <c r="C4224" s="8" t="str">
        <f>材料产出!$HX$2</f>
        <v>星座装备</v>
      </c>
      <c r="D4224" s="225"/>
    </row>
    <row r="4225" spans="1:4" ht="16.5" x14ac:dyDescent="0.3">
      <c r="A4225" s="10" t="str">
        <f>基本属性!$B$14&amp;"|"&amp;基本属性!$C$14</f>
        <v>105|4</v>
      </c>
      <c r="B4225" s="10" t="str">
        <f>参数调整!$J$31</f>
        <v>小怪掉落</v>
      </c>
      <c r="C4225" s="8" t="str">
        <f>材料产出!$HX$2</f>
        <v>星座装备</v>
      </c>
      <c r="D4225" s="225"/>
    </row>
    <row r="4226" spans="1:4" ht="16.5" x14ac:dyDescent="0.3">
      <c r="A4226" s="10" t="str">
        <f>基本属性!$B$15&amp;"|"&amp;基本属性!$C$15</f>
        <v>110|5</v>
      </c>
      <c r="B4226" s="10" t="str">
        <f>参数调整!$J$31</f>
        <v>小怪掉落</v>
      </c>
      <c r="C4226" s="8" t="str">
        <f>材料产出!$HX$2</f>
        <v>星座装备</v>
      </c>
      <c r="D4226" s="225"/>
    </row>
    <row r="4227" spans="1:4" ht="16.5" x14ac:dyDescent="0.3">
      <c r="A4227" s="10" t="str">
        <f>基本属性!$B$16&amp;"|"&amp;基本属性!$C$16</f>
        <v>120|6</v>
      </c>
      <c r="B4227" s="10" t="str">
        <f>参数调整!$J$31</f>
        <v>小怪掉落</v>
      </c>
      <c r="C4227" s="8" t="str">
        <f>材料产出!$HX$2</f>
        <v>星座装备</v>
      </c>
      <c r="D4227" s="225"/>
    </row>
    <row r="4228" spans="1:4" ht="16.5" x14ac:dyDescent="0.3">
      <c r="A4228" s="10" t="str">
        <f>基本属性!$B$17&amp;"|"&amp;基本属性!$C$17</f>
        <v>135|7</v>
      </c>
      <c r="B4228" s="10" t="str">
        <f>参数调整!$J$31</f>
        <v>小怪掉落</v>
      </c>
      <c r="C4228" s="8" t="str">
        <f>材料产出!$HX$2</f>
        <v>星座装备</v>
      </c>
      <c r="D4228" s="225"/>
    </row>
    <row r="4229" spans="1:4" ht="16.5" x14ac:dyDescent="0.3">
      <c r="A4229" s="10" t="str">
        <f>基本属性!$B$18&amp;"|"&amp;基本属性!$C$18</f>
        <v>155|8</v>
      </c>
      <c r="B4229" s="10" t="str">
        <f>参数调整!$J$31</f>
        <v>小怪掉落</v>
      </c>
      <c r="C4229" s="8" t="str">
        <f>材料产出!$HX$2</f>
        <v>星座装备</v>
      </c>
      <c r="D4229" s="225"/>
    </row>
    <row r="4230" spans="1:4" ht="16.5" x14ac:dyDescent="0.3">
      <c r="A4230" s="10" t="str">
        <f>基本属性!$B$19&amp;"|"&amp;基本属性!$C$19</f>
        <v>190|9</v>
      </c>
      <c r="B4230" s="10" t="str">
        <f>参数调整!$J$31</f>
        <v>小怪掉落</v>
      </c>
      <c r="C4230" s="8" t="str">
        <f>材料产出!$HX$2</f>
        <v>星座装备</v>
      </c>
      <c r="D4230" s="225"/>
    </row>
    <row r="4231" spans="1:4" ht="16.5" x14ac:dyDescent="0.3">
      <c r="A4231" s="10" t="str">
        <f>基本属性!$B$20&amp;"|"&amp;基本属性!$C$20</f>
        <v>200|10</v>
      </c>
      <c r="B4231" s="10" t="str">
        <f>参数调整!$J$31</f>
        <v>小怪掉落</v>
      </c>
      <c r="C4231" s="8" t="str">
        <f>材料产出!$HX$2</f>
        <v>星座装备</v>
      </c>
      <c r="D4231" s="225"/>
    </row>
    <row r="4232" spans="1:4" ht="16.5" x14ac:dyDescent="0.3">
      <c r="A4232" s="10" t="str">
        <f>基本属性!$B$21&amp;"|"&amp;基本属性!$C$21</f>
        <v>200|11</v>
      </c>
      <c r="B4232" s="10" t="str">
        <f>参数调整!$J$31</f>
        <v>小怪掉落</v>
      </c>
      <c r="C4232" s="8" t="str">
        <f>材料产出!$HX$2</f>
        <v>星座装备</v>
      </c>
      <c r="D4232" s="225"/>
    </row>
    <row r="4233" spans="1:4" ht="16.5" x14ac:dyDescent="0.3">
      <c r="A4233" s="10" t="str">
        <f>基本属性!$B$22&amp;"|"&amp;基本属性!$C$22</f>
        <v>210|12</v>
      </c>
      <c r="B4233" s="10" t="str">
        <f>参数调整!$J$31</f>
        <v>小怪掉落</v>
      </c>
      <c r="C4233" s="8" t="str">
        <f>材料产出!$HX$2</f>
        <v>星座装备</v>
      </c>
      <c r="D4233" s="225"/>
    </row>
    <row r="4234" spans="1:4" ht="16.5" x14ac:dyDescent="0.3">
      <c r="A4234" s="10" t="str">
        <f>基本属性!$B$23&amp;"|"&amp;基本属性!$C$23</f>
        <v>210|13</v>
      </c>
      <c r="B4234" s="10" t="str">
        <f>参数调整!$J$31</f>
        <v>小怪掉落</v>
      </c>
      <c r="C4234" s="8" t="str">
        <f>材料产出!$HX$2</f>
        <v>星座装备</v>
      </c>
      <c r="D4234" s="225"/>
    </row>
    <row r="4235" spans="1:4" ht="16.5" x14ac:dyDescent="0.3">
      <c r="A4235" s="10" t="str">
        <f>基本属性!$B$24&amp;"|"&amp;基本属性!$C$24</f>
        <v>220|14</v>
      </c>
      <c r="B4235" s="10" t="str">
        <f>参数调整!$J$31</f>
        <v>小怪掉落</v>
      </c>
      <c r="C4235" s="8" t="str">
        <f>材料产出!$HX$2</f>
        <v>星座装备</v>
      </c>
      <c r="D4235" s="225"/>
    </row>
    <row r="4236" spans="1:4" ht="16.5" x14ac:dyDescent="0.3">
      <c r="A4236" s="10" t="str">
        <f>基本属性!$B$25&amp;"|"&amp;基本属性!$C$25</f>
        <v>220|15</v>
      </c>
      <c r="B4236" s="10" t="str">
        <f>参数调整!$J$31</f>
        <v>小怪掉落</v>
      </c>
      <c r="C4236" s="8" t="str">
        <f>材料产出!$HX$2</f>
        <v>星座装备</v>
      </c>
      <c r="D4236" s="225"/>
    </row>
    <row r="4237" spans="1:4" ht="16.5" x14ac:dyDescent="0.3">
      <c r="A4237" s="10" t="str">
        <f>基本属性!$B$26&amp;"|"&amp;基本属性!$C$26</f>
        <v>230|16</v>
      </c>
      <c r="B4237" s="10" t="str">
        <f>参数调整!$J$31</f>
        <v>小怪掉落</v>
      </c>
      <c r="C4237" s="8" t="str">
        <f>材料产出!$HX$2</f>
        <v>星座装备</v>
      </c>
      <c r="D4237" s="225"/>
    </row>
    <row r="4238" spans="1:4" ht="16.5" x14ac:dyDescent="0.3">
      <c r="A4238" s="10" t="str">
        <f>基本属性!$B$27&amp;"|"&amp;基本属性!$C$27</f>
        <v>230|17</v>
      </c>
      <c r="B4238" s="10" t="str">
        <f>参数调整!$J$31</f>
        <v>小怪掉落</v>
      </c>
      <c r="C4238" s="8" t="str">
        <f>材料产出!$HX$2</f>
        <v>星座装备</v>
      </c>
      <c r="D4238" s="225"/>
    </row>
    <row r="4239" spans="1:4" ht="16.5" x14ac:dyDescent="0.3">
      <c r="A4239" s="10" t="str">
        <f>基本属性!$B$28&amp;"|"&amp;基本属性!$C$28</f>
        <v>240|18</v>
      </c>
      <c r="B4239" s="10" t="str">
        <f>参数调整!$J$31</f>
        <v>小怪掉落</v>
      </c>
      <c r="C4239" s="8" t="str">
        <f>材料产出!$HX$2</f>
        <v>星座装备</v>
      </c>
      <c r="D4239" s="225"/>
    </row>
    <row r="4240" spans="1:4" ht="16.5" x14ac:dyDescent="0.3">
      <c r="A4240" s="10" t="str">
        <f>基本属性!$B$29&amp;"|"&amp;基本属性!$C$29</f>
        <v>240|19</v>
      </c>
      <c r="B4240" s="10" t="str">
        <f>参数调整!$J$31</f>
        <v>小怪掉落</v>
      </c>
      <c r="C4240" s="8" t="str">
        <f>材料产出!$HX$2</f>
        <v>星座装备</v>
      </c>
      <c r="D4240" s="225"/>
    </row>
    <row r="4241" spans="1:4" ht="16.5" x14ac:dyDescent="0.3">
      <c r="A4241" s="10" t="str">
        <f>基本属性!$B$30&amp;"|"&amp;基本属性!$C$30</f>
        <v>250|20</v>
      </c>
      <c r="B4241" s="10" t="str">
        <f>参数调整!$J$31</f>
        <v>小怪掉落</v>
      </c>
      <c r="C4241" s="8" t="str">
        <f>材料产出!$HX$2</f>
        <v>星座装备</v>
      </c>
      <c r="D4241" s="225"/>
    </row>
    <row r="4242" spans="1:4" ht="16.5" x14ac:dyDescent="0.3">
      <c r="A4242" s="10" t="str">
        <f>基本属性!$B$4&amp;"|"&amp;基本属性!$C$4</f>
        <v>35|0</v>
      </c>
      <c r="B4242" s="10" t="str">
        <f>参数调整!$J$31</f>
        <v>小怪掉落</v>
      </c>
      <c r="C4242" s="8" t="str">
        <f>材料产出!$BX$2</f>
        <v>新增材料9</v>
      </c>
      <c r="D4242" s="225">
        <f>材料产出!$BX4/(基本属性!$A4/(基本属性!$AS4*1/3600))*材料产出!$D4</f>
        <v>0</v>
      </c>
    </row>
    <row r="4243" spans="1:4" ht="16.5" x14ac:dyDescent="0.3">
      <c r="A4243" s="10" t="str">
        <f>基本属性!$B$5&amp;"|"&amp;基本属性!$C$5</f>
        <v>40|0</v>
      </c>
      <c r="B4243" s="10" t="str">
        <f>参数调整!$J$31</f>
        <v>小怪掉落</v>
      </c>
      <c r="C4243" s="8" t="str">
        <f>材料产出!$BX$2</f>
        <v>新增材料9</v>
      </c>
      <c r="D4243" s="225">
        <f>材料产出!$BX5/(基本属性!$A5/(基本属性!$AS5*1/3600))*材料产出!$D5</f>
        <v>0</v>
      </c>
    </row>
    <row r="4244" spans="1:4" ht="16.5" x14ac:dyDescent="0.3">
      <c r="A4244" s="10" t="str">
        <f>基本属性!$B$6&amp;"|"&amp;基本属性!$C$6</f>
        <v>50|0</v>
      </c>
      <c r="B4244" s="10" t="str">
        <f>参数调整!$J$31</f>
        <v>小怪掉落</v>
      </c>
      <c r="C4244" s="8" t="str">
        <f>材料产出!$BX$2</f>
        <v>新增材料9</v>
      </c>
      <c r="D4244" s="225">
        <f>材料产出!$BX6/(基本属性!$A6/(基本属性!$AS6*1/3600))*材料产出!$D6</f>
        <v>0</v>
      </c>
    </row>
    <row r="4245" spans="1:4" ht="16.5" x14ac:dyDescent="0.3">
      <c r="A4245" s="10" t="str">
        <f>基本属性!$B$7&amp;"|"&amp;基本属性!$C$7</f>
        <v>60|0</v>
      </c>
      <c r="B4245" s="10" t="str">
        <f>参数调整!$J$31</f>
        <v>小怪掉落</v>
      </c>
      <c r="C4245" s="8" t="str">
        <f>材料产出!$BX$2</f>
        <v>新增材料9</v>
      </c>
      <c r="D4245" s="225">
        <f>材料产出!$BX7/(基本属性!$A7/(基本属性!$AS7*1/3600))*材料产出!$D7</f>
        <v>0</v>
      </c>
    </row>
    <row r="4246" spans="1:4" ht="16.5" x14ac:dyDescent="0.3">
      <c r="A4246" s="10" t="str">
        <f>基本属性!$B$8&amp;"|"&amp;基本属性!$C$8</f>
        <v>65|0</v>
      </c>
      <c r="B4246" s="10" t="str">
        <f>参数调整!$J$31</f>
        <v>小怪掉落</v>
      </c>
      <c r="C4246" s="8" t="str">
        <f>材料产出!$BX$2</f>
        <v>新增材料9</v>
      </c>
      <c r="D4246" s="225">
        <f>材料产出!$BX8/(基本属性!$A8/(基本属性!$AS8*1/3600))*材料产出!$D8</f>
        <v>0</v>
      </c>
    </row>
    <row r="4247" spans="1:4" ht="16.5" x14ac:dyDescent="0.3">
      <c r="A4247" s="10" t="str">
        <f>基本属性!$B$9&amp;"|"&amp;基本属性!$C$9</f>
        <v>70|0</v>
      </c>
      <c r="B4247" s="10" t="str">
        <f>参数调整!$J$31</f>
        <v>小怪掉落</v>
      </c>
      <c r="C4247" s="8" t="str">
        <f>材料产出!$BX$2</f>
        <v>新增材料9</v>
      </c>
      <c r="D4247" s="225">
        <f>材料产出!$BX9/(基本属性!$A9/(基本属性!$AS9*1/3600))*材料产出!$D9</f>
        <v>0</v>
      </c>
    </row>
    <row r="4248" spans="1:4" ht="16.5" x14ac:dyDescent="0.3">
      <c r="A4248" s="10" t="str">
        <f>基本属性!$B$10&amp;"|"&amp;基本属性!$C$10</f>
        <v>75|0</v>
      </c>
      <c r="B4248" s="10" t="str">
        <f>参数调整!$J$31</f>
        <v>小怪掉落</v>
      </c>
      <c r="C4248" s="8" t="str">
        <f>材料产出!$BX$2</f>
        <v>新增材料9</v>
      </c>
      <c r="D4248" s="225">
        <f>材料产出!$BX10/(基本属性!$A10/(基本属性!$AS10*1/3600))*材料产出!$D10</f>
        <v>0</v>
      </c>
    </row>
    <row r="4249" spans="1:4" ht="16.5" x14ac:dyDescent="0.3">
      <c r="A4249" s="10" t="str">
        <f>基本属性!$B$11&amp;"|"&amp;基本属性!$C$11</f>
        <v>80|1</v>
      </c>
      <c r="B4249" s="10" t="str">
        <f>参数调整!$J$31</f>
        <v>小怪掉落</v>
      </c>
      <c r="C4249" s="8" t="str">
        <f>材料产出!$BX$2</f>
        <v>新增材料9</v>
      </c>
      <c r="D4249" s="225">
        <f>材料产出!$BX11/(基本属性!$A11/(基本属性!$AS11*1/3600))*材料产出!$D11</f>
        <v>0</v>
      </c>
    </row>
    <row r="4250" spans="1:4" ht="16.5" x14ac:dyDescent="0.3">
      <c r="A4250" s="10" t="str">
        <f>基本属性!$B$12&amp;"|"&amp;基本属性!$C$12</f>
        <v>90|2</v>
      </c>
      <c r="B4250" s="10" t="str">
        <f>参数调整!$J$31</f>
        <v>小怪掉落</v>
      </c>
      <c r="C4250" s="8" t="str">
        <f>材料产出!$BX$2</f>
        <v>新增材料9</v>
      </c>
      <c r="D4250" s="225">
        <f>材料产出!$BX12/(基本属性!$A12/(基本属性!$AS12*1/3600))*材料产出!$D12</f>
        <v>0</v>
      </c>
    </row>
    <row r="4251" spans="1:4" ht="16.5" x14ac:dyDescent="0.3">
      <c r="A4251" s="10" t="str">
        <f>基本属性!$B$13&amp;"|"&amp;基本属性!$C$13</f>
        <v>100|3</v>
      </c>
      <c r="B4251" s="10" t="str">
        <f>参数调整!$J$31</f>
        <v>小怪掉落</v>
      </c>
      <c r="C4251" s="8" t="str">
        <f>材料产出!$BX$2</f>
        <v>新增材料9</v>
      </c>
      <c r="D4251" s="225">
        <f>材料产出!$BX13/(基本属性!$A13/(基本属性!$AS13*1/3600))*材料产出!$D13</f>
        <v>0</v>
      </c>
    </row>
    <row r="4252" spans="1:4" ht="16.5" x14ac:dyDescent="0.3">
      <c r="A4252" s="10" t="str">
        <f>基本属性!$B$14&amp;"|"&amp;基本属性!$C$14</f>
        <v>105|4</v>
      </c>
      <c r="B4252" s="10" t="str">
        <f>参数调整!$J$31</f>
        <v>小怪掉落</v>
      </c>
      <c r="C4252" s="8" t="str">
        <f>材料产出!$BX$2</f>
        <v>新增材料9</v>
      </c>
      <c r="D4252" s="225">
        <f>材料产出!$BX14/(基本属性!$A14/(基本属性!$AS14*1/3600))*材料产出!$D14</f>
        <v>0</v>
      </c>
    </row>
    <row r="4253" spans="1:4" ht="16.5" x14ac:dyDescent="0.3">
      <c r="A4253" s="10" t="str">
        <f>基本属性!$B$15&amp;"|"&amp;基本属性!$C$15</f>
        <v>110|5</v>
      </c>
      <c r="B4253" s="10" t="str">
        <f>参数调整!$J$31</f>
        <v>小怪掉落</v>
      </c>
      <c r="C4253" s="8" t="str">
        <f>材料产出!$BX$2</f>
        <v>新增材料9</v>
      </c>
      <c r="D4253" s="225">
        <f>材料产出!$BX15/(基本属性!$A15/(基本属性!$AS15*1/3600))*材料产出!$D15</f>
        <v>0</v>
      </c>
    </row>
    <row r="4254" spans="1:4" ht="16.5" x14ac:dyDescent="0.3">
      <c r="A4254" s="10" t="str">
        <f>基本属性!$B$16&amp;"|"&amp;基本属性!$C$16</f>
        <v>120|6</v>
      </c>
      <c r="B4254" s="10" t="str">
        <f>参数调整!$J$31</f>
        <v>小怪掉落</v>
      </c>
      <c r="C4254" s="8" t="str">
        <f>材料产出!$BX$2</f>
        <v>新增材料9</v>
      </c>
      <c r="D4254" s="225">
        <f>材料产出!$BX16/(基本属性!$A16/(基本属性!$AS16*1/3600))*材料产出!$D16</f>
        <v>0</v>
      </c>
    </row>
    <row r="4255" spans="1:4" ht="16.5" x14ac:dyDescent="0.3">
      <c r="A4255" s="10" t="str">
        <f>基本属性!$B$17&amp;"|"&amp;基本属性!$C$17</f>
        <v>135|7</v>
      </c>
      <c r="B4255" s="10" t="str">
        <f>参数调整!$J$31</f>
        <v>小怪掉落</v>
      </c>
      <c r="C4255" s="8" t="str">
        <f>材料产出!$BX$2</f>
        <v>新增材料9</v>
      </c>
      <c r="D4255" s="225">
        <f>材料产出!$BX17/(基本属性!$A17/(基本属性!$AS17*1/3600))*材料产出!$D17</f>
        <v>0</v>
      </c>
    </row>
    <row r="4256" spans="1:4" ht="16.5" x14ac:dyDescent="0.3">
      <c r="A4256" s="10" t="str">
        <f>基本属性!$B$18&amp;"|"&amp;基本属性!$C$18</f>
        <v>155|8</v>
      </c>
      <c r="B4256" s="10" t="str">
        <f>参数调整!$J$31</f>
        <v>小怪掉落</v>
      </c>
      <c r="C4256" s="8" t="str">
        <f>材料产出!$BX$2</f>
        <v>新增材料9</v>
      </c>
      <c r="D4256" s="225">
        <f>材料产出!$BX18/(基本属性!$A18/(基本属性!$AS18*1/3600))*材料产出!$D18</f>
        <v>0</v>
      </c>
    </row>
    <row r="4257" spans="1:4" ht="16.5" x14ac:dyDescent="0.3">
      <c r="A4257" s="10" t="str">
        <f>基本属性!$B$19&amp;"|"&amp;基本属性!$C$19</f>
        <v>190|9</v>
      </c>
      <c r="B4257" s="10" t="str">
        <f>参数调整!$J$31</f>
        <v>小怪掉落</v>
      </c>
      <c r="C4257" s="8" t="str">
        <f>材料产出!$BX$2</f>
        <v>新增材料9</v>
      </c>
      <c r="D4257" s="225">
        <f>材料产出!$BX19/(基本属性!$A19/(基本属性!$AS19*1/3600))*材料产出!$D19</f>
        <v>0</v>
      </c>
    </row>
    <row r="4258" spans="1:4" ht="16.5" x14ac:dyDescent="0.3">
      <c r="A4258" s="10" t="str">
        <f>基本属性!$B$20&amp;"|"&amp;基本属性!$C$20</f>
        <v>200|10</v>
      </c>
      <c r="B4258" s="10" t="str">
        <f>参数调整!$J$31</f>
        <v>小怪掉落</v>
      </c>
      <c r="C4258" s="8" t="str">
        <f>材料产出!$BX$2</f>
        <v>新增材料9</v>
      </c>
      <c r="D4258" s="225">
        <f>材料产出!$BX20/(基本属性!$A20/(基本属性!$AS20*1/3600))*材料产出!$D20</f>
        <v>0</v>
      </c>
    </row>
    <row r="4259" spans="1:4" ht="16.5" x14ac:dyDescent="0.3">
      <c r="A4259" s="10" t="str">
        <f>基本属性!$B$21&amp;"|"&amp;基本属性!$C$21</f>
        <v>200|11</v>
      </c>
      <c r="B4259" s="10" t="str">
        <f>参数调整!$J$31</f>
        <v>小怪掉落</v>
      </c>
      <c r="C4259" s="8" t="str">
        <f>材料产出!$BX$2</f>
        <v>新增材料9</v>
      </c>
      <c r="D4259" s="225">
        <f>材料产出!$BX21/(基本属性!$A21/(基本属性!$AS21*1/3600))*材料产出!$D21</f>
        <v>0</v>
      </c>
    </row>
    <row r="4260" spans="1:4" ht="16.5" x14ac:dyDescent="0.3">
      <c r="A4260" s="10" t="str">
        <f>基本属性!$B$22&amp;"|"&amp;基本属性!$C$22</f>
        <v>210|12</v>
      </c>
      <c r="B4260" s="10" t="str">
        <f>参数调整!$J$31</f>
        <v>小怪掉落</v>
      </c>
      <c r="C4260" s="8" t="str">
        <f>材料产出!$BX$2</f>
        <v>新增材料9</v>
      </c>
      <c r="D4260" s="225">
        <f>材料产出!$BX22/(基本属性!$A22/(基本属性!$AS22*1/3600))*材料产出!$D22</f>
        <v>0</v>
      </c>
    </row>
    <row r="4261" spans="1:4" ht="16.5" x14ac:dyDescent="0.3">
      <c r="A4261" s="10" t="str">
        <f>基本属性!$B$23&amp;"|"&amp;基本属性!$C$23</f>
        <v>210|13</v>
      </c>
      <c r="B4261" s="10" t="str">
        <f>参数调整!$J$31</f>
        <v>小怪掉落</v>
      </c>
      <c r="C4261" s="8" t="str">
        <f>材料产出!$BX$2</f>
        <v>新增材料9</v>
      </c>
      <c r="D4261" s="225">
        <f>材料产出!$BX23/(基本属性!$A23/(基本属性!$AS23*1/3600))*材料产出!$D23</f>
        <v>0</v>
      </c>
    </row>
    <row r="4262" spans="1:4" ht="16.5" x14ac:dyDescent="0.3">
      <c r="A4262" s="10" t="str">
        <f>基本属性!$B$24&amp;"|"&amp;基本属性!$C$24</f>
        <v>220|14</v>
      </c>
      <c r="B4262" s="10" t="str">
        <f>参数调整!$J$31</f>
        <v>小怪掉落</v>
      </c>
      <c r="C4262" s="8" t="str">
        <f>材料产出!$BX$2</f>
        <v>新增材料9</v>
      </c>
      <c r="D4262" s="225">
        <f>材料产出!$BX24/(基本属性!$A24/(基本属性!$AS24*1/3600))*材料产出!$D24</f>
        <v>0</v>
      </c>
    </row>
    <row r="4263" spans="1:4" ht="16.5" x14ac:dyDescent="0.3">
      <c r="A4263" s="10" t="str">
        <f>基本属性!$B$25&amp;"|"&amp;基本属性!$C$25</f>
        <v>220|15</v>
      </c>
      <c r="B4263" s="10" t="str">
        <f>参数调整!$J$31</f>
        <v>小怪掉落</v>
      </c>
      <c r="C4263" s="8" t="str">
        <f>材料产出!$BX$2</f>
        <v>新增材料9</v>
      </c>
      <c r="D4263" s="225">
        <f>材料产出!$BX25/(基本属性!$A25/(基本属性!$AS25*1/3600))*材料产出!$D25</f>
        <v>0</v>
      </c>
    </row>
    <row r="4264" spans="1:4" ht="16.5" x14ac:dyDescent="0.3">
      <c r="A4264" s="10" t="str">
        <f>基本属性!$B$26&amp;"|"&amp;基本属性!$C$26</f>
        <v>230|16</v>
      </c>
      <c r="B4264" s="10" t="str">
        <f>参数调整!$J$31</f>
        <v>小怪掉落</v>
      </c>
      <c r="C4264" s="8" t="str">
        <f>材料产出!$BX$2</f>
        <v>新增材料9</v>
      </c>
      <c r="D4264" s="225">
        <f>材料产出!$BX26/(基本属性!$A26/(基本属性!$AS26*1/3600))*材料产出!$D26</f>
        <v>0</v>
      </c>
    </row>
    <row r="4265" spans="1:4" ht="16.5" x14ac:dyDescent="0.3">
      <c r="A4265" s="10" t="str">
        <f>基本属性!$B$27&amp;"|"&amp;基本属性!$C$27</f>
        <v>230|17</v>
      </c>
      <c r="B4265" s="10" t="str">
        <f>参数调整!$J$31</f>
        <v>小怪掉落</v>
      </c>
      <c r="C4265" s="8" t="str">
        <f>材料产出!$BX$2</f>
        <v>新增材料9</v>
      </c>
      <c r="D4265" s="225">
        <f>材料产出!$BX27/(基本属性!$A27/(基本属性!$AS27*1/3600))*材料产出!$D27</f>
        <v>0</v>
      </c>
    </row>
    <row r="4266" spans="1:4" ht="16.5" x14ac:dyDescent="0.3">
      <c r="A4266" s="10" t="str">
        <f>基本属性!$B$28&amp;"|"&amp;基本属性!$C$28</f>
        <v>240|18</v>
      </c>
      <c r="B4266" s="10" t="str">
        <f>参数调整!$J$31</f>
        <v>小怪掉落</v>
      </c>
      <c r="C4266" s="8" t="str">
        <f>材料产出!$BX$2</f>
        <v>新增材料9</v>
      </c>
      <c r="D4266" s="225">
        <f>材料产出!$BX28/(基本属性!$A28/(基本属性!$AS28*1/3600))*材料产出!$D28</f>
        <v>0</v>
      </c>
    </row>
    <row r="4267" spans="1:4" ht="16.5" x14ac:dyDescent="0.3">
      <c r="A4267" s="10" t="str">
        <f>基本属性!$B$29&amp;"|"&amp;基本属性!$C$29</f>
        <v>240|19</v>
      </c>
      <c r="B4267" s="10" t="str">
        <f>参数调整!$J$31</f>
        <v>小怪掉落</v>
      </c>
      <c r="C4267" s="8" t="str">
        <f>材料产出!$BX$2</f>
        <v>新增材料9</v>
      </c>
      <c r="D4267" s="225">
        <f>材料产出!$BX29/(基本属性!$A29/(基本属性!$AS29*1/3600))*材料产出!$D29</f>
        <v>0</v>
      </c>
    </row>
    <row r="4268" spans="1:4" ht="16.5" x14ac:dyDescent="0.3">
      <c r="A4268" s="10" t="str">
        <f>基本属性!$B$30&amp;"|"&amp;基本属性!$C$30</f>
        <v>250|20</v>
      </c>
      <c r="B4268" s="10" t="str">
        <f>参数调整!$J$31</f>
        <v>小怪掉落</v>
      </c>
      <c r="C4268" s="8" t="str">
        <f>材料产出!$BX$2</f>
        <v>新增材料9</v>
      </c>
      <c r="D4268" s="225">
        <f>材料产出!$BX30/(基本属性!$A30/(基本属性!$AS30*1/3600))*材料产出!$D30</f>
        <v>0</v>
      </c>
    </row>
    <row r="4269" spans="1:4" ht="16.5" x14ac:dyDescent="0.3">
      <c r="A4269" s="10" t="str">
        <f>基本属性!$B$4&amp;"|"&amp;基本属性!$C$4</f>
        <v>35|0</v>
      </c>
      <c r="B4269" s="10" t="str">
        <f>参数调整!$J$31</f>
        <v>小怪掉落</v>
      </c>
      <c r="C4269" s="8" t="str">
        <f>材料产出!$BV$2</f>
        <v>新增材料8</v>
      </c>
      <c r="D4269" s="225">
        <f>材料产出!$BV4/(基本属性!$A4/(基本属性!$AS4*1/3600))*材料产出!$D4</f>
        <v>0</v>
      </c>
    </row>
    <row r="4270" spans="1:4" ht="16.5" x14ac:dyDescent="0.3">
      <c r="A4270" s="10" t="str">
        <f>基本属性!$B$5&amp;"|"&amp;基本属性!$C$5</f>
        <v>40|0</v>
      </c>
      <c r="B4270" s="10" t="str">
        <f>参数调整!$J$31</f>
        <v>小怪掉落</v>
      </c>
      <c r="C4270" s="8" t="str">
        <f>材料产出!$BV$2</f>
        <v>新增材料8</v>
      </c>
      <c r="D4270" s="225">
        <f>材料产出!$BV5/(基本属性!$A5/(基本属性!$AS5*1/3600))*材料产出!$D5</f>
        <v>0</v>
      </c>
    </row>
    <row r="4271" spans="1:4" ht="16.5" x14ac:dyDescent="0.3">
      <c r="A4271" s="10" t="str">
        <f>基本属性!$B$6&amp;"|"&amp;基本属性!$C$6</f>
        <v>50|0</v>
      </c>
      <c r="B4271" s="10" t="str">
        <f>参数调整!$J$31</f>
        <v>小怪掉落</v>
      </c>
      <c r="C4271" s="8" t="str">
        <f>材料产出!$BV$2</f>
        <v>新增材料8</v>
      </c>
      <c r="D4271" s="225">
        <f>材料产出!$BV6/(基本属性!$A6/(基本属性!$AS6*1/3600))*材料产出!$D6</f>
        <v>0</v>
      </c>
    </row>
    <row r="4272" spans="1:4" ht="16.5" x14ac:dyDescent="0.3">
      <c r="A4272" s="10" t="str">
        <f>基本属性!$B$7&amp;"|"&amp;基本属性!$C$7</f>
        <v>60|0</v>
      </c>
      <c r="B4272" s="10" t="str">
        <f>参数调整!$J$31</f>
        <v>小怪掉落</v>
      </c>
      <c r="C4272" s="8" t="str">
        <f>材料产出!$BV$2</f>
        <v>新增材料8</v>
      </c>
      <c r="D4272" s="225">
        <f>材料产出!$BV7/(基本属性!$A7/(基本属性!$AS7*1/3600))*材料产出!$D7</f>
        <v>0</v>
      </c>
    </row>
    <row r="4273" spans="1:4" ht="16.5" x14ac:dyDescent="0.3">
      <c r="A4273" s="10" t="str">
        <f>基本属性!$B$8&amp;"|"&amp;基本属性!$C$8</f>
        <v>65|0</v>
      </c>
      <c r="B4273" s="10" t="str">
        <f>参数调整!$J$31</f>
        <v>小怪掉落</v>
      </c>
      <c r="C4273" s="8" t="str">
        <f>材料产出!$BV$2</f>
        <v>新增材料8</v>
      </c>
      <c r="D4273" s="225">
        <f>材料产出!$BV8/(基本属性!$A8/(基本属性!$AS8*1/3600))*材料产出!$D8</f>
        <v>0</v>
      </c>
    </row>
    <row r="4274" spans="1:4" ht="16.5" x14ac:dyDescent="0.3">
      <c r="A4274" s="10" t="str">
        <f>基本属性!$B$9&amp;"|"&amp;基本属性!$C$9</f>
        <v>70|0</v>
      </c>
      <c r="B4274" s="10" t="str">
        <f>参数调整!$J$31</f>
        <v>小怪掉落</v>
      </c>
      <c r="C4274" s="8" t="str">
        <f>材料产出!$BV$2</f>
        <v>新增材料8</v>
      </c>
      <c r="D4274" s="225">
        <f>材料产出!$BV9/(基本属性!$A9/(基本属性!$AS9*1/3600))*材料产出!$D9</f>
        <v>0</v>
      </c>
    </row>
    <row r="4275" spans="1:4" ht="16.5" x14ac:dyDescent="0.3">
      <c r="A4275" s="10" t="str">
        <f>基本属性!$B$10&amp;"|"&amp;基本属性!$C$10</f>
        <v>75|0</v>
      </c>
      <c r="B4275" s="10" t="str">
        <f>参数调整!$J$31</f>
        <v>小怪掉落</v>
      </c>
      <c r="C4275" s="8" t="str">
        <f>材料产出!$BV$2</f>
        <v>新增材料8</v>
      </c>
      <c r="D4275" s="225">
        <f>材料产出!$BV10/(基本属性!$A10/(基本属性!$AS10*1/3600))*材料产出!$D10</f>
        <v>0</v>
      </c>
    </row>
    <row r="4276" spans="1:4" ht="16.5" x14ac:dyDescent="0.3">
      <c r="A4276" s="10" t="str">
        <f>基本属性!$B$11&amp;"|"&amp;基本属性!$C$11</f>
        <v>80|1</v>
      </c>
      <c r="B4276" s="10" t="str">
        <f>参数调整!$J$31</f>
        <v>小怪掉落</v>
      </c>
      <c r="C4276" s="8" t="str">
        <f>材料产出!$BV$2</f>
        <v>新增材料8</v>
      </c>
      <c r="D4276" s="225">
        <f>材料产出!$BV11/(基本属性!$A11/(基本属性!$AS11*1/3600))*材料产出!$D11</f>
        <v>0</v>
      </c>
    </row>
    <row r="4277" spans="1:4" ht="16.5" x14ac:dyDescent="0.3">
      <c r="A4277" s="10" t="str">
        <f>基本属性!$B$12&amp;"|"&amp;基本属性!$C$12</f>
        <v>90|2</v>
      </c>
      <c r="B4277" s="10" t="str">
        <f>参数调整!$J$31</f>
        <v>小怪掉落</v>
      </c>
      <c r="C4277" s="8" t="str">
        <f>材料产出!$BV$2</f>
        <v>新增材料8</v>
      </c>
      <c r="D4277" s="225">
        <f>材料产出!$BV12/(基本属性!$A12/(基本属性!$AS12*1/3600))*材料产出!$D12</f>
        <v>0</v>
      </c>
    </row>
    <row r="4278" spans="1:4" ht="16.5" x14ac:dyDescent="0.3">
      <c r="A4278" s="10" t="str">
        <f>基本属性!$B$13&amp;"|"&amp;基本属性!$C$13</f>
        <v>100|3</v>
      </c>
      <c r="B4278" s="10" t="str">
        <f>参数调整!$J$31</f>
        <v>小怪掉落</v>
      </c>
      <c r="C4278" s="8" t="str">
        <f>材料产出!$BV$2</f>
        <v>新增材料8</v>
      </c>
      <c r="D4278" s="225">
        <f>材料产出!$BV13/(基本属性!$A13/(基本属性!$AS13*1/3600))*材料产出!$D13</f>
        <v>0</v>
      </c>
    </row>
    <row r="4279" spans="1:4" ht="16.5" x14ac:dyDescent="0.3">
      <c r="A4279" s="10" t="str">
        <f>基本属性!$B$14&amp;"|"&amp;基本属性!$C$14</f>
        <v>105|4</v>
      </c>
      <c r="B4279" s="10" t="str">
        <f>参数调整!$J$31</f>
        <v>小怪掉落</v>
      </c>
      <c r="C4279" s="8" t="str">
        <f>材料产出!$BV$2</f>
        <v>新增材料8</v>
      </c>
      <c r="D4279" s="225">
        <f>材料产出!$BV14/(基本属性!$A14/(基本属性!$AS14*1/3600))*材料产出!$D14</f>
        <v>0</v>
      </c>
    </row>
    <row r="4280" spans="1:4" ht="16.5" x14ac:dyDescent="0.3">
      <c r="A4280" s="10" t="str">
        <f>基本属性!$B$15&amp;"|"&amp;基本属性!$C$15</f>
        <v>110|5</v>
      </c>
      <c r="B4280" s="10" t="str">
        <f>参数调整!$J$31</f>
        <v>小怪掉落</v>
      </c>
      <c r="C4280" s="8" t="str">
        <f>材料产出!$BV$2</f>
        <v>新增材料8</v>
      </c>
      <c r="D4280" s="225">
        <f>材料产出!$BV15/(基本属性!$A15/(基本属性!$AS15*1/3600))*材料产出!$D15</f>
        <v>0</v>
      </c>
    </row>
    <row r="4281" spans="1:4" ht="16.5" x14ac:dyDescent="0.3">
      <c r="A4281" s="10" t="str">
        <f>基本属性!$B$16&amp;"|"&amp;基本属性!$C$16</f>
        <v>120|6</v>
      </c>
      <c r="B4281" s="10" t="str">
        <f>参数调整!$J$31</f>
        <v>小怪掉落</v>
      </c>
      <c r="C4281" s="8" t="str">
        <f>材料产出!$BV$2</f>
        <v>新增材料8</v>
      </c>
      <c r="D4281" s="225">
        <f>材料产出!$BV16/(基本属性!$A16/(基本属性!$AS16*1/3600))*材料产出!$D16</f>
        <v>0</v>
      </c>
    </row>
    <row r="4282" spans="1:4" ht="16.5" x14ac:dyDescent="0.3">
      <c r="A4282" s="10" t="str">
        <f>基本属性!$B$17&amp;"|"&amp;基本属性!$C$17</f>
        <v>135|7</v>
      </c>
      <c r="B4282" s="10" t="str">
        <f>参数调整!$J$31</f>
        <v>小怪掉落</v>
      </c>
      <c r="C4282" s="8" t="str">
        <f>材料产出!$BV$2</f>
        <v>新增材料8</v>
      </c>
      <c r="D4282" s="225">
        <f>材料产出!$BV17/(基本属性!$A17/(基本属性!$AS17*1/3600))*材料产出!$D17</f>
        <v>0</v>
      </c>
    </row>
    <row r="4283" spans="1:4" ht="16.5" x14ac:dyDescent="0.3">
      <c r="A4283" s="10" t="str">
        <f>基本属性!$B$18&amp;"|"&amp;基本属性!$C$18</f>
        <v>155|8</v>
      </c>
      <c r="B4283" s="10" t="str">
        <f>参数调整!$J$31</f>
        <v>小怪掉落</v>
      </c>
      <c r="C4283" s="8" t="str">
        <f>材料产出!$BV$2</f>
        <v>新增材料8</v>
      </c>
      <c r="D4283" s="225">
        <f>材料产出!$BV18/(基本属性!$A18/(基本属性!$AS18*1/3600))*材料产出!$D18</f>
        <v>0</v>
      </c>
    </row>
    <row r="4284" spans="1:4" ht="16.5" x14ac:dyDescent="0.3">
      <c r="A4284" s="10" t="str">
        <f>基本属性!$B$19&amp;"|"&amp;基本属性!$C$19</f>
        <v>190|9</v>
      </c>
      <c r="B4284" s="10" t="str">
        <f>参数调整!$J$31</f>
        <v>小怪掉落</v>
      </c>
      <c r="C4284" s="8" t="str">
        <f>材料产出!$BV$2</f>
        <v>新增材料8</v>
      </c>
      <c r="D4284" s="225">
        <f>材料产出!$BV19/(基本属性!$A19/(基本属性!$AS19*1/3600))*材料产出!$D19</f>
        <v>0</v>
      </c>
    </row>
    <row r="4285" spans="1:4" ht="16.5" x14ac:dyDescent="0.3">
      <c r="A4285" s="10" t="str">
        <f>基本属性!$B$20&amp;"|"&amp;基本属性!$C$20</f>
        <v>200|10</v>
      </c>
      <c r="B4285" s="10" t="str">
        <f>参数调整!$J$31</f>
        <v>小怪掉落</v>
      </c>
      <c r="C4285" s="8" t="str">
        <f>材料产出!$BV$2</f>
        <v>新增材料8</v>
      </c>
      <c r="D4285" s="225">
        <f>材料产出!$BV20/(基本属性!$A20/(基本属性!$AS20*1/3600))*材料产出!$D20</f>
        <v>0</v>
      </c>
    </row>
    <row r="4286" spans="1:4" ht="16.5" x14ac:dyDescent="0.3">
      <c r="A4286" s="10" t="str">
        <f>基本属性!$B$21&amp;"|"&amp;基本属性!$C$21</f>
        <v>200|11</v>
      </c>
      <c r="B4286" s="10" t="str">
        <f>参数调整!$J$31</f>
        <v>小怪掉落</v>
      </c>
      <c r="C4286" s="8" t="str">
        <f>材料产出!$BV$2</f>
        <v>新增材料8</v>
      </c>
      <c r="D4286" s="225">
        <f>材料产出!$BV21/(基本属性!$A21/(基本属性!$AS21*1/3600))*材料产出!$D21</f>
        <v>0</v>
      </c>
    </row>
    <row r="4287" spans="1:4" ht="16.5" x14ac:dyDescent="0.3">
      <c r="A4287" s="10" t="str">
        <f>基本属性!$B$22&amp;"|"&amp;基本属性!$C$22</f>
        <v>210|12</v>
      </c>
      <c r="B4287" s="10" t="str">
        <f>参数调整!$J$31</f>
        <v>小怪掉落</v>
      </c>
      <c r="C4287" s="8" t="str">
        <f>材料产出!$BV$2</f>
        <v>新增材料8</v>
      </c>
      <c r="D4287" s="225">
        <f>材料产出!$BV22/(基本属性!$A22/(基本属性!$AS22*1/3600))*材料产出!$D22</f>
        <v>0</v>
      </c>
    </row>
    <row r="4288" spans="1:4" ht="16.5" x14ac:dyDescent="0.3">
      <c r="A4288" s="10" t="str">
        <f>基本属性!$B$23&amp;"|"&amp;基本属性!$C$23</f>
        <v>210|13</v>
      </c>
      <c r="B4288" s="10" t="str">
        <f>参数调整!$J$31</f>
        <v>小怪掉落</v>
      </c>
      <c r="C4288" s="8" t="str">
        <f>材料产出!$BV$2</f>
        <v>新增材料8</v>
      </c>
      <c r="D4288" s="225">
        <f>材料产出!$BV23/(基本属性!$A23/(基本属性!$AS23*1/3600))*材料产出!$D23</f>
        <v>0</v>
      </c>
    </row>
    <row r="4289" spans="1:4" ht="16.5" x14ac:dyDescent="0.3">
      <c r="A4289" s="10" t="str">
        <f>基本属性!$B$24&amp;"|"&amp;基本属性!$C$24</f>
        <v>220|14</v>
      </c>
      <c r="B4289" s="10" t="str">
        <f>参数调整!$J$31</f>
        <v>小怪掉落</v>
      </c>
      <c r="C4289" s="8" t="str">
        <f>材料产出!$BV$2</f>
        <v>新增材料8</v>
      </c>
      <c r="D4289" s="225">
        <f>材料产出!$BV24/(基本属性!$A24/(基本属性!$AS24*1/3600))*材料产出!$D24</f>
        <v>0</v>
      </c>
    </row>
    <row r="4290" spans="1:4" ht="16.5" x14ac:dyDescent="0.3">
      <c r="A4290" s="10" t="str">
        <f>基本属性!$B$25&amp;"|"&amp;基本属性!$C$25</f>
        <v>220|15</v>
      </c>
      <c r="B4290" s="10" t="str">
        <f>参数调整!$J$31</f>
        <v>小怪掉落</v>
      </c>
      <c r="C4290" s="8" t="str">
        <f>材料产出!$BV$2</f>
        <v>新增材料8</v>
      </c>
      <c r="D4290" s="225">
        <f>材料产出!$BV25/(基本属性!$A25/(基本属性!$AS25*1/3600))*材料产出!$D25</f>
        <v>0</v>
      </c>
    </row>
    <row r="4291" spans="1:4" ht="16.5" x14ac:dyDescent="0.3">
      <c r="A4291" s="10" t="str">
        <f>基本属性!$B$26&amp;"|"&amp;基本属性!$C$26</f>
        <v>230|16</v>
      </c>
      <c r="B4291" s="10" t="str">
        <f>参数调整!$J$31</f>
        <v>小怪掉落</v>
      </c>
      <c r="C4291" s="8" t="str">
        <f>材料产出!$BV$2</f>
        <v>新增材料8</v>
      </c>
      <c r="D4291" s="225">
        <f>材料产出!$BV26/(基本属性!$A26/(基本属性!$AS26*1/3600))*材料产出!$D26</f>
        <v>0</v>
      </c>
    </row>
    <row r="4292" spans="1:4" ht="16.5" x14ac:dyDescent="0.3">
      <c r="A4292" s="10" t="str">
        <f>基本属性!$B$27&amp;"|"&amp;基本属性!$C$27</f>
        <v>230|17</v>
      </c>
      <c r="B4292" s="10" t="str">
        <f>参数调整!$J$31</f>
        <v>小怪掉落</v>
      </c>
      <c r="C4292" s="8" t="str">
        <f>材料产出!$BV$2</f>
        <v>新增材料8</v>
      </c>
      <c r="D4292" s="225">
        <f>材料产出!$BV27/(基本属性!$A27/(基本属性!$AS27*1/3600))*材料产出!$D27</f>
        <v>0</v>
      </c>
    </row>
    <row r="4293" spans="1:4" ht="16.5" x14ac:dyDescent="0.3">
      <c r="A4293" s="10" t="str">
        <f>基本属性!$B$28&amp;"|"&amp;基本属性!$C$28</f>
        <v>240|18</v>
      </c>
      <c r="B4293" s="10" t="str">
        <f>参数调整!$J$31</f>
        <v>小怪掉落</v>
      </c>
      <c r="C4293" s="8" t="str">
        <f>材料产出!$BV$2</f>
        <v>新增材料8</v>
      </c>
      <c r="D4293" s="225">
        <f>材料产出!$BV28/(基本属性!$A28/(基本属性!$AS28*1/3600))*材料产出!$D28</f>
        <v>0</v>
      </c>
    </row>
    <row r="4294" spans="1:4" ht="16.5" x14ac:dyDescent="0.3">
      <c r="A4294" s="10" t="str">
        <f>基本属性!$B$29&amp;"|"&amp;基本属性!$C$29</f>
        <v>240|19</v>
      </c>
      <c r="B4294" s="10" t="str">
        <f>参数调整!$J$31</f>
        <v>小怪掉落</v>
      </c>
      <c r="C4294" s="8" t="str">
        <f>材料产出!$BV$2</f>
        <v>新增材料8</v>
      </c>
      <c r="D4294" s="225">
        <f>材料产出!$BV29/(基本属性!$A29/(基本属性!$AS29*1/3600))*材料产出!$D29</f>
        <v>0</v>
      </c>
    </row>
    <row r="4295" spans="1:4" ht="16.5" x14ac:dyDescent="0.3">
      <c r="A4295" s="10" t="str">
        <f>基本属性!$B$30&amp;"|"&amp;基本属性!$C$30</f>
        <v>250|20</v>
      </c>
      <c r="B4295" s="10" t="str">
        <f>参数调整!$J$31</f>
        <v>小怪掉落</v>
      </c>
      <c r="C4295" s="8" t="str">
        <f>材料产出!$BV$2</f>
        <v>新增材料8</v>
      </c>
      <c r="D4295" s="225">
        <f>材料产出!$BV30/(基本属性!$A30/(基本属性!$AS30*1/3600))*材料产出!$D30</f>
        <v>0</v>
      </c>
    </row>
    <row r="4296" spans="1:4" ht="16.5" x14ac:dyDescent="0.3">
      <c r="A4296" s="10" t="str">
        <f>基本属性!$B$4&amp;"|"&amp;基本属性!$C$4</f>
        <v>35|0</v>
      </c>
      <c r="B4296" s="10" t="str">
        <f>参数调整!$J$31</f>
        <v>小怪掉落</v>
      </c>
      <c r="C4296" s="8" t="str">
        <f>材料产出!$BT$2</f>
        <v>新增材料7</v>
      </c>
      <c r="D4296" s="225">
        <f>材料产出!$BT4/(基本属性!$A4/(基本属性!$AS4*1/3600))*材料产出!$D4</f>
        <v>0</v>
      </c>
    </row>
    <row r="4297" spans="1:4" ht="16.5" x14ac:dyDescent="0.3">
      <c r="A4297" s="10" t="str">
        <f>基本属性!$B$5&amp;"|"&amp;基本属性!$C$5</f>
        <v>40|0</v>
      </c>
      <c r="B4297" s="10" t="str">
        <f>参数调整!$J$31</f>
        <v>小怪掉落</v>
      </c>
      <c r="C4297" s="8" t="str">
        <f>材料产出!$BT$2</f>
        <v>新增材料7</v>
      </c>
      <c r="D4297" s="225">
        <f>材料产出!$BT5/(基本属性!$A5/(基本属性!$AS5*1/3600))*材料产出!$D5</f>
        <v>0</v>
      </c>
    </row>
    <row r="4298" spans="1:4" ht="16.5" x14ac:dyDescent="0.3">
      <c r="A4298" s="10" t="str">
        <f>基本属性!$B$6&amp;"|"&amp;基本属性!$C$6</f>
        <v>50|0</v>
      </c>
      <c r="B4298" s="10" t="str">
        <f>参数调整!$J$31</f>
        <v>小怪掉落</v>
      </c>
      <c r="C4298" s="8" t="str">
        <f>材料产出!$BT$2</f>
        <v>新增材料7</v>
      </c>
      <c r="D4298" s="225">
        <f>材料产出!$BT6/(基本属性!$A6/(基本属性!$AS6*1/3600))*材料产出!$D6</f>
        <v>0</v>
      </c>
    </row>
    <row r="4299" spans="1:4" ht="16.5" x14ac:dyDescent="0.3">
      <c r="A4299" s="10" t="str">
        <f>基本属性!$B$7&amp;"|"&amp;基本属性!$C$7</f>
        <v>60|0</v>
      </c>
      <c r="B4299" s="10" t="str">
        <f>参数调整!$J$31</f>
        <v>小怪掉落</v>
      </c>
      <c r="C4299" s="8" t="str">
        <f>材料产出!$BT$2</f>
        <v>新增材料7</v>
      </c>
      <c r="D4299" s="225">
        <f>材料产出!$BT7/(基本属性!$A7/(基本属性!$AS7*1/3600))*材料产出!$D7</f>
        <v>0</v>
      </c>
    </row>
    <row r="4300" spans="1:4" ht="16.5" x14ac:dyDescent="0.3">
      <c r="A4300" s="10" t="str">
        <f>基本属性!$B$8&amp;"|"&amp;基本属性!$C$8</f>
        <v>65|0</v>
      </c>
      <c r="B4300" s="10" t="str">
        <f>参数调整!$J$31</f>
        <v>小怪掉落</v>
      </c>
      <c r="C4300" s="8" t="str">
        <f>材料产出!$BT$2</f>
        <v>新增材料7</v>
      </c>
      <c r="D4300" s="225">
        <f>材料产出!$BT8/(基本属性!$A8/(基本属性!$AS8*1/3600))*材料产出!$D8</f>
        <v>0</v>
      </c>
    </row>
    <row r="4301" spans="1:4" ht="16.5" x14ac:dyDescent="0.3">
      <c r="A4301" s="10" t="str">
        <f>基本属性!$B$9&amp;"|"&amp;基本属性!$C$9</f>
        <v>70|0</v>
      </c>
      <c r="B4301" s="10" t="str">
        <f>参数调整!$J$31</f>
        <v>小怪掉落</v>
      </c>
      <c r="C4301" s="8" t="str">
        <f>材料产出!$BT$2</f>
        <v>新增材料7</v>
      </c>
      <c r="D4301" s="225">
        <f>材料产出!$BT9/(基本属性!$A9/(基本属性!$AS9*1/3600))*材料产出!$D9</f>
        <v>0</v>
      </c>
    </row>
    <row r="4302" spans="1:4" ht="16.5" x14ac:dyDescent="0.3">
      <c r="A4302" s="10" t="str">
        <f>基本属性!$B$10&amp;"|"&amp;基本属性!$C$10</f>
        <v>75|0</v>
      </c>
      <c r="B4302" s="10" t="str">
        <f>参数调整!$J$31</f>
        <v>小怪掉落</v>
      </c>
      <c r="C4302" s="8" t="str">
        <f>材料产出!$BT$2</f>
        <v>新增材料7</v>
      </c>
      <c r="D4302" s="225">
        <f>材料产出!$BT10/(基本属性!$A10/(基本属性!$AS10*1/3600))*材料产出!$D10</f>
        <v>0</v>
      </c>
    </row>
    <row r="4303" spans="1:4" ht="16.5" x14ac:dyDescent="0.3">
      <c r="A4303" s="10" t="str">
        <f>基本属性!$B$11&amp;"|"&amp;基本属性!$C$11</f>
        <v>80|1</v>
      </c>
      <c r="B4303" s="10" t="str">
        <f>参数调整!$J$31</f>
        <v>小怪掉落</v>
      </c>
      <c r="C4303" s="8" t="str">
        <f>材料产出!$BT$2</f>
        <v>新增材料7</v>
      </c>
      <c r="D4303" s="225">
        <f>材料产出!$BT11/(基本属性!$A11/(基本属性!$AS11*1/3600))*材料产出!$D11</f>
        <v>0</v>
      </c>
    </row>
    <row r="4304" spans="1:4" ht="16.5" x14ac:dyDescent="0.3">
      <c r="A4304" s="10" t="str">
        <f>基本属性!$B$12&amp;"|"&amp;基本属性!$C$12</f>
        <v>90|2</v>
      </c>
      <c r="B4304" s="10" t="str">
        <f>参数调整!$J$31</f>
        <v>小怪掉落</v>
      </c>
      <c r="C4304" s="8" t="str">
        <f>材料产出!$BT$2</f>
        <v>新增材料7</v>
      </c>
      <c r="D4304" s="225">
        <f>材料产出!$BT12/(基本属性!$A12/(基本属性!$AS12*1/3600))*材料产出!$D12</f>
        <v>0</v>
      </c>
    </row>
    <row r="4305" spans="1:4" ht="16.5" x14ac:dyDescent="0.3">
      <c r="A4305" s="10" t="str">
        <f>基本属性!$B$13&amp;"|"&amp;基本属性!$C$13</f>
        <v>100|3</v>
      </c>
      <c r="B4305" s="10" t="str">
        <f>参数调整!$J$31</f>
        <v>小怪掉落</v>
      </c>
      <c r="C4305" s="8" t="str">
        <f>材料产出!$BT$2</f>
        <v>新增材料7</v>
      </c>
      <c r="D4305" s="225">
        <f>材料产出!$BT13/(基本属性!$A13/(基本属性!$AS13*1/3600))*材料产出!$D13</f>
        <v>0</v>
      </c>
    </row>
    <row r="4306" spans="1:4" ht="16.5" x14ac:dyDescent="0.3">
      <c r="A4306" s="10" t="str">
        <f>基本属性!$B$14&amp;"|"&amp;基本属性!$C$14</f>
        <v>105|4</v>
      </c>
      <c r="B4306" s="10" t="str">
        <f>参数调整!$J$31</f>
        <v>小怪掉落</v>
      </c>
      <c r="C4306" s="8" t="str">
        <f>材料产出!$BT$2</f>
        <v>新增材料7</v>
      </c>
      <c r="D4306" s="225">
        <f>材料产出!$BT14/(基本属性!$A14/(基本属性!$AS14*1/3600))*材料产出!$D14</f>
        <v>0</v>
      </c>
    </row>
    <row r="4307" spans="1:4" ht="16.5" x14ac:dyDescent="0.3">
      <c r="A4307" s="10" t="str">
        <f>基本属性!$B$15&amp;"|"&amp;基本属性!$C$15</f>
        <v>110|5</v>
      </c>
      <c r="B4307" s="10" t="str">
        <f>参数调整!$J$31</f>
        <v>小怪掉落</v>
      </c>
      <c r="C4307" s="8" t="str">
        <f>材料产出!$BT$2</f>
        <v>新增材料7</v>
      </c>
      <c r="D4307" s="225">
        <f>材料产出!$BT15/(基本属性!$A15/(基本属性!$AS15*1/3600))*材料产出!$D15</f>
        <v>0</v>
      </c>
    </row>
    <row r="4308" spans="1:4" ht="16.5" x14ac:dyDescent="0.3">
      <c r="A4308" s="10" t="str">
        <f>基本属性!$B$16&amp;"|"&amp;基本属性!$C$16</f>
        <v>120|6</v>
      </c>
      <c r="B4308" s="10" t="str">
        <f>参数调整!$J$31</f>
        <v>小怪掉落</v>
      </c>
      <c r="C4308" s="8" t="str">
        <f>材料产出!$BT$2</f>
        <v>新增材料7</v>
      </c>
      <c r="D4308" s="225">
        <f>材料产出!$BT16/(基本属性!$A16/(基本属性!$AS16*1/3600))*材料产出!$D16</f>
        <v>0</v>
      </c>
    </row>
    <row r="4309" spans="1:4" ht="16.5" x14ac:dyDescent="0.3">
      <c r="A4309" s="10" t="str">
        <f>基本属性!$B$17&amp;"|"&amp;基本属性!$C$17</f>
        <v>135|7</v>
      </c>
      <c r="B4309" s="10" t="str">
        <f>参数调整!$J$31</f>
        <v>小怪掉落</v>
      </c>
      <c r="C4309" s="8" t="str">
        <f>材料产出!$BT$2</f>
        <v>新增材料7</v>
      </c>
      <c r="D4309" s="225">
        <f>材料产出!$BT17/(基本属性!$A17/(基本属性!$AS17*1/3600))*材料产出!$D17</f>
        <v>0</v>
      </c>
    </row>
    <row r="4310" spans="1:4" ht="16.5" x14ac:dyDescent="0.3">
      <c r="A4310" s="10" t="str">
        <f>基本属性!$B$18&amp;"|"&amp;基本属性!$C$18</f>
        <v>155|8</v>
      </c>
      <c r="B4310" s="10" t="str">
        <f>参数调整!$J$31</f>
        <v>小怪掉落</v>
      </c>
      <c r="C4310" s="8" t="str">
        <f>材料产出!$BT$2</f>
        <v>新增材料7</v>
      </c>
      <c r="D4310" s="225">
        <f>材料产出!$BT18/(基本属性!$A18/(基本属性!$AS18*1/3600))*材料产出!$D18</f>
        <v>0</v>
      </c>
    </row>
    <row r="4311" spans="1:4" ht="16.5" x14ac:dyDescent="0.3">
      <c r="A4311" s="10" t="str">
        <f>基本属性!$B$19&amp;"|"&amp;基本属性!$C$19</f>
        <v>190|9</v>
      </c>
      <c r="B4311" s="10" t="str">
        <f>参数调整!$J$31</f>
        <v>小怪掉落</v>
      </c>
      <c r="C4311" s="8" t="str">
        <f>材料产出!$BT$2</f>
        <v>新增材料7</v>
      </c>
      <c r="D4311" s="225">
        <f>材料产出!$BT19/(基本属性!$A19/(基本属性!$AS19*1/3600))*材料产出!$D19</f>
        <v>0</v>
      </c>
    </row>
    <row r="4312" spans="1:4" ht="16.5" x14ac:dyDescent="0.3">
      <c r="A4312" s="10" t="str">
        <f>基本属性!$B$20&amp;"|"&amp;基本属性!$C$20</f>
        <v>200|10</v>
      </c>
      <c r="B4312" s="10" t="str">
        <f>参数调整!$J$31</f>
        <v>小怪掉落</v>
      </c>
      <c r="C4312" s="8" t="str">
        <f>材料产出!$BT$2</f>
        <v>新增材料7</v>
      </c>
      <c r="D4312" s="225">
        <f>材料产出!$BT20/(基本属性!$A20/(基本属性!$AS20*1/3600))*材料产出!$D20</f>
        <v>0</v>
      </c>
    </row>
    <row r="4313" spans="1:4" ht="16.5" x14ac:dyDescent="0.3">
      <c r="A4313" s="10" t="str">
        <f>基本属性!$B$21&amp;"|"&amp;基本属性!$C$21</f>
        <v>200|11</v>
      </c>
      <c r="B4313" s="10" t="str">
        <f>参数调整!$J$31</f>
        <v>小怪掉落</v>
      </c>
      <c r="C4313" s="8" t="str">
        <f>材料产出!$BT$2</f>
        <v>新增材料7</v>
      </c>
      <c r="D4313" s="225">
        <f>材料产出!$BT21/(基本属性!$A21/(基本属性!$AS21*1/3600))*材料产出!$D21</f>
        <v>0</v>
      </c>
    </row>
    <row r="4314" spans="1:4" ht="16.5" x14ac:dyDescent="0.3">
      <c r="A4314" s="10" t="str">
        <f>基本属性!$B$22&amp;"|"&amp;基本属性!$C$22</f>
        <v>210|12</v>
      </c>
      <c r="B4314" s="10" t="str">
        <f>参数调整!$J$31</f>
        <v>小怪掉落</v>
      </c>
      <c r="C4314" s="8" t="str">
        <f>材料产出!$BT$2</f>
        <v>新增材料7</v>
      </c>
      <c r="D4314" s="225">
        <f>材料产出!$BT22/(基本属性!$A22/(基本属性!$AS22*1/3600))*材料产出!$D22</f>
        <v>0</v>
      </c>
    </row>
    <row r="4315" spans="1:4" ht="16.5" x14ac:dyDescent="0.3">
      <c r="A4315" s="10" t="str">
        <f>基本属性!$B$23&amp;"|"&amp;基本属性!$C$23</f>
        <v>210|13</v>
      </c>
      <c r="B4315" s="10" t="str">
        <f>参数调整!$J$31</f>
        <v>小怪掉落</v>
      </c>
      <c r="C4315" s="8" t="str">
        <f>材料产出!$BT$2</f>
        <v>新增材料7</v>
      </c>
      <c r="D4315" s="225">
        <f>材料产出!$BT23/(基本属性!$A23/(基本属性!$AS23*1/3600))*材料产出!$D23</f>
        <v>0</v>
      </c>
    </row>
    <row r="4316" spans="1:4" ht="16.5" x14ac:dyDescent="0.3">
      <c r="A4316" s="10" t="str">
        <f>基本属性!$B$24&amp;"|"&amp;基本属性!$C$24</f>
        <v>220|14</v>
      </c>
      <c r="B4316" s="10" t="str">
        <f>参数调整!$J$31</f>
        <v>小怪掉落</v>
      </c>
      <c r="C4316" s="8" t="str">
        <f>材料产出!$BT$2</f>
        <v>新增材料7</v>
      </c>
      <c r="D4316" s="225">
        <f>材料产出!$BT24/(基本属性!$A24/(基本属性!$AS24*1/3600))*材料产出!$D24</f>
        <v>0</v>
      </c>
    </row>
    <row r="4317" spans="1:4" ht="16.5" x14ac:dyDescent="0.3">
      <c r="A4317" s="10" t="str">
        <f>基本属性!$B$25&amp;"|"&amp;基本属性!$C$25</f>
        <v>220|15</v>
      </c>
      <c r="B4317" s="10" t="str">
        <f>参数调整!$J$31</f>
        <v>小怪掉落</v>
      </c>
      <c r="C4317" s="8" t="str">
        <f>材料产出!$BT$2</f>
        <v>新增材料7</v>
      </c>
      <c r="D4317" s="225">
        <f>材料产出!$BT25/(基本属性!$A25/(基本属性!$AS25*1/3600))*材料产出!$D25</f>
        <v>0</v>
      </c>
    </row>
    <row r="4318" spans="1:4" ht="16.5" x14ac:dyDescent="0.3">
      <c r="A4318" s="10" t="str">
        <f>基本属性!$B$26&amp;"|"&amp;基本属性!$C$26</f>
        <v>230|16</v>
      </c>
      <c r="B4318" s="10" t="str">
        <f>参数调整!$J$31</f>
        <v>小怪掉落</v>
      </c>
      <c r="C4318" s="8" t="str">
        <f>材料产出!$BT$2</f>
        <v>新增材料7</v>
      </c>
      <c r="D4318" s="225">
        <f>材料产出!$BT26/(基本属性!$A26/(基本属性!$AS26*1/3600))*材料产出!$D26</f>
        <v>0</v>
      </c>
    </row>
    <row r="4319" spans="1:4" ht="16.5" x14ac:dyDescent="0.3">
      <c r="A4319" s="10" t="str">
        <f>基本属性!$B$27&amp;"|"&amp;基本属性!$C$27</f>
        <v>230|17</v>
      </c>
      <c r="B4319" s="10" t="str">
        <f>参数调整!$J$31</f>
        <v>小怪掉落</v>
      </c>
      <c r="C4319" s="8" t="str">
        <f>材料产出!$BT$2</f>
        <v>新增材料7</v>
      </c>
      <c r="D4319" s="225">
        <f>材料产出!$BT27/(基本属性!$A27/(基本属性!$AS27*1/3600))*材料产出!$D27</f>
        <v>0</v>
      </c>
    </row>
    <row r="4320" spans="1:4" ht="16.5" x14ac:dyDescent="0.3">
      <c r="A4320" s="10" t="str">
        <f>基本属性!$B$28&amp;"|"&amp;基本属性!$C$28</f>
        <v>240|18</v>
      </c>
      <c r="B4320" s="10" t="str">
        <f>参数调整!$J$31</f>
        <v>小怪掉落</v>
      </c>
      <c r="C4320" s="8" t="str">
        <f>材料产出!$BT$2</f>
        <v>新增材料7</v>
      </c>
      <c r="D4320" s="225">
        <f>材料产出!$BT28/(基本属性!$A28/(基本属性!$AS28*1/3600))*材料产出!$D28</f>
        <v>0</v>
      </c>
    </row>
    <row r="4321" spans="1:4" ht="16.5" x14ac:dyDescent="0.3">
      <c r="A4321" s="10" t="str">
        <f>基本属性!$B$29&amp;"|"&amp;基本属性!$C$29</f>
        <v>240|19</v>
      </c>
      <c r="B4321" s="10" t="str">
        <f>参数调整!$J$31</f>
        <v>小怪掉落</v>
      </c>
      <c r="C4321" s="8" t="str">
        <f>材料产出!$BT$2</f>
        <v>新增材料7</v>
      </c>
      <c r="D4321" s="225">
        <f>材料产出!$BT29/(基本属性!$A29/(基本属性!$AS29*1/3600))*材料产出!$D29</f>
        <v>0</v>
      </c>
    </row>
    <row r="4322" spans="1:4" ht="16.5" x14ac:dyDescent="0.3">
      <c r="A4322" s="10" t="str">
        <f>基本属性!$B$30&amp;"|"&amp;基本属性!$C$30</f>
        <v>250|20</v>
      </c>
      <c r="B4322" s="10" t="str">
        <f>参数调整!$J$31</f>
        <v>小怪掉落</v>
      </c>
      <c r="C4322" s="8" t="str">
        <f>材料产出!$BT$2</f>
        <v>新增材料7</v>
      </c>
      <c r="D4322" s="225">
        <f>材料产出!$BT30/(基本属性!$A30/(基本属性!$AS30*1/3600))*材料产出!$D30</f>
        <v>0</v>
      </c>
    </row>
    <row r="4323" spans="1:4" ht="16.5" x14ac:dyDescent="0.3">
      <c r="A4323" s="10" t="str">
        <f>基本属性!$B$4&amp;"|"&amp;基本属性!$C$4</f>
        <v>35|0</v>
      </c>
      <c r="B4323" s="10" t="str">
        <f>参数调整!$J$31</f>
        <v>小怪掉落</v>
      </c>
      <c r="C4323" s="8" t="str">
        <f>材料产出!$BR$2</f>
        <v>新增材料6</v>
      </c>
      <c r="D4323" s="225">
        <f>材料产出!$BR4/(基本属性!$A4/(基本属性!$AS4*1/3600))*材料产出!$D4</f>
        <v>0</v>
      </c>
    </row>
    <row r="4324" spans="1:4" ht="16.5" x14ac:dyDescent="0.3">
      <c r="A4324" s="10" t="str">
        <f>基本属性!$B$5&amp;"|"&amp;基本属性!$C$5</f>
        <v>40|0</v>
      </c>
      <c r="B4324" s="10" t="str">
        <f>参数调整!$J$31</f>
        <v>小怪掉落</v>
      </c>
      <c r="C4324" s="8" t="str">
        <f>材料产出!$BR$2</f>
        <v>新增材料6</v>
      </c>
      <c r="D4324" s="225">
        <f>材料产出!$BR5/(基本属性!$A5/(基本属性!$AS5*1/3600))*材料产出!$D5</f>
        <v>0</v>
      </c>
    </row>
    <row r="4325" spans="1:4" ht="16.5" x14ac:dyDescent="0.3">
      <c r="A4325" s="10" t="str">
        <f>基本属性!$B$6&amp;"|"&amp;基本属性!$C$6</f>
        <v>50|0</v>
      </c>
      <c r="B4325" s="10" t="str">
        <f>参数调整!$J$31</f>
        <v>小怪掉落</v>
      </c>
      <c r="C4325" s="8" t="str">
        <f>材料产出!$BR$2</f>
        <v>新增材料6</v>
      </c>
      <c r="D4325" s="225">
        <f>材料产出!$BR6/(基本属性!$A6/(基本属性!$AS6*1/3600))*材料产出!$D6</f>
        <v>0</v>
      </c>
    </row>
    <row r="4326" spans="1:4" ht="16.5" x14ac:dyDescent="0.3">
      <c r="A4326" s="10" t="str">
        <f>基本属性!$B$7&amp;"|"&amp;基本属性!$C$7</f>
        <v>60|0</v>
      </c>
      <c r="B4326" s="10" t="str">
        <f>参数调整!$J$31</f>
        <v>小怪掉落</v>
      </c>
      <c r="C4326" s="8" t="str">
        <f>材料产出!$BR$2</f>
        <v>新增材料6</v>
      </c>
      <c r="D4326" s="225">
        <f>材料产出!$BR7/(基本属性!$A7/(基本属性!$AS7*1/3600))*材料产出!$D7</f>
        <v>0</v>
      </c>
    </row>
    <row r="4327" spans="1:4" ht="16.5" x14ac:dyDescent="0.3">
      <c r="A4327" s="10" t="str">
        <f>基本属性!$B$8&amp;"|"&amp;基本属性!$C$8</f>
        <v>65|0</v>
      </c>
      <c r="B4327" s="10" t="str">
        <f>参数调整!$J$31</f>
        <v>小怪掉落</v>
      </c>
      <c r="C4327" s="8" t="str">
        <f>材料产出!$BR$2</f>
        <v>新增材料6</v>
      </c>
      <c r="D4327" s="225">
        <f>材料产出!$BR8/(基本属性!$A8/(基本属性!$AS8*1/3600))*材料产出!$D8</f>
        <v>0</v>
      </c>
    </row>
    <row r="4328" spans="1:4" ht="16.5" x14ac:dyDescent="0.3">
      <c r="A4328" s="10" t="str">
        <f>基本属性!$B$9&amp;"|"&amp;基本属性!$C$9</f>
        <v>70|0</v>
      </c>
      <c r="B4328" s="10" t="str">
        <f>参数调整!$J$31</f>
        <v>小怪掉落</v>
      </c>
      <c r="C4328" s="8" t="str">
        <f>材料产出!$BR$2</f>
        <v>新增材料6</v>
      </c>
      <c r="D4328" s="225">
        <f>材料产出!$BR9/(基本属性!$A9/(基本属性!$AS9*1/3600))*材料产出!$D9</f>
        <v>0</v>
      </c>
    </row>
    <row r="4329" spans="1:4" ht="16.5" x14ac:dyDescent="0.3">
      <c r="A4329" s="10" t="str">
        <f>基本属性!$B$10&amp;"|"&amp;基本属性!$C$10</f>
        <v>75|0</v>
      </c>
      <c r="B4329" s="10" t="str">
        <f>参数调整!$J$31</f>
        <v>小怪掉落</v>
      </c>
      <c r="C4329" s="8" t="str">
        <f>材料产出!$BR$2</f>
        <v>新增材料6</v>
      </c>
      <c r="D4329" s="225">
        <f>材料产出!$BR10/(基本属性!$A10/(基本属性!$AS10*1/3600))*材料产出!$D10</f>
        <v>0</v>
      </c>
    </row>
    <row r="4330" spans="1:4" ht="16.5" x14ac:dyDescent="0.3">
      <c r="A4330" s="10" t="str">
        <f>基本属性!$B$11&amp;"|"&amp;基本属性!$C$11</f>
        <v>80|1</v>
      </c>
      <c r="B4330" s="10" t="str">
        <f>参数调整!$J$31</f>
        <v>小怪掉落</v>
      </c>
      <c r="C4330" s="8" t="str">
        <f>材料产出!$BR$2</f>
        <v>新增材料6</v>
      </c>
      <c r="D4330" s="225">
        <f>材料产出!$BR11/(基本属性!$A11/(基本属性!$AS11*1/3600))*材料产出!$D11</f>
        <v>0</v>
      </c>
    </row>
    <row r="4331" spans="1:4" ht="16.5" x14ac:dyDescent="0.3">
      <c r="A4331" s="10" t="str">
        <f>基本属性!$B$12&amp;"|"&amp;基本属性!$C$12</f>
        <v>90|2</v>
      </c>
      <c r="B4331" s="10" t="str">
        <f>参数调整!$J$31</f>
        <v>小怪掉落</v>
      </c>
      <c r="C4331" s="8" t="str">
        <f>材料产出!$BR$2</f>
        <v>新增材料6</v>
      </c>
      <c r="D4331" s="225">
        <f>材料产出!$BR12/(基本属性!$A12/(基本属性!$AS12*1/3600))*材料产出!$D12</f>
        <v>0</v>
      </c>
    </row>
    <row r="4332" spans="1:4" ht="16.5" x14ac:dyDescent="0.3">
      <c r="A4332" s="10" t="str">
        <f>基本属性!$B$13&amp;"|"&amp;基本属性!$C$13</f>
        <v>100|3</v>
      </c>
      <c r="B4332" s="10" t="str">
        <f>参数调整!$J$31</f>
        <v>小怪掉落</v>
      </c>
      <c r="C4332" s="8" t="str">
        <f>材料产出!$BR$2</f>
        <v>新增材料6</v>
      </c>
      <c r="D4332" s="225">
        <f>材料产出!$BR13/(基本属性!$A13/(基本属性!$AS13*1/3600))*材料产出!$D13</f>
        <v>0</v>
      </c>
    </row>
    <row r="4333" spans="1:4" ht="16.5" x14ac:dyDescent="0.3">
      <c r="A4333" s="10" t="str">
        <f>基本属性!$B$14&amp;"|"&amp;基本属性!$C$14</f>
        <v>105|4</v>
      </c>
      <c r="B4333" s="10" t="str">
        <f>参数调整!$J$31</f>
        <v>小怪掉落</v>
      </c>
      <c r="C4333" s="8" t="str">
        <f>材料产出!$BR$2</f>
        <v>新增材料6</v>
      </c>
      <c r="D4333" s="225">
        <f>材料产出!$BR14/(基本属性!$A14/(基本属性!$AS14*1/3600))*材料产出!$D14</f>
        <v>0</v>
      </c>
    </row>
    <row r="4334" spans="1:4" ht="16.5" x14ac:dyDescent="0.3">
      <c r="A4334" s="10" t="str">
        <f>基本属性!$B$15&amp;"|"&amp;基本属性!$C$15</f>
        <v>110|5</v>
      </c>
      <c r="B4334" s="10" t="str">
        <f>参数调整!$J$31</f>
        <v>小怪掉落</v>
      </c>
      <c r="C4334" s="8" t="str">
        <f>材料产出!$BR$2</f>
        <v>新增材料6</v>
      </c>
      <c r="D4334" s="225">
        <f>材料产出!$BR15/(基本属性!$A15/(基本属性!$AS15*1/3600))*材料产出!$D15</f>
        <v>0</v>
      </c>
    </row>
    <row r="4335" spans="1:4" ht="16.5" x14ac:dyDescent="0.3">
      <c r="A4335" s="10" t="str">
        <f>基本属性!$B$16&amp;"|"&amp;基本属性!$C$16</f>
        <v>120|6</v>
      </c>
      <c r="B4335" s="10" t="str">
        <f>参数调整!$J$31</f>
        <v>小怪掉落</v>
      </c>
      <c r="C4335" s="8" t="str">
        <f>材料产出!$BR$2</f>
        <v>新增材料6</v>
      </c>
      <c r="D4335" s="225">
        <f>材料产出!$BR16/(基本属性!$A16/(基本属性!$AS16*1/3600))*材料产出!$D16</f>
        <v>0</v>
      </c>
    </row>
    <row r="4336" spans="1:4" ht="16.5" x14ac:dyDescent="0.3">
      <c r="A4336" s="10" t="str">
        <f>基本属性!$B$17&amp;"|"&amp;基本属性!$C$17</f>
        <v>135|7</v>
      </c>
      <c r="B4336" s="10" t="str">
        <f>参数调整!$J$31</f>
        <v>小怪掉落</v>
      </c>
      <c r="C4336" s="8" t="str">
        <f>材料产出!$BR$2</f>
        <v>新增材料6</v>
      </c>
      <c r="D4336" s="225">
        <f>材料产出!$BR17/(基本属性!$A17/(基本属性!$AS17*1/3600))*材料产出!$D17</f>
        <v>0</v>
      </c>
    </row>
    <row r="4337" spans="1:4" ht="16.5" x14ac:dyDescent="0.3">
      <c r="A4337" s="10" t="str">
        <f>基本属性!$B$18&amp;"|"&amp;基本属性!$C$18</f>
        <v>155|8</v>
      </c>
      <c r="B4337" s="10" t="str">
        <f>参数调整!$J$31</f>
        <v>小怪掉落</v>
      </c>
      <c r="C4337" s="8" t="str">
        <f>材料产出!$BR$2</f>
        <v>新增材料6</v>
      </c>
      <c r="D4337" s="225">
        <f>材料产出!$BR18/(基本属性!$A18/(基本属性!$AS18*1/3600))*材料产出!$D18</f>
        <v>0</v>
      </c>
    </row>
    <row r="4338" spans="1:4" ht="16.5" x14ac:dyDescent="0.3">
      <c r="A4338" s="10" t="str">
        <f>基本属性!$B$19&amp;"|"&amp;基本属性!$C$19</f>
        <v>190|9</v>
      </c>
      <c r="B4338" s="10" t="str">
        <f>参数调整!$J$31</f>
        <v>小怪掉落</v>
      </c>
      <c r="C4338" s="8" t="str">
        <f>材料产出!$BR$2</f>
        <v>新增材料6</v>
      </c>
      <c r="D4338" s="225">
        <f>材料产出!$BR19/(基本属性!$A19/(基本属性!$AS19*1/3600))*材料产出!$D19</f>
        <v>0</v>
      </c>
    </row>
    <row r="4339" spans="1:4" ht="16.5" x14ac:dyDescent="0.3">
      <c r="A4339" s="10" t="str">
        <f>基本属性!$B$20&amp;"|"&amp;基本属性!$C$20</f>
        <v>200|10</v>
      </c>
      <c r="B4339" s="10" t="str">
        <f>参数调整!$J$31</f>
        <v>小怪掉落</v>
      </c>
      <c r="C4339" s="8" t="str">
        <f>材料产出!$BR$2</f>
        <v>新增材料6</v>
      </c>
      <c r="D4339" s="225">
        <f>材料产出!$BR20/(基本属性!$A20/(基本属性!$AS20*1/3600))*材料产出!$D20</f>
        <v>0</v>
      </c>
    </row>
    <row r="4340" spans="1:4" ht="16.5" x14ac:dyDescent="0.3">
      <c r="A4340" s="10" t="str">
        <f>基本属性!$B$21&amp;"|"&amp;基本属性!$C$21</f>
        <v>200|11</v>
      </c>
      <c r="B4340" s="10" t="str">
        <f>参数调整!$J$31</f>
        <v>小怪掉落</v>
      </c>
      <c r="C4340" s="8" t="str">
        <f>材料产出!$BR$2</f>
        <v>新增材料6</v>
      </c>
      <c r="D4340" s="225">
        <f>材料产出!$BR21/(基本属性!$A21/(基本属性!$AS21*1/3600))*材料产出!$D21</f>
        <v>0</v>
      </c>
    </row>
    <row r="4341" spans="1:4" ht="16.5" x14ac:dyDescent="0.3">
      <c r="A4341" s="10" t="str">
        <f>基本属性!$B$22&amp;"|"&amp;基本属性!$C$22</f>
        <v>210|12</v>
      </c>
      <c r="B4341" s="10" t="str">
        <f>参数调整!$J$31</f>
        <v>小怪掉落</v>
      </c>
      <c r="C4341" s="8" t="str">
        <f>材料产出!$BR$2</f>
        <v>新增材料6</v>
      </c>
      <c r="D4341" s="225">
        <f>材料产出!$BR22/(基本属性!$A22/(基本属性!$AS22*1/3600))*材料产出!$D22</f>
        <v>0</v>
      </c>
    </row>
    <row r="4342" spans="1:4" ht="16.5" x14ac:dyDescent="0.3">
      <c r="A4342" s="10" t="str">
        <f>基本属性!$B$23&amp;"|"&amp;基本属性!$C$23</f>
        <v>210|13</v>
      </c>
      <c r="B4342" s="10" t="str">
        <f>参数调整!$J$31</f>
        <v>小怪掉落</v>
      </c>
      <c r="C4342" s="8" t="str">
        <f>材料产出!$BR$2</f>
        <v>新增材料6</v>
      </c>
      <c r="D4342" s="225">
        <f>材料产出!$BR23/(基本属性!$A23/(基本属性!$AS23*1/3600))*材料产出!$D23</f>
        <v>0</v>
      </c>
    </row>
    <row r="4343" spans="1:4" ht="16.5" x14ac:dyDescent="0.3">
      <c r="A4343" s="10" t="str">
        <f>基本属性!$B$24&amp;"|"&amp;基本属性!$C$24</f>
        <v>220|14</v>
      </c>
      <c r="B4343" s="10" t="str">
        <f>参数调整!$J$31</f>
        <v>小怪掉落</v>
      </c>
      <c r="C4343" s="8" t="str">
        <f>材料产出!$BR$2</f>
        <v>新增材料6</v>
      </c>
      <c r="D4343" s="225">
        <f>材料产出!$BR24/(基本属性!$A24/(基本属性!$AS24*1/3600))*材料产出!$D24</f>
        <v>0</v>
      </c>
    </row>
    <row r="4344" spans="1:4" ht="16.5" x14ac:dyDescent="0.3">
      <c r="A4344" s="10" t="str">
        <f>基本属性!$B$25&amp;"|"&amp;基本属性!$C$25</f>
        <v>220|15</v>
      </c>
      <c r="B4344" s="10" t="str">
        <f>参数调整!$J$31</f>
        <v>小怪掉落</v>
      </c>
      <c r="C4344" s="8" t="str">
        <f>材料产出!$BR$2</f>
        <v>新增材料6</v>
      </c>
      <c r="D4344" s="225">
        <f>材料产出!$BR25/(基本属性!$A25/(基本属性!$AS25*1/3600))*材料产出!$D25</f>
        <v>0</v>
      </c>
    </row>
    <row r="4345" spans="1:4" ht="16.5" x14ac:dyDescent="0.3">
      <c r="A4345" s="10" t="str">
        <f>基本属性!$B$26&amp;"|"&amp;基本属性!$C$26</f>
        <v>230|16</v>
      </c>
      <c r="B4345" s="10" t="str">
        <f>参数调整!$J$31</f>
        <v>小怪掉落</v>
      </c>
      <c r="C4345" s="8" t="str">
        <f>材料产出!$BR$2</f>
        <v>新增材料6</v>
      </c>
      <c r="D4345" s="225">
        <f>材料产出!$BR26/(基本属性!$A26/(基本属性!$AS26*1/3600))*材料产出!$D26</f>
        <v>0</v>
      </c>
    </row>
    <row r="4346" spans="1:4" ht="16.5" x14ac:dyDescent="0.3">
      <c r="A4346" s="10" t="str">
        <f>基本属性!$B$27&amp;"|"&amp;基本属性!$C$27</f>
        <v>230|17</v>
      </c>
      <c r="B4346" s="10" t="str">
        <f>参数调整!$J$31</f>
        <v>小怪掉落</v>
      </c>
      <c r="C4346" s="8" t="str">
        <f>材料产出!$BR$2</f>
        <v>新增材料6</v>
      </c>
      <c r="D4346" s="225">
        <f>材料产出!$BR27/(基本属性!$A27/(基本属性!$AS27*1/3600))*材料产出!$D27</f>
        <v>0</v>
      </c>
    </row>
    <row r="4347" spans="1:4" ht="16.5" x14ac:dyDescent="0.3">
      <c r="A4347" s="10" t="str">
        <f>基本属性!$B$28&amp;"|"&amp;基本属性!$C$28</f>
        <v>240|18</v>
      </c>
      <c r="B4347" s="10" t="str">
        <f>参数调整!$J$31</f>
        <v>小怪掉落</v>
      </c>
      <c r="C4347" s="8" t="str">
        <f>材料产出!$BR$2</f>
        <v>新增材料6</v>
      </c>
      <c r="D4347" s="225">
        <f>材料产出!$BR28/(基本属性!$A28/(基本属性!$AS28*1/3600))*材料产出!$D28</f>
        <v>0</v>
      </c>
    </row>
    <row r="4348" spans="1:4" ht="16.5" x14ac:dyDescent="0.3">
      <c r="A4348" s="10" t="str">
        <f>基本属性!$B$29&amp;"|"&amp;基本属性!$C$29</f>
        <v>240|19</v>
      </c>
      <c r="B4348" s="10" t="str">
        <f>参数调整!$J$31</f>
        <v>小怪掉落</v>
      </c>
      <c r="C4348" s="8" t="str">
        <f>材料产出!$BR$2</f>
        <v>新增材料6</v>
      </c>
      <c r="D4348" s="225">
        <f>材料产出!$BR29/(基本属性!$A29/(基本属性!$AS29*1/3600))*材料产出!$D29</f>
        <v>0</v>
      </c>
    </row>
    <row r="4349" spans="1:4" ht="16.5" x14ac:dyDescent="0.3">
      <c r="A4349" s="10" t="str">
        <f>基本属性!$B$30&amp;"|"&amp;基本属性!$C$30</f>
        <v>250|20</v>
      </c>
      <c r="B4349" s="10" t="str">
        <f>参数调整!$J$31</f>
        <v>小怪掉落</v>
      </c>
      <c r="C4349" s="8" t="str">
        <f>材料产出!$BR$2</f>
        <v>新增材料6</v>
      </c>
      <c r="D4349" s="225">
        <f>材料产出!$BR30/(基本属性!$A30/(基本属性!$AS30*1/3600))*材料产出!$D30</f>
        <v>0</v>
      </c>
    </row>
    <row r="4350" spans="1:4" ht="16.5" x14ac:dyDescent="0.3">
      <c r="A4350" s="10" t="str">
        <f>基本属性!$B$4&amp;"|"&amp;基本属性!$C$4</f>
        <v>35|0</v>
      </c>
      <c r="B4350" s="10" t="str">
        <f>参数调整!$J$31</f>
        <v>小怪掉落</v>
      </c>
      <c r="C4350" s="8" t="str">
        <f>材料产出!$BP$2</f>
        <v>新增材料5</v>
      </c>
      <c r="D4350" s="225">
        <f>材料产出!$BP4/(基本属性!$A4/(基本属性!$AS4*1/3600))*材料产出!$D4</f>
        <v>0</v>
      </c>
    </row>
    <row r="4351" spans="1:4" ht="16.5" x14ac:dyDescent="0.3">
      <c r="A4351" s="10" t="str">
        <f>基本属性!$B$5&amp;"|"&amp;基本属性!$C$5</f>
        <v>40|0</v>
      </c>
      <c r="B4351" s="10" t="str">
        <f>参数调整!$J$31</f>
        <v>小怪掉落</v>
      </c>
      <c r="C4351" s="8" t="str">
        <f>材料产出!$BP$2</f>
        <v>新增材料5</v>
      </c>
      <c r="D4351" s="225">
        <f>材料产出!$BP5/(基本属性!$A5/(基本属性!$AS5*1/3600))*材料产出!$D5</f>
        <v>0</v>
      </c>
    </row>
    <row r="4352" spans="1:4" ht="16.5" x14ac:dyDescent="0.3">
      <c r="A4352" s="10" t="str">
        <f>基本属性!$B$6&amp;"|"&amp;基本属性!$C$6</f>
        <v>50|0</v>
      </c>
      <c r="B4352" s="10" t="str">
        <f>参数调整!$J$31</f>
        <v>小怪掉落</v>
      </c>
      <c r="C4352" s="8" t="str">
        <f>材料产出!$BP$2</f>
        <v>新增材料5</v>
      </c>
      <c r="D4352" s="225">
        <f>材料产出!$BP6/(基本属性!$A6/(基本属性!$AS6*1/3600))*材料产出!$D6</f>
        <v>0</v>
      </c>
    </row>
    <row r="4353" spans="1:4" ht="16.5" x14ac:dyDescent="0.3">
      <c r="A4353" s="10" t="str">
        <f>基本属性!$B$7&amp;"|"&amp;基本属性!$C$7</f>
        <v>60|0</v>
      </c>
      <c r="B4353" s="10" t="str">
        <f>参数调整!$J$31</f>
        <v>小怪掉落</v>
      </c>
      <c r="C4353" s="8" t="str">
        <f>材料产出!$BP$2</f>
        <v>新增材料5</v>
      </c>
      <c r="D4353" s="225">
        <f>材料产出!$BP7/(基本属性!$A7/(基本属性!$AS7*1/3600))*材料产出!$D7</f>
        <v>0</v>
      </c>
    </row>
    <row r="4354" spans="1:4" ht="16.5" x14ac:dyDescent="0.3">
      <c r="A4354" s="10" t="str">
        <f>基本属性!$B$8&amp;"|"&amp;基本属性!$C$8</f>
        <v>65|0</v>
      </c>
      <c r="B4354" s="10" t="str">
        <f>参数调整!$J$31</f>
        <v>小怪掉落</v>
      </c>
      <c r="C4354" s="8" t="str">
        <f>材料产出!$BP$2</f>
        <v>新增材料5</v>
      </c>
      <c r="D4354" s="225">
        <f>材料产出!$BP8/(基本属性!$A8/(基本属性!$AS8*1/3600))*材料产出!$D8</f>
        <v>0</v>
      </c>
    </row>
    <row r="4355" spans="1:4" ht="16.5" x14ac:dyDescent="0.3">
      <c r="A4355" s="10" t="str">
        <f>基本属性!$B$9&amp;"|"&amp;基本属性!$C$9</f>
        <v>70|0</v>
      </c>
      <c r="B4355" s="10" t="str">
        <f>参数调整!$J$31</f>
        <v>小怪掉落</v>
      </c>
      <c r="C4355" s="8" t="str">
        <f>材料产出!$BP$2</f>
        <v>新增材料5</v>
      </c>
      <c r="D4355" s="225">
        <f>材料产出!$BP9/(基本属性!$A9/(基本属性!$AS9*1/3600))*材料产出!$D9</f>
        <v>0</v>
      </c>
    </row>
    <row r="4356" spans="1:4" ht="16.5" x14ac:dyDescent="0.3">
      <c r="A4356" s="10" t="str">
        <f>基本属性!$B$10&amp;"|"&amp;基本属性!$C$10</f>
        <v>75|0</v>
      </c>
      <c r="B4356" s="10" t="str">
        <f>参数调整!$J$31</f>
        <v>小怪掉落</v>
      </c>
      <c r="C4356" s="8" t="str">
        <f>材料产出!$BP$2</f>
        <v>新增材料5</v>
      </c>
      <c r="D4356" s="225">
        <f>材料产出!$BP10/(基本属性!$A10/(基本属性!$AS10*1/3600))*材料产出!$D10</f>
        <v>0</v>
      </c>
    </row>
    <row r="4357" spans="1:4" ht="16.5" x14ac:dyDescent="0.3">
      <c r="A4357" s="10" t="str">
        <f>基本属性!$B$11&amp;"|"&amp;基本属性!$C$11</f>
        <v>80|1</v>
      </c>
      <c r="B4357" s="10" t="str">
        <f>参数调整!$J$31</f>
        <v>小怪掉落</v>
      </c>
      <c r="C4357" s="8" t="str">
        <f>材料产出!$BP$2</f>
        <v>新增材料5</v>
      </c>
      <c r="D4357" s="225">
        <f>材料产出!$BP11/(基本属性!$A11/(基本属性!$AS11*1/3600))*材料产出!$D11</f>
        <v>0</v>
      </c>
    </row>
    <row r="4358" spans="1:4" ht="16.5" x14ac:dyDescent="0.3">
      <c r="A4358" s="10" t="str">
        <f>基本属性!$B$12&amp;"|"&amp;基本属性!$C$12</f>
        <v>90|2</v>
      </c>
      <c r="B4358" s="10" t="str">
        <f>参数调整!$J$31</f>
        <v>小怪掉落</v>
      </c>
      <c r="C4358" s="8" t="str">
        <f>材料产出!$BP$2</f>
        <v>新增材料5</v>
      </c>
      <c r="D4358" s="225">
        <f>材料产出!$BP12/(基本属性!$A12/(基本属性!$AS12*1/3600))*材料产出!$D12</f>
        <v>0</v>
      </c>
    </row>
    <row r="4359" spans="1:4" ht="16.5" x14ac:dyDescent="0.3">
      <c r="A4359" s="10" t="str">
        <f>基本属性!$B$13&amp;"|"&amp;基本属性!$C$13</f>
        <v>100|3</v>
      </c>
      <c r="B4359" s="10" t="str">
        <f>参数调整!$J$31</f>
        <v>小怪掉落</v>
      </c>
      <c r="C4359" s="8" t="str">
        <f>材料产出!$BP$2</f>
        <v>新增材料5</v>
      </c>
      <c r="D4359" s="225">
        <f>材料产出!$BP13/(基本属性!$A13/(基本属性!$AS13*1/3600))*材料产出!$D13</f>
        <v>0</v>
      </c>
    </row>
    <row r="4360" spans="1:4" ht="16.5" x14ac:dyDescent="0.3">
      <c r="A4360" s="10" t="str">
        <f>基本属性!$B$14&amp;"|"&amp;基本属性!$C$14</f>
        <v>105|4</v>
      </c>
      <c r="B4360" s="10" t="str">
        <f>参数调整!$J$31</f>
        <v>小怪掉落</v>
      </c>
      <c r="C4360" s="8" t="str">
        <f>材料产出!$BP$2</f>
        <v>新增材料5</v>
      </c>
      <c r="D4360" s="225">
        <f>材料产出!$BP14/(基本属性!$A14/(基本属性!$AS14*1/3600))*材料产出!$D14</f>
        <v>0</v>
      </c>
    </row>
    <row r="4361" spans="1:4" ht="16.5" x14ac:dyDescent="0.3">
      <c r="A4361" s="10" t="str">
        <f>基本属性!$B$15&amp;"|"&amp;基本属性!$C$15</f>
        <v>110|5</v>
      </c>
      <c r="B4361" s="10" t="str">
        <f>参数调整!$J$31</f>
        <v>小怪掉落</v>
      </c>
      <c r="C4361" s="8" t="str">
        <f>材料产出!$BP$2</f>
        <v>新增材料5</v>
      </c>
      <c r="D4361" s="225">
        <f>材料产出!$BP15/(基本属性!$A15/(基本属性!$AS15*1/3600))*材料产出!$D15</f>
        <v>0</v>
      </c>
    </row>
    <row r="4362" spans="1:4" ht="16.5" x14ac:dyDescent="0.3">
      <c r="A4362" s="10" t="str">
        <f>基本属性!$B$16&amp;"|"&amp;基本属性!$C$16</f>
        <v>120|6</v>
      </c>
      <c r="B4362" s="10" t="str">
        <f>参数调整!$J$31</f>
        <v>小怪掉落</v>
      </c>
      <c r="C4362" s="8" t="str">
        <f>材料产出!$BP$2</f>
        <v>新增材料5</v>
      </c>
      <c r="D4362" s="225">
        <f>材料产出!$BP16/(基本属性!$A16/(基本属性!$AS16*1/3600))*材料产出!$D16</f>
        <v>0</v>
      </c>
    </row>
    <row r="4363" spans="1:4" ht="16.5" x14ac:dyDescent="0.3">
      <c r="A4363" s="10" t="str">
        <f>基本属性!$B$17&amp;"|"&amp;基本属性!$C$17</f>
        <v>135|7</v>
      </c>
      <c r="B4363" s="10" t="str">
        <f>参数调整!$J$31</f>
        <v>小怪掉落</v>
      </c>
      <c r="C4363" s="8" t="str">
        <f>材料产出!$BP$2</f>
        <v>新增材料5</v>
      </c>
      <c r="D4363" s="225">
        <f>材料产出!$BP17/(基本属性!$A17/(基本属性!$AS17*1/3600))*材料产出!$D17</f>
        <v>0</v>
      </c>
    </row>
    <row r="4364" spans="1:4" ht="16.5" x14ac:dyDescent="0.3">
      <c r="A4364" s="10" t="str">
        <f>基本属性!$B$18&amp;"|"&amp;基本属性!$C$18</f>
        <v>155|8</v>
      </c>
      <c r="B4364" s="10" t="str">
        <f>参数调整!$J$31</f>
        <v>小怪掉落</v>
      </c>
      <c r="C4364" s="8" t="str">
        <f>材料产出!$BP$2</f>
        <v>新增材料5</v>
      </c>
      <c r="D4364" s="225">
        <f>材料产出!$BP18/(基本属性!$A18/(基本属性!$AS18*1/3600))*材料产出!$D18</f>
        <v>0</v>
      </c>
    </row>
    <row r="4365" spans="1:4" ht="16.5" x14ac:dyDescent="0.3">
      <c r="A4365" s="10" t="str">
        <f>基本属性!$B$19&amp;"|"&amp;基本属性!$C$19</f>
        <v>190|9</v>
      </c>
      <c r="B4365" s="10" t="str">
        <f>参数调整!$J$31</f>
        <v>小怪掉落</v>
      </c>
      <c r="C4365" s="8" t="str">
        <f>材料产出!$BP$2</f>
        <v>新增材料5</v>
      </c>
      <c r="D4365" s="225">
        <f>材料产出!$BP19/(基本属性!$A19/(基本属性!$AS19*1/3600))*材料产出!$D19</f>
        <v>0</v>
      </c>
    </row>
    <row r="4366" spans="1:4" ht="16.5" x14ac:dyDescent="0.3">
      <c r="A4366" s="10" t="str">
        <f>基本属性!$B$20&amp;"|"&amp;基本属性!$C$20</f>
        <v>200|10</v>
      </c>
      <c r="B4366" s="10" t="str">
        <f>参数调整!$J$31</f>
        <v>小怪掉落</v>
      </c>
      <c r="C4366" s="8" t="str">
        <f>材料产出!$BP$2</f>
        <v>新增材料5</v>
      </c>
      <c r="D4366" s="225">
        <f>材料产出!$BP20/(基本属性!$A20/(基本属性!$AS20*1/3600))*材料产出!$D20</f>
        <v>0</v>
      </c>
    </row>
    <row r="4367" spans="1:4" ht="16.5" x14ac:dyDescent="0.3">
      <c r="A4367" s="10" t="str">
        <f>基本属性!$B$21&amp;"|"&amp;基本属性!$C$21</f>
        <v>200|11</v>
      </c>
      <c r="B4367" s="10" t="str">
        <f>参数调整!$J$31</f>
        <v>小怪掉落</v>
      </c>
      <c r="C4367" s="8" t="str">
        <f>材料产出!$BP$2</f>
        <v>新增材料5</v>
      </c>
      <c r="D4367" s="225">
        <f>材料产出!$BP21/(基本属性!$A21/(基本属性!$AS21*1/3600))*材料产出!$D21</f>
        <v>0</v>
      </c>
    </row>
    <row r="4368" spans="1:4" ht="16.5" x14ac:dyDescent="0.3">
      <c r="A4368" s="10" t="str">
        <f>基本属性!$B$22&amp;"|"&amp;基本属性!$C$22</f>
        <v>210|12</v>
      </c>
      <c r="B4368" s="10" t="str">
        <f>参数调整!$J$31</f>
        <v>小怪掉落</v>
      </c>
      <c r="C4368" s="8" t="str">
        <f>材料产出!$BP$2</f>
        <v>新增材料5</v>
      </c>
      <c r="D4368" s="225">
        <f>材料产出!$BP22/(基本属性!$A22/(基本属性!$AS22*1/3600))*材料产出!$D22</f>
        <v>0</v>
      </c>
    </row>
    <row r="4369" spans="1:4" ht="16.5" x14ac:dyDescent="0.3">
      <c r="A4369" s="10" t="str">
        <f>基本属性!$B$23&amp;"|"&amp;基本属性!$C$23</f>
        <v>210|13</v>
      </c>
      <c r="B4369" s="10" t="str">
        <f>参数调整!$J$31</f>
        <v>小怪掉落</v>
      </c>
      <c r="C4369" s="8" t="str">
        <f>材料产出!$BP$2</f>
        <v>新增材料5</v>
      </c>
      <c r="D4369" s="225">
        <f>材料产出!$BP23/(基本属性!$A23/(基本属性!$AS23*1/3600))*材料产出!$D23</f>
        <v>0</v>
      </c>
    </row>
    <row r="4370" spans="1:4" ht="16.5" x14ac:dyDescent="0.3">
      <c r="A4370" s="10" t="str">
        <f>基本属性!$B$24&amp;"|"&amp;基本属性!$C$24</f>
        <v>220|14</v>
      </c>
      <c r="B4370" s="10" t="str">
        <f>参数调整!$J$31</f>
        <v>小怪掉落</v>
      </c>
      <c r="C4370" s="8" t="str">
        <f>材料产出!$BP$2</f>
        <v>新增材料5</v>
      </c>
      <c r="D4370" s="225">
        <f>材料产出!$BP24/(基本属性!$A24/(基本属性!$AS24*1/3600))*材料产出!$D24</f>
        <v>0</v>
      </c>
    </row>
    <row r="4371" spans="1:4" ht="16.5" x14ac:dyDescent="0.3">
      <c r="A4371" s="10" t="str">
        <f>基本属性!$B$25&amp;"|"&amp;基本属性!$C$25</f>
        <v>220|15</v>
      </c>
      <c r="B4371" s="10" t="str">
        <f>参数调整!$J$31</f>
        <v>小怪掉落</v>
      </c>
      <c r="C4371" s="8" t="str">
        <f>材料产出!$BP$2</f>
        <v>新增材料5</v>
      </c>
      <c r="D4371" s="225">
        <f>材料产出!$BP25/(基本属性!$A25/(基本属性!$AS25*1/3600))*材料产出!$D25</f>
        <v>0</v>
      </c>
    </row>
    <row r="4372" spans="1:4" ht="16.5" x14ac:dyDescent="0.3">
      <c r="A4372" s="10" t="str">
        <f>基本属性!$B$26&amp;"|"&amp;基本属性!$C$26</f>
        <v>230|16</v>
      </c>
      <c r="B4372" s="10" t="str">
        <f>参数调整!$J$31</f>
        <v>小怪掉落</v>
      </c>
      <c r="C4372" s="8" t="str">
        <f>材料产出!$BP$2</f>
        <v>新增材料5</v>
      </c>
      <c r="D4372" s="225">
        <f>材料产出!$BP26/(基本属性!$A26/(基本属性!$AS26*1/3600))*材料产出!$D26</f>
        <v>0</v>
      </c>
    </row>
    <row r="4373" spans="1:4" ht="16.5" x14ac:dyDescent="0.3">
      <c r="A4373" s="10" t="str">
        <f>基本属性!$B$27&amp;"|"&amp;基本属性!$C$27</f>
        <v>230|17</v>
      </c>
      <c r="B4373" s="10" t="str">
        <f>参数调整!$J$31</f>
        <v>小怪掉落</v>
      </c>
      <c r="C4373" s="8" t="str">
        <f>材料产出!$BP$2</f>
        <v>新增材料5</v>
      </c>
      <c r="D4373" s="225">
        <f>材料产出!$BP27/(基本属性!$A27/(基本属性!$AS27*1/3600))*材料产出!$D27</f>
        <v>0</v>
      </c>
    </row>
    <row r="4374" spans="1:4" ht="16.5" x14ac:dyDescent="0.3">
      <c r="A4374" s="10" t="str">
        <f>基本属性!$B$28&amp;"|"&amp;基本属性!$C$28</f>
        <v>240|18</v>
      </c>
      <c r="B4374" s="10" t="str">
        <f>参数调整!$J$31</f>
        <v>小怪掉落</v>
      </c>
      <c r="C4374" s="8" t="str">
        <f>材料产出!$BP$2</f>
        <v>新增材料5</v>
      </c>
      <c r="D4374" s="225">
        <f>材料产出!$BP28/(基本属性!$A28/(基本属性!$AS28*1/3600))*材料产出!$D28</f>
        <v>0</v>
      </c>
    </row>
    <row r="4375" spans="1:4" ht="16.5" x14ac:dyDescent="0.3">
      <c r="A4375" s="10" t="str">
        <f>基本属性!$B$29&amp;"|"&amp;基本属性!$C$29</f>
        <v>240|19</v>
      </c>
      <c r="B4375" s="10" t="str">
        <f>参数调整!$J$31</f>
        <v>小怪掉落</v>
      </c>
      <c r="C4375" s="8" t="str">
        <f>材料产出!$BP$2</f>
        <v>新增材料5</v>
      </c>
      <c r="D4375" s="225">
        <f>材料产出!$BP29/(基本属性!$A29/(基本属性!$AS29*1/3600))*材料产出!$D29</f>
        <v>0</v>
      </c>
    </row>
    <row r="4376" spans="1:4" ht="16.5" x14ac:dyDescent="0.3">
      <c r="A4376" s="10" t="str">
        <f>基本属性!$B$30&amp;"|"&amp;基本属性!$C$30</f>
        <v>250|20</v>
      </c>
      <c r="B4376" s="10" t="str">
        <f>参数调整!$J$31</f>
        <v>小怪掉落</v>
      </c>
      <c r="C4376" s="8" t="str">
        <f>材料产出!$BP$2</f>
        <v>新增材料5</v>
      </c>
      <c r="D4376" s="225">
        <f>材料产出!$BP30/(基本属性!$A30/(基本属性!$AS30*1/3600))*材料产出!$D30</f>
        <v>0</v>
      </c>
    </row>
    <row r="4377" spans="1:4" ht="16.5" x14ac:dyDescent="0.3">
      <c r="A4377" s="10" t="str">
        <f>基本属性!$B$4&amp;"|"&amp;基本属性!$C$4</f>
        <v>35|0</v>
      </c>
      <c r="B4377" s="10" t="str">
        <f>参数调整!$J$31</f>
        <v>小怪掉落</v>
      </c>
      <c r="C4377" s="8" t="str">
        <f>材料产出!$BN$2</f>
        <v>新增材料4</v>
      </c>
      <c r="D4377" s="225">
        <f>材料产出!$BN4/(基本属性!$A4/(基本属性!$AS4*1/3600))*材料产出!$D4</f>
        <v>0</v>
      </c>
    </row>
    <row r="4378" spans="1:4" ht="16.5" x14ac:dyDescent="0.3">
      <c r="A4378" s="10" t="str">
        <f>基本属性!$B$5&amp;"|"&amp;基本属性!$C$5</f>
        <v>40|0</v>
      </c>
      <c r="B4378" s="10" t="str">
        <f>参数调整!$J$31</f>
        <v>小怪掉落</v>
      </c>
      <c r="C4378" s="8" t="str">
        <f>材料产出!$BN$2</f>
        <v>新增材料4</v>
      </c>
      <c r="D4378" s="225">
        <f>材料产出!$BN5/(基本属性!$A5/(基本属性!$AS5*1/3600))*材料产出!$D5</f>
        <v>0</v>
      </c>
    </row>
    <row r="4379" spans="1:4" ht="16.5" x14ac:dyDescent="0.3">
      <c r="A4379" s="10" t="str">
        <f>基本属性!$B$6&amp;"|"&amp;基本属性!$C$6</f>
        <v>50|0</v>
      </c>
      <c r="B4379" s="10" t="str">
        <f>参数调整!$J$31</f>
        <v>小怪掉落</v>
      </c>
      <c r="C4379" s="8" t="str">
        <f>材料产出!$BN$2</f>
        <v>新增材料4</v>
      </c>
      <c r="D4379" s="225">
        <f>材料产出!$BN6/(基本属性!$A6/(基本属性!$AS6*1/3600))*材料产出!$D6</f>
        <v>0</v>
      </c>
    </row>
    <row r="4380" spans="1:4" ht="16.5" x14ac:dyDescent="0.3">
      <c r="A4380" s="10" t="str">
        <f>基本属性!$B$7&amp;"|"&amp;基本属性!$C$7</f>
        <v>60|0</v>
      </c>
      <c r="B4380" s="10" t="str">
        <f>参数调整!$J$31</f>
        <v>小怪掉落</v>
      </c>
      <c r="C4380" s="8" t="str">
        <f>材料产出!$BN$2</f>
        <v>新增材料4</v>
      </c>
      <c r="D4380" s="225">
        <f>材料产出!$BN7/(基本属性!$A7/(基本属性!$AS7*1/3600))*材料产出!$D7</f>
        <v>0</v>
      </c>
    </row>
    <row r="4381" spans="1:4" ht="16.5" x14ac:dyDescent="0.3">
      <c r="A4381" s="10" t="str">
        <f>基本属性!$B$8&amp;"|"&amp;基本属性!$C$8</f>
        <v>65|0</v>
      </c>
      <c r="B4381" s="10" t="str">
        <f>参数调整!$J$31</f>
        <v>小怪掉落</v>
      </c>
      <c r="C4381" s="8" t="str">
        <f>材料产出!$BN$2</f>
        <v>新增材料4</v>
      </c>
      <c r="D4381" s="225">
        <f>材料产出!$BN8/(基本属性!$A8/(基本属性!$AS8*1/3600))*材料产出!$D8</f>
        <v>0</v>
      </c>
    </row>
    <row r="4382" spans="1:4" ht="16.5" x14ac:dyDescent="0.3">
      <c r="A4382" s="10" t="str">
        <f>基本属性!$B$9&amp;"|"&amp;基本属性!$C$9</f>
        <v>70|0</v>
      </c>
      <c r="B4382" s="10" t="str">
        <f>参数调整!$J$31</f>
        <v>小怪掉落</v>
      </c>
      <c r="C4382" s="8" t="str">
        <f>材料产出!$BN$2</f>
        <v>新增材料4</v>
      </c>
      <c r="D4382" s="225">
        <f>材料产出!$BN9/(基本属性!$A9/(基本属性!$AS9*1/3600))*材料产出!$D9</f>
        <v>0</v>
      </c>
    </row>
    <row r="4383" spans="1:4" ht="16.5" x14ac:dyDescent="0.3">
      <c r="A4383" s="10" t="str">
        <f>基本属性!$B$10&amp;"|"&amp;基本属性!$C$10</f>
        <v>75|0</v>
      </c>
      <c r="B4383" s="10" t="str">
        <f>参数调整!$J$31</f>
        <v>小怪掉落</v>
      </c>
      <c r="C4383" s="8" t="str">
        <f>材料产出!$BN$2</f>
        <v>新增材料4</v>
      </c>
      <c r="D4383" s="225">
        <f>材料产出!$BN10/(基本属性!$A10/(基本属性!$AS10*1/3600))*材料产出!$D10</f>
        <v>0</v>
      </c>
    </row>
    <row r="4384" spans="1:4" ht="16.5" x14ac:dyDescent="0.3">
      <c r="A4384" s="10" t="str">
        <f>基本属性!$B$11&amp;"|"&amp;基本属性!$C$11</f>
        <v>80|1</v>
      </c>
      <c r="B4384" s="10" t="str">
        <f>参数调整!$J$31</f>
        <v>小怪掉落</v>
      </c>
      <c r="C4384" s="8" t="str">
        <f>材料产出!$BN$2</f>
        <v>新增材料4</v>
      </c>
      <c r="D4384" s="225">
        <f>材料产出!$BN11/(基本属性!$A11/(基本属性!$AS11*1/3600))*材料产出!$D11</f>
        <v>0</v>
      </c>
    </row>
    <row r="4385" spans="1:4" ht="16.5" x14ac:dyDescent="0.3">
      <c r="A4385" s="10" t="str">
        <f>基本属性!$B$12&amp;"|"&amp;基本属性!$C$12</f>
        <v>90|2</v>
      </c>
      <c r="B4385" s="10" t="str">
        <f>参数调整!$J$31</f>
        <v>小怪掉落</v>
      </c>
      <c r="C4385" s="8" t="str">
        <f>材料产出!$BN$2</f>
        <v>新增材料4</v>
      </c>
      <c r="D4385" s="225">
        <f>材料产出!$BN12/(基本属性!$A12/(基本属性!$AS12*1/3600))*材料产出!$D12</f>
        <v>0</v>
      </c>
    </row>
    <row r="4386" spans="1:4" ht="16.5" x14ac:dyDescent="0.3">
      <c r="A4386" s="10" t="str">
        <f>基本属性!$B$13&amp;"|"&amp;基本属性!$C$13</f>
        <v>100|3</v>
      </c>
      <c r="B4386" s="10" t="str">
        <f>参数调整!$J$31</f>
        <v>小怪掉落</v>
      </c>
      <c r="C4386" s="8" t="str">
        <f>材料产出!$BN$2</f>
        <v>新增材料4</v>
      </c>
      <c r="D4386" s="225">
        <f>材料产出!$BN13/(基本属性!$A13/(基本属性!$AS13*1/3600))*材料产出!$D13</f>
        <v>0</v>
      </c>
    </row>
    <row r="4387" spans="1:4" ht="16.5" x14ac:dyDescent="0.3">
      <c r="A4387" s="10" t="str">
        <f>基本属性!$B$14&amp;"|"&amp;基本属性!$C$14</f>
        <v>105|4</v>
      </c>
      <c r="B4387" s="10" t="str">
        <f>参数调整!$J$31</f>
        <v>小怪掉落</v>
      </c>
      <c r="C4387" s="8" t="str">
        <f>材料产出!$BN$2</f>
        <v>新增材料4</v>
      </c>
      <c r="D4387" s="225">
        <f>材料产出!$BN14/(基本属性!$A14/(基本属性!$AS14*1/3600))*材料产出!$D14</f>
        <v>0</v>
      </c>
    </row>
    <row r="4388" spans="1:4" ht="16.5" x14ac:dyDescent="0.3">
      <c r="A4388" s="10" t="str">
        <f>基本属性!$B$15&amp;"|"&amp;基本属性!$C$15</f>
        <v>110|5</v>
      </c>
      <c r="B4388" s="10" t="str">
        <f>参数调整!$J$31</f>
        <v>小怪掉落</v>
      </c>
      <c r="C4388" s="8" t="str">
        <f>材料产出!$BN$2</f>
        <v>新增材料4</v>
      </c>
      <c r="D4388" s="225">
        <f>材料产出!$BN15/(基本属性!$A15/(基本属性!$AS15*1/3600))*材料产出!$D15</f>
        <v>0</v>
      </c>
    </row>
    <row r="4389" spans="1:4" ht="16.5" x14ac:dyDescent="0.3">
      <c r="A4389" s="10" t="str">
        <f>基本属性!$B$16&amp;"|"&amp;基本属性!$C$16</f>
        <v>120|6</v>
      </c>
      <c r="B4389" s="10" t="str">
        <f>参数调整!$J$31</f>
        <v>小怪掉落</v>
      </c>
      <c r="C4389" s="8" t="str">
        <f>材料产出!$BN$2</f>
        <v>新增材料4</v>
      </c>
      <c r="D4389" s="225">
        <f>材料产出!$BN16/(基本属性!$A16/(基本属性!$AS16*1/3600))*材料产出!$D16</f>
        <v>0</v>
      </c>
    </row>
    <row r="4390" spans="1:4" ht="16.5" x14ac:dyDescent="0.3">
      <c r="A4390" s="10" t="str">
        <f>基本属性!$B$17&amp;"|"&amp;基本属性!$C$17</f>
        <v>135|7</v>
      </c>
      <c r="B4390" s="10" t="str">
        <f>参数调整!$J$31</f>
        <v>小怪掉落</v>
      </c>
      <c r="C4390" s="8" t="str">
        <f>材料产出!$BN$2</f>
        <v>新增材料4</v>
      </c>
      <c r="D4390" s="225">
        <f>材料产出!$BN17/(基本属性!$A17/(基本属性!$AS17*1/3600))*材料产出!$D17</f>
        <v>0</v>
      </c>
    </row>
    <row r="4391" spans="1:4" ht="16.5" x14ac:dyDescent="0.3">
      <c r="A4391" s="10" t="str">
        <f>基本属性!$B$18&amp;"|"&amp;基本属性!$C$18</f>
        <v>155|8</v>
      </c>
      <c r="B4391" s="10" t="str">
        <f>参数调整!$J$31</f>
        <v>小怪掉落</v>
      </c>
      <c r="C4391" s="8" t="str">
        <f>材料产出!$BN$2</f>
        <v>新增材料4</v>
      </c>
      <c r="D4391" s="225">
        <f>材料产出!$BN18/(基本属性!$A18/(基本属性!$AS18*1/3600))*材料产出!$D18</f>
        <v>0</v>
      </c>
    </row>
    <row r="4392" spans="1:4" ht="16.5" x14ac:dyDescent="0.3">
      <c r="A4392" s="10" t="str">
        <f>基本属性!$B$19&amp;"|"&amp;基本属性!$C$19</f>
        <v>190|9</v>
      </c>
      <c r="B4392" s="10" t="str">
        <f>参数调整!$J$31</f>
        <v>小怪掉落</v>
      </c>
      <c r="C4392" s="8" t="str">
        <f>材料产出!$BN$2</f>
        <v>新增材料4</v>
      </c>
      <c r="D4392" s="225">
        <f>材料产出!$BN19/(基本属性!$A19/(基本属性!$AS19*1/3600))*材料产出!$D19</f>
        <v>0</v>
      </c>
    </row>
    <row r="4393" spans="1:4" ht="16.5" x14ac:dyDescent="0.3">
      <c r="A4393" s="10" t="str">
        <f>基本属性!$B$20&amp;"|"&amp;基本属性!$C$20</f>
        <v>200|10</v>
      </c>
      <c r="B4393" s="10" t="str">
        <f>参数调整!$J$31</f>
        <v>小怪掉落</v>
      </c>
      <c r="C4393" s="8" t="str">
        <f>材料产出!$BN$2</f>
        <v>新增材料4</v>
      </c>
      <c r="D4393" s="225">
        <f>材料产出!$BN20/(基本属性!$A20/(基本属性!$AS20*1/3600))*材料产出!$D20</f>
        <v>0</v>
      </c>
    </row>
    <row r="4394" spans="1:4" ht="16.5" x14ac:dyDescent="0.3">
      <c r="A4394" s="10" t="str">
        <f>基本属性!$B$21&amp;"|"&amp;基本属性!$C$21</f>
        <v>200|11</v>
      </c>
      <c r="B4394" s="10" t="str">
        <f>参数调整!$J$31</f>
        <v>小怪掉落</v>
      </c>
      <c r="C4394" s="8" t="str">
        <f>材料产出!$BN$2</f>
        <v>新增材料4</v>
      </c>
      <c r="D4394" s="225">
        <f>材料产出!$BN21/(基本属性!$A21/(基本属性!$AS21*1/3600))*材料产出!$D21</f>
        <v>0</v>
      </c>
    </row>
    <row r="4395" spans="1:4" ht="16.5" x14ac:dyDescent="0.3">
      <c r="A4395" s="10" t="str">
        <f>基本属性!$B$22&amp;"|"&amp;基本属性!$C$22</f>
        <v>210|12</v>
      </c>
      <c r="B4395" s="10" t="str">
        <f>参数调整!$J$31</f>
        <v>小怪掉落</v>
      </c>
      <c r="C4395" s="8" t="str">
        <f>材料产出!$BN$2</f>
        <v>新增材料4</v>
      </c>
      <c r="D4395" s="225">
        <f>材料产出!$BN22/(基本属性!$A22/(基本属性!$AS22*1/3600))*材料产出!$D22</f>
        <v>0</v>
      </c>
    </row>
    <row r="4396" spans="1:4" ht="16.5" x14ac:dyDescent="0.3">
      <c r="A4396" s="10" t="str">
        <f>基本属性!$B$23&amp;"|"&amp;基本属性!$C$23</f>
        <v>210|13</v>
      </c>
      <c r="B4396" s="10" t="str">
        <f>参数调整!$J$31</f>
        <v>小怪掉落</v>
      </c>
      <c r="C4396" s="8" t="str">
        <f>材料产出!$BN$2</f>
        <v>新增材料4</v>
      </c>
      <c r="D4396" s="225">
        <f>材料产出!$BN23/(基本属性!$A23/(基本属性!$AS23*1/3600))*材料产出!$D23</f>
        <v>0</v>
      </c>
    </row>
    <row r="4397" spans="1:4" ht="16.5" x14ac:dyDescent="0.3">
      <c r="A4397" s="10" t="str">
        <f>基本属性!$B$24&amp;"|"&amp;基本属性!$C$24</f>
        <v>220|14</v>
      </c>
      <c r="B4397" s="10" t="str">
        <f>参数调整!$J$31</f>
        <v>小怪掉落</v>
      </c>
      <c r="C4397" s="8" t="str">
        <f>材料产出!$BN$2</f>
        <v>新增材料4</v>
      </c>
      <c r="D4397" s="225">
        <f>材料产出!$BN24/(基本属性!$A24/(基本属性!$AS24*1/3600))*材料产出!$D24</f>
        <v>0</v>
      </c>
    </row>
    <row r="4398" spans="1:4" ht="16.5" x14ac:dyDescent="0.3">
      <c r="A4398" s="10" t="str">
        <f>基本属性!$B$25&amp;"|"&amp;基本属性!$C$25</f>
        <v>220|15</v>
      </c>
      <c r="B4398" s="10" t="str">
        <f>参数调整!$J$31</f>
        <v>小怪掉落</v>
      </c>
      <c r="C4398" s="8" t="str">
        <f>材料产出!$BN$2</f>
        <v>新增材料4</v>
      </c>
      <c r="D4398" s="225">
        <f>材料产出!$BN25/(基本属性!$A25/(基本属性!$AS25*1/3600))*材料产出!$D25</f>
        <v>0</v>
      </c>
    </row>
    <row r="4399" spans="1:4" ht="16.5" x14ac:dyDescent="0.3">
      <c r="A4399" s="10" t="str">
        <f>基本属性!$B$26&amp;"|"&amp;基本属性!$C$26</f>
        <v>230|16</v>
      </c>
      <c r="B4399" s="10" t="str">
        <f>参数调整!$J$31</f>
        <v>小怪掉落</v>
      </c>
      <c r="C4399" s="8" t="str">
        <f>材料产出!$BN$2</f>
        <v>新增材料4</v>
      </c>
      <c r="D4399" s="225">
        <f>材料产出!$BN26/(基本属性!$A26/(基本属性!$AS26*1/3600))*材料产出!$D26</f>
        <v>0</v>
      </c>
    </row>
    <row r="4400" spans="1:4" ht="16.5" x14ac:dyDescent="0.3">
      <c r="A4400" s="10" t="str">
        <f>基本属性!$B$27&amp;"|"&amp;基本属性!$C$27</f>
        <v>230|17</v>
      </c>
      <c r="B4400" s="10" t="str">
        <f>参数调整!$J$31</f>
        <v>小怪掉落</v>
      </c>
      <c r="C4400" s="8" t="str">
        <f>材料产出!$BN$2</f>
        <v>新增材料4</v>
      </c>
      <c r="D4400" s="225">
        <f>材料产出!$BN27/(基本属性!$A27/(基本属性!$AS27*1/3600))*材料产出!$D27</f>
        <v>0</v>
      </c>
    </row>
    <row r="4401" spans="1:4" ht="16.5" x14ac:dyDescent="0.3">
      <c r="A4401" s="10" t="str">
        <f>基本属性!$B$28&amp;"|"&amp;基本属性!$C$28</f>
        <v>240|18</v>
      </c>
      <c r="B4401" s="10" t="str">
        <f>参数调整!$J$31</f>
        <v>小怪掉落</v>
      </c>
      <c r="C4401" s="8" t="str">
        <f>材料产出!$BN$2</f>
        <v>新增材料4</v>
      </c>
      <c r="D4401" s="225">
        <f>材料产出!$BN28/(基本属性!$A28/(基本属性!$AS28*1/3600))*材料产出!$D28</f>
        <v>0</v>
      </c>
    </row>
    <row r="4402" spans="1:4" ht="16.5" x14ac:dyDescent="0.3">
      <c r="A4402" s="10" t="str">
        <f>基本属性!$B$29&amp;"|"&amp;基本属性!$C$29</f>
        <v>240|19</v>
      </c>
      <c r="B4402" s="10" t="str">
        <f>参数调整!$J$31</f>
        <v>小怪掉落</v>
      </c>
      <c r="C4402" s="8" t="str">
        <f>材料产出!$BN$2</f>
        <v>新增材料4</v>
      </c>
      <c r="D4402" s="225">
        <f>材料产出!$BN29/(基本属性!$A29/(基本属性!$AS29*1/3600))*材料产出!$D29</f>
        <v>0</v>
      </c>
    </row>
    <row r="4403" spans="1:4" ht="16.5" x14ac:dyDescent="0.3">
      <c r="A4403" s="10" t="str">
        <f>基本属性!$B$30&amp;"|"&amp;基本属性!$C$30</f>
        <v>250|20</v>
      </c>
      <c r="B4403" s="10" t="str">
        <f>参数调整!$J$31</f>
        <v>小怪掉落</v>
      </c>
      <c r="C4403" s="8" t="str">
        <f>材料产出!$BN$2</f>
        <v>新增材料4</v>
      </c>
      <c r="D4403" s="225">
        <f>材料产出!$BN30/(基本属性!$A30/(基本属性!$AS30*1/3600))*材料产出!$D30</f>
        <v>0</v>
      </c>
    </row>
    <row r="4404" spans="1:4" ht="16.5" x14ac:dyDescent="0.3">
      <c r="A4404" s="10" t="str">
        <f>基本属性!$B$4&amp;"|"&amp;基本属性!$C$4</f>
        <v>35|0</v>
      </c>
      <c r="B4404" s="10" t="str">
        <f>参数调整!$J$31</f>
        <v>小怪掉落</v>
      </c>
      <c r="C4404" s="8" t="str">
        <f>材料产出!$BL$2</f>
        <v>新增材料3</v>
      </c>
      <c r="D4404" s="225">
        <f>材料产出!$BL4/(基本属性!$A4/(基本属性!$AS4*1/3600))*材料产出!$D4</f>
        <v>0</v>
      </c>
    </row>
    <row r="4405" spans="1:4" ht="16.5" x14ac:dyDescent="0.3">
      <c r="A4405" s="10" t="str">
        <f>基本属性!$B$5&amp;"|"&amp;基本属性!$C$5</f>
        <v>40|0</v>
      </c>
      <c r="B4405" s="10" t="str">
        <f>参数调整!$J$31</f>
        <v>小怪掉落</v>
      </c>
      <c r="C4405" s="8" t="str">
        <f>材料产出!$BL$2</f>
        <v>新增材料3</v>
      </c>
      <c r="D4405" s="225">
        <f>材料产出!$BL5/(基本属性!$A5/(基本属性!$AS5*1/3600))*材料产出!$D5</f>
        <v>0</v>
      </c>
    </row>
    <row r="4406" spans="1:4" ht="16.5" x14ac:dyDescent="0.3">
      <c r="A4406" s="10" t="str">
        <f>基本属性!$B$6&amp;"|"&amp;基本属性!$C$6</f>
        <v>50|0</v>
      </c>
      <c r="B4406" s="10" t="str">
        <f>参数调整!$J$31</f>
        <v>小怪掉落</v>
      </c>
      <c r="C4406" s="8" t="str">
        <f>材料产出!$BL$2</f>
        <v>新增材料3</v>
      </c>
      <c r="D4406" s="225">
        <f>材料产出!$BL6/(基本属性!$A6/(基本属性!$AS6*1/3600))*材料产出!$D6</f>
        <v>0</v>
      </c>
    </row>
    <row r="4407" spans="1:4" ht="16.5" x14ac:dyDescent="0.3">
      <c r="A4407" s="10" t="str">
        <f>基本属性!$B$7&amp;"|"&amp;基本属性!$C$7</f>
        <v>60|0</v>
      </c>
      <c r="B4407" s="10" t="str">
        <f>参数调整!$J$31</f>
        <v>小怪掉落</v>
      </c>
      <c r="C4407" s="8" t="str">
        <f>材料产出!$BL$2</f>
        <v>新增材料3</v>
      </c>
      <c r="D4407" s="225">
        <f>材料产出!$BL7/(基本属性!$A7/(基本属性!$AS7*1/3600))*材料产出!$D7</f>
        <v>0</v>
      </c>
    </row>
    <row r="4408" spans="1:4" ht="16.5" x14ac:dyDescent="0.3">
      <c r="A4408" s="10" t="str">
        <f>基本属性!$B$8&amp;"|"&amp;基本属性!$C$8</f>
        <v>65|0</v>
      </c>
      <c r="B4408" s="10" t="str">
        <f>参数调整!$J$31</f>
        <v>小怪掉落</v>
      </c>
      <c r="C4408" s="8" t="str">
        <f>材料产出!$BL$2</f>
        <v>新增材料3</v>
      </c>
      <c r="D4408" s="225">
        <f>材料产出!$BL8/(基本属性!$A8/(基本属性!$AS8*1/3600))*材料产出!$D8</f>
        <v>0</v>
      </c>
    </row>
    <row r="4409" spans="1:4" ht="16.5" x14ac:dyDescent="0.3">
      <c r="A4409" s="10" t="str">
        <f>基本属性!$B$9&amp;"|"&amp;基本属性!$C$9</f>
        <v>70|0</v>
      </c>
      <c r="B4409" s="10" t="str">
        <f>参数调整!$J$31</f>
        <v>小怪掉落</v>
      </c>
      <c r="C4409" s="8" t="str">
        <f>材料产出!$BL$2</f>
        <v>新增材料3</v>
      </c>
      <c r="D4409" s="225">
        <f>材料产出!$BL9/(基本属性!$A9/(基本属性!$AS9*1/3600))*材料产出!$D9</f>
        <v>0</v>
      </c>
    </row>
    <row r="4410" spans="1:4" ht="16.5" x14ac:dyDescent="0.3">
      <c r="A4410" s="10" t="str">
        <f>基本属性!$B$10&amp;"|"&amp;基本属性!$C$10</f>
        <v>75|0</v>
      </c>
      <c r="B4410" s="10" t="str">
        <f>参数调整!$J$31</f>
        <v>小怪掉落</v>
      </c>
      <c r="C4410" s="8" t="str">
        <f>材料产出!$BL$2</f>
        <v>新增材料3</v>
      </c>
      <c r="D4410" s="225">
        <f>材料产出!$BL10/(基本属性!$A10/(基本属性!$AS10*1/3600))*材料产出!$D10</f>
        <v>0</v>
      </c>
    </row>
    <row r="4411" spans="1:4" ht="16.5" x14ac:dyDescent="0.3">
      <c r="A4411" s="10" t="str">
        <f>基本属性!$B$11&amp;"|"&amp;基本属性!$C$11</f>
        <v>80|1</v>
      </c>
      <c r="B4411" s="10" t="str">
        <f>参数调整!$J$31</f>
        <v>小怪掉落</v>
      </c>
      <c r="C4411" s="8" t="str">
        <f>材料产出!$BL$2</f>
        <v>新增材料3</v>
      </c>
      <c r="D4411" s="225">
        <f>材料产出!$BL11/(基本属性!$A11/(基本属性!$AS11*1/3600))*材料产出!$D11</f>
        <v>0</v>
      </c>
    </row>
    <row r="4412" spans="1:4" ht="16.5" x14ac:dyDescent="0.3">
      <c r="A4412" s="10" t="str">
        <f>基本属性!$B$12&amp;"|"&amp;基本属性!$C$12</f>
        <v>90|2</v>
      </c>
      <c r="B4412" s="10" t="str">
        <f>参数调整!$J$31</f>
        <v>小怪掉落</v>
      </c>
      <c r="C4412" s="8" t="str">
        <f>材料产出!$BL$2</f>
        <v>新增材料3</v>
      </c>
      <c r="D4412" s="225">
        <f>材料产出!$BL12/(基本属性!$A12/(基本属性!$AS12*1/3600))*材料产出!$D12</f>
        <v>0</v>
      </c>
    </row>
    <row r="4413" spans="1:4" ht="16.5" x14ac:dyDescent="0.3">
      <c r="A4413" s="10" t="str">
        <f>基本属性!$B$13&amp;"|"&amp;基本属性!$C$13</f>
        <v>100|3</v>
      </c>
      <c r="B4413" s="10" t="str">
        <f>参数调整!$J$31</f>
        <v>小怪掉落</v>
      </c>
      <c r="C4413" s="8" t="str">
        <f>材料产出!$BL$2</f>
        <v>新增材料3</v>
      </c>
      <c r="D4413" s="225">
        <f>材料产出!$BL13/(基本属性!$A13/(基本属性!$AS13*1/3600))*材料产出!$D13</f>
        <v>0</v>
      </c>
    </row>
    <row r="4414" spans="1:4" ht="16.5" x14ac:dyDescent="0.3">
      <c r="A4414" s="10" t="str">
        <f>基本属性!$B$14&amp;"|"&amp;基本属性!$C$14</f>
        <v>105|4</v>
      </c>
      <c r="B4414" s="10" t="str">
        <f>参数调整!$J$31</f>
        <v>小怪掉落</v>
      </c>
      <c r="C4414" s="8" t="str">
        <f>材料产出!$BL$2</f>
        <v>新增材料3</v>
      </c>
      <c r="D4414" s="225">
        <f>材料产出!$BL14/(基本属性!$A14/(基本属性!$AS14*1/3600))*材料产出!$D14</f>
        <v>0</v>
      </c>
    </row>
    <row r="4415" spans="1:4" ht="16.5" x14ac:dyDescent="0.3">
      <c r="A4415" s="10" t="str">
        <f>基本属性!$B$15&amp;"|"&amp;基本属性!$C$15</f>
        <v>110|5</v>
      </c>
      <c r="B4415" s="10" t="str">
        <f>参数调整!$J$31</f>
        <v>小怪掉落</v>
      </c>
      <c r="C4415" s="8" t="str">
        <f>材料产出!$BL$2</f>
        <v>新增材料3</v>
      </c>
      <c r="D4415" s="225">
        <f>材料产出!$BL15/(基本属性!$A15/(基本属性!$AS15*1/3600))*材料产出!$D15</f>
        <v>0</v>
      </c>
    </row>
    <row r="4416" spans="1:4" ht="16.5" x14ac:dyDescent="0.3">
      <c r="A4416" s="10" t="str">
        <f>基本属性!$B$16&amp;"|"&amp;基本属性!$C$16</f>
        <v>120|6</v>
      </c>
      <c r="B4416" s="10" t="str">
        <f>参数调整!$J$31</f>
        <v>小怪掉落</v>
      </c>
      <c r="C4416" s="8" t="str">
        <f>材料产出!$BL$2</f>
        <v>新增材料3</v>
      </c>
      <c r="D4416" s="225">
        <f>材料产出!$BL16/(基本属性!$A16/(基本属性!$AS16*1/3600))*材料产出!$D16</f>
        <v>0</v>
      </c>
    </row>
    <row r="4417" spans="1:4" ht="16.5" x14ac:dyDescent="0.3">
      <c r="A4417" s="10" t="str">
        <f>基本属性!$B$17&amp;"|"&amp;基本属性!$C$17</f>
        <v>135|7</v>
      </c>
      <c r="B4417" s="10" t="str">
        <f>参数调整!$J$31</f>
        <v>小怪掉落</v>
      </c>
      <c r="C4417" s="8" t="str">
        <f>材料产出!$BL$2</f>
        <v>新增材料3</v>
      </c>
      <c r="D4417" s="225">
        <f>材料产出!$BL17/(基本属性!$A17/(基本属性!$AS17*1/3600))*材料产出!$D17</f>
        <v>0</v>
      </c>
    </row>
    <row r="4418" spans="1:4" ht="16.5" x14ac:dyDescent="0.3">
      <c r="A4418" s="10" t="str">
        <f>基本属性!$B$18&amp;"|"&amp;基本属性!$C$18</f>
        <v>155|8</v>
      </c>
      <c r="B4418" s="10" t="str">
        <f>参数调整!$J$31</f>
        <v>小怪掉落</v>
      </c>
      <c r="C4418" s="8" t="str">
        <f>材料产出!$BL$2</f>
        <v>新增材料3</v>
      </c>
      <c r="D4418" s="225">
        <f>材料产出!$BL18/(基本属性!$A18/(基本属性!$AS18*1/3600))*材料产出!$D18</f>
        <v>0</v>
      </c>
    </row>
    <row r="4419" spans="1:4" ht="16.5" x14ac:dyDescent="0.3">
      <c r="A4419" s="10" t="str">
        <f>基本属性!$B$19&amp;"|"&amp;基本属性!$C$19</f>
        <v>190|9</v>
      </c>
      <c r="B4419" s="10" t="str">
        <f>参数调整!$J$31</f>
        <v>小怪掉落</v>
      </c>
      <c r="C4419" s="8" t="str">
        <f>材料产出!$BL$2</f>
        <v>新增材料3</v>
      </c>
      <c r="D4419" s="225">
        <f>材料产出!$BL19/(基本属性!$A19/(基本属性!$AS19*1/3600))*材料产出!$D19</f>
        <v>0</v>
      </c>
    </row>
    <row r="4420" spans="1:4" ht="16.5" x14ac:dyDescent="0.3">
      <c r="A4420" s="10" t="str">
        <f>基本属性!$B$20&amp;"|"&amp;基本属性!$C$20</f>
        <v>200|10</v>
      </c>
      <c r="B4420" s="10" t="str">
        <f>参数调整!$J$31</f>
        <v>小怪掉落</v>
      </c>
      <c r="C4420" s="8" t="str">
        <f>材料产出!$BL$2</f>
        <v>新增材料3</v>
      </c>
      <c r="D4420" s="225">
        <f>材料产出!$BL20/(基本属性!$A20/(基本属性!$AS20*1/3600))*材料产出!$D20</f>
        <v>0</v>
      </c>
    </row>
    <row r="4421" spans="1:4" ht="16.5" x14ac:dyDescent="0.3">
      <c r="A4421" s="10" t="str">
        <f>基本属性!$B$21&amp;"|"&amp;基本属性!$C$21</f>
        <v>200|11</v>
      </c>
      <c r="B4421" s="10" t="str">
        <f>参数调整!$J$31</f>
        <v>小怪掉落</v>
      </c>
      <c r="C4421" s="8" t="str">
        <f>材料产出!$BL$2</f>
        <v>新增材料3</v>
      </c>
      <c r="D4421" s="225">
        <f>材料产出!$BL21/(基本属性!$A21/(基本属性!$AS21*1/3600))*材料产出!$D21</f>
        <v>0</v>
      </c>
    </row>
    <row r="4422" spans="1:4" ht="16.5" x14ac:dyDescent="0.3">
      <c r="A4422" s="10" t="str">
        <f>基本属性!$B$22&amp;"|"&amp;基本属性!$C$22</f>
        <v>210|12</v>
      </c>
      <c r="B4422" s="10" t="str">
        <f>参数调整!$J$31</f>
        <v>小怪掉落</v>
      </c>
      <c r="C4422" s="8" t="str">
        <f>材料产出!$BL$2</f>
        <v>新增材料3</v>
      </c>
      <c r="D4422" s="225">
        <f>材料产出!$BL22/(基本属性!$A22/(基本属性!$AS22*1/3600))*材料产出!$D22</f>
        <v>0</v>
      </c>
    </row>
    <row r="4423" spans="1:4" ht="16.5" x14ac:dyDescent="0.3">
      <c r="A4423" s="10" t="str">
        <f>基本属性!$B$23&amp;"|"&amp;基本属性!$C$23</f>
        <v>210|13</v>
      </c>
      <c r="B4423" s="10" t="str">
        <f>参数调整!$J$31</f>
        <v>小怪掉落</v>
      </c>
      <c r="C4423" s="8" t="str">
        <f>材料产出!$BL$2</f>
        <v>新增材料3</v>
      </c>
      <c r="D4423" s="225">
        <f>材料产出!$BL23/(基本属性!$A23/(基本属性!$AS23*1/3600))*材料产出!$D23</f>
        <v>0</v>
      </c>
    </row>
    <row r="4424" spans="1:4" ht="16.5" x14ac:dyDescent="0.3">
      <c r="A4424" s="10" t="str">
        <f>基本属性!$B$24&amp;"|"&amp;基本属性!$C$24</f>
        <v>220|14</v>
      </c>
      <c r="B4424" s="10" t="str">
        <f>参数调整!$J$31</f>
        <v>小怪掉落</v>
      </c>
      <c r="C4424" s="8" t="str">
        <f>材料产出!$BL$2</f>
        <v>新增材料3</v>
      </c>
      <c r="D4424" s="225">
        <f>材料产出!$BL24/(基本属性!$A24/(基本属性!$AS24*1/3600))*材料产出!$D24</f>
        <v>0</v>
      </c>
    </row>
    <row r="4425" spans="1:4" ht="16.5" x14ac:dyDescent="0.3">
      <c r="A4425" s="10" t="str">
        <f>基本属性!$B$25&amp;"|"&amp;基本属性!$C$25</f>
        <v>220|15</v>
      </c>
      <c r="B4425" s="10" t="str">
        <f>参数调整!$J$31</f>
        <v>小怪掉落</v>
      </c>
      <c r="C4425" s="8" t="str">
        <f>材料产出!$BL$2</f>
        <v>新增材料3</v>
      </c>
      <c r="D4425" s="225">
        <f>材料产出!$BL25/(基本属性!$A25/(基本属性!$AS25*1/3600))*材料产出!$D25</f>
        <v>0</v>
      </c>
    </row>
    <row r="4426" spans="1:4" ht="16.5" x14ac:dyDescent="0.3">
      <c r="A4426" s="10" t="str">
        <f>基本属性!$B$26&amp;"|"&amp;基本属性!$C$26</f>
        <v>230|16</v>
      </c>
      <c r="B4426" s="10" t="str">
        <f>参数调整!$J$31</f>
        <v>小怪掉落</v>
      </c>
      <c r="C4426" s="8" t="str">
        <f>材料产出!$BL$2</f>
        <v>新增材料3</v>
      </c>
      <c r="D4426" s="225">
        <f>材料产出!$BL26/(基本属性!$A26/(基本属性!$AS26*1/3600))*材料产出!$D26</f>
        <v>0</v>
      </c>
    </row>
    <row r="4427" spans="1:4" ht="16.5" x14ac:dyDescent="0.3">
      <c r="A4427" s="10" t="str">
        <f>基本属性!$B$27&amp;"|"&amp;基本属性!$C$27</f>
        <v>230|17</v>
      </c>
      <c r="B4427" s="10" t="str">
        <f>参数调整!$J$31</f>
        <v>小怪掉落</v>
      </c>
      <c r="C4427" s="8" t="str">
        <f>材料产出!$BL$2</f>
        <v>新增材料3</v>
      </c>
      <c r="D4427" s="225">
        <f>材料产出!$BL27/(基本属性!$A27/(基本属性!$AS27*1/3600))*材料产出!$D27</f>
        <v>0</v>
      </c>
    </row>
    <row r="4428" spans="1:4" ht="16.5" x14ac:dyDescent="0.3">
      <c r="A4428" s="10" t="str">
        <f>基本属性!$B$28&amp;"|"&amp;基本属性!$C$28</f>
        <v>240|18</v>
      </c>
      <c r="B4428" s="10" t="str">
        <f>参数调整!$J$31</f>
        <v>小怪掉落</v>
      </c>
      <c r="C4428" s="8" t="str">
        <f>材料产出!$BL$2</f>
        <v>新增材料3</v>
      </c>
      <c r="D4428" s="225">
        <f>材料产出!$BL28/(基本属性!$A28/(基本属性!$AS28*1/3600))*材料产出!$D28</f>
        <v>0</v>
      </c>
    </row>
    <row r="4429" spans="1:4" ht="16.5" x14ac:dyDescent="0.3">
      <c r="A4429" s="10" t="str">
        <f>基本属性!$B$29&amp;"|"&amp;基本属性!$C$29</f>
        <v>240|19</v>
      </c>
      <c r="B4429" s="10" t="str">
        <f>参数调整!$J$31</f>
        <v>小怪掉落</v>
      </c>
      <c r="C4429" s="8" t="str">
        <f>材料产出!$BL$2</f>
        <v>新增材料3</v>
      </c>
      <c r="D4429" s="225">
        <f>材料产出!$BL29/(基本属性!$A29/(基本属性!$AS29*1/3600))*材料产出!$D29</f>
        <v>0</v>
      </c>
    </row>
    <row r="4430" spans="1:4" ht="16.5" x14ac:dyDescent="0.3">
      <c r="A4430" s="10" t="str">
        <f>基本属性!$B$30&amp;"|"&amp;基本属性!$C$30</f>
        <v>250|20</v>
      </c>
      <c r="B4430" s="10" t="str">
        <f>参数调整!$J$31</f>
        <v>小怪掉落</v>
      </c>
      <c r="C4430" s="8" t="str">
        <f>材料产出!$BL$2</f>
        <v>新增材料3</v>
      </c>
      <c r="D4430" s="225">
        <f>材料产出!$BL30/(基本属性!$A30/(基本属性!$AS30*1/3600))*材料产出!$D30</f>
        <v>0</v>
      </c>
    </row>
    <row r="4431" spans="1:4" ht="16.5" x14ac:dyDescent="0.3">
      <c r="A4431" s="10" t="str">
        <f>基本属性!$B$4&amp;"|"&amp;基本属性!$C$4</f>
        <v>35|0</v>
      </c>
      <c r="B4431" s="10" t="str">
        <f>参数调整!$J$31</f>
        <v>小怪掉落</v>
      </c>
      <c r="C4431" s="8" t="str">
        <f>材料产出!$BJ$2</f>
        <v>新增材料2</v>
      </c>
      <c r="D4431" s="225">
        <f>材料产出!$BJ4/(基本属性!$A4/(基本属性!$AS4*1/3600))*材料产出!$D4</f>
        <v>0</v>
      </c>
    </row>
    <row r="4432" spans="1:4" ht="16.5" x14ac:dyDescent="0.3">
      <c r="A4432" s="10" t="str">
        <f>基本属性!$B$5&amp;"|"&amp;基本属性!$C$5</f>
        <v>40|0</v>
      </c>
      <c r="B4432" s="10" t="str">
        <f>参数调整!$J$31</f>
        <v>小怪掉落</v>
      </c>
      <c r="C4432" s="8" t="str">
        <f>材料产出!$BJ$2</f>
        <v>新增材料2</v>
      </c>
      <c r="D4432" s="225">
        <f>材料产出!$BJ5/(基本属性!$A5/(基本属性!$AS5*1/3600))*材料产出!$D5</f>
        <v>0</v>
      </c>
    </row>
    <row r="4433" spans="1:4" ht="16.5" x14ac:dyDescent="0.3">
      <c r="A4433" s="10" t="str">
        <f>基本属性!$B$6&amp;"|"&amp;基本属性!$C$6</f>
        <v>50|0</v>
      </c>
      <c r="B4433" s="10" t="str">
        <f>参数调整!$J$31</f>
        <v>小怪掉落</v>
      </c>
      <c r="C4433" s="8" t="str">
        <f>材料产出!$BJ$2</f>
        <v>新增材料2</v>
      </c>
      <c r="D4433" s="225">
        <f>材料产出!$BJ6/(基本属性!$A6/(基本属性!$AS6*1/3600))*材料产出!$D6</f>
        <v>0</v>
      </c>
    </row>
    <row r="4434" spans="1:4" ht="16.5" x14ac:dyDescent="0.3">
      <c r="A4434" s="10" t="str">
        <f>基本属性!$B$7&amp;"|"&amp;基本属性!$C$7</f>
        <v>60|0</v>
      </c>
      <c r="B4434" s="10" t="str">
        <f>参数调整!$J$31</f>
        <v>小怪掉落</v>
      </c>
      <c r="C4434" s="8" t="str">
        <f>材料产出!$BJ$2</f>
        <v>新增材料2</v>
      </c>
      <c r="D4434" s="225">
        <f>材料产出!$BJ7/(基本属性!$A7/(基本属性!$AS7*1/3600))*材料产出!$D7</f>
        <v>0</v>
      </c>
    </row>
    <row r="4435" spans="1:4" ht="16.5" x14ac:dyDescent="0.3">
      <c r="A4435" s="10" t="str">
        <f>基本属性!$B$8&amp;"|"&amp;基本属性!$C$8</f>
        <v>65|0</v>
      </c>
      <c r="B4435" s="10" t="str">
        <f>参数调整!$J$31</f>
        <v>小怪掉落</v>
      </c>
      <c r="C4435" s="8" t="str">
        <f>材料产出!$BJ$2</f>
        <v>新增材料2</v>
      </c>
      <c r="D4435" s="225">
        <f>材料产出!$BJ8/(基本属性!$A8/(基本属性!$AS8*1/3600))*材料产出!$D8</f>
        <v>0</v>
      </c>
    </row>
    <row r="4436" spans="1:4" ht="16.5" x14ac:dyDescent="0.3">
      <c r="A4436" s="10" t="str">
        <f>基本属性!$B$9&amp;"|"&amp;基本属性!$C$9</f>
        <v>70|0</v>
      </c>
      <c r="B4436" s="10" t="str">
        <f>参数调整!$J$31</f>
        <v>小怪掉落</v>
      </c>
      <c r="C4436" s="8" t="str">
        <f>材料产出!$BJ$2</f>
        <v>新增材料2</v>
      </c>
      <c r="D4436" s="225">
        <f>材料产出!$BJ9/(基本属性!$A9/(基本属性!$AS9*1/3600))*材料产出!$D9</f>
        <v>0</v>
      </c>
    </row>
    <row r="4437" spans="1:4" ht="16.5" x14ac:dyDescent="0.3">
      <c r="A4437" s="10" t="str">
        <f>基本属性!$B$10&amp;"|"&amp;基本属性!$C$10</f>
        <v>75|0</v>
      </c>
      <c r="B4437" s="10" t="str">
        <f>参数调整!$J$31</f>
        <v>小怪掉落</v>
      </c>
      <c r="C4437" s="8" t="str">
        <f>材料产出!$BJ$2</f>
        <v>新增材料2</v>
      </c>
      <c r="D4437" s="225">
        <f>材料产出!$BJ10/(基本属性!$A10/(基本属性!$AS10*1/3600))*材料产出!$D10</f>
        <v>0</v>
      </c>
    </row>
    <row r="4438" spans="1:4" ht="16.5" x14ac:dyDescent="0.3">
      <c r="A4438" s="10" t="str">
        <f>基本属性!$B$11&amp;"|"&amp;基本属性!$C$11</f>
        <v>80|1</v>
      </c>
      <c r="B4438" s="10" t="str">
        <f>参数调整!$J$31</f>
        <v>小怪掉落</v>
      </c>
      <c r="C4438" s="8" t="str">
        <f>材料产出!$BJ$2</f>
        <v>新增材料2</v>
      </c>
      <c r="D4438" s="225">
        <f>材料产出!$BJ11/(基本属性!$A11/(基本属性!$AS11*1/3600))*材料产出!$D11</f>
        <v>0</v>
      </c>
    </row>
    <row r="4439" spans="1:4" ht="16.5" x14ac:dyDescent="0.3">
      <c r="A4439" s="10" t="str">
        <f>基本属性!$B$12&amp;"|"&amp;基本属性!$C$12</f>
        <v>90|2</v>
      </c>
      <c r="B4439" s="10" t="str">
        <f>参数调整!$J$31</f>
        <v>小怪掉落</v>
      </c>
      <c r="C4439" s="8" t="str">
        <f>材料产出!$BJ$2</f>
        <v>新增材料2</v>
      </c>
      <c r="D4439" s="225">
        <f>材料产出!$BJ12/(基本属性!$A12/(基本属性!$AS12*1/3600))*材料产出!$D12</f>
        <v>0</v>
      </c>
    </row>
    <row r="4440" spans="1:4" ht="16.5" x14ac:dyDescent="0.3">
      <c r="A4440" s="10" t="str">
        <f>基本属性!$B$13&amp;"|"&amp;基本属性!$C$13</f>
        <v>100|3</v>
      </c>
      <c r="B4440" s="10" t="str">
        <f>参数调整!$J$31</f>
        <v>小怪掉落</v>
      </c>
      <c r="C4440" s="8" t="str">
        <f>材料产出!$BJ$2</f>
        <v>新增材料2</v>
      </c>
      <c r="D4440" s="225">
        <f>材料产出!$BJ13/(基本属性!$A13/(基本属性!$AS13*1/3600))*材料产出!$D13</f>
        <v>0</v>
      </c>
    </row>
    <row r="4441" spans="1:4" ht="16.5" x14ac:dyDescent="0.3">
      <c r="A4441" s="10" t="str">
        <f>基本属性!$B$14&amp;"|"&amp;基本属性!$C$14</f>
        <v>105|4</v>
      </c>
      <c r="B4441" s="10" t="str">
        <f>参数调整!$J$31</f>
        <v>小怪掉落</v>
      </c>
      <c r="C4441" s="8" t="str">
        <f>材料产出!$BJ$2</f>
        <v>新增材料2</v>
      </c>
      <c r="D4441" s="225">
        <f>材料产出!$BJ14/(基本属性!$A14/(基本属性!$AS14*1/3600))*材料产出!$D14</f>
        <v>0</v>
      </c>
    </row>
    <row r="4442" spans="1:4" ht="16.5" x14ac:dyDescent="0.3">
      <c r="A4442" s="10" t="str">
        <f>基本属性!$B$15&amp;"|"&amp;基本属性!$C$15</f>
        <v>110|5</v>
      </c>
      <c r="B4442" s="10" t="str">
        <f>参数调整!$J$31</f>
        <v>小怪掉落</v>
      </c>
      <c r="C4442" s="8" t="str">
        <f>材料产出!$BJ$2</f>
        <v>新增材料2</v>
      </c>
      <c r="D4442" s="225">
        <f>材料产出!$BJ15/(基本属性!$A15/(基本属性!$AS15*1/3600))*材料产出!$D15</f>
        <v>0</v>
      </c>
    </row>
    <row r="4443" spans="1:4" ht="16.5" x14ac:dyDescent="0.3">
      <c r="A4443" s="10" t="str">
        <f>基本属性!$B$16&amp;"|"&amp;基本属性!$C$16</f>
        <v>120|6</v>
      </c>
      <c r="B4443" s="10" t="str">
        <f>参数调整!$J$31</f>
        <v>小怪掉落</v>
      </c>
      <c r="C4443" s="8" t="str">
        <f>材料产出!$BJ$2</f>
        <v>新增材料2</v>
      </c>
      <c r="D4443" s="225">
        <f>材料产出!$BJ16/(基本属性!$A16/(基本属性!$AS16*1/3600))*材料产出!$D16</f>
        <v>0</v>
      </c>
    </row>
    <row r="4444" spans="1:4" ht="16.5" x14ac:dyDescent="0.3">
      <c r="A4444" s="10" t="str">
        <f>基本属性!$B$17&amp;"|"&amp;基本属性!$C$17</f>
        <v>135|7</v>
      </c>
      <c r="B4444" s="10" t="str">
        <f>参数调整!$J$31</f>
        <v>小怪掉落</v>
      </c>
      <c r="C4444" s="8" t="str">
        <f>材料产出!$BJ$2</f>
        <v>新增材料2</v>
      </c>
      <c r="D4444" s="225">
        <f>材料产出!$BJ17/(基本属性!$A17/(基本属性!$AS17*1/3600))*材料产出!$D17</f>
        <v>0</v>
      </c>
    </row>
    <row r="4445" spans="1:4" ht="16.5" x14ac:dyDescent="0.3">
      <c r="A4445" s="10" t="str">
        <f>基本属性!$B$18&amp;"|"&amp;基本属性!$C$18</f>
        <v>155|8</v>
      </c>
      <c r="B4445" s="10" t="str">
        <f>参数调整!$J$31</f>
        <v>小怪掉落</v>
      </c>
      <c r="C4445" s="8" t="str">
        <f>材料产出!$BJ$2</f>
        <v>新增材料2</v>
      </c>
      <c r="D4445" s="225">
        <f>材料产出!$BJ18/(基本属性!$A18/(基本属性!$AS18*1/3600))*材料产出!$D18</f>
        <v>0</v>
      </c>
    </row>
    <row r="4446" spans="1:4" ht="16.5" x14ac:dyDescent="0.3">
      <c r="A4446" s="10" t="str">
        <f>基本属性!$B$19&amp;"|"&amp;基本属性!$C$19</f>
        <v>190|9</v>
      </c>
      <c r="B4446" s="10" t="str">
        <f>参数调整!$J$31</f>
        <v>小怪掉落</v>
      </c>
      <c r="C4446" s="8" t="str">
        <f>材料产出!$BJ$2</f>
        <v>新增材料2</v>
      </c>
      <c r="D4446" s="225">
        <f>材料产出!$BJ19/(基本属性!$A19/(基本属性!$AS19*1/3600))*材料产出!$D19</f>
        <v>0</v>
      </c>
    </row>
    <row r="4447" spans="1:4" ht="16.5" x14ac:dyDescent="0.3">
      <c r="A4447" s="10" t="str">
        <f>基本属性!$B$20&amp;"|"&amp;基本属性!$C$20</f>
        <v>200|10</v>
      </c>
      <c r="B4447" s="10" t="str">
        <f>参数调整!$J$31</f>
        <v>小怪掉落</v>
      </c>
      <c r="C4447" s="8" t="str">
        <f>材料产出!$BJ$2</f>
        <v>新增材料2</v>
      </c>
      <c r="D4447" s="225">
        <f>材料产出!$BJ20/(基本属性!$A20/(基本属性!$AS20*1/3600))*材料产出!$D20</f>
        <v>0</v>
      </c>
    </row>
    <row r="4448" spans="1:4" ht="16.5" x14ac:dyDescent="0.3">
      <c r="A4448" s="10" t="str">
        <f>基本属性!$B$21&amp;"|"&amp;基本属性!$C$21</f>
        <v>200|11</v>
      </c>
      <c r="B4448" s="10" t="str">
        <f>参数调整!$J$31</f>
        <v>小怪掉落</v>
      </c>
      <c r="C4448" s="8" t="str">
        <f>材料产出!$BJ$2</f>
        <v>新增材料2</v>
      </c>
      <c r="D4448" s="225">
        <f>材料产出!$BJ21/(基本属性!$A21/(基本属性!$AS21*1/3600))*材料产出!$D21</f>
        <v>0</v>
      </c>
    </row>
    <row r="4449" spans="1:4" ht="16.5" x14ac:dyDescent="0.3">
      <c r="A4449" s="10" t="str">
        <f>基本属性!$B$22&amp;"|"&amp;基本属性!$C$22</f>
        <v>210|12</v>
      </c>
      <c r="B4449" s="10" t="str">
        <f>参数调整!$J$31</f>
        <v>小怪掉落</v>
      </c>
      <c r="C4449" s="8" t="str">
        <f>材料产出!$BJ$2</f>
        <v>新增材料2</v>
      </c>
      <c r="D4449" s="225">
        <f>材料产出!$BJ22/(基本属性!$A22/(基本属性!$AS22*1/3600))*材料产出!$D22</f>
        <v>0</v>
      </c>
    </row>
    <row r="4450" spans="1:4" ht="16.5" x14ac:dyDescent="0.3">
      <c r="A4450" s="10" t="str">
        <f>基本属性!$B$23&amp;"|"&amp;基本属性!$C$23</f>
        <v>210|13</v>
      </c>
      <c r="B4450" s="10" t="str">
        <f>参数调整!$J$31</f>
        <v>小怪掉落</v>
      </c>
      <c r="C4450" s="8" t="str">
        <f>材料产出!$BJ$2</f>
        <v>新增材料2</v>
      </c>
      <c r="D4450" s="225">
        <f>材料产出!$BJ23/(基本属性!$A23/(基本属性!$AS23*1/3600))*材料产出!$D23</f>
        <v>0</v>
      </c>
    </row>
    <row r="4451" spans="1:4" ht="16.5" x14ac:dyDescent="0.3">
      <c r="A4451" s="10" t="str">
        <f>基本属性!$B$24&amp;"|"&amp;基本属性!$C$24</f>
        <v>220|14</v>
      </c>
      <c r="B4451" s="10" t="str">
        <f>参数调整!$J$31</f>
        <v>小怪掉落</v>
      </c>
      <c r="C4451" s="8" t="str">
        <f>材料产出!$BJ$2</f>
        <v>新增材料2</v>
      </c>
      <c r="D4451" s="225">
        <f>材料产出!$BJ24/(基本属性!$A24/(基本属性!$AS24*1/3600))*材料产出!$D24</f>
        <v>0</v>
      </c>
    </row>
    <row r="4452" spans="1:4" ht="16.5" x14ac:dyDescent="0.3">
      <c r="A4452" s="10" t="str">
        <f>基本属性!$B$25&amp;"|"&amp;基本属性!$C$25</f>
        <v>220|15</v>
      </c>
      <c r="B4452" s="10" t="str">
        <f>参数调整!$J$31</f>
        <v>小怪掉落</v>
      </c>
      <c r="C4452" s="8" t="str">
        <f>材料产出!$BJ$2</f>
        <v>新增材料2</v>
      </c>
      <c r="D4452" s="225">
        <f>材料产出!$BJ25/(基本属性!$A25/(基本属性!$AS25*1/3600))*材料产出!$D25</f>
        <v>0</v>
      </c>
    </row>
    <row r="4453" spans="1:4" ht="16.5" x14ac:dyDescent="0.3">
      <c r="A4453" s="10" t="str">
        <f>基本属性!$B$26&amp;"|"&amp;基本属性!$C$26</f>
        <v>230|16</v>
      </c>
      <c r="B4453" s="10" t="str">
        <f>参数调整!$J$31</f>
        <v>小怪掉落</v>
      </c>
      <c r="C4453" s="8" t="str">
        <f>材料产出!$BJ$2</f>
        <v>新增材料2</v>
      </c>
      <c r="D4453" s="225">
        <f>材料产出!$BJ26/(基本属性!$A26/(基本属性!$AS26*1/3600))*材料产出!$D26</f>
        <v>0</v>
      </c>
    </row>
    <row r="4454" spans="1:4" ht="16.5" x14ac:dyDescent="0.3">
      <c r="A4454" s="10" t="str">
        <f>基本属性!$B$27&amp;"|"&amp;基本属性!$C$27</f>
        <v>230|17</v>
      </c>
      <c r="B4454" s="10" t="str">
        <f>参数调整!$J$31</f>
        <v>小怪掉落</v>
      </c>
      <c r="C4454" s="8" t="str">
        <f>材料产出!$BJ$2</f>
        <v>新增材料2</v>
      </c>
      <c r="D4454" s="225">
        <f>材料产出!$BJ27/(基本属性!$A27/(基本属性!$AS27*1/3600))*材料产出!$D27</f>
        <v>0</v>
      </c>
    </row>
    <row r="4455" spans="1:4" ht="16.5" x14ac:dyDescent="0.3">
      <c r="A4455" s="10" t="str">
        <f>基本属性!$B$28&amp;"|"&amp;基本属性!$C$28</f>
        <v>240|18</v>
      </c>
      <c r="B4455" s="10" t="str">
        <f>参数调整!$J$31</f>
        <v>小怪掉落</v>
      </c>
      <c r="C4455" s="8" t="str">
        <f>材料产出!$BJ$2</f>
        <v>新增材料2</v>
      </c>
      <c r="D4455" s="225">
        <f>材料产出!$BJ28/(基本属性!$A28/(基本属性!$AS28*1/3600))*材料产出!$D28</f>
        <v>0</v>
      </c>
    </row>
    <row r="4456" spans="1:4" ht="16.5" x14ac:dyDescent="0.3">
      <c r="A4456" s="10" t="str">
        <f>基本属性!$B$29&amp;"|"&amp;基本属性!$C$29</f>
        <v>240|19</v>
      </c>
      <c r="B4456" s="10" t="str">
        <f>参数调整!$J$31</f>
        <v>小怪掉落</v>
      </c>
      <c r="C4456" s="8" t="str">
        <f>材料产出!$BJ$2</f>
        <v>新增材料2</v>
      </c>
      <c r="D4456" s="225">
        <f>材料产出!$BJ29/(基本属性!$A29/(基本属性!$AS29*1/3600))*材料产出!$D29</f>
        <v>0</v>
      </c>
    </row>
    <row r="4457" spans="1:4" ht="16.5" x14ac:dyDescent="0.3">
      <c r="A4457" s="10" t="str">
        <f>基本属性!$B$30&amp;"|"&amp;基本属性!$C$30</f>
        <v>250|20</v>
      </c>
      <c r="B4457" s="10" t="str">
        <f>参数调整!$J$31</f>
        <v>小怪掉落</v>
      </c>
      <c r="C4457" s="8" t="str">
        <f>材料产出!$BJ$2</f>
        <v>新增材料2</v>
      </c>
      <c r="D4457" s="225">
        <f>材料产出!$BJ30/(基本属性!$A30/(基本属性!$AS30*1/3600))*材料产出!$D30</f>
        <v>0</v>
      </c>
    </row>
    <row r="4458" spans="1:4" ht="16.5" x14ac:dyDescent="0.3">
      <c r="A4458" s="10" t="str">
        <f>基本属性!$B$4&amp;"|"&amp;基本属性!$C$4</f>
        <v>35|0</v>
      </c>
      <c r="B4458" s="10" t="str">
        <f>参数调整!$J$31</f>
        <v>小怪掉落</v>
      </c>
      <c r="C4458" s="8" t="str">
        <f>材料产出!$BH$2</f>
        <v>新增材料1</v>
      </c>
      <c r="D4458" s="225">
        <f>材料产出!$BH4/(基本属性!$A4/(基本属性!$AS4*1/3600))*材料产出!$D4</f>
        <v>0</v>
      </c>
    </row>
    <row r="4459" spans="1:4" ht="16.5" x14ac:dyDescent="0.3">
      <c r="A4459" s="10" t="str">
        <f>基本属性!$B$5&amp;"|"&amp;基本属性!$C$5</f>
        <v>40|0</v>
      </c>
      <c r="B4459" s="10" t="str">
        <f>参数调整!$J$31</f>
        <v>小怪掉落</v>
      </c>
      <c r="C4459" s="8" t="str">
        <f>材料产出!$BH$2</f>
        <v>新增材料1</v>
      </c>
      <c r="D4459" s="225">
        <f>材料产出!$BH5/(基本属性!$A5/(基本属性!$AS5*1/3600))*材料产出!$D5</f>
        <v>0</v>
      </c>
    </row>
    <row r="4460" spans="1:4" ht="16.5" x14ac:dyDescent="0.3">
      <c r="A4460" s="10" t="str">
        <f>基本属性!$B$6&amp;"|"&amp;基本属性!$C$6</f>
        <v>50|0</v>
      </c>
      <c r="B4460" s="10" t="str">
        <f>参数调整!$J$31</f>
        <v>小怪掉落</v>
      </c>
      <c r="C4460" s="8" t="str">
        <f>材料产出!$BH$2</f>
        <v>新增材料1</v>
      </c>
      <c r="D4460" s="225">
        <f>材料产出!$BH6/(基本属性!$A6/(基本属性!$AS6*1/3600))*材料产出!$D6</f>
        <v>0</v>
      </c>
    </row>
    <row r="4461" spans="1:4" ht="16.5" x14ac:dyDescent="0.3">
      <c r="A4461" s="10" t="str">
        <f>基本属性!$B$7&amp;"|"&amp;基本属性!$C$7</f>
        <v>60|0</v>
      </c>
      <c r="B4461" s="10" t="str">
        <f>参数调整!$J$31</f>
        <v>小怪掉落</v>
      </c>
      <c r="C4461" s="8" t="str">
        <f>材料产出!$BH$2</f>
        <v>新增材料1</v>
      </c>
      <c r="D4461" s="225">
        <f>材料产出!$BH7/(基本属性!$A7/(基本属性!$AS7*1/3600))*材料产出!$D7</f>
        <v>0</v>
      </c>
    </row>
    <row r="4462" spans="1:4" ht="16.5" x14ac:dyDescent="0.3">
      <c r="A4462" s="10" t="str">
        <f>基本属性!$B$8&amp;"|"&amp;基本属性!$C$8</f>
        <v>65|0</v>
      </c>
      <c r="B4462" s="10" t="str">
        <f>参数调整!$J$31</f>
        <v>小怪掉落</v>
      </c>
      <c r="C4462" s="8" t="str">
        <f>材料产出!$BH$2</f>
        <v>新增材料1</v>
      </c>
      <c r="D4462" s="225">
        <f>材料产出!$BH8/(基本属性!$A8/(基本属性!$AS8*1/3600))*材料产出!$D8</f>
        <v>0</v>
      </c>
    </row>
    <row r="4463" spans="1:4" ht="16.5" x14ac:dyDescent="0.3">
      <c r="A4463" s="10" t="str">
        <f>基本属性!$B$9&amp;"|"&amp;基本属性!$C$9</f>
        <v>70|0</v>
      </c>
      <c r="B4463" s="10" t="str">
        <f>参数调整!$J$31</f>
        <v>小怪掉落</v>
      </c>
      <c r="C4463" s="8" t="str">
        <f>材料产出!$BH$2</f>
        <v>新增材料1</v>
      </c>
      <c r="D4463" s="225">
        <f>材料产出!$BH9/(基本属性!$A9/(基本属性!$AS9*1/3600))*材料产出!$D9</f>
        <v>0</v>
      </c>
    </row>
    <row r="4464" spans="1:4" ht="16.5" x14ac:dyDescent="0.3">
      <c r="A4464" s="10" t="str">
        <f>基本属性!$B$10&amp;"|"&amp;基本属性!$C$10</f>
        <v>75|0</v>
      </c>
      <c r="B4464" s="10" t="str">
        <f>参数调整!$J$31</f>
        <v>小怪掉落</v>
      </c>
      <c r="C4464" s="8" t="str">
        <f>材料产出!$BH$2</f>
        <v>新增材料1</v>
      </c>
      <c r="D4464" s="225">
        <f>材料产出!$BH10/(基本属性!$A10/(基本属性!$AS10*1/3600))*材料产出!$D10</f>
        <v>0</v>
      </c>
    </row>
    <row r="4465" spans="1:4" ht="16.5" x14ac:dyDescent="0.3">
      <c r="A4465" s="10" t="str">
        <f>基本属性!$B$11&amp;"|"&amp;基本属性!$C$11</f>
        <v>80|1</v>
      </c>
      <c r="B4465" s="10" t="str">
        <f>参数调整!$J$31</f>
        <v>小怪掉落</v>
      </c>
      <c r="C4465" s="8" t="str">
        <f>材料产出!$BH$2</f>
        <v>新增材料1</v>
      </c>
      <c r="D4465" s="225">
        <f>材料产出!$BH11/(基本属性!$A11/(基本属性!$AS11*1/3600))*材料产出!$D11</f>
        <v>0</v>
      </c>
    </row>
    <row r="4466" spans="1:4" ht="16.5" x14ac:dyDescent="0.3">
      <c r="A4466" s="10" t="str">
        <f>基本属性!$B$12&amp;"|"&amp;基本属性!$C$12</f>
        <v>90|2</v>
      </c>
      <c r="B4466" s="10" t="str">
        <f>参数调整!$J$31</f>
        <v>小怪掉落</v>
      </c>
      <c r="C4466" s="8" t="str">
        <f>材料产出!$BH$2</f>
        <v>新增材料1</v>
      </c>
      <c r="D4466" s="225">
        <f>材料产出!$BH12/(基本属性!$A12/(基本属性!$AS12*1/3600))*材料产出!$D12</f>
        <v>0</v>
      </c>
    </row>
    <row r="4467" spans="1:4" ht="16.5" x14ac:dyDescent="0.3">
      <c r="A4467" s="10" t="str">
        <f>基本属性!$B$13&amp;"|"&amp;基本属性!$C$13</f>
        <v>100|3</v>
      </c>
      <c r="B4467" s="10" t="str">
        <f>参数调整!$J$31</f>
        <v>小怪掉落</v>
      </c>
      <c r="C4467" s="8" t="str">
        <f>材料产出!$BH$2</f>
        <v>新增材料1</v>
      </c>
      <c r="D4467" s="225">
        <f>材料产出!$BH13/(基本属性!$A13/(基本属性!$AS13*1/3600))*材料产出!$D13</f>
        <v>0</v>
      </c>
    </row>
    <row r="4468" spans="1:4" ht="16.5" x14ac:dyDescent="0.3">
      <c r="A4468" s="10" t="str">
        <f>基本属性!$B$14&amp;"|"&amp;基本属性!$C$14</f>
        <v>105|4</v>
      </c>
      <c r="B4468" s="10" t="str">
        <f>参数调整!$J$31</f>
        <v>小怪掉落</v>
      </c>
      <c r="C4468" s="8" t="str">
        <f>材料产出!$BH$2</f>
        <v>新增材料1</v>
      </c>
      <c r="D4468" s="225">
        <f>材料产出!$BH14/(基本属性!$A14/(基本属性!$AS14*1/3600))*材料产出!$D14</f>
        <v>0</v>
      </c>
    </row>
    <row r="4469" spans="1:4" ht="16.5" x14ac:dyDescent="0.3">
      <c r="A4469" s="10" t="str">
        <f>基本属性!$B$15&amp;"|"&amp;基本属性!$C$15</f>
        <v>110|5</v>
      </c>
      <c r="B4469" s="10" t="str">
        <f>参数调整!$J$31</f>
        <v>小怪掉落</v>
      </c>
      <c r="C4469" s="8" t="str">
        <f>材料产出!$BH$2</f>
        <v>新增材料1</v>
      </c>
      <c r="D4469" s="225">
        <f>材料产出!$BH15/(基本属性!$A15/(基本属性!$AS15*1/3600))*材料产出!$D15</f>
        <v>0</v>
      </c>
    </row>
    <row r="4470" spans="1:4" ht="16.5" x14ac:dyDescent="0.3">
      <c r="A4470" s="10" t="str">
        <f>基本属性!$B$16&amp;"|"&amp;基本属性!$C$16</f>
        <v>120|6</v>
      </c>
      <c r="B4470" s="10" t="str">
        <f>参数调整!$J$31</f>
        <v>小怪掉落</v>
      </c>
      <c r="C4470" s="8" t="str">
        <f>材料产出!$BH$2</f>
        <v>新增材料1</v>
      </c>
      <c r="D4470" s="225">
        <f>材料产出!$BH16/(基本属性!$A16/(基本属性!$AS16*1/3600))*材料产出!$D16</f>
        <v>0</v>
      </c>
    </row>
    <row r="4471" spans="1:4" ht="16.5" x14ac:dyDescent="0.3">
      <c r="A4471" s="10" t="str">
        <f>基本属性!$B$17&amp;"|"&amp;基本属性!$C$17</f>
        <v>135|7</v>
      </c>
      <c r="B4471" s="10" t="str">
        <f>参数调整!$J$31</f>
        <v>小怪掉落</v>
      </c>
      <c r="C4471" s="8" t="str">
        <f>材料产出!$BH$2</f>
        <v>新增材料1</v>
      </c>
      <c r="D4471" s="225">
        <f>材料产出!$BH17/(基本属性!$A17/(基本属性!$AS17*1/3600))*材料产出!$D17</f>
        <v>0</v>
      </c>
    </row>
    <row r="4472" spans="1:4" ht="16.5" x14ac:dyDescent="0.3">
      <c r="A4472" s="10" t="str">
        <f>基本属性!$B$18&amp;"|"&amp;基本属性!$C$18</f>
        <v>155|8</v>
      </c>
      <c r="B4472" s="10" t="str">
        <f>参数调整!$J$31</f>
        <v>小怪掉落</v>
      </c>
      <c r="C4472" s="8" t="str">
        <f>材料产出!$BH$2</f>
        <v>新增材料1</v>
      </c>
      <c r="D4472" s="225">
        <f>材料产出!$BH18/(基本属性!$A18/(基本属性!$AS18*1/3600))*材料产出!$D18</f>
        <v>0</v>
      </c>
    </row>
    <row r="4473" spans="1:4" ht="16.5" x14ac:dyDescent="0.3">
      <c r="A4473" s="10" t="str">
        <f>基本属性!$B$19&amp;"|"&amp;基本属性!$C$19</f>
        <v>190|9</v>
      </c>
      <c r="B4473" s="10" t="str">
        <f>参数调整!$J$31</f>
        <v>小怪掉落</v>
      </c>
      <c r="C4473" s="8" t="str">
        <f>材料产出!$BH$2</f>
        <v>新增材料1</v>
      </c>
      <c r="D4473" s="225">
        <f>材料产出!$BH19/(基本属性!$A19/(基本属性!$AS19*1/3600))*材料产出!$D19</f>
        <v>0</v>
      </c>
    </row>
    <row r="4474" spans="1:4" ht="16.5" x14ac:dyDescent="0.3">
      <c r="A4474" s="10" t="str">
        <f>基本属性!$B$20&amp;"|"&amp;基本属性!$C$20</f>
        <v>200|10</v>
      </c>
      <c r="B4474" s="10" t="str">
        <f>参数调整!$J$31</f>
        <v>小怪掉落</v>
      </c>
      <c r="C4474" s="8" t="str">
        <f>材料产出!$BH$2</f>
        <v>新增材料1</v>
      </c>
      <c r="D4474" s="225">
        <f>材料产出!$BH20/(基本属性!$A20/(基本属性!$AS20*1/3600))*材料产出!$D20</f>
        <v>0</v>
      </c>
    </row>
    <row r="4475" spans="1:4" ht="16.5" x14ac:dyDescent="0.3">
      <c r="A4475" s="10" t="str">
        <f>基本属性!$B$21&amp;"|"&amp;基本属性!$C$21</f>
        <v>200|11</v>
      </c>
      <c r="B4475" s="10" t="str">
        <f>参数调整!$J$31</f>
        <v>小怪掉落</v>
      </c>
      <c r="C4475" s="8" t="str">
        <f>材料产出!$BH$2</f>
        <v>新增材料1</v>
      </c>
      <c r="D4475" s="225">
        <f>材料产出!$BH21/(基本属性!$A21/(基本属性!$AS21*1/3600))*材料产出!$D21</f>
        <v>0</v>
      </c>
    </row>
    <row r="4476" spans="1:4" ht="16.5" x14ac:dyDescent="0.3">
      <c r="A4476" s="10" t="str">
        <f>基本属性!$B$22&amp;"|"&amp;基本属性!$C$22</f>
        <v>210|12</v>
      </c>
      <c r="B4476" s="10" t="str">
        <f>参数调整!$J$31</f>
        <v>小怪掉落</v>
      </c>
      <c r="C4476" s="8" t="str">
        <f>材料产出!$BH$2</f>
        <v>新增材料1</v>
      </c>
      <c r="D4476" s="225">
        <f>材料产出!$BH22/(基本属性!$A22/(基本属性!$AS22*1/3600))*材料产出!$D22</f>
        <v>0</v>
      </c>
    </row>
    <row r="4477" spans="1:4" ht="16.5" x14ac:dyDescent="0.3">
      <c r="A4477" s="10" t="str">
        <f>基本属性!$B$23&amp;"|"&amp;基本属性!$C$23</f>
        <v>210|13</v>
      </c>
      <c r="B4477" s="10" t="str">
        <f>参数调整!$J$31</f>
        <v>小怪掉落</v>
      </c>
      <c r="C4477" s="8" t="str">
        <f>材料产出!$BH$2</f>
        <v>新增材料1</v>
      </c>
      <c r="D4477" s="225">
        <f>材料产出!$BH23/(基本属性!$A23/(基本属性!$AS23*1/3600))*材料产出!$D23</f>
        <v>0</v>
      </c>
    </row>
    <row r="4478" spans="1:4" ht="16.5" x14ac:dyDescent="0.3">
      <c r="A4478" s="10" t="str">
        <f>基本属性!$B$24&amp;"|"&amp;基本属性!$C$24</f>
        <v>220|14</v>
      </c>
      <c r="B4478" s="10" t="str">
        <f>参数调整!$J$31</f>
        <v>小怪掉落</v>
      </c>
      <c r="C4478" s="8" t="str">
        <f>材料产出!$BH$2</f>
        <v>新增材料1</v>
      </c>
      <c r="D4478" s="225">
        <f>材料产出!$BH24/(基本属性!$A24/(基本属性!$AS24*1/3600))*材料产出!$D24</f>
        <v>0</v>
      </c>
    </row>
    <row r="4479" spans="1:4" ht="16.5" x14ac:dyDescent="0.3">
      <c r="A4479" s="10" t="str">
        <f>基本属性!$B$25&amp;"|"&amp;基本属性!$C$25</f>
        <v>220|15</v>
      </c>
      <c r="B4479" s="10" t="str">
        <f>参数调整!$J$31</f>
        <v>小怪掉落</v>
      </c>
      <c r="C4479" s="8" t="str">
        <f>材料产出!$BH$2</f>
        <v>新增材料1</v>
      </c>
      <c r="D4479" s="225">
        <f>材料产出!$BH25/(基本属性!$A25/(基本属性!$AS25*1/3600))*材料产出!$D25</f>
        <v>0</v>
      </c>
    </row>
    <row r="4480" spans="1:4" ht="16.5" x14ac:dyDescent="0.3">
      <c r="A4480" s="10" t="str">
        <f>基本属性!$B$26&amp;"|"&amp;基本属性!$C$26</f>
        <v>230|16</v>
      </c>
      <c r="B4480" s="10" t="str">
        <f>参数调整!$J$31</f>
        <v>小怪掉落</v>
      </c>
      <c r="C4480" s="8" t="str">
        <f>材料产出!$BH$2</f>
        <v>新增材料1</v>
      </c>
      <c r="D4480" s="225">
        <f>材料产出!$BH26/(基本属性!$A26/(基本属性!$AS26*1/3600))*材料产出!$D26</f>
        <v>0</v>
      </c>
    </row>
    <row r="4481" spans="1:4" ht="16.5" x14ac:dyDescent="0.3">
      <c r="A4481" s="10" t="str">
        <f>基本属性!$B$27&amp;"|"&amp;基本属性!$C$27</f>
        <v>230|17</v>
      </c>
      <c r="B4481" s="10" t="str">
        <f>参数调整!$J$31</f>
        <v>小怪掉落</v>
      </c>
      <c r="C4481" s="8" t="str">
        <f>材料产出!$BH$2</f>
        <v>新增材料1</v>
      </c>
      <c r="D4481" s="225">
        <f>材料产出!$BH27/(基本属性!$A27/(基本属性!$AS27*1/3600))*材料产出!$D27</f>
        <v>0</v>
      </c>
    </row>
    <row r="4482" spans="1:4" ht="16.5" x14ac:dyDescent="0.3">
      <c r="A4482" s="10" t="str">
        <f>基本属性!$B$28&amp;"|"&amp;基本属性!$C$28</f>
        <v>240|18</v>
      </c>
      <c r="B4482" s="10" t="str">
        <f>参数调整!$J$31</f>
        <v>小怪掉落</v>
      </c>
      <c r="C4482" s="8" t="str">
        <f>材料产出!$BH$2</f>
        <v>新增材料1</v>
      </c>
      <c r="D4482" s="225">
        <f>材料产出!$BH28/(基本属性!$A28/(基本属性!$AS28*1/3600))*材料产出!$D28</f>
        <v>0</v>
      </c>
    </row>
    <row r="4483" spans="1:4" ht="16.5" x14ac:dyDescent="0.3">
      <c r="A4483" s="10" t="str">
        <f>基本属性!$B$29&amp;"|"&amp;基本属性!$C$29</f>
        <v>240|19</v>
      </c>
      <c r="B4483" s="10" t="str">
        <f>参数调整!$J$31</f>
        <v>小怪掉落</v>
      </c>
      <c r="C4483" s="8" t="str">
        <f>材料产出!$BH$2</f>
        <v>新增材料1</v>
      </c>
      <c r="D4483" s="225">
        <f>材料产出!$BH29/(基本属性!$A29/(基本属性!$AS29*1/3600))*材料产出!$D29</f>
        <v>0</v>
      </c>
    </row>
    <row r="4484" spans="1:4" ht="16.5" x14ac:dyDescent="0.3">
      <c r="A4484" s="10" t="str">
        <f>基本属性!$B$30&amp;"|"&amp;基本属性!$C$30</f>
        <v>250|20</v>
      </c>
      <c r="B4484" s="10" t="str">
        <f>参数调整!$J$31</f>
        <v>小怪掉落</v>
      </c>
      <c r="C4484" s="8" t="str">
        <f>材料产出!$BH$2</f>
        <v>新增材料1</v>
      </c>
      <c r="D4484" s="225">
        <f>材料产出!$BH30/(基本属性!$A30/(基本属性!$AS30*1/3600))*材料产出!$D30</f>
        <v>0</v>
      </c>
    </row>
    <row r="4485" spans="1:4" ht="16.5" x14ac:dyDescent="0.3">
      <c r="A4485" s="10" t="str">
        <f>基本属性!$B$4&amp;"|"&amp;基本属性!$C$4</f>
        <v>35|0</v>
      </c>
      <c r="B4485" s="10" t="str">
        <f>参数调整!$J$31</f>
        <v>小怪掉落</v>
      </c>
      <c r="C4485" s="8" t="str">
        <f>材料产出!$AF$2</f>
        <v>仙品升星石</v>
      </c>
      <c r="D4485" s="224">
        <f>材料产出!$AF$4/(基本属性!$A$4/(基本属性!$AS$4*1/3600))*材料产出!$D$4</f>
        <v>2.2682521309060296E-3</v>
      </c>
    </row>
    <row r="4486" spans="1:4" ht="16.5" x14ac:dyDescent="0.3">
      <c r="A4486" s="10" t="str">
        <f>基本属性!$B$5&amp;"|"&amp;基本属性!$C$5</f>
        <v>40|0</v>
      </c>
      <c r="B4486" s="10" t="str">
        <f>参数调整!$J$31</f>
        <v>小怪掉落</v>
      </c>
      <c r="C4486" s="8" t="str">
        <f>材料产出!$AF$2</f>
        <v>仙品升星石</v>
      </c>
      <c r="D4486" s="224">
        <f>材料产出!$AF$5/(基本属性!$A$5/(基本属性!$AS$5*1/3600))*材料产出!$D$5</f>
        <v>2.8707566031779446E-3</v>
      </c>
    </row>
    <row r="4487" spans="1:4" ht="16.5" x14ac:dyDescent="0.3">
      <c r="A4487" s="10" t="str">
        <f>基本属性!$B$6&amp;"|"&amp;基本属性!$C$6</f>
        <v>50|0</v>
      </c>
      <c r="B4487" s="10" t="str">
        <f>参数调整!$J$31</f>
        <v>小怪掉落</v>
      </c>
      <c r="C4487" s="8" t="str">
        <f>材料产出!$AF$2</f>
        <v>仙品升星石</v>
      </c>
      <c r="D4487" s="224">
        <f>材料产出!$AF$6/(基本属性!$A$6/(基本属性!$AS$6*1/3600))*材料产出!$D$6</f>
        <v>3.5441439545406718E-3</v>
      </c>
    </row>
    <row r="4488" spans="1:4" ht="16.5" x14ac:dyDescent="0.3">
      <c r="A4488" s="10" t="str">
        <f>基本属性!$B$7&amp;"|"&amp;基本属性!$C$7</f>
        <v>60|0</v>
      </c>
      <c r="B4488" s="10" t="str">
        <f>参数调整!$J$31</f>
        <v>小怪掉落</v>
      </c>
      <c r="C4488" s="8" t="str">
        <f>材料产出!$AF$2</f>
        <v>仙品升星石</v>
      </c>
      <c r="D4488" s="224">
        <f>材料产出!$AF$7/(基本属性!$A$7/(基本属性!$AS$7*1/3600))*材料产出!$D$7</f>
        <v>4.2884141849942126E-3</v>
      </c>
    </row>
    <row r="4489" spans="1:4" ht="16.5" x14ac:dyDescent="0.3">
      <c r="A4489" s="10" t="str">
        <f>基本属性!$B$8&amp;"|"&amp;基本属性!$C$8</f>
        <v>65|0</v>
      </c>
      <c r="B4489" s="10" t="str">
        <f>参数调整!$J$31</f>
        <v>小怪掉落</v>
      </c>
      <c r="C4489" s="8" t="str">
        <f>材料产出!$AF$2</f>
        <v>仙品升星石</v>
      </c>
      <c r="D4489" s="224">
        <f>材料产出!$AF$8/(基本属性!$A$8/(基本属性!$AS$8*1/3600))*材料产出!$D$8</f>
        <v>5.103567294538567E-3</v>
      </c>
    </row>
    <row r="4490" spans="1:4" ht="16.5" x14ac:dyDescent="0.3">
      <c r="A4490" s="10" t="str">
        <f>基本属性!$B$9&amp;"|"&amp;基本属性!$C$9</f>
        <v>70|0</v>
      </c>
      <c r="B4490" s="10" t="str">
        <f>参数调整!$J$31</f>
        <v>小怪掉落</v>
      </c>
      <c r="C4490" s="8" t="str">
        <f>材料产出!$AF$2</f>
        <v>仙品升星石</v>
      </c>
      <c r="D4490" s="224">
        <f>材料产出!$AF$9/(基本属性!$A$9/(基本属性!$AS$9*1/3600))*材料产出!$D$9</f>
        <v>5.9896032831737349E-3</v>
      </c>
    </row>
    <row r="4491" spans="1:4" ht="16.5" x14ac:dyDescent="0.3">
      <c r="A4491" s="10" t="str">
        <f>基本属性!$B$10&amp;"|"&amp;基本属性!$C$10</f>
        <v>75|0</v>
      </c>
      <c r="B4491" s="10" t="str">
        <f>参数调整!$J$31</f>
        <v>小怪掉落</v>
      </c>
      <c r="C4491" s="8" t="str">
        <f>材料产出!$AF$2</f>
        <v>仙品升星石</v>
      </c>
      <c r="D4491" s="224">
        <f>材料产出!$AF$10/(基本属性!$A$10/(基本属性!$AS$10*1/3600))*材料产出!$D$10</f>
        <v>6.9465221508997156E-3</v>
      </c>
    </row>
    <row r="4492" spans="1:4" ht="16.5" x14ac:dyDescent="0.3">
      <c r="A4492" s="10" t="str">
        <f>基本属性!$B$11&amp;"|"&amp;基本属性!$C$11</f>
        <v>80|1</v>
      </c>
      <c r="B4492" s="10" t="str">
        <f>参数调整!$J$31</f>
        <v>小怪掉落</v>
      </c>
      <c r="C4492" s="8" t="str">
        <f>材料产出!$AF$2</f>
        <v>仙品升星石</v>
      </c>
      <c r="D4492" s="224">
        <f>材料产出!$AF$11/(基本属性!$A$11/(基本属性!$AS$11*1/3600))*材料产出!$D$11</f>
        <v>7.9743238977165107E-3</v>
      </c>
    </row>
    <row r="4493" spans="1:4" ht="16.5" x14ac:dyDescent="0.3">
      <c r="A4493" s="10" t="str">
        <f>基本属性!$B$12&amp;"|"&amp;基本属性!$C$12</f>
        <v>90|2</v>
      </c>
      <c r="B4493" s="10" t="str">
        <f>参数调整!$J$31</f>
        <v>小怪掉落</v>
      </c>
      <c r="C4493" s="8" t="str">
        <f>材料产出!$AF$2</f>
        <v>仙品升星石</v>
      </c>
      <c r="D4493" s="224">
        <f>材料产出!$AF$12/(基本属性!$A$12/(基本属性!$AS$12*1/3600))*材料产出!$D$12</f>
        <v>9.073008523624122E-3</v>
      </c>
    </row>
    <row r="4494" spans="1:4" ht="16.5" x14ac:dyDescent="0.3">
      <c r="A4494" s="10" t="str">
        <f>基本属性!$B$13&amp;"|"&amp;基本属性!$C$13</f>
        <v>100|3</v>
      </c>
      <c r="B4494" s="10" t="str">
        <f>参数调整!$J$31</f>
        <v>小怪掉落</v>
      </c>
      <c r="C4494" s="8" t="str">
        <f>材料产出!$AF$2</f>
        <v>仙品升星石</v>
      </c>
      <c r="D4494" s="224">
        <f>材料产出!$AF$13/(基本属性!$A$13/(基本属性!$AS$13*1/3600))*材料产出!$D$13</f>
        <v>1.1483026412711778E-2</v>
      </c>
    </row>
    <row r="4495" spans="1:4" ht="16.5" x14ac:dyDescent="0.3">
      <c r="A4495" s="10" t="str">
        <f>基本属性!$B$14&amp;"|"&amp;基本属性!$C$14</f>
        <v>105|4</v>
      </c>
      <c r="B4495" s="10" t="str">
        <f>参数调整!$J$31</f>
        <v>小怪掉落</v>
      </c>
      <c r="C4495" s="8" t="str">
        <f>材料产出!$AF$2</f>
        <v>仙品升星石</v>
      </c>
      <c r="D4495" s="224">
        <f>材料产出!$AF$14/(基本属性!$A$14/(基本属性!$AS$14*1/3600))*材料产出!$D$14</f>
        <v>1.4176575818162685E-2</v>
      </c>
    </row>
    <row r="4496" spans="1:4" ht="16.5" x14ac:dyDescent="0.3">
      <c r="A4496" s="10" t="str">
        <f>基本属性!$B$15&amp;"|"&amp;基本属性!$C$15</f>
        <v>110|5</v>
      </c>
      <c r="B4496" s="10" t="str">
        <f>参数调整!$J$31</f>
        <v>小怪掉落</v>
      </c>
      <c r="C4496" s="8" t="str">
        <f>材料产出!$AF$2</f>
        <v>仙品升星石</v>
      </c>
      <c r="D4496" s="224">
        <f>材料产出!$AF$15/(基本属性!$A$15/(基本属性!$AS$15*1/3600))*材料产出!$D$15</f>
        <v>1.715365673997685E-2</v>
      </c>
    </row>
    <row r="4497" spans="1:4" ht="16.5" x14ac:dyDescent="0.3">
      <c r="A4497" s="10" t="str">
        <f>基本属性!$B$16&amp;"|"&amp;基本属性!$C$16</f>
        <v>120|6</v>
      </c>
      <c r="B4497" s="10" t="str">
        <f>参数调整!$J$31</f>
        <v>小怪掉落</v>
      </c>
      <c r="C4497" s="8" t="str">
        <f>材料产出!$AF$2</f>
        <v>仙品升星石</v>
      </c>
      <c r="D4497" s="224">
        <f>材料产出!$AF$16/(基本属性!$A$16/(基本属性!$AS$16*1/3600))*材料产出!$D$16</f>
        <v>2.2150899715879198E-2</v>
      </c>
    </row>
    <row r="4498" spans="1:4" ht="16.5" x14ac:dyDescent="0.3">
      <c r="A4498" s="10" t="str">
        <f>基本属性!$B$17&amp;"|"&amp;基本属性!$C$17</f>
        <v>135|7</v>
      </c>
      <c r="B4498" s="10" t="str">
        <f>参数调整!$J$31</f>
        <v>小怪掉落</v>
      </c>
      <c r="C4498" s="8" t="str">
        <f>材料产出!$AF$2</f>
        <v>仙品升星石</v>
      </c>
      <c r="D4498" s="224">
        <f>材料产出!$AF$17/(基本属性!$A$17/(基本属性!$AS$17*1/3600))*材料产出!$D$17</f>
        <v>3.1897295590866043E-2</v>
      </c>
    </row>
    <row r="4499" spans="1:4" ht="16.5" x14ac:dyDescent="0.3">
      <c r="A4499" s="10" t="str">
        <f>基本属性!$B$18&amp;"|"&amp;基本属性!$C$18</f>
        <v>155|8</v>
      </c>
      <c r="B4499" s="10" t="str">
        <f>参数调整!$J$31</f>
        <v>小怪掉落</v>
      </c>
      <c r="C4499" s="8" t="str">
        <f>材料产出!$AF$2</f>
        <v>仙品升星石</v>
      </c>
      <c r="D4499" s="224">
        <f>材料产出!$AF$18/(基本属性!$A$18/(基本属性!$AS$18*1/3600))*材料产出!$D$18</f>
        <v>4.3415763443123236E-2</v>
      </c>
    </row>
    <row r="4500" spans="1:4" ht="16.5" x14ac:dyDescent="0.3">
      <c r="A4500" s="10" t="str">
        <f>基本属性!$B$19&amp;"|"&amp;基本属性!$C$19</f>
        <v>190|9</v>
      </c>
      <c r="B4500" s="10" t="str">
        <f>参数调整!$J$31</f>
        <v>小怪掉落</v>
      </c>
      <c r="C4500" s="8" t="str">
        <f>材料产出!$AF$2</f>
        <v>仙品升星石</v>
      </c>
      <c r="D4500" s="224">
        <f>材料产出!$AF$19/(基本属性!$A$19/(基本属性!$AS$19*1/3600))*材料产出!$D$19</f>
        <v>4.8519330737661806E-2</v>
      </c>
    </row>
    <row r="4501" spans="1:4" ht="16.5" x14ac:dyDescent="0.3">
      <c r="A4501" s="10" t="str">
        <f>基本属性!$B$20&amp;"|"&amp;基本属性!$C$20</f>
        <v>200|10</v>
      </c>
      <c r="B4501" s="10" t="str">
        <f>参数调整!$J$31</f>
        <v>小怪掉落</v>
      </c>
      <c r="C4501" s="8" t="str">
        <f>材料产出!$AF$2</f>
        <v>仙品升星石</v>
      </c>
      <c r="D4501" s="224">
        <f>材料产出!$AF$20/(基本属性!$A$20/(基本属性!$AS$20*1/3600))*材料产出!$D$20</f>
        <v>5.6706303272650742E-2</v>
      </c>
    </row>
    <row r="4502" spans="1:4" ht="16.5" x14ac:dyDescent="0.3">
      <c r="A4502" s="10" t="str">
        <f>基本属性!$B$21&amp;"|"&amp;基本属性!$C$21</f>
        <v>200|11</v>
      </c>
      <c r="B4502" s="10" t="str">
        <f>参数调整!$J$31</f>
        <v>小怪掉落</v>
      </c>
      <c r="C4502" s="8" t="str">
        <f>材料产出!$AF$2</f>
        <v>仙品升星石</v>
      </c>
      <c r="D4502" s="224">
        <f>材料产出!$AF$21/(基本属性!$A$21/(基本属性!$AS$21*1/3600))*材料产出!$D$21</f>
        <v>6.5531221719457008E-2</v>
      </c>
    </row>
    <row r="4503" spans="1:4" ht="16.5" x14ac:dyDescent="0.3">
      <c r="A4503" s="10" t="str">
        <f>基本属性!$B$22&amp;"|"&amp;基本属性!$C$22</f>
        <v>210|12</v>
      </c>
      <c r="B4503" s="10" t="str">
        <f>参数调整!$J$31</f>
        <v>小怪掉落</v>
      </c>
      <c r="C4503" s="8" t="str">
        <f>材料产出!$AF$2</f>
        <v>仙品升星石</v>
      </c>
      <c r="D4503" s="224">
        <f>材料产出!$AF$22/(基本属性!$A$22/(基本属性!$AS$22*1/3600))*材料产出!$D$22</f>
        <v>7.4994086078080599E-2</v>
      </c>
    </row>
    <row r="4504" spans="1:4" ht="16.5" x14ac:dyDescent="0.3">
      <c r="A4504" s="10" t="str">
        <f>基本属性!$B$23&amp;"|"&amp;基本属性!$C$23</f>
        <v>210|13</v>
      </c>
      <c r="B4504" s="10" t="str">
        <f>参数调整!$J$31</f>
        <v>小怪掉落</v>
      </c>
      <c r="C4504" s="8" t="str">
        <f>材料产出!$AF$2</f>
        <v>仙品升星石</v>
      </c>
      <c r="D4504" s="224">
        <f>材料产出!$AF$23/(基本属性!$A$23/(基本属性!$AS$23*1/3600))*材料产出!$D$23</f>
        <v>8.509489634852152E-2</v>
      </c>
    </row>
    <row r="4505" spans="1:4" ht="16.5" x14ac:dyDescent="0.3">
      <c r="A4505" s="10" t="str">
        <f>基本属性!$B$24&amp;"|"&amp;基本属性!$C$24</f>
        <v>220|14</v>
      </c>
      <c r="B4505" s="10" t="str">
        <f>参数调整!$J$31</f>
        <v>小怪掉落</v>
      </c>
      <c r="C4505" s="8" t="str">
        <f>材料产出!$AF$2</f>
        <v>仙品升星石</v>
      </c>
      <c r="D4505" s="224">
        <f>材料产出!$AF$24/(基本属性!$A$24/(基本属性!$AS$24*1/3600))*材料产出!$D$24</f>
        <v>9.5833652530779773E-2</v>
      </c>
    </row>
    <row r="4506" spans="1:4" ht="16.5" x14ac:dyDescent="0.3">
      <c r="A4506" s="10" t="str">
        <f>基本属性!$B$25&amp;"|"&amp;基本属性!$C$25</f>
        <v>220|15</v>
      </c>
      <c r="B4506" s="10" t="str">
        <f>参数调整!$J$31</f>
        <v>小怪掉落</v>
      </c>
      <c r="C4506" s="8" t="str">
        <f>材料产出!$AF$2</f>
        <v>仙品升星石</v>
      </c>
      <c r="D4506" s="224">
        <f>材料产出!$AF$25/(基本属性!$A$25/(基本属性!$AS$25*1/3600))*材料产出!$D$25</f>
        <v>0.10721035462485529</v>
      </c>
    </row>
    <row r="4507" spans="1:4" ht="16.5" x14ac:dyDescent="0.3">
      <c r="A4507" s="10" t="str">
        <f>基本属性!$B$26&amp;"|"&amp;基本属性!$C$26</f>
        <v>230|16</v>
      </c>
      <c r="B4507" s="10" t="str">
        <f>参数调整!$J$31</f>
        <v>小怪掉落</v>
      </c>
      <c r="C4507" s="8" t="str">
        <f>材料产出!$AF$2</f>
        <v>仙品升星石</v>
      </c>
      <c r="D4507" s="224">
        <f>材料产出!$AF$26/(基本属性!$A$26/(基本属性!$AS$26*1/3600))*材料产出!$D$26</f>
        <v>0.11922500263074819</v>
      </c>
    </row>
    <row r="4508" spans="1:4" ht="16.5" x14ac:dyDescent="0.3">
      <c r="A4508" s="10" t="str">
        <f>基本属性!$B$27&amp;"|"&amp;基本属性!$C$27</f>
        <v>230|17</v>
      </c>
      <c r="B4508" s="10" t="str">
        <f>参数调整!$J$31</f>
        <v>小怪掉落</v>
      </c>
      <c r="C4508" s="8" t="str">
        <f>材料产出!$AF$2</f>
        <v>仙品升星石</v>
      </c>
      <c r="D4508" s="224">
        <f>材料产出!$AF$27/(基本属性!$A$27/(基本属性!$AS$27*1/3600))*材料产出!$D$27</f>
        <v>0.13187759654845838</v>
      </c>
    </row>
    <row r="4509" spans="1:4" ht="16.5" x14ac:dyDescent="0.3">
      <c r="A4509" s="10" t="str">
        <f>基本属性!$B$28&amp;"|"&amp;基本属性!$C$28</f>
        <v>240|18</v>
      </c>
      <c r="B4509" s="10" t="str">
        <f>参数调整!$J$31</f>
        <v>小怪掉落</v>
      </c>
      <c r="C4509" s="8" t="str">
        <f>材料产出!$AF$2</f>
        <v>仙品升星石</v>
      </c>
      <c r="D4509" s="224">
        <f>材料产出!$AF$28/(基本属性!$A$28/(基本属性!$AS$28*1/3600))*材料产出!$D$28</f>
        <v>0.14516813637798592</v>
      </c>
    </row>
    <row r="4510" spans="1:4" ht="16.5" x14ac:dyDescent="0.3">
      <c r="A4510" s="10" t="str">
        <f>基本属性!$B$29&amp;"|"&amp;基本属性!$C$29</f>
        <v>240|19</v>
      </c>
      <c r="B4510" s="10" t="str">
        <f>参数调整!$J$31</f>
        <v>小怪掉落</v>
      </c>
      <c r="C4510" s="8" t="str">
        <f>材料产出!$AF$2</f>
        <v>仙品升星石</v>
      </c>
      <c r="D4510" s="224">
        <f>材料产出!$AF$29/(基本属性!$A$29/(基本属性!$AS$29*1/3600))*材料产出!$D$29</f>
        <v>0.15909662211933076</v>
      </c>
    </row>
    <row r="4511" spans="1:4" ht="16.5" x14ac:dyDescent="0.3">
      <c r="A4511" s="10" t="str">
        <f>基本属性!$B$30&amp;"|"&amp;基本属性!$C$30</f>
        <v>250|20</v>
      </c>
      <c r="B4511" s="10" t="str">
        <f>参数调整!$J$31</f>
        <v>小怪掉落</v>
      </c>
      <c r="C4511" s="8" t="str">
        <f>材料产出!$AF$2</f>
        <v>仙品升星石</v>
      </c>
      <c r="D4511" s="224">
        <f>材料产出!$AF$30/(基本属性!$A$30/(基本属性!$AS$30*1/3600))*材料产出!$D$30</f>
        <v>0.17366305377249289</v>
      </c>
    </row>
    <row r="4512" spans="1:4" ht="16.5" x14ac:dyDescent="0.3">
      <c r="A4512" s="10" t="str">
        <f>基本属性!$B$4&amp;"|"&amp;基本属性!$C$4</f>
        <v>35|0</v>
      </c>
      <c r="B4512" s="10" t="str">
        <f>参数调整!$J$31</f>
        <v>小怪掉落</v>
      </c>
      <c r="C4512" s="8" t="str">
        <f>材料产出!$T$2</f>
        <v>洗髓丹</v>
      </c>
      <c r="D4512" s="224">
        <f>材料产出!$T$4/(基本属性!$A$4/(基本属性!$AS$4*1/3600))*材料产出!$D$4</f>
        <v>5.9074343962982497E-4</v>
      </c>
    </row>
    <row r="4513" spans="1:4" ht="16.5" x14ac:dyDescent="0.3">
      <c r="A4513" s="10" t="str">
        <f>基本属性!$B$5&amp;"|"&amp;基本属性!$C$5</f>
        <v>40|0</v>
      </c>
      <c r="B4513" s="10" t="str">
        <f>参数调整!$J$31</f>
        <v>小怪掉落</v>
      </c>
      <c r="C4513" s="8" t="str">
        <f>材料产出!$T$2</f>
        <v>洗髓丹</v>
      </c>
      <c r="D4513" s="224">
        <f>材料产出!$T$5/(基本属性!$A$5/(基本属性!$AS$5*1/3600))*材料产出!$D$5</f>
        <v>7.4765966578149723E-4</v>
      </c>
    </row>
    <row r="4514" spans="1:4" ht="16.5" x14ac:dyDescent="0.3">
      <c r="A4514" s="10" t="str">
        <f>基本属性!$B$6&amp;"|"&amp;基本属性!$C$6</f>
        <v>50|0</v>
      </c>
      <c r="B4514" s="10" t="str">
        <f>参数调整!$J$31</f>
        <v>小怪掉落</v>
      </c>
      <c r="C4514" s="8" t="str">
        <f>材料产出!$T$2</f>
        <v>洗髓丹</v>
      </c>
      <c r="D4514" s="224">
        <f>材料产出!$T$6/(基本属性!$A$6/(基本属性!$AS$6*1/3600))*材料产出!$D$6</f>
        <v>9.2303662442160146E-4</v>
      </c>
    </row>
    <row r="4515" spans="1:4" ht="16.5" x14ac:dyDescent="0.3">
      <c r="A4515" s="10" t="str">
        <f>基本属性!$B$7&amp;"|"&amp;基本属性!$C$7</f>
        <v>60|0</v>
      </c>
      <c r="B4515" s="10" t="str">
        <f>参数调整!$J$31</f>
        <v>小怪掉落</v>
      </c>
      <c r="C4515" s="8" t="str">
        <f>材料产出!$T$2</f>
        <v>洗髓丹</v>
      </c>
      <c r="D4515" s="224">
        <f>材料产出!$T$7/(基本属性!$A$7/(基本属性!$AS$7*1/3600))*材料产出!$D$7</f>
        <v>1.116874315550138E-3</v>
      </c>
    </row>
    <row r="4516" spans="1:4" ht="16.5" x14ac:dyDescent="0.3">
      <c r="A4516" s="10" t="str">
        <f>基本属性!$B$8&amp;"|"&amp;基本属性!$C$8</f>
        <v>65|0</v>
      </c>
      <c r="B4516" s="10" t="str">
        <f>参数调整!$J$31</f>
        <v>小怪掉落</v>
      </c>
      <c r="C4516" s="8" t="str">
        <f>材料产出!$T$2</f>
        <v>洗髓丹</v>
      </c>
      <c r="D4516" s="224">
        <f>材料产出!$T$8/(基本属性!$A$8/(基本属性!$AS$8*1/3600))*材料产出!$D$8</f>
        <v>1.3291727391671062E-3</v>
      </c>
    </row>
    <row r="4517" spans="1:4" ht="16.5" x14ac:dyDescent="0.3">
      <c r="A4517" s="10" t="str">
        <f>基本属性!$B$9&amp;"|"&amp;基本属性!$C$9</f>
        <v>70|0</v>
      </c>
      <c r="B4517" s="10" t="str">
        <f>参数调整!$J$31</f>
        <v>小怪掉落</v>
      </c>
      <c r="C4517" s="8" t="str">
        <f>材料产出!$T$2</f>
        <v>洗髓丹</v>
      </c>
      <c r="D4517" s="224">
        <f>材料产出!$T$9/(基本属性!$A$9/(基本属性!$AS$9*1/3600))*材料产出!$D$9</f>
        <v>1.5599318952725066E-3</v>
      </c>
    </row>
    <row r="4518" spans="1:4" ht="16.5" x14ac:dyDescent="0.3">
      <c r="A4518" s="10" t="str">
        <f>基本属性!$B$10&amp;"|"&amp;基本属性!$C$10</f>
        <v>75|0</v>
      </c>
      <c r="B4518" s="10" t="str">
        <f>参数调整!$J$31</f>
        <v>小怪掉落</v>
      </c>
      <c r="C4518" s="8" t="str">
        <f>材料产出!$T$2</f>
        <v>洗髓丹</v>
      </c>
      <c r="D4518" s="224">
        <f>材料产出!$T$10/(基本属性!$A$10/(基本属性!$AS$10*1/3600))*材料产出!$D$10</f>
        <v>1.8091517838663388E-3</v>
      </c>
    </row>
    <row r="4519" spans="1:4" ht="16.5" x14ac:dyDescent="0.3">
      <c r="A4519" s="10" t="str">
        <f>基本属性!$B$11&amp;"|"&amp;基本属性!$C$11</f>
        <v>80|1</v>
      </c>
      <c r="B4519" s="10" t="str">
        <f>参数调整!$J$31</f>
        <v>小怪掉落</v>
      </c>
      <c r="C4519" s="8" t="str">
        <f>材料产出!$T$2</f>
        <v>洗髓丹</v>
      </c>
      <c r="D4519" s="224">
        <f>材料产出!$T$11/(基本属性!$A$11/(基本属性!$AS$11*1/3600))*材料产出!$D$11</f>
        <v>2.0768324049486035E-3</v>
      </c>
    </row>
    <row r="4520" spans="1:4" ht="16.5" x14ac:dyDescent="0.3">
      <c r="A4520" s="10" t="str">
        <f>基本属性!$B$12&amp;"|"&amp;基本属性!$C$12</f>
        <v>90|2</v>
      </c>
      <c r="B4520" s="10" t="str">
        <f>参数调整!$J$31</f>
        <v>小怪掉落</v>
      </c>
      <c r="C4520" s="8" t="str">
        <f>材料产出!$T$2</f>
        <v>洗髓丹</v>
      </c>
      <c r="D4520" s="224">
        <f>材料产出!$T$12/(基本属性!$A$12/(基本属性!$AS$12*1/3600))*材料产出!$D$12</f>
        <v>2.3629737585193003E-3</v>
      </c>
    </row>
    <row r="4521" spans="1:4" ht="16.5" x14ac:dyDescent="0.3">
      <c r="A4521" s="10" t="str">
        <f>基本属性!$B$13&amp;"|"&amp;基本属性!$C$13</f>
        <v>100|3</v>
      </c>
      <c r="B4521" s="10" t="str">
        <f>参数调整!$J$31</f>
        <v>小怪掉落</v>
      </c>
      <c r="C4521" s="8" t="str">
        <f>材料产出!$T$2</f>
        <v>洗髓丹</v>
      </c>
      <c r="D4521" s="224">
        <f>材料产出!$T$13/(基本属性!$A$13/(基本属性!$AS$13*1/3600))*材料产出!$D$13</f>
        <v>2.9906386631259893E-3</v>
      </c>
    </row>
    <row r="4522" spans="1:4" ht="16.5" x14ac:dyDescent="0.3">
      <c r="A4522" s="10" t="str">
        <f>基本属性!$B$14&amp;"|"&amp;基本属性!$C$14</f>
        <v>105|4</v>
      </c>
      <c r="B4522" s="10" t="str">
        <f>参数调整!$J$31</f>
        <v>小怪掉落</v>
      </c>
      <c r="C4522" s="8" t="str">
        <f>材料产出!$T$2</f>
        <v>洗髓丹</v>
      </c>
      <c r="D4522" s="224">
        <f>材料产出!$T$14/(基本属性!$A$14/(基本属性!$AS$14*1/3600))*材料产出!$D$14</f>
        <v>3.6921464976864059E-3</v>
      </c>
    </row>
    <row r="4523" spans="1:4" ht="16.5" x14ac:dyDescent="0.3">
      <c r="A4523" s="10" t="str">
        <f>基本属性!$B$15&amp;"|"&amp;基本属性!$C$15</f>
        <v>110|5</v>
      </c>
      <c r="B4523" s="10" t="str">
        <f>参数调整!$J$31</f>
        <v>小怪掉落</v>
      </c>
      <c r="C4523" s="8" t="str">
        <f>材料产出!$T$2</f>
        <v>洗髓丹</v>
      </c>
      <c r="D4523" s="224">
        <f>材料产出!$T$15/(基本属性!$A$15/(基本属性!$AS$15*1/3600))*材料产出!$D$15</f>
        <v>4.467497262200552E-3</v>
      </c>
    </row>
    <row r="4524" spans="1:4" ht="16.5" x14ac:dyDescent="0.3">
      <c r="A4524" s="10" t="str">
        <f>基本属性!$B$16&amp;"|"&amp;基本属性!$C$16</f>
        <v>120|6</v>
      </c>
      <c r="B4524" s="10" t="str">
        <f>参数调整!$J$31</f>
        <v>小怪掉落</v>
      </c>
      <c r="C4524" s="8" t="str">
        <f>材料产出!$T$2</f>
        <v>洗髓丹</v>
      </c>
      <c r="D4524" s="224">
        <f>材料产出!$T$16/(基本属性!$A$16/(基本属性!$AS$16*1/3600))*材料产出!$D$16</f>
        <v>5.7689789026350094E-3</v>
      </c>
    </row>
    <row r="4525" spans="1:4" ht="16.5" x14ac:dyDescent="0.3">
      <c r="A4525" s="10" t="str">
        <f>基本属性!$B$17&amp;"|"&amp;基本属性!$C$17</f>
        <v>135|7</v>
      </c>
      <c r="B4525" s="10" t="str">
        <f>参数调整!$J$31</f>
        <v>小怪掉落</v>
      </c>
      <c r="C4525" s="8" t="str">
        <f>材料产出!$T$2</f>
        <v>洗髓丹</v>
      </c>
      <c r="D4525" s="224">
        <f>材料产出!$T$17/(基本属性!$A$17/(基本属性!$AS$17*1/3600))*材料产出!$D$17</f>
        <v>8.3073296197944142E-3</v>
      </c>
    </row>
    <row r="4526" spans="1:4" ht="16.5" x14ac:dyDescent="0.3">
      <c r="A4526" s="10" t="str">
        <f>基本属性!$B$18&amp;"|"&amp;基本属性!$C$18</f>
        <v>155|8</v>
      </c>
      <c r="B4526" s="10" t="str">
        <f>参数调整!$J$31</f>
        <v>小怪掉落</v>
      </c>
      <c r="C4526" s="8" t="str">
        <f>材料产出!$T$2</f>
        <v>洗髓丹</v>
      </c>
      <c r="D4526" s="224">
        <f>材料产出!$T$18/(基本属性!$A$18/(基本属性!$AS$18*1/3600))*材料产出!$D$18</f>
        <v>1.1307198649164621E-2</v>
      </c>
    </row>
    <row r="4527" spans="1:4" ht="16.5" x14ac:dyDescent="0.3">
      <c r="A4527" s="10" t="str">
        <f>基本属性!$B$19&amp;"|"&amp;基本属性!$C$19</f>
        <v>190|9</v>
      </c>
      <c r="B4527" s="10" t="str">
        <f>参数调整!$J$31</f>
        <v>小怪掉落</v>
      </c>
      <c r="C4527" s="8" t="str">
        <f>材料产出!$T$2</f>
        <v>洗髓丹</v>
      </c>
      <c r="D4527" s="224">
        <f>材料产出!$T$19/(基本属性!$A$19/(基本属性!$AS$19*1/3600))*材料产出!$D$19</f>
        <v>1.2636371388331727E-2</v>
      </c>
    </row>
    <row r="4528" spans="1:4" ht="16.5" x14ac:dyDescent="0.3">
      <c r="A4528" s="10" t="str">
        <f>基本属性!$B$20&amp;"|"&amp;基本属性!$C$20</f>
        <v>200|10</v>
      </c>
      <c r="B4528" s="10" t="str">
        <f>参数调整!$J$31</f>
        <v>小怪掉落</v>
      </c>
      <c r="C4528" s="8" t="str">
        <f>材料产出!$T$2</f>
        <v>洗髓丹</v>
      </c>
      <c r="D4528" s="224">
        <f>材料产出!$T$20/(基本属性!$A$20/(基本属性!$AS$20*1/3600))*材料产出!$D$20</f>
        <v>1.4768585990745623E-2</v>
      </c>
    </row>
    <row r="4529" spans="1:4" ht="16.5" x14ac:dyDescent="0.3">
      <c r="A4529" s="10" t="str">
        <f>基本属性!$B$21&amp;"|"&amp;基本属性!$C$21</f>
        <v>200|11</v>
      </c>
      <c r="B4529" s="10" t="str">
        <f>参数调整!$J$31</f>
        <v>小怪掉落</v>
      </c>
      <c r="C4529" s="8" t="str">
        <f>材料产出!$T$2</f>
        <v>洗髓丹</v>
      </c>
      <c r="D4529" s="224">
        <f>材料产出!$T$21/(基本属性!$A$21/(基本属性!$AS$21*1/3600))*材料产出!$D$21</f>
        <v>1.7066947185555407E-2</v>
      </c>
    </row>
    <row r="4530" spans="1:4" ht="16.5" x14ac:dyDescent="0.3">
      <c r="A4530" s="10" t="str">
        <f>基本属性!$B$22&amp;"|"&amp;基本属性!$C$22</f>
        <v>210|12</v>
      </c>
      <c r="B4530" s="10" t="str">
        <f>参数调整!$J$31</f>
        <v>小怪掉落</v>
      </c>
      <c r="C4530" s="8" t="str">
        <f>材料产出!$T$2</f>
        <v>洗髓丹</v>
      </c>
      <c r="D4530" s="224">
        <f>材料产出!$T$22/(基本属性!$A$22/(基本属性!$AS$22*1/3600))*材料产出!$D$22</f>
        <v>1.9531454972761084E-2</v>
      </c>
    </row>
    <row r="4531" spans="1:4" ht="16.5" x14ac:dyDescent="0.3">
      <c r="A4531" s="10" t="str">
        <f>基本属性!$B$23&amp;"|"&amp;基本属性!$C$23</f>
        <v>210|13</v>
      </c>
      <c r="B4531" s="10" t="str">
        <f>参数调整!$J$31</f>
        <v>小怪掉落</v>
      </c>
      <c r="C4531" s="8" t="str">
        <f>材料产出!$T$2</f>
        <v>洗髓丹</v>
      </c>
      <c r="D4531" s="224">
        <f>材料产出!$T$23/(基本属性!$A$23/(基本属性!$AS$23*1/3600))*材料产出!$D$23</f>
        <v>2.2162109352362656E-2</v>
      </c>
    </row>
    <row r="4532" spans="1:4" ht="16.5" x14ac:dyDescent="0.3">
      <c r="A4532" s="10" t="str">
        <f>基本属性!$B$24&amp;"|"&amp;基本属性!$C$24</f>
        <v>220|14</v>
      </c>
      <c r="B4532" s="10" t="str">
        <f>参数调整!$J$31</f>
        <v>小怪掉落</v>
      </c>
      <c r="C4532" s="8" t="str">
        <f>材料产出!$T$2</f>
        <v>洗髓丹</v>
      </c>
      <c r="D4532" s="224">
        <f>材料产出!$T$24/(基本属性!$A$24/(基本属性!$AS$24*1/3600))*材料产出!$D$24</f>
        <v>2.4958910324360106E-2</v>
      </c>
    </row>
    <row r="4533" spans="1:4" ht="16.5" x14ac:dyDescent="0.3">
      <c r="A4533" s="10" t="str">
        <f>基本属性!$B$25&amp;"|"&amp;基本属性!$C$25</f>
        <v>220|15</v>
      </c>
      <c r="B4533" s="10" t="str">
        <f>参数调整!$J$31</f>
        <v>小怪掉落</v>
      </c>
      <c r="C4533" s="8" t="str">
        <f>材料产出!$T$2</f>
        <v>洗髓丹</v>
      </c>
      <c r="D4533" s="224">
        <f>材料产出!$T$25/(基本属性!$A$25/(基本属性!$AS$25*1/3600))*材料产出!$D$25</f>
        <v>2.7921857888753444E-2</v>
      </c>
    </row>
    <row r="4534" spans="1:4" ht="16.5" x14ac:dyDescent="0.3">
      <c r="A4534" s="10" t="str">
        <f>基本属性!$B$26&amp;"|"&amp;基本属性!$C$26</f>
        <v>230|16</v>
      </c>
      <c r="B4534" s="10" t="str">
        <f>参数调整!$J$31</f>
        <v>小怪掉落</v>
      </c>
      <c r="C4534" s="8" t="str">
        <f>材料产出!$T$2</f>
        <v>洗髓丹</v>
      </c>
      <c r="D4534" s="224">
        <f>材料产出!$T$26/(基本属性!$A$26/(基本属性!$AS$26*1/3600))*材料产出!$D$26</f>
        <v>3.1050952045542674E-2</v>
      </c>
    </row>
    <row r="4535" spans="1:4" ht="16.5" x14ac:dyDescent="0.3">
      <c r="A4535" s="10" t="str">
        <f>基本属性!$B$27&amp;"|"&amp;基本属性!$C$27</f>
        <v>230|17</v>
      </c>
      <c r="B4535" s="10" t="str">
        <f>参数调整!$J$31</f>
        <v>小怪掉落</v>
      </c>
      <c r="C4535" s="8" t="str">
        <f>材料产出!$T$2</f>
        <v>洗髓丹</v>
      </c>
      <c r="D4535" s="224">
        <f>材料产出!$T$27/(基本属性!$A$27/(基本属性!$AS$27*1/3600))*材料产出!$D$27</f>
        <v>3.4346192794727788E-2</v>
      </c>
    </row>
    <row r="4536" spans="1:4" ht="16.5" x14ac:dyDescent="0.3">
      <c r="A4536" s="10" t="str">
        <f>基本属性!$B$28&amp;"|"&amp;基本属性!$C$28</f>
        <v>240|18</v>
      </c>
      <c r="B4536" s="10" t="str">
        <f>参数调整!$J$31</f>
        <v>小怪掉落</v>
      </c>
      <c r="C4536" s="8" t="str">
        <f>材料产出!$T$2</f>
        <v>洗髓丹</v>
      </c>
      <c r="D4536" s="224">
        <f>材料产出!$T$28/(基本属性!$A$28/(基本属性!$AS$28*1/3600))*材料产出!$D$28</f>
        <v>3.7807580136308805E-2</v>
      </c>
    </row>
    <row r="4537" spans="1:4" ht="16.5" x14ac:dyDescent="0.3">
      <c r="A4537" s="10" t="str">
        <f>基本属性!$B$29&amp;"|"&amp;基本属性!$C$29</f>
        <v>240|19</v>
      </c>
      <c r="B4537" s="10" t="str">
        <f>参数调整!$J$31</f>
        <v>小怪掉落</v>
      </c>
      <c r="C4537" s="8" t="str">
        <f>材料产出!$T$2</f>
        <v>洗髓丹</v>
      </c>
      <c r="D4537" s="224">
        <f>材料产出!$T$29/(基本属性!$A$29/(基本属性!$AS$29*1/3600))*材料产出!$D$29</f>
        <v>4.1435114070285696E-2</v>
      </c>
    </row>
    <row r="4538" spans="1:4" ht="16.5" x14ac:dyDescent="0.3">
      <c r="A4538" s="10" t="str">
        <f>基本属性!$B$30&amp;"|"&amp;基本属性!$C$30</f>
        <v>250|20</v>
      </c>
      <c r="B4538" s="10" t="str">
        <f>参数调整!$J$31</f>
        <v>小怪掉落</v>
      </c>
      <c r="C4538" s="8" t="str">
        <f>材料产出!$T$2</f>
        <v>洗髓丹</v>
      </c>
      <c r="D4538" s="224">
        <f>材料产出!$T$30/(基本属性!$A$30/(基本属性!$AS$30*1/3600))*材料产出!$D$30</f>
        <v>4.5228794596658468E-2</v>
      </c>
    </row>
    <row r="4539" spans="1:4" ht="16.5" x14ac:dyDescent="0.3">
      <c r="A4539" s="10" t="str">
        <f>基本属性!$B$4&amp;"|"&amp;基本属性!$C$4</f>
        <v>35|0</v>
      </c>
      <c r="B4539" s="10" t="str">
        <f>参数调整!$J$31</f>
        <v>小怪掉落</v>
      </c>
      <c r="C4539" s="8" t="str">
        <f>材料产出!$AZ$2</f>
        <v>武器碎片</v>
      </c>
      <c r="D4539" s="224">
        <f>材料产出!$AZ$4/(基本属性!$A$4/(基本属性!$AS$4*1/3600))*材料产出!$D$4</f>
        <v>8.1166972083899542E-6</v>
      </c>
    </row>
    <row r="4540" spans="1:4" ht="16.5" x14ac:dyDescent="0.3">
      <c r="A4540" s="10" t="str">
        <f>基本属性!$B$5&amp;"|"&amp;基本属性!$C$5</f>
        <v>40|0</v>
      </c>
      <c r="B4540" s="10" t="str">
        <f>参数调整!$J$31</f>
        <v>小怪掉落</v>
      </c>
      <c r="C4540" s="8" t="str">
        <f>材料产出!$AZ$2</f>
        <v>武器碎片</v>
      </c>
      <c r="D4540" s="224">
        <f>材料产出!$AZ$5/(基本属性!$A$5/(基本属性!$AS$5*1/3600))*材料产出!$D$5</f>
        <v>1.0272694904368536E-5</v>
      </c>
    </row>
    <row r="4541" spans="1:4" ht="16.5" x14ac:dyDescent="0.3">
      <c r="A4541" s="10" t="str">
        <f>基本属性!$B$6&amp;"|"&amp;基本属性!$C$6</f>
        <v>50|0</v>
      </c>
      <c r="B4541" s="10" t="str">
        <f>参数调整!$J$31</f>
        <v>小怪掉落</v>
      </c>
      <c r="C4541" s="8" t="str">
        <f>材料产出!$AZ$2</f>
        <v>武器碎片</v>
      </c>
      <c r="D4541" s="224">
        <f>材料产出!$AZ$6/(基本属性!$A$6/(基本属性!$AS$6*1/3600))*材料产出!$D$6</f>
        <v>1.2682339388109304E-5</v>
      </c>
    </row>
    <row r="4542" spans="1:4" ht="16.5" x14ac:dyDescent="0.3">
      <c r="A4542" s="10" t="str">
        <f>基本属性!$B$7&amp;"|"&amp;基本属性!$C$7</f>
        <v>60|0</v>
      </c>
      <c r="B4542" s="10" t="str">
        <f>参数调整!$J$31</f>
        <v>小怪掉落</v>
      </c>
      <c r="C4542" s="8" t="str">
        <f>材料产出!$AZ$2</f>
        <v>武器碎片</v>
      </c>
      <c r="D4542" s="224">
        <f>材料产出!$AZ$7/(基本属性!$A$7/(基本属性!$AS$7*1/3600))*材料产出!$D$7</f>
        <v>1.5345630659612257E-5</v>
      </c>
    </row>
    <row r="4543" spans="1:4" ht="16.5" x14ac:dyDescent="0.3">
      <c r="A4543" s="10" t="str">
        <f>基本属性!$B$8&amp;"|"&amp;基本属性!$C$8</f>
        <v>65|0</v>
      </c>
      <c r="B4543" s="10" t="str">
        <f>参数调整!$J$31</f>
        <v>小怪掉落</v>
      </c>
      <c r="C4543" s="8" t="str">
        <f>材料产出!$AZ$2</f>
        <v>武器碎片</v>
      </c>
      <c r="D4543" s="224">
        <f>材料产出!$AZ$8/(基本属性!$A$8/(基本属性!$AS$8*1/3600))*材料产出!$D$8</f>
        <v>1.8262568718877397E-5</v>
      </c>
    </row>
    <row r="4544" spans="1:4" ht="16.5" x14ac:dyDescent="0.3">
      <c r="A4544" s="10" t="str">
        <f>基本属性!$B$9&amp;"|"&amp;基本属性!$C$9</f>
        <v>70|0</v>
      </c>
      <c r="B4544" s="10" t="str">
        <f>参数调整!$J$31</f>
        <v>小怪掉落</v>
      </c>
      <c r="C4544" s="8" t="str">
        <f>材料产出!$AZ$2</f>
        <v>武器碎片</v>
      </c>
      <c r="D4544" s="224">
        <f>材料产出!$AZ$9/(基本属性!$A$9/(基本属性!$AS$9*1/3600))*材料产出!$D$9</f>
        <v>2.1433153565904723E-5</v>
      </c>
    </row>
    <row r="4545" spans="1:4" ht="16.5" x14ac:dyDescent="0.3">
      <c r="A4545" s="10" t="str">
        <f>基本属性!$B$10&amp;"|"&amp;基本属性!$C$10</f>
        <v>75|0</v>
      </c>
      <c r="B4545" s="10" t="str">
        <f>参数调整!$J$31</f>
        <v>小怪掉落</v>
      </c>
      <c r="C4545" s="8" t="str">
        <f>材料产出!$AZ$2</f>
        <v>武器碎片</v>
      </c>
      <c r="D4545" s="224">
        <f>材料产出!$AZ$10/(基本属性!$A$10/(基本属性!$AS$10*1/3600))*材料产出!$D$10</f>
        <v>2.4857385200694231E-5</v>
      </c>
    </row>
    <row r="4546" spans="1:4" ht="16.5" x14ac:dyDescent="0.3">
      <c r="A4546" s="10" t="str">
        <f>基本属性!$B$11&amp;"|"&amp;基本属性!$C$11</f>
        <v>80|1</v>
      </c>
      <c r="B4546" s="10" t="str">
        <f>参数调整!$J$31</f>
        <v>小怪掉落</v>
      </c>
      <c r="C4546" s="8" t="str">
        <f>材料产出!$AZ$2</f>
        <v>武器碎片</v>
      </c>
      <c r="D4546" s="224">
        <f>材料产出!$AZ$11/(基本属性!$A$11/(基本属性!$AS$11*1/3600))*材料产出!$D$11</f>
        <v>2.8535263623245931E-5</v>
      </c>
    </row>
    <row r="4547" spans="1:4" ht="16.5" x14ac:dyDescent="0.3">
      <c r="A4547" s="10" t="str">
        <f>基本属性!$B$12&amp;"|"&amp;基本属性!$C$12</f>
        <v>90|2</v>
      </c>
      <c r="B4547" s="10" t="str">
        <f>参数调整!$J$31</f>
        <v>小怪掉落</v>
      </c>
      <c r="C4547" s="8" t="str">
        <f>材料产出!$AZ$2</f>
        <v>武器碎片</v>
      </c>
      <c r="D4547" s="224">
        <f>材料产出!$AZ$12/(基本属性!$A$12/(基本属性!$AS$12*1/3600))*材料产出!$D$12</f>
        <v>3.2466788833559824E-5</v>
      </c>
    </row>
    <row r="4548" spans="1:4" ht="16.5" x14ac:dyDescent="0.3">
      <c r="A4548" s="10" t="str">
        <f>基本属性!$B$13&amp;"|"&amp;基本属性!$C$13</f>
        <v>100|3</v>
      </c>
      <c r="B4548" s="10" t="str">
        <f>参数调整!$J$31</f>
        <v>小怪掉落</v>
      </c>
      <c r="C4548" s="8" t="str">
        <f>材料产出!$AZ$2</f>
        <v>武器碎片</v>
      </c>
      <c r="D4548" s="224">
        <f>材料产出!$AZ$13/(基本属性!$A$13/(基本属性!$AS$13*1/3600))*材料产出!$D$13</f>
        <v>4.1090779617474149E-5</v>
      </c>
    </row>
    <row r="4549" spans="1:4" ht="16.5" x14ac:dyDescent="0.3">
      <c r="A4549" s="10" t="str">
        <f>基本属性!$B$14&amp;"|"&amp;基本属性!$C$14</f>
        <v>105|4</v>
      </c>
      <c r="B4549" s="10" t="str">
        <f>参数调整!$J$31</f>
        <v>小怪掉落</v>
      </c>
      <c r="C4549" s="8" t="str">
        <f>材料产出!$AZ$2</f>
        <v>武器碎片</v>
      </c>
      <c r="D4549" s="224">
        <f>材料产出!$AZ$14/(基本属性!$A$14/(基本属性!$AS$14*1/3600))*材料产出!$D$14</f>
        <v>5.0729357552437217E-5</v>
      </c>
    </row>
    <row r="4550" spans="1:4" ht="16.5" x14ac:dyDescent="0.3">
      <c r="A4550" s="10" t="str">
        <f>基本属性!$B$15&amp;"|"&amp;基本属性!$C$15</f>
        <v>110|5</v>
      </c>
      <c r="B4550" s="10" t="str">
        <f>参数调整!$J$31</f>
        <v>小怪掉落</v>
      </c>
      <c r="C4550" s="8" t="str">
        <f>材料产出!$AZ$2</f>
        <v>武器碎片</v>
      </c>
      <c r="D4550" s="224">
        <f>材料产出!$AZ$15/(基本属性!$A$15/(基本属性!$AS$15*1/3600))*材料产出!$D$15</f>
        <v>6.1382522638449042E-5</v>
      </c>
    </row>
    <row r="4551" spans="1:4" ht="16.5" x14ac:dyDescent="0.3">
      <c r="A4551" s="10" t="str">
        <f>基本属性!$B$16&amp;"|"&amp;基本属性!$C$16</f>
        <v>120|6</v>
      </c>
      <c r="B4551" s="10" t="str">
        <f>参数调整!$J$31</f>
        <v>小怪掉落</v>
      </c>
      <c r="C4551" s="8" t="str">
        <f>材料产出!$AZ$2</f>
        <v>武器碎片</v>
      </c>
      <c r="D4551" s="224">
        <f>材料产出!$AZ$16/(基本属性!$A$16/(基本属性!$AS$16*1/3600))*材料产出!$D$16</f>
        <v>7.9264621175683162E-5</v>
      </c>
    </row>
    <row r="4552" spans="1:4" ht="16.5" x14ac:dyDescent="0.3">
      <c r="A4552" s="10" t="str">
        <f>基本属性!$B$17&amp;"|"&amp;基本属性!$C$17</f>
        <v>135|7</v>
      </c>
      <c r="B4552" s="10" t="str">
        <f>参数调整!$J$31</f>
        <v>小怪掉落</v>
      </c>
      <c r="C4552" s="8" t="str">
        <f>材料产出!$AZ$2</f>
        <v>武器碎片</v>
      </c>
      <c r="D4552" s="224">
        <f>材料产出!$AZ$17/(基本属性!$A$17/(基本属性!$AS$17*1/3600))*材料产出!$D$17</f>
        <v>1.1414105449298372E-4</v>
      </c>
    </row>
    <row r="4553" spans="1:4" ht="16.5" x14ac:dyDescent="0.3">
      <c r="A4553" s="10" t="str">
        <f>基本属性!$B$18&amp;"|"&amp;基本属性!$C$18</f>
        <v>155|8</v>
      </c>
      <c r="B4553" s="10" t="str">
        <f>参数调整!$J$31</f>
        <v>小怪掉落</v>
      </c>
      <c r="C4553" s="8" t="str">
        <f>材料产出!$AZ$2</f>
        <v>武器碎片</v>
      </c>
      <c r="D4553" s="224">
        <f>材料产出!$AZ$18/(基本属性!$A$18/(基本属性!$AS$18*1/3600))*材料产出!$D$18</f>
        <v>1.5535865750433898E-4</v>
      </c>
    </row>
    <row r="4554" spans="1:4" ht="16.5" x14ac:dyDescent="0.3">
      <c r="A4554" s="10" t="str">
        <f>基本属性!$B$19&amp;"|"&amp;基本属性!$C$19</f>
        <v>190|9</v>
      </c>
      <c r="B4554" s="10" t="str">
        <f>参数调整!$J$31</f>
        <v>小怪掉落</v>
      </c>
      <c r="C4554" s="8" t="str">
        <f>材料产出!$AZ$2</f>
        <v>武器碎片</v>
      </c>
      <c r="D4554" s="224">
        <f>材料产出!$AZ$19/(基本属性!$A$19/(基本属性!$AS$19*1/3600))*材料产出!$D$19</f>
        <v>1.7362122622321637E-4</v>
      </c>
    </row>
    <row r="4555" spans="1:4" ht="16.5" x14ac:dyDescent="0.3">
      <c r="A4555" s="10" t="str">
        <f>基本属性!$B$20&amp;"|"&amp;基本属性!$C$20</f>
        <v>200|10</v>
      </c>
      <c r="B4555" s="10" t="str">
        <f>参数调整!$J$31</f>
        <v>小怪掉落</v>
      </c>
      <c r="C4555" s="8" t="str">
        <f>材料产出!$AZ$2</f>
        <v>武器碎片</v>
      </c>
      <c r="D4555" s="224">
        <f>材料产出!$AZ$20/(基本属性!$A$20/(基本属性!$AS$20*1/3600))*材料产出!$D$20</f>
        <v>2.0291743020974887E-4</v>
      </c>
    </row>
    <row r="4556" spans="1:4" ht="16.5" x14ac:dyDescent="0.3">
      <c r="A4556" s="10" t="str">
        <f>基本属性!$B$21&amp;"|"&amp;基本属性!$C$21</f>
        <v>200|11</v>
      </c>
      <c r="B4556" s="10" t="str">
        <f>参数调整!$J$31</f>
        <v>小怪掉落</v>
      </c>
      <c r="C4556" s="8" t="str">
        <f>材料产出!$AZ$2</f>
        <v>武器碎片</v>
      </c>
      <c r="D4556" s="224">
        <f>材料产出!$AZ$21/(基本属性!$A$21/(基本属性!$AS$21*1/3600))*材料产出!$D$21</f>
        <v>2.3449645528614095E-4</v>
      </c>
    </row>
    <row r="4557" spans="1:4" ht="16.5" x14ac:dyDescent="0.3">
      <c r="A4557" s="10" t="str">
        <f>基本属性!$B$22&amp;"|"&amp;基本属性!$C$22</f>
        <v>210|12</v>
      </c>
      <c r="B4557" s="10" t="str">
        <f>参数调整!$J$31</f>
        <v>小怪掉落</v>
      </c>
      <c r="C4557" s="8" t="str">
        <f>材料产出!$AZ$2</f>
        <v>武器碎片</v>
      </c>
      <c r="D4557" s="224">
        <f>材料产出!$AZ$22/(基本属性!$A$22/(基本属性!$AS$22*1/3600))*材料产出!$D$22</f>
        <v>2.6835830145239279E-4</v>
      </c>
    </row>
    <row r="4558" spans="1:4" ht="16.5" x14ac:dyDescent="0.3">
      <c r="A4558" s="10" t="str">
        <f>基本属性!$B$23&amp;"|"&amp;基本属性!$C$23</f>
        <v>210|13</v>
      </c>
      <c r="B4558" s="10" t="str">
        <f>参数调整!$J$31</f>
        <v>小怪掉落</v>
      </c>
      <c r="C4558" s="8" t="str">
        <f>材料产出!$AZ$2</f>
        <v>武器碎片</v>
      </c>
      <c r="D4558" s="224">
        <f>材料产出!$AZ$23/(基本属性!$A$23/(基本属性!$AS$23*1/3600))*材料产出!$D$23</f>
        <v>3.0450296870850442E-4</v>
      </c>
    </row>
    <row r="4559" spans="1:4" ht="16.5" x14ac:dyDescent="0.3">
      <c r="A4559" s="10" t="str">
        <f>基本属性!$B$24&amp;"|"&amp;基本属性!$C$24</f>
        <v>220|14</v>
      </c>
      <c r="B4559" s="10" t="str">
        <f>参数调整!$J$31</f>
        <v>小怪掉落</v>
      </c>
      <c r="C4559" s="8" t="str">
        <f>材料产出!$AZ$2</f>
        <v>武器碎片</v>
      </c>
      <c r="D4559" s="224">
        <f>材料产出!$AZ$24/(基本属性!$A$24/(基本属性!$AS$24*1/3600))*材料产出!$D$24</f>
        <v>3.4293045705447556E-4</v>
      </c>
    </row>
    <row r="4560" spans="1:4" ht="16.5" x14ac:dyDescent="0.3">
      <c r="A4560" s="10" t="str">
        <f>基本属性!$B$25&amp;"|"&amp;基本属性!$C$25</f>
        <v>220|15</v>
      </c>
      <c r="B4560" s="10" t="str">
        <f>参数调整!$J$31</f>
        <v>小怪掉落</v>
      </c>
      <c r="C4560" s="8" t="str">
        <f>材料产出!$AZ$2</f>
        <v>武器碎片</v>
      </c>
      <c r="D4560" s="224">
        <f>材料产出!$AZ$25/(基本属性!$A$25/(基本属性!$AS$25*1/3600))*材料产出!$D$25</f>
        <v>3.8364076649030632E-4</v>
      </c>
    </row>
    <row r="4561" spans="1:4" ht="16.5" x14ac:dyDescent="0.3">
      <c r="A4561" s="10" t="str">
        <f>基本属性!$B$26&amp;"|"&amp;基本属性!$C$26</f>
        <v>230|16</v>
      </c>
      <c r="B4561" s="10" t="str">
        <f>参数调整!$J$31</f>
        <v>小怪掉落</v>
      </c>
      <c r="C4561" s="8" t="str">
        <f>材料产出!$AZ$2</f>
        <v>武器碎片</v>
      </c>
      <c r="D4561" s="224">
        <f>材料产出!$AZ$26/(基本属性!$A$26/(基本属性!$AS$26*1/3600))*材料产出!$D$26</f>
        <v>4.266338970159969E-4</v>
      </c>
    </row>
    <row r="4562" spans="1:4" ht="16.5" x14ac:dyDescent="0.3">
      <c r="A4562" s="10" t="str">
        <f>基本属性!$B$27&amp;"|"&amp;基本属性!$C$27</f>
        <v>230|17</v>
      </c>
      <c r="B4562" s="10" t="str">
        <f>参数调整!$J$31</f>
        <v>小怪掉落</v>
      </c>
      <c r="C4562" s="8" t="str">
        <f>材料产出!$AZ$2</f>
        <v>武器碎片</v>
      </c>
      <c r="D4562" s="224">
        <f>材料产出!$AZ$27/(基本属性!$A$27/(基本属性!$AS$27*1/3600))*材料产出!$D$27</f>
        <v>4.719098486315471E-4</v>
      </c>
    </row>
    <row r="4563" spans="1:4" ht="16.5" x14ac:dyDescent="0.3">
      <c r="A4563" s="10" t="str">
        <f>基本属性!$B$28&amp;"|"&amp;基本属性!$C$28</f>
        <v>240|18</v>
      </c>
      <c r="B4563" s="10" t="str">
        <f>参数调整!$J$31</f>
        <v>小怪掉落</v>
      </c>
      <c r="C4563" s="8" t="str">
        <f>材料产出!$AZ$2</f>
        <v>武器碎片</v>
      </c>
      <c r="D4563" s="224">
        <f>材料产出!$AZ$28/(基本属性!$A$28/(基本属性!$AS$28*1/3600))*材料产出!$D$28</f>
        <v>5.1946862133695707E-4</v>
      </c>
    </row>
    <row r="4564" spans="1:4" ht="16.5" x14ac:dyDescent="0.3">
      <c r="A4564" s="10" t="str">
        <f>基本属性!$B$29&amp;"|"&amp;基本属性!$C$29</f>
        <v>240|19</v>
      </c>
      <c r="B4564" s="10" t="str">
        <f>参数调整!$J$31</f>
        <v>小怪掉落</v>
      </c>
      <c r="C4564" s="8" t="str">
        <f>材料产出!$AZ$2</f>
        <v>武器碎片</v>
      </c>
      <c r="D4564" s="224">
        <f>材料产出!$AZ$29/(基本属性!$A$29/(基本属性!$AS$29*1/3600))*材料产出!$D$29</f>
        <v>5.6931021513222666E-4</v>
      </c>
    </row>
    <row r="4565" spans="1:4" ht="16.5" x14ac:dyDescent="0.3">
      <c r="A4565" s="10" t="str">
        <f>基本属性!$B$30&amp;"|"&amp;基本属性!$C$30</f>
        <v>250|20</v>
      </c>
      <c r="B4565" s="10" t="str">
        <f>参数调整!$J$31</f>
        <v>小怪掉落</v>
      </c>
      <c r="C4565" s="8" t="str">
        <f>材料产出!$AZ$2</f>
        <v>武器碎片</v>
      </c>
      <c r="D4565" s="224">
        <f>材料产出!$AZ$30/(基本属性!$A$30/(基本属性!$AS$30*1/3600))*材料产出!$D$30</f>
        <v>6.214346300173557E-4</v>
      </c>
    </row>
    <row r="4566" spans="1:4" ht="16.5" x14ac:dyDescent="0.3">
      <c r="A4566" s="10" t="str">
        <f>基本属性!$B$4&amp;"|"&amp;基本属性!$C$4</f>
        <v>35|0</v>
      </c>
      <c r="B4566" s="10" t="str">
        <f>参数调整!$J$31</f>
        <v>小怪掉落</v>
      </c>
      <c r="C4566" s="8" t="str">
        <f>材料产出!$HW$2</f>
        <v>特戒装备</v>
      </c>
      <c r="D4566" s="225"/>
    </row>
    <row r="4567" spans="1:4" ht="16.5" x14ac:dyDescent="0.3">
      <c r="A4567" s="10" t="str">
        <f>基本属性!$B$5&amp;"|"&amp;基本属性!$C$5</f>
        <v>40|0</v>
      </c>
      <c r="B4567" s="10" t="str">
        <f>参数调整!$J$31</f>
        <v>小怪掉落</v>
      </c>
      <c r="C4567" s="8" t="str">
        <f>材料产出!$HW$2</f>
        <v>特戒装备</v>
      </c>
      <c r="D4567" s="225"/>
    </row>
    <row r="4568" spans="1:4" ht="16.5" x14ac:dyDescent="0.3">
      <c r="A4568" s="10" t="str">
        <f>基本属性!$B$6&amp;"|"&amp;基本属性!$C$6</f>
        <v>50|0</v>
      </c>
      <c r="B4568" s="10" t="str">
        <f>参数调整!$J$31</f>
        <v>小怪掉落</v>
      </c>
      <c r="C4568" s="8" t="str">
        <f>材料产出!$HW$2</f>
        <v>特戒装备</v>
      </c>
      <c r="D4568" s="225"/>
    </row>
    <row r="4569" spans="1:4" ht="16.5" x14ac:dyDescent="0.3">
      <c r="A4569" s="10" t="str">
        <f>基本属性!$B$7&amp;"|"&amp;基本属性!$C$7</f>
        <v>60|0</v>
      </c>
      <c r="B4569" s="10" t="str">
        <f>参数调整!$J$31</f>
        <v>小怪掉落</v>
      </c>
      <c r="C4569" s="8" t="str">
        <f>材料产出!$HW$2</f>
        <v>特戒装备</v>
      </c>
      <c r="D4569" s="225"/>
    </row>
    <row r="4570" spans="1:4" ht="16.5" x14ac:dyDescent="0.3">
      <c r="A4570" s="10" t="str">
        <f>基本属性!$B$8&amp;"|"&amp;基本属性!$C$8</f>
        <v>65|0</v>
      </c>
      <c r="B4570" s="10" t="str">
        <f>参数调整!$J$31</f>
        <v>小怪掉落</v>
      </c>
      <c r="C4570" s="8" t="str">
        <f>材料产出!$HW$2</f>
        <v>特戒装备</v>
      </c>
      <c r="D4570" s="225"/>
    </row>
    <row r="4571" spans="1:4" ht="16.5" x14ac:dyDescent="0.3">
      <c r="A4571" s="10" t="str">
        <f>基本属性!$B$9&amp;"|"&amp;基本属性!$C$9</f>
        <v>70|0</v>
      </c>
      <c r="B4571" s="10" t="str">
        <f>参数调整!$J$31</f>
        <v>小怪掉落</v>
      </c>
      <c r="C4571" s="8" t="str">
        <f>材料产出!$HW$2</f>
        <v>特戒装备</v>
      </c>
      <c r="D4571" s="225"/>
    </row>
    <row r="4572" spans="1:4" ht="16.5" x14ac:dyDescent="0.3">
      <c r="A4572" s="10" t="str">
        <f>基本属性!$B$10&amp;"|"&amp;基本属性!$C$10</f>
        <v>75|0</v>
      </c>
      <c r="B4572" s="10" t="str">
        <f>参数调整!$J$31</f>
        <v>小怪掉落</v>
      </c>
      <c r="C4572" s="8" t="str">
        <f>材料产出!$HW$2</f>
        <v>特戒装备</v>
      </c>
      <c r="D4572" s="225"/>
    </row>
    <row r="4573" spans="1:4" ht="16.5" x14ac:dyDescent="0.3">
      <c r="A4573" s="10" t="str">
        <f>基本属性!$B$11&amp;"|"&amp;基本属性!$C$11</f>
        <v>80|1</v>
      </c>
      <c r="B4573" s="10" t="str">
        <f>参数调整!$J$31</f>
        <v>小怪掉落</v>
      </c>
      <c r="C4573" s="8" t="str">
        <f>材料产出!$HW$2</f>
        <v>特戒装备</v>
      </c>
      <c r="D4573" s="225"/>
    </row>
    <row r="4574" spans="1:4" ht="16.5" x14ac:dyDescent="0.3">
      <c r="A4574" s="10" t="str">
        <f>基本属性!$B$12&amp;"|"&amp;基本属性!$C$12</f>
        <v>90|2</v>
      </c>
      <c r="B4574" s="10" t="str">
        <f>参数调整!$J$31</f>
        <v>小怪掉落</v>
      </c>
      <c r="C4574" s="8" t="str">
        <f>材料产出!$HW$2</f>
        <v>特戒装备</v>
      </c>
      <c r="D4574" s="225"/>
    </row>
    <row r="4575" spans="1:4" ht="16.5" x14ac:dyDescent="0.3">
      <c r="A4575" s="10" t="str">
        <f>基本属性!$B$13&amp;"|"&amp;基本属性!$C$13</f>
        <v>100|3</v>
      </c>
      <c r="B4575" s="10" t="str">
        <f>参数调整!$J$31</f>
        <v>小怪掉落</v>
      </c>
      <c r="C4575" s="8" t="str">
        <f>材料产出!$HW$2</f>
        <v>特戒装备</v>
      </c>
      <c r="D4575" s="225"/>
    </row>
    <row r="4576" spans="1:4" ht="16.5" x14ac:dyDescent="0.3">
      <c r="A4576" s="10" t="str">
        <f>基本属性!$B$14&amp;"|"&amp;基本属性!$C$14</f>
        <v>105|4</v>
      </c>
      <c r="B4576" s="10" t="str">
        <f>参数调整!$J$31</f>
        <v>小怪掉落</v>
      </c>
      <c r="C4576" s="8" t="str">
        <f>材料产出!$HW$2</f>
        <v>特戒装备</v>
      </c>
      <c r="D4576" s="225"/>
    </row>
    <row r="4577" spans="1:4" ht="16.5" x14ac:dyDescent="0.3">
      <c r="A4577" s="10" t="str">
        <f>基本属性!$B$15&amp;"|"&amp;基本属性!$C$15</f>
        <v>110|5</v>
      </c>
      <c r="B4577" s="10" t="str">
        <f>参数调整!$J$31</f>
        <v>小怪掉落</v>
      </c>
      <c r="C4577" s="8" t="str">
        <f>材料产出!$HW$2</f>
        <v>特戒装备</v>
      </c>
      <c r="D4577" s="225"/>
    </row>
    <row r="4578" spans="1:4" ht="16.5" x14ac:dyDescent="0.3">
      <c r="A4578" s="10" t="str">
        <f>基本属性!$B$16&amp;"|"&amp;基本属性!$C$16</f>
        <v>120|6</v>
      </c>
      <c r="B4578" s="10" t="str">
        <f>参数调整!$J$31</f>
        <v>小怪掉落</v>
      </c>
      <c r="C4578" s="8" t="str">
        <f>材料产出!$HW$2</f>
        <v>特戒装备</v>
      </c>
      <c r="D4578" s="225"/>
    </row>
    <row r="4579" spans="1:4" ht="16.5" x14ac:dyDescent="0.3">
      <c r="A4579" s="10" t="str">
        <f>基本属性!$B$17&amp;"|"&amp;基本属性!$C$17</f>
        <v>135|7</v>
      </c>
      <c r="B4579" s="10" t="str">
        <f>参数调整!$J$31</f>
        <v>小怪掉落</v>
      </c>
      <c r="C4579" s="8" t="str">
        <f>材料产出!$HW$2</f>
        <v>特戒装备</v>
      </c>
      <c r="D4579" s="225"/>
    </row>
    <row r="4580" spans="1:4" ht="16.5" x14ac:dyDescent="0.3">
      <c r="A4580" s="10" t="str">
        <f>基本属性!$B$18&amp;"|"&amp;基本属性!$C$18</f>
        <v>155|8</v>
      </c>
      <c r="B4580" s="10" t="str">
        <f>参数调整!$J$31</f>
        <v>小怪掉落</v>
      </c>
      <c r="C4580" s="8" t="str">
        <f>材料产出!$HW$2</f>
        <v>特戒装备</v>
      </c>
      <c r="D4580" s="225"/>
    </row>
    <row r="4581" spans="1:4" ht="16.5" x14ac:dyDescent="0.3">
      <c r="A4581" s="10" t="str">
        <f>基本属性!$B$19&amp;"|"&amp;基本属性!$C$19</f>
        <v>190|9</v>
      </c>
      <c r="B4581" s="10" t="str">
        <f>参数调整!$J$31</f>
        <v>小怪掉落</v>
      </c>
      <c r="C4581" s="8" t="str">
        <f>材料产出!$HW$2</f>
        <v>特戒装备</v>
      </c>
      <c r="D4581" s="225"/>
    </row>
    <row r="4582" spans="1:4" ht="16.5" x14ac:dyDescent="0.3">
      <c r="A4582" s="10" t="str">
        <f>基本属性!$B$20&amp;"|"&amp;基本属性!$C$20</f>
        <v>200|10</v>
      </c>
      <c r="B4582" s="10" t="str">
        <f>参数调整!$J$31</f>
        <v>小怪掉落</v>
      </c>
      <c r="C4582" s="8" t="str">
        <f>材料产出!$HW$2</f>
        <v>特戒装备</v>
      </c>
      <c r="D4582" s="225"/>
    </row>
    <row r="4583" spans="1:4" ht="16.5" x14ac:dyDescent="0.3">
      <c r="A4583" s="10" t="str">
        <f>基本属性!$B$21&amp;"|"&amp;基本属性!$C$21</f>
        <v>200|11</v>
      </c>
      <c r="B4583" s="10" t="str">
        <f>参数调整!$J$31</f>
        <v>小怪掉落</v>
      </c>
      <c r="C4583" s="8" t="str">
        <f>材料产出!$HW$2</f>
        <v>特戒装备</v>
      </c>
      <c r="D4583" s="225"/>
    </row>
    <row r="4584" spans="1:4" ht="16.5" x14ac:dyDescent="0.3">
      <c r="A4584" s="10" t="str">
        <f>基本属性!$B$22&amp;"|"&amp;基本属性!$C$22</f>
        <v>210|12</v>
      </c>
      <c r="B4584" s="10" t="str">
        <f>参数调整!$J$31</f>
        <v>小怪掉落</v>
      </c>
      <c r="C4584" s="8" t="str">
        <f>材料产出!$HW$2</f>
        <v>特戒装备</v>
      </c>
      <c r="D4584" s="225"/>
    </row>
    <row r="4585" spans="1:4" ht="16.5" x14ac:dyDescent="0.3">
      <c r="A4585" s="10" t="str">
        <f>基本属性!$B$23&amp;"|"&amp;基本属性!$C$23</f>
        <v>210|13</v>
      </c>
      <c r="B4585" s="10" t="str">
        <f>参数调整!$J$31</f>
        <v>小怪掉落</v>
      </c>
      <c r="C4585" s="8" t="str">
        <f>材料产出!$HW$2</f>
        <v>特戒装备</v>
      </c>
      <c r="D4585" s="225"/>
    </row>
    <row r="4586" spans="1:4" ht="16.5" x14ac:dyDescent="0.3">
      <c r="A4586" s="10" t="str">
        <f>基本属性!$B$24&amp;"|"&amp;基本属性!$C$24</f>
        <v>220|14</v>
      </c>
      <c r="B4586" s="10" t="str">
        <f>参数调整!$J$31</f>
        <v>小怪掉落</v>
      </c>
      <c r="C4586" s="8" t="str">
        <f>材料产出!$HW$2</f>
        <v>特戒装备</v>
      </c>
      <c r="D4586" s="225"/>
    </row>
    <row r="4587" spans="1:4" ht="16.5" x14ac:dyDescent="0.3">
      <c r="A4587" s="10" t="str">
        <f>基本属性!$B$25&amp;"|"&amp;基本属性!$C$25</f>
        <v>220|15</v>
      </c>
      <c r="B4587" s="10" t="str">
        <f>参数调整!$J$31</f>
        <v>小怪掉落</v>
      </c>
      <c r="C4587" s="8" t="str">
        <f>材料产出!$HW$2</f>
        <v>特戒装备</v>
      </c>
      <c r="D4587" s="225"/>
    </row>
    <row r="4588" spans="1:4" ht="16.5" x14ac:dyDescent="0.3">
      <c r="A4588" s="10" t="str">
        <f>基本属性!$B$26&amp;"|"&amp;基本属性!$C$26</f>
        <v>230|16</v>
      </c>
      <c r="B4588" s="10" t="str">
        <f>参数调整!$J$31</f>
        <v>小怪掉落</v>
      </c>
      <c r="C4588" s="8" t="str">
        <f>材料产出!$HW$2</f>
        <v>特戒装备</v>
      </c>
      <c r="D4588" s="225"/>
    </row>
    <row r="4589" spans="1:4" ht="16.5" x14ac:dyDescent="0.3">
      <c r="A4589" s="10" t="str">
        <f>基本属性!$B$27&amp;"|"&amp;基本属性!$C$27</f>
        <v>230|17</v>
      </c>
      <c r="B4589" s="10" t="str">
        <f>参数调整!$J$31</f>
        <v>小怪掉落</v>
      </c>
      <c r="C4589" s="8" t="str">
        <f>材料产出!$HW$2</f>
        <v>特戒装备</v>
      </c>
      <c r="D4589" s="225"/>
    </row>
    <row r="4590" spans="1:4" ht="16.5" x14ac:dyDescent="0.3">
      <c r="A4590" s="10" t="str">
        <f>基本属性!$B$28&amp;"|"&amp;基本属性!$C$28</f>
        <v>240|18</v>
      </c>
      <c r="B4590" s="10" t="str">
        <f>参数调整!$J$31</f>
        <v>小怪掉落</v>
      </c>
      <c r="C4590" s="8" t="str">
        <f>材料产出!$HW$2</f>
        <v>特戒装备</v>
      </c>
      <c r="D4590" s="225"/>
    </row>
    <row r="4591" spans="1:4" ht="16.5" x14ac:dyDescent="0.3">
      <c r="A4591" s="10" t="str">
        <f>基本属性!$B$29&amp;"|"&amp;基本属性!$C$29</f>
        <v>240|19</v>
      </c>
      <c r="B4591" s="10" t="str">
        <f>参数调整!$J$31</f>
        <v>小怪掉落</v>
      </c>
      <c r="C4591" s="8" t="str">
        <f>材料产出!$HW$2</f>
        <v>特戒装备</v>
      </c>
      <c r="D4591" s="225"/>
    </row>
    <row r="4592" spans="1:4" ht="16.5" x14ac:dyDescent="0.3">
      <c r="A4592" s="10" t="str">
        <f>基本属性!$B$30&amp;"|"&amp;基本属性!$C$30</f>
        <v>250|20</v>
      </c>
      <c r="B4592" s="10" t="str">
        <f>参数调整!$J$31</f>
        <v>小怪掉落</v>
      </c>
      <c r="C4592" s="8" t="str">
        <f>材料产出!$HW$2</f>
        <v>特戒装备</v>
      </c>
      <c r="D4592" s="225"/>
    </row>
    <row r="4593" spans="1:4" ht="16.5" x14ac:dyDescent="0.3">
      <c r="A4593" s="10" t="str">
        <f>基本属性!$B$4&amp;"|"&amp;基本属性!$C$4</f>
        <v>35|0</v>
      </c>
      <c r="B4593" s="10" t="str">
        <f>参数调整!$J$31</f>
        <v>小怪掉落</v>
      </c>
      <c r="C4593" s="8" t="str">
        <f>材料产出!$BF$2</f>
        <v>首饰碎片</v>
      </c>
      <c r="D4593" s="224">
        <f>材料产出!$BF$4/(基本属性!$A$4/(基本属性!$AS$4*1/3600))*材料产出!$D$4</f>
        <v>4.0583486041949771E-5</v>
      </c>
    </row>
    <row r="4594" spans="1:4" ht="16.5" x14ac:dyDescent="0.3">
      <c r="A4594" s="10" t="str">
        <f>基本属性!$B$5&amp;"|"&amp;基本属性!$C$5</f>
        <v>40|0</v>
      </c>
      <c r="B4594" s="10" t="str">
        <f>参数调整!$J$31</f>
        <v>小怪掉落</v>
      </c>
      <c r="C4594" s="8" t="str">
        <f>材料产出!$BF$2</f>
        <v>首饰碎片</v>
      </c>
      <c r="D4594" s="224">
        <f>材料产出!$BF$5/(基本属性!$A$5/(基本属性!$AS$5*1/3600))*材料产出!$D$5</f>
        <v>5.136347452184268E-5</v>
      </c>
    </row>
    <row r="4595" spans="1:4" ht="16.5" x14ac:dyDescent="0.3">
      <c r="A4595" s="10" t="str">
        <f>基本属性!$B$6&amp;"|"&amp;基本属性!$C$6</f>
        <v>50|0</v>
      </c>
      <c r="B4595" s="10" t="str">
        <f>参数调整!$J$31</f>
        <v>小怪掉落</v>
      </c>
      <c r="C4595" s="8" t="str">
        <f>材料产出!$BF$2</f>
        <v>首饰碎片</v>
      </c>
      <c r="D4595" s="224">
        <f>材料产出!$BF$6/(基本属性!$A$6/(基本属性!$AS$6*1/3600))*材料产出!$D$6</f>
        <v>6.3411696940546513E-5</v>
      </c>
    </row>
    <row r="4596" spans="1:4" ht="16.5" x14ac:dyDescent="0.3">
      <c r="A4596" s="10" t="str">
        <f>基本属性!$B$7&amp;"|"&amp;基本属性!$C$7</f>
        <v>60|0</v>
      </c>
      <c r="B4596" s="10" t="str">
        <f>参数调整!$J$31</f>
        <v>小怪掉落</v>
      </c>
      <c r="C4596" s="8" t="str">
        <f>材料产出!$BF$2</f>
        <v>首饰碎片</v>
      </c>
      <c r="D4596" s="224">
        <f>材料产出!$BF$7/(基本属性!$A$7/(基本属性!$AS$7*1/3600))*材料产出!$D$7</f>
        <v>7.6728153298061299E-5</v>
      </c>
    </row>
    <row r="4597" spans="1:4" ht="16.5" x14ac:dyDescent="0.3">
      <c r="A4597" s="10" t="str">
        <f>基本属性!$B$8&amp;"|"&amp;基本属性!$C$8</f>
        <v>65|0</v>
      </c>
      <c r="B4597" s="10" t="str">
        <f>参数调整!$J$31</f>
        <v>小怪掉落</v>
      </c>
      <c r="C4597" s="8" t="str">
        <f>材料产出!$BF$2</f>
        <v>首饰碎片</v>
      </c>
      <c r="D4597" s="224">
        <f>材料产出!$BF$8/(基本属性!$A$8/(基本属性!$AS$8*1/3600))*材料产出!$D$8</f>
        <v>9.1312843594386982E-5</v>
      </c>
    </row>
    <row r="4598" spans="1:4" ht="16.5" x14ac:dyDescent="0.3">
      <c r="A4598" s="10" t="str">
        <f>基本属性!$B$9&amp;"|"&amp;基本属性!$C$9</f>
        <v>70|0</v>
      </c>
      <c r="B4598" s="10" t="str">
        <f>参数调整!$J$31</f>
        <v>小怪掉落</v>
      </c>
      <c r="C4598" s="8" t="str">
        <f>材料产出!$BF$2</f>
        <v>首饰碎片</v>
      </c>
      <c r="D4598" s="224">
        <f>材料产出!$BF$9/(基本属性!$A$9/(基本属性!$AS$9*1/3600))*材料产出!$D$9</f>
        <v>1.0716576782952362E-4</v>
      </c>
    </row>
    <row r="4599" spans="1:4" ht="16.5" x14ac:dyDescent="0.3">
      <c r="A4599" s="10" t="str">
        <f>基本属性!$B$10&amp;"|"&amp;基本属性!$C$10</f>
        <v>75|0</v>
      </c>
      <c r="B4599" s="10" t="str">
        <f>参数调整!$J$31</f>
        <v>小怪掉落</v>
      </c>
      <c r="C4599" s="8" t="str">
        <f>材料产出!$BF$2</f>
        <v>首饰碎片</v>
      </c>
      <c r="D4599" s="224">
        <f>材料产出!$BF$10/(基本属性!$A$10/(基本属性!$AS$10*1/3600))*材料产出!$D$10</f>
        <v>1.2428692600347115E-4</v>
      </c>
    </row>
    <row r="4600" spans="1:4" ht="16.5" x14ac:dyDescent="0.3">
      <c r="A4600" s="10" t="str">
        <f>基本属性!$B$11&amp;"|"&amp;基本属性!$C$11</f>
        <v>80|1</v>
      </c>
      <c r="B4600" s="10" t="str">
        <f>参数调整!$J$31</f>
        <v>小怪掉落</v>
      </c>
      <c r="C4600" s="8" t="str">
        <f>材料产出!$BF$2</f>
        <v>首饰碎片</v>
      </c>
      <c r="D4600" s="224">
        <f>材料产出!$BF$11/(基本属性!$A$11/(基本属性!$AS$11*1/3600))*材料产出!$D$11</f>
        <v>1.4267631811622968E-4</v>
      </c>
    </row>
    <row r="4601" spans="1:4" ht="16.5" x14ac:dyDescent="0.3">
      <c r="A4601" s="10" t="str">
        <f>基本属性!$B$12&amp;"|"&amp;基本属性!$C$12</f>
        <v>90|2</v>
      </c>
      <c r="B4601" s="10" t="str">
        <f>参数调整!$J$31</f>
        <v>小怪掉落</v>
      </c>
      <c r="C4601" s="8" t="str">
        <f>材料产出!$BF$2</f>
        <v>首饰碎片</v>
      </c>
      <c r="D4601" s="224">
        <f>材料产出!$BF$12/(基本属性!$A$12/(基本属性!$AS$12*1/3600))*材料产出!$D$12</f>
        <v>1.6233394416779914E-4</v>
      </c>
    </row>
    <row r="4602" spans="1:4" ht="16.5" x14ac:dyDescent="0.3">
      <c r="A4602" s="10" t="str">
        <f>基本属性!$B$13&amp;"|"&amp;基本属性!$C$13</f>
        <v>100|3</v>
      </c>
      <c r="B4602" s="10" t="str">
        <f>参数调整!$J$31</f>
        <v>小怪掉落</v>
      </c>
      <c r="C4602" s="8" t="str">
        <f>材料产出!$BF$2</f>
        <v>首饰碎片</v>
      </c>
      <c r="D4602" s="224">
        <f>材料产出!$BF$13/(基本属性!$A$13/(基本属性!$AS$13*1/3600))*材料产出!$D$13</f>
        <v>2.0545389808737075E-4</v>
      </c>
    </row>
    <row r="4603" spans="1:4" ht="16.5" x14ac:dyDescent="0.3">
      <c r="A4603" s="10" t="str">
        <f>基本属性!$B$14&amp;"|"&amp;基本属性!$C$14</f>
        <v>105|4</v>
      </c>
      <c r="B4603" s="10" t="str">
        <f>参数调整!$J$31</f>
        <v>小怪掉落</v>
      </c>
      <c r="C4603" s="8" t="str">
        <f>材料产出!$BF$2</f>
        <v>首饰碎片</v>
      </c>
      <c r="D4603" s="224">
        <f>材料产出!$BF$14/(基本属性!$A$14/(基本属性!$AS$14*1/3600))*材料产出!$D$14</f>
        <v>2.5364678776218611E-4</v>
      </c>
    </row>
    <row r="4604" spans="1:4" ht="16.5" x14ac:dyDescent="0.3">
      <c r="A4604" s="10" t="str">
        <f>基本属性!$B$15&amp;"|"&amp;基本属性!$C$15</f>
        <v>110|5</v>
      </c>
      <c r="B4604" s="10" t="str">
        <f>参数调整!$J$31</f>
        <v>小怪掉落</v>
      </c>
      <c r="C4604" s="8" t="str">
        <f>材料产出!$BF$2</f>
        <v>首饰碎片</v>
      </c>
      <c r="D4604" s="224">
        <f>材料产出!$BF$15/(基本属性!$A$15/(基本属性!$AS$15*1/3600))*材料产出!$D$15</f>
        <v>3.0691261319224519E-4</v>
      </c>
    </row>
    <row r="4605" spans="1:4" ht="16.5" x14ac:dyDescent="0.3">
      <c r="A4605" s="10" t="str">
        <f>基本属性!$B$16&amp;"|"&amp;基本属性!$C$16</f>
        <v>120|6</v>
      </c>
      <c r="B4605" s="10" t="str">
        <f>参数调整!$J$31</f>
        <v>小怪掉落</v>
      </c>
      <c r="C4605" s="8" t="str">
        <f>材料产出!$BF$2</f>
        <v>首饰碎片</v>
      </c>
      <c r="D4605" s="224">
        <f>材料产出!$BF$16/(基本属性!$A$16/(基本属性!$AS$16*1/3600))*材料产出!$D$16</f>
        <v>3.9632310587841576E-4</v>
      </c>
    </row>
    <row r="4606" spans="1:4" ht="16.5" x14ac:dyDescent="0.3">
      <c r="A4606" s="10" t="str">
        <f>基本属性!$B$17&amp;"|"&amp;基本属性!$C$17</f>
        <v>135|7</v>
      </c>
      <c r="B4606" s="10" t="str">
        <f>参数调整!$J$31</f>
        <v>小怪掉落</v>
      </c>
      <c r="C4606" s="8" t="str">
        <f>材料产出!$BF$2</f>
        <v>首饰碎片</v>
      </c>
      <c r="D4606" s="224">
        <f>材料产出!$BF$17/(基本属性!$A$17/(基本属性!$AS$17*1/3600))*材料产出!$D$17</f>
        <v>5.7070527246491859E-4</v>
      </c>
    </row>
    <row r="4607" spans="1:4" ht="16.5" x14ac:dyDescent="0.3">
      <c r="A4607" s="10" t="str">
        <f>基本属性!$B$18&amp;"|"&amp;基本属性!$C$18</f>
        <v>155|8</v>
      </c>
      <c r="B4607" s="10" t="str">
        <f>参数调整!$J$31</f>
        <v>小怪掉落</v>
      </c>
      <c r="C4607" s="8" t="str">
        <f>材料产出!$BF$2</f>
        <v>首饰碎片</v>
      </c>
      <c r="D4607" s="224">
        <f>材料产出!$BF$18/(基本属性!$A$18/(基本属性!$AS$18*1/3600))*材料产出!$D$18</f>
        <v>7.7679328752169494E-4</v>
      </c>
    </row>
    <row r="4608" spans="1:4" ht="16.5" x14ac:dyDescent="0.3">
      <c r="A4608" s="10" t="str">
        <f>基本属性!$B$19&amp;"|"&amp;基本属性!$C$19</f>
        <v>190|9</v>
      </c>
      <c r="B4608" s="10" t="str">
        <f>参数调整!$J$31</f>
        <v>小怪掉落</v>
      </c>
      <c r="C4608" s="8" t="str">
        <f>材料产出!$BF$2</f>
        <v>首饰碎片</v>
      </c>
      <c r="D4608" s="224">
        <f>材料产出!$BF$19/(基本属性!$A$19/(基本属性!$AS$19*1/3600))*材料产出!$D$19</f>
        <v>8.6810613111608186E-4</v>
      </c>
    </row>
    <row r="4609" spans="1:4" ht="16.5" x14ac:dyDescent="0.3">
      <c r="A4609" s="10" t="str">
        <f>基本属性!$B$20&amp;"|"&amp;基本属性!$C$20</f>
        <v>200|10</v>
      </c>
      <c r="B4609" s="10" t="str">
        <f>参数调整!$J$31</f>
        <v>小怪掉落</v>
      </c>
      <c r="C4609" s="8" t="str">
        <f>材料产出!$BF$2</f>
        <v>首饰碎片</v>
      </c>
      <c r="D4609" s="224">
        <f>材料产出!$BF$20/(基本属性!$A$20/(基本属性!$AS$20*1/3600))*材料产出!$D$20</f>
        <v>1.0145871510487444E-3</v>
      </c>
    </row>
    <row r="4610" spans="1:4" ht="16.5" x14ac:dyDescent="0.3">
      <c r="A4610" s="10" t="str">
        <f>基本属性!$B$21&amp;"|"&amp;基本属性!$C$21</f>
        <v>200|11</v>
      </c>
      <c r="B4610" s="10" t="str">
        <f>参数调整!$J$31</f>
        <v>小怪掉落</v>
      </c>
      <c r="C4610" s="8" t="str">
        <f>材料产出!$BF$2</f>
        <v>首饰碎片</v>
      </c>
      <c r="D4610" s="224">
        <f>材料产出!$BF$21/(基本属性!$A$21/(基本属性!$AS$21*1/3600))*材料产出!$D$21</f>
        <v>1.1724822764307048E-3</v>
      </c>
    </row>
    <row r="4611" spans="1:4" ht="16.5" x14ac:dyDescent="0.3">
      <c r="A4611" s="10" t="str">
        <f>基本属性!$B$22&amp;"|"&amp;基本属性!$C$22</f>
        <v>210|12</v>
      </c>
      <c r="B4611" s="10" t="str">
        <f>参数调整!$J$31</f>
        <v>小怪掉落</v>
      </c>
      <c r="C4611" s="8" t="str">
        <f>材料产出!$BF$2</f>
        <v>首饰碎片</v>
      </c>
      <c r="D4611" s="224">
        <f>材料产出!$BF$22/(基本属性!$A$22/(基本属性!$AS$22*1/3600))*材料产出!$D$22</f>
        <v>1.3417915072619639E-3</v>
      </c>
    </row>
    <row r="4612" spans="1:4" ht="16.5" x14ac:dyDescent="0.3">
      <c r="A4612" s="10" t="str">
        <f>基本属性!$B$23&amp;"|"&amp;基本属性!$C$23</f>
        <v>210|13</v>
      </c>
      <c r="B4612" s="10" t="str">
        <f>参数调整!$J$31</f>
        <v>小怪掉落</v>
      </c>
      <c r="C4612" s="8" t="str">
        <f>材料产出!$BF$2</f>
        <v>首饰碎片</v>
      </c>
      <c r="D4612" s="224">
        <f>材料产出!$BF$23/(基本属性!$A$23/(基本属性!$AS$23*1/3600))*材料产出!$D$23</f>
        <v>1.5225148435425221E-3</v>
      </c>
    </row>
    <row r="4613" spans="1:4" ht="16.5" x14ac:dyDescent="0.3">
      <c r="A4613" s="10" t="str">
        <f>基本属性!$B$24&amp;"|"&amp;基本属性!$C$24</f>
        <v>220|14</v>
      </c>
      <c r="B4613" s="10" t="str">
        <f>参数调整!$J$31</f>
        <v>小怪掉落</v>
      </c>
      <c r="C4613" s="8" t="str">
        <f>材料产出!$BF$2</f>
        <v>首饰碎片</v>
      </c>
      <c r="D4613" s="224">
        <f>材料产出!$BF$24/(基本属性!$A$24/(基本属性!$AS$24*1/3600))*材料产出!$D$24</f>
        <v>1.7146522852723779E-3</v>
      </c>
    </row>
    <row r="4614" spans="1:4" ht="16.5" x14ac:dyDescent="0.3">
      <c r="A4614" s="10" t="str">
        <f>基本属性!$B$25&amp;"|"&amp;基本属性!$C$25</f>
        <v>220|15</v>
      </c>
      <c r="B4614" s="10" t="str">
        <f>参数调整!$J$31</f>
        <v>小怪掉落</v>
      </c>
      <c r="C4614" s="8" t="str">
        <f>材料产出!$BF$2</f>
        <v>首饰碎片</v>
      </c>
      <c r="D4614" s="224">
        <f>材料产出!$BF$25/(基本属性!$A$25/(基本属性!$AS$25*1/3600))*材料产出!$D$25</f>
        <v>1.9182038324515318E-3</v>
      </c>
    </row>
    <row r="4615" spans="1:4" ht="16.5" x14ac:dyDescent="0.3">
      <c r="A4615" s="10" t="str">
        <f>基本属性!$B$26&amp;"|"&amp;基本属性!$C$26</f>
        <v>230|16</v>
      </c>
      <c r="B4615" s="10" t="str">
        <f>参数调整!$J$31</f>
        <v>小怪掉落</v>
      </c>
      <c r="C4615" s="8" t="str">
        <f>材料产出!$BF$2</f>
        <v>首饰碎片</v>
      </c>
      <c r="D4615" s="224">
        <f>材料产出!$BF$26/(基本属性!$A$26/(基本属性!$AS$26*1/3600))*材料产出!$D$26</f>
        <v>2.1331694850799843E-3</v>
      </c>
    </row>
    <row r="4616" spans="1:4" ht="16.5" x14ac:dyDescent="0.3">
      <c r="A4616" s="10" t="str">
        <f>基本属性!$B$27&amp;"|"&amp;基本属性!$C$27</f>
        <v>230|17</v>
      </c>
      <c r="B4616" s="10" t="str">
        <f>参数调整!$J$31</f>
        <v>小怪掉落</v>
      </c>
      <c r="C4616" s="8" t="str">
        <f>材料产出!$BF$2</f>
        <v>首饰碎片</v>
      </c>
      <c r="D4616" s="224">
        <f>材料产出!$BF$27/(基本属性!$A$27/(基本属性!$AS$27*1/3600))*材料产出!$D$27</f>
        <v>2.3595492431577355E-3</v>
      </c>
    </row>
    <row r="4617" spans="1:4" ht="16.5" x14ac:dyDescent="0.3">
      <c r="A4617" s="10" t="str">
        <f>基本属性!$B$28&amp;"|"&amp;基本属性!$C$28</f>
        <v>240|18</v>
      </c>
      <c r="B4617" s="10" t="str">
        <f>参数调整!$J$31</f>
        <v>小怪掉落</v>
      </c>
      <c r="C4617" s="8" t="str">
        <f>材料产出!$BF$2</f>
        <v>首饰碎片</v>
      </c>
      <c r="D4617" s="224">
        <f>材料产出!$BF$28/(基本属性!$A$28/(基本属性!$AS$28*1/3600))*材料产出!$D$28</f>
        <v>2.5973431066847858E-3</v>
      </c>
    </row>
    <row r="4618" spans="1:4" ht="16.5" x14ac:dyDescent="0.3">
      <c r="A4618" s="10" t="str">
        <f>基本属性!$B$29&amp;"|"&amp;基本属性!$C$29</f>
        <v>240|19</v>
      </c>
      <c r="B4618" s="10" t="str">
        <f>参数调整!$J$31</f>
        <v>小怪掉落</v>
      </c>
      <c r="C4618" s="8" t="str">
        <f>材料产出!$BF$2</f>
        <v>首饰碎片</v>
      </c>
      <c r="D4618" s="224">
        <f>材料产出!$BF$29/(基本属性!$A$29/(基本属性!$AS$29*1/3600))*材料产出!$D$29</f>
        <v>2.8465510756611333E-3</v>
      </c>
    </row>
    <row r="4619" spans="1:4" ht="16.5" x14ac:dyDescent="0.3">
      <c r="A4619" s="10" t="str">
        <f>基本属性!$B$30&amp;"|"&amp;基本属性!$C$30</f>
        <v>250|20</v>
      </c>
      <c r="B4619" s="10" t="str">
        <f>参数调整!$J$31</f>
        <v>小怪掉落</v>
      </c>
      <c r="C4619" s="8" t="str">
        <f>材料产出!$BF$2</f>
        <v>首饰碎片</v>
      </c>
      <c r="D4619" s="224">
        <f>材料产出!$BF$30/(基本属性!$A$30/(基本属性!$AS$30*1/3600))*材料产出!$D$30</f>
        <v>3.1071731500867789E-3</v>
      </c>
    </row>
    <row r="4620" spans="1:4" ht="16.5" x14ac:dyDescent="0.3">
      <c r="A4620" s="10" t="str">
        <f>基本属性!$B$4&amp;"|"&amp;基本属性!$C$4</f>
        <v>35|0</v>
      </c>
      <c r="B4620" s="10" t="str">
        <f>参数调整!$J$31</f>
        <v>小怪掉落</v>
      </c>
      <c r="C4620" s="8" t="str">
        <f>材料产出!$P$2</f>
        <v>声望</v>
      </c>
      <c r="D4620" s="224">
        <f>材料产出!$N$4/(基本属性!$A$4/(基本属性!$AS$4*1/3600))*材料产出!$D$4</f>
        <v>6.4950093732583473E-3</v>
      </c>
    </row>
    <row r="4621" spans="1:4" ht="16.5" x14ac:dyDescent="0.3">
      <c r="A4621" s="10" t="str">
        <f>基本属性!$B$5&amp;"|"&amp;基本属性!$C$5</f>
        <v>40|0</v>
      </c>
      <c r="B4621" s="10" t="str">
        <f>参数调整!$J$31</f>
        <v>小怪掉落</v>
      </c>
      <c r="C4621" s="8" t="str">
        <f>材料产出!$P$2</f>
        <v>声望</v>
      </c>
      <c r="D4621" s="224">
        <f>材料产出!$N$5/(基本属性!$A$5/(基本属性!$AS$5*1/3600))*材料产出!$D$5</f>
        <v>8.2202462380300961E-3</v>
      </c>
    </row>
    <row r="4622" spans="1:4" ht="16.5" x14ac:dyDescent="0.3">
      <c r="A4622" s="10" t="str">
        <f>基本属性!$B$6&amp;"|"&amp;基本属性!$C$6</f>
        <v>50|0</v>
      </c>
      <c r="B4622" s="10" t="str">
        <f>参数调整!$J$31</f>
        <v>小怪掉落</v>
      </c>
      <c r="C4622" s="8" t="str">
        <f>材料产出!$P$2</f>
        <v>声望</v>
      </c>
      <c r="D4622" s="224">
        <f>材料产出!$N$6/(基本属性!$A$6/(基本属性!$AS$6*1/3600))*材料产出!$D$6</f>
        <v>1.0148452145716167E-2</v>
      </c>
    </row>
    <row r="4623" spans="1:4" ht="16.5" x14ac:dyDescent="0.3">
      <c r="A4623" s="10" t="str">
        <f>基本属性!$B$7&amp;"|"&amp;基本属性!$C$7</f>
        <v>60|0</v>
      </c>
      <c r="B4623" s="10" t="str">
        <f>参数调整!$J$31</f>
        <v>小怪掉落</v>
      </c>
      <c r="C4623" s="8" t="str">
        <f>材料产出!$P$2</f>
        <v>声望</v>
      </c>
      <c r="D4623" s="224">
        <f>材料产出!$N$7/(基本属性!$A$7/(基本属性!$AS$7*1/3600))*材料产出!$D$7</f>
        <v>1.2279627096316564E-2</v>
      </c>
    </row>
    <row r="4624" spans="1:4" ht="16.5" x14ac:dyDescent="0.3">
      <c r="A4624" s="10" t="str">
        <f>基本属性!$B$8&amp;"|"&amp;基本属性!$C$8</f>
        <v>65|0</v>
      </c>
      <c r="B4624" s="10" t="str">
        <f>参数调整!$J$31</f>
        <v>小怪掉落</v>
      </c>
      <c r="C4624" s="8" t="str">
        <f>材料产出!$P$2</f>
        <v>声望</v>
      </c>
      <c r="D4624" s="224">
        <f>材料产出!$N$8/(基本属性!$A$8/(基本属性!$AS$8*1/3600))*材料产出!$D$8</f>
        <v>1.4613771089831281E-2</v>
      </c>
    </row>
    <row r="4625" spans="1:4" ht="16.5" x14ac:dyDescent="0.3">
      <c r="A4625" s="10" t="str">
        <f>基本属性!$B$9&amp;"|"&amp;基本属性!$C$9</f>
        <v>70|0</v>
      </c>
      <c r="B4625" s="10" t="str">
        <f>参数调整!$J$31</f>
        <v>小怪掉落</v>
      </c>
      <c r="C4625" s="8" t="str">
        <f>材料产出!$P$2</f>
        <v>声望</v>
      </c>
      <c r="D4625" s="224">
        <f>材料产出!$N$9/(基本属性!$A$9/(基本属性!$AS$9*1/3600))*材料产出!$D$9</f>
        <v>1.7150884126260323E-2</v>
      </c>
    </row>
    <row r="4626" spans="1:4" ht="16.5" x14ac:dyDescent="0.3">
      <c r="A4626" s="10" t="str">
        <f>基本属性!$B$10&amp;"|"&amp;基本属性!$C$10</f>
        <v>75|0</v>
      </c>
      <c r="B4626" s="10" t="str">
        <f>参数调整!$J$31</f>
        <v>小怪掉落</v>
      </c>
      <c r="C4626" s="8" t="str">
        <f>材料产出!$P$2</f>
        <v>声望</v>
      </c>
      <c r="D4626" s="224">
        <f>材料产出!$N$10/(基本属性!$A$10/(基本属性!$AS$10*1/3600))*材料产出!$D$10</f>
        <v>1.9890966205603686E-2</v>
      </c>
    </row>
    <row r="4627" spans="1:4" ht="16.5" x14ac:dyDescent="0.3">
      <c r="A4627" s="10" t="str">
        <f>基本属性!$B$11&amp;"|"&amp;基本属性!$C$11</f>
        <v>80|1</v>
      </c>
      <c r="B4627" s="10" t="str">
        <f>参数调整!$J$31</f>
        <v>小怪掉落</v>
      </c>
      <c r="C4627" s="8" t="str">
        <f>材料产出!$P$2</f>
        <v>声望</v>
      </c>
      <c r="D4627" s="224">
        <f>材料产出!$N$11/(基本属性!$A$11/(基本属性!$AS$11*1/3600))*材料产出!$D$11</f>
        <v>2.2834017327861375E-2</v>
      </c>
    </row>
    <row r="4628" spans="1:4" ht="16.5" x14ac:dyDescent="0.3">
      <c r="A4628" s="10" t="str">
        <f>基本属性!$B$12&amp;"|"&amp;基本属性!$C$12</f>
        <v>90|2</v>
      </c>
      <c r="B4628" s="10" t="str">
        <f>参数调整!$J$31</f>
        <v>小怪掉落</v>
      </c>
      <c r="C4628" s="8" t="str">
        <f>材料产出!$P$2</f>
        <v>声望</v>
      </c>
      <c r="D4628" s="224">
        <f>材料产出!$N$12/(基本属性!$A$12/(基本属性!$AS$12*1/3600))*材料产出!$D$12</f>
        <v>2.5980037493033393E-2</v>
      </c>
    </row>
    <row r="4629" spans="1:4" ht="16.5" x14ac:dyDescent="0.3">
      <c r="A4629" s="10" t="str">
        <f>基本属性!$B$13&amp;"|"&amp;基本属性!$C$13</f>
        <v>100|3</v>
      </c>
      <c r="B4629" s="10" t="str">
        <f>参数调整!$J$31</f>
        <v>小怪掉落</v>
      </c>
      <c r="C4629" s="8" t="str">
        <f>材料产出!$P$2</f>
        <v>声望</v>
      </c>
      <c r="D4629" s="224">
        <f>材料产出!$N$13/(基本属性!$A$13/(基本属性!$AS$13*1/3600))*材料产出!$D$13</f>
        <v>3.2880984952120385E-2</v>
      </c>
    </row>
    <row r="4630" spans="1:4" ht="16.5" x14ac:dyDescent="0.3">
      <c r="A4630" s="10" t="str">
        <f>基本属性!$B$14&amp;"|"&amp;基本属性!$C$14</f>
        <v>105|4</v>
      </c>
      <c r="B4630" s="10" t="str">
        <f>参数调整!$J$31</f>
        <v>小怪掉落</v>
      </c>
      <c r="C4630" s="8" t="str">
        <f>材料产出!$P$2</f>
        <v>声望</v>
      </c>
      <c r="D4630" s="224">
        <f>材料产出!$N$14/(基本属性!$A$14/(基本属性!$AS$14*1/3600))*材料产出!$D$14</f>
        <v>4.0593808582864675E-2</v>
      </c>
    </row>
    <row r="4631" spans="1:4" ht="16.5" x14ac:dyDescent="0.3">
      <c r="A4631" s="10" t="str">
        <f>基本属性!$B$15&amp;"|"&amp;基本属性!$C$15</f>
        <v>110|5</v>
      </c>
      <c r="B4631" s="10" t="str">
        <f>参数调整!$J$31</f>
        <v>小怪掉落</v>
      </c>
      <c r="C4631" s="8" t="str">
        <f>材料产出!$P$2</f>
        <v>声望</v>
      </c>
      <c r="D4631" s="224">
        <f>材料产出!$N$15/(基本属性!$A$15/(基本属性!$AS$15*1/3600))*材料产出!$D$15</f>
        <v>4.9118508385266255E-2</v>
      </c>
    </row>
    <row r="4632" spans="1:4" ht="16.5" x14ac:dyDescent="0.3">
      <c r="A4632" s="10" t="str">
        <f>基本属性!$B$16&amp;"|"&amp;基本属性!$C$16</f>
        <v>120|6</v>
      </c>
      <c r="B4632" s="10" t="str">
        <f>参数调整!$J$31</f>
        <v>小怪掉落</v>
      </c>
      <c r="C4632" s="8" t="str">
        <f>材料产出!$P$2</f>
        <v>声望</v>
      </c>
      <c r="D4632" s="224">
        <f>材料产出!$N$16/(基本属性!$A$16/(基本属性!$AS$16*1/3600))*材料产出!$D$16</f>
        <v>6.3427825910726043E-2</v>
      </c>
    </row>
    <row r="4633" spans="1:4" ht="16.5" x14ac:dyDescent="0.3">
      <c r="A4633" s="10" t="str">
        <f>基本属性!$B$17&amp;"|"&amp;基本属性!$C$17</f>
        <v>135|7</v>
      </c>
      <c r="B4633" s="10" t="str">
        <f>参数调整!$J$31</f>
        <v>小怪掉落</v>
      </c>
      <c r="C4633" s="8" t="str">
        <f>材料产出!$P$2</f>
        <v>声望</v>
      </c>
      <c r="D4633" s="224">
        <f>材料产出!$N$17/(基本属性!$A$17/(基本属性!$AS$17*1/3600))*材料产出!$D$17</f>
        <v>9.13360693114455E-2</v>
      </c>
    </row>
    <row r="4634" spans="1:4" ht="16.5" x14ac:dyDescent="0.3">
      <c r="A4634" s="10" t="str">
        <f>基本属性!$B$18&amp;"|"&amp;基本属性!$C$18</f>
        <v>155|8</v>
      </c>
      <c r="B4634" s="10" t="str">
        <f>参数调整!$J$31</f>
        <v>小怪掉落</v>
      </c>
      <c r="C4634" s="8" t="str">
        <f>材料产出!$P$2</f>
        <v>声望</v>
      </c>
      <c r="D4634" s="224">
        <f>材料产出!$N$18/(基本属性!$A$18/(基本属性!$AS$18*1/3600))*材料产出!$D$18</f>
        <v>0.12431853878502305</v>
      </c>
    </row>
    <row r="4635" spans="1:4" ht="16.5" x14ac:dyDescent="0.3">
      <c r="A4635" s="10" t="str">
        <f>基本属性!$B$19&amp;"|"&amp;基本属性!$C$19</f>
        <v>190|9</v>
      </c>
      <c r="B4635" s="10" t="str">
        <f>参数调整!$J$31</f>
        <v>小怪掉落</v>
      </c>
      <c r="C4635" s="8" t="str">
        <f>材料产出!$P$2</f>
        <v>声望</v>
      </c>
      <c r="D4635" s="224">
        <f>材料产出!$N$19/(基本属性!$A$19/(基本属性!$AS$19*1/3600))*材料产出!$D$19</f>
        <v>0.13893230987485436</v>
      </c>
    </row>
    <row r="4636" spans="1:4" ht="16.5" x14ac:dyDescent="0.3">
      <c r="A4636" s="10" t="str">
        <f>基本属性!$B$20&amp;"|"&amp;基本属性!$C$20</f>
        <v>200|10</v>
      </c>
      <c r="B4636" s="10" t="str">
        <f>参数调整!$J$31</f>
        <v>小怪掉落</v>
      </c>
      <c r="C4636" s="8" t="str">
        <f>材料产出!$P$2</f>
        <v>声望</v>
      </c>
      <c r="D4636" s="224">
        <f>材料产出!$N$20/(基本属性!$A$20/(基本属性!$AS$20*1/3600))*材料产出!$D$20</f>
        <v>0.1623752343314587</v>
      </c>
    </row>
    <row r="4637" spans="1:4" ht="16.5" x14ac:dyDescent="0.3">
      <c r="A4637" s="10" t="str">
        <f>基本属性!$B$21&amp;"|"&amp;基本属性!$C$21</f>
        <v>200|11</v>
      </c>
      <c r="B4637" s="10" t="str">
        <f>参数调整!$J$31</f>
        <v>小怪掉落</v>
      </c>
      <c r="C4637" s="8" t="str">
        <f>材料产出!$P$2</f>
        <v>声望</v>
      </c>
      <c r="D4637" s="224">
        <f>材料产出!$N$21/(基本属性!$A$21/(基本属性!$AS$21*1/3600))*材料产出!$D$21</f>
        <v>0.1876448801742919</v>
      </c>
    </row>
    <row r="4638" spans="1:4" ht="16.5" x14ac:dyDescent="0.3">
      <c r="A4638" s="10" t="str">
        <f>基本属性!$B$22&amp;"|"&amp;基本属性!$C$22</f>
        <v>210|12</v>
      </c>
      <c r="B4638" s="10" t="str">
        <f>参数调整!$J$31</f>
        <v>小怪掉落</v>
      </c>
      <c r="C4638" s="8" t="str">
        <f>材料产出!$P$2</f>
        <v>声望</v>
      </c>
      <c r="D4638" s="224">
        <f>材料产出!$N$22/(基本属性!$A$22/(基本属性!$AS$22*1/3600))*材料产出!$D$22</f>
        <v>0.21474124740335404</v>
      </c>
    </row>
    <row r="4639" spans="1:4" ht="16.5" x14ac:dyDescent="0.3">
      <c r="A4639" s="10" t="str">
        <f>基本属性!$B$23&amp;"|"&amp;基本属性!$C$23</f>
        <v>210|13</v>
      </c>
      <c r="B4639" s="10" t="str">
        <f>参数调整!$J$31</f>
        <v>小怪掉落</v>
      </c>
      <c r="C4639" s="8" t="str">
        <f>材料产出!$P$2</f>
        <v>声望</v>
      </c>
      <c r="D4639" s="224">
        <f>材料产出!$N$23/(基本属性!$A$23/(基本属性!$AS$23*1/3600))*材料产出!$D$23</f>
        <v>0.24366433601864523</v>
      </c>
    </row>
    <row r="4640" spans="1:4" ht="16.5" x14ac:dyDescent="0.3">
      <c r="A4640" s="10" t="str">
        <f>基本属性!$B$24&amp;"|"&amp;基本属性!$C$24</f>
        <v>220|14</v>
      </c>
      <c r="B4640" s="10" t="str">
        <f>参数调整!$J$31</f>
        <v>小怪掉落</v>
      </c>
      <c r="C4640" s="8" t="str">
        <f>材料产出!$P$2</f>
        <v>声望</v>
      </c>
      <c r="D4640" s="224">
        <f>材料产出!$N$24/(基本属性!$A$24/(基本属性!$AS$24*1/3600))*材料产出!$D$24</f>
        <v>0.27441414602016517</v>
      </c>
    </row>
    <row r="4641" spans="1:4" ht="16.5" x14ac:dyDescent="0.3">
      <c r="A4641" s="10" t="str">
        <f>基本属性!$B$25&amp;"|"&amp;基本属性!$C$25</f>
        <v>220|15</v>
      </c>
      <c r="B4641" s="10" t="str">
        <f>参数调整!$J$31</f>
        <v>小怪掉落</v>
      </c>
      <c r="C4641" s="8" t="str">
        <f>材料产出!$P$2</f>
        <v>声望</v>
      </c>
      <c r="D4641" s="224">
        <f>材料产出!$N$25/(基本属性!$A$25/(基本属性!$AS$25*1/3600))*材料产出!$D$25</f>
        <v>0.30699067740791403</v>
      </c>
    </row>
    <row r="4642" spans="1:4" ht="16.5" x14ac:dyDescent="0.3">
      <c r="A4642" s="10" t="str">
        <f>基本属性!$B$26&amp;"|"&amp;基本属性!$C$26</f>
        <v>230|16</v>
      </c>
      <c r="B4642" s="10" t="str">
        <f>参数调整!$J$31</f>
        <v>小怪掉落</v>
      </c>
      <c r="C4642" s="8" t="str">
        <f>材料产出!$P$2</f>
        <v>声望</v>
      </c>
      <c r="D4642" s="224">
        <f>材料产出!$N$26/(基本属性!$A$26/(基本属性!$AS$26*1/3600))*材料产出!$D$26</f>
        <v>0.3413939301818919</v>
      </c>
    </row>
    <row r="4643" spans="1:4" ht="16.5" x14ac:dyDescent="0.3">
      <c r="A4643" s="10" t="str">
        <f>基本属性!$B$27&amp;"|"&amp;基本属性!$C$27</f>
        <v>230|17</v>
      </c>
      <c r="B4643" s="10" t="str">
        <f>参数调整!$J$31</f>
        <v>小怪掉落</v>
      </c>
      <c r="C4643" s="8" t="str">
        <f>材料产出!$P$2</f>
        <v>声望</v>
      </c>
      <c r="D4643" s="224">
        <f>材料产出!$N$27/(基本属性!$A$27/(基本属性!$AS$27*1/3600))*材料产出!$D$27</f>
        <v>0.37762390434209853</v>
      </c>
    </row>
    <row r="4644" spans="1:4" ht="16.5" x14ac:dyDescent="0.3">
      <c r="A4644" s="10" t="str">
        <f>基本属性!$B$28&amp;"|"&amp;基本属性!$C$28</f>
        <v>240|18</v>
      </c>
      <c r="B4644" s="10" t="str">
        <f>参数调整!$J$31</f>
        <v>小怪掉落</v>
      </c>
      <c r="C4644" s="8" t="str">
        <f>材料产出!$P$2</f>
        <v>声望</v>
      </c>
      <c r="D4644" s="224">
        <f>材料产出!$N$28/(基本属性!$A$28/(基本属性!$AS$28*1/3600))*材料产出!$D$28</f>
        <v>0.41568059988853429</v>
      </c>
    </row>
    <row r="4645" spans="1:4" ht="16.5" x14ac:dyDescent="0.3">
      <c r="A4645" s="10" t="str">
        <f>基本属性!$B$29&amp;"|"&amp;基本属性!$C$29</f>
        <v>240|19</v>
      </c>
      <c r="B4645" s="10" t="str">
        <f>参数调整!$J$31</f>
        <v>小怪掉落</v>
      </c>
      <c r="C4645" s="8" t="str">
        <f>材料产出!$P$2</f>
        <v>声望</v>
      </c>
      <c r="D4645" s="224">
        <f>材料产出!$N$29/(基本属性!$A$29/(基本属性!$AS$29*1/3600))*材料产出!$D$29</f>
        <v>0.45556401682119879</v>
      </c>
    </row>
    <row r="4646" spans="1:4" ht="16.5" x14ac:dyDescent="0.3">
      <c r="A4646" s="10" t="str">
        <f>基本属性!$B$30&amp;"|"&amp;基本属性!$C$30</f>
        <v>250|20</v>
      </c>
      <c r="B4646" s="10" t="str">
        <f>参数调整!$J$31</f>
        <v>小怪掉落</v>
      </c>
      <c r="C4646" s="8" t="str">
        <f>材料产出!$P$2</f>
        <v>声望</v>
      </c>
      <c r="D4646" s="224">
        <f>材料产出!$N$30/(基本属性!$A$30/(基本属性!$AS$30*1/3600))*材料产出!$D$30</f>
        <v>0.4972741551400921</v>
      </c>
    </row>
    <row r="4647" spans="1:4" ht="16.5" x14ac:dyDescent="0.3">
      <c r="A4647" s="10" t="str">
        <f>基本属性!$B$4&amp;"|"&amp;基本属性!$C$4</f>
        <v>35|0</v>
      </c>
      <c r="B4647" s="10" t="str">
        <f>参数调整!$J$31</f>
        <v>小怪掉落</v>
      </c>
      <c r="C4647" s="8" t="str">
        <f>材料产出!$AV$2</f>
        <v>神器图纸</v>
      </c>
      <c r="D4647" s="224">
        <f>材料产出!$AV$4/(基本属性!$A$4/(基本属性!$AS$4*1/3600))*材料产出!$D$4</f>
        <v>2.922010995020383E-5</v>
      </c>
    </row>
    <row r="4648" spans="1:4" ht="16.5" x14ac:dyDescent="0.3">
      <c r="A4648" s="10" t="str">
        <f>基本属性!$B$5&amp;"|"&amp;基本属性!$C$5</f>
        <v>40|0</v>
      </c>
      <c r="B4648" s="10" t="str">
        <f>参数调整!$J$31</f>
        <v>小怪掉落</v>
      </c>
      <c r="C4648" s="8" t="str">
        <f>材料产出!$AV$2</f>
        <v>神器图纸</v>
      </c>
      <c r="D4648" s="224">
        <f>材料产出!$AV$5/(基本属性!$A$5/(基本属性!$AS$5*1/3600))*材料产出!$D$5</f>
        <v>3.6981701655726722E-5</v>
      </c>
    </row>
    <row r="4649" spans="1:4" ht="16.5" x14ac:dyDescent="0.3">
      <c r="A4649" s="10" t="str">
        <f>基本属性!$B$6&amp;"|"&amp;基本属性!$C$6</f>
        <v>50|0</v>
      </c>
      <c r="B4649" s="10" t="str">
        <f>参数调整!$J$31</f>
        <v>小怪掉落</v>
      </c>
      <c r="C4649" s="8" t="str">
        <f>材料产出!$AV$2</f>
        <v>神器图纸</v>
      </c>
      <c r="D4649" s="224">
        <f>材料产出!$AV$6/(基本属性!$A$6/(基本属性!$AS$6*1/3600))*材料产出!$D$6</f>
        <v>4.5656421797193484E-5</v>
      </c>
    </row>
    <row r="4650" spans="1:4" ht="16.5" x14ac:dyDescent="0.3">
      <c r="A4650" s="10" t="str">
        <f>基本属性!$B$7&amp;"|"&amp;基本属性!$C$7</f>
        <v>60|0</v>
      </c>
      <c r="B4650" s="10" t="str">
        <f>参数调整!$J$31</f>
        <v>小怪掉落</v>
      </c>
      <c r="C4650" s="8" t="str">
        <f>材料产出!$AV$2</f>
        <v>神器图纸</v>
      </c>
      <c r="D4650" s="224">
        <f>材料产出!$AV$7/(基本属性!$A$7/(基本属性!$AS$7*1/3600))*材料产出!$D$7</f>
        <v>5.5244270374604129E-5</v>
      </c>
    </row>
    <row r="4651" spans="1:4" ht="16.5" x14ac:dyDescent="0.3">
      <c r="A4651" s="10" t="str">
        <f>基本属性!$B$8&amp;"|"&amp;基本属性!$C$8</f>
        <v>65|0</v>
      </c>
      <c r="B4651" s="10" t="str">
        <f>参数调整!$J$31</f>
        <v>小怪掉落</v>
      </c>
      <c r="C4651" s="8" t="str">
        <f>材料产出!$AV$2</f>
        <v>神器图纸</v>
      </c>
      <c r="D4651" s="224">
        <f>材料产出!$AV$8/(基本属性!$A$8/(基本属性!$AS$8*1/3600))*材料产出!$D$8</f>
        <v>6.5745247387958617E-5</v>
      </c>
    </row>
    <row r="4652" spans="1:4" ht="16.5" x14ac:dyDescent="0.3">
      <c r="A4652" s="10" t="str">
        <f>基本属性!$B$9&amp;"|"&amp;基本属性!$C$9</f>
        <v>70|0</v>
      </c>
      <c r="B4652" s="10" t="str">
        <f>参数调整!$J$31</f>
        <v>小怪掉落</v>
      </c>
      <c r="C4652" s="8" t="str">
        <f>材料产出!$AV$2</f>
        <v>神器图纸</v>
      </c>
      <c r="D4652" s="224">
        <f>材料产出!$AV$9/(基本属性!$A$9/(基本属性!$AS$9*1/3600))*材料产出!$D$9</f>
        <v>7.7159352837256995E-5</v>
      </c>
    </row>
    <row r="4653" spans="1:4" ht="16.5" x14ac:dyDescent="0.3">
      <c r="A4653" s="10" t="str">
        <f>基本属性!$B$10&amp;"|"&amp;基本属性!$C$10</f>
        <v>75|0</v>
      </c>
      <c r="B4653" s="10" t="str">
        <f>参数调整!$J$31</f>
        <v>小怪掉落</v>
      </c>
      <c r="C4653" s="8" t="str">
        <f>材料产出!$AV$2</f>
        <v>神器图纸</v>
      </c>
      <c r="D4653" s="224">
        <f>材料产出!$AV$10/(基本属性!$A$10/(基本属性!$AS$10*1/3600))*材料产出!$D$10</f>
        <v>8.9486586722499229E-5</v>
      </c>
    </row>
    <row r="4654" spans="1:4" ht="16.5" x14ac:dyDescent="0.3">
      <c r="A4654" s="10" t="str">
        <f>基本属性!$B$11&amp;"|"&amp;基本属性!$C$11</f>
        <v>80|1</v>
      </c>
      <c r="B4654" s="10" t="str">
        <f>参数调整!$J$31</f>
        <v>小怪掉落</v>
      </c>
      <c r="C4654" s="8" t="str">
        <f>材料产出!$AV$2</f>
        <v>神器图纸</v>
      </c>
      <c r="D4654" s="224">
        <f>材料产出!$AV$11/(基本属性!$A$11/(基本属性!$AS$11*1/3600))*材料产出!$D$11</f>
        <v>1.0272694904368533E-4</v>
      </c>
    </row>
    <row r="4655" spans="1:4" ht="16.5" x14ac:dyDescent="0.3">
      <c r="A4655" s="10" t="str">
        <f>基本属性!$B$12&amp;"|"&amp;基本属性!$C$12</f>
        <v>90|2</v>
      </c>
      <c r="B4655" s="10" t="str">
        <f>参数调整!$J$31</f>
        <v>小怪掉落</v>
      </c>
      <c r="C4655" s="8" t="str">
        <f>材料产出!$AV$2</f>
        <v>神器图纸</v>
      </c>
      <c r="D4655" s="224">
        <f>材料产出!$AV$12/(基本属性!$A$12/(基本属性!$AS$12*1/3600))*材料产出!$D$12</f>
        <v>1.1688043980081535E-4</v>
      </c>
    </row>
    <row r="4656" spans="1:4" ht="16.5" x14ac:dyDescent="0.3">
      <c r="A4656" s="10" t="str">
        <f>基本属性!$B$13&amp;"|"&amp;基本属性!$C$13</f>
        <v>100|3</v>
      </c>
      <c r="B4656" s="10" t="str">
        <f>参数调整!$J$31</f>
        <v>小怪掉落</v>
      </c>
      <c r="C4656" s="8" t="str">
        <f>材料产出!$AV$2</f>
        <v>神器图纸</v>
      </c>
      <c r="D4656" s="224">
        <f>材料产出!$AV$13/(基本属性!$A$13/(基本属性!$AS$13*1/3600))*材料产出!$D$13</f>
        <v>1.4792680662290692E-4</v>
      </c>
    </row>
    <row r="4657" spans="1:4" ht="16.5" x14ac:dyDescent="0.3">
      <c r="A4657" s="10" t="str">
        <f>基本属性!$B$14&amp;"|"&amp;基本属性!$C$14</f>
        <v>105|4</v>
      </c>
      <c r="B4657" s="10" t="str">
        <f>参数调整!$J$31</f>
        <v>小怪掉落</v>
      </c>
      <c r="C4657" s="8" t="str">
        <f>材料产出!$AV$2</f>
        <v>神器图纸</v>
      </c>
      <c r="D4657" s="224">
        <f>材料产出!$AV$14/(基本属性!$A$14/(基本属性!$AS$14*1/3600))*材料产出!$D$14</f>
        <v>1.8262568718877396E-4</v>
      </c>
    </row>
    <row r="4658" spans="1:4" ht="16.5" x14ac:dyDescent="0.3">
      <c r="A4658" s="10" t="str">
        <f>基本属性!$B$15&amp;"|"&amp;基本属性!$C$15</f>
        <v>110|5</v>
      </c>
      <c r="B4658" s="10" t="str">
        <f>参数调整!$J$31</f>
        <v>小怪掉落</v>
      </c>
      <c r="C4658" s="8" t="str">
        <f>材料产出!$AV$2</f>
        <v>神器图纸</v>
      </c>
      <c r="D4658" s="224">
        <f>材料产出!$AV$15/(基本属性!$A$15/(基本属性!$AS$15*1/3600))*材料产出!$D$15</f>
        <v>2.2097708149841652E-4</v>
      </c>
    </row>
    <row r="4659" spans="1:4" ht="16.5" x14ac:dyDescent="0.3">
      <c r="A4659" s="10" t="str">
        <f>基本属性!$B$16&amp;"|"&amp;基本属性!$C$16</f>
        <v>120|6</v>
      </c>
      <c r="B4659" s="10" t="str">
        <f>参数调整!$J$31</f>
        <v>小怪掉落</v>
      </c>
      <c r="C4659" s="8" t="str">
        <f>材料产出!$AV$2</f>
        <v>神器图纸</v>
      </c>
      <c r="D4659" s="224">
        <f>材料产出!$AV$16/(基本属性!$A$16/(基本属性!$AS$16*1/3600))*材料产出!$D$16</f>
        <v>2.853526362324593E-4</v>
      </c>
    </row>
    <row r="4660" spans="1:4" ht="16.5" x14ac:dyDescent="0.3">
      <c r="A4660" s="10" t="str">
        <f>基本属性!$B$17&amp;"|"&amp;基本属性!$C$17</f>
        <v>135|7</v>
      </c>
      <c r="B4660" s="10" t="str">
        <f>参数调整!$J$31</f>
        <v>小怪掉落</v>
      </c>
      <c r="C4660" s="8" t="str">
        <f>材料产出!$AV$2</f>
        <v>神器图纸</v>
      </c>
      <c r="D4660" s="224">
        <f>材料产出!$AV$17/(基本属性!$A$17/(基本属性!$AS$17*1/3600))*材料产出!$D$17</f>
        <v>4.1090779617474133E-4</v>
      </c>
    </row>
    <row r="4661" spans="1:4" ht="16.5" x14ac:dyDescent="0.3">
      <c r="A4661" s="10" t="str">
        <f>基本属性!$B$18&amp;"|"&amp;基本属性!$C$18</f>
        <v>155|8</v>
      </c>
      <c r="B4661" s="10" t="str">
        <f>参数调整!$J$31</f>
        <v>小怪掉落</v>
      </c>
      <c r="C4661" s="8" t="str">
        <f>材料产出!$AV$2</f>
        <v>神器图纸</v>
      </c>
      <c r="D4661" s="224">
        <f>材料产出!$AV$18/(基本属性!$A$18/(基本属性!$AS$18*1/3600))*材料产出!$D$18</f>
        <v>5.5929116701562026E-4</v>
      </c>
    </row>
    <row r="4662" spans="1:4" ht="16.5" x14ac:dyDescent="0.3">
      <c r="A4662" s="10" t="str">
        <f>基本属性!$B$19&amp;"|"&amp;基本属性!$C$19</f>
        <v>190|9</v>
      </c>
      <c r="B4662" s="10" t="str">
        <f>参数调整!$J$31</f>
        <v>小怪掉落</v>
      </c>
      <c r="C4662" s="8" t="str">
        <f>材料产出!$AV$2</f>
        <v>神器图纸</v>
      </c>
      <c r="D4662" s="224">
        <f>材料产出!$AV$19/(基本属性!$A$19/(基本属性!$AS$19*1/3600))*材料产出!$D$19</f>
        <v>6.2503641440357887E-4</v>
      </c>
    </row>
    <row r="4663" spans="1:4" ht="16.5" x14ac:dyDescent="0.3">
      <c r="A4663" s="10" t="str">
        <f>基本属性!$B$20&amp;"|"&amp;基本属性!$C$20</f>
        <v>200|10</v>
      </c>
      <c r="B4663" s="10" t="str">
        <f>参数调整!$J$31</f>
        <v>小怪掉落</v>
      </c>
      <c r="C4663" s="8" t="str">
        <f>材料产出!$AV$2</f>
        <v>神器图纸</v>
      </c>
      <c r="D4663" s="224">
        <f>材料产出!$AV$20/(基本属性!$A$20/(基本属性!$AS$20*1/3600))*材料产出!$D$20</f>
        <v>7.3050274875509586E-4</v>
      </c>
    </row>
    <row r="4664" spans="1:4" ht="16.5" x14ac:dyDescent="0.3">
      <c r="A4664" s="10" t="str">
        <f>基本属性!$B$21&amp;"|"&amp;基本属性!$C$21</f>
        <v>200|11</v>
      </c>
      <c r="B4664" s="10" t="str">
        <f>参数调整!$J$31</f>
        <v>小怪掉落</v>
      </c>
      <c r="C4664" s="8" t="str">
        <f>材料产出!$AV$2</f>
        <v>神器图纸</v>
      </c>
      <c r="D4664" s="224">
        <f>材料产出!$AV$21/(基本属性!$A$21/(基本属性!$AS$21*1/3600))*材料产出!$D$21</f>
        <v>8.4418723903010738E-4</v>
      </c>
    </row>
    <row r="4665" spans="1:4" ht="16.5" x14ac:dyDescent="0.3">
      <c r="A4665" s="10" t="str">
        <f>基本属性!$B$22&amp;"|"&amp;基本属性!$C$22</f>
        <v>210|12</v>
      </c>
      <c r="B4665" s="10" t="str">
        <f>参数调整!$J$31</f>
        <v>小怪掉落</v>
      </c>
      <c r="C4665" s="8" t="str">
        <f>材料产出!$AV$2</f>
        <v>神器图纸</v>
      </c>
      <c r="D4665" s="224">
        <f>材料产出!$AV$22/(基本属性!$A$22/(基本属性!$AS$22*1/3600))*材料产出!$D$22</f>
        <v>9.6608988522861388E-4</v>
      </c>
    </row>
    <row r="4666" spans="1:4" ht="16.5" x14ac:dyDescent="0.3">
      <c r="A4666" s="10" t="str">
        <f>基本属性!$B$23&amp;"|"&amp;基本属性!$C$23</f>
        <v>210|13</v>
      </c>
      <c r="B4666" s="10" t="str">
        <f>参数调整!$J$31</f>
        <v>小怪掉落</v>
      </c>
      <c r="C4666" s="8" t="str">
        <f>材料产出!$AV$2</f>
        <v>神器图纸</v>
      </c>
      <c r="D4666" s="224">
        <f>材料产出!$AV$23/(基本属性!$A$23/(基本属性!$AS$23*1/3600))*材料产出!$D$23</f>
        <v>1.0962106873506159E-3</v>
      </c>
    </row>
    <row r="4667" spans="1:4" ht="16.5" x14ac:dyDescent="0.3">
      <c r="A4667" s="10" t="str">
        <f>基本属性!$B$24&amp;"|"&amp;基本属性!$C$24</f>
        <v>220|14</v>
      </c>
      <c r="B4667" s="10" t="str">
        <f>参数调整!$J$31</f>
        <v>小怪掉落</v>
      </c>
      <c r="C4667" s="8" t="str">
        <f>材料产出!$AV$2</f>
        <v>神器图纸</v>
      </c>
      <c r="D4667" s="224">
        <f>材料产出!$AV$24/(基本属性!$A$24/(基本属性!$AS$24*1/3600))*材料产出!$D$24</f>
        <v>1.2345496453961119E-3</v>
      </c>
    </row>
    <row r="4668" spans="1:4" ht="16.5" x14ac:dyDescent="0.3">
      <c r="A4668" s="10" t="str">
        <f>基本属性!$B$25&amp;"|"&amp;基本属性!$C$25</f>
        <v>220|15</v>
      </c>
      <c r="B4668" s="10" t="str">
        <f>参数调整!$J$31</f>
        <v>小怪掉落</v>
      </c>
      <c r="C4668" s="8" t="str">
        <f>材料产出!$AV$2</f>
        <v>神器图纸</v>
      </c>
      <c r="D4668" s="224">
        <f>材料产出!$AV$25/(基本属性!$A$25/(基本属性!$AS$25*1/3600))*材料产出!$D$25</f>
        <v>1.3811067593651027E-3</v>
      </c>
    </row>
    <row r="4669" spans="1:4" ht="16.5" x14ac:dyDescent="0.3">
      <c r="A4669" s="10" t="str">
        <f>基本属性!$B$26&amp;"|"&amp;基本属性!$C$26</f>
        <v>230|16</v>
      </c>
      <c r="B4669" s="10" t="str">
        <f>参数调整!$J$31</f>
        <v>小怪掉落</v>
      </c>
      <c r="C4669" s="8" t="str">
        <f>材料产出!$AV$2</f>
        <v>神器图纸</v>
      </c>
      <c r="D4669" s="224">
        <f>材料产出!$AV$26/(基本属性!$A$26/(基本属性!$AS$26*1/3600))*材料产出!$D$26</f>
        <v>1.5358820292575887E-3</v>
      </c>
    </row>
    <row r="4670" spans="1:4" ht="16.5" x14ac:dyDescent="0.3">
      <c r="A4670" s="10" t="str">
        <f>基本属性!$B$27&amp;"|"&amp;基本属性!$C$27</f>
        <v>230|17</v>
      </c>
      <c r="B4670" s="10" t="str">
        <f>参数调整!$J$31</f>
        <v>小怪掉落</v>
      </c>
      <c r="C4670" s="8" t="str">
        <f>材料产出!$AV$2</f>
        <v>神器图纸</v>
      </c>
      <c r="D4670" s="224">
        <f>材料产出!$AV$27/(基本属性!$A$27/(基本属性!$AS$27*1/3600))*材料产出!$D$27</f>
        <v>1.6988754550735694E-3</v>
      </c>
    </row>
    <row r="4671" spans="1:4" ht="16.5" x14ac:dyDescent="0.3">
      <c r="A4671" s="10" t="str">
        <f>基本属性!$B$28&amp;"|"&amp;基本属性!$C$28</f>
        <v>240|18</v>
      </c>
      <c r="B4671" s="10" t="str">
        <f>参数调整!$J$31</f>
        <v>小怪掉落</v>
      </c>
      <c r="C4671" s="8" t="str">
        <f>材料产出!$AV$2</f>
        <v>神器图纸</v>
      </c>
      <c r="D4671" s="224">
        <f>材料产出!$AV$28/(基本属性!$A$28/(基本属性!$AS$28*1/3600))*材料产出!$D$28</f>
        <v>1.8700870368130455E-3</v>
      </c>
    </row>
    <row r="4672" spans="1:4" ht="16.5" x14ac:dyDescent="0.3">
      <c r="A4672" s="10" t="str">
        <f>基本属性!$B$29&amp;"|"&amp;基本属性!$C$29</f>
        <v>240|19</v>
      </c>
      <c r="B4672" s="10" t="str">
        <f>参数调整!$J$31</f>
        <v>小怪掉落</v>
      </c>
      <c r="C4672" s="8" t="str">
        <f>材料产出!$AV$2</f>
        <v>神器图纸</v>
      </c>
      <c r="D4672" s="224">
        <f>材料产出!$AV$29/(基本属性!$A$29/(基本属性!$AS$29*1/3600))*材料产出!$D$29</f>
        <v>2.0495167744760158E-3</v>
      </c>
    </row>
    <row r="4673" spans="1:4" ht="16.5" x14ac:dyDescent="0.3">
      <c r="A4673" s="10" t="str">
        <f>基本属性!$B$30&amp;"|"&amp;基本属性!$C$30</f>
        <v>250|20</v>
      </c>
      <c r="B4673" s="10" t="str">
        <f>参数调整!$J$31</f>
        <v>小怪掉落</v>
      </c>
      <c r="C4673" s="8" t="str">
        <f>材料产出!$AV$2</f>
        <v>神器图纸</v>
      </c>
      <c r="D4673" s="224">
        <f>材料产出!$AV$30/(基本属性!$A$30/(基本属性!$AS$30*1/3600))*材料产出!$D$30</f>
        <v>2.2371646680624806E-3</v>
      </c>
    </row>
    <row r="4674" spans="1:4" ht="16.5" x14ac:dyDescent="0.3">
      <c r="A4674" s="10" t="str">
        <f>基本属性!$B$4&amp;"|"&amp;基本属性!$C$4</f>
        <v>35|0</v>
      </c>
      <c r="B4674" s="10" t="str">
        <f>参数调整!$J$31</f>
        <v>小怪掉落</v>
      </c>
      <c r="C4674" s="8" t="str">
        <f>材料产出!$AH$2</f>
        <v>神品升星石</v>
      </c>
      <c r="D4674" s="224">
        <f>材料产出!$AH$4/(基本属性!$A$4/(基本属性!$AS$4*1/3600))*材料产出!$D$4</f>
        <v>4.5365042618120594E-4</v>
      </c>
    </row>
    <row r="4675" spans="1:4" ht="16.5" x14ac:dyDescent="0.3">
      <c r="A4675" s="10" t="str">
        <f>基本属性!$B$5&amp;"|"&amp;基本属性!$C$5</f>
        <v>40|0</v>
      </c>
      <c r="B4675" s="10" t="str">
        <f>参数调整!$J$31</f>
        <v>小怪掉落</v>
      </c>
      <c r="C4675" s="8" t="str">
        <f>材料产出!$AH$2</f>
        <v>神品升星石</v>
      </c>
      <c r="D4675" s="224">
        <f>材料产出!$AH$5/(基本属性!$A$5/(基本属性!$AS$5*1/3600))*材料产出!$D$5</f>
        <v>5.7415132063558878E-4</v>
      </c>
    </row>
    <row r="4676" spans="1:4" ht="16.5" x14ac:dyDescent="0.3">
      <c r="A4676" s="10" t="str">
        <f>基本属性!$B$6&amp;"|"&amp;基本属性!$C$6</f>
        <v>50|0</v>
      </c>
      <c r="B4676" s="10" t="str">
        <f>参数调整!$J$31</f>
        <v>小怪掉落</v>
      </c>
      <c r="C4676" s="8" t="str">
        <f>材料产出!$AH$2</f>
        <v>神品升星石</v>
      </c>
      <c r="D4676" s="224">
        <f>材料产出!$AH$6/(基本属性!$A$6/(基本属性!$AS$6*1/3600))*材料产出!$D$6</f>
        <v>7.0882879090813423E-4</v>
      </c>
    </row>
    <row r="4677" spans="1:4" ht="16.5" x14ac:dyDescent="0.3">
      <c r="A4677" s="10" t="str">
        <f>基本属性!$B$7&amp;"|"&amp;基本属性!$C$7</f>
        <v>60|0</v>
      </c>
      <c r="B4677" s="10" t="str">
        <f>参数调整!$J$31</f>
        <v>小怪掉落</v>
      </c>
      <c r="C4677" s="8" t="str">
        <f>材料产出!$AH$2</f>
        <v>神品升星石</v>
      </c>
      <c r="D4677" s="224">
        <f>材料产出!$AH$7/(基本属性!$A$7/(基本属性!$AS$7*1/3600))*材料产出!$D$7</f>
        <v>8.5768283699884254E-4</v>
      </c>
    </row>
    <row r="4678" spans="1:4" ht="16.5" x14ac:dyDescent="0.3">
      <c r="A4678" s="10" t="str">
        <f>基本属性!$B$8&amp;"|"&amp;基本属性!$C$8</f>
        <v>65|0</v>
      </c>
      <c r="B4678" s="10" t="str">
        <f>参数调整!$J$31</f>
        <v>小怪掉落</v>
      </c>
      <c r="C4678" s="8" t="str">
        <f>材料产出!$AH$2</f>
        <v>神品升星石</v>
      </c>
      <c r="D4678" s="224">
        <f>材料产出!$AH$8/(基本属性!$A$8/(基本属性!$AS$8*1/3600))*材料产出!$D$8</f>
        <v>1.0207134589077134E-3</v>
      </c>
    </row>
    <row r="4679" spans="1:4" ht="16.5" x14ac:dyDescent="0.3">
      <c r="A4679" s="10" t="str">
        <f>基本属性!$B$9&amp;"|"&amp;基本属性!$C$9</f>
        <v>70|0</v>
      </c>
      <c r="B4679" s="10" t="str">
        <f>参数调整!$J$31</f>
        <v>小怪掉落</v>
      </c>
      <c r="C4679" s="8" t="str">
        <f>材料产出!$AH$2</f>
        <v>神品升星石</v>
      </c>
      <c r="D4679" s="224">
        <f>材料产出!$AH$9/(基本属性!$A$9/(基本属性!$AS$9*1/3600))*材料产出!$D$9</f>
        <v>1.1979206566347471E-3</v>
      </c>
    </row>
    <row r="4680" spans="1:4" ht="16.5" x14ac:dyDescent="0.3">
      <c r="A4680" s="10" t="str">
        <f>基本属性!$B$10&amp;"|"&amp;基本属性!$C$10</f>
        <v>75|0</v>
      </c>
      <c r="B4680" s="10" t="str">
        <f>参数调整!$J$31</f>
        <v>小怪掉落</v>
      </c>
      <c r="C4680" s="8" t="str">
        <f>材料产出!$AH$2</f>
        <v>神品升星石</v>
      </c>
      <c r="D4680" s="224">
        <f>材料产出!$AH$10/(基本属性!$A$10/(基本属性!$AS$10*1/3600))*材料产出!$D$10</f>
        <v>1.3893044301799429E-3</v>
      </c>
    </row>
    <row r="4681" spans="1:4" ht="16.5" x14ac:dyDescent="0.3">
      <c r="A4681" s="10" t="str">
        <f>基本属性!$B$11&amp;"|"&amp;基本属性!$C$11</f>
        <v>80|1</v>
      </c>
      <c r="B4681" s="10" t="str">
        <f>参数调整!$J$31</f>
        <v>小怪掉落</v>
      </c>
      <c r="C4681" s="8" t="str">
        <f>材料产出!$AH$2</f>
        <v>神品升星石</v>
      </c>
      <c r="D4681" s="224">
        <f>材料产出!$AH$11/(基本属性!$A$11/(基本属性!$AS$11*1/3600))*材料产出!$D$11</f>
        <v>1.5948647795433022E-3</v>
      </c>
    </row>
    <row r="4682" spans="1:4" ht="16.5" x14ac:dyDescent="0.3">
      <c r="A4682" s="10" t="str">
        <f>基本属性!$B$12&amp;"|"&amp;基本属性!$C$12</f>
        <v>90|2</v>
      </c>
      <c r="B4682" s="10" t="str">
        <f>参数调整!$J$31</f>
        <v>小怪掉落</v>
      </c>
      <c r="C4682" s="8" t="str">
        <f>材料产出!$AH$2</f>
        <v>神品升星石</v>
      </c>
      <c r="D4682" s="224">
        <f>材料产出!$AH$12/(基本属性!$A$12/(基本属性!$AS$12*1/3600))*材料产出!$D$12</f>
        <v>1.8146017047248242E-3</v>
      </c>
    </row>
    <row r="4683" spans="1:4" ht="16.5" x14ac:dyDescent="0.3">
      <c r="A4683" s="10" t="str">
        <f>基本属性!$B$13&amp;"|"&amp;基本属性!$C$13</f>
        <v>100|3</v>
      </c>
      <c r="B4683" s="10" t="str">
        <f>参数调整!$J$31</f>
        <v>小怪掉落</v>
      </c>
      <c r="C4683" s="8" t="str">
        <f>材料产出!$AH$2</f>
        <v>神品升星石</v>
      </c>
      <c r="D4683" s="224">
        <f>材料产出!$AH$13/(基本属性!$A$13/(基本属性!$AS$13*1/3600))*材料产出!$D$13</f>
        <v>2.2966052825423556E-3</v>
      </c>
    </row>
    <row r="4684" spans="1:4" ht="16.5" x14ac:dyDescent="0.3">
      <c r="A4684" s="10" t="str">
        <f>基本属性!$B$14&amp;"|"&amp;基本属性!$C$14</f>
        <v>105|4</v>
      </c>
      <c r="B4684" s="10" t="str">
        <f>参数调整!$J$31</f>
        <v>小怪掉落</v>
      </c>
      <c r="C4684" s="8" t="str">
        <f>材料产出!$AH$2</f>
        <v>神品升星石</v>
      </c>
      <c r="D4684" s="224">
        <f>材料产出!$AH$14/(基本属性!$A$14/(基本属性!$AS$14*1/3600))*材料产出!$D$14</f>
        <v>2.8353151636325369E-3</v>
      </c>
    </row>
    <row r="4685" spans="1:4" ht="16.5" x14ac:dyDescent="0.3">
      <c r="A4685" s="10" t="str">
        <f>基本属性!$B$15&amp;"|"&amp;基本属性!$C$15</f>
        <v>110|5</v>
      </c>
      <c r="B4685" s="10" t="str">
        <f>参数调整!$J$31</f>
        <v>小怪掉落</v>
      </c>
      <c r="C4685" s="8" t="str">
        <f>材料产出!$AH$2</f>
        <v>神品升星石</v>
      </c>
      <c r="D4685" s="224">
        <f>材料产出!$AH$15/(基本属性!$A$15/(基本属性!$AS$15*1/3600))*材料产出!$D$15</f>
        <v>3.4307313479953706E-3</v>
      </c>
    </row>
    <row r="4686" spans="1:4" ht="16.5" x14ac:dyDescent="0.3">
      <c r="A4686" s="10" t="str">
        <f>基本属性!$B$16&amp;"|"&amp;基本属性!$C$16</f>
        <v>120|6</v>
      </c>
      <c r="B4686" s="10" t="str">
        <f>参数调整!$J$31</f>
        <v>小怪掉落</v>
      </c>
      <c r="C4686" s="8" t="str">
        <f>材料产出!$AH$2</f>
        <v>神品升星石</v>
      </c>
      <c r="D4686" s="224">
        <f>材料产出!$AH$16/(基本属性!$A$16/(基本属性!$AS$16*1/3600))*材料产出!$D$16</f>
        <v>4.4301799431758406E-3</v>
      </c>
    </row>
    <row r="4687" spans="1:4" ht="16.5" x14ac:dyDescent="0.3">
      <c r="A4687" s="10" t="str">
        <f>基本属性!$B$17&amp;"|"&amp;基本属性!$C$17</f>
        <v>135|7</v>
      </c>
      <c r="B4687" s="10" t="str">
        <f>参数调整!$J$31</f>
        <v>小怪掉落</v>
      </c>
      <c r="C4687" s="8" t="str">
        <f>材料产出!$AH$2</f>
        <v>神品升星石</v>
      </c>
      <c r="D4687" s="224">
        <f>材料产出!$AH$17/(基本属性!$A$17/(基本属性!$AS$17*1/3600))*材料产出!$D$17</f>
        <v>6.3794591181732087E-3</v>
      </c>
    </row>
    <row r="4688" spans="1:4" ht="16.5" x14ac:dyDescent="0.3">
      <c r="A4688" s="10" t="str">
        <f>基本属性!$B$18&amp;"|"&amp;基本属性!$C$18</f>
        <v>155|8</v>
      </c>
      <c r="B4688" s="10" t="str">
        <f>参数调整!$J$31</f>
        <v>小怪掉落</v>
      </c>
      <c r="C4688" s="8" t="str">
        <f>材料产出!$AH$2</f>
        <v>神品升星石</v>
      </c>
      <c r="D4688" s="224">
        <f>材料产出!$AH$18/(基本属性!$A$18/(基本属性!$AS$18*1/3600))*材料产出!$D$18</f>
        <v>8.6831526886246464E-3</v>
      </c>
    </row>
    <row r="4689" spans="1:4" ht="16.5" x14ac:dyDescent="0.3">
      <c r="A4689" s="10" t="str">
        <f>基本属性!$B$19&amp;"|"&amp;基本属性!$C$19</f>
        <v>190|9</v>
      </c>
      <c r="B4689" s="10" t="str">
        <f>参数调整!$J$31</f>
        <v>小怪掉落</v>
      </c>
      <c r="C4689" s="8" t="str">
        <f>材料产出!$AH$2</f>
        <v>神品升星石</v>
      </c>
      <c r="D4689" s="224">
        <f>材料产出!$AH$19/(基本属性!$A$19/(基本属性!$AS$19*1/3600))*材料产出!$D$19</f>
        <v>9.7038661475323598E-3</v>
      </c>
    </row>
    <row r="4690" spans="1:4" ht="16.5" x14ac:dyDescent="0.3">
      <c r="A4690" s="10" t="str">
        <f>基本属性!$B$20&amp;"|"&amp;基本属性!$C$20</f>
        <v>200|10</v>
      </c>
      <c r="B4690" s="10" t="str">
        <f>参数调整!$J$31</f>
        <v>小怪掉落</v>
      </c>
      <c r="C4690" s="8" t="str">
        <f>材料产出!$AH$2</f>
        <v>神品升星石</v>
      </c>
      <c r="D4690" s="224">
        <f>材料产出!$AH$20/(基本属性!$A$20/(基本属性!$AS$20*1/3600))*材料产出!$D$20</f>
        <v>1.1341260654530148E-2</v>
      </c>
    </row>
    <row r="4691" spans="1:4" ht="16.5" x14ac:dyDescent="0.3">
      <c r="A4691" s="10" t="str">
        <f>基本属性!$B$21&amp;"|"&amp;基本属性!$C$21</f>
        <v>200|11</v>
      </c>
      <c r="B4691" s="10" t="str">
        <f>参数调整!$J$31</f>
        <v>小怪掉落</v>
      </c>
      <c r="C4691" s="8" t="str">
        <f>材料产出!$AH$2</f>
        <v>神品升星石</v>
      </c>
      <c r="D4691" s="224">
        <f>材料产出!$AH$21/(基本属性!$A$21/(基本属性!$AS$21*1/3600))*材料产出!$D$21</f>
        <v>1.3106244343891401E-2</v>
      </c>
    </row>
    <row r="4692" spans="1:4" ht="16.5" x14ac:dyDescent="0.3">
      <c r="A4692" s="10" t="str">
        <f>基本属性!$B$22&amp;"|"&amp;基本属性!$C$22</f>
        <v>210|12</v>
      </c>
      <c r="B4692" s="10" t="str">
        <f>参数调整!$J$31</f>
        <v>小怪掉落</v>
      </c>
      <c r="C4692" s="8" t="str">
        <f>材料产出!$AH$2</f>
        <v>神品升星石</v>
      </c>
      <c r="D4692" s="224">
        <f>材料产出!$AH$22/(基本属性!$A$22/(基本属性!$AS$22*1/3600))*材料产出!$D$22</f>
        <v>1.4998817215616118E-2</v>
      </c>
    </row>
    <row r="4693" spans="1:4" ht="16.5" x14ac:dyDescent="0.3">
      <c r="A4693" s="10" t="str">
        <f>基本属性!$B$23&amp;"|"&amp;基本属性!$C$23</f>
        <v>210|13</v>
      </c>
      <c r="B4693" s="10" t="str">
        <f>参数调整!$J$31</f>
        <v>小怪掉落</v>
      </c>
      <c r="C4693" s="8" t="str">
        <f>材料产出!$AH$2</f>
        <v>神品升星石</v>
      </c>
      <c r="D4693" s="224">
        <f>材料产出!$AH$23/(基本属性!$A$23/(基本属性!$AS$23*1/3600))*材料产出!$D$23</f>
        <v>1.7018979269704308E-2</v>
      </c>
    </row>
    <row r="4694" spans="1:4" ht="16.5" x14ac:dyDescent="0.3">
      <c r="A4694" s="10" t="str">
        <f>基本属性!$B$24&amp;"|"&amp;基本属性!$C$24</f>
        <v>220|14</v>
      </c>
      <c r="B4694" s="10" t="str">
        <f>参数调整!$J$31</f>
        <v>小怪掉落</v>
      </c>
      <c r="C4694" s="8" t="str">
        <f>材料产出!$AH$2</f>
        <v>神品升星石</v>
      </c>
      <c r="D4694" s="224">
        <f>材料产出!$AH$24/(基本属性!$A$24/(基本属性!$AS$24*1/3600))*材料产出!$D$24</f>
        <v>1.9166730506155954E-2</v>
      </c>
    </row>
    <row r="4695" spans="1:4" ht="16.5" x14ac:dyDescent="0.3">
      <c r="A4695" s="10" t="str">
        <f>基本属性!$B$25&amp;"|"&amp;基本属性!$C$25</f>
        <v>220|15</v>
      </c>
      <c r="B4695" s="10" t="str">
        <f>参数调整!$J$31</f>
        <v>小怪掉落</v>
      </c>
      <c r="C4695" s="8" t="str">
        <f>材料产出!$AH$2</f>
        <v>神品升星石</v>
      </c>
      <c r="D4695" s="224">
        <f>材料产出!$AH$25/(基本属性!$A$25/(基本属性!$AS$25*1/3600))*材料产出!$D$25</f>
        <v>2.1442070924971062E-2</v>
      </c>
    </row>
    <row r="4696" spans="1:4" ht="16.5" x14ac:dyDescent="0.3">
      <c r="A4696" s="10" t="str">
        <f>基本属性!$B$26&amp;"|"&amp;基本属性!$C$26</f>
        <v>230|16</v>
      </c>
      <c r="B4696" s="10" t="str">
        <f>参数调整!$J$31</f>
        <v>小怪掉落</v>
      </c>
      <c r="C4696" s="8" t="str">
        <f>材料产出!$AH$2</f>
        <v>神品升星石</v>
      </c>
      <c r="D4696" s="224">
        <f>材料产出!$AH$26/(基本属性!$A$26/(基本属性!$AS$26*1/3600))*材料产出!$D$26</f>
        <v>2.3845000526149636E-2</v>
      </c>
    </row>
    <row r="4697" spans="1:4" ht="16.5" x14ac:dyDescent="0.3">
      <c r="A4697" s="10" t="str">
        <f>基本属性!$B$27&amp;"|"&amp;基本属性!$C$27</f>
        <v>230|17</v>
      </c>
      <c r="B4697" s="10" t="str">
        <f>参数调整!$J$31</f>
        <v>小怪掉落</v>
      </c>
      <c r="C4697" s="8" t="str">
        <f>材料产出!$AH$2</f>
        <v>神品升星石</v>
      </c>
      <c r="D4697" s="224">
        <f>材料产出!$AH$27/(基本属性!$A$27/(基本属性!$AS$27*1/3600))*材料产出!$D$27</f>
        <v>2.6375519309691675E-2</v>
      </c>
    </row>
    <row r="4698" spans="1:4" ht="16.5" x14ac:dyDescent="0.3">
      <c r="A4698" s="10" t="str">
        <f>基本属性!$B$28&amp;"|"&amp;基本属性!$C$28</f>
        <v>240|18</v>
      </c>
      <c r="B4698" s="10" t="str">
        <f>参数调整!$J$31</f>
        <v>小怪掉落</v>
      </c>
      <c r="C4698" s="8" t="str">
        <f>材料产出!$AH$2</f>
        <v>神品升星石</v>
      </c>
      <c r="D4698" s="224">
        <f>材料产出!$AH$28/(基本属性!$A$28/(基本属性!$AS$28*1/3600))*材料产出!$D$28</f>
        <v>2.903362727559718E-2</v>
      </c>
    </row>
    <row r="4699" spans="1:4" ht="16.5" x14ac:dyDescent="0.3">
      <c r="A4699" s="10" t="str">
        <f>基本属性!$B$29&amp;"|"&amp;基本属性!$C$29</f>
        <v>240|19</v>
      </c>
      <c r="B4699" s="10" t="str">
        <f>参数调整!$J$31</f>
        <v>小怪掉落</v>
      </c>
      <c r="C4699" s="8" t="str">
        <f>材料产出!$AH$2</f>
        <v>神品升星石</v>
      </c>
      <c r="D4699" s="224">
        <f>材料产出!$AH$29/(基本属性!$A$29/(基本属性!$AS$29*1/3600))*材料产出!$D$29</f>
        <v>3.1819324423866154E-2</v>
      </c>
    </row>
    <row r="4700" spans="1:4" ht="16.5" x14ac:dyDescent="0.3">
      <c r="A4700" s="10" t="str">
        <f>基本属性!$B$30&amp;"|"&amp;基本属性!$C$30</f>
        <v>250|20</v>
      </c>
      <c r="B4700" s="10" t="str">
        <f>参数调整!$J$31</f>
        <v>小怪掉落</v>
      </c>
      <c r="C4700" s="8" t="str">
        <f>材料产出!$AH$2</f>
        <v>神品升星石</v>
      </c>
      <c r="D4700" s="224">
        <f>材料产出!$AH$30/(基本属性!$A$30/(基本属性!$AS$30*1/3600))*材料产出!$D$30</f>
        <v>3.4732610754498572E-2</v>
      </c>
    </row>
    <row r="4701" spans="1:4" ht="16.5" x14ac:dyDescent="0.3">
      <c r="A4701" s="10" t="str">
        <f>基本属性!$B$4&amp;"|"&amp;基本属性!$C$4</f>
        <v>35|0</v>
      </c>
      <c r="B4701" s="10" t="str">
        <f>参数调整!$J$31</f>
        <v>小怪掉落</v>
      </c>
      <c r="C4701" s="8" t="str">
        <f>材料产出!$AL$2</f>
        <v>上品注灵石</v>
      </c>
      <c r="D4701" s="224">
        <f>材料产出!$AL$4/(基本属性!$A$4/(基本属性!$AS$4*1/3600))*材料产出!$D$4</f>
        <v>2.5922051447117831E-3</v>
      </c>
    </row>
    <row r="4702" spans="1:4" ht="16.5" x14ac:dyDescent="0.3">
      <c r="A4702" s="10" t="str">
        <f>基本属性!$B$5&amp;"|"&amp;基本属性!$C$5</f>
        <v>40|0</v>
      </c>
      <c r="B4702" s="10" t="str">
        <f>参数调整!$J$31</f>
        <v>小怪掉落</v>
      </c>
      <c r="C4702" s="8" t="str">
        <f>材料产出!$AL$2</f>
        <v>上品注灵石</v>
      </c>
      <c r="D4702" s="224">
        <f>材料产出!$AL$5/(基本属性!$A$5/(基本属性!$AS$5*1/3600))*材料产出!$D$5</f>
        <v>3.2807596362758509E-3</v>
      </c>
    </row>
    <row r="4703" spans="1:4" ht="16.5" x14ac:dyDescent="0.3">
      <c r="A4703" s="10" t="str">
        <f>基本属性!$B$6&amp;"|"&amp;基本属性!$C$6</f>
        <v>50|0</v>
      </c>
      <c r="B4703" s="10" t="str">
        <f>参数调整!$J$31</f>
        <v>小怪掉落</v>
      </c>
      <c r="C4703" s="8" t="str">
        <f>材料产出!$AL$2</f>
        <v>上品注灵石</v>
      </c>
      <c r="D4703" s="224">
        <f>材料产出!$AL$6/(基本属性!$A$6/(基本属性!$AS$6*1/3600))*材料产出!$D$6</f>
        <v>4.0503205386121614E-3</v>
      </c>
    </row>
    <row r="4704" spans="1:4" ht="16.5" x14ac:dyDescent="0.3">
      <c r="A4704" s="10" t="str">
        <f>基本属性!$B$7&amp;"|"&amp;基本属性!$C$7</f>
        <v>60|0</v>
      </c>
      <c r="B4704" s="10" t="str">
        <f>参数调整!$J$31</f>
        <v>小怪掉落</v>
      </c>
      <c r="C4704" s="8" t="str">
        <f>材料产出!$AL$2</f>
        <v>上品注灵石</v>
      </c>
      <c r="D4704" s="224">
        <f>材料产出!$AL$7/(基本属性!$A$7/(基本属性!$AS$7*1/3600))*材料产出!$D$7</f>
        <v>4.9008878517207161E-3</v>
      </c>
    </row>
    <row r="4705" spans="1:4" ht="16.5" x14ac:dyDescent="0.3">
      <c r="A4705" s="10" t="str">
        <f>基本属性!$B$8&amp;"|"&amp;基本属性!$C$8</f>
        <v>65|0</v>
      </c>
      <c r="B4705" s="10" t="str">
        <f>参数调整!$J$31</f>
        <v>小怪掉落</v>
      </c>
      <c r="C4705" s="8" t="str">
        <f>材料产出!$AL$2</f>
        <v>上品注灵石</v>
      </c>
      <c r="D4705" s="224">
        <f>材料产出!$AL$8/(基本属性!$A$8/(基本属性!$AS$8*1/3600))*材料产出!$D$8</f>
        <v>5.8324615756015115E-3</v>
      </c>
    </row>
    <row r="4706" spans="1:4" ht="16.5" x14ac:dyDescent="0.3">
      <c r="A4706" s="10" t="str">
        <f>基本属性!$B$9&amp;"|"&amp;基本属性!$C$9</f>
        <v>70|0</v>
      </c>
      <c r="B4706" s="10" t="str">
        <f>参数调整!$J$31</f>
        <v>小怪掉落</v>
      </c>
      <c r="C4706" s="8" t="str">
        <f>材料产出!$AL$2</f>
        <v>上品注灵石</v>
      </c>
      <c r="D4706" s="224">
        <f>材料产出!$AL$9/(基本属性!$A$9/(基本属性!$AS$9*1/3600))*材料产出!$D$9</f>
        <v>6.8450417102545527E-3</v>
      </c>
    </row>
    <row r="4707" spans="1:4" ht="16.5" x14ac:dyDescent="0.3">
      <c r="A4707" s="10" t="str">
        <f>基本属性!$B$10&amp;"|"&amp;基本属性!$C$10</f>
        <v>75|0</v>
      </c>
      <c r="B4707" s="10" t="str">
        <f>参数调整!$J$31</f>
        <v>小怪掉落</v>
      </c>
      <c r="C4707" s="8" t="str">
        <f>材料产出!$AL$2</f>
        <v>上品注灵石</v>
      </c>
      <c r="D4707" s="224">
        <f>材料产出!$AL$10/(基本属性!$A$10/(基本属性!$AS$10*1/3600))*材料产出!$D$10</f>
        <v>7.9386282556798346E-3</v>
      </c>
    </row>
    <row r="4708" spans="1:4" ht="16.5" x14ac:dyDescent="0.3">
      <c r="A4708" s="10" t="str">
        <f>基本属性!$B$11&amp;"|"&amp;基本属性!$C$11</f>
        <v>80|1</v>
      </c>
      <c r="B4708" s="10" t="str">
        <f>参数调整!$J$31</f>
        <v>小怪掉落</v>
      </c>
      <c r="C4708" s="8" t="str">
        <f>材料产出!$AL$2</f>
        <v>上品注灵石</v>
      </c>
      <c r="D4708" s="224">
        <f>材料产出!$AL$11/(基本属性!$A$11/(基本属性!$AS$11*1/3600))*材料产出!$D$11</f>
        <v>9.1132212118773641E-3</v>
      </c>
    </row>
    <row r="4709" spans="1:4" ht="16.5" x14ac:dyDescent="0.3">
      <c r="A4709" s="10" t="str">
        <f>基本属性!$B$12&amp;"|"&amp;基本属性!$C$12</f>
        <v>90|2</v>
      </c>
      <c r="B4709" s="10" t="str">
        <f>参数调整!$J$31</f>
        <v>小怪掉落</v>
      </c>
      <c r="C4709" s="8" t="str">
        <f>材料产出!$AL$2</f>
        <v>上品注灵石</v>
      </c>
      <c r="D4709" s="224">
        <f>材料产出!$AL$12/(基本属性!$A$12/(基本属性!$AS$12*1/3600))*材料产出!$D$12</f>
        <v>1.0368820578847134E-2</v>
      </c>
    </row>
    <row r="4710" spans="1:4" ht="16.5" x14ac:dyDescent="0.3">
      <c r="A4710" s="10" t="str">
        <f>基本属性!$B$13&amp;"|"&amp;基本属性!$C$13</f>
        <v>100|3</v>
      </c>
      <c r="B4710" s="10" t="str">
        <f>参数调整!$J$31</f>
        <v>小怪掉落</v>
      </c>
      <c r="C4710" s="8" t="str">
        <f>材料产出!$AL$2</f>
        <v>上品注灵石</v>
      </c>
      <c r="D4710" s="224">
        <f>材料产出!$AL$13/(基本属性!$A$13/(基本属性!$AS$13*1/3600))*材料产出!$D$13</f>
        <v>1.3123038545103403E-2</v>
      </c>
    </row>
    <row r="4711" spans="1:4" ht="16.5" x14ac:dyDescent="0.3">
      <c r="A4711" s="10" t="str">
        <f>基本属性!$B$14&amp;"|"&amp;基本属性!$C$14</f>
        <v>105|4</v>
      </c>
      <c r="B4711" s="10" t="str">
        <f>参数调整!$J$31</f>
        <v>小怪掉落</v>
      </c>
      <c r="C4711" s="8" t="str">
        <f>材料产出!$AL$2</f>
        <v>上品注灵石</v>
      </c>
      <c r="D4711" s="224">
        <f>材料产出!$AL$14/(基本属性!$A$14/(基本属性!$AS$14*1/3600))*材料产出!$D$14</f>
        <v>1.6201282154448646E-2</v>
      </c>
    </row>
    <row r="4712" spans="1:4" ht="16.5" x14ac:dyDescent="0.3">
      <c r="A4712" s="10" t="str">
        <f>基本属性!$B$15&amp;"|"&amp;基本属性!$C$15</f>
        <v>110|5</v>
      </c>
      <c r="B4712" s="10" t="str">
        <f>参数调整!$J$31</f>
        <v>小怪掉落</v>
      </c>
      <c r="C4712" s="8" t="str">
        <f>材料产出!$AL$2</f>
        <v>上品注灵石</v>
      </c>
      <c r="D4712" s="224">
        <f>材料产出!$AL$15/(基本属性!$A$15/(基本属性!$AS$15*1/3600))*材料产出!$D$15</f>
        <v>1.9603551406882865E-2</v>
      </c>
    </row>
    <row r="4713" spans="1:4" ht="16.5" x14ac:dyDescent="0.3">
      <c r="A4713" s="10" t="str">
        <f>基本属性!$B$16&amp;"|"&amp;基本属性!$C$16</f>
        <v>120|6</v>
      </c>
      <c r="B4713" s="10" t="str">
        <f>参数调整!$J$31</f>
        <v>小怪掉落</v>
      </c>
      <c r="C4713" s="8" t="str">
        <f>材料产出!$AL$2</f>
        <v>上品注灵石</v>
      </c>
      <c r="D4713" s="224">
        <f>材料产出!$AL$16/(基本属性!$A$16/(基本属性!$AS$16*1/3600))*材料产出!$D$16</f>
        <v>2.531450336632601E-2</v>
      </c>
    </row>
    <row r="4714" spans="1:4" ht="16.5" x14ac:dyDescent="0.3">
      <c r="A4714" s="10" t="str">
        <f>基本属性!$B$17&amp;"|"&amp;基本属性!$C$17</f>
        <v>135|7</v>
      </c>
      <c r="B4714" s="10" t="str">
        <f>参数调整!$J$31</f>
        <v>小怪掉落</v>
      </c>
      <c r="C4714" s="8" t="str">
        <f>材料产出!$AL$2</f>
        <v>上品注灵石</v>
      </c>
      <c r="D4714" s="224">
        <f>材料产出!$AL$17/(基本属性!$A$17/(基本属性!$AS$17*1/3600))*材料产出!$D$17</f>
        <v>3.6452884847509456E-2</v>
      </c>
    </row>
    <row r="4715" spans="1:4" ht="16.5" x14ac:dyDescent="0.3">
      <c r="A4715" s="10" t="str">
        <f>基本属性!$B$18&amp;"|"&amp;基本属性!$C$18</f>
        <v>155|8</v>
      </c>
      <c r="B4715" s="10" t="str">
        <f>参数调整!$J$31</f>
        <v>小怪掉落</v>
      </c>
      <c r="C4715" s="8" t="str">
        <f>材料产出!$AL$2</f>
        <v>上品注灵石</v>
      </c>
      <c r="D4715" s="224">
        <f>材料产出!$AL$18/(基本属性!$A$18/(基本属性!$AS$18*1/3600))*材料产出!$D$18</f>
        <v>4.9616426597998975E-2</v>
      </c>
    </row>
    <row r="4716" spans="1:4" ht="16.5" x14ac:dyDescent="0.3">
      <c r="A4716" s="10" t="str">
        <f>基本属性!$B$19&amp;"|"&amp;基本属性!$C$19</f>
        <v>190|9</v>
      </c>
      <c r="B4716" s="10" t="str">
        <f>参数调整!$J$31</f>
        <v>小怪掉落</v>
      </c>
      <c r="C4716" s="8" t="str">
        <f>材料产出!$AL$2</f>
        <v>上品注灵石</v>
      </c>
      <c r="D4716" s="224">
        <f>材料产出!$AL$19/(基本属性!$A$19/(基本属性!$AS$19*1/3600))*材料产出!$D$19</f>
        <v>5.5448888173600497E-2</v>
      </c>
    </row>
    <row r="4717" spans="1:4" ht="16.5" x14ac:dyDescent="0.3">
      <c r="A4717" s="10" t="str">
        <f>基本属性!$B$20&amp;"|"&amp;基本属性!$C$20</f>
        <v>200|10</v>
      </c>
      <c r="B4717" s="10" t="str">
        <f>参数调整!$J$31</f>
        <v>小怪掉落</v>
      </c>
      <c r="C4717" s="8" t="str">
        <f>材料产出!$AL$2</f>
        <v>上品注灵石</v>
      </c>
      <c r="D4717" s="224">
        <f>材料产出!$AL$20/(基本属性!$A$20/(基本属性!$AS$20*1/3600))*材料产出!$D$20</f>
        <v>6.4805128617794583E-2</v>
      </c>
    </row>
    <row r="4718" spans="1:4" ht="16.5" x14ac:dyDescent="0.3">
      <c r="A4718" s="10" t="str">
        <f>基本属性!$B$21&amp;"|"&amp;基本属性!$C$21</f>
        <v>200|11</v>
      </c>
      <c r="B4718" s="10" t="str">
        <f>参数调整!$J$31</f>
        <v>小怪掉落</v>
      </c>
      <c r="C4718" s="8" t="str">
        <f>材料产出!$AL$2</f>
        <v>上品注灵石</v>
      </c>
      <c r="D4718" s="224">
        <f>材料产出!$AL$21/(基本属性!$A$21/(基本属性!$AS$21*1/3600))*材料产出!$D$21</f>
        <v>7.4890426758938852E-2</v>
      </c>
    </row>
    <row r="4719" spans="1:4" ht="16.5" x14ac:dyDescent="0.3">
      <c r="A4719" s="10" t="str">
        <f>基本属性!$B$22&amp;"|"&amp;基本属性!$C$22</f>
        <v>210|12</v>
      </c>
      <c r="B4719" s="10" t="str">
        <f>参数调整!$J$31</f>
        <v>小怪掉落</v>
      </c>
      <c r="C4719" s="8" t="str">
        <f>材料产出!$AL$2</f>
        <v>上品注灵石</v>
      </c>
      <c r="D4719" s="224">
        <f>材料产出!$AL$22/(基本属性!$A$22/(基本属性!$AS$22*1/3600))*材料产出!$D$22</f>
        <v>8.5704782597033305E-2</v>
      </c>
    </row>
    <row r="4720" spans="1:4" ht="16.5" x14ac:dyDescent="0.3">
      <c r="A4720" s="10" t="str">
        <f>基本属性!$B$23&amp;"|"&amp;基本属性!$C$23</f>
        <v>210|13</v>
      </c>
      <c r="B4720" s="10" t="str">
        <f>参数调整!$J$31</f>
        <v>小怪掉落</v>
      </c>
      <c r="C4720" s="8" t="str">
        <f>材料产出!$AL$2</f>
        <v>上品注灵石</v>
      </c>
      <c r="D4720" s="224">
        <f>材料产出!$AL$23/(基本属性!$A$23/(基本属性!$AS$23*1/3600))*材料产出!$D$23</f>
        <v>9.7248196132077996E-2</v>
      </c>
    </row>
    <row r="4721" spans="1:4" ht="16.5" x14ac:dyDescent="0.3">
      <c r="A4721" s="10" t="str">
        <f>基本属性!$B$24&amp;"|"&amp;基本属性!$C$24</f>
        <v>220|14</v>
      </c>
      <c r="B4721" s="10" t="str">
        <f>参数调整!$J$31</f>
        <v>小怪掉落</v>
      </c>
      <c r="C4721" s="8" t="str">
        <f>材料产出!$AL$2</f>
        <v>上品注灵石</v>
      </c>
      <c r="D4721" s="224">
        <f>材料产出!$AL$24/(基本属性!$A$24/(基本属性!$AS$24*1/3600))*材料产出!$D$24</f>
        <v>0.10952066736407284</v>
      </c>
    </row>
    <row r="4722" spans="1:4" ht="16.5" x14ac:dyDescent="0.3">
      <c r="A4722" s="10" t="str">
        <f>基本属性!$B$25&amp;"|"&amp;基本属性!$C$25</f>
        <v>220|15</v>
      </c>
      <c r="B4722" s="10" t="str">
        <f>参数调整!$J$31</f>
        <v>小怪掉落</v>
      </c>
      <c r="C4722" s="8" t="str">
        <f>材料产出!$AL$2</f>
        <v>上品注灵石</v>
      </c>
      <c r="D4722" s="224">
        <f>材料产出!$AL$25/(基本属性!$A$25/(基本属性!$AS$25*1/3600))*材料产出!$D$25</f>
        <v>0.12252219629301787</v>
      </c>
    </row>
    <row r="4723" spans="1:4" ht="16.5" x14ac:dyDescent="0.3">
      <c r="A4723" s="10" t="str">
        <f>基本属性!$B$26&amp;"|"&amp;基本属性!$C$26</f>
        <v>230|16</v>
      </c>
      <c r="B4723" s="10" t="str">
        <f>参数调整!$J$31</f>
        <v>小怪掉落</v>
      </c>
      <c r="C4723" s="8" t="str">
        <f>材料产出!$AL$2</f>
        <v>上品注灵石</v>
      </c>
      <c r="D4723" s="224">
        <f>材料产出!$AL$26/(基本属性!$A$26/(基本属性!$AS$26*1/3600))*材料产出!$D$26</f>
        <v>0.13625278291891307</v>
      </c>
    </row>
    <row r="4724" spans="1:4" ht="16.5" x14ac:dyDescent="0.3">
      <c r="A4724" s="10" t="str">
        <f>基本属性!$B$27&amp;"|"&amp;基本属性!$C$27</f>
        <v>230|17</v>
      </c>
      <c r="B4724" s="10" t="str">
        <f>参数调整!$J$31</f>
        <v>小怪掉落</v>
      </c>
      <c r="C4724" s="8" t="str">
        <f>材料产出!$AL$2</f>
        <v>上品注灵石</v>
      </c>
      <c r="D4724" s="224">
        <f>材料产出!$AL$27/(基本属性!$A$27/(基本属性!$AS$27*1/3600))*材料产出!$D$27</f>
        <v>0.15071242724175851</v>
      </c>
    </row>
    <row r="4725" spans="1:4" ht="16.5" x14ac:dyDescent="0.3">
      <c r="A4725" s="10" t="str">
        <f>基本属性!$B$28&amp;"|"&amp;基本属性!$C$28</f>
        <v>240|18</v>
      </c>
      <c r="B4725" s="10" t="str">
        <f>参数调整!$J$31</f>
        <v>小怪掉落</v>
      </c>
      <c r="C4725" s="8" t="str">
        <f>材料产出!$AL$2</f>
        <v>上品注灵石</v>
      </c>
      <c r="D4725" s="224">
        <f>材料产出!$AL$28/(基本属性!$A$28/(基本属性!$AS$28*1/3600))*材料产出!$D$28</f>
        <v>0.16590112926155415</v>
      </c>
    </row>
    <row r="4726" spans="1:4" ht="16.5" x14ac:dyDescent="0.3">
      <c r="A4726" s="10" t="str">
        <f>基本属性!$B$29&amp;"|"&amp;基本属性!$C$29</f>
        <v>240|19</v>
      </c>
      <c r="B4726" s="10" t="str">
        <f>参数调整!$J$31</f>
        <v>小怪掉落</v>
      </c>
      <c r="C4726" s="8" t="str">
        <f>材料产出!$AL$2</f>
        <v>上品注灵石</v>
      </c>
      <c r="D4726" s="224">
        <f>材料产出!$AL$29/(基本属性!$A$29/(基本属性!$AS$29*1/3600))*材料产出!$D$29</f>
        <v>0.18181888897829993</v>
      </c>
    </row>
    <row r="4727" spans="1:4" ht="16.5" x14ac:dyDescent="0.3">
      <c r="A4727" s="10" t="str">
        <f>基本属性!$B$30&amp;"|"&amp;基本属性!$C$30</f>
        <v>250|20</v>
      </c>
      <c r="B4727" s="10" t="str">
        <f>参数调整!$J$31</f>
        <v>小怪掉落</v>
      </c>
      <c r="C4727" s="8" t="str">
        <f>材料产出!$AL$2</f>
        <v>上品注灵石</v>
      </c>
      <c r="D4727" s="224">
        <f>材料产出!$AL$30/(基本属性!$A$30/(基本属性!$AS$30*1/3600))*材料产出!$D$30</f>
        <v>0.1984657063919959</v>
      </c>
    </row>
    <row r="4728" spans="1:4" ht="16.5" x14ac:dyDescent="0.3">
      <c r="A4728" s="10" t="str">
        <f>基本属性!$B$4&amp;"|"&amp;基本属性!$C$4</f>
        <v>35|0</v>
      </c>
      <c r="B4728" s="10" t="str">
        <f>参数调整!$J$31</f>
        <v>小怪掉落</v>
      </c>
      <c r="C4728" s="8" t="str">
        <f>材料产出!$AT$2</f>
        <v>魔龙之心</v>
      </c>
      <c r="D4728" s="224">
        <f>材料产出!$AT$4/(基本属性!$A$4/(基本属性!$AS$4*1/3600))*材料产出!$D$4</f>
        <v>3.246678883355982E-6</v>
      </c>
    </row>
    <row r="4729" spans="1:4" ht="16.5" x14ac:dyDescent="0.3">
      <c r="A4729" s="10" t="str">
        <f>基本属性!$B$5&amp;"|"&amp;基本属性!$C$5</f>
        <v>40|0</v>
      </c>
      <c r="B4729" s="10" t="str">
        <f>参数调整!$J$31</f>
        <v>小怪掉落</v>
      </c>
      <c r="C4729" s="8" t="str">
        <f>材料产出!$AT$2</f>
        <v>魔龙之心</v>
      </c>
      <c r="D4729" s="224">
        <f>材料产出!$AT$5/(基本属性!$A$5/(基本属性!$AS$5*1/3600))*材料产出!$D$5</f>
        <v>4.1090779617474144E-6</v>
      </c>
    </row>
    <row r="4730" spans="1:4" ht="16.5" x14ac:dyDescent="0.3">
      <c r="A4730" s="10" t="str">
        <f>基本属性!$B$6&amp;"|"&amp;基本属性!$C$6</f>
        <v>50|0</v>
      </c>
      <c r="B4730" s="10" t="str">
        <f>参数调整!$J$31</f>
        <v>小怪掉落</v>
      </c>
      <c r="C4730" s="8" t="str">
        <f>材料产出!$AT$2</f>
        <v>魔龙之心</v>
      </c>
      <c r="D4730" s="224">
        <f>材料产出!$AT$6/(基本属性!$A$6/(基本属性!$AS$6*1/3600))*材料产出!$D$6</f>
        <v>5.0729357552437214E-6</v>
      </c>
    </row>
    <row r="4731" spans="1:4" ht="16.5" x14ac:dyDescent="0.3">
      <c r="A4731" s="10" t="str">
        <f>基本属性!$B$7&amp;"|"&amp;基本属性!$C$7</f>
        <v>60|0</v>
      </c>
      <c r="B4731" s="10" t="str">
        <f>参数调整!$J$31</f>
        <v>小怪掉落</v>
      </c>
      <c r="C4731" s="8" t="str">
        <f>材料产出!$AT$2</f>
        <v>魔龙之心</v>
      </c>
      <c r="D4731" s="224">
        <f>材料产出!$AT$7/(基本属性!$A$7/(基本属性!$AS$7*1/3600))*材料产出!$D$7</f>
        <v>6.1382522638449047E-6</v>
      </c>
    </row>
    <row r="4732" spans="1:4" ht="16.5" x14ac:dyDescent="0.3">
      <c r="A4732" s="10" t="str">
        <f>基本属性!$B$8&amp;"|"&amp;基本属性!$C$8</f>
        <v>65|0</v>
      </c>
      <c r="B4732" s="10" t="str">
        <f>参数调整!$J$31</f>
        <v>小怪掉落</v>
      </c>
      <c r="C4732" s="8" t="str">
        <f>材料产出!$AT$2</f>
        <v>魔龙之心</v>
      </c>
      <c r="D4732" s="224">
        <f>材料产出!$AT$8/(基本属性!$A$8/(基本属性!$AS$8*1/3600))*材料产出!$D$8</f>
        <v>7.3050274875509583E-6</v>
      </c>
    </row>
    <row r="4733" spans="1:4" ht="16.5" x14ac:dyDescent="0.3">
      <c r="A4733" s="10" t="str">
        <f>基本属性!$B$9&amp;"|"&amp;基本属性!$C$9</f>
        <v>70|0</v>
      </c>
      <c r="B4733" s="10" t="str">
        <f>参数调整!$J$31</f>
        <v>小怪掉落</v>
      </c>
      <c r="C4733" s="8" t="str">
        <f>材料产出!$AT$2</f>
        <v>魔龙之心</v>
      </c>
      <c r="D4733" s="224">
        <f>材料产出!$AT$9/(基本属性!$A$9/(基本属性!$AS$9*1/3600))*材料产出!$D$9</f>
        <v>8.5732614263618891E-6</v>
      </c>
    </row>
    <row r="4734" spans="1:4" ht="16.5" x14ac:dyDescent="0.3">
      <c r="A4734" s="10" t="str">
        <f>基本属性!$B$10&amp;"|"&amp;基本属性!$C$10</f>
        <v>75|0</v>
      </c>
      <c r="B4734" s="10" t="str">
        <f>参数调整!$J$31</f>
        <v>小怪掉落</v>
      </c>
      <c r="C4734" s="8" t="str">
        <f>材料产出!$AT$2</f>
        <v>魔龙之心</v>
      </c>
      <c r="D4734" s="224">
        <f>材料产出!$AT$10/(基本属性!$A$10/(基本属性!$AS$10*1/3600))*材料产出!$D$10</f>
        <v>9.9429540802776919E-6</v>
      </c>
    </row>
    <row r="4735" spans="1:4" ht="16.5" x14ac:dyDescent="0.3">
      <c r="A4735" s="10" t="str">
        <f>基本属性!$B$11&amp;"|"&amp;基本属性!$C$11</f>
        <v>80|1</v>
      </c>
      <c r="B4735" s="10" t="str">
        <f>参数调整!$J$31</f>
        <v>小怪掉落</v>
      </c>
      <c r="C4735" s="8" t="str">
        <f>材料产出!$AT$2</f>
        <v>魔龙之心</v>
      </c>
      <c r="D4735" s="224">
        <f>材料产出!$AT$11/(基本属性!$A$11/(基本属性!$AS$11*1/3600))*材料产出!$D$11</f>
        <v>1.1414105449298371E-5</v>
      </c>
    </row>
    <row r="4736" spans="1:4" ht="16.5" x14ac:dyDescent="0.3">
      <c r="A4736" s="10" t="str">
        <f>基本属性!$B$12&amp;"|"&amp;基本属性!$C$12</f>
        <v>90|2</v>
      </c>
      <c r="B4736" s="10" t="str">
        <f>参数调整!$J$31</f>
        <v>小怪掉落</v>
      </c>
      <c r="C4736" s="8" t="str">
        <f>材料产出!$AT$2</f>
        <v>魔龙之心</v>
      </c>
      <c r="D4736" s="224">
        <f>材料产出!$AT$12/(基本属性!$A$12/(基本属性!$AS$12*1/3600))*材料产出!$D$12</f>
        <v>1.298671553342393E-5</v>
      </c>
    </row>
    <row r="4737" spans="1:4" ht="16.5" x14ac:dyDescent="0.3">
      <c r="A4737" s="10" t="str">
        <f>基本属性!$B$13&amp;"|"&amp;基本属性!$C$13</f>
        <v>100|3</v>
      </c>
      <c r="B4737" s="10" t="str">
        <f>参数调整!$J$31</f>
        <v>小怪掉落</v>
      </c>
      <c r="C4737" s="8" t="str">
        <f>材料产出!$AT$2</f>
        <v>魔龙之心</v>
      </c>
      <c r="D4737" s="224">
        <f>材料产出!$AT$13/(基本属性!$A$13/(基本属性!$AS$13*1/3600))*材料产出!$D$13</f>
        <v>1.6436311846989661E-5</v>
      </c>
    </row>
    <row r="4738" spans="1:4" ht="16.5" x14ac:dyDescent="0.3">
      <c r="A4738" s="10" t="str">
        <f>基本属性!$B$14&amp;"|"&amp;基本属性!$C$14</f>
        <v>105|4</v>
      </c>
      <c r="B4738" s="10" t="str">
        <f>参数调整!$J$31</f>
        <v>小怪掉落</v>
      </c>
      <c r="C4738" s="8" t="str">
        <f>材料产出!$AT$2</f>
        <v>魔龙之心</v>
      </c>
      <c r="D4738" s="224">
        <f>材料产出!$AT$14/(基本属性!$A$14/(基本属性!$AS$14*1/3600))*材料产出!$D$14</f>
        <v>2.0291743020974886E-5</v>
      </c>
    </row>
    <row r="4739" spans="1:4" ht="16.5" x14ac:dyDescent="0.3">
      <c r="A4739" s="10" t="str">
        <f>基本属性!$B$15&amp;"|"&amp;基本属性!$C$15</f>
        <v>110|5</v>
      </c>
      <c r="B4739" s="10" t="str">
        <f>参数调整!$J$31</f>
        <v>小怪掉落</v>
      </c>
      <c r="C4739" s="8" t="str">
        <f>材料产出!$AT$2</f>
        <v>魔龙之心</v>
      </c>
      <c r="D4739" s="224">
        <f>材料产出!$AT$15/(基本属性!$A$15/(基本属性!$AS$15*1/3600))*材料产出!$D$15</f>
        <v>2.4553009055379619E-5</v>
      </c>
    </row>
    <row r="4740" spans="1:4" ht="16.5" x14ac:dyDescent="0.3">
      <c r="A4740" s="10" t="str">
        <f>基本属性!$B$16&amp;"|"&amp;基本属性!$C$16</f>
        <v>120|6</v>
      </c>
      <c r="B4740" s="10" t="str">
        <f>参数调整!$J$31</f>
        <v>小怪掉落</v>
      </c>
      <c r="C4740" s="8" t="str">
        <f>材料产出!$AT$2</f>
        <v>魔龙之心</v>
      </c>
      <c r="D4740" s="224">
        <f>材料产出!$AT$16/(基本属性!$A$16/(基本属性!$AS$16*1/3600))*材料产出!$D$16</f>
        <v>3.1705848470273263E-5</v>
      </c>
    </row>
    <row r="4741" spans="1:4" ht="16.5" x14ac:dyDescent="0.3">
      <c r="A4741" s="10" t="str">
        <f>基本属性!$B$17&amp;"|"&amp;基本属性!$C$17</f>
        <v>135|7</v>
      </c>
      <c r="B4741" s="10" t="str">
        <f>参数调整!$J$31</f>
        <v>小怪掉落</v>
      </c>
      <c r="C4741" s="8" t="str">
        <f>材料产出!$AT$2</f>
        <v>魔龙之心</v>
      </c>
      <c r="D4741" s="224">
        <f>材料产出!$AT$17/(基本属性!$A$17/(基本属性!$AS$17*1/3600))*材料产出!$D$17</f>
        <v>4.5656421797193491E-5</v>
      </c>
    </row>
    <row r="4742" spans="1:4" ht="16.5" x14ac:dyDescent="0.3">
      <c r="A4742" s="10" t="str">
        <f>基本属性!$B$18&amp;"|"&amp;基本属性!$C$18</f>
        <v>155|8</v>
      </c>
      <c r="B4742" s="10" t="str">
        <f>参数调整!$J$31</f>
        <v>小怪掉落</v>
      </c>
      <c r="C4742" s="8" t="str">
        <f>材料产出!$AT$2</f>
        <v>魔龙之心</v>
      </c>
      <c r="D4742" s="224">
        <f>材料产出!$AT$18/(基本属性!$A$18/(基本属性!$AS$18*1/3600))*材料产出!$D$18</f>
        <v>6.2143463001735602E-5</v>
      </c>
    </row>
    <row r="4743" spans="1:4" ht="16.5" x14ac:dyDescent="0.3">
      <c r="A4743" s="10" t="str">
        <f>基本属性!$B$19&amp;"|"&amp;基本属性!$C$19</f>
        <v>190|9</v>
      </c>
      <c r="B4743" s="10" t="str">
        <f>参数调整!$J$31</f>
        <v>小怪掉落</v>
      </c>
      <c r="C4743" s="8" t="str">
        <f>材料产出!$AT$2</f>
        <v>魔龙之心</v>
      </c>
      <c r="D4743" s="224">
        <f>材料产出!$AT$19/(基本属性!$A$19/(基本属性!$AS$19*1/3600))*材料产出!$D$19</f>
        <v>6.9448490489286546E-5</v>
      </c>
    </row>
    <row r="4744" spans="1:4" ht="16.5" x14ac:dyDescent="0.3">
      <c r="A4744" s="10" t="str">
        <f>基本属性!$B$20&amp;"|"&amp;基本属性!$C$20</f>
        <v>200|10</v>
      </c>
      <c r="B4744" s="10" t="str">
        <f>参数调整!$J$31</f>
        <v>小怪掉落</v>
      </c>
      <c r="C4744" s="8" t="str">
        <f>材料产出!$AT$2</f>
        <v>魔龙之心</v>
      </c>
      <c r="D4744" s="224">
        <f>材料产出!$AT$20/(基本属性!$A$20/(基本属性!$AS$20*1/3600))*材料产出!$D$20</f>
        <v>8.1166972083899542E-5</v>
      </c>
    </row>
    <row r="4745" spans="1:4" ht="16.5" x14ac:dyDescent="0.3">
      <c r="A4745" s="10" t="str">
        <f>基本属性!$B$21&amp;"|"&amp;基本属性!$C$21</f>
        <v>200|11</v>
      </c>
      <c r="B4745" s="10" t="str">
        <f>参数调整!$J$31</f>
        <v>小怪掉落</v>
      </c>
      <c r="C4745" s="8" t="str">
        <f>材料产出!$AT$2</f>
        <v>魔龙之心</v>
      </c>
      <c r="D4745" s="224">
        <f>材料产出!$AT$21/(基本属性!$A$21/(基本属性!$AS$21*1/3600))*材料产出!$D$21</f>
        <v>9.3798582114456395E-5</v>
      </c>
    </row>
    <row r="4746" spans="1:4" ht="16.5" x14ac:dyDescent="0.3">
      <c r="A4746" s="10" t="str">
        <f>基本属性!$B$22&amp;"|"&amp;基本属性!$C$22</f>
        <v>210|12</v>
      </c>
      <c r="B4746" s="10" t="str">
        <f>参数调整!$J$31</f>
        <v>小怪掉落</v>
      </c>
      <c r="C4746" s="8" t="str">
        <f>材料产出!$AT$2</f>
        <v>魔龙之心</v>
      </c>
      <c r="D4746" s="224">
        <f>材料产出!$AT$22/(基本属性!$A$22/(基本属性!$AS$22*1/3600))*材料产出!$D$22</f>
        <v>1.0734332058095713E-4</v>
      </c>
    </row>
    <row r="4747" spans="1:4" ht="16.5" x14ac:dyDescent="0.3">
      <c r="A4747" s="10" t="str">
        <f>基本属性!$B$23&amp;"|"&amp;基本属性!$C$23</f>
        <v>210|13</v>
      </c>
      <c r="B4747" s="10" t="str">
        <f>参数调整!$J$31</f>
        <v>小怪掉落</v>
      </c>
      <c r="C4747" s="8" t="str">
        <f>材料产出!$AT$2</f>
        <v>魔龙之心</v>
      </c>
      <c r="D4747" s="224">
        <f>材料产出!$AT$23/(基本属性!$A$23/(基本属性!$AS$23*1/3600))*材料产出!$D$23</f>
        <v>1.2180118748340178E-4</v>
      </c>
    </row>
    <row r="4748" spans="1:4" ht="16.5" x14ac:dyDescent="0.3">
      <c r="A4748" s="10" t="str">
        <f>基本属性!$B$24&amp;"|"&amp;基本属性!$C$24</f>
        <v>220|14</v>
      </c>
      <c r="B4748" s="10" t="str">
        <f>参数调整!$J$31</f>
        <v>小怪掉落</v>
      </c>
      <c r="C4748" s="8" t="str">
        <f>材料产出!$AT$2</f>
        <v>魔龙之心</v>
      </c>
      <c r="D4748" s="224">
        <f>材料产出!$AT$24/(基本属性!$A$24/(基本属性!$AS$24*1/3600))*材料产出!$D$24</f>
        <v>1.3717218282179023E-4</v>
      </c>
    </row>
    <row r="4749" spans="1:4" ht="16.5" x14ac:dyDescent="0.3">
      <c r="A4749" s="10" t="str">
        <f>基本属性!$B$25&amp;"|"&amp;基本属性!$C$25</f>
        <v>220|15</v>
      </c>
      <c r="B4749" s="10" t="str">
        <f>参数调整!$J$31</f>
        <v>小怪掉落</v>
      </c>
      <c r="C4749" s="8" t="str">
        <f>材料产出!$AT$2</f>
        <v>魔龙之心</v>
      </c>
      <c r="D4749" s="224">
        <f>材料产出!$AT$25/(基本属性!$A$25/(基本属性!$AS$25*1/3600))*材料产出!$D$25</f>
        <v>1.5345630659612254E-4</v>
      </c>
    </row>
    <row r="4750" spans="1:4" ht="16.5" x14ac:dyDescent="0.3">
      <c r="A4750" s="10" t="str">
        <f>基本属性!$B$26&amp;"|"&amp;基本属性!$C$26</f>
        <v>230|16</v>
      </c>
      <c r="B4750" s="10" t="str">
        <f>参数调整!$J$31</f>
        <v>小怪掉落</v>
      </c>
      <c r="C4750" s="8" t="str">
        <f>材料产出!$AT$2</f>
        <v>魔龙之心</v>
      </c>
      <c r="D4750" s="224">
        <f>材料产出!$AT$26/(基本属性!$A$26/(基本属性!$AS$26*1/3600))*材料产出!$D$26</f>
        <v>1.7065355880639874E-4</v>
      </c>
    </row>
    <row r="4751" spans="1:4" ht="16.5" x14ac:dyDescent="0.3">
      <c r="A4751" s="10" t="str">
        <f>基本属性!$B$27&amp;"|"&amp;基本属性!$C$27</f>
        <v>230|17</v>
      </c>
      <c r="B4751" s="10" t="str">
        <f>参数调整!$J$31</f>
        <v>小怪掉落</v>
      </c>
      <c r="C4751" s="8" t="str">
        <f>材料产出!$AT$2</f>
        <v>魔龙之心</v>
      </c>
      <c r="D4751" s="224">
        <f>材料产出!$AT$27/(基本属性!$A$27/(基本属性!$AS$27*1/3600))*材料产出!$D$27</f>
        <v>1.8876393945261883E-4</v>
      </c>
    </row>
    <row r="4752" spans="1:4" ht="16.5" x14ac:dyDescent="0.3">
      <c r="A4752" s="10" t="str">
        <f>基本属性!$B$28&amp;"|"&amp;基本属性!$C$28</f>
        <v>240|18</v>
      </c>
      <c r="B4752" s="10" t="str">
        <f>参数调整!$J$31</f>
        <v>小怪掉落</v>
      </c>
      <c r="C4752" s="8" t="str">
        <f>材料产出!$AT$2</f>
        <v>魔龙之心</v>
      </c>
      <c r="D4752" s="224">
        <f>材料产出!$AT$28/(基本属性!$A$28/(基本属性!$AS$28*1/3600))*材料产出!$D$28</f>
        <v>2.0778744853478285E-4</v>
      </c>
    </row>
    <row r="4753" spans="1:4" ht="16.5" x14ac:dyDescent="0.3">
      <c r="A4753" s="10" t="str">
        <f>基本属性!$B$29&amp;"|"&amp;基本属性!$C$29</f>
        <v>240|19</v>
      </c>
      <c r="B4753" s="10" t="str">
        <f>参数调整!$J$31</f>
        <v>小怪掉落</v>
      </c>
      <c r="C4753" s="8" t="str">
        <f>材料产出!$AT$2</f>
        <v>魔龙之心</v>
      </c>
      <c r="D4753" s="224">
        <f>材料产出!$AT$29/(基本属性!$A$29/(基本属性!$AS$29*1/3600))*材料产出!$D$29</f>
        <v>2.277240860528907E-4</v>
      </c>
    </row>
    <row r="4754" spans="1:4" ht="16.5" x14ac:dyDescent="0.3">
      <c r="A4754" s="10" t="str">
        <f>基本属性!$B$30&amp;"|"&amp;基本属性!$C$30</f>
        <v>250|20</v>
      </c>
      <c r="B4754" s="10" t="str">
        <f>参数调整!$J$31</f>
        <v>小怪掉落</v>
      </c>
      <c r="C4754" s="8" t="str">
        <f>材料产出!$AT$2</f>
        <v>魔龙之心</v>
      </c>
      <c r="D4754" s="224">
        <f>材料产出!$AT$30/(基本属性!$A$30/(基本属性!$AS$30*1/3600))*材料产出!$D$30</f>
        <v>2.485738520069423E-4</v>
      </c>
    </row>
    <row r="4755" spans="1:4" ht="16.5" x14ac:dyDescent="0.3">
      <c r="A4755" s="10" t="str">
        <f>基本属性!$B$4&amp;"|"&amp;基本属性!$C$4</f>
        <v>35|0</v>
      </c>
      <c r="B4755" s="10" t="str">
        <f>参数调整!$J$31</f>
        <v>小怪掉落</v>
      </c>
      <c r="C4755" s="8" t="str">
        <f>材料产出!$X$2</f>
        <v>龍の心</v>
      </c>
      <c r="D4755" s="224">
        <f>材料产出!$X$4/(基本属性!$A$4/(基本属性!$AS$4*1/3600))*材料产出!$D$4</f>
        <v>5.9074343962982497E-4</v>
      </c>
    </row>
    <row r="4756" spans="1:4" ht="16.5" x14ac:dyDescent="0.3">
      <c r="A4756" s="10" t="str">
        <f>基本属性!$B$5&amp;"|"&amp;基本属性!$C$5</f>
        <v>40|0</v>
      </c>
      <c r="B4756" s="10" t="str">
        <f>参数调整!$J$31</f>
        <v>小怪掉落</v>
      </c>
      <c r="C4756" s="8" t="str">
        <f>材料产出!$X$2</f>
        <v>龍の心</v>
      </c>
      <c r="D4756" s="224">
        <f>材料产出!$X$5/(基本属性!$A$5/(基本属性!$AS$5*1/3600))*材料产出!$D$5</f>
        <v>7.4765966578149723E-4</v>
      </c>
    </row>
    <row r="4757" spans="1:4" ht="16.5" x14ac:dyDescent="0.3">
      <c r="A4757" s="10" t="str">
        <f>基本属性!$B$6&amp;"|"&amp;基本属性!$C$6</f>
        <v>50|0</v>
      </c>
      <c r="B4757" s="10" t="str">
        <f>参数调整!$J$31</f>
        <v>小怪掉落</v>
      </c>
      <c r="C4757" s="8" t="str">
        <f>材料产出!$X$2</f>
        <v>龍の心</v>
      </c>
      <c r="D4757" s="224">
        <f>材料产出!$X$6/(基本属性!$A$6/(基本属性!$AS$6*1/3600))*材料产出!$D$6</f>
        <v>9.2303662442160146E-4</v>
      </c>
    </row>
    <row r="4758" spans="1:4" ht="16.5" x14ac:dyDescent="0.3">
      <c r="A4758" s="10" t="str">
        <f>基本属性!$B$7&amp;"|"&amp;基本属性!$C$7</f>
        <v>60|0</v>
      </c>
      <c r="B4758" s="10" t="str">
        <f>参数调整!$J$31</f>
        <v>小怪掉落</v>
      </c>
      <c r="C4758" s="8" t="str">
        <f>材料产出!$X$2</f>
        <v>龍の心</v>
      </c>
      <c r="D4758" s="224">
        <f>材料产出!$X$7/(基本属性!$A$7/(基本属性!$AS$7*1/3600))*材料产出!$D$7</f>
        <v>1.116874315550138E-3</v>
      </c>
    </row>
    <row r="4759" spans="1:4" ht="16.5" x14ac:dyDescent="0.3">
      <c r="A4759" s="10" t="str">
        <f>基本属性!$B$8&amp;"|"&amp;基本属性!$C$8</f>
        <v>65|0</v>
      </c>
      <c r="B4759" s="10" t="str">
        <f>参数调整!$J$31</f>
        <v>小怪掉落</v>
      </c>
      <c r="C4759" s="8" t="str">
        <f>材料产出!$X$2</f>
        <v>龍の心</v>
      </c>
      <c r="D4759" s="224">
        <f>材料产出!$X$8/(基本属性!$A$8/(基本属性!$AS$8*1/3600))*材料产出!$D$8</f>
        <v>1.3291727391671062E-3</v>
      </c>
    </row>
    <row r="4760" spans="1:4" ht="16.5" x14ac:dyDescent="0.3">
      <c r="A4760" s="10" t="str">
        <f>基本属性!$B$9&amp;"|"&amp;基本属性!$C$9</f>
        <v>70|0</v>
      </c>
      <c r="B4760" s="10" t="str">
        <f>参数调整!$J$31</f>
        <v>小怪掉落</v>
      </c>
      <c r="C4760" s="8" t="str">
        <f>材料产出!$X$2</f>
        <v>龍の心</v>
      </c>
      <c r="D4760" s="224">
        <f>材料产出!$X$9/(基本属性!$A$9/(基本属性!$AS$9*1/3600))*材料产出!$D$9</f>
        <v>1.5599318952725066E-3</v>
      </c>
    </row>
    <row r="4761" spans="1:4" ht="16.5" x14ac:dyDescent="0.3">
      <c r="A4761" s="10" t="str">
        <f>基本属性!$B$10&amp;"|"&amp;基本属性!$C$10</f>
        <v>75|0</v>
      </c>
      <c r="B4761" s="10" t="str">
        <f>参数调整!$J$31</f>
        <v>小怪掉落</v>
      </c>
      <c r="C4761" s="8" t="str">
        <f>材料产出!$X$2</f>
        <v>龍の心</v>
      </c>
      <c r="D4761" s="224">
        <f>材料产出!$X$10/(基本属性!$A$10/(基本属性!$AS$10*1/3600))*材料产出!$D$10</f>
        <v>1.8091517838663388E-3</v>
      </c>
    </row>
    <row r="4762" spans="1:4" ht="16.5" x14ac:dyDescent="0.3">
      <c r="A4762" s="10" t="str">
        <f>基本属性!$B$11&amp;"|"&amp;基本属性!$C$11</f>
        <v>80|1</v>
      </c>
      <c r="B4762" s="10" t="str">
        <f>参数调整!$J$31</f>
        <v>小怪掉落</v>
      </c>
      <c r="C4762" s="8" t="str">
        <f>材料产出!$X$2</f>
        <v>龍の心</v>
      </c>
      <c r="D4762" s="224">
        <f>材料产出!$X$11/(基本属性!$A$11/(基本属性!$AS$11*1/3600))*材料产出!$D$11</f>
        <v>2.0768324049486035E-3</v>
      </c>
    </row>
    <row r="4763" spans="1:4" ht="16.5" x14ac:dyDescent="0.3">
      <c r="A4763" s="10" t="str">
        <f>基本属性!$B$12&amp;"|"&amp;基本属性!$C$12</f>
        <v>90|2</v>
      </c>
      <c r="B4763" s="10" t="str">
        <f>参数调整!$J$31</f>
        <v>小怪掉落</v>
      </c>
      <c r="C4763" s="8" t="str">
        <f>材料产出!$X$2</f>
        <v>龍の心</v>
      </c>
      <c r="D4763" s="224">
        <f>材料产出!$X$12/(基本属性!$A$12/(基本属性!$AS$12*1/3600))*材料产出!$D$12</f>
        <v>2.3629737585193003E-3</v>
      </c>
    </row>
    <row r="4764" spans="1:4" ht="16.5" x14ac:dyDescent="0.3">
      <c r="A4764" s="10" t="str">
        <f>基本属性!$B$13&amp;"|"&amp;基本属性!$C$13</f>
        <v>100|3</v>
      </c>
      <c r="B4764" s="10" t="str">
        <f>参数调整!$J$31</f>
        <v>小怪掉落</v>
      </c>
      <c r="C4764" s="8" t="str">
        <f>材料产出!$X$2</f>
        <v>龍の心</v>
      </c>
      <c r="D4764" s="224">
        <f>材料产出!$X$13/(基本属性!$A$13/(基本属性!$AS$13*1/3600))*材料产出!$D$13</f>
        <v>2.9906386631259893E-3</v>
      </c>
    </row>
    <row r="4765" spans="1:4" ht="16.5" x14ac:dyDescent="0.3">
      <c r="A4765" s="10" t="str">
        <f>基本属性!$B$14&amp;"|"&amp;基本属性!$C$14</f>
        <v>105|4</v>
      </c>
      <c r="B4765" s="10" t="str">
        <f>参数调整!$J$31</f>
        <v>小怪掉落</v>
      </c>
      <c r="C4765" s="8" t="str">
        <f>材料产出!$X$2</f>
        <v>龍の心</v>
      </c>
      <c r="D4765" s="224">
        <f>材料产出!$X$14/(基本属性!$A$14/(基本属性!$AS$14*1/3600))*材料产出!$D$14</f>
        <v>3.6921464976864059E-3</v>
      </c>
    </row>
    <row r="4766" spans="1:4" ht="16.5" x14ac:dyDescent="0.3">
      <c r="A4766" s="10" t="str">
        <f>基本属性!$B$15&amp;"|"&amp;基本属性!$C$15</f>
        <v>110|5</v>
      </c>
      <c r="B4766" s="10" t="str">
        <f>参数调整!$J$31</f>
        <v>小怪掉落</v>
      </c>
      <c r="C4766" s="8" t="str">
        <f>材料产出!$X$2</f>
        <v>龍の心</v>
      </c>
      <c r="D4766" s="224">
        <f>材料产出!$X$15/(基本属性!$A$15/(基本属性!$AS$15*1/3600))*材料产出!$D$15</f>
        <v>4.467497262200552E-3</v>
      </c>
    </row>
    <row r="4767" spans="1:4" ht="16.5" x14ac:dyDescent="0.3">
      <c r="A4767" s="10" t="str">
        <f>基本属性!$B$16&amp;"|"&amp;基本属性!$C$16</f>
        <v>120|6</v>
      </c>
      <c r="B4767" s="10" t="str">
        <f>参数调整!$J$31</f>
        <v>小怪掉落</v>
      </c>
      <c r="C4767" s="8" t="str">
        <f>材料产出!$X$2</f>
        <v>龍の心</v>
      </c>
      <c r="D4767" s="224">
        <f>材料产出!$X$16/(基本属性!$A$16/(基本属性!$AS$16*1/3600))*材料产出!$D$16</f>
        <v>5.7689789026350094E-3</v>
      </c>
    </row>
    <row r="4768" spans="1:4" ht="16.5" x14ac:dyDescent="0.3">
      <c r="A4768" s="10" t="str">
        <f>基本属性!$B$17&amp;"|"&amp;基本属性!$C$17</f>
        <v>135|7</v>
      </c>
      <c r="B4768" s="10" t="str">
        <f>参数调整!$J$31</f>
        <v>小怪掉落</v>
      </c>
      <c r="C4768" s="8" t="str">
        <f>材料产出!$X$2</f>
        <v>龍の心</v>
      </c>
      <c r="D4768" s="224">
        <f>材料产出!$X$17/(基本属性!$A$17/(基本属性!$AS$17*1/3600))*材料产出!$D$17</f>
        <v>8.3073296197944142E-3</v>
      </c>
    </row>
    <row r="4769" spans="1:4" ht="16.5" x14ac:dyDescent="0.3">
      <c r="A4769" s="10" t="str">
        <f>基本属性!$B$18&amp;"|"&amp;基本属性!$C$18</f>
        <v>155|8</v>
      </c>
      <c r="B4769" s="10" t="str">
        <f>参数调整!$J$31</f>
        <v>小怪掉落</v>
      </c>
      <c r="C4769" s="8" t="str">
        <f>材料产出!$X$2</f>
        <v>龍の心</v>
      </c>
      <c r="D4769" s="224">
        <f>材料产出!$X$18/(基本属性!$A$18/(基本属性!$AS$18*1/3600))*材料产出!$D$18</f>
        <v>1.1307198649164621E-2</v>
      </c>
    </row>
    <row r="4770" spans="1:4" ht="16.5" x14ac:dyDescent="0.3">
      <c r="A4770" s="10" t="str">
        <f>基本属性!$B$19&amp;"|"&amp;基本属性!$C$19</f>
        <v>190|9</v>
      </c>
      <c r="B4770" s="10" t="str">
        <f>参数调整!$J$31</f>
        <v>小怪掉落</v>
      </c>
      <c r="C4770" s="8" t="str">
        <f>材料产出!$X$2</f>
        <v>龍の心</v>
      </c>
      <c r="D4770" s="224">
        <f>材料产出!$X$19/(基本属性!$A$19/(基本属性!$AS$19*1/3600))*材料产出!$D$19</f>
        <v>1.2636371388331727E-2</v>
      </c>
    </row>
    <row r="4771" spans="1:4" ht="16.5" x14ac:dyDescent="0.3">
      <c r="A4771" s="10" t="str">
        <f>基本属性!$B$20&amp;"|"&amp;基本属性!$C$20</f>
        <v>200|10</v>
      </c>
      <c r="B4771" s="10" t="str">
        <f>参数调整!$J$31</f>
        <v>小怪掉落</v>
      </c>
      <c r="C4771" s="8" t="str">
        <f>材料产出!$X$2</f>
        <v>龍の心</v>
      </c>
      <c r="D4771" s="224">
        <f>材料产出!$X$20/(基本属性!$A$20/(基本属性!$AS$20*1/3600))*材料产出!$D$20</f>
        <v>1.4768585990745623E-2</v>
      </c>
    </row>
    <row r="4772" spans="1:4" ht="16.5" x14ac:dyDescent="0.3">
      <c r="A4772" s="10" t="str">
        <f>基本属性!$B$21&amp;"|"&amp;基本属性!$C$21</f>
        <v>200|11</v>
      </c>
      <c r="B4772" s="10" t="str">
        <f>参数调整!$J$31</f>
        <v>小怪掉落</v>
      </c>
      <c r="C4772" s="8" t="str">
        <f>材料产出!$X$2</f>
        <v>龍の心</v>
      </c>
      <c r="D4772" s="224">
        <f>材料产出!$X$21/(基本属性!$A$21/(基本属性!$AS$21*1/3600))*材料产出!$D$21</f>
        <v>1.7066947185555407E-2</v>
      </c>
    </row>
    <row r="4773" spans="1:4" ht="16.5" x14ac:dyDescent="0.3">
      <c r="A4773" s="10" t="str">
        <f>基本属性!$B$22&amp;"|"&amp;基本属性!$C$22</f>
        <v>210|12</v>
      </c>
      <c r="B4773" s="10" t="str">
        <f>参数调整!$J$31</f>
        <v>小怪掉落</v>
      </c>
      <c r="C4773" s="8" t="str">
        <f>材料产出!$X$2</f>
        <v>龍の心</v>
      </c>
      <c r="D4773" s="224">
        <f>材料产出!$X$22/(基本属性!$A$22/(基本属性!$AS$22*1/3600))*材料产出!$D$22</f>
        <v>1.9531454972761084E-2</v>
      </c>
    </row>
    <row r="4774" spans="1:4" ht="16.5" x14ac:dyDescent="0.3">
      <c r="A4774" s="10" t="str">
        <f>基本属性!$B$23&amp;"|"&amp;基本属性!$C$23</f>
        <v>210|13</v>
      </c>
      <c r="B4774" s="10" t="str">
        <f>参数调整!$J$31</f>
        <v>小怪掉落</v>
      </c>
      <c r="C4774" s="8" t="str">
        <f>材料产出!$X$2</f>
        <v>龍の心</v>
      </c>
      <c r="D4774" s="224">
        <f>材料产出!$X$23/(基本属性!$A$23/(基本属性!$AS$23*1/3600))*材料产出!$D$23</f>
        <v>2.2162109352362656E-2</v>
      </c>
    </row>
    <row r="4775" spans="1:4" ht="16.5" x14ac:dyDescent="0.3">
      <c r="A4775" s="10" t="str">
        <f>基本属性!$B$24&amp;"|"&amp;基本属性!$C$24</f>
        <v>220|14</v>
      </c>
      <c r="B4775" s="10" t="str">
        <f>参数调整!$J$31</f>
        <v>小怪掉落</v>
      </c>
      <c r="C4775" s="8" t="str">
        <f>材料产出!$X$2</f>
        <v>龍の心</v>
      </c>
      <c r="D4775" s="224">
        <f>材料产出!$X$24/(基本属性!$A$24/(基本属性!$AS$24*1/3600))*材料产出!$D$24</f>
        <v>2.4958910324360106E-2</v>
      </c>
    </row>
    <row r="4776" spans="1:4" ht="16.5" x14ac:dyDescent="0.3">
      <c r="A4776" s="10" t="str">
        <f>基本属性!$B$25&amp;"|"&amp;基本属性!$C$25</f>
        <v>220|15</v>
      </c>
      <c r="B4776" s="10" t="str">
        <f>参数调整!$J$31</f>
        <v>小怪掉落</v>
      </c>
      <c r="C4776" s="8" t="str">
        <f>材料产出!$X$2</f>
        <v>龍の心</v>
      </c>
      <c r="D4776" s="224">
        <f>材料产出!$X$25/(基本属性!$A$25/(基本属性!$AS$25*1/3600))*材料产出!$D$25</f>
        <v>2.7921857888753444E-2</v>
      </c>
    </row>
    <row r="4777" spans="1:4" ht="16.5" x14ac:dyDescent="0.3">
      <c r="A4777" s="10" t="str">
        <f>基本属性!$B$26&amp;"|"&amp;基本属性!$C$26</f>
        <v>230|16</v>
      </c>
      <c r="B4777" s="10" t="str">
        <f>参数调整!$J$31</f>
        <v>小怪掉落</v>
      </c>
      <c r="C4777" s="8" t="str">
        <f>材料产出!$X$2</f>
        <v>龍の心</v>
      </c>
      <c r="D4777" s="224">
        <f>材料产出!$X$26/(基本属性!$A$26/(基本属性!$AS$26*1/3600))*材料产出!$D$26</f>
        <v>3.1050952045542674E-2</v>
      </c>
    </row>
    <row r="4778" spans="1:4" ht="16.5" x14ac:dyDescent="0.3">
      <c r="A4778" s="10" t="str">
        <f>基本属性!$B$27&amp;"|"&amp;基本属性!$C$27</f>
        <v>230|17</v>
      </c>
      <c r="B4778" s="10" t="str">
        <f>参数调整!$J$31</f>
        <v>小怪掉落</v>
      </c>
      <c r="C4778" s="8" t="str">
        <f>材料产出!$X$2</f>
        <v>龍の心</v>
      </c>
      <c r="D4778" s="224">
        <f>材料产出!$X$27/(基本属性!$A$27/(基本属性!$AS$27*1/3600))*材料产出!$D$27</f>
        <v>3.4346192794727788E-2</v>
      </c>
    </row>
    <row r="4779" spans="1:4" ht="16.5" x14ac:dyDescent="0.3">
      <c r="A4779" s="10" t="str">
        <f>基本属性!$B$28&amp;"|"&amp;基本属性!$C$28</f>
        <v>240|18</v>
      </c>
      <c r="B4779" s="10" t="str">
        <f>参数调整!$J$31</f>
        <v>小怪掉落</v>
      </c>
      <c r="C4779" s="8" t="str">
        <f>材料产出!$X$2</f>
        <v>龍の心</v>
      </c>
      <c r="D4779" s="224">
        <f>材料产出!$X$28/(基本属性!$A$28/(基本属性!$AS$28*1/3600))*材料产出!$D$28</f>
        <v>3.7807580136308805E-2</v>
      </c>
    </row>
    <row r="4780" spans="1:4" ht="16.5" x14ac:dyDescent="0.3">
      <c r="A4780" s="10" t="str">
        <f>基本属性!$B$29&amp;"|"&amp;基本属性!$C$29</f>
        <v>240|19</v>
      </c>
      <c r="B4780" s="10" t="str">
        <f>参数调整!$J$31</f>
        <v>小怪掉落</v>
      </c>
      <c r="C4780" s="8" t="str">
        <f>材料产出!$X$2</f>
        <v>龍の心</v>
      </c>
      <c r="D4780" s="224">
        <f>材料产出!$X$29/(基本属性!$A$29/(基本属性!$AS$29*1/3600))*材料产出!$D$29</f>
        <v>4.1435114070285696E-2</v>
      </c>
    </row>
    <row r="4781" spans="1:4" ht="16.5" x14ac:dyDescent="0.3">
      <c r="A4781" s="10" t="str">
        <f>基本属性!$B$30&amp;"|"&amp;基本属性!$C$30</f>
        <v>250|20</v>
      </c>
      <c r="B4781" s="10" t="str">
        <f>参数调整!$J$31</f>
        <v>小怪掉落</v>
      </c>
      <c r="C4781" s="8" t="str">
        <f>材料产出!$X$2</f>
        <v>龍の心</v>
      </c>
      <c r="D4781" s="224">
        <f>材料产出!$X$30/(基本属性!$A$30/(基本属性!$AS$30*1/3600))*材料产出!$D$30</f>
        <v>4.5228794596658468E-2</v>
      </c>
    </row>
    <row r="4782" spans="1:4" ht="16.5" x14ac:dyDescent="0.3">
      <c r="A4782" s="10" t="str">
        <f>基本属性!$B$4&amp;"|"&amp;基本属性!$C$4</f>
        <v>35|0</v>
      </c>
      <c r="B4782" s="10" t="str">
        <f>参数调整!$J$31</f>
        <v>小怪掉落</v>
      </c>
      <c r="C4782" s="8" t="str">
        <f>材料产出!$V$2</f>
        <v>龍の魄</v>
      </c>
      <c r="D4782" s="224">
        <f>材料产出!$V$4/(基本属性!$A$4/(基本属性!$AS$4*1/3600))*材料产出!$D$4</f>
        <v>5.9074343962982497E-4</v>
      </c>
    </row>
    <row r="4783" spans="1:4" ht="16.5" x14ac:dyDescent="0.3">
      <c r="A4783" s="10" t="str">
        <f>基本属性!$B$5&amp;"|"&amp;基本属性!$C$5</f>
        <v>40|0</v>
      </c>
      <c r="B4783" s="10" t="str">
        <f>参数调整!$J$31</f>
        <v>小怪掉落</v>
      </c>
      <c r="C4783" s="8" t="str">
        <f>材料产出!$V$2</f>
        <v>龍の魄</v>
      </c>
      <c r="D4783" s="224">
        <f>材料产出!$V$5/(基本属性!$A$5/(基本属性!$AS$5*1/3600))*材料产出!$D$5</f>
        <v>7.4765966578149723E-4</v>
      </c>
    </row>
    <row r="4784" spans="1:4" ht="16.5" x14ac:dyDescent="0.3">
      <c r="A4784" s="10" t="str">
        <f>基本属性!$B$6&amp;"|"&amp;基本属性!$C$6</f>
        <v>50|0</v>
      </c>
      <c r="B4784" s="10" t="str">
        <f>参数调整!$J$31</f>
        <v>小怪掉落</v>
      </c>
      <c r="C4784" s="8" t="str">
        <f>材料产出!$V$2</f>
        <v>龍の魄</v>
      </c>
      <c r="D4784" s="224">
        <f>材料产出!$V$6/(基本属性!$A$6/(基本属性!$AS$6*1/3600))*材料产出!$D$6</f>
        <v>9.2303662442160146E-4</v>
      </c>
    </row>
    <row r="4785" spans="1:4" ht="16.5" x14ac:dyDescent="0.3">
      <c r="A4785" s="10" t="str">
        <f>基本属性!$B$7&amp;"|"&amp;基本属性!$C$7</f>
        <v>60|0</v>
      </c>
      <c r="B4785" s="10" t="str">
        <f>参数调整!$J$31</f>
        <v>小怪掉落</v>
      </c>
      <c r="C4785" s="8" t="str">
        <f>材料产出!$V$2</f>
        <v>龍の魄</v>
      </c>
      <c r="D4785" s="224">
        <f>材料产出!$V$7/(基本属性!$A$7/(基本属性!$AS$7*1/3600))*材料产出!$D$7</f>
        <v>1.116874315550138E-3</v>
      </c>
    </row>
    <row r="4786" spans="1:4" ht="16.5" x14ac:dyDescent="0.3">
      <c r="A4786" s="10" t="str">
        <f>基本属性!$B$8&amp;"|"&amp;基本属性!$C$8</f>
        <v>65|0</v>
      </c>
      <c r="B4786" s="10" t="str">
        <f>参数调整!$J$31</f>
        <v>小怪掉落</v>
      </c>
      <c r="C4786" s="8" t="str">
        <f>材料产出!$V$2</f>
        <v>龍の魄</v>
      </c>
      <c r="D4786" s="224">
        <f>材料产出!$V$8/(基本属性!$A$8/(基本属性!$AS$8*1/3600))*材料产出!$D$8</f>
        <v>1.3291727391671062E-3</v>
      </c>
    </row>
    <row r="4787" spans="1:4" ht="16.5" x14ac:dyDescent="0.3">
      <c r="A4787" s="10" t="str">
        <f>基本属性!$B$9&amp;"|"&amp;基本属性!$C$9</f>
        <v>70|0</v>
      </c>
      <c r="B4787" s="10" t="str">
        <f>参数调整!$J$31</f>
        <v>小怪掉落</v>
      </c>
      <c r="C4787" s="8" t="str">
        <f>材料产出!$V$2</f>
        <v>龍の魄</v>
      </c>
      <c r="D4787" s="224">
        <f>材料产出!$V$9/(基本属性!$A$9/(基本属性!$AS$9*1/3600))*材料产出!$D$9</f>
        <v>1.5599318952725066E-3</v>
      </c>
    </row>
    <row r="4788" spans="1:4" ht="16.5" x14ac:dyDescent="0.3">
      <c r="A4788" s="10" t="str">
        <f>基本属性!$B$10&amp;"|"&amp;基本属性!$C$10</f>
        <v>75|0</v>
      </c>
      <c r="B4788" s="10" t="str">
        <f>参数调整!$J$31</f>
        <v>小怪掉落</v>
      </c>
      <c r="C4788" s="8" t="str">
        <f>材料产出!$V$2</f>
        <v>龍の魄</v>
      </c>
      <c r="D4788" s="224">
        <f>材料产出!$V$10/(基本属性!$A$10/(基本属性!$AS$10*1/3600))*材料产出!$D$10</f>
        <v>1.8091517838663388E-3</v>
      </c>
    </row>
    <row r="4789" spans="1:4" ht="16.5" x14ac:dyDescent="0.3">
      <c r="A4789" s="10" t="str">
        <f>基本属性!$B$11&amp;"|"&amp;基本属性!$C$11</f>
        <v>80|1</v>
      </c>
      <c r="B4789" s="10" t="str">
        <f>参数调整!$J$31</f>
        <v>小怪掉落</v>
      </c>
      <c r="C4789" s="8" t="str">
        <f>材料产出!$V$2</f>
        <v>龍の魄</v>
      </c>
      <c r="D4789" s="224">
        <f>材料产出!$V$11/(基本属性!$A$11/(基本属性!$AS$11*1/3600))*材料产出!$D$11</f>
        <v>2.0768324049486035E-3</v>
      </c>
    </row>
    <row r="4790" spans="1:4" ht="16.5" x14ac:dyDescent="0.3">
      <c r="A4790" s="10" t="str">
        <f>基本属性!$B$12&amp;"|"&amp;基本属性!$C$12</f>
        <v>90|2</v>
      </c>
      <c r="B4790" s="10" t="str">
        <f>参数调整!$J$31</f>
        <v>小怪掉落</v>
      </c>
      <c r="C4790" s="8" t="str">
        <f>材料产出!$V$2</f>
        <v>龍の魄</v>
      </c>
      <c r="D4790" s="224">
        <f>材料产出!$V$12/(基本属性!$A$12/(基本属性!$AS$12*1/3600))*材料产出!$D$12</f>
        <v>2.3629737585193003E-3</v>
      </c>
    </row>
    <row r="4791" spans="1:4" ht="16.5" x14ac:dyDescent="0.3">
      <c r="A4791" s="10" t="str">
        <f>基本属性!$B$13&amp;"|"&amp;基本属性!$C$13</f>
        <v>100|3</v>
      </c>
      <c r="B4791" s="10" t="str">
        <f>参数调整!$J$31</f>
        <v>小怪掉落</v>
      </c>
      <c r="C4791" s="8" t="str">
        <f>材料产出!$V$2</f>
        <v>龍の魄</v>
      </c>
      <c r="D4791" s="224">
        <f>材料产出!$V$13/(基本属性!$A$13/(基本属性!$AS$13*1/3600))*材料产出!$D$13</f>
        <v>2.9906386631259893E-3</v>
      </c>
    </row>
    <row r="4792" spans="1:4" ht="16.5" x14ac:dyDescent="0.3">
      <c r="A4792" s="10" t="str">
        <f>基本属性!$B$14&amp;"|"&amp;基本属性!$C$14</f>
        <v>105|4</v>
      </c>
      <c r="B4792" s="10" t="str">
        <f>参数调整!$J$31</f>
        <v>小怪掉落</v>
      </c>
      <c r="C4792" s="8" t="str">
        <f>材料产出!$V$2</f>
        <v>龍の魄</v>
      </c>
      <c r="D4792" s="224">
        <f>材料产出!$V$14/(基本属性!$A$14/(基本属性!$AS$14*1/3600))*材料产出!$D$14</f>
        <v>3.6921464976864059E-3</v>
      </c>
    </row>
    <row r="4793" spans="1:4" ht="16.5" x14ac:dyDescent="0.3">
      <c r="A4793" s="10" t="str">
        <f>基本属性!$B$15&amp;"|"&amp;基本属性!$C$15</f>
        <v>110|5</v>
      </c>
      <c r="B4793" s="10" t="str">
        <f>参数调整!$J$31</f>
        <v>小怪掉落</v>
      </c>
      <c r="C4793" s="8" t="str">
        <f>材料产出!$V$2</f>
        <v>龍の魄</v>
      </c>
      <c r="D4793" s="224">
        <f>材料产出!$V$15/(基本属性!$A$15/(基本属性!$AS$15*1/3600))*材料产出!$D$15</f>
        <v>4.467497262200552E-3</v>
      </c>
    </row>
    <row r="4794" spans="1:4" ht="16.5" x14ac:dyDescent="0.3">
      <c r="A4794" s="10" t="str">
        <f>基本属性!$B$16&amp;"|"&amp;基本属性!$C$16</f>
        <v>120|6</v>
      </c>
      <c r="B4794" s="10" t="str">
        <f>参数调整!$J$31</f>
        <v>小怪掉落</v>
      </c>
      <c r="C4794" s="8" t="str">
        <f>材料产出!$V$2</f>
        <v>龍の魄</v>
      </c>
      <c r="D4794" s="224">
        <f>材料产出!$V$16/(基本属性!$A$16/(基本属性!$AS$16*1/3600))*材料产出!$D$16</f>
        <v>5.7689789026350094E-3</v>
      </c>
    </row>
    <row r="4795" spans="1:4" ht="16.5" x14ac:dyDescent="0.3">
      <c r="A4795" s="10" t="str">
        <f>基本属性!$B$17&amp;"|"&amp;基本属性!$C$17</f>
        <v>135|7</v>
      </c>
      <c r="B4795" s="10" t="str">
        <f>参数调整!$J$31</f>
        <v>小怪掉落</v>
      </c>
      <c r="C4795" s="8" t="str">
        <f>材料产出!$V$2</f>
        <v>龍の魄</v>
      </c>
      <c r="D4795" s="224">
        <f>材料产出!$V$17/(基本属性!$A$17/(基本属性!$AS$17*1/3600))*材料产出!$D$17</f>
        <v>8.3073296197944142E-3</v>
      </c>
    </row>
    <row r="4796" spans="1:4" ht="16.5" x14ac:dyDescent="0.3">
      <c r="A4796" s="10" t="str">
        <f>基本属性!$B$18&amp;"|"&amp;基本属性!$C$18</f>
        <v>155|8</v>
      </c>
      <c r="B4796" s="10" t="str">
        <f>参数调整!$J$31</f>
        <v>小怪掉落</v>
      </c>
      <c r="C4796" s="8" t="str">
        <f>材料产出!$V$2</f>
        <v>龍の魄</v>
      </c>
      <c r="D4796" s="224">
        <f>材料产出!$V$18/(基本属性!$A$18/(基本属性!$AS$18*1/3600))*材料产出!$D$18</f>
        <v>1.1307198649164621E-2</v>
      </c>
    </row>
    <row r="4797" spans="1:4" ht="16.5" x14ac:dyDescent="0.3">
      <c r="A4797" s="10" t="str">
        <f>基本属性!$B$19&amp;"|"&amp;基本属性!$C$19</f>
        <v>190|9</v>
      </c>
      <c r="B4797" s="10" t="str">
        <f>参数调整!$J$31</f>
        <v>小怪掉落</v>
      </c>
      <c r="C4797" s="8" t="str">
        <f>材料产出!$V$2</f>
        <v>龍の魄</v>
      </c>
      <c r="D4797" s="224">
        <f>材料产出!$V$19/(基本属性!$A$19/(基本属性!$AS$19*1/3600))*材料产出!$D$19</f>
        <v>1.2636371388331727E-2</v>
      </c>
    </row>
    <row r="4798" spans="1:4" ht="16.5" x14ac:dyDescent="0.3">
      <c r="A4798" s="10" t="str">
        <f>基本属性!$B$20&amp;"|"&amp;基本属性!$C$20</f>
        <v>200|10</v>
      </c>
      <c r="B4798" s="10" t="str">
        <f>参数调整!$J$31</f>
        <v>小怪掉落</v>
      </c>
      <c r="C4798" s="8" t="str">
        <f>材料产出!$V$2</f>
        <v>龍の魄</v>
      </c>
      <c r="D4798" s="224">
        <f>材料产出!$V$20/(基本属性!$A$20/(基本属性!$AS$20*1/3600))*材料产出!$D$20</f>
        <v>1.4768585990745623E-2</v>
      </c>
    </row>
    <row r="4799" spans="1:4" ht="16.5" x14ac:dyDescent="0.3">
      <c r="A4799" s="10" t="str">
        <f>基本属性!$B$21&amp;"|"&amp;基本属性!$C$21</f>
        <v>200|11</v>
      </c>
      <c r="B4799" s="10" t="str">
        <f>参数调整!$J$31</f>
        <v>小怪掉落</v>
      </c>
      <c r="C4799" s="8" t="str">
        <f>材料产出!$V$2</f>
        <v>龍の魄</v>
      </c>
      <c r="D4799" s="224">
        <f>材料产出!$V$21/(基本属性!$A$21/(基本属性!$AS$21*1/3600))*材料产出!$D$21</f>
        <v>1.7066947185555407E-2</v>
      </c>
    </row>
    <row r="4800" spans="1:4" ht="16.5" x14ac:dyDescent="0.3">
      <c r="A4800" s="10" t="str">
        <f>基本属性!$B$22&amp;"|"&amp;基本属性!$C$22</f>
        <v>210|12</v>
      </c>
      <c r="B4800" s="10" t="str">
        <f>参数调整!$J$31</f>
        <v>小怪掉落</v>
      </c>
      <c r="C4800" s="8" t="str">
        <f>材料产出!$V$2</f>
        <v>龍の魄</v>
      </c>
      <c r="D4800" s="224">
        <f>材料产出!$V$22/(基本属性!$A$22/(基本属性!$AS$22*1/3600))*材料产出!$D$22</f>
        <v>1.9531454972761084E-2</v>
      </c>
    </row>
    <row r="4801" spans="1:4" ht="16.5" x14ac:dyDescent="0.3">
      <c r="A4801" s="10" t="str">
        <f>基本属性!$B$23&amp;"|"&amp;基本属性!$C$23</f>
        <v>210|13</v>
      </c>
      <c r="B4801" s="10" t="str">
        <f>参数调整!$J$31</f>
        <v>小怪掉落</v>
      </c>
      <c r="C4801" s="8" t="str">
        <f>材料产出!$V$2</f>
        <v>龍の魄</v>
      </c>
      <c r="D4801" s="224">
        <f>材料产出!$V$23/(基本属性!$A$23/(基本属性!$AS$23*1/3600))*材料产出!$D$23</f>
        <v>2.2162109352362656E-2</v>
      </c>
    </row>
    <row r="4802" spans="1:4" ht="16.5" x14ac:dyDescent="0.3">
      <c r="A4802" s="10" t="str">
        <f>基本属性!$B$24&amp;"|"&amp;基本属性!$C$24</f>
        <v>220|14</v>
      </c>
      <c r="B4802" s="10" t="str">
        <f>参数调整!$J$31</f>
        <v>小怪掉落</v>
      </c>
      <c r="C4802" s="8" t="str">
        <f>材料产出!$V$2</f>
        <v>龍の魄</v>
      </c>
      <c r="D4802" s="224">
        <f>材料产出!$V$24/(基本属性!$A$24/(基本属性!$AS$24*1/3600))*材料产出!$D$24</f>
        <v>2.4958910324360106E-2</v>
      </c>
    </row>
    <row r="4803" spans="1:4" ht="16.5" x14ac:dyDescent="0.3">
      <c r="A4803" s="10" t="str">
        <f>基本属性!$B$25&amp;"|"&amp;基本属性!$C$25</f>
        <v>220|15</v>
      </c>
      <c r="B4803" s="10" t="str">
        <f>参数调整!$J$31</f>
        <v>小怪掉落</v>
      </c>
      <c r="C4803" s="8" t="str">
        <f>材料产出!$V$2</f>
        <v>龍の魄</v>
      </c>
      <c r="D4803" s="224">
        <f>材料产出!$V$25/(基本属性!$A$25/(基本属性!$AS$25*1/3600))*材料产出!$D$25</f>
        <v>2.7921857888753444E-2</v>
      </c>
    </row>
    <row r="4804" spans="1:4" ht="16.5" x14ac:dyDescent="0.3">
      <c r="A4804" s="10" t="str">
        <f>基本属性!$B$26&amp;"|"&amp;基本属性!$C$26</f>
        <v>230|16</v>
      </c>
      <c r="B4804" s="10" t="str">
        <f>参数调整!$J$31</f>
        <v>小怪掉落</v>
      </c>
      <c r="C4804" s="8" t="str">
        <f>材料产出!$V$2</f>
        <v>龍の魄</v>
      </c>
      <c r="D4804" s="224">
        <f>材料产出!$V$26/(基本属性!$A$26/(基本属性!$AS$26*1/3600))*材料产出!$D$26</f>
        <v>3.1050952045542674E-2</v>
      </c>
    </row>
    <row r="4805" spans="1:4" ht="16.5" x14ac:dyDescent="0.3">
      <c r="A4805" s="10" t="str">
        <f>基本属性!$B$27&amp;"|"&amp;基本属性!$C$27</f>
        <v>230|17</v>
      </c>
      <c r="B4805" s="10" t="str">
        <f>参数调整!$J$31</f>
        <v>小怪掉落</v>
      </c>
      <c r="C4805" s="8" t="str">
        <f>材料产出!$V$2</f>
        <v>龍の魄</v>
      </c>
      <c r="D4805" s="224">
        <f>材料产出!$V$27/(基本属性!$A$27/(基本属性!$AS$27*1/3600))*材料产出!$D$27</f>
        <v>3.4346192794727788E-2</v>
      </c>
    </row>
    <row r="4806" spans="1:4" ht="16.5" x14ac:dyDescent="0.3">
      <c r="A4806" s="10" t="str">
        <f>基本属性!$B$28&amp;"|"&amp;基本属性!$C$28</f>
        <v>240|18</v>
      </c>
      <c r="B4806" s="10" t="str">
        <f>参数调整!$J$31</f>
        <v>小怪掉落</v>
      </c>
      <c r="C4806" s="8" t="str">
        <f>材料产出!$V$2</f>
        <v>龍の魄</v>
      </c>
      <c r="D4806" s="224">
        <f>材料产出!$V$28/(基本属性!$A$28/(基本属性!$AS$28*1/3600))*材料产出!$D$28</f>
        <v>3.7807580136308805E-2</v>
      </c>
    </row>
    <row r="4807" spans="1:4" ht="16.5" x14ac:dyDescent="0.3">
      <c r="A4807" s="10" t="str">
        <f>基本属性!$B$29&amp;"|"&amp;基本属性!$C$29</f>
        <v>240|19</v>
      </c>
      <c r="B4807" s="10" t="str">
        <f>参数调整!$J$31</f>
        <v>小怪掉落</v>
      </c>
      <c r="C4807" s="8" t="str">
        <f>材料产出!$V$2</f>
        <v>龍の魄</v>
      </c>
      <c r="D4807" s="224">
        <f>材料产出!$V$29/(基本属性!$A$29/(基本属性!$AS$29*1/3600))*材料产出!$D$29</f>
        <v>4.1435114070285696E-2</v>
      </c>
    </row>
    <row r="4808" spans="1:4" ht="16.5" x14ac:dyDescent="0.3">
      <c r="A4808" s="10" t="str">
        <f>基本属性!$B$30&amp;"|"&amp;基本属性!$C$30</f>
        <v>250|20</v>
      </c>
      <c r="B4808" s="10" t="str">
        <f>参数调整!$J$31</f>
        <v>小怪掉落</v>
      </c>
      <c r="C4808" s="8" t="str">
        <f>材料产出!$V$2</f>
        <v>龍の魄</v>
      </c>
      <c r="D4808" s="224">
        <f>材料产出!$V$30/(基本属性!$A$30/(基本属性!$AS$30*1/3600))*材料产出!$D$30</f>
        <v>4.5228794596658468E-2</v>
      </c>
    </row>
    <row r="4809" spans="1:4" ht="16.5" x14ac:dyDescent="0.3">
      <c r="A4809" s="10" t="str">
        <f>基本属性!$B$4&amp;"|"&amp;基本属性!$C$4</f>
        <v>35|0</v>
      </c>
      <c r="B4809" s="10" t="str">
        <f>参数调整!$J$31</f>
        <v>小怪掉落</v>
      </c>
      <c r="C4809" s="8" t="str">
        <f>材料产出!$AB$2</f>
        <v>龙晶碎片</v>
      </c>
      <c r="D4809" s="224">
        <f>材料产出!$AB$4/(基本属性!$A$4/(基本属性!$AS$4*1/3600))*材料产出!$D$4</f>
        <v>1.5143132188275827E-2</v>
      </c>
    </row>
    <row r="4810" spans="1:4" ht="16.5" x14ac:dyDescent="0.3">
      <c r="A4810" s="10" t="str">
        <f>基本属性!$B$5&amp;"|"&amp;基本属性!$C$5</f>
        <v>40|0</v>
      </c>
      <c r="B4810" s="10" t="str">
        <f>参数调整!$J$31</f>
        <v>小怪掉落</v>
      </c>
      <c r="C4810" s="8" t="str">
        <f>材料产出!$AB$2</f>
        <v>龙晶碎片</v>
      </c>
      <c r="D4810" s="224">
        <f>材料产出!$AB$5/(基本属性!$A$5/(基本属性!$AS$5*1/3600))*材料产出!$D$5</f>
        <v>1.9165526675786596E-2</v>
      </c>
    </row>
    <row r="4811" spans="1:4" ht="16.5" x14ac:dyDescent="0.3">
      <c r="A4811" s="10" t="str">
        <f>基本属性!$B$6&amp;"|"&amp;基本属性!$C$6</f>
        <v>50|0</v>
      </c>
      <c r="B4811" s="10" t="str">
        <f>参数调整!$J$31</f>
        <v>小怪掉落</v>
      </c>
      <c r="C4811" s="8" t="str">
        <f>材料产出!$AB$2</f>
        <v>龙晶碎片</v>
      </c>
      <c r="D4811" s="224">
        <f>材料产出!$AB$6/(基本属性!$A$6/(基本属性!$AS$6*1/3600))*材料产出!$D$6</f>
        <v>2.366114404418098E-2</v>
      </c>
    </row>
    <row r="4812" spans="1:4" ht="16.5" x14ac:dyDescent="0.3">
      <c r="A4812" s="10" t="str">
        <f>基本属性!$B$7&amp;"|"&amp;基本属性!$C$7</f>
        <v>60|0</v>
      </c>
      <c r="B4812" s="10" t="str">
        <f>参数调整!$J$31</f>
        <v>小怪掉落</v>
      </c>
      <c r="C4812" s="8" t="str">
        <f>材料产出!$AB$2</f>
        <v>龙晶碎片</v>
      </c>
      <c r="D4812" s="224">
        <f>材料产出!$AB$7/(基本属性!$A$7/(基本属性!$AS$7*1/3600))*材料产出!$D$7</f>
        <v>2.862998429345899E-2</v>
      </c>
    </row>
    <row r="4813" spans="1:4" ht="16.5" x14ac:dyDescent="0.3">
      <c r="A4813" s="10" t="str">
        <f>基本属性!$B$8&amp;"|"&amp;基本属性!$C$8</f>
        <v>65|0</v>
      </c>
      <c r="B4813" s="10" t="str">
        <f>参数调整!$J$31</f>
        <v>小怪掉落</v>
      </c>
      <c r="C4813" s="8" t="str">
        <f>材料产出!$AB$2</f>
        <v>龙晶碎片</v>
      </c>
      <c r="D4813" s="224">
        <f>材料产出!$AB$8/(基本属性!$A$8/(基本属性!$AS$8*1/3600))*材料产出!$D$8</f>
        <v>3.4072047423620612E-2</v>
      </c>
    </row>
    <row r="4814" spans="1:4" ht="16.5" x14ac:dyDescent="0.3">
      <c r="A4814" s="10" t="str">
        <f>基本属性!$B$9&amp;"|"&amp;基本属性!$C$9</f>
        <v>70|0</v>
      </c>
      <c r="B4814" s="10" t="str">
        <f>参数调整!$J$31</f>
        <v>小怪掉落</v>
      </c>
      <c r="C4814" s="8" t="str">
        <f>材料产出!$AB$2</f>
        <v>龙晶碎片</v>
      </c>
      <c r="D4814" s="224">
        <f>材料产出!$AB$9/(基本属性!$A$9/(基本属性!$AS$9*1/3600))*材料产出!$D$9</f>
        <v>3.9987333434665852E-2</v>
      </c>
    </row>
    <row r="4815" spans="1:4" ht="16.5" x14ac:dyDescent="0.3">
      <c r="A4815" s="10" t="str">
        <f>基本属性!$B$10&amp;"|"&amp;基本属性!$C$10</f>
        <v>75|0</v>
      </c>
      <c r="B4815" s="10" t="str">
        <f>参数调整!$J$31</f>
        <v>小怪掉落</v>
      </c>
      <c r="C4815" s="8" t="str">
        <f>材料产出!$AB$2</f>
        <v>龙晶碎片</v>
      </c>
      <c r="D4815" s="224">
        <f>材料产出!$AB$10/(基本属性!$A$10/(基本属性!$AS$10*1/3600))*材料产出!$D$10</f>
        <v>4.637584232659471E-2</v>
      </c>
    </row>
    <row r="4816" spans="1:4" ht="16.5" x14ac:dyDescent="0.3">
      <c r="A4816" s="10" t="str">
        <f>基本属性!$B$11&amp;"|"&amp;基本属性!$C$11</f>
        <v>80|1</v>
      </c>
      <c r="B4816" s="10" t="str">
        <f>参数调整!$J$31</f>
        <v>小怪掉落</v>
      </c>
      <c r="C4816" s="8" t="str">
        <f>材料产出!$AB$2</f>
        <v>龙晶碎片</v>
      </c>
      <c r="D4816" s="224">
        <f>材料产出!$AB$11/(基本属性!$A$11/(基本属性!$AS$11*1/3600))*材料产出!$D$11</f>
        <v>5.3237574099407201E-2</v>
      </c>
    </row>
    <row r="4817" spans="1:4" ht="16.5" x14ac:dyDescent="0.3">
      <c r="A4817" s="10" t="str">
        <f>基本属性!$B$12&amp;"|"&amp;基本属性!$C$12</f>
        <v>90|2</v>
      </c>
      <c r="B4817" s="10" t="str">
        <f>参数调整!$J$31</f>
        <v>小怪掉落</v>
      </c>
      <c r="C4817" s="8" t="str">
        <f>材料产出!$AB$2</f>
        <v>龙晶碎片</v>
      </c>
      <c r="D4817" s="224">
        <f>材料产出!$AB$12/(基本属性!$A$12/(基本属性!$AS$12*1/3600))*材料产出!$D$12</f>
        <v>6.0572528753103316E-2</v>
      </c>
    </row>
    <row r="4818" spans="1:4" ht="16.5" x14ac:dyDescent="0.3">
      <c r="A4818" s="10" t="str">
        <f>基本属性!$B$13&amp;"|"&amp;基本属性!$C$13</f>
        <v>100|3</v>
      </c>
      <c r="B4818" s="10" t="str">
        <f>参数调整!$J$31</f>
        <v>小怪掉落</v>
      </c>
      <c r="C4818" s="8" t="str">
        <f>材料产出!$AB$2</f>
        <v>龙晶碎片</v>
      </c>
      <c r="D4818" s="224">
        <f>材料产出!$AB$13/(基本属性!$A$13/(基本属性!$AS$13*1/3600))*材料产出!$D$13</f>
        <v>7.6662106703146382E-2</v>
      </c>
    </row>
    <row r="4819" spans="1:4" ht="16.5" x14ac:dyDescent="0.3">
      <c r="A4819" s="10" t="str">
        <f>基本属性!$B$14&amp;"|"&amp;基本属性!$C$14</f>
        <v>105|4</v>
      </c>
      <c r="B4819" s="10" t="str">
        <f>参数调整!$J$31</f>
        <v>小怪掉落</v>
      </c>
      <c r="C4819" s="8" t="str">
        <f>材料产出!$AB$2</f>
        <v>龙晶碎片</v>
      </c>
      <c r="D4819" s="224">
        <f>材料产出!$AB$14/(基本属性!$A$14/(基本属性!$AS$14*1/3600))*材料产出!$D$14</f>
        <v>9.4644576176723935E-2</v>
      </c>
    </row>
    <row r="4820" spans="1:4" ht="16.5" x14ac:dyDescent="0.3">
      <c r="A4820" s="10" t="str">
        <f>基本属性!$B$15&amp;"|"&amp;基本属性!$C$15</f>
        <v>110|5</v>
      </c>
      <c r="B4820" s="10" t="str">
        <f>参数调整!$J$31</f>
        <v>小怪掉落</v>
      </c>
      <c r="C4820" s="8" t="str">
        <f>材料产出!$AB$2</f>
        <v>龙晶碎片</v>
      </c>
      <c r="D4820" s="224">
        <f>材料产出!$AB$15/(基本属性!$A$15/(基本属性!$AS$15*1/3600))*材料产出!$D$15</f>
        <v>0.11451993717383598</v>
      </c>
    </row>
    <row r="4821" spans="1:4" ht="16.5" x14ac:dyDescent="0.3">
      <c r="A4821" s="10" t="str">
        <f>基本属性!$B$16&amp;"|"&amp;基本属性!$C$16</f>
        <v>120|6</v>
      </c>
      <c r="B4821" s="10" t="str">
        <f>参数调整!$J$31</f>
        <v>小怪掉落</v>
      </c>
      <c r="C4821" s="8" t="str">
        <f>材料产出!$AB$2</f>
        <v>龙晶碎片</v>
      </c>
      <c r="D4821" s="224">
        <f>材料产出!$AB$16/(基本属性!$A$16/(基本属性!$AS$16*1/3600))*材料产出!$D$16</f>
        <v>0.14788215027613111</v>
      </c>
    </row>
    <row r="4822" spans="1:4" ht="16.5" x14ac:dyDescent="0.3">
      <c r="A4822" s="10" t="str">
        <f>基本属性!$B$17&amp;"|"&amp;基本属性!$C$17</f>
        <v>135|7</v>
      </c>
      <c r="B4822" s="10" t="str">
        <f>参数调整!$J$31</f>
        <v>小怪掉落</v>
      </c>
      <c r="C4822" s="8" t="str">
        <f>材料产出!$AB$2</f>
        <v>龙晶碎片</v>
      </c>
      <c r="D4822" s="224">
        <f>材料产出!$AB$17/(基本属性!$A$17/(基本属性!$AS$17*1/3600))*材料产出!$D$17</f>
        <v>0.2129502963976288</v>
      </c>
    </row>
    <row r="4823" spans="1:4" ht="16.5" x14ac:dyDescent="0.3">
      <c r="A4823" s="10" t="str">
        <f>基本属性!$B$18&amp;"|"&amp;基本属性!$C$18</f>
        <v>155|8</v>
      </c>
      <c r="B4823" s="10" t="str">
        <f>参数调整!$J$31</f>
        <v>小怪掉落</v>
      </c>
      <c r="C4823" s="8" t="str">
        <f>材料产出!$AB$2</f>
        <v>龙晶碎片</v>
      </c>
      <c r="D4823" s="224">
        <f>材料产出!$AB$18/(基本属性!$A$18/(基本属性!$AS$18*1/3600))*材料产出!$D$18</f>
        <v>0.28984901454121703</v>
      </c>
    </row>
    <row r="4824" spans="1:4" ht="16.5" x14ac:dyDescent="0.3">
      <c r="A4824" s="10" t="str">
        <f>基本属性!$B$19&amp;"|"&amp;基本属性!$C$19</f>
        <v>190|9</v>
      </c>
      <c r="B4824" s="10" t="str">
        <f>参数调整!$J$31</f>
        <v>小怪掉落</v>
      </c>
      <c r="C4824" s="8" t="str">
        <f>材料产出!$AB$2</f>
        <v>龙晶碎片</v>
      </c>
      <c r="D4824" s="224">
        <f>材料产出!$AB$19/(基本属性!$A$19/(基本属性!$AS$19*1/3600))*材料产出!$D$19</f>
        <v>0.32392106196483766</v>
      </c>
    </row>
    <row r="4825" spans="1:4" ht="16.5" x14ac:dyDescent="0.3">
      <c r="A4825" s="10" t="str">
        <f>基本属性!$B$20&amp;"|"&amp;基本属性!$C$20</f>
        <v>200|10</v>
      </c>
      <c r="B4825" s="10" t="str">
        <f>参数调整!$J$31</f>
        <v>小怪掉落</v>
      </c>
      <c r="C4825" s="8" t="str">
        <f>材料产出!$AB$2</f>
        <v>龙晶碎片</v>
      </c>
      <c r="D4825" s="224">
        <f>材料产出!$AB$20/(基本属性!$A$20/(基本属性!$AS$20*1/3600))*材料产出!$D$20</f>
        <v>0.37857830470689574</v>
      </c>
    </row>
    <row r="4826" spans="1:4" ht="16.5" x14ac:dyDescent="0.3">
      <c r="A4826" s="10" t="str">
        <f>基本属性!$B$21&amp;"|"&amp;基本属性!$C$21</f>
        <v>200|11</v>
      </c>
      <c r="B4826" s="10" t="str">
        <f>参数调整!$J$31</f>
        <v>小怪掉落</v>
      </c>
      <c r="C4826" s="8" t="str">
        <f>材料产出!$AB$2</f>
        <v>龙晶碎片</v>
      </c>
      <c r="D4826" s="224">
        <f>材料产出!$AB$21/(基本属性!$A$21/(基本属性!$AS$21*1/3600))*材料产出!$D$21</f>
        <v>0.43749455337690618</v>
      </c>
    </row>
    <row r="4827" spans="1:4" ht="16.5" x14ac:dyDescent="0.3">
      <c r="A4827" s="10" t="str">
        <f>基本属性!$B$22&amp;"|"&amp;基本属性!$C$22</f>
        <v>210|12</v>
      </c>
      <c r="B4827" s="10" t="str">
        <f>参数调整!$J$31</f>
        <v>小怪掉落</v>
      </c>
      <c r="C4827" s="8" t="str">
        <f>材料产出!$AB$2</f>
        <v>龙晶碎片</v>
      </c>
      <c r="D4827" s="224">
        <f>材料产出!$AB$22/(基本属性!$A$22/(基本属性!$AS$22*1/3600))*材料产出!$D$22</f>
        <v>0.50066980797486949</v>
      </c>
    </row>
    <row r="4828" spans="1:4" ht="16.5" x14ac:dyDescent="0.3">
      <c r="A4828" s="10" t="str">
        <f>基本属性!$B$23&amp;"|"&amp;基本属性!$C$23</f>
        <v>210|13</v>
      </c>
      <c r="B4828" s="10" t="str">
        <f>参数调整!$J$31</f>
        <v>小怪掉落</v>
      </c>
      <c r="C4828" s="8" t="str">
        <f>材料产出!$AB$2</f>
        <v>龙晶碎片</v>
      </c>
      <c r="D4828" s="224">
        <f>材料产出!$AB$23/(基本属性!$A$23/(基本属性!$AS$23*1/3600))*材料产出!$D$23</f>
        <v>0.56810406850078532</v>
      </c>
    </row>
    <row r="4829" spans="1:4" ht="16.5" x14ac:dyDescent="0.3">
      <c r="A4829" s="10" t="str">
        <f>基本属性!$B$24&amp;"|"&amp;基本属性!$C$24</f>
        <v>220|14</v>
      </c>
      <c r="B4829" s="10" t="str">
        <f>参数调整!$J$31</f>
        <v>小怪掉落</v>
      </c>
      <c r="C4829" s="8" t="str">
        <f>材料产出!$AB$2</f>
        <v>龙晶碎片</v>
      </c>
      <c r="D4829" s="224">
        <f>材料产出!$AB$24/(基本属性!$A$24/(基本属性!$AS$24*1/3600))*材料产出!$D$24</f>
        <v>0.63979733495465374</v>
      </c>
    </row>
    <row r="4830" spans="1:4" ht="16.5" x14ac:dyDescent="0.3">
      <c r="A4830" s="10" t="str">
        <f>基本属性!$B$25&amp;"|"&amp;基本属性!$C$25</f>
        <v>220|15</v>
      </c>
      <c r="B4830" s="10" t="str">
        <f>参数调整!$J$31</f>
        <v>小怪掉落</v>
      </c>
      <c r="C4830" s="8" t="str">
        <f>材料产出!$AB$2</f>
        <v>龙晶碎片</v>
      </c>
      <c r="D4830" s="224">
        <f>材料产出!$AB$25/(基本属性!$A$25/(基本属性!$AS$25*1/3600))*材料产出!$D$25</f>
        <v>0.71574960733647452</v>
      </c>
    </row>
    <row r="4831" spans="1:4" ht="16.5" x14ac:dyDescent="0.3">
      <c r="A4831" s="10" t="str">
        <f>基本属性!$B$26&amp;"|"&amp;基本属性!$C$26</f>
        <v>230|16</v>
      </c>
      <c r="B4831" s="10" t="str">
        <f>参数调整!$J$31</f>
        <v>小怪掉落</v>
      </c>
      <c r="C4831" s="8" t="str">
        <f>材料产出!$AB$2</f>
        <v>龙晶碎片</v>
      </c>
      <c r="D4831" s="224">
        <f>材料产出!$AB$26/(基本属性!$A$26/(基本属性!$AS$26*1/3600))*材料产出!$D$26</f>
        <v>0.79596088564624812</v>
      </c>
    </row>
    <row r="4832" spans="1:4" ht="16.5" x14ac:dyDescent="0.3">
      <c r="A4832" s="10" t="str">
        <f>基本属性!$B$27&amp;"|"&amp;基本属性!$C$27</f>
        <v>230|17</v>
      </c>
      <c r="B4832" s="10" t="str">
        <f>参数调整!$J$31</f>
        <v>小怪掉落</v>
      </c>
      <c r="C4832" s="8" t="str">
        <f>材料产出!$AB$2</f>
        <v>龙晶碎片</v>
      </c>
      <c r="D4832" s="224">
        <f>材料产出!$AB$27/(基本属性!$A$27/(基本属性!$AS$27*1/3600))*材料产出!$D$27</f>
        <v>0.88043116988397419</v>
      </c>
    </row>
    <row r="4833" spans="1:4" ht="16.5" x14ac:dyDescent="0.3">
      <c r="A4833" s="10" t="str">
        <f>基本属性!$B$28&amp;"|"&amp;基本属性!$C$28</f>
        <v>240|18</v>
      </c>
      <c r="B4833" s="10" t="str">
        <f>参数调整!$J$31</f>
        <v>小怪掉落</v>
      </c>
      <c r="C4833" s="8" t="str">
        <f>材料产出!$AB$2</f>
        <v>龙晶碎片</v>
      </c>
      <c r="D4833" s="224">
        <f>材料产出!$AB$28/(基本属性!$A$28/(基本属性!$AS$28*1/3600))*材料产出!$D$28</f>
        <v>0.96916046004965306</v>
      </c>
    </row>
    <row r="4834" spans="1:4" ht="16.5" x14ac:dyDescent="0.3">
      <c r="A4834" s="10" t="str">
        <f>基本属性!$B$29&amp;"|"&amp;基本属性!$C$29</f>
        <v>240|19</v>
      </c>
      <c r="B4834" s="10" t="str">
        <f>参数调整!$J$31</f>
        <v>小怪掉落</v>
      </c>
      <c r="C4834" s="8" t="str">
        <f>材料产出!$AB$2</f>
        <v>龙晶碎片</v>
      </c>
      <c r="D4834" s="224">
        <f>材料产出!$AB$29/(基本属性!$A$29/(基本属性!$AS$29*1/3600))*材料产出!$D$29</f>
        <v>1.0621487561432843</v>
      </c>
    </row>
    <row r="4835" spans="1:4" ht="16.5" x14ac:dyDescent="0.3">
      <c r="A4835" s="10" t="str">
        <f>基本属性!$B$30&amp;"|"&amp;基本属性!$C$30</f>
        <v>250|20</v>
      </c>
      <c r="B4835" s="10" t="str">
        <f>参数调整!$J$31</f>
        <v>小怪掉落</v>
      </c>
      <c r="C4835" s="8" t="str">
        <f>材料产出!$AB$2</f>
        <v>龙晶碎片</v>
      </c>
      <c r="D4835" s="224">
        <f>材料产出!$AB$30/(基本属性!$A$30/(基本属性!$AS$30*1/3600))*材料产出!$D$30</f>
        <v>1.1593960581648677</v>
      </c>
    </row>
    <row r="4836" spans="1:4" ht="16.5" x14ac:dyDescent="0.3">
      <c r="A4836" s="10" t="str">
        <f>基本属性!$B$4&amp;"|"&amp;基本属性!$C$4</f>
        <v>35|0</v>
      </c>
      <c r="B4836" s="10" t="str">
        <f>参数调整!$J$31</f>
        <v>小怪掉落</v>
      </c>
      <c r="C4836" s="8" t="str">
        <f>材料产出!$AX$2</f>
        <v>烈焰玄铁</v>
      </c>
      <c r="D4836" s="224">
        <f>材料产出!$AX$4/(基本属性!$A$4/(基本属性!$AS$4*1/3600))*材料产出!$D$4</f>
        <v>8.9283669292289497E-5</v>
      </c>
    </row>
    <row r="4837" spans="1:4" ht="16.5" x14ac:dyDescent="0.3">
      <c r="A4837" s="10" t="str">
        <f>基本属性!$B$5&amp;"|"&amp;基本属性!$C$5</f>
        <v>40|0</v>
      </c>
      <c r="B4837" s="10" t="str">
        <f>参数调整!$J$31</f>
        <v>小怪掉落</v>
      </c>
      <c r="C4837" s="8" t="str">
        <f>材料产出!$AX$2</f>
        <v>烈焰玄铁</v>
      </c>
      <c r="D4837" s="224">
        <f>材料产出!$AX$5/(基本属性!$A$5/(基本属性!$AS$5*1/3600))*材料产出!$D$5</f>
        <v>1.1299964394805388E-4</v>
      </c>
    </row>
    <row r="4838" spans="1:4" ht="16.5" x14ac:dyDescent="0.3">
      <c r="A4838" s="10" t="str">
        <f>基本属性!$B$6&amp;"|"&amp;基本属性!$C$6</f>
        <v>50|0</v>
      </c>
      <c r="B4838" s="10" t="str">
        <f>参数调整!$J$31</f>
        <v>小怪掉落</v>
      </c>
      <c r="C4838" s="8" t="str">
        <f>材料产出!$AX$2</f>
        <v>烈焰玄铁</v>
      </c>
      <c r="D4838" s="224">
        <f>材料产出!$AX$6/(基本属性!$A$6/(基本属性!$AS$6*1/3600))*材料产出!$D$6</f>
        <v>1.3950573326920233E-4</v>
      </c>
    </row>
    <row r="4839" spans="1:4" ht="16.5" x14ac:dyDescent="0.3">
      <c r="A4839" s="10" t="str">
        <f>基本属性!$B$7&amp;"|"&amp;基本属性!$C$7</f>
        <v>60|0</v>
      </c>
      <c r="B4839" s="10" t="str">
        <f>参数调整!$J$31</f>
        <v>小怪掉落</v>
      </c>
      <c r="C4839" s="8" t="str">
        <f>材料产出!$AX$2</f>
        <v>烈焰玄铁</v>
      </c>
      <c r="D4839" s="224">
        <f>材料产出!$AX$7/(基本属性!$A$7/(基本属性!$AS$7*1/3600))*材料产出!$D$7</f>
        <v>1.6880193725573485E-4</v>
      </c>
    </row>
    <row r="4840" spans="1:4" ht="16.5" x14ac:dyDescent="0.3">
      <c r="A4840" s="10" t="str">
        <f>基本属性!$B$8&amp;"|"&amp;基本属性!$C$8</f>
        <v>65|0</v>
      </c>
      <c r="B4840" s="10" t="str">
        <f>参数调整!$J$31</f>
        <v>小怪掉落</v>
      </c>
      <c r="C4840" s="8" t="str">
        <f>材料产出!$AX$2</f>
        <v>烈焰玄铁</v>
      </c>
      <c r="D4840" s="224">
        <f>材料产出!$AX$8/(基本属性!$A$8/(基本属性!$AS$8*1/3600))*材料产出!$D$8</f>
        <v>2.0088825590765136E-4</v>
      </c>
    </row>
    <row r="4841" spans="1:4" ht="16.5" x14ac:dyDescent="0.3">
      <c r="A4841" s="10" t="str">
        <f>基本属性!$B$9&amp;"|"&amp;基本属性!$C$9</f>
        <v>70|0</v>
      </c>
      <c r="B4841" s="10" t="str">
        <f>参数调整!$J$31</f>
        <v>小怪掉落</v>
      </c>
      <c r="C4841" s="8" t="str">
        <f>材料产出!$AX$2</f>
        <v>烈焰玄铁</v>
      </c>
      <c r="D4841" s="224">
        <f>材料产出!$AX$9/(基本属性!$A$9/(基本属性!$AS$9*1/3600))*材料产出!$D$9</f>
        <v>2.3576468922495197E-4</v>
      </c>
    </row>
    <row r="4842" spans="1:4" ht="16.5" x14ac:dyDescent="0.3">
      <c r="A4842" s="10" t="str">
        <f>基本属性!$B$10&amp;"|"&amp;基本属性!$C$10</f>
        <v>75|0</v>
      </c>
      <c r="B4842" s="10" t="str">
        <f>参数调整!$J$31</f>
        <v>小怪掉落</v>
      </c>
      <c r="C4842" s="8" t="str">
        <f>材料产出!$AX$2</f>
        <v>烈焰玄铁</v>
      </c>
      <c r="D4842" s="224">
        <f>材料产出!$AX$10/(基本属性!$A$10/(基本属性!$AS$10*1/3600))*材料产出!$D$10</f>
        <v>2.7343123720763654E-4</v>
      </c>
    </row>
    <row r="4843" spans="1:4" ht="16.5" x14ac:dyDescent="0.3">
      <c r="A4843" s="10" t="str">
        <f>基本属性!$B$11&amp;"|"&amp;基本属性!$C$11</f>
        <v>80|1</v>
      </c>
      <c r="B4843" s="10" t="str">
        <f>参数调整!$J$31</f>
        <v>小怪掉落</v>
      </c>
      <c r="C4843" s="8" t="str">
        <f>材料产出!$AX$2</f>
        <v>烈焰玄铁</v>
      </c>
      <c r="D4843" s="224">
        <f>材料产出!$AX$11/(基本属性!$A$11/(基本属性!$AS$11*1/3600))*材料产出!$D$11</f>
        <v>3.1388789985570525E-4</v>
      </c>
    </row>
    <row r="4844" spans="1:4" ht="16.5" x14ac:dyDescent="0.3">
      <c r="A4844" s="10" t="str">
        <f>基本属性!$B$12&amp;"|"&amp;基本属性!$C$12</f>
        <v>90|2</v>
      </c>
      <c r="B4844" s="10" t="str">
        <f>参数调整!$J$31</f>
        <v>小怪掉落</v>
      </c>
      <c r="C4844" s="8" t="str">
        <f>材料产出!$AX$2</f>
        <v>烈焰玄铁</v>
      </c>
      <c r="D4844" s="224">
        <f>材料产出!$AX$12/(基本属性!$A$12/(基本属性!$AS$12*1/3600))*材料产出!$D$12</f>
        <v>3.5713467716915804E-4</v>
      </c>
    </row>
    <row r="4845" spans="1:4" ht="16.5" x14ac:dyDescent="0.3">
      <c r="A4845" s="10" t="str">
        <f>基本属性!$B$13&amp;"|"&amp;基本属性!$C$13</f>
        <v>100|3</v>
      </c>
      <c r="B4845" s="10" t="str">
        <f>参数调整!$J$31</f>
        <v>小怪掉落</v>
      </c>
      <c r="C4845" s="8" t="str">
        <f>材料产出!$AX$2</f>
        <v>烈焰玄铁</v>
      </c>
      <c r="D4845" s="224">
        <f>材料产出!$AX$13/(基本属性!$A$13/(基本属性!$AS$13*1/3600))*材料产出!$D$13</f>
        <v>4.5199857579221562E-4</v>
      </c>
    </row>
    <row r="4846" spans="1:4" ht="16.5" x14ac:dyDescent="0.3">
      <c r="A4846" s="10" t="str">
        <f>基本属性!$B$14&amp;"|"&amp;基本属性!$C$14</f>
        <v>105|4</v>
      </c>
      <c r="B4846" s="10" t="str">
        <f>参数调整!$J$31</f>
        <v>小怪掉落</v>
      </c>
      <c r="C4846" s="8" t="str">
        <f>材料产出!$AX$2</f>
        <v>烈焰玄铁</v>
      </c>
      <c r="D4846" s="224">
        <f>材料产出!$AX$14/(基本属性!$A$14/(基本属性!$AS$14*1/3600))*材料产出!$D$14</f>
        <v>5.5802293307680943E-4</v>
      </c>
    </row>
    <row r="4847" spans="1:4" ht="16.5" x14ac:dyDescent="0.3">
      <c r="A4847" s="10" t="str">
        <f>基本属性!$B$15&amp;"|"&amp;基本属性!$C$15</f>
        <v>110|5</v>
      </c>
      <c r="B4847" s="10" t="str">
        <f>参数调整!$J$31</f>
        <v>小怪掉落</v>
      </c>
      <c r="C4847" s="8" t="str">
        <f>材料产出!$AX$2</f>
        <v>烈焰玄铁</v>
      </c>
      <c r="D4847" s="224">
        <f>材料产出!$AX$15/(基本属性!$A$15/(基本属性!$AS$15*1/3600))*材料产出!$D$15</f>
        <v>6.7520774902293953E-4</v>
      </c>
    </row>
    <row r="4848" spans="1:4" ht="16.5" x14ac:dyDescent="0.3">
      <c r="A4848" s="10" t="str">
        <f>基本属性!$B$16&amp;"|"&amp;基本属性!$C$16</f>
        <v>120|6</v>
      </c>
      <c r="B4848" s="10" t="str">
        <f>参数调整!$J$31</f>
        <v>小怪掉落</v>
      </c>
      <c r="C4848" s="8" t="str">
        <f>材料产出!$AX$2</f>
        <v>烈焰玄铁</v>
      </c>
      <c r="D4848" s="224">
        <f>材料产出!$AX$16/(基本属性!$A$16/(基本属性!$AS$16*1/3600))*材料产出!$D$16</f>
        <v>8.7191083293251456E-4</v>
      </c>
    </row>
    <row r="4849" spans="1:4" ht="16.5" x14ac:dyDescent="0.3">
      <c r="A4849" s="10" t="str">
        <f>基本属性!$B$17&amp;"|"&amp;基本属性!$C$17</f>
        <v>135|7</v>
      </c>
      <c r="B4849" s="10" t="str">
        <f>参数调整!$J$31</f>
        <v>小怪掉落</v>
      </c>
      <c r="C4849" s="8" t="str">
        <f>材料产出!$AX$2</f>
        <v>烈焰玄铁</v>
      </c>
      <c r="D4849" s="224">
        <f>材料产出!$AX$17/(基本属性!$A$17/(基本属性!$AS$17*1/3600))*材料产出!$D$17</f>
        <v>1.255551599422821E-3</v>
      </c>
    </row>
    <row r="4850" spans="1:4" ht="16.5" x14ac:dyDescent="0.3">
      <c r="A4850" s="10" t="str">
        <f>基本属性!$B$18&amp;"|"&amp;基本属性!$C$18</f>
        <v>155|8</v>
      </c>
      <c r="B4850" s="10" t="str">
        <f>参数调整!$J$31</f>
        <v>小怪掉落</v>
      </c>
      <c r="C4850" s="8" t="str">
        <f>材料产出!$AX$2</f>
        <v>烈焰玄铁</v>
      </c>
      <c r="D4850" s="224">
        <f>材料产出!$AX$18/(基本属性!$A$18/(基本属性!$AS$18*1/3600))*材料产出!$D$18</f>
        <v>1.7089452325477288E-3</v>
      </c>
    </row>
    <row r="4851" spans="1:4" ht="16.5" x14ac:dyDescent="0.3">
      <c r="A4851" s="10" t="str">
        <f>基本属性!$B$19&amp;"|"&amp;基本属性!$C$19</f>
        <v>190|9</v>
      </c>
      <c r="B4851" s="10" t="str">
        <f>参数调整!$J$31</f>
        <v>小怪掉落</v>
      </c>
      <c r="C4851" s="8" t="str">
        <f>材料产出!$AX$2</f>
        <v>烈焰玄铁</v>
      </c>
      <c r="D4851" s="224">
        <f>材料产出!$AX$19/(基本属性!$A$19/(基本属性!$AS$19*1/3600))*材料产出!$D$19</f>
        <v>1.9098334884553802E-3</v>
      </c>
    </row>
    <row r="4852" spans="1:4" ht="16.5" x14ac:dyDescent="0.3">
      <c r="A4852" s="10" t="str">
        <f>基本属性!$B$20&amp;"|"&amp;基本属性!$C$20</f>
        <v>200|10</v>
      </c>
      <c r="B4852" s="10" t="str">
        <f>参数调整!$J$31</f>
        <v>小怪掉落</v>
      </c>
      <c r="C4852" s="8" t="str">
        <f>材料产出!$AX$2</f>
        <v>烈焰玄铁</v>
      </c>
      <c r="D4852" s="224">
        <f>材料产出!$AX$20/(基本属性!$A$20/(基本属性!$AS$20*1/3600))*材料产出!$D$20</f>
        <v>2.2320917323072377E-3</v>
      </c>
    </row>
    <row r="4853" spans="1:4" ht="16.5" x14ac:dyDescent="0.3">
      <c r="A4853" s="10" t="str">
        <f>基本属性!$B$21&amp;"|"&amp;基本属性!$C$21</f>
        <v>200|11</v>
      </c>
      <c r="B4853" s="10" t="str">
        <f>参数调整!$J$31</f>
        <v>小怪掉落</v>
      </c>
      <c r="C4853" s="8" t="str">
        <f>材料产出!$AX$2</f>
        <v>烈焰玄铁</v>
      </c>
      <c r="D4853" s="224">
        <f>材料产出!$AX$21/(基本属性!$A$21/(基本属性!$AS$21*1/3600))*材料产出!$D$21</f>
        <v>2.5794610081475507E-3</v>
      </c>
    </row>
    <row r="4854" spans="1:4" ht="16.5" x14ac:dyDescent="0.3">
      <c r="A4854" s="10" t="str">
        <f>基本属性!$B$22&amp;"|"&amp;基本属性!$C$22</f>
        <v>210|12</v>
      </c>
      <c r="B4854" s="10" t="str">
        <f>参数调整!$J$31</f>
        <v>小怪掉落</v>
      </c>
      <c r="C4854" s="8" t="str">
        <f>材料产出!$AX$2</f>
        <v>烈焰玄铁</v>
      </c>
      <c r="D4854" s="224">
        <f>材料产出!$AX$22/(基本属性!$A$22/(基本属性!$AS$22*1/3600))*材料产出!$D$22</f>
        <v>2.9519413159763207E-3</v>
      </c>
    </row>
    <row r="4855" spans="1:4" ht="16.5" x14ac:dyDescent="0.3">
      <c r="A4855" s="10" t="str">
        <f>基本属性!$B$23&amp;"|"&amp;基本属性!$C$23</f>
        <v>210|13</v>
      </c>
      <c r="B4855" s="10" t="str">
        <f>参数调整!$J$31</f>
        <v>小怪掉落</v>
      </c>
      <c r="C4855" s="8" t="str">
        <f>材料产出!$AX$2</f>
        <v>烈焰玄铁</v>
      </c>
      <c r="D4855" s="224">
        <f>材料产出!$AX$23/(基本属性!$A$23/(基本属性!$AS$23*1/3600))*材料产出!$D$23</f>
        <v>3.3495326557935485E-3</v>
      </c>
    </row>
    <row r="4856" spans="1:4" ht="16.5" x14ac:dyDescent="0.3">
      <c r="A4856" s="10" t="str">
        <f>基本属性!$B$24&amp;"|"&amp;基本属性!$C$24</f>
        <v>220|14</v>
      </c>
      <c r="B4856" s="10" t="str">
        <f>参数调整!$J$31</f>
        <v>小怪掉落</v>
      </c>
      <c r="C4856" s="8" t="str">
        <f>材料产出!$AX$2</f>
        <v>烈焰玄铁</v>
      </c>
      <c r="D4856" s="224">
        <f>材料产出!$AX$24/(基本属性!$A$24/(基本属性!$AS$24*1/3600))*材料产出!$D$24</f>
        <v>3.7722350275992311E-3</v>
      </c>
    </row>
    <row r="4857" spans="1:4" ht="16.5" x14ac:dyDescent="0.3">
      <c r="A4857" s="10" t="str">
        <f>基本属性!$B$25&amp;"|"&amp;基本属性!$C$25</f>
        <v>220|15</v>
      </c>
      <c r="B4857" s="10" t="str">
        <f>参数调整!$J$31</f>
        <v>小怪掉落</v>
      </c>
      <c r="C4857" s="8" t="str">
        <f>材料产出!$AX$2</f>
        <v>烈焰玄铁</v>
      </c>
      <c r="D4857" s="224">
        <f>材料产出!$AX$25/(基本属性!$A$25/(基本属性!$AS$25*1/3600))*材料产出!$D$25</f>
        <v>4.2200484313933704E-3</v>
      </c>
    </row>
    <row r="4858" spans="1:4" ht="16.5" x14ac:dyDescent="0.3">
      <c r="A4858" s="10" t="str">
        <f>基本属性!$B$26&amp;"|"&amp;基本属性!$C$26</f>
        <v>230|16</v>
      </c>
      <c r="B4858" s="10" t="str">
        <f>参数调整!$J$31</f>
        <v>小怪掉落</v>
      </c>
      <c r="C4858" s="8" t="str">
        <f>材料产出!$AX$2</f>
        <v>烈焰玄铁</v>
      </c>
      <c r="D4858" s="224">
        <f>材料产出!$AX$26/(基本属性!$A$26/(基本属性!$AS$26*1/3600))*材料产出!$D$26</f>
        <v>4.6929728671759657E-3</v>
      </c>
    </row>
    <row r="4859" spans="1:4" ht="16.5" x14ac:dyDescent="0.3">
      <c r="A4859" s="10" t="str">
        <f>基本属性!$B$27&amp;"|"&amp;基本属性!$C$27</f>
        <v>230|17</v>
      </c>
      <c r="B4859" s="10" t="str">
        <f>参数调整!$J$31</f>
        <v>小怪掉落</v>
      </c>
      <c r="C4859" s="8" t="str">
        <f>材料产出!$AX$2</f>
        <v>烈焰玄铁</v>
      </c>
      <c r="D4859" s="224">
        <f>材料产出!$AX$27/(基本属性!$A$27/(基本属性!$AS$27*1/3600))*材料产出!$D$27</f>
        <v>5.1910083349470176E-3</v>
      </c>
    </row>
    <row r="4860" spans="1:4" ht="16.5" x14ac:dyDescent="0.3">
      <c r="A4860" s="10" t="str">
        <f>基本属性!$B$28&amp;"|"&amp;基本属性!$C$28</f>
        <v>240|18</v>
      </c>
      <c r="B4860" s="10" t="str">
        <f>参数调整!$J$31</f>
        <v>小怪掉落</v>
      </c>
      <c r="C4860" s="8" t="str">
        <f>材料产出!$AX$2</f>
        <v>烈焰玄铁</v>
      </c>
      <c r="D4860" s="224">
        <f>材料产出!$AX$28/(基本属性!$A$28/(基本属性!$AS$28*1/3600))*材料产出!$D$28</f>
        <v>5.7141548347065287E-3</v>
      </c>
    </row>
    <row r="4861" spans="1:4" ht="16.5" x14ac:dyDescent="0.3">
      <c r="A4861" s="10" t="str">
        <f>基本属性!$B$29&amp;"|"&amp;基本属性!$C$29</f>
        <v>240|19</v>
      </c>
      <c r="B4861" s="10" t="str">
        <f>参数调整!$J$31</f>
        <v>小怪掉落</v>
      </c>
      <c r="C4861" s="8" t="str">
        <f>材料产出!$AX$2</f>
        <v>烈焰玄铁</v>
      </c>
      <c r="D4861" s="224">
        <f>材料产出!$AX$29/(基本属性!$A$29/(基本属性!$AS$29*1/3600))*材料产出!$D$29</f>
        <v>6.2624123664544928E-3</v>
      </c>
    </row>
    <row r="4862" spans="1:4" ht="16.5" x14ac:dyDescent="0.3">
      <c r="A4862" s="10" t="str">
        <f>基本属性!$B$30&amp;"|"&amp;基本属性!$C$30</f>
        <v>250|20</v>
      </c>
      <c r="B4862" s="10" t="str">
        <f>参数调整!$J$31</f>
        <v>小怪掉落</v>
      </c>
      <c r="C4862" s="8" t="str">
        <f>材料产出!$AX$2</f>
        <v>烈焰玄铁</v>
      </c>
      <c r="D4862" s="224">
        <f>材料产出!$AX$30/(基本属性!$A$30/(基本属性!$AS$30*1/3600))*材料产出!$D$30</f>
        <v>6.8357809301909135E-3</v>
      </c>
    </row>
    <row r="4863" spans="1:4" ht="16.5" x14ac:dyDescent="0.3">
      <c r="A4863" s="10" t="str">
        <f>基本属性!$B$4&amp;"|"&amp;基本属性!$C$4</f>
        <v>35|0</v>
      </c>
      <c r="B4863" s="10" t="str">
        <f>参数调整!$J$31</f>
        <v>小怪掉落</v>
      </c>
      <c r="C4863" s="8" t="str">
        <f>材料产出!$H$2</f>
        <v>经验</v>
      </c>
      <c r="D4863" s="225">
        <f>ROUND(SUM(升级!$I$36:$I$40)/(基本属性!$A$4/(基本属性!$AS$4*1/3600)),0)</f>
        <v>833</v>
      </c>
    </row>
    <row r="4864" spans="1:4" ht="16.5" x14ac:dyDescent="0.3">
      <c r="A4864" s="10" t="str">
        <f>基本属性!$B$5&amp;"|"&amp;基本属性!$C$5</f>
        <v>40|0</v>
      </c>
      <c r="B4864" s="10" t="str">
        <f>参数调整!$J$31</f>
        <v>小怪掉落</v>
      </c>
      <c r="C4864" s="8" t="str">
        <f>材料产出!$H$2</f>
        <v>经验</v>
      </c>
      <c r="D4864" s="225">
        <f>ROUND(SUM(升级!$I$40:$I$49)/(基本属性!$A$5/(基本属性!$AS$5*1/3600)),0)</f>
        <v>1597</v>
      </c>
    </row>
    <row r="4865" spans="1:4" ht="16.5" x14ac:dyDescent="0.3">
      <c r="A4865" s="10" t="str">
        <f>基本属性!$B$6&amp;"|"&amp;基本属性!$C$6</f>
        <v>50|0</v>
      </c>
      <c r="B4865" s="10" t="str">
        <f>参数调整!$J$31</f>
        <v>小怪掉落</v>
      </c>
      <c r="C4865" s="8" t="str">
        <f>材料产出!$H$2</f>
        <v>经验</v>
      </c>
      <c r="D4865" s="225">
        <f>ROUND(SUM(升级!$I$50:$I$59)/(基本属性!$A$6/(基本属性!$AS$6*1/3600)),0)</f>
        <v>4333</v>
      </c>
    </row>
    <row r="4866" spans="1:4" ht="16.5" x14ac:dyDescent="0.3">
      <c r="A4866" s="10" t="str">
        <f>基本属性!$B$7&amp;"|"&amp;基本属性!$C$7</f>
        <v>60|0</v>
      </c>
      <c r="B4866" s="10" t="str">
        <f>参数调整!$J$31</f>
        <v>小怪掉落</v>
      </c>
      <c r="C4866" s="8" t="str">
        <f>材料产出!$H$2</f>
        <v>经验</v>
      </c>
      <c r="D4866" s="225">
        <f>ROUND(SUM(升级!$I$60:$I$64)/(基本属性!$A$7/(基本属性!$AS$7*1/3600)),0)</f>
        <v>5417</v>
      </c>
    </row>
    <row r="4867" spans="1:4" ht="16.5" x14ac:dyDescent="0.3">
      <c r="A4867" s="10" t="str">
        <f>基本属性!$B$8&amp;"|"&amp;基本属性!$C$8</f>
        <v>65|0</v>
      </c>
      <c r="B4867" s="10" t="str">
        <f>参数调整!$J$31</f>
        <v>小怪掉落</v>
      </c>
      <c r="C4867" s="8" t="str">
        <f>材料产出!$H$2</f>
        <v>经验</v>
      </c>
      <c r="D4867" s="225">
        <f>ROUND(SUM(升级!$I$65:$I$69)/(基本属性!$A$8/(基本属性!$AS$8*1/3600)),0)</f>
        <v>5444</v>
      </c>
    </row>
    <row r="4868" spans="1:4" ht="16.5" x14ac:dyDescent="0.3">
      <c r="A4868" s="10" t="str">
        <f>基本属性!$B$9&amp;"|"&amp;基本属性!$C$9</f>
        <v>70|0</v>
      </c>
      <c r="B4868" s="10" t="str">
        <f>参数调整!$J$31</f>
        <v>小怪掉落</v>
      </c>
      <c r="C4868" s="8" t="str">
        <f>材料产出!$H$2</f>
        <v>经验</v>
      </c>
      <c r="D4868" s="225">
        <f>ROUND(SUM(升级!$I$70:$I$74)/(基本属性!$A$9/(基本属性!$AS$9*1/3600)),0)</f>
        <v>5574</v>
      </c>
    </row>
    <row r="4869" spans="1:4" ht="16.5" x14ac:dyDescent="0.3">
      <c r="A4869" s="10" t="str">
        <f>基本属性!$B$10&amp;"|"&amp;基本属性!$C$10</f>
        <v>75|0</v>
      </c>
      <c r="B4869" s="10" t="str">
        <f>参数调整!$J$31</f>
        <v>小怪掉落</v>
      </c>
      <c r="C4869" s="8" t="str">
        <f>材料产出!$H$2</f>
        <v>经验</v>
      </c>
      <c r="D4869" s="225">
        <f>ROUND(SUM(升级!$I$75:$I$79)/(基本属性!$A$10/(基本属性!$AS$10*1/3600)),0)</f>
        <v>6291</v>
      </c>
    </row>
    <row r="4870" spans="1:4" ht="16.5" x14ac:dyDescent="0.3">
      <c r="A4870" s="10" t="str">
        <f>基本属性!$B$11&amp;"|"&amp;基本属性!$C$11</f>
        <v>80|1</v>
      </c>
      <c r="B4870" s="10" t="str">
        <f>参数调整!$J$31</f>
        <v>小怪掉落</v>
      </c>
      <c r="C4870" s="8" t="str">
        <f>材料产出!$H$2</f>
        <v>经验</v>
      </c>
      <c r="D4870" s="225">
        <f>ROUND(SUM(升级!$I$80:$I$89)/(基本属性!$A$11/(基本属性!$AS$11*1/3600)),0)</f>
        <v>10081</v>
      </c>
    </row>
    <row r="4871" spans="1:4" ht="16.5" x14ac:dyDescent="0.3">
      <c r="A4871" s="10" t="str">
        <f>基本属性!$B$12&amp;"|"&amp;基本属性!$C$12</f>
        <v>90|2</v>
      </c>
      <c r="B4871" s="10" t="str">
        <f>参数调整!$J$31</f>
        <v>小怪掉落</v>
      </c>
      <c r="C4871" s="8" t="str">
        <f>材料产出!$H$2</f>
        <v>经验</v>
      </c>
      <c r="D4871" s="225">
        <f>ROUND(SUM(升级!$I$90:$I$99)/(基本属性!$A$12/(基本属性!$AS$12*1/3600)),0)</f>
        <v>17335</v>
      </c>
    </row>
    <row r="4872" spans="1:4" ht="16.5" x14ac:dyDescent="0.3">
      <c r="A4872" s="10" t="str">
        <f>基本属性!$B$13&amp;"|"&amp;基本属性!$C$13</f>
        <v>100|3</v>
      </c>
      <c r="B4872" s="10" t="str">
        <f>参数调整!$J$31</f>
        <v>小怪掉落</v>
      </c>
      <c r="C4872" s="8" t="str">
        <f>材料产出!$H$2</f>
        <v>经验</v>
      </c>
      <c r="D4872" s="225">
        <f>ROUND(SUM(升级!$I$100:$I$104)/(基本属性!$A$13/(基本属性!$AS$13*1/3600)),0)</f>
        <v>20397</v>
      </c>
    </row>
    <row r="4873" spans="1:4" ht="16.5" x14ac:dyDescent="0.3">
      <c r="A4873" s="10" t="str">
        <f>基本属性!$B$14&amp;"|"&amp;基本属性!$C$14</f>
        <v>105|4</v>
      </c>
      <c r="B4873" s="10" t="str">
        <f>参数调整!$J$31</f>
        <v>小怪掉落</v>
      </c>
      <c r="C4873" s="8" t="str">
        <f>材料产出!$H$2</f>
        <v>经验</v>
      </c>
      <c r="D4873" s="225">
        <f>ROUND(SUM(升级!$I$105:$I$109)/(基本属性!$A$14/(基本属性!$AS$14*1/3600)),0)</f>
        <v>31500</v>
      </c>
    </row>
    <row r="4874" spans="1:4" ht="16.5" x14ac:dyDescent="0.3">
      <c r="A4874" s="10" t="str">
        <f>基本属性!$B$15&amp;"|"&amp;基本属性!$C$15</f>
        <v>110|5</v>
      </c>
      <c r="B4874" s="10" t="str">
        <f>参数调整!$J$31</f>
        <v>小怪掉落</v>
      </c>
      <c r="C4874" s="8" t="str">
        <f>材料产出!$H$2</f>
        <v>经验</v>
      </c>
      <c r="D4874" s="225">
        <f>ROUND(SUM(升级!$I$110:$I$119)/(基本属性!$A$15/(基本属性!$AS$15*1/3600)),0)</f>
        <v>32556</v>
      </c>
    </row>
    <row r="4875" spans="1:4" ht="16.5" x14ac:dyDescent="0.3">
      <c r="A4875" s="10" t="str">
        <f>基本属性!$B$16&amp;"|"&amp;基本属性!$C$16</f>
        <v>120|6</v>
      </c>
      <c r="B4875" s="10" t="str">
        <f>参数调整!$J$31</f>
        <v>小怪掉落</v>
      </c>
      <c r="C4875" s="8" t="str">
        <f>材料产出!$H$2</f>
        <v>经验</v>
      </c>
      <c r="D4875" s="225">
        <f>ROUND(SUM(升级!$I$120:$I$134)/(基本属性!$A$16/(基本属性!$AS$16*1/3600)),0)</f>
        <v>129814</v>
      </c>
    </row>
    <row r="4876" spans="1:4" ht="16.5" x14ac:dyDescent="0.3">
      <c r="A4876" s="10" t="str">
        <f>基本属性!$B$17&amp;"|"&amp;基本属性!$C$17</f>
        <v>135|7</v>
      </c>
      <c r="B4876" s="10" t="str">
        <f>参数调整!$J$31</f>
        <v>小怪掉落</v>
      </c>
      <c r="C4876" s="8" t="str">
        <f>材料产出!$H$2</f>
        <v>经验</v>
      </c>
      <c r="D4876" s="225">
        <f>ROUND(SUM(升级!$I$135:$I$154)/(基本属性!$A$17/(基本属性!$AS$17*1/3600)),0)</f>
        <v>444417</v>
      </c>
    </row>
    <row r="4877" spans="1:4" ht="16.5" x14ac:dyDescent="0.3">
      <c r="A4877" s="10" t="str">
        <f>基本属性!$B$18&amp;"|"&amp;基本属性!$C$18</f>
        <v>155|8</v>
      </c>
      <c r="B4877" s="10" t="str">
        <f>参数调整!$J$31</f>
        <v>小怪掉落</v>
      </c>
      <c r="C4877" s="8" t="str">
        <f>材料产出!$H$2</f>
        <v>经验</v>
      </c>
      <c r="D4877" s="225">
        <f>ROUND(SUM(升级!$I$155:$I$189)/(基本属性!$A$18/(基本属性!$AS$18*1/3600)),0)</f>
        <v>5368389</v>
      </c>
    </row>
    <row r="4878" spans="1:4" ht="16.5" x14ac:dyDescent="0.3">
      <c r="A4878" s="10" t="str">
        <f>基本属性!$B$19&amp;"|"&amp;基本属性!$C$19</f>
        <v>190|9</v>
      </c>
      <c r="B4878" s="10" t="str">
        <f>参数调整!$J$31</f>
        <v>小怪掉落</v>
      </c>
      <c r="C4878" s="8" t="str">
        <f>材料产出!$H$2</f>
        <v>经验</v>
      </c>
      <c r="D4878" s="225">
        <f>ROUND(SUM(升级!$I$190:$I$199)/(基本属性!$A$19/(基本属性!$AS$19*1/3600)),0)</f>
        <v>4881467</v>
      </c>
    </row>
    <row r="4879" spans="1:4" ht="16.5" x14ac:dyDescent="0.3">
      <c r="A4879" s="10" t="str">
        <f>基本属性!$B$20&amp;"|"&amp;基本属性!$C$20</f>
        <v>200|10</v>
      </c>
      <c r="B4879" s="10" t="str">
        <f>参数调整!$J$31</f>
        <v>小怪掉落</v>
      </c>
      <c r="C4879" s="8" t="str">
        <f>材料产出!$H$2</f>
        <v>经验</v>
      </c>
      <c r="D4879" s="225">
        <f>ROUND(SUM(升级!$I$200:$I$209)/(基本属性!$A$20/(基本属性!$AS$20*1/3600)),0)</f>
        <v>5833333</v>
      </c>
    </row>
    <row r="4880" spans="1:4" ht="16.5" x14ac:dyDescent="0.3">
      <c r="A4880" s="10" t="str">
        <f>基本属性!$B$21&amp;"|"&amp;基本属性!$C$21</f>
        <v>200|11</v>
      </c>
      <c r="B4880" s="10" t="str">
        <f>参数调整!$J$31</f>
        <v>小怪掉落</v>
      </c>
      <c r="C4880" s="8" t="str">
        <f>材料产出!$H$2</f>
        <v>经验</v>
      </c>
      <c r="D4880" s="225">
        <f>ROUND(SUM(升级!$I$200:$I$209)/(基本属性!$A$21/(基本属性!$AS$21*1/3600)),0)</f>
        <v>1166667</v>
      </c>
    </row>
    <row r="4881" spans="1:4" ht="16.5" x14ac:dyDescent="0.3">
      <c r="A4881" s="10" t="str">
        <f>基本属性!$B$22&amp;"|"&amp;基本属性!$C$22</f>
        <v>210|12</v>
      </c>
      <c r="B4881" s="10" t="str">
        <f>参数调整!$J$31</f>
        <v>小怪掉落</v>
      </c>
      <c r="C4881" s="8" t="str">
        <f>材料产出!$H$2</f>
        <v>经验</v>
      </c>
      <c r="D4881" s="225">
        <f>ROUND(SUM(升级!$I$210:$I$219)/(基本属性!$A$22/(基本属性!$AS$22*1/3600)),0)</f>
        <v>1166667</v>
      </c>
    </row>
    <row r="4882" spans="1:4" ht="16.5" x14ac:dyDescent="0.3">
      <c r="A4882" s="10" t="str">
        <f>基本属性!$B$23&amp;"|"&amp;基本属性!$C$23</f>
        <v>210|13</v>
      </c>
      <c r="B4882" s="10" t="str">
        <f>参数调整!$J$31</f>
        <v>小怪掉落</v>
      </c>
      <c r="C4882" s="8" t="str">
        <f>材料产出!$H$2</f>
        <v>经验</v>
      </c>
      <c r="D4882" s="225">
        <f>ROUND(SUM(升级!$I$210:$I$219)/(基本属性!$A$23/(基本属性!$AS$23*1/3600)),0)</f>
        <v>1166667</v>
      </c>
    </row>
    <row r="4883" spans="1:4" ht="16.5" x14ac:dyDescent="0.3">
      <c r="A4883" s="10" t="str">
        <f>基本属性!$B$24&amp;"|"&amp;基本属性!$C$24</f>
        <v>220|14</v>
      </c>
      <c r="B4883" s="10" t="str">
        <f>参数调整!$J$31</f>
        <v>小怪掉落</v>
      </c>
      <c r="C4883" s="8" t="str">
        <f>材料产出!$H$2</f>
        <v>经验</v>
      </c>
      <c r="D4883" s="225">
        <f>ROUND(SUM(升级!$I$220:$I$229)/(基本属性!$A$24/(基本属性!$AS$24*1/3600)),0)</f>
        <v>1166667</v>
      </c>
    </row>
    <row r="4884" spans="1:4" ht="16.5" x14ac:dyDescent="0.3">
      <c r="A4884" s="10" t="str">
        <f>基本属性!$B$25&amp;"|"&amp;基本属性!$C$25</f>
        <v>220|15</v>
      </c>
      <c r="B4884" s="10" t="str">
        <f>参数调整!$J$31</f>
        <v>小怪掉落</v>
      </c>
      <c r="C4884" s="8" t="str">
        <f>材料产出!$H$2</f>
        <v>经验</v>
      </c>
      <c r="D4884" s="225">
        <f>ROUND(SUM(升级!$I$220:$I$229)/(基本属性!$A$25/(基本属性!$AS$25*1/3600)),0)</f>
        <v>1166667</v>
      </c>
    </row>
    <row r="4885" spans="1:4" ht="16.5" x14ac:dyDescent="0.3">
      <c r="A4885" s="10" t="str">
        <f>基本属性!$B$26&amp;"|"&amp;基本属性!$C$26</f>
        <v>230|16</v>
      </c>
      <c r="B4885" s="10" t="str">
        <f>参数调整!$J$31</f>
        <v>小怪掉落</v>
      </c>
      <c r="C4885" s="8" t="str">
        <f>材料产出!$H$2</f>
        <v>经验</v>
      </c>
      <c r="D4885" s="225">
        <f>ROUND(SUM(升级!$I$230:$I$239)/(基本属性!$A$26/(基本属性!$AS$26*1/3600)),0)</f>
        <v>583333</v>
      </c>
    </row>
    <row r="4886" spans="1:4" ht="16.5" x14ac:dyDescent="0.3">
      <c r="A4886" s="10" t="str">
        <f>基本属性!$B$27&amp;"|"&amp;基本属性!$C$27</f>
        <v>230|17</v>
      </c>
      <c r="B4886" s="10" t="str">
        <f>参数调整!$J$31</f>
        <v>小怪掉落</v>
      </c>
      <c r="C4886" s="8" t="str">
        <f>材料产出!$H$2</f>
        <v>经验</v>
      </c>
      <c r="D4886" s="225">
        <f>ROUND(SUM(升级!$I$230:$I$239)/(基本属性!$A$27/(基本属性!$AS$27*1/3600)),0)</f>
        <v>583333</v>
      </c>
    </row>
    <row r="4887" spans="1:4" ht="16.5" x14ac:dyDescent="0.3">
      <c r="A4887" s="10" t="str">
        <f>基本属性!$B$28&amp;"|"&amp;基本属性!$C$28</f>
        <v>240|18</v>
      </c>
      <c r="B4887" s="10" t="str">
        <f>参数调整!$J$31</f>
        <v>小怪掉落</v>
      </c>
      <c r="C4887" s="8" t="str">
        <f>材料产出!$H$2</f>
        <v>经验</v>
      </c>
      <c r="D4887" s="225">
        <f>ROUND(SUM(升级!$I$240:$I$249)/(基本属性!$A$28/(基本属性!$AS$28*1/3600)),0)</f>
        <v>583333</v>
      </c>
    </row>
    <row r="4888" spans="1:4" ht="16.5" x14ac:dyDescent="0.3">
      <c r="A4888" s="10" t="str">
        <f>基本属性!$B$29&amp;"|"&amp;基本属性!$C$29</f>
        <v>240|19</v>
      </c>
      <c r="B4888" s="10" t="str">
        <f>参数调整!$J$31</f>
        <v>小怪掉落</v>
      </c>
      <c r="C4888" s="8" t="str">
        <f>材料产出!$H$2</f>
        <v>经验</v>
      </c>
      <c r="D4888" s="225">
        <f>ROUND(SUM(升级!$I$240:$I$249)/(基本属性!$A$29/(基本属性!$AS$29*1/3600)),0)</f>
        <v>583333</v>
      </c>
    </row>
    <row r="4889" spans="1:4" ht="16.5" x14ac:dyDescent="0.3">
      <c r="A4889" s="10" t="str">
        <f>基本属性!$B$30&amp;"|"&amp;基本属性!$C$30</f>
        <v>250|20</v>
      </c>
      <c r="B4889" s="10" t="str">
        <f>参数调整!$J$31</f>
        <v>小怪掉落</v>
      </c>
      <c r="C4889" s="8" t="str">
        <f>材料产出!$H$2</f>
        <v>经验</v>
      </c>
      <c r="D4889" s="225">
        <f>ROUND(SUM(升级!$I$250:$I$259)/(基本属性!$A$30/(基本属性!$AS$30*1/3600)),0)</f>
        <v>583333</v>
      </c>
    </row>
    <row r="4890" spans="1:4" ht="16.5" x14ac:dyDescent="0.3">
      <c r="A4890" s="10" t="str">
        <f>基本属性!$B$4&amp;"|"&amp;基本属性!$C$4</f>
        <v>35|0</v>
      </c>
      <c r="B4890" s="10" t="str">
        <f>参数调整!$J$31</f>
        <v>小怪掉落</v>
      </c>
      <c r="C4890" s="8" t="str">
        <f>材料产出!$AN$2</f>
        <v>极品注灵石</v>
      </c>
      <c r="D4890" s="224">
        <f>材料产出!$AN$4/(基本属性!$A$4/(基本属性!$AS$4*1/3600))*材料产出!$D$4</f>
        <v>5.1844102894235667E-4</v>
      </c>
    </row>
    <row r="4891" spans="1:4" ht="16.5" x14ac:dyDescent="0.3">
      <c r="A4891" s="10" t="str">
        <f>基本属性!$B$5&amp;"|"&amp;基本属性!$C$5</f>
        <v>40|0</v>
      </c>
      <c r="B4891" s="10" t="str">
        <f>参数调整!$J$31</f>
        <v>小怪掉落</v>
      </c>
      <c r="C4891" s="8" t="str">
        <f>材料产出!$AN$2</f>
        <v>极品注灵石</v>
      </c>
      <c r="D4891" s="224">
        <f>材料产出!$AN$5/(基本属性!$A$5/(基本属性!$AS$5*1/3600))*材料产出!$D$5</f>
        <v>6.5615192725517011E-4</v>
      </c>
    </row>
    <row r="4892" spans="1:4" ht="16.5" x14ac:dyDescent="0.3">
      <c r="A4892" s="10" t="str">
        <f>基本属性!$B$6&amp;"|"&amp;基本属性!$C$6</f>
        <v>50|0</v>
      </c>
      <c r="B4892" s="10" t="str">
        <f>参数调整!$J$31</f>
        <v>小怪掉落</v>
      </c>
      <c r="C4892" s="8" t="str">
        <f>材料产出!$AN$2</f>
        <v>极品注灵石</v>
      </c>
      <c r="D4892" s="224">
        <f>材料产出!$AN$6/(基本属性!$A$6/(基本属性!$AS$6*1/3600))*材料产出!$D$6</f>
        <v>8.1006410772243231E-4</v>
      </c>
    </row>
    <row r="4893" spans="1:4" ht="16.5" x14ac:dyDescent="0.3">
      <c r="A4893" s="10" t="str">
        <f>基本属性!$B$7&amp;"|"&amp;基本属性!$C$7</f>
        <v>60|0</v>
      </c>
      <c r="B4893" s="10" t="str">
        <f>参数调整!$J$31</f>
        <v>小怪掉落</v>
      </c>
      <c r="C4893" s="8" t="str">
        <f>材料产出!$AN$2</f>
        <v>极品注灵石</v>
      </c>
      <c r="D4893" s="224">
        <f>材料产出!$AN$7/(基本属性!$A$7/(基本属性!$AS$7*1/3600))*材料产出!$D$7</f>
        <v>9.8017757034414327E-4</v>
      </c>
    </row>
    <row r="4894" spans="1:4" ht="16.5" x14ac:dyDescent="0.3">
      <c r="A4894" s="10" t="str">
        <f>基本属性!$B$8&amp;"|"&amp;基本属性!$C$8</f>
        <v>65|0</v>
      </c>
      <c r="B4894" s="10" t="str">
        <f>参数调整!$J$31</f>
        <v>小怪掉落</v>
      </c>
      <c r="C4894" s="8" t="str">
        <f>材料产出!$AN$2</f>
        <v>极品注灵石</v>
      </c>
      <c r="D4894" s="224">
        <f>材料产出!$AN$8/(基本属性!$A$8/(基本属性!$AS$8*1/3600))*材料产出!$D$8</f>
        <v>1.1664923151203023E-3</v>
      </c>
    </row>
    <row r="4895" spans="1:4" ht="16.5" x14ac:dyDescent="0.3">
      <c r="A4895" s="10" t="str">
        <f>基本属性!$B$9&amp;"|"&amp;基本属性!$C$9</f>
        <v>70|0</v>
      </c>
      <c r="B4895" s="10" t="str">
        <f>参数调整!$J$31</f>
        <v>小怪掉落</v>
      </c>
      <c r="C4895" s="8" t="str">
        <f>材料产出!$AN$2</f>
        <v>极品注灵石</v>
      </c>
      <c r="D4895" s="224">
        <f>材料产出!$AN$9/(基本属性!$A$9/(基本属性!$AS$9*1/3600))*材料产出!$D$9</f>
        <v>1.3690083420509107E-3</v>
      </c>
    </row>
    <row r="4896" spans="1:4" ht="16.5" x14ac:dyDescent="0.3">
      <c r="A4896" s="10" t="str">
        <f>基本属性!$B$10&amp;"|"&amp;基本属性!$C$10</f>
        <v>75|0</v>
      </c>
      <c r="B4896" s="10" t="str">
        <f>参数调整!$J$31</f>
        <v>小怪掉落</v>
      </c>
      <c r="C4896" s="8" t="str">
        <f>材料产出!$AN$2</f>
        <v>极品注灵石</v>
      </c>
      <c r="D4896" s="224">
        <f>材料产出!$AN$10/(基本属性!$A$10/(基本属性!$AS$10*1/3600))*材料产出!$D$10</f>
        <v>1.5877256511359669E-3</v>
      </c>
    </row>
    <row r="4897" spans="1:4" ht="16.5" x14ac:dyDescent="0.3">
      <c r="A4897" s="10" t="str">
        <f>基本属性!$B$11&amp;"|"&amp;基本属性!$C$11</f>
        <v>80|1</v>
      </c>
      <c r="B4897" s="10" t="str">
        <f>参数调整!$J$31</f>
        <v>小怪掉落</v>
      </c>
      <c r="C4897" s="8" t="str">
        <f>材料产出!$AN$2</f>
        <v>极品注灵石</v>
      </c>
      <c r="D4897" s="224">
        <f>材料产出!$AN$11/(基本属性!$A$11/(基本属性!$AS$11*1/3600))*材料产出!$D$11</f>
        <v>1.8226442423754728E-3</v>
      </c>
    </row>
    <row r="4898" spans="1:4" ht="16.5" x14ac:dyDescent="0.3">
      <c r="A4898" s="10" t="str">
        <f>基本属性!$B$12&amp;"|"&amp;基本属性!$C$12</f>
        <v>90|2</v>
      </c>
      <c r="B4898" s="10" t="str">
        <f>参数调整!$J$31</f>
        <v>小怪掉落</v>
      </c>
      <c r="C4898" s="8" t="str">
        <f>材料产出!$AN$2</f>
        <v>极品注灵石</v>
      </c>
      <c r="D4898" s="224">
        <f>材料产出!$AN$12/(基本属性!$A$12/(基本属性!$AS$12*1/3600))*材料产出!$D$12</f>
        <v>2.0737641157694271E-3</v>
      </c>
    </row>
    <row r="4899" spans="1:4" ht="16.5" x14ac:dyDescent="0.3">
      <c r="A4899" s="10" t="str">
        <f>基本属性!$B$13&amp;"|"&amp;基本属性!$C$13</f>
        <v>100|3</v>
      </c>
      <c r="B4899" s="10" t="str">
        <f>参数调整!$J$31</f>
        <v>小怪掉落</v>
      </c>
      <c r="C4899" s="8" t="str">
        <f>材料产出!$AN$2</f>
        <v>极品注灵石</v>
      </c>
      <c r="D4899" s="224">
        <f>材料产出!$AN$13/(基本属性!$A$13/(基本属性!$AS$13*1/3600))*材料产出!$D$13</f>
        <v>2.6246077090206809E-3</v>
      </c>
    </row>
    <row r="4900" spans="1:4" ht="16.5" x14ac:dyDescent="0.3">
      <c r="A4900" s="10" t="str">
        <f>基本属性!$B$14&amp;"|"&amp;基本属性!$C$14</f>
        <v>105|4</v>
      </c>
      <c r="B4900" s="10" t="str">
        <f>参数调整!$J$31</f>
        <v>小怪掉落</v>
      </c>
      <c r="C4900" s="8" t="str">
        <f>材料产出!$AN$2</f>
        <v>极品注灵石</v>
      </c>
      <c r="D4900" s="224">
        <f>材料产出!$AN$14/(基本属性!$A$14/(基本属性!$AS$14*1/3600))*材料产出!$D$14</f>
        <v>3.2402564308897292E-3</v>
      </c>
    </row>
    <row r="4901" spans="1:4" ht="16.5" x14ac:dyDescent="0.3">
      <c r="A4901" s="10" t="str">
        <f>基本属性!$B$15&amp;"|"&amp;基本属性!$C$15</f>
        <v>110|5</v>
      </c>
      <c r="B4901" s="10" t="str">
        <f>参数调整!$J$31</f>
        <v>小怪掉落</v>
      </c>
      <c r="C4901" s="8" t="str">
        <f>材料产出!$AN$2</f>
        <v>极品注灵石</v>
      </c>
      <c r="D4901" s="224">
        <f>材料产出!$AN$15/(基本属性!$A$15/(基本属性!$AS$15*1/3600))*材料产出!$D$15</f>
        <v>3.9207102813765731E-3</v>
      </c>
    </row>
    <row r="4902" spans="1:4" ht="16.5" x14ac:dyDescent="0.3">
      <c r="A4902" s="10" t="str">
        <f>基本属性!$B$16&amp;"|"&amp;基本属性!$C$16</f>
        <v>120|6</v>
      </c>
      <c r="B4902" s="10" t="str">
        <f>参数调整!$J$31</f>
        <v>小怪掉落</v>
      </c>
      <c r="C4902" s="8" t="str">
        <f>材料产出!$AN$2</f>
        <v>极品注灵石</v>
      </c>
      <c r="D4902" s="224">
        <f>材料产出!$AN$16/(基本属性!$A$16/(基本属性!$AS$16*1/3600))*材料产出!$D$16</f>
        <v>5.0629006732652018E-3</v>
      </c>
    </row>
    <row r="4903" spans="1:4" ht="16.5" x14ac:dyDescent="0.3">
      <c r="A4903" s="10" t="str">
        <f>基本属性!$B$17&amp;"|"&amp;基本属性!$C$17</f>
        <v>135|7</v>
      </c>
      <c r="B4903" s="10" t="str">
        <f>参数调整!$J$31</f>
        <v>小怪掉落</v>
      </c>
      <c r="C4903" s="8" t="str">
        <f>材料产出!$AN$2</f>
        <v>极品注灵石</v>
      </c>
      <c r="D4903" s="224">
        <f>材料产出!$AN$17/(基本属性!$A$17/(基本属性!$AS$17*1/3600))*材料产出!$D$17</f>
        <v>7.2905769695018902E-3</v>
      </c>
    </row>
    <row r="4904" spans="1:4" ht="16.5" x14ac:dyDescent="0.3">
      <c r="A4904" s="10" t="str">
        <f>基本属性!$B$18&amp;"|"&amp;基本属性!$C$18</f>
        <v>155|8</v>
      </c>
      <c r="B4904" s="10" t="str">
        <f>参数调整!$J$31</f>
        <v>小怪掉落</v>
      </c>
      <c r="C4904" s="8" t="str">
        <f>材料产出!$AN$2</f>
        <v>极品注灵石</v>
      </c>
      <c r="D4904" s="224">
        <f>材料产出!$AN$18/(基本属性!$A$18/(基本属性!$AS$18*1/3600))*材料产出!$D$18</f>
        <v>9.9232853195997967E-3</v>
      </c>
    </row>
    <row r="4905" spans="1:4" ht="16.5" x14ac:dyDescent="0.3">
      <c r="A4905" s="10" t="str">
        <f>基本属性!$B$19&amp;"|"&amp;基本属性!$C$19</f>
        <v>190|9</v>
      </c>
      <c r="B4905" s="10" t="str">
        <f>参数调整!$J$31</f>
        <v>小怪掉落</v>
      </c>
      <c r="C4905" s="8" t="str">
        <f>材料产出!$AN$2</f>
        <v>极品注灵石</v>
      </c>
      <c r="D4905" s="224">
        <f>材料产出!$AN$19/(基本属性!$A$19/(基本属性!$AS$19*1/3600))*材料产出!$D$19</f>
        <v>1.10897776347201E-2</v>
      </c>
    </row>
    <row r="4906" spans="1:4" ht="16.5" x14ac:dyDescent="0.3">
      <c r="A4906" s="10" t="str">
        <f>基本属性!$B$20&amp;"|"&amp;基本属性!$C$20</f>
        <v>200|10</v>
      </c>
      <c r="B4906" s="10" t="str">
        <f>参数调整!$J$31</f>
        <v>小怪掉落</v>
      </c>
      <c r="C4906" s="8" t="str">
        <f>材料产出!$AN$2</f>
        <v>极品注灵石</v>
      </c>
      <c r="D4906" s="224">
        <f>材料产出!$AN$20/(基本属性!$A$20/(基本属性!$AS$20*1/3600))*材料产出!$D$20</f>
        <v>1.2961025723558917E-2</v>
      </c>
    </row>
    <row r="4907" spans="1:4" ht="16.5" x14ac:dyDescent="0.3">
      <c r="A4907" s="10" t="str">
        <f>基本属性!$B$21&amp;"|"&amp;基本属性!$C$21</f>
        <v>200|11</v>
      </c>
      <c r="B4907" s="10" t="str">
        <f>参数调整!$J$31</f>
        <v>小怪掉落</v>
      </c>
      <c r="C4907" s="8" t="str">
        <f>材料产出!$AN$2</f>
        <v>极品注灵石</v>
      </c>
      <c r="D4907" s="224">
        <f>材料产出!$AN$21/(基本属性!$A$21/(基本属性!$AS$21*1/3600))*材料产出!$D$21</f>
        <v>1.4978085351787769E-2</v>
      </c>
    </row>
    <row r="4908" spans="1:4" ht="16.5" x14ac:dyDescent="0.3">
      <c r="A4908" s="10" t="str">
        <f>基本属性!$B$22&amp;"|"&amp;基本属性!$C$22</f>
        <v>210|12</v>
      </c>
      <c r="B4908" s="10" t="str">
        <f>参数调整!$J$31</f>
        <v>小怪掉落</v>
      </c>
      <c r="C4908" s="8" t="str">
        <f>材料产出!$AN$2</f>
        <v>极品注灵石</v>
      </c>
      <c r="D4908" s="224">
        <f>材料产出!$AN$22/(基本属性!$A$22/(基本属性!$AS$22*1/3600))*材料产出!$D$22</f>
        <v>1.7140956519406666E-2</v>
      </c>
    </row>
    <row r="4909" spans="1:4" ht="16.5" x14ac:dyDescent="0.3">
      <c r="A4909" s="10" t="str">
        <f>基本属性!$B$23&amp;"|"&amp;基本属性!$C$23</f>
        <v>210|13</v>
      </c>
      <c r="B4909" s="10" t="str">
        <f>参数调整!$J$31</f>
        <v>小怪掉落</v>
      </c>
      <c r="C4909" s="8" t="str">
        <f>材料产出!$AN$2</f>
        <v>极品注灵石</v>
      </c>
      <c r="D4909" s="224">
        <f>材料产出!$AN$23/(基本属性!$A$23/(基本属性!$AS$23*1/3600))*材料产出!$D$23</f>
        <v>1.9449639226415599E-2</v>
      </c>
    </row>
    <row r="4910" spans="1:4" ht="16.5" x14ac:dyDescent="0.3">
      <c r="A4910" s="10" t="str">
        <f>基本属性!$B$24&amp;"|"&amp;基本属性!$C$24</f>
        <v>220|14</v>
      </c>
      <c r="B4910" s="10" t="str">
        <f>参数调整!$J$31</f>
        <v>小怪掉落</v>
      </c>
      <c r="C4910" s="8" t="str">
        <f>材料产出!$AN$2</f>
        <v>极品注灵石</v>
      </c>
      <c r="D4910" s="224">
        <f>材料产出!$AN$24/(基本属性!$A$24/(基本属性!$AS$24*1/3600))*材料产出!$D$24</f>
        <v>2.1904133472814571E-2</v>
      </c>
    </row>
    <row r="4911" spans="1:4" ht="16.5" x14ac:dyDescent="0.3">
      <c r="A4911" s="10" t="str">
        <f>基本属性!$B$25&amp;"|"&amp;基本属性!$C$25</f>
        <v>220|15</v>
      </c>
      <c r="B4911" s="10" t="str">
        <f>参数调整!$J$31</f>
        <v>小怪掉落</v>
      </c>
      <c r="C4911" s="8" t="str">
        <f>材料产出!$AN$2</f>
        <v>极品注灵石</v>
      </c>
      <c r="D4911" s="224">
        <f>材料产出!$AN$25/(基本属性!$A$25/(基本属性!$AS$25*1/3600))*材料产出!$D$25</f>
        <v>2.4504439258603572E-2</v>
      </c>
    </row>
    <row r="4912" spans="1:4" ht="16.5" x14ac:dyDescent="0.3">
      <c r="A4912" s="10" t="str">
        <f>基本属性!$B$26&amp;"|"&amp;基本属性!$C$26</f>
        <v>230|16</v>
      </c>
      <c r="B4912" s="10" t="str">
        <f>参数调整!$J$31</f>
        <v>小怪掉落</v>
      </c>
      <c r="C4912" s="8" t="str">
        <f>材料产出!$AN$2</f>
        <v>极品注灵石</v>
      </c>
      <c r="D4912" s="224">
        <f>材料产出!$AN$26/(基本属性!$A$26/(基本属性!$AS$26*1/3600))*材料产出!$D$26</f>
        <v>2.7250556583782618E-2</v>
      </c>
    </row>
    <row r="4913" spans="1:4" ht="16.5" x14ac:dyDescent="0.3">
      <c r="A4913" s="10" t="str">
        <f>基本属性!$B$27&amp;"|"&amp;基本属性!$C$27</f>
        <v>230|17</v>
      </c>
      <c r="B4913" s="10" t="str">
        <f>参数调整!$J$31</f>
        <v>小怪掉落</v>
      </c>
      <c r="C4913" s="8" t="str">
        <f>材料产出!$AN$2</f>
        <v>极品注灵石</v>
      </c>
      <c r="D4913" s="224">
        <f>材料产出!$AN$27/(基本属性!$A$27/(基本属性!$AS$27*1/3600))*材料产出!$D$27</f>
        <v>3.01424854483517E-2</v>
      </c>
    </row>
    <row r="4914" spans="1:4" ht="16.5" x14ac:dyDescent="0.3">
      <c r="A4914" s="10" t="str">
        <f>基本属性!$B$28&amp;"|"&amp;基本属性!$C$28</f>
        <v>240|18</v>
      </c>
      <c r="B4914" s="10" t="str">
        <f>参数调整!$J$31</f>
        <v>小怪掉落</v>
      </c>
      <c r="C4914" s="8" t="str">
        <f>材料产出!$AN$2</f>
        <v>极品注灵石</v>
      </c>
      <c r="D4914" s="224">
        <f>材料产出!$AN$28/(基本属性!$A$28/(基本属性!$AS$28*1/3600))*材料产出!$D$28</f>
        <v>3.3180225852310834E-2</v>
      </c>
    </row>
    <row r="4915" spans="1:4" ht="16.5" x14ac:dyDescent="0.3">
      <c r="A4915" s="10" t="str">
        <f>基本属性!$B$29&amp;"|"&amp;基本属性!$C$29</f>
        <v>240|19</v>
      </c>
      <c r="B4915" s="10" t="str">
        <f>参数调整!$J$31</f>
        <v>小怪掉落</v>
      </c>
      <c r="C4915" s="8" t="str">
        <f>材料产出!$AN$2</f>
        <v>极品注灵石</v>
      </c>
      <c r="D4915" s="224">
        <f>材料产出!$AN$29/(基本属性!$A$29/(基本属性!$AS$29*1/3600))*材料产出!$D$29</f>
        <v>3.6363777795659989E-2</v>
      </c>
    </row>
    <row r="4916" spans="1:4" ht="16.5" x14ac:dyDescent="0.3">
      <c r="A4916" s="10" t="str">
        <f>基本属性!$B$30&amp;"|"&amp;基本属性!$C$30</f>
        <v>250|20</v>
      </c>
      <c r="B4916" s="10" t="str">
        <f>参数调整!$J$31</f>
        <v>小怪掉落</v>
      </c>
      <c r="C4916" s="8" t="str">
        <f>材料产出!$AN$2</f>
        <v>极品注灵石</v>
      </c>
      <c r="D4916" s="224">
        <f>材料产出!$AN$30/(基本属性!$A$30/(基本属性!$AS$30*1/3600))*材料产出!$D$30</f>
        <v>3.9693141278399173E-2</v>
      </c>
    </row>
    <row r="4917" spans="1:4" ht="16.5" x14ac:dyDescent="0.3">
      <c r="A4917" s="10" t="str">
        <f>基本属性!$B$4&amp;"|"&amp;基本属性!$C$4</f>
        <v>35|0</v>
      </c>
      <c r="B4917" s="10" t="str">
        <f>参数调整!$J$31</f>
        <v>小怪掉落</v>
      </c>
      <c r="C4917" s="8" t="str">
        <f>材料产出!$HV$2</f>
        <v>基本装备</v>
      </c>
      <c r="D4917" s="225"/>
    </row>
    <row r="4918" spans="1:4" ht="16.5" x14ac:dyDescent="0.3">
      <c r="A4918" s="10" t="str">
        <f>基本属性!$B$5&amp;"|"&amp;基本属性!$C$5</f>
        <v>40|0</v>
      </c>
      <c r="B4918" s="10" t="str">
        <f>参数调整!$J$31</f>
        <v>小怪掉落</v>
      </c>
      <c r="C4918" s="8" t="str">
        <f>材料产出!$HV$2</f>
        <v>基本装备</v>
      </c>
      <c r="D4918" s="225"/>
    </row>
    <row r="4919" spans="1:4" ht="16.5" x14ac:dyDescent="0.3">
      <c r="A4919" s="10" t="str">
        <f>基本属性!$B$6&amp;"|"&amp;基本属性!$C$6</f>
        <v>50|0</v>
      </c>
      <c r="B4919" s="10" t="str">
        <f>参数调整!$J$31</f>
        <v>小怪掉落</v>
      </c>
      <c r="C4919" s="8" t="str">
        <f>材料产出!$HV$2</f>
        <v>基本装备</v>
      </c>
      <c r="D4919" s="225"/>
    </row>
    <row r="4920" spans="1:4" ht="16.5" x14ac:dyDescent="0.3">
      <c r="A4920" s="10" t="str">
        <f>基本属性!$B$7&amp;"|"&amp;基本属性!$C$7</f>
        <v>60|0</v>
      </c>
      <c r="B4920" s="10" t="str">
        <f>参数调整!$J$31</f>
        <v>小怪掉落</v>
      </c>
      <c r="C4920" s="8" t="str">
        <f>材料产出!$HV$2</f>
        <v>基本装备</v>
      </c>
      <c r="D4920" s="225"/>
    </row>
    <row r="4921" spans="1:4" ht="16.5" x14ac:dyDescent="0.3">
      <c r="A4921" s="10" t="str">
        <f>基本属性!$B$8&amp;"|"&amp;基本属性!$C$8</f>
        <v>65|0</v>
      </c>
      <c r="B4921" s="10" t="str">
        <f>参数调整!$J$31</f>
        <v>小怪掉落</v>
      </c>
      <c r="C4921" s="8" t="str">
        <f>材料产出!$HV$2</f>
        <v>基本装备</v>
      </c>
      <c r="D4921" s="225"/>
    </row>
    <row r="4922" spans="1:4" ht="16.5" x14ac:dyDescent="0.3">
      <c r="A4922" s="10" t="str">
        <f>基本属性!$B$9&amp;"|"&amp;基本属性!$C$9</f>
        <v>70|0</v>
      </c>
      <c r="B4922" s="10" t="str">
        <f>参数调整!$J$31</f>
        <v>小怪掉落</v>
      </c>
      <c r="C4922" s="8" t="str">
        <f>材料产出!$HV$2</f>
        <v>基本装备</v>
      </c>
      <c r="D4922" s="225"/>
    </row>
    <row r="4923" spans="1:4" ht="16.5" x14ac:dyDescent="0.3">
      <c r="A4923" s="10" t="str">
        <f>基本属性!$B$10&amp;"|"&amp;基本属性!$C$10</f>
        <v>75|0</v>
      </c>
      <c r="B4923" s="10" t="str">
        <f>参数调整!$J$31</f>
        <v>小怪掉落</v>
      </c>
      <c r="C4923" s="8" t="str">
        <f>材料产出!$HV$2</f>
        <v>基本装备</v>
      </c>
      <c r="D4923" s="225"/>
    </row>
    <row r="4924" spans="1:4" ht="16.5" x14ac:dyDescent="0.3">
      <c r="A4924" s="10" t="str">
        <f>基本属性!$B$11&amp;"|"&amp;基本属性!$C$11</f>
        <v>80|1</v>
      </c>
      <c r="B4924" s="10" t="str">
        <f>参数调整!$J$31</f>
        <v>小怪掉落</v>
      </c>
      <c r="C4924" s="8" t="str">
        <f>材料产出!$HV$2</f>
        <v>基本装备</v>
      </c>
      <c r="D4924" s="225"/>
    </row>
    <row r="4925" spans="1:4" ht="16.5" x14ac:dyDescent="0.3">
      <c r="A4925" s="10" t="str">
        <f>基本属性!$B$12&amp;"|"&amp;基本属性!$C$12</f>
        <v>90|2</v>
      </c>
      <c r="B4925" s="10" t="str">
        <f>参数调整!$J$31</f>
        <v>小怪掉落</v>
      </c>
      <c r="C4925" s="8" t="str">
        <f>材料产出!$HV$2</f>
        <v>基本装备</v>
      </c>
      <c r="D4925" s="225"/>
    </row>
    <row r="4926" spans="1:4" ht="16.5" x14ac:dyDescent="0.3">
      <c r="A4926" s="10" t="str">
        <f>基本属性!$B$13&amp;"|"&amp;基本属性!$C$13</f>
        <v>100|3</v>
      </c>
      <c r="B4926" s="10" t="str">
        <f>参数调整!$J$31</f>
        <v>小怪掉落</v>
      </c>
      <c r="C4926" s="8" t="str">
        <f>材料产出!$HV$2</f>
        <v>基本装备</v>
      </c>
      <c r="D4926" s="225"/>
    </row>
    <row r="4927" spans="1:4" ht="16.5" x14ac:dyDescent="0.3">
      <c r="A4927" s="10" t="str">
        <f>基本属性!$B$14&amp;"|"&amp;基本属性!$C$14</f>
        <v>105|4</v>
      </c>
      <c r="B4927" s="10" t="str">
        <f>参数调整!$J$31</f>
        <v>小怪掉落</v>
      </c>
      <c r="C4927" s="8" t="str">
        <f>材料产出!$HV$2</f>
        <v>基本装备</v>
      </c>
      <c r="D4927" s="225"/>
    </row>
    <row r="4928" spans="1:4" ht="16.5" x14ac:dyDescent="0.3">
      <c r="A4928" s="10" t="str">
        <f>基本属性!$B$15&amp;"|"&amp;基本属性!$C$15</f>
        <v>110|5</v>
      </c>
      <c r="B4928" s="10" t="str">
        <f>参数调整!$J$31</f>
        <v>小怪掉落</v>
      </c>
      <c r="C4928" s="8" t="str">
        <f>材料产出!$HV$2</f>
        <v>基本装备</v>
      </c>
      <c r="D4928" s="225"/>
    </row>
    <row r="4929" spans="1:4" ht="16.5" x14ac:dyDescent="0.3">
      <c r="A4929" s="10" t="str">
        <f>基本属性!$B$16&amp;"|"&amp;基本属性!$C$16</f>
        <v>120|6</v>
      </c>
      <c r="B4929" s="10" t="str">
        <f>参数调整!$J$31</f>
        <v>小怪掉落</v>
      </c>
      <c r="C4929" s="8" t="str">
        <f>材料产出!$HV$2</f>
        <v>基本装备</v>
      </c>
      <c r="D4929" s="225"/>
    </row>
    <row r="4930" spans="1:4" ht="16.5" x14ac:dyDescent="0.3">
      <c r="A4930" s="10" t="str">
        <f>基本属性!$B$17&amp;"|"&amp;基本属性!$C$17</f>
        <v>135|7</v>
      </c>
      <c r="B4930" s="10" t="str">
        <f>参数调整!$J$31</f>
        <v>小怪掉落</v>
      </c>
      <c r="C4930" s="8" t="str">
        <f>材料产出!$HV$2</f>
        <v>基本装备</v>
      </c>
      <c r="D4930" s="225"/>
    </row>
    <row r="4931" spans="1:4" ht="16.5" x14ac:dyDescent="0.3">
      <c r="A4931" s="10" t="str">
        <f>基本属性!$B$18&amp;"|"&amp;基本属性!$C$18</f>
        <v>155|8</v>
      </c>
      <c r="B4931" s="10" t="str">
        <f>参数调整!$J$31</f>
        <v>小怪掉落</v>
      </c>
      <c r="C4931" s="8" t="str">
        <f>材料产出!$HV$2</f>
        <v>基本装备</v>
      </c>
      <c r="D4931" s="225"/>
    </row>
    <row r="4932" spans="1:4" ht="16.5" x14ac:dyDescent="0.3">
      <c r="A4932" s="10" t="str">
        <f>基本属性!$B$19&amp;"|"&amp;基本属性!$C$19</f>
        <v>190|9</v>
      </c>
      <c r="B4932" s="10" t="str">
        <f>参数调整!$J$31</f>
        <v>小怪掉落</v>
      </c>
      <c r="C4932" s="8" t="str">
        <f>材料产出!$HV$2</f>
        <v>基本装备</v>
      </c>
      <c r="D4932" s="225"/>
    </row>
    <row r="4933" spans="1:4" ht="16.5" x14ac:dyDescent="0.3">
      <c r="A4933" s="10" t="str">
        <f>基本属性!$B$20&amp;"|"&amp;基本属性!$C$20</f>
        <v>200|10</v>
      </c>
      <c r="B4933" s="10" t="str">
        <f>参数调整!$J$31</f>
        <v>小怪掉落</v>
      </c>
      <c r="C4933" s="8" t="str">
        <f>材料产出!$HV$2</f>
        <v>基本装备</v>
      </c>
      <c r="D4933" s="225"/>
    </row>
    <row r="4934" spans="1:4" ht="16.5" x14ac:dyDescent="0.3">
      <c r="A4934" s="10" t="str">
        <f>基本属性!$B$21&amp;"|"&amp;基本属性!$C$21</f>
        <v>200|11</v>
      </c>
      <c r="B4934" s="10" t="str">
        <f>参数调整!$J$31</f>
        <v>小怪掉落</v>
      </c>
      <c r="C4934" s="8" t="str">
        <f>材料产出!$HV$2</f>
        <v>基本装备</v>
      </c>
      <c r="D4934" s="225"/>
    </row>
    <row r="4935" spans="1:4" ht="16.5" x14ac:dyDescent="0.3">
      <c r="A4935" s="10" t="str">
        <f>基本属性!$B$22&amp;"|"&amp;基本属性!$C$22</f>
        <v>210|12</v>
      </c>
      <c r="B4935" s="10" t="str">
        <f>参数调整!$J$31</f>
        <v>小怪掉落</v>
      </c>
      <c r="C4935" s="8" t="str">
        <f>材料产出!$HV$2</f>
        <v>基本装备</v>
      </c>
      <c r="D4935" s="225"/>
    </row>
    <row r="4936" spans="1:4" ht="16.5" x14ac:dyDescent="0.3">
      <c r="A4936" s="10" t="str">
        <f>基本属性!$B$23&amp;"|"&amp;基本属性!$C$23</f>
        <v>210|13</v>
      </c>
      <c r="B4936" s="10" t="str">
        <f>参数调整!$J$31</f>
        <v>小怪掉落</v>
      </c>
      <c r="C4936" s="8" t="str">
        <f>材料产出!$HV$2</f>
        <v>基本装备</v>
      </c>
      <c r="D4936" s="225"/>
    </row>
    <row r="4937" spans="1:4" ht="16.5" x14ac:dyDescent="0.3">
      <c r="A4937" s="10" t="str">
        <f>基本属性!$B$24&amp;"|"&amp;基本属性!$C$24</f>
        <v>220|14</v>
      </c>
      <c r="B4937" s="10" t="str">
        <f>参数调整!$J$31</f>
        <v>小怪掉落</v>
      </c>
      <c r="C4937" s="8" t="str">
        <f>材料产出!$HV$2</f>
        <v>基本装备</v>
      </c>
      <c r="D4937" s="225"/>
    </row>
    <row r="4938" spans="1:4" ht="16.5" x14ac:dyDescent="0.3">
      <c r="A4938" s="10" t="str">
        <f>基本属性!$B$25&amp;"|"&amp;基本属性!$C$25</f>
        <v>220|15</v>
      </c>
      <c r="B4938" s="10" t="str">
        <f>参数调整!$J$31</f>
        <v>小怪掉落</v>
      </c>
      <c r="C4938" s="8" t="str">
        <f>材料产出!$HV$2</f>
        <v>基本装备</v>
      </c>
      <c r="D4938" s="225"/>
    </row>
    <row r="4939" spans="1:4" ht="16.5" x14ac:dyDescent="0.3">
      <c r="A4939" s="10" t="str">
        <f>基本属性!$B$26&amp;"|"&amp;基本属性!$C$26</f>
        <v>230|16</v>
      </c>
      <c r="B4939" s="10" t="str">
        <f>参数调整!$J$31</f>
        <v>小怪掉落</v>
      </c>
      <c r="C4939" s="8" t="str">
        <f>材料产出!$HV$2</f>
        <v>基本装备</v>
      </c>
      <c r="D4939" s="225"/>
    </row>
    <row r="4940" spans="1:4" ht="16.5" x14ac:dyDescent="0.3">
      <c r="A4940" s="10" t="str">
        <f>基本属性!$B$27&amp;"|"&amp;基本属性!$C$27</f>
        <v>230|17</v>
      </c>
      <c r="B4940" s="10" t="str">
        <f>参数调整!$J$31</f>
        <v>小怪掉落</v>
      </c>
      <c r="C4940" s="8" t="str">
        <f>材料产出!$HV$2</f>
        <v>基本装备</v>
      </c>
      <c r="D4940" s="225"/>
    </row>
    <row r="4941" spans="1:4" ht="16.5" x14ac:dyDescent="0.3">
      <c r="A4941" s="10" t="str">
        <f>基本属性!$B$28&amp;"|"&amp;基本属性!$C$28</f>
        <v>240|18</v>
      </c>
      <c r="B4941" s="10" t="str">
        <f>参数调整!$J$31</f>
        <v>小怪掉落</v>
      </c>
      <c r="C4941" s="8" t="str">
        <f>材料产出!$HV$2</f>
        <v>基本装备</v>
      </c>
      <c r="D4941" s="225"/>
    </row>
    <row r="4942" spans="1:4" ht="16.5" x14ac:dyDescent="0.3">
      <c r="A4942" s="10" t="str">
        <f>基本属性!$B$29&amp;"|"&amp;基本属性!$C$29</f>
        <v>240|19</v>
      </c>
      <c r="B4942" s="10" t="str">
        <f>参数调整!$J$31</f>
        <v>小怪掉落</v>
      </c>
      <c r="C4942" s="8" t="str">
        <f>材料产出!$HV$2</f>
        <v>基本装备</v>
      </c>
      <c r="D4942" s="225"/>
    </row>
    <row r="4943" spans="1:4" ht="16.5" x14ac:dyDescent="0.3">
      <c r="A4943" s="10" t="str">
        <f>基本属性!$B$30&amp;"|"&amp;基本属性!$C$30</f>
        <v>250|20</v>
      </c>
      <c r="B4943" s="10" t="str">
        <f>参数调整!$J$31</f>
        <v>小怪掉落</v>
      </c>
      <c r="C4943" s="8" t="str">
        <f>材料产出!$HV$2</f>
        <v>基本装备</v>
      </c>
      <c r="D4943" s="225"/>
    </row>
    <row r="4944" spans="1:4" ht="16.5" x14ac:dyDescent="0.3">
      <c r="A4944" s="10" t="str">
        <f>基本属性!$B$4&amp;"|"&amp;基本属性!$C$4</f>
        <v>35|0</v>
      </c>
      <c r="B4944" s="10" t="str">
        <f>参数调整!$J$31</f>
        <v>小怪掉落</v>
      </c>
      <c r="C4944" s="8" t="str">
        <f>材料产出!$AP$2</f>
        <v>火龙气息</v>
      </c>
      <c r="D4944" s="224">
        <f>材料产出!$AP$4/(基本属性!$A$4/(基本属性!$AS$4*1/3600))*材料产出!$D$4</f>
        <v>2.4596837411295849E-4</v>
      </c>
    </row>
    <row r="4945" spans="1:4" ht="16.5" x14ac:dyDescent="0.3">
      <c r="A4945" s="10" t="str">
        <f>基本属性!$B$5&amp;"|"&amp;基本属性!$C$5</f>
        <v>40|0</v>
      </c>
      <c r="B4945" s="10" t="str">
        <f>参数调整!$J$31</f>
        <v>小怪掉落</v>
      </c>
      <c r="C4945" s="8" t="str">
        <f>材料产出!$AP$2</f>
        <v>火龙气息</v>
      </c>
      <c r="D4945" s="224">
        <f>材料产出!$AP$5/(基本属性!$A$5/(基本属性!$AS$5*1/3600))*材料产出!$D$5</f>
        <v>3.1130372348671311E-4</v>
      </c>
    </row>
    <row r="4946" spans="1:4" ht="16.5" x14ac:dyDescent="0.3">
      <c r="A4946" s="10" t="str">
        <f>基本属性!$B$6&amp;"|"&amp;基本属性!$C$6</f>
        <v>50|0</v>
      </c>
      <c r="B4946" s="10" t="str">
        <f>参数调整!$J$31</f>
        <v>小怪掉落</v>
      </c>
      <c r="C4946" s="8" t="str">
        <f>材料产出!$AP$2</f>
        <v>火龙气息</v>
      </c>
      <c r="D4946" s="224">
        <f>材料产出!$AP$6/(基本属性!$A$6/(基本属性!$AS$6*1/3600))*材料产出!$D$6</f>
        <v>3.8432558455149768E-4</v>
      </c>
    </row>
    <row r="4947" spans="1:4" ht="16.5" x14ac:dyDescent="0.3">
      <c r="A4947" s="10" t="str">
        <f>基本属性!$B$7&amp;"|"&amp;基本属性!$C$7</f>
        <v>60|0</v>
      </c>
      <c r="B4947" s="10" t="str">
        <f>参数调整!$J$31</f>
        <v>小怪掉落</v>
      </c>
      <c r="C4947" s="8" t="str">
        <f>材料产出!$AP$2</f>
        <v>火龙气息</v>
      </c>
      <c r="D4947" s="224">
        <f>材料产出!$AP$7/(基本属性!$A$7/(基本属性!$AS$7*1/3600))*材料产出!$D$7</f>
        <v>4.6503395730731226E-4</v>
      </c>
    </row>
    <row r="4948" spans="1:4" ht="16.5" x14ac:dyDescent="0.3">
      <c r="A4948" s="10" t="str">
        <f>基本属性!$B$8&amp;"|"&amp;基本属性!$C$8</f>
        <v>65|0</v>
      </c>
      <c r="B4948" s="10" t="str">
        <f>参数调整!$J$31</f>
        <v>小怪掉落</v>
      </c>
      <c r="C4948" s="8" t="str">
        <f>材料产出!$AP$2</f>
        <v>火龙气息</v>
      </c>
      <c r="D4948" s="224">
        <f>材料产出!$AP$8/(基本属性!$A$8/(基本属性!$AS$8*1/3600))*材料产出!$D$8</f>
        <v>5.5342884175415663E-4</v>
      </c>
    </row>
    <row r="4949" spans="1:4" ht="16.5" x14ac:dyDescent="0.3">
      <c r="A4949" s="10" t="str">
        <f>基本属性!$B$9&amp;"|"&amp;基本属性!$C$9</f>
        <v>70|0</v>
      </c>
      <c r="B4949" s="10" t="str">
        <f>参数调整!$J$31</f>
        <v>小怪掉落</v>
      </c>
      <c r="C4949" s="8" t="str">
        <f>材料产出!$AP$2</f>
        <v>火龙气息</v>
      </c>
      <c r="D4949" s="224">
        <f>材料产出!$AP$9/(基本属性!$A$9/(基本属性!$AS$9*1/3600))*材料产出!$D$9</f>
        <v>6.4951023789203101E-4</v>
      </c>
    </row>
    <row r="4950" spans="1:4" ht="16.5" x14ac:dyDescent="0.3">
      <c r="A4950" s="10" t="str">
        <f>基本属性!$B$10&amp;"|"&amp;基本属性!$C$10</f>
        <v>75|0</v>
      </c>
      <c r="B4950" s="10" t="str">
        <f>参数调整!$J$31</f>
        <v>小怪掉落</v>
      </c>
      <c r="C4950" s="8" t="str">
        <f>材料产出!$AP$2</f>
        <v>火龙气息</v>
      </c>
      <c r="D4950" s="224">
        <f>材料产出!$AP$10/(基本属性!$A$10/(基本属性!$AS$10*1/3600))*材料产出!$D$10</f>
        <v>7.5327814572093523E-4</v>
      </c>
    </row>
    <row r="4951" spans="1:4" ht="16.5" x14ac:dyDescent="0.3">
      <c r="A4951" s="10" t="str">
        <f>基本属性!$B$11&amp;"|"&amp;基本属性!$C$11</f>
        <v>80|1</v>
      </c>
      <c r="B4951" s="10" t="str">
        <f>参数调整!$J$31</f>
        <v>小怪掉落</v>
      </c>
      <c r="C4951" s="8" t="str">
        <f>材料产出!$AP$2</f>
        <v>火龙气息</v>
      </c>
      <c r="D4951" s="224">
        <f>材料产出!$AP$11/(基本属性!$A$11/(基本属性!$AS$11*1/3600))*材料产出!$D$11</f>
        <v>8.6473256524086974E-4</v>
      </c>
    </row>
    <row r="4952" spans="1:4" ht="16.5" x14ac:dyDescent="0.3">
      <c r="A4952" s="10" t="str">
        <f>基本属性!$B$12&amp;"|"&amp;基本属性!$C$12</f>
        <v>90|2</v>
      </c>
      <c r="B4952" s="10" t="str">
        <f>参数调整!$J$31</f>
        <v>小怪掉落</v>
      </c>
      <c r="C4952" s="8" t="str">
        <f>材料产出!$AP$2</f>
        <v>火龙气息</v>
      </c>
      <c r="D4952" s="224">
        <f>材料产出!$AP$12/(基本属性!$A$12/(基本属性!$AS$12*1/3600))*材料产出!$D$12</f>
        <v>9.8387349645183398E-4</v>
      </c>
    </row>
    <row r="4953" spans="1:4" ht="16.5" x14ac:dyDescent="0.3">
      <c r="A4953" s="10" t="str">
        <f>基本属性!$B$13&amp;"|"&amp;基本属性!$C$13</f>
        <v>100|3</v>
      </c>
      <c r="B4953" s="10" t="str">
        <f>参数调整!$J$31</f>
        <v>小怪掉落</v>
      </c>
      <c r="C4953" s="8" t="str">
        <f>材料产出!$AP$2</f>
        <v>火龙气息</v>
      </c>
      <c r="D4953" s="224">
        <f>材料产出!$AP$13/(基本属性!$A$13/(基本属性!$AS$13*1/3600))*材料产出!$D$13</f>
        <v>1.2452148939468524E-3</v>
      </c>
    </row>
    <row r="4954" spans="1:4" ht="16.5" x14ac:dyDescent="0.3">
      <c r="A4954" s="10" t="str">
        <f>基本属性!$B$14&amp;"|"&amp;基本属性!$C$14</f>
        <v>105|4</v>
      </c>
      <c r="B4954" s="10" t="str">
        <f>参数调整!$J$31</f>
        <v>小怪掉落</v>
      </c>
      <c r="C4954" s="8" t="str">
        <f>材料产出!$AP$2</f>
        <v>火龙气息</v>
      </c>
      <c r="D4954" s="224">
        <f>材料产出!$AP$14/(基本属性!$A$14/(基本属性!$AS$14*1/3600))*材料产出!$D$14</f>
        <v>1.5373023382059907E-3</v>
      </c>
    </row>
    <row r="4955" spans="1:4" ht="16.5" x14ac:dyDescent="0.3">
      <c r="A4955" s="10" t="str">
        <f>基本属性!$B$15&amp;"|"&amp;基本属性!$C$15</f>
        <v>110|5</v>
      </c>
      <c r="B4955" s="10" t="str">
        <f>参数调整!$J$31</f>
        <v>小怪掉落</v>
      </c>
      <c r="C4955" s="8" t="str">
        <f>材料产出!$AP$2</f>
        <v>火龙气息</v>
      </c>
      <c r="D4955" s="224">
        <f>材料产出!$AP$15/(基本属性!$A$15/(基本属性!$AS$15*1/3600))*材料产出!$D$15</f>
        <v>1.860135829229249E-3</v>
      </c>
    </row>
    <row r="4956" spans="1:4" ht="16.5" x14ac:dyDescent="0.3">
      <c r="A4956" s="10" t="str">
        <f>基本属性!$B$16&amp;"|"&amp;基本属性!$C$16</f>
        <v>120|6</v>
      </c>
      <c r="B4956" s="10" t="str">
        <f>参数调整!$J$31</f>
        <v>小怪掉落</v>
      </c>
      <c r="C4956" s="8" t="str">
        <f>材料产出!$AP$2</f>
        <v>火龙气息</v>
      </c>
      <c r="D4956" s="224">
        <f>材料产出!$AP$16/(基本属性!$A$16/(基本属性!$AS$16*1/3600))*材料产出!$D$16</f>
        <v>2.4020349034468602E-3</v>
      </c>
    </row>
    <row r="4957" spans="1:4" ht="16.5" x14ac:dyDescent="0.3">
      <c r="A4957" s="10" t="str">
        <f>基本属性!$B$17&amp;"|"&amp;基本属性!$C$17</f>
        <v>135|7</v>
      </c>
      <c r="B4957" s="10" t="str">
        <f>参数调整!$J$31</f>
        <v>小怪掉落</v>
      </c>
      <c r="C4957" s="8" t="str">
        <f>材料产出!$AP$2</f>
        <v>火龙气息</v>
      </c>
      <c r="D4957" s="224">
        <f>材料产出!$AP$17/(基本属性!$A$17/(基本属性!$AS$17*1/3600))*材料产出!$D$17</f>
        <v>3.4589302609634789E-3</v>
      </c>
    </row>
    <row r="4958" spans="1:4" ht="16.5" x14ac:dyDescent="0.3">
      <c r="A4958" s="10" t="str">
        <f>基本属性!$B$18&amp;"|"&amp;基本属性!$C$18</f>
        <v>155|8</v>
      </c>
      <c r="B4958" s="10" t="str">
        <f>参数调整!$J$31</f>
        <v>小怪掉落</v>
      </c>
      <c r="C4958" s="8" t="str">
        <f>材料产出!$AP$2</f>
        <v>火龙气息</v>
      </c>
      <c r="D4958" s="224">
        <f>材料产出!$AP$18/(基本属性!$A$18/(基本属性!$AS$18*1/3600))*材料产出!$D$18</f>
        <v>4.7079884107558466E-3</v>
      </c>
    </row>
    <row r="4959" spans="1:4" ht="16.5" x14ac:dyDescent="0.3">
      <c r="A4959" s="10" t="str">
        <f>基本属性!$B$19&amp;"|"&amp;基本属性!$C$19</f>
        <v>190|9</v>
      </c>
      <c r="B4959" s="10" t="str">
        <f>参数调整!$J$31</f>
        <v>小怪掉落</v>
      </c>
      <c r="C4959" s="8" t="str">
        <f>材料产出!$AP$2</f>
        <v>火龙气息</v>
      </c>
      <c r="D4959" s="224">
        <f>材料产出!$AP$19/(基本属性!$A$19/(基本属性!$AS$19*1/3600))*材料产出!$D$19</f>
        <v>5.2614172525100034E-3</v>
      </c>
    </row>
    <row r="4960" spans="1:4" ht="16.5" x14ac:dyDescent="0.3">
      <c r="A4960" s="10" t="str">
        <f>基本属性!$B$20&amp;"|"&amp;基本属性!$C$20</f>
        <v>200|10</v>
      </c>
      <c r="B4960" s="10" t="str">
        <f>参数调整!$J$31</f>
        <v>小怪掉落</v>
      </c>
      <c r="C4960" s="8" t="str">
        <f>材料产出!$AP$2</f>
        <v>火龙气息</v>
      </c>
      <c r="D4960" s="224">
        <f>材料产出!$AP$20/(基本属性!$A$20/(基本属性!$AS$20*1/3600))*材料产出!$D$20</f>
        <v>6.1492093528239629E-3</v>
      </c>
    </row>
    <row r="4961" spans="1:4" ht="16.5" x14ac:dyDescent="0.3">
      <c r="A4961" s="10" t="str">
        <f>基本属性!$B$21&amp;"|"&amp;基本属性!$C$21</f>
        <v>200|11</v>
      </c>
      <c r="B4961" s="10" t="str">
        <f>参数调整!$J$31</f>
        <v>小怪掉落</v>
      </c>
      <c r="C4961" s="8" t="str">
        <f>材料产出!$AP$2</f>
        <v>火龙气息</v>
      </c>
      <c r="D4961" s="224">
        <f>材料产出!$AP$21/(基本属性!$A$21/(基本属性!$AS$21*1/3600))*材料产出!$D$21</f>
        <v>7.1061800583571907E-3</v>
      </c>
    </row>
    <row r="4962" spans="1:4" ht="16.5" x14ac:dyDescent="0.3">
      <c r="A4962" s="10" t="str">
        <f>基本属性!$B$22&amp;"|"&amp;基本属性!$C$22</f>
        <v>210|12</v>
      </c>
      <c r="B4962" s="10" t="str">
        <f>参数调整!$J$31</f>
        <v>小怪掉落</v>
      </c>
      <c r="C4962" s="8" t="str">
        <f>材料产出!$AP$2</f>
        <v>火龙气息</v>
      </c>
      <c r="D4962" s="224">
        <f>材料产出!$AP$22/(基本属性!$A$22/(基本属性!$AS$22*1/3600))*材料产出!$D$22</f>
        <v>8.1323293691096879E-3</v>
      </c>
    </row>
    <row r="4963" spans="1:4" ht="16.5" x14ac:dyDescent="0.3">
      <c r="A4963" s="10" t="str">
        <f>基本属性!$B$23&amp;"|"&amp;基本属性!$C$23</f>
        <v>210|13</v>
      </c>
      <c r="B4963" s="10" t="str">
        <f>参数调整!$J$31</f>
        <v>小怪掉落</v>
      </c>
      <c r="C4963" s="8" t="str">
        <f>材料产出!$AP$2</f>
        <v>火龙气息</v>
      </c>
      <c r="D4963" s="224">
        <f>材料产出!$AP$23/(基本属性!$A$23/(基本属性!$AS$23*1/3600))*材料产出!$D$23</f>
        <v>9.2276572850814604E-3</v>
      </c>
    </row>
    <row r="4964" spans="1:4" ht="16.5" x14ac:dyDescent="0.3">
      <c r="A4964" s="10" t="str">
        <f>基本属性!$B$24&amp;"|"&amp;基本属性!$C$24</f>
        <v>220|14</v>
      </c>
      <c r="B4964" s="10" t="str">
        <f>参数调整!$J$31</f>
        <v>小怪掉落</v>
      </c>
      <c r="C4964" s="8" t="str">
        <f>材料产出!$AP$2</f>
        <v>火龙气息</v>
      </c>
      <c r="D4964" s="224">
        <f>材料产出!$AP$24/(基本属性!$A$24/(基本属性!$AS$24*1/3600))*材料产出!$D$24</f>
        <v>1.0392163806272496E-2</v>
      </c>
    </row>
    <row r="4965" spans="1:4" ht="16.5" x14ac:dyDescent="0.3">
      <c r="A4965" s="10" t="str">
        <f>基本属性!$B$25&amp;"|"&amp;基本属性!$C$25</f>
        <v>220|15</v>
      </c>
      <c r="B4965" s="10" t="str">
        <f>参数调整!$J$31</f>
        <v>小怪掉落</v>
      </c>
      <c r="C4965" s="8" t="str">
        <f>材料产出!$AP$2</f>
        <v>火龙气息</v>
      </c>
      <c r="D4965" s="224">
        <f>材料产出!$AP$25/(基本属性!$A$25/(基本属性!$AS$25*1/3600))*材料产出!$D$25</f>
        <v>1.1625848932682804E-2</v>
      </c>
    </row>
    <row r="4966" spans="1:4" ht="16.5" x14ac:dyDescent="0.3">
      <c r="A4966" s="10" t="str">
        <f>基本属性!$B$26&amp;"|"&amp;基本属性!$C$26</f>
        <v>230|16</v>
      </c>
      <c r="B4966" s="10" t="str">
        <f>参数调整!$J$31</f>
        <v>小怪掉落</v>
      </c>
      <c r="C4966" s="8" t="str">
        <f>材料产出!$AP$2</f>
        <v>火龙气息</v>
      </c>
      <c r="D4966" s="224">
        <f>材料产出!$AP$26/(基本属性!$A$26/(基本属性!$AS$26*1/3600))*材料产出!$D$26</f>
        <v>1.292871266431238E-2</v>
      </c>
    </row>
    <row r="4967" spans="1:4" ht="16.5" x14ac:dyDescent="0.3">
      <c r="A4967" s="10" t="str">
        <f>基本属性!$B$27&amp;"|"&amp;基本属性!$C$27</f>
        <v>230|17</v>
      </c>
      <c r="B4967" s="10" t="str">
        <f>参数调整!$J$31</f>
        <v>小怪掉落</v>
      </c>
      <c r="C4967" s="8" t="str">
        <f>材料产出!$AP$2</f>
        <v>火龙气息</v>
      </c>
      <c r="D4967" s="224">
        <f>材料产出!$AP$27/(基本属性!$A$27/(基本属性!$AS$27*1/3600))*材料产出!$D$27</f>
        <v>1.4300755001161226E-2</v>
      </c>
    </row>
    <row r="4968" spans="1:4" ht="16.5" x14ac:dyDescent="0.3">
      <c r="A4968" s="10" t="str">
        <f>基本属性!$B$28&amp;"|"&amp;基本属性!$C$28</f>
        <v>240|18</v>
      </c>
      <c r="B4968" s="10" t="str">
        <f>参数调整!$J$31</f>
        <v>小怪掉落</v>
      </c>
      <c r="C4968" s="8" t="str">
        <f>材料产出!$AP$2</f>
        <v>火龙气息</v>
      </c>
      <c r="D4968" s="224">
        <f>材料产出!$AP$28/(基本属性!$A$28/(基本属性!$AS$28*1/3600))*材料产出!$D$28</f>
        <v>1.5741975943229344E-2</v>
      </c>
    </row>
    <row r="4969" spans="1:4" ht="16.5" x14ac:dyDescent="0.3">
      <c r="A4969" s="10" t="str">
        <f>基本属性!$B$29&amp;"|"&amp;基本属性!$C$29</f>
        <v>240|19</v>
      </c>
      <c r="B4969" s="10" t="str">
        <f>参数调整!$J$31</f>
        <v>小怪掉落</v>
      </c>
      <c r="C4969" s="8" t="str">
        <f>材料产出!$AP$2</f>
        <v>火龙气息</v>
      </c>
      <c r="D4969" s="224">
        <f>材料产出!$AP$29/(基本属性!$A$29/(基本属性!$AS$29*1/3600))*材料产出!$D$29</f>
        <v>1.7252375490516732E-2</v>
      </c>
    </row>
    <row r="4970" spans="1:4" ht="16.5" x14ac:dyDescent="0.3">
      <c r="A4970" s="10" t="str">
        <f>基本属性!$B$30&amp;"|"&amp;基本属性!$C$30</f>
        <v>250|20</v>
      </c>
      <c r="B4970" s="10" t="str">
        <f>参数调整!$J$31</f>
        <v>小怪掉落</v>
      </c>
      <c r="C4970" s="8" t="str">
        <f>材料产出!$AP$2</f>
        <v>火龙气息</v>
      </c>
      <c r="D4970" s="224">
        <f>材料产出!$AP$30/(基本属性!$A$30/(基本属性!$AS$30*1/3600))*材料产出!$D$30</f>
        <v>1.8831953643023383E-2</v>
      </c>
    </row>
    <row r="4971" spans="1:4" ht="16.5" x14ac:dyDescent="0.3">
      <c r="A4971" s="10" t="str">
        <f>基本属性!$B$4&amp;"|"&amp;基本属性!$C$4</f>
        <v>35|0</v>
      </c>
      <c r="B4971" s="10" t="str">
        <f>参数调整!$J$31</f>
        <v>小怪掉落</v>
      </c>
      <c r="C4971" s="8" t="str">
        <f>材料产出!$N$2</f>
        <v>火龙凭证</v>
      </c>
      <c r="D4971" s="224">
        <f>材料产出!$N$4/(基本属性!$A$4/(基本属性!$AS$4*1/3600))*材料产出!$D$4</f>
        <v>6.4950093732583473E-3</v>
      </c>
    </row>
    <row r="4972" spans="1:4" ht="16.5" x14ac:dyDescent="0.3">
      <c r="A4972" s="10" t="str">
        <f>基本属性!$B$5&amp;"|"&amp;基本属性!$C$5</f>
        <v>40|0</v>
      </c>
      <c r="B4972" s="10" t="str">
        <f>参数调整!$J$31</f>
        <v>小怪掉落</v>
      </c>
      <c r="C4972" s="8" t="str">
        <f>材料产出!$N$2</f>
        <v>火龙凭证</v>
      </c>
      <c r="D4972" s="224">
        <f>材料产出!$N$5/(基本属性!$A$5/(基本属性!$AS$5*1/3600))*材料产出!$D$5</f>
        <v>8.2202462380300961E-3</v>
      </c>
    </row>
    <row r="4973" spans="1:4" ht="16.5" x14ac:dyDescent="0.3">
      <c r="A4973" s="10" t="str">
        <f>基本属性!$B$6&amp;"|"&amp;基本属性!$C$6</f>
        <v>50|0</v>
      </c>
      <c r="B4973" s="10" t="str">
        <f>参数调整!$J$31</f>
        <v>小怪掉落</v>
      </c>
      <c r="C4973" s="8" t="str">
        <f>材料产出!$N$2</f>
        <v>火龙凭证</v>
      </c>
      <c r="D4973" s="224">
        <f>材料产出!$N$6/(基本属性!$A$6/(基本属性!$AS$6*1/3600))*材料产出!$D$6</f>
        <v>1.0148452145716167E-2</v>
      </c>
    </row>
    <row r="4974" spans="1:4" ht="16.5" x14ac:dyDescent="0.3">
      <c r="A4974" s="10" t="str">
        <f>基本属性!$B$7&amp;"|"&amp;基本属性!$C$7</f>
        <v>60|0</v>
      </c>
      <c r="B4974" s="10" t="str">
        <f>参数调整!$J$31</f>
        <v>小怪掉落</v>
      </c>
      <c r="C4974" s="8" t="str">
        <f>材料产出!$N$2</f>
        <v>火龙凭证</v>
      </c>
      <c r="D4974" s="224">
        <f>材料产出!$N$7/(基本属性!$A$7/(基本属性!$AS$7*1/3600))*材料产出!$D$7</f>
        <v>1.2279627096316564E-2</v>
      </c>
    </row>
    <row r="4975" spans="1:4" ht="16.5" x14ac:dyDescent="0.3">
      <c r="A4975" s="10" t="str">
        <f>基本属性!$B$8&amp;"|"&amp;基本属性!$C$8</f>
        <v>65|0</v>
      </c>
      <c r="B4975" s="10" t="str">
        <f>参数调整!$J$31</f>
        <v>小怪掉落</v>
      </c>
      <c r="C4975" s="8" t="str">
        <f>材料产出!$N$2</f>
        <v>火龙凭证</v>
      </c>
      <c r="D4975" s="224">
        <f>材料产出!$N$8/(基本属性!$A$8/(基本属性!$AS$8*1/3600))*材料产出!$D$8</f>
        <v>1.4613771089831281E-2</v>
      </c>
    </row>
    <row r="4976" spans="1:4" ht="16.5" x14ac:dyDescent="0.3">
      <c r="A4976" s="10" t="str">
        <f>基本属性!$B$9&amp;"|"&amp;基本属性!$C$9</f>
        <v>70|0</v>
      </c>
      <c r="B4976" s="10" t="str">
        <f>参数调整!$J$31</f>
        <v>小怪掉落</v>
      </c>
      <c r="C4976" s="8" t="str">
        <f>材料产出!$N$2</f>
        <v>火龙凭证</v>
      </c>
      <c r="D4976" s="224">
        <f>材料产出!$N$9/(基本属性!$A$9/(基本属性!$AS$9*1/3600))*材料产出!$D$9</f>
        <v>1.7150884126260323E-2</v>
      </c>
    </row>
    <row r="4977" spans="1:4" ht="16.5" x14ac:dyDescent="0.3">
      <c r="A4977" s="10" t="str">
        <f>基本属性!$B$10&amp;"|"&amp;基本属性!$C$10</f>
        <v>75|0</v>
      </c>
      <c r="B4977" s="10" t="str">
        <f>参数调整!$J$31</f>
        <v>小怪掉落</v>
      </c>
      <c r="C4977" s="8" t="str">
        <f>材料产出!$N$2</f>
        <v>火龙凭证</v>
      </c>
      <c r="D4977" s="224">
        <f>材料产出!$N$10/(基本属性!$A$10/(基本属性!$AS$10*1/3600))*材料产出!$D$10</f>
        <v>1.9890966205603686E-2</v>
      </c>
    </row>
    <row r="4978" spans="1:4" ht="16.5" x14ac:dyDescent="0.3">
      <c r="A4978" s="10" t="str">
        <f>基本属性!$B$11&amp;"|"&amp;基本属性!$C$11</f>
        <v>80|1</v>
      </c>
      <c r="B4978" s="10" t="str">
        <f>参数调整!$J$31</f>
        <v>小怪掉落</v>
      </c>
      <c r="C4978" s="8" t="str">
        <f>材料产出!$N$2</f>
        <v>火龙凭证</v>
      </c>
      <c r="D4978" s="224">
        <f>材料产出!$N$11/(基本属性!$A$11/(基本属性!$AS$11*1/3600))*材料产出!$D$11</f>
        <v>2.2834017327861375E-2</v>
      </c>
    </row>
    <row r="4979" spans="1:4" ht="16.5" x14ac:dyDescent="0.3">
      <c r="A4979" s="10" t="str">
        <f>基本属性!$B$12&amp;"|"&amp;基本属性!$C$12</f>
        <v>90|2</v>
      </c>
      <c r="B4979" s="10" t="str">
        <f>参数调整!$J$31</f>
        <v>小怪掉落</v>
      </c>
      <c r="C4979" s="8" t="str">
        <f>材料产出!$N$2</f>
        <v>火龙凭证</v>
      </c>
      <c r="D4979" s="224">
        <f>材料产出!$N$12/(基本属性!$A$12/(基本属性!$AS$12*1/3600))*材料产出!$D$12</f>
        <v>2.5980037493033393E-2</v>
      </c>
    </row>
    <row r="4980" spans="1:4" ht="16.5" x14ac:dyDescent="0.3">
      <c r="A4980" s="10" t="str">
        <f>基本属性!$B$13&amp;"|"&amp;基本属性!$C$13</f>
        <v>100|3</v>
      </c>
      <c r="B4980" s="10" t="str">
        <f>参数调整!$J$31</f>
        <v>小怪掉落</v>
      </c>
      <c r="C4980" s="8" t="str">
        <f>材料产出!$N$2</f>
        <v>火龙凭证</v>
      </c>
      <c r="D4980" s="224">
        <f>材料产出!$N$13/(基本属性!$A$13/(基本属性!$AS$13*1/3600))*材料产出!$D$13</f>
        <v>3.2880984952120385E-2</v>
      </c>
    </row>
    <row r="4981" spans="1:4" ht="16.5" x14ac:dyDescent="0.3">
      <c r="A4981" s="10" t="str">
        <f>基本属性!$B$14&amp;"|"&amp;基本属性!$C$14</f>
        <v>105|4</v>
      </c>
      <c r="B4981" s="10" t="str">
        <f>参数调整!$J$31</f>
        <v>小怪掉落</v>
      </c>
      <c r="C4981" s="8" t="str">
        <f>材料产出!$N$2</f>
        <v>火龙凭证</v>
      </c>
      <c r="D4981" s="224">
        <f>材料产出!$N$14/(基本属性!$A$14/(基本属性!$AS$14*1/3600))*材料产出!$D$14</f>
        <v>4.0593808582864675E-2</v>
      </c>
    </row>
    <row r="4982" spans="1:4" ht="16.5" x14ac:dyDescent="0.3">
      <c r="A4982" s="10" t="str">
        <f>基本属性!$B$15&amp;"|"&amp;基本属性!$C$15</f>
        <v>110|5</v>
      </c>
      <c r="B4982" s="10" t="str">
        <f>参数调整!$J$31</f>
        <v>小怪掉落</v>
      </c>
      <c r="C4982" s="8" t="str">
        <f>材料产出!$N$2</f>
        <v>火龙凭证</v>
      </c>
      <c r="D4982" s="224">
        <f>材料产出!$N$15/(基本属性!$A$15/(基本属性!$AS$15*1/3600))*材料产出!$D$15</f>
        <v>4.9118508385266255E-2</v>
      </c>
    </row>
    <row r="4983" spans="1:4" ht="16.5" x14ac:dyDescent="0.3">
      <c r="A4983" s="10" t="str">
        <f>基本属性!$B$16&amp;"|"&amp;基本属性!$C$16</f>
        <v>120|6</v>
      </c>
      <c r="B4983" s="10" t="str">
        <f>参数调整!$J$31</f>
        <v>小怪掉落</v>
      </c>
      <c r="C4983" s="8" t="str">
        <f>材料产出!$N$2</f>
        <v>火龙凭证</v>
      </c>
      <c r="D4983" s="224">
        <f>材料产出!$N$16/(基本属性!$A$16/(基本属性!$AS$16*1/3600))*材料产出!$D$16</f>
        <v>6.3427825910726043E-2</v>
      </c>
    </row>
    <row r="4984" spans="1:4" ht="16.5" x14ac:dyDescent="0.3">
      <c r="A4984" s="10" t="str">
        <f>基本属性!$B$17&amp;"|"&amp;基本属性!$C$17</f>
        <v>135|7</v>
      </c>
      <c r="B4984" s="10" t="str">
        <f>参数调整!$J$31</f>
        <v>小怪掉落</v>
      </c>
      <c r="C4984" s="8" t="str">
        <f>材料产出!$N$2</f>
        <v>火龙凭证</v>
      </c>
      <c r="D4984" s="224">
        <f>材料产出!$N$17/(基本属性!$A$17/(基本属性!$AS$17*1/3600))*材料产出!$D$17</f>
        <v>9.13360693114455E-2</v>
      </c>
    </row>
    <row r="4985" spans="1:4" ht="16.5" x14ac:dyDescent="0.3">
      <c r="A4985" s="10" t="str">
        <f>基本属性!$B$18&amp;"|"&amp;基本属性!$C$18</f>
        <v>155|8</v>
      </c>
      <c r="B4985" s="10" t="str">
        <f>参数调整!$J$31</f>
        <v>小怪掉落</v>
      </c>
      <c r="C4985" s="8" t="str">
        <f>材料产出!$N$2</f>
        <v>火龙凭证</v>
      </c>
      <c r="D4985" s="224">
        <f>材料产出!$N$18/(基本属性!$A$18/(基本属性!$AS$18*1/3600))*材料产出!$D$18</f>
        <v>0.12431853878502305</v>
      </c>
    </row>
    <row r="4986" spans="1:4" ht="16.5" x14ac:dyDescent="0.3">
      <c r="A4986" s="10" t="str">
        <f>基本属性!$B$19&amp;"|"&amp;基本属性!$C$19</f>
        <v>190|9</v>
      </c>
      <c r="B4986" s="10" t="str">
        <f>参数调整!$J$31</f>
        <v>小怪掉落</v>
      </c>
      <c r="C4986" s="8" t="str">
        <f>材料产出!$N$2</f>
        <v>火龙凭证</v>
      </c>
      <c r="D4986" s="224">
        <f>材料产出!$N$19/(基本属性!$A$19/(基本属性!$AS$19*1/3600))*材料产出!$D$19</f>
        <v>0.13893230987485436</v>
      </c>
    </row>
    <row r="4987" spans="1:4" ht="16.5" x14ac:dyDescent="0.3">
      <c r="A4987" s="10" t="str">
        <f>基本属性!$B$20&amp;"|"&amp;基本属性!$C$20</f>
        <v>200|10</v>
      </c>
      <c r="B4987" s="10" t="str">
        <f>参数调整!$J$31</f>
        <v>小怪掉落</v>
      </c>
      <c r="C4987" s="8" t="str">
        <f>材料产出!$N$2</f>
        <v>火龙凭证</v>
      </c>
      <c r="D4987" s="224">
        <f>材料产出!$N$20/(基本属性!$A$20/(基本属性!$AS$20*1/3600))*材料产出!$D$20</f>
        <v>0.1623752343314587</v>
      </c>
    </row>
    <row r="4988" spans="1:4" ht="16.5" x14ac:dyDescent="0.3">
      <c r="A4988" s="10" t="str">
        <f>基本属性!$B$21&amp;"|"&amp;基本属性!$C$21</f>
        <v>200|11</v>
      </c>
      <c r="B4988" s="10" t="str">
        <f>参数调整!$J$31</f>
        <v>小怪掉落</v>
      </c>
      <c r="C4988" s="8" t="str">
        <f>材料产出!$N$2</f>
        <v>火龙凭证</v>
      </c>
      <c r="D4988" s="224">
        <f>材料产出!$N$21/(基本属性!$A$21/(基本属性!$AS$21*1/3600))*材料产出!$D$21</f>
        <v>0.1876448801742919</v>
      </c>
    </row>
    <row r="4989" spans="1:4" ht="16.5" x14ac:dyDescent="0.3">
      <c r="A4989" s="10" t="str">
        <f>基本属性!$B$22&amp;"|"&amp;基本属性!$C$22</f>
        <v>210|12</v>
      </c>
      <c r="B4989" s="10" t="str">
        <f>参数调整!$J$31</f>
        <v>小怪掉落</v>
      </c>
      <c r="C4989" s="8" t="str">
        <f>材料产出!$N$2</f>
        <v>火龙凭证</v>
      </c>
      <c r="D4989" s="224">
        <f>材料产出!$N$22/(基本属性!$A$22/(基本属性!$AS$22*1/3600))*材料产出!$D$22</f>
        <v>0.21474124740335404</v>
      </c>
    </row>
    <row r="4990" spans="1:4" ht="16.5" x14ac:dyDescent="0.3">
      <c r="A4990" s="10" t="str">
        <f>基本属性!$B$23&amp;"|"&amp;基本属性!$C$23</f>
        <v>210|13</v>
      </c>
      <c r="B4990" s="10" t="str">
        <f>参数调整!$J$31</f>
        <v>小怪掉落</v>
      </c>
      <c r="C4990" s="8" t="str">
        <f>材料产出!$N$2</f>
        <v>火龙凭证</v>
      </c>
      <c r="D4990" s="224">
        <f>材料产出!$N$23/(基本属性!$A$23/(基本属性!$AS$23*1/3600))*材料产出!$D$23</f>
        <v>0.24366433601864523</v>
      </c>
    </row>
    <row r="4991" spans="1:4" ht="16.5" x14ac:dyDescent="0.3">
      <c r="A4991" s="10" t="str">
        <f>基本属性!$B$24&amp;"|"&amp;基本属性!$C$24</f>
        <v>220|14</v>
      </c>
      <c r="B4991" s="10" t="str">
        <f>参数调整!$J$31</f>
        <v>小怪掉落</v>
      </c>
      <c r="C4991" s="8" t="str">
        <f>材料产出!$N$2</f>
        <v>火龙凭证</v>
      </c>
      <c r="D4991" s="224">
        <f>材料产出!$N$24/(基本属性!$A$24/(基本属性!$AS$24*1/3600))*材料产出!$D$24</f>
        <v>0.27441414602016517</v>
      </c>
    </row>
    <row r="4992" spans="1:4" ht="16.5" x14ac:dyDescent="0.3">
      <c r="A4992" s="10" t="str">
        <f>基本属性!$B$25&amp;"|"&amp;基本属性!$C$25</f>
        <v>220|15</v>
      </c>
      <c r="B4992" s="10" t="str">
        <f>参数调整!$J$31</f>
        <v>小怪掉落</v>
      </c>
      <c r="C4992" s="8" t="str">
        <f>材料产出!$N$2</f>
        <v>火龙凭证</v>
      </c>
      <c r="D4992" s="224">
        <f>材料产出!$N$25/(基本属性!$A$25/(基本属性!$AS$25*1/3600))*材料产出!$D$25</f>
        <v>0.30699067740791403</v>
      </c>
    </row>
    <row r="4993" spans="1:4" ht="16.5" x14ac:dyDescent="0.3">
      <c r="A4993" s="10" t="str">
        <f>基本属性!$B$26&amp;"|"&amp;基本属性!$C$26</f>
        <v>230|16</v>
      </c>
      <c r="B4993" s="10" t="str">
        <f>参数调整!$J$31</f>
        <v>小怪掉落</v>
      </c>
      <c r="C4993" s="8" t="str">
        <f>材料产出!$N$2</f>
        <v>火龙凭证</v>
      </c>
      <c r="D4993" s="224">
        <f>材料产出!$N$26/(基本属性!$A$26/(基本属性!$AS$26*1/3600))*材料产出!$D$26</f>
        <v>0.3413939301818919</v>
      </c>
    </row>
    <row r="4994" spans="1:4" ht="16.5" x14ac:dyDescent="0.3">
      <c r="A4994" s="10" t="str">
        <f>基本属性!$B$27&amp;"|"&amp;基本属性!$C$27</f>
        <v>230|17</v>
      </c>
      <c r="B4994" s="10" t="str">
        <f>参数调整!$J$31</f>
        <v>小怪掉落</v>
      </c>
      <c r="C4994" s="8" t="str">
        <f>材料产出!$N$2</f>
        <v>火龙凭证</v>
      </c>
      <c r="D4994" s="224">
        <f>材料产出!$N$27/(基本属性!$A$27/(基本属性!$AS$27*1/3600))*材料产出!$D$27</f>
        <v>0.37762390434209853</v>
      </c>
    </row>
    <row r="4995" spans="1:4" ht="16.5" x14ac:dyDescent="0.3">
      <c r="A4995" s="10" t="str">
        <f>基本属性!$B$28&amp;"|"&amp;基本属性!$C$28</f>
        <v>240|18</v>
      </c>
      <c r="B4995" s="10" t="str">
        <f>参数调整!$J$31</f>
        <v>小怪掉落</v>
      </c>
      <c r="C4995" s="8" t="str">
        <f>材料产出!$N$2</f>
        <v>火龙凭证</v>
      </c>
      <c r="D4995" s="224">
        <f>材料产出!$N$28/(基本属性!$A$28/(基本属性!$AS$28*1/3600))*材料产出!$D$28</f>
        <v>0.41568059988853429</v>
      </c>
    </row>
    <row r="4996" spans="1:4" ht="16.5" x14ac:dyDescent="0.3">
      <c r="A4996" s="10" t="str">
        <f>基本属性!$B$29&amp;"|"&amp;基本属性!$C$29</f>
        <v>240|19</v>
      </c>
      <c r="B4996" s="10" t="str">
        <f>参数调整!$J$31</f>
        <v>小怪掉落</v>
      </c>
      <c r="C4996" s="8" t="str">
        <f>材料产出!$N$2</f>
        <v>火龙凭证</v>
      </c>
      <c r="D4996" s="224">
        <f>材料产出!$N$29/(基本属性!$A$29/(基本属性!$AS$29*1/3600))*材料产出!$D$29</f>
        <v>0.45556401682119879</v>
      </c>
    </row>
    <row r="4997" spans="1:4" ht="16.5" x14ac:dyDescent="0.3">
      <c r="A4997" s="10" t="str">
        <f>基本属性!$B$30&amp;"|"&amp;基本属性!$C$30</f>
        <v>250|20</v>
      </c>
      <c r="B4997" s="10" t="str">
        <f>参数调整!$J$31</f>
        <v>小怪掉落</v>
      </c>
      <c r="C4997" s="8" t="str">
        <f>材料产出!$N$2</f>
        <v>火龙凭证</v>
      </c>
      <c r="D4997" s="224">
        <f>材料产出!$N$30/(基本属性!$A$30/(基本属性!$AS$30*1/3600))*材料产出!$D$30</f>
        <v>0.4972741551400921</v>
      </c>
    </row>
    <row r="4998" spans="1:4" ht="16.5" x14ac:dyDescent="0.3">
      <c r="A4998" s="10" t="str">
        <f>基本属性!$B$4&amp;"|"&amp;基本属性!$C$4</f>
        <v>35|0</v>
      </c>
      <c r="B4998" s="10" t="str">
        <f>参数调整!$J$31</f>
        <v>小怪掉落</v>
      </c>
      <c r="C4998" s="8" t="str">
        <f>材料产出!$AR$2</f>
        <v>火龙精魄</v>
      </c>
      <c r="D4998" s="224">
        <f>材料产出!$AR$4/(基本属性!$A$4/(基本属性!$AS$4*1/3600))*材料产出!$D$4</f>
        <v>3.246678883355982E-6</v>
      </c>
    </row>
    <row r="4999" spans="1:4" ht="16.5" x14ac:dyDescent="0.3">
      <c r="A4999" s="10" t="str">
        <f>基本属性!$B$5&amp;"|"&amp;基本属性!$C$5</f>
        <v>40|0</v>
      </c>
      <c r="B4999" s="10" t="str">
        <f>参数调整!$J$31</f>
        <v>小怪掉落</v>
      </c>
      <c r="C4999" s="8" t="str">
        <f>材料产出!$AR$2</f>
        <v>火龙精魄</v>
      </c>
      <c r="D4999" s="224">
        <f>材料产出!$AR$5/(基本属性!$A$5/(基本属性!$AS$5*1/3600))*材料产出!$D$5</f>
        <v>4.1090779617474144E-6</v>
      </c>
    </row>
    <row r="5000" spans="1:4" ht="16.5" x14ac:dyDescent="0.3">
      <c r="A5000" s="10" t="str">
        <f>基本属性!$B$6&amp;"|"&amp;基本属性!$C$6</f>
        <v>50|0</v>
      </c>
      <c r="B5000" s="10" t="str">
        <f>参数调整!$J$31</f>
        <v>小怪掉落</v>
      </c>
      <c r="C5000" s="8" t="str">
        <f>材料产出!$AR$2</f>
        <v>火龙精魄</v>
      </c>
      <c r="D5000" s="224">
        <f>材料产出!$AR$6/(基本属性!$A$6/(基本属性!$AS$6*1/3600))*材料产出!$D$6</f>
        <v>5.0729357552437214E-6</v>
      </c>
    </row>
    <row r="5001" spans="1:4" ht="16.5" x14ac:dyDescent="0.3">
      <c r="A5001" s="10" t="str">
        <f>基本属性!$B$7&amp;"|"&amp;基本属性!$C$7</f>
        <v>60|0</v>
      </c>
      <c r="B5001" s="10" t="str">
        <f>参数调整!$J$31</f>
        <v>小怪掉落</v>
      </c>
      <c r="C5001" s="8" t="str">
        <f>材料产出!$AR$2</f>
        <v>火龙精魄</v>
      </c>
      <c r="D5001" s="224">
        <f>材料产出!$AR$7/(基本属性!$A$7/(基本属性!$AS$7*1/3600))*材料产出!$D$7</f>
        <v>6.1382522638449047E-6</v>
      </c>
    </row>
    <row r="5002" spans="1:4" ht="16.5" x14ac:dyDescent="0.3">
      <c r="A5002" s="10" t="str">
        <f>基本属性!$B$8&amp;"|"&amp;基本属性!$C$8</f>
        <v>65|0</v>
      </c>
      <c r="B5002" s="10" t="str">
        <f>参数调整!$J$31</f>
        <v>小怪掉落</v>
      </c>
      <c r="C5002" s="8" t="str">
        <f>材料产出!$AR$2</f>
        <v>火龙精魄</v>
      </c>
      <c r="D5002" s="224">
        <f>材料产出!$AR$8/(基本属性!$A$8/(基本属性!$AS$8*1/3600))*材料产出!$D$8</f>
        <v>7.3050274875509583E-6</v>
      </c>
    </row>
    <row r="5003" spans="1:4" ht="16.5" x14ac:dyDescent="0.3">
      <c r="A5003" s="10" t="str">
        <f>基本属性!$B$9&amp;"|"&amp;基本属性!$C$9</f>
        <v>70|0</v>
      </c>
      <c r="B5003" s="10" t="str">
        <f>参数调整!$J$31</f>
        <v>小怪掉落</v>
      </c>
      <c r="C5003" s="8" t="str">
        <f>材料产出!$AR$2</f>
        <v>火龙精魄</v>
      </c>
      <c r="D5003" s="224">
        <f>材料产出!$AR$9/(基本属性!$A$9/(基本属性!$AS$9*1/3600))*材料产出!$D$9</f>
        <v>8.5732614263618891E-6</v>
      </c>
    </row>
    <row r="5004" spans="1:4" ht="16.5" x14ac:dyDescent="0.3">
      <c r="A5004" s="10" t="str">
        <f>基本属性!$B$10&amp;"|"&amp;基本属性!$C$10</f>
        <v>75|0</v>
      </c>
      <c r="B5004" s="10" t="str">
        <f>参数调整!$J$31</f>
        <v>小怪掉落</v>
      </c>
      <c r="C5004" s="8" t="str">
        <f>材料产出!$AR$2</f>
        <v>火龙精魄</v>
      </c>
      <c r="D5004" s="224">
        <f>材料产出!$AR$10/(基本属性!$A$10/(基本属性!$AS$10*1/3600))*材料产出!$D$10</f>
        <v>9.9429540802776919E-6</v>
      </c>
    </row>
    <row r="5005" spans="1:4" ht="16.5" x14ac:dyDescent="0.3">
      <c r="A5005" s="10" t="str">
        <f>基本属性!$B$11&amp;"|"&amp;基本属性!$C$11</f>
        <v>80|1</v>
      </c>
      <c r="B5005" s="10" t="str">
        <f>参数调整!$J$31</f>
        <v>小怪掉落</v>
      </c>
      <c r="C5005" s="8" t="str">
        <f>材料产出!$AR$2</f>
        <v>火龙精魄</v>
      </c>
      <c r="D5005" s="224">
        <f>材料产出!$AR$11/(基本属性!$A$11/(基本属性!$AS$11*1/3600))*材料产出!$D$11</f>
        <v>1.1414105449298371E-5</v>
      </c>
    </row>
    <row r="5006" spans="1:4" ht="16.5" x14ac:dyDescent="0.3">
      <c r="A5006" s="10" t="str">
        <f>基本属性!$B$12&amp;"|"&amp;基本属性!$C$12</f>
        <v>90|2</v>
      </c>
      <c r="B5006" s="10" t="str">
        <f>参数调整!$J$31</f>
        <v>小怪掉落</v>
      </c>
      <c r="C5006" s="8" t="str">
        <f>材料产出!$AR$2</f>
        <v>火龙精魄</v>
      </c>
      <c r="D5006" s="224">
        <f>材料产出!$AR$12/(基本属性!$A$12/(基本属性!$AS$12*1/3600))*材料产出!$D$12</f>
        <v>1.298671553342393E-5</v>
      </c>
    </row>
    <row r="5007" spans="1:4" ht="16.5" x14ac:dyDescent="0.3">
      <c r="A5007" s="10" t="str">
        <f>基本属性!$B$13&amp;"|"&amp;基本属性!$C$13</f>
        <v>100|3</v>
      </c>
      <c r="B5007" s="10" t="str">
        <f>参数调整!$J$31</f>
        <v>小怪掉落</v>
      </c>
      <c r="C5007" s="8" t="str">
        <f>材料产出!$AR$2</f>
        <v>火龙精魄</v>
      </c>
      <c r="D5007" s="224">
        <f>材料产出!$AR$13/(基本属性!$A$13/(基本属性!$AS$13*1/3600))*材料产出!$D$13</f>
        <v>1.6436311846989661E-5</v>
      </c>
    </row>
    <row r="5008" spans="1:4" ht="16.5" x14ac:dyDescent="0.3">
      <c r="A5008" s="10" t="str">
        <f>基本属性!$B$14&amp;"|"&amp;基本属性!$C$14</f>
        <v>105|4</v>
      </c>
      <c r="B5008" s="10" t="str">
        <f>参数调整!$J$31</f>
        <v>小怪掉落</v>
      </c>
      <c r="C5008" s="8" t="str">
        <f>材料产出!$AR$2</f>
        <v>火龙精魄</v>
      </c>
      <c r="D5008" s="224">
        <f>材料产出!$AR$14/(基本属性!$A$14/(基本属性!$AS$14*1/3600))*材料产出!$D$14</f>
        <v>2.0291743020974886E-5</v>
      </c>
    </row>
    <row r="5009" spans="1:4" ht="16.5" x14ac:dyDescent="0.3">
      <c r="A5009" s="10" t="str">
        <f>基本属性!$B$15&amp;"|"&amp;基本属性!$C$15</f>
        <v>110|5</v>
      </c>
      <c r="B5009" s="10" t="str">
        <f>参数调整!$J$31</f>
        <v>小怪掉落</v>
      </c>
      <c r="C5009" s="8" t="str">
        <f>材料产出!$AR$2</f>
        <v>火龙精魄</v>
      </c>
      <c r="D5009" s="224">
        <f>材料产出!$AR$15/(基本属性!$A$15/(基本属性!$AS$15*1/3600))*材料产出!$D$15</f>
        <v>2.4553009055379619E-5</v>
      </c>
    </row>
    <row r="5010" spans="1:4" ht="16.5" x14ac:dyDescent="0.3">
      <c r="A5010" s="10" t="str">
        <f>基本属性!$B$16&amp;"|"&amp;基本属性!$C$16</f>
        <v>120|6</v>
      </c>
      <c r="B5010" s="10" t="str">
        <f>参数调整!$J$31</f>
        <v>小怪掉落</v>
      </c>
      <c r="C5010" s="8" t="str">
        <f>材料产出!$AR$2</f>
        <v>火龙精魄</v>
      </c>
      <c r="D5010" s="224">
        <f>材料产出!$AR$16/(基本属性!$A$16/(基本属性!$AS$16*1/3600))*材料产出!$D$16</f>
        <v>3.1705848470273263E-5</v>
      </c>
    </row>
    <row r="5011" spans="1:4" ht="16.5" x14ac:dyDescent="0.3">
      <c r="A5011" s="10" t="str">
        <f>基本属性!$B$17&amp;"|"&amp;基本属性!$C$17</f>
        <v>135|7</v>
      </c>
      <c r="B5011" s="10" t="str">
        <f>参数调整!$J$31</f>
        <v>小怪掉落</v>
      </c>
      <c r="C5011" s="8" t="str">
        <f>材料产出!$AR$2</f>
        <v>火龙精魄</v>
      </c>
      <c r="D5011" s="224">
        <f>材料产出!$AR$17/(基本属性!$A$17/(基本属性!$AS$17*1/3600))*材料产出!$D$17</f>
        <v>4.5656421797193491E-5</v>
      </c>
    </row>
    <row r="5012" spans="1:4" ht="16.5" x14ac:dyDescent="0.3">
      <c r="A5012" s="10" t="str">
        <f>基本属性!$B$18&amp;"|"&amp;基本属性!$C$18</f>
        <v>155|8</v>
      </c>
      <c r="B5012" s="10" t="str">
        <f>参数调整!$J$31</f>
        <v>小怪掉落</v>
      </c>
      <c r="C5012" s="8" t="str">
        <f>材料产出!$AR$2</f>
        <v>火龙精魄</v>
      </c>
      <c r="D5012" s="224">
        <f>材料产出!$AR$18/(基本属性!$A$18/(基本属性!$AS$18*1/3600))*材料产出!$D$18</f>
        <v>6.2143463001735602E-5</v>
      </c>
    </row>
    <row r="5013" spans="1:4" ht="16.5" x14ac:dyDescent="0.3">
      <c r="A5013" s="10" t="str">
        <f>基本属性!$B$19&amp;"|"&amp;基本属性!$C$19</f>
        <v>190|9</v>
      </c>
      <c r="B5013" s="10" t="str">
        <f>参数调整!$J$31</f>
        <v>小怪掉落</v>
      </c>
      <c r="C5013" s="8" t="str">
        <f>材料产出!$AR$2</f>
        <v>火龙精魄</v>
      </c>
      <c r="D5013" s="224">
        <f>材料产出!$AR$19/(基本属性!$A$19/(基本属性!$AS$19*1/3600))*材料产出!$D$19</f>
        <v>6.9448490489286546E-5</v>
      </c>
    </row>
    <row r="5014" spans="1:4" ht="16.5" x14ac:dyDescent="0.3">
      <c r="A5014" s="10" t="str">
        <f>基本属性!$B$20&amp;"|"&amp;基本属性!$C$20</f>
        <v>200|10</v>
      </c>
      <c r="B5014" s="10" t="str">
        <f>参数调整!$J$31</f>
        <v>小怪掉落</v>
      </c>
      <c r="C5014" s="8" t="str">
        <f>材料产出!$AR$2</f>
        <v>火龙精魄</v>
      </c>
      <c r="D5014" s="224">
        <f>材料产出!$AR$20/(基本属性!$A$20/(基本属性!$AS$20*1/3600))*材料产出!$D$20</f>
        <v>8.1166972083899542E-5</v>
      </c>
    </row>
    <row r="5015" spans="1:4" ht="16.5" x14ac:dyDescent="0.3">
      <c r="A5015" s="10" t="str">
        <f>基本属性!$B$21&amp;"|"&amp;基本属性!$C$21</f>
        <v>200|11</v>
      </c>
      <c r="B5015" s="10" t="str">
        <f>参数调整!$J$31</f>
        <v>小怪掉落</v>
      </c>
      <c r="C5015" s="8" t="str">
        <f>材料产出!$AR$2</f>
        <v>火龙精魄</v>
      </c>
      <c r="D5015" s="224">
        <f>材料产出!$AR$21/(基本属性!$A$21/(基本属性!$AS$21*1/3600))*材料产出!$D$21</f>
        <v>9.3798582114456395E-5</v>
      </c>
    </row>
    <row r="5016" spans="1:4" ht="16.5" x14ac:dyDescent="0.3">
      <c r="A5016" s="10" t="str">
        <f>基本属性!$B$22&amp;"|"&amp;基本属性!$C$22</f>
        <v>210|12</v>
      </c>
      <c r="B5016" s="10" t="str">
        <f>参数调整!$J$31</f>
        <v>小怪掉落</v>
      </c>
      <c r="C5016" s="8" t="str">
        <f>材料产出!$AR$2</f>
        <v>火龙精魄</v>
      </c>
      <c r="D5016" s="224">
        <f>材料产出!$AR$22/(基本属性!$A$22/(基本属性!$AS$22*1/3600))*材料产出!$D$22</f>
        <v>1.0734332058095713E-4</v>
      </c>
    </row>
    <row r="5017" spans="1:4" ht="16.5" x14ac:dyDescent="0.3">
      <c r="A5017" s="10" t="str">
        <f>基本属性!$B$23&amp;"|"&amp;基本属性!$C$23</f>
        <v>210|13</v>
      </c>
      <c r="B5017" s="10" t="str">
        <f>参数调整!$J$31</f>
        <v>小怪掉落</v>
      </c>
      <c r="C5017" s="8" t="str">
        <f>材料产出!$AR$2</f>
        <v>火龙精魄</v>
      </c>
      <c r="D5017" s="224">
        <f>材料产出!$AR$23/(基本属性!$A$23/(基本属性!$AS$23*1/3600))*材料产出!$D$23</f>
        <v>1.2180118748340178E-4</v>
      </c>
    </row>
    <row r="5018" spans="1:4" ht="16.5" x14ac:dyDescent="0.3">
      <c r="A5018" s="10" t="str">
        <f>基本属性!$B$24&amp;"|"&amp;基本属性!$C$24</f>
        <v>220|14</v>
      </c>
      <c r="B5018" s="10" t="str">
        <f>参数调整!$J$31</f>
        <v>小怪掉落</v>
      </c>
      <c r="C5018" s="8" t="str">
        <f>材料产出!$AR$2</f>
        <v>火龙精魄</v>
      </c>
      <c r="D5018" s="224">
        <f>材料产出!$AR$24/(基本属性!$A$24/(基本属性!$AS$24*1/3600))*材料产出!$D$24</f>
        <v>1.3717218282179023E-4</v>
      </c>
    </row>
    <row r="5019" spans="1:4" ht="16.5" x14ac:dyDescent="0.3">
      <c r="A5019" s="10" t="str">
        <f>基本属性!$B$25&amp;"|"&amp;基本属性!$C$25</f>
        <v>220|15</v>
      </c>
      <c r="B5019" s="10" t="str">
        <f>参数调整!$J$31</f>
        <v>小怪掉落</v>
      </c>
      <c r="C5019" s="8" t="str">
        <f>材料产出!$AR$2</f>
        <v>火龙精魄</v>
      </c>
      <c r="D5019" s="224">
        <f>材料产出!$AR$25/(基本属性!$A$25/(基本属性!$AS$25*1/3600))*材料产出!$D$25</f>
        <v>1.5345630659612254E-4</v>
      </c>
    </row>
    <row r="5020" spans="1:4" ht="16.5" x14ac:dyDescent="0.3">
      <c r="A5020" s="10" t="str">
        <f>基本属性!$B$26&amp;"|"&amp;基本属性!$C$26</f>
        <v>230|16</v>
      </c>
      <c r="B5020" s="10" t="str">
        <f>参数调整!$J$31</f>
        <v>小怪掉落</v>
      </c>
      <c r="C5020" s="8" t="str">
        <f>材料产出!$AR$2</f>
        <v>火龙精魄</v>
      </c>
      <c r="D5020" s="224">
        <f>材料产出!$AR$26/(基本属性!$A$26/(基本属性!$AS$26*1/3600))*材料产出!$D$26</f>
        <v>1.7065355880639874E-4</v>
      </c>
    </row>
    <row r="5021" spans="1:4" ht="16.5" x14ac:dyDescent="0.3">
      <c r="A5021" s="10" t="str">
        <f>基本属性!$B$27&amp;"|"&amp;基本属性!$C$27</f>
        <v>230|17</v>
      </c>
      <c r="B5021" s="10" t="str">
        <f>参数调整!$J$31</f>
        <v>小怪掉落</v>
      </c>
      <c r="C5021" s="8" t="str">
        <f>材料产出!$AR$2</f>
        <v>火龙精魄</v>
      </c>
      <c r="D5021" s="224">
        <f>材料产出!$AR$27/(基本属性!$A$27/(基本属性!$AS$27*1/3600))*材料产出!$D$27</f>
        <v>1.8876393945261883E-4</v>
      </c>
    </row>
    <row r="5022" spans="1:4" ht="16.5" x14ac:dyDescent="0.3">
      <c r="A5022" s="10" t="str">
        <f>基本属性!$B$28&amp;"|"&amp;基本属性!$C$28</f>
        <v>240|18</v>
      </c>
      <c r="B5022" s="10" t="str">
        <f>参数调整!$J$31</f>
        <v>小怪掉落</v>
      </c>
      <c r="C5022" s="8" t="str">
        <f>材料产出!$AR$2</f>
        <v>火龙精魄</v>
      </c>
      <c r="D5022" s="224">
        <f>材料产出!$AR$28/(基本属性!$A$28/(基本属性!$AS$28*1/3600))*材料产出!$D$28</f>
        <v>2.0778744853478285E-4</v>
      </c>
    </row>
    <row r="5023" spans="1:4" ht="16.5" x14ac:dyDescent="0.3">
      <c r="A5023" s="10" t="str">
        <f>基本属性!$B$29&amp;"|"&amp;基本属性!$C$29</f>
        <v>240|19</v>
      </c>
      <c r="B5023" s="10" t="str">
        <f>参数调整!$J$31</f>
        <v>小怪掉落</v>
      </c>
      <c r="C5023" s="8" t="str">
        <f>材料产出!$AR$2</f>
        <v>火龙精魄</v>
      </c>
      <c r="D5023" s="224">
        <f>材料产出!$AR$29/(基本属性!$A$29/(基本属性!$AS$29*1/3600))*材料产出!$D$29</f>
        <v>2.277240860528907E-4</v>
      </c>
    </row>
    <row r="5024" spans="1:4" ht="16.5" x14ac:dyDescent="0.3">
      <c r="A5024" s="10" t="str">
        <f>基本属性!$B$30&amp;"|"&amp;基本属性!$C$30</f>
        <v>250|20</v>
      </c>
      <c r="B5024" s="10" t="str">
        <f>参数调整!$J$31</f>
        <v>小怪掉落</v>
      </c>
      <c r="C5024" s="8" t="str">
        <f>材料产出!$AR$2</f>
        <v>火龙精魄</v>
      </c>
      <c r="D5024" s="224">
        <f>材料产出!$AR$30/(基本属性!$A$30/(基本属性!$AS$30*1/3600))*材料产出!$D$30</f>
        <v>2.485738520069423E-4</v>
      </c>
    </row>
    <row r="5025" spans="1:4" ht="16.5" x14ac:dyDescent="0.3">
      <c r="A5025" s="10" t="str">
        <f>基本属性!$B$4&amp;"|"&amp;基本属性!$C$4</f>
        <v>35|0</v>
      </c>
      <c r="B5025" s="10" t="str">
        <f>参数调整!$J$31</f>
        <v>小怪掉落</v>
      </c>
      <c r="C5025" s="8" t="str">
        <f>材料产出!$L$2</f>
        <v>火龙币</v>
      </c>
      <c r="D5025" s="224">
        <f>材料产出!$L$4/(基本属性!$A$4/(基本属性!$AS$4*1/3600))*材料产出!$D$4</f>
        <v>8.9283669292289499E-4</v>
      </c>
    </row>
    <row r="5026" spans="1:4" ht="16.5" x14ac:dyDescent="0.3">
      <c r="A5026" s="10" t="str">
        <f>基本属性!$B$5&amp;"|"&amp;基本属性!$C$5</f>
        <v>40|0</v>
      </c>
      <c r="B5026" s="10" t="str">
        <f>参数调整!$J$31</f>
        <v>小怪掉落</v>
      </c>
      <c r="C5026" s="8" t="str">
        <f>材料产出!$L$2</f>
        <v>火龙币</v>
      </c>
      <c r="D5026" s="224">
        <f>材料产出!$L$5/(基本属性!$A$5/(基本属性!$AS$5*1/3600))*材料产出!$D$5</f>
        <v>1.1299964394805388E-3</v>
      </c>
    </row>
    <row r="5027" spans="1:4" ht="16.5" x14ac:dyDescent="0.3">
      <c r="A5027" s="10" t="str">
        <f>基本属性!$B$6&amp;"|"&amp;基本属性!$C$6</f>
        <v>50|0</v>
      </c>
      <c r="B5027" s="10" t="str">
        <f>参数调整!$J$31</f>
        <v>小怪掉落</v>
      </c>
      <c r="C5027" s="8" t="str">
        <f>材料产出!$L$2</f>
        <v>火龙币</v>
      </c>
      <c r="D5027" s="224">
        <f>材料产出!$L$6/(基本属性!$A$6/(基本属性!$AS$6*1/3600))*材料产出!$D$6</f>
        <v>1.3950573326920233E-3</v>
      </c>
    </row>
    <row r="5028" spans="1:4" ht="16.5" x14ac:dyDescent="0.3">
      <c r="A5028" s="10" t="str">
        <f>基本属性!$B$7&amp;"|"&amp;基本属性!$C$7</f>
        <v>60|0</v>
      </c>
      <c r="B5028" s="10" t="str">
        <f>参数调整!$J$31</f>
        <v>小怪掉落</v>
      </c>
      <c r="C5028" s="8" t="str">
        <f>材料产出!$L$2</f>
        <v>火龙币</v>
      </c>
      <c r="D5028" s="224">
        <f>材料产出!$L$7/(基本属性!$A$7/(基本属性!$AS$7*1/3600))*材料产出!$D$7</f>
        <v>1.6880193725573483E-3</v>
      </c>
    </row>
    <row r="5029" spans="1:4" ht="16.5" x14ac:dyDescent="0.3">
      <c r="A5029" s="10" t="str">
        <f>基本属性!$B$8&amp;"|"&amp;基本属性!$C$8</f>
        <v>65|0</v>
      </c>
      <c r="B5029" s="10" t="str">
        <f>参数调整!$J$31</f>
        <v>小怪掉落</v>
      </c>
      <c r="C5029" s="8" t="str">
        <f>材料产出!$L$2</f>
        <v>火龙币</v>
      </c>
      <c r="D5029" s="224">
        <f>材料产出!$L$8/(基本属性!$A$8/(基本属性!$AS$8*1/3600))*材料产出!$D$8</f>
        <v>2.0088825590765134E-3</v>
      </c>
    </row>
    <row r="5030" spans="1:4" ht="16.5" x14ac:dyDescent="0.3">
      <c r="A5030" s="10" t="str">
        <f>基本属性!$B$9&amp;"|"&amp;基本属性!$C$9</f>
        <v>70|0</v>
      </c>
      <c r="B5030" s="10" t="str">
        <f>参数调整!$J$31</f>
        <v>小怪掉落</v>
      </c>
      <c r="C5030" s="8" t="str">
        <f>材料产出!$L$2</f>
        <v>火龙币</v>
      </c>
      <c r="D5030" s="224">
        <f>材料产出!$L$9/(基本属性!$A$9/(基本属性!$AS$9*1/3600))*材料产出!$D$9</f>
        <v>2.3576468922495192E-3</v>
      </c>
    </row>
    <row r="5031" spans="1:4" ht="16.5" x14ac:dyDescent="0.3">
      <c r="A5031" s="10" t="str">
        <f>基本属性!$B$10&amp;"|"&amp;基本属性!$C$10</f>
        <v>75|0</v>
      </c>
      <c r="B5031" s="10" t="str">
        <f>参数调整!$J$31</f>
        <v>小怪掉落</v>
      </c>
      <c r="C5031" s="8" t="str">
        <f>材料产出!$L$2</f>
        <v>火龙币</v>
      </c>
      <c r="D5031" s="224">
        <f>材料产出!$L$10/(基本属性!$A$10/(基本属性!$AS$10*1/3600))*材料产出!$D$10</f>
        <v>2.734312372076365E-3</v>
      </c>
    </row>
    <row r="5032" spans="1:4" ht="16.5" x14ac:dyDescent="0.3">
      <c r="A5032" s="10" t="str">
        <f>基本属性!$B$11&amp;"|"&amp;基本属性!$C$11</f>
        <v>80|1</v>
      </c>
      <c r="B5032" s="10" t="str">
        <f>参数调整!$J$31</f>
        <v>小怪掉落</v>
      </c>
      <c r="C5032" s="8" t="str">
        <f>材料产出!$L$2</f>
        <v>火龙币</v>
      </c>
      <c r="D5032" s="224">
        <f>材料产出!$L$11/(基本属性!$A$11/(基本属性!$AS$11*1/3600))*材料产出!$D$11</f>
        <v>3.138878998557052E-3</v>
      </c>
    </row>
    <row r="5033" spans="1:4" ht="16.5" x14ac:dyDescent="0.3">
      <c r="A5033" s="10" t="str">
        <f>基本属性!$B$12&amp;"|"&amp;基本属性!$C$12</f>
        <v>90|2</v>
      </c>
      <c r="B5033" s="10" t="str">
        <f>参数调整!$J$31</f>
        <v>小怪掉落</v>
      </c>
      <c r="C5033" s="8" t="str">
        <f>材料产出!$L$2</f>
        <v>火龙币</v>
      </c>
      <c r="D5033" s="224">
        <f>材料产出!$L$12/(基本属性!$A$12/(基本属性!$AS$12*1/3600))*材料产出!$D$12</f>
        <v>3.5713467716915804E-3</v>
      </c>
    </row>
    <row r="5034" spans="1:4" ht="16.5" x14ac:dyDescent="0.3">
      <c r="A5034" s="10" t="str">
        <f>基本属性!$B$13&amp;"|"&amp;基本属性!$C$13</f>
        <v>100|3</v>
      </c>
      <c r="B5034" s="10" t="str">
        <f>参数调整!$J$31</f>
        <v>小怪掉落</v>
      </c>
      <c r="C5034" s="8" t="str">
        <f>材料产出!$L$2</f>
        <v>火龙币</v>
      </c>
      <c r="D5034" s="224">
        <f>材料产出!$L$13/(基本属性!$A$13/(基本属性!$AS$13*1/3600))*材料产出!$D$13</f>
        <v>4.5199857579221563E-3</v>
      </c>
    </row>
    <row r="5035" spans="1:4" ht="16.5" x14ac:dyDescent="0.3">
      <c r="A5035" s="10" t="str">
        <f>基本属性!$B$14&amp;"|"&amp;基本属性!$C$14</f>
        <v>105|4</v>
      </c>
      <c r="B5035" s="10" t="str">
        <f>参数调整!$J$31</f>
        <v>小怪掉落</v>
      </c>
      <c r="C5035" s="8" t="str">
        <f>材料产出!$L$2</f>
        <v>火龙币</v>
      </c>
      <c r="D5035" s="224">
        <f>材料产出!$L$14/(基本属性!$A$14/(基本属性!$AS$14*1/3600))*材料产出!$D$14</f>
        <v>5.5802293307680934E-3</v>
      </c>
    </row>
    <row r="5036" spans="1:4" ht="16.5" x14ac:dyDescent="0.3">
      <c r="A5036" s="10" t="str">
        <f>基本属性!$B$15&amp;"|"&amp;基本属性!$C$15</f>
        <v>110|5</v>
      </c>
      <c r="B5036" s="10" t="str">
        <f>参数调整!$J$31</f>
        <v>小怪掉落</v>
      </c>
      <c r="C5036" s="8" t="str">
        <f>材料产出!$L$2</f>
        <v>火龙币</v>
      </c>
      <c r="D5036" s="224">
        <f>材料产出!$L$15/(基本属性!$A$15/(基本属性!$AS$15*1/3600))*材料产出!$D$15</f>
        <v>6.752077490229394E-3</v>
      </c>
    </row>
    <row r="5037" spans="1:4" ht="16.5" x14ac:dyDescent="0.3">
      <c r="A5037" s="10" t="str">
        <f>基本属性!$B$16&amp;"|"&amp;基本属性!$C$16</f>
        <v>120|6</v>
      </c>
      <c r="B5037" s="10" t="str">
        <f>参数调整!$J$31</f>
        <v>小怪掉落</v>
      </c>
      <c r="C5037" s="8" t="str">
        <f>材料产出!$L$2</f>
        <v>火龙币</v>
      </c>
      <c r="D5037" s="224">
        <f>材料产出!$L$16/(基本属性!$A$16/(基本属性!$AS$16*1/3600))*材料产出!$D$16</f>
        <v>8.7191083293251467E-3</v>
      </c>
    </row>
    <row r="5038" spans="1:4" ht="16.5" x14ac:dyDescent="0.3">
      <c r="A5038" s="10" t="str">
        <f>基本属性!$B$17&amp;"|"&amp;基本属性!$C$17</f>
        <v>135|7</v>
      </c>
      <c r="B5038" s="10" t="str">
        <f>参数调整!$J$31</f>
        <v>小怪掉落</v>
      </c>
      <c r="C5038" s="8" t="str">
        <f>材料产出!$L$2</f>
        <v>火龙币</v>
      </c>
      <c r="D5038" s="224">
        <f>材料产出!$L$17/(基本属性!$A$17/(基本属性!$AS$17*1/3600))*材料产出!$D$17</f>
        <v>1.2555515994228208E-2</v>
      </c>
    </row>
    <row r="5039" spans="1:4" ht="16.5" x14ac:dyDescent="0.3">
      <c r="A5039" s="10" t="str">
        <f>基本属性!$B$18&amp;"|"&amp;基本属性!$C$18</f>
        <v>155|8</v>
      </c>
      <c r="B5039" s="10" t="str">
        <f>参数调整!$J$31</f>
        <v>小怪掉落</v>
      </c>
      <c r="C5039" s="8" t="str">
        <f>材料产出!$L$2</f>
        <v>火龙币</v>
      </c>
      <c r="D5039" s="224">
        <f>材料产出!$L$18/(基本属性!$A$18/(基本属性!$AS$18*1/3600))*材料产出!$D$18</f>
        <v>1.7089452325477286E-2</v>
      </c>
    </row>
    <row r="5040" spans="1:4" ht="16.5" x14ac:dyDescent="0.3">
      <c r="A5040" s="10" t="str">
        <f>基本属性!$B$19&amp;"|"&amp;基本属性!$C$19</f>
        <v>190|9</v>
      </c>
      <c r="B5040" s="10" t="str">
        <f>参数调整!$J$31</f>
        <v>小怪掉落</v>
      </c>
      <c r="C5040" s="8" t="str">
        <f>材料产出!$L$2</f>
        <v>火龙币</v>
      </c>
      <c r="D5040" s="224">
        <f>材料产出!$L$19/(基本属性!$A$19/(基本属性!$AS$19*1/3600))*材料产出!$D$19</f>
        <v>1.90983348845538E-2</v>
      </c>
    </row>
    <row r="5041" spans="1:4" ht="16.5" x14ac:dyDescent="0.3">
      <c r="A5041" s="10" t="str">
        <f>基本属性!$B$20&amp;"|"&amp;基本属性!$C$20</f>
        <v>200|10</v>
      </c>
      <c r="B5041" s="10" t="str">
        <f>参数调整!$J$31</f>
        <v>小怪掉落</v>
      </c>
      <c r="C5041" s="8" t="str">
        <f>材料产出!$L$2</f>
        <v>火龙币</v>
      </c>
      <c r="D5041" s="224">
        <f>材料产出!$L$20/(基本属性!$A$20/(基本属性!$AS$20*1/3600))*材料产出!$D$20</f>
        <v>2.2320917323072374E-2</v>
      </c>
    </row>
    <row r="5042" spans="1:4" ht="16.5" x14ac:dyDescent="0.3">
      <c r="A5042" s="10" t="str">
        <f>基本属性!$B$21&amp;"|"&amp;基本属性!$C$21</f>
        <v>200|11</v>
      </c>
      <c r="B5042" s="10" t="str">
        <f>参数调整!$J$31</f>
        <v>小怪掉落</v>
      </c>
      <c r="C5042" s="8" t="str">
        <f>材料产出!$L$2</f>
        <v>火龙币</v>
      </c>
      <c r="D5042" s="224">
        <f>材料产出!$L$21/(基本属性!$A$21/(基本属性!$AS$21*1/3600))*材料产出!$D$21</f>
        <v>2.5794610081475506E-2</v>
      </c>
    </row>
    <row r="5043" spans="1:4" ht="16.5" x14ac:dyDescent="0.3">
      <c r="A5043" s="10" t="str">
        <f>基本属性!$B$22&amp;"|"&amp;基本属性!$C$22</f>
        <v>210|12</v>
      </c>
      <c r="B5043" s="10" t="str">
        <f>参数调整!$J$31</f>
        <v>小怪掉落</v>
      </c>
      <c r="C5043" s="8" t="str">
        <f>材料产出!$L$2</f>
        <v>火龙币</v>
      </c>
      <c r="D5043" s="224">
        <f>材料产出!$L$22/(基本属性!$A$22/(基本属性!$AS$22*1/3600))*材料产出!$D$22</f>
        <v>2.9519413159763207E-2</v>
      </c>
    </row>
    <row r="5044" spans="1:4" ht="16.5" x14ac:dyDescent="0.3">
      <c r="A5044" s="10" t="str">
        <f>基本属性!$B$23&amp;"|"&amp;基本属性!$C$23</f>
        <v>210|13</v>
      </c>
      <c r="B5044" s="10" t="str">
        <f>参数调整!$J$31</f>
        <v>小怪掉落</v>
      </c>
      <c r="C5044" s="8" t="str">
        <f>材料产出!$L$2</f>
        <v>火龙币</v>
      </c>
      <c r="D5044" s="224">
        <f>材料产出!$L$23/(基本属性!$A$23/(基本属性!$AS$23*1/3600))*材料产出!$D$23</f>
        <v>3.3495326557935481E-2</v>
      </c>
    </row>
    <row r="5045" spans="1:4" ht="16.5" x14ac:dyDescent="0.3">
      <c r="A5045" s="10" t="str">
        <f>基本属性!$B$24&amp;"|"&amp;基本属性!$C$24</f>
        <v>220|14</v>
      </c>
      <c r="B5045" s="10" t="str">
        <f>参数调整!$J$31</f>
        <v>小怪掉落</v>
      </c>
      <c r="C5045" s="8" t="str">
        <f>材料产出!$L$2</f>
        <v>火龙币</v>
      </c>
      <c r="D5045" s="224">
        <f>材料产出!$L$24/(基本属性!$A$24/(基本属性!$AS$24*1/3600))*材料产出!$D$24</f>
        <v>3.7722350275992314E-2</v>
      </c>
    </row>
    <row r="5046" spans="1:4" ht="16.5" x14ac:dyDescent="0.3">
      <c r="A5046" s="10" t="str">
        <f>基本属性!$B$25&amp;"|"&amp;基本属性!$C$25</f>
        <v>220|15</v>
      </c>
      <c r="B5046" s="10" t="str">
        <f>参数调整!$J$31</f>
        <v>小怪掉落</v>
      </c>
      <c r="C5046" s="8" t="str">
        <f>材料产出!$L$2</f>
        <v>火龙币</v>
      </c>
      <c r="D5046" s="224">
        <f>材料产出!$L$25/(基本属性!$A$25/(基本属性!$AS$25*1/3600))*材料产出!$D$25</f>
        <v>4.2200484313933702E-2</v>
      </c>
    </row>
    <row r="5047" spans="1:4" ht="16.5" x14ac:dyDescent="0.3">
      <c r="A5047" s="10" t="str">
        <f>基本属性!$B$26&amp;"|"&amp;基本属性!$C$26</f>
        <v>230|16</v>
      </c>
      <c r="B5047" s="10" t="str">
        <f>参数调整!$J$31</f>
        <v>小怪掉落</v>
      </c>
      <c r="C5047" s="8" t="str">
        <f>材料产出!$L$2</f>
        <v>火龙币</v>
      </c>
      <c r="D5047" s="224">
        <f>材料产出!$L$26/(基本属性!$A$26/(基本属性!$AS$26*1/3600))*材料产出!$D$26</f>
        <v>4.6929728671759659E-2</v>
      </c>
    </row>
    <row r="5048" spans="1:4" ht="16.5" x14ac:dyDescent="0.3">
      <c r="A5048" s="10" t="str">
        <f>基本属性!$B$27&amp;"|"&amp;基本属性!$C$27</f>
        <v>230|17</v>
      </c>
      <c r="B5048" s="10" t="str">
        <f>参数调整!$J$31</f>
        <v>小怪掉落</v>
      </c>
      <c r="C5048" s="8" t="str">
        <f>材料产出!$L$2</f>
        <v>火龙币</v>
      </c>
      <c r="D5048" s="224">
        <f>材料产出!$L$27/(基本属性!$A$27/(基本属性!$AS$27*1/3600))*材料产出!$D$27</f>
        <v>5.1910083349470178E-2</v>
      </c>
    </row>
    <row r="5049" spans="1:4" ht="16.5" x14ac:dyDescent="0.3">
      <c r="A5049" s="10" t="str">
        <f>基本属性!$B$28&amp;"|"&amp;基本属性!$C$28</f>
        <v>240|18</v>
      </c>
      <c r="B5049" s="10" t="str">
        <f>参数调整!$J$31</f>
        <v>小怪掉落</v>
      </c>
      <c r="C5049" s="8" t="str">
        <f>材料产出!$L$2</f>
        <v>火龙币</v>
      </c>
      <c r="D5049" s="224">
        <f>材料产出!$L$28/(基本属性!$A$28/(基本属性!$AS$28*1/3600))*材料产出!$D$28</f>
        <v>5.714154834706528E-2</v>
      </c>
    </row>
    <row r="5050" spans="1:4" ht="16.5" x14ac:dyDescent="0.3">
      <c r="A5050" s="10" t="str">
        <f>基本属性!$B$29&amp;"|"&amp;基本属性!$C$29</f>
        <v>240|19</v>
      </c>
      <c r="B5050" s="10" t="str">
        <f>参数调整!$J$31</f>
        <v>小怪掉落</v>
      </c>
      <c r="C5050" s="8" t="str">
        <f>材料产出!$L$2</f>
        <v>火龙币</v>
      </c>
      <c r="D5050" s="224">
        <f>材料产出!$L$29/(基本属性!$A$29/(基本属性!$AS$29*1/3600))*材料产出!$D$29</f>
        <v>6.2624123664544923E-2</v>
      </c>
    </row>
    <row r="5051" spans="1:4" ht="16.5" x14ac:dyDescent="0.3">
      <c r="A5051" s="10" t="str">
        <f>基本属性!$B$30&amp;"|"&amp;基本属性!$C$30</f>
        <v>250|20</v>
      </c>
      <c r="B5051" s="10" t="str">
        <f>参数调整!$J$31</f>
        <v>小怪掉落</v>
      </c>
      <c r="C5051" s="8" t="str">
        <f>材料产出!$L$2</f>
        <v>火龙币</v>
      </c>
      <c r="D5051" s="224">
        <f>材料产出!$L$30/(基本属性!$A$30/(基本属性!$AS$30*1/3600))*材料产出!$D$30</f>
        <v>6.8357809301909128E-2</v>
      </c>
    </row>
    <row r="5052" spans="1:4" ht="16.5" x14ac:dyDescent="0.3">
      <c r="A5052" s="10" t="str">
        <f>基本属性!$B$4&amp;"|"&amp;基本属性!$C$4</f>
        <v>35|0</v>
      </c>
      <c r="B5052" s="10" t="str">
        <f>参数调整!$J$31</f>
        <v>小怪掉落</v>
      </c>
      <c r="C5052" s="8" t="str">
        <f>材料产出!$BD$2</f>
        <v>防具碎片</v>
      </c>
      <c r="D5052" s="224">
        <f>材料产出!$BD$4/(基本属性!$A$4/(基本属性!$AS$4*1/3600))*材料产出!$D$4</f>
        <v>3.2466788833559817E-5</v>
      </c>
    </row>
    <row r="5053" spans="1:4" ht="16.5" x14ac:dyDescent="0.3">
      <c r="A5053" s="10" t="str">
        <f>基本属性!$B$5&amp;"|"&amp;基本属性!$C$5</f>
        <v>40|0</v>
      </c>
      <c r="B5053" s="10" t="str">
        <f>参数调整!$J$31</f>
        <v>小怪掉落</v>
      </c>
      <c r="C5053" s="8" t="str">
        <f>材料产出!$BD$2</f>
        <v>防具碎片</v>
      </c>
      <c r="D5053" s="224">
        <f>材料产出!$BD$5/(基本属性!$A$5/(基本属性!$AS$5*1/3600))*材料产出!$D$5</f>
        <v>4.1090779617474143E-5</v>
      </c>
    </row>
    <row r="5054" spans="1:4" ht="16.5" x14ac:dyDescent="0.3">
      <c r="A5054" s="10" t="str">
        <f>基本属性!$B$6&amp;"|"&amp;基本属性!$C$6</f>
        <v>50|0</v>
      </c>
      <c r="B5054" s="10" t="str">
        <f>参数调整!$J$31</f>
        <v>小怪掉落</v>
      </c>
      <c r="C5054" s="8" t="str">
        <f>材料产出!$BD$2</f>
        <v>防具碎片</v>
      </c>
      <c r="D5054" s="224">
        <f>材料产出!$BD$6/(基本属性!$A$6/(基本属性!$AS$6*1/3600))*材料产出!$D$6</f>
        <v>5.0729357552437217E-5</v>
      </c>
    </row>
    <row r="5055" spans="1:4" ht="16.5" x14ac:dyDescent="0.3">
      <c r="A5055" s="10" t="str">
        <f>基本属性!$B$7&amp;"|"&amp;基本属性!$C$7</f>
        <v>60|0</v>
      </c>
      <c r="B5055" s="10" t="str">
        <f>参数调整!$J$31</f>
        <v>小怪掉落</v>
      </c>
      <c r="C5055" s="8" t="str">
        <f>材料产出!$BD$2</f>
        <v>防具碎片</v>
      </c>
      <c r="D5055" s="224">
        <f>材料产出!$BD$7/(基本属性!$A$7/(基本属性!$AS$7*1/3600))*材料产出!$D$7</f>
        <v>6.1382522638449028E-5</v>
      </c>
    </row>
    <row r="5056" spans="1:4" ht="16.5" x14ac:dyDescent="0.3">
      <c r="A5056" s="10" t="str">
        <f>基本属性!$B$8&amp;"|"&amp;基本属性!$C$8</f>
        <v>65|0</v>
      </c>
      <c r="B5056" s="10" t="str">
        <f>参数调整!$J$31</f>
        <v>小怪掉落</v>
      </c>
      <c r="C5056" s="8" t="str">
        <f>材料产出!$BD$2</f>
        <v>防具碎片</v>
      </c>
      <c r="D5056" s="224">
        <f>材料产出!$BD$8/(基本属性!$A$8/(基本属性!$AS$8*1/3600))*材料产出!$D$8</f>
        <v>7.3050274875509588E-5</v>
      </c>
    </row>
    <row r="5057" spans="1:4" ht="16.5" x14ac:dyDescent="0.3">
      <c r="A5057" s="10" t="str">
        <f>基本属性!$B$9&amp;"|"&amp;基本属性!$C$9</f>
        <v>70|0</v>
      </c>
      <c r="B5057" s="10" t="str">
        <f>参数调整!$J$31</f>
        <v>小怪掉落</v>
      </c>
      <c r="C5057" s="8" t="str">
        <f>材料产出!$BD$2</f>
        <v>防具碎片</v>
      </c>
      <c r="D5057" s="224">
        <f>材料产出!$BD$9/(基本属性!$A$9/(基本属性!$AS$9*1/3600))*材料产出!$D$9</f>
        <v>8.5732614263618891E-5</v>
      </c>
    </row>
    <row r="5058" spans="1:4" ht="16.5" x14ac:dyDescent="0.3">
      <c r="A5058" s="10" t="str">
        <f>基本属性!$B$10&amp;"|"&amp;基本属性!$C$10</f>
        <v>75|0</v>
      </c>
      <c r="B5058" s="10" t="str">
        <f>参数调整!$J$31</f>
        <v>小怪掉落</v>
      </c>
      <c r="C5058" s="8" t="str">
        <f>材料产出!$BD$2</f>
        <v>防具碎片</v>
      </c>
      <c r="D5058" s="224">
        <f>材料产出!$BD$10/(基本属性!$A$10/(基本属性!$AS$10*1/3600))*材料产出!$D$10</f>
        <v>9.9429540802776923E-5</v>
      </c>
    </row>
    <row r="5059" spans="1:4" ht="16.5" x14ac:dyDescent="0.3">
      <c r="A5059" s="10" t="str">
        <f>基本属性!$B$11&amp;"|"&amp;基本属性!$C$11</f>
        <v>80|1</v>
      </c>
      <c r="B5059" s="10" t="str">
        <f>参数调整!$J$31</f>
        <v>小怪掉落</v>
      </c>
      <c r="C5059" s="8" t="str">
        <f>材料产出!$BD$2</f>
        <v>防具碎片</v>
      </c>
      <c r="D5059" s="224">
        <f>材料产出!$BD$11/(基本属性!$A$11/(基本属性!$AS$11*1/3600))*材料产出!$D$11</f>
        <v>1.1414105449298372E-4</v>
      </c>
    </row>
    <row r="5060" spans="1:4" ht="16.5" x14ac:dyDescent="0.3">
      <c r="A5060" s="10" t="str">
        <f>基本属性!$B$12&amp;"|"&amp;基本属性!$C$12</f>
        <v>90|2</v>
      </c>
      <c r="B5060" s="10" t="str">
        <f>参数调整!$J$31</f>
        <v>小怪掉落</v>
      </c>
      <c r="C5060" s="8" t="str">
        <f>材料产出!$BD$2</f>
        <v>防具碎片</v>
      </c>
      <c r="D5060" s="224">
        <f>材料产出!$BD$12/(基本属性!$A$12/(基本属性!$AS$12*1/3600))*材料产出!$D$12</f>
        <v>1.298671553342393E-4</v>
      </c>
    </row>
    <row r="5061" spans="1:4" ht="16.5" x14ac:dyDescent="0.3">
      <c r="A5061" s="10" t="str">
        <f>基本属性!$B$13&amp;"|"&amp;基本属性!$C$13</f>
        <v>100|3</v>
      </c>
      <c r="B5061" s="10" t="str">
        <f>参数调整!$J$31</f>
        <v>小怪掉落</v>
      </c>
      <c r="C5061" s="8" t="str">
        <f>材料产出!$BD$2</f>
        <v>防具碎片</v>
      </c>
      <c r="D5061" s="224">
        <f>材料产出!$BD$13/(基本属性!$A$13/(基本属性!$AS$13*1/3600))*材料产出!$D$13</f>
        <v>1.643631184698966E-4</v>
      </c>
    </row>
    <row r="5062" spans="1:4" ht="16.5" x14ac:dyDescent="0.3">
      <c r="A5062" s="10" t="str">
        <f>基本属性!$B$14&amp;"|"&amp;基本属性!$C$14</f>
        <v>105|4</v>
      </c>
      <c r="B5062" s="10" t="str">
        <f>参数调整!$J$31</f>
        <v>小怪掉落</v>
      </c>
      <c r="C5062" s="8" t="str">
        <f>材料产出!$BD$2</f>
        <v>防具碎片</v>
      </c>
      <c r="D5062" s="224">
        <f>材料产出!$BD$14/(基本属性!$A$14/(基本属性!$AS$14*1/3600))*材料产出!$D$14</f>
        <v>2.0291743020974887E-4</v>
      </c>
    </row>
    <row r="5063" spans="1:4" ht="16.5" x14ac:dyDescent="0.3">
      <c r="A5063" s="10" t="str">
        <f>基本属性!$B$15&amp;"|"&amp;基本属性!$C$15</f>
        <v>110|5</v>
      </c>
      <c r="B5063" s="10" t="str">
        <f>参数调整!$J$31</f>
        <v>小怪掉落</v>
      </c>
      <c r="C5063" s="8" t="str">
        <f>材料产出!$BD$2</f>
        <v>防具碎片</v>
      </c>
      <c r="D5063" s="224">
        <f>材料产出!$BD$15/(基本属性!$A$15/(基本属性!$AS$15*1/3600))*材料产出!$D$15</f>
        <v>2.4553009055379617E-4</v>
      </c>
    </row>
    <row r="5064" spans="1:4" ht="16.5" x14ac:dyDescent="0.3">
      <c r="A5064" s="10" t="str">
        <f>基本属性!$B$16&amp;"|"&amp;基本属性!$C$16</f>
        <v>120|6</v>
      </c>
      <c r="B5064" s="10" t="str">
        <f>参数调整!$J$31</f>
        <v>小怪掉落</v>
      </c>
      <c r="C5064" s="8" t="str">
        <f>材料产出!$BD$2</f>
        <v>防具碎片</v>
      </c>
      <c r="D5064" s="224">
        <f>材料产出!$BD$16/(基本属性!$A$16/(基本属性!$AS$16*1/3600))*材料产出!$D$16</f>
        <v>3.1705848470273265E-4</v>
      </c>
    </row>
    <row r="5065" spans="1:4" ht="16.5" x14ac:dyDescent="0.3">
      <c r="A5065" s="10" t="str">
        <f>基本属性!$B$17&amp;"|"&amp;基本属性!$C$17</f>
        <v>135|7</v>
      </c>
      <c r="B5065" s="10" t="str">
        <f>参数调整!$J$31</f>
        <v>小怪掉落</v>
      </c>
      <c r="C5065" s="8" t="str">
        <f>材料产出!$BD$2</f>
        <v>防具碎片</v>
      </c>
      <c r="D5065" s="224">
        <f>材料产出!$BD$17/(基本属性!$A$17/(基本属性!$AS$17*1/3600))*材料产出!$D$17</f>
        <v>4.565642179719349E-4</v>
      </c>
    </row>
    <row r="5066" spans="1:4" ht="16.5" x14ac:dyDescent="0.3">
      <c r="A5066" s="10" t="str">
        <f>基本属性!$B$18&amp;"|"&amp;基本属性!$C$18</f>
        <v>155|8</v>
      </c>
      <c r="B5066" s="10" t="str">
        <f>参数调整!$J$31</f>
        <v>小怪掉落</v>
      </c>
      <c r="C5066" s="8" t="str">
        <f>材料产出!$BD$2</f>
        <v>防具碎片</v>
      </c>
      <c r="D5066" s="224">
        <f>材料产出!$BD$18/(基本属性!$A$18/(基本属性!$AS$18*1/3600))*材料产出!$D$18</f>
        <v>6.2143463001735591E-4</v>
      </c>
    </row>
    <row r="5067" spans="1:4" ht="16.5" x14ac:dyDescent="0.3">
      <c r="A5067" s="10" t="str">
        <f>基本属性!$B$19&amp;"|"&amp;基本属性!$C$19</f>
        <v>190|9</v>
      </c>
      <c r="B5067" s="10" t="str">
        <f>参数调整!$J$31</f>
        <v>小怪掉落</v>
      </c>
      <c r="C5067" s="8" t="str">
        <f>材料产出!$BD$2</f>
        <v>防具碎片</v>
      </c>
      <c r="D5067" s="224">
        <f>材料产出!$BD$19/(基本属性!$A$19/(基本属性!$AS$19*1/3600))*材料产出!$D$19</f>
        <v>6.9448490489286549E-4</v>
      </c>
    </row>
    <row r="5068" spans="1:4" ht="16.5" x14ac:dyDescent="0.3">
      <c r="A5068" s="10" t="str">
        <f>基本属性!$B$20&amp;"|"&amp;基本属性!$C$20</f>
        <v>200|10</v>
      </c>
      <c r="B5068" s="10" t="str">
        <f>参数调整!$J$31</f>
        <v>小怪掉落</v>
      </c>
      <c r="C5068" s="8" t="str">
        <f>材料产出!$BD$2</f>
        <v>防具碎片</v>
      </c>
      <c r="D5068" s="224">
        <f>材料产出!$BD$20/(基本属性!$A$20/(基本属性!$AS$20*1/3600))*材料产出!$D$20</f>
        <v>8.1166972083899548E-4</v>
      </c>
    </row>
    <row r="5069" spans="1:4" ht="16.5" x14ac:dyDescent="0.3">
      <c r="A5069" s="10" t="str">
        <f>基本属性!$B$21&amp;"|"&amp;基本属性!$C$21</f>
        <v>200|11</v>
      </c>
      <c r="B5069" s="10" t="str">
        <f>参数调整!$J$31</f>
        <v>小怪掉落</v>
      </c>
      <c r="C5069" s="8" t="str">
        <f>材料产出!$BD$2</f>
        <v>防具碎片</v>
      </c>
      <c r="D5069" s="224">
        <f>材料产出!$BD$21/(基本属性!$A$21/(基本属性!$AS$21*1/3600))*材料产出!$D$21</f>
        <v>9.3798582114456382E-4</v>
      </c>
    </row>
    <row r="5070" spans="1:4" ht="16.5" x14ac:dyDescent="0.3">
      <c r="A5070" s="10" t="str">
        <f>基本属性!$B$22&amp;"|"&amp;基本属性!$C$22</f>
        <v>210|12</v>
      </c>
      <c r="B5070" s="10" t="str">
        <f>参数调整!$J$31</f>
        <v>小怪掉落</v>
      </c>
      <c r="C5070" s="8" t="str">
        <f>材料产出!$BD$2</f>
        <v>防具碎片</v>
      </c>
      <c r="D5070" s="224">
        <f>材料产出!$BD$22/(基本属性!$A$22/(基本属性!$AS$22*1/3600))*材料产出!$D$22</f>
        <v>1.0734332058095711E-3</v>
      </c>
    </row>
    <row r="5071" spans="1:4" ht="16.5" x14ac:dyDescent="0.3">
      <c r="A5071" s="10" t="str">
        <f>基本属性!$B$23&amp;"|"&amp;基本属性!$C$23</f>
        <v>210|13</v>
      </c>
      <c r="B5071" s="10" t="str">
        <f>参数调整!$J$31</f>
        <v>小怪掉落</v>
      </c>
      <c r="C5071" s="8" t="str">
        <f>材料产出!$BD$2</f>
        <v>防具碎片</v>
      </c>
      <c r="D5071" s="224">
        <f>材料产出!$BD$23/(基本属性!$A$23/(基本属性!$AS$23*1/3600))*材料产出!$D$23</f>
        <v>1.2180118748340177E-3</v>
      </c>
    </row>
    <row r="5072" spans="1:4" ht="16.5" x14ac:dyDescent="0.3">
      <c r="A5072" s="10" t="str">
        <f>基本属性!$B$24&amp;"|"&amp;基本属性!$C$24</f>
        <v>220|14</v>
      </c>
      <c r="B5072" s="10" t="str">
        <f>参数调整!$J$31</f>
        <v>小怪掉落</v>
      </c>
      <c r="C5072" s="8" t="str">
        <f>材料产出!$BD$2</f>
        <v>防具碎片</v>
      </c>
      <c r="D5072" s="224">
        <f>材料产出!$BD$24/(基本属性!$A$24/(基本属性!$AS$24*1/3600))*材料产出!$D$24</f>
        <v>1.3717218282179023E-3</v>
      </c>
    </row>
    <row r="5073" spans="1:4" ht="16.5" x14ac:dyDescent="0.3">
      <c r="A5073" s="10" t="str">
        <f>基本属性!$B$25&amp;"|"&amp;基本属性!$C$25</f>
        <v>220|15</v>
      </c>
      <c r="B5073" s="10" t="str">
        <f>参数调整!$J$31</f>
        <v>小怪掉落</v>
      </c>
      <c r="C5073" s="8" t="str">
        <f>材料产出!$BD$2</f>
        <v>防具碎片</v>
      </c>
      <c r="D5073" s="224">
        <f>材料产出!$BD$25/(基本属性!$A$25/(基本属性!$AS$25*1/3600))*材料产出!$D$25</f>
        <v>1.5345630659612253E-3</v>
      </c>
    </row>
    <row r="5074" spans="1:4" ht="16.5" x14ac:dyDescent="0.3">
      <c r="A5074" s="10" t="str">
        <f>基本属性!$B$26&amp;"|"&amp;基本属性!$C$26</f>
        <v>230|16</v>
      </c>
      <c r="B5074" s="10" t="str">
        <f>参数调整!$J$31</f>
        <v>小怪掉落</v>
      </c>
      <c r="C5074" s="8" t="str">
        <f>材料产出!$BD$2</f>
        <v>防具碎片</v>
      </c>
      <c r="D5074" s="224">
        <f>材料产出!$BD$26/(基本属性!$A$26/(基本属性!$AS$26*1/3600))*材料产出!$D$26</f>
        <v>1.7065355880639876E-3</v>
      </c>
    </row>
    <row r="5075" spans="1:4" ht="16.5" x14ac:dyDescent="0.3">
      <c r="A5075" s="10" t="str">
        <f>基本属性!$B$27&amp;"|"&amp;基本属性!$C$27</f>
        <v>230|17</v>
      </c>
      <c r="B5075" s="10" t="str">
        <f>参数调整!$J$31</f>
        <v>小怪掉落</v>
      </c>
      <c r="C5075" s="8" t="str">
        <f>材料产出!$BD$2</f>
        <v>防具碎片</v>
      </c>
      <c r="D5075" s="224">
        <f>材料产出!$BD$27/(基本属性!$A$27/(基本属性!$AS$27*1/3600))*材料产出!$D$27</f>
        <v>1.8876393945261884E-3</v>
      </c>
    </row>
    <row r="5076" spans="1:4" ht="16.5" x14ac:dyDescent="0.3">
      <c r="A5076" s="10" t="str">
        <f>基本属性!$B$28&amp;"|"&amp;基本属性!$C$28</f>
        <v>240|18</v>
      </c>
      <c r="B5076" s="10" t="str">
        <f>参数调整!$J$31</f>
        <v>小怪掉落</v>
      </c>
      <c r="C5076" s="8" t="str">
        <f>材料产出!$BD$2</f>
        <v>防具碎片</v>
      </c>
      <c r="D5076" s="224">
        <f>材料产出!$BD$28/(基本属性!$A$28/(基本属性!$AS$28*1/3600))*材料产出!$D$28</f>
        <v>2.0778744853478283E-3</v>
      </c>
    </row>
    <row r="5077" spans="1:4" ht="16.5" x14ac:dyDescent="0.3">
      <c r="A5077" s="10" t="str">
        <f>基本属性!$B$29&amp;"|"&amp;基本属性!$C$29</f>
        <v>240|19</v>
      </c>
      <c r="B5077" s="10" t="str">
        <f>参数调整!$J$31</f>
        <v>小怪掉落</v>
      </c>
      <c r="C5077" s="8" t="str">
        <f>材料产出!$BD$2</f>
        <v>防具碎片</v>
      </c>
      <c r="D5077" s="224">
        <f>材料产出!$BD$29/(基本属性!$A$29/(基本属性!$AS$29*1/3600))*材料产出!$D$29</f>
        <v>2.2772408605289066E-3</v>
      </c>
    </row>
    <row r="5078" spans="1:4" ht="16.5" x14ac:dyDescent="0.3">
      <c r="A5078" s="10" t="str">
        <f>基本属性!$B$30&amp;"|"&amp;基本属性!$C$30</f>
        <v>250|20</v>
      </c>
      <c r="B5078" s="10" t="str">
        <f>参数调整!$J$31</f>
        <v>小怪掉落</v>
      </c>
      <c r="C5078" s="8" t="str">
        <f>材料产出!$BD$2</f>
        <v>防具碎片</v>
      </c>
      <c r="D5078" s="224">
        <f>材料产出!$BD$30/(基本属性!$A$30/(基本属性!$AS$30*1/3600))*材料产出!$D$30</f>
        <v>2.4857385200694228E-3</v>
      </c>
    </row>
    <row r="5079" spans="1:4" ht="16.5" x14ac:dyDescent="0.3">
      <c r="A5079" s="10" t="str">
        <f>基本属性!$B$4&amp;"|"&amp;基本属性!$C$4</f>
        <v>35|0</v>
      </c>
      <c r="B5079" s="10" t="str">
        <f>参数调整!$J$31</f>
        <v>小怪掉落</v>
      </c>
      <c r="C5079" s="8" t="str">
        <f>材料产出!$AD$2</f>
        <v>凡品升星石</v>
      </c>
      <c r="D5079" s="224">
        <f>材料产出!$AD$4/(基本属性!$A$4/(基本属性!$AS$4*1/3600))*材料产出!$D$4</f>
        <v>4.5365042618120592E-3</v>
      </c>
    </row>
    <row r="5080" spans="1:4" ht="16.5" x14ac:dyDescent="0.3">
      <c r="A5080" s="10" t="str">
        <f>基本属性!$B$5&amp;"|"&amp;基本属性!$C$5</f>
        <v>40|0</v>
      </c>
      <c r="B5080" s="10" t="str">
        <f>参数调整!$J$31</f>
        <v>小怪掉落</v>
      </c>
      <c r="C5080" s="8" t="str">
        <f>材料产出!$AD$2</f>
        <v>凡品升星石</v>
      </c>
      <c r="D5080" s="224">
        <f>材料产出!$AD$5/(基本属性!$A$5/(基本属性!$AS$5*1/3600))*材料产出!$D$5</f>
        <v>5.7415132063558891E-3</v>
      </c>
    </row>
    <row r="5081" spans="1:4" ht="16.5" x14ac:dyDescent="0.3">
      <c r="A5081" s="10" t="str">
        <f>基本属性!$B$6&amp;"|"&amp;基本属性!$C$6</f>
        <v>50|0</v>
      </c>
      <c r="B5081" s="10" t="str">
        <f>参数调整!$J$31</f>
        <v>小怪掉落</v>
      </c>
      <c r="C5081" s="8" t="str">
        <f>材料产出!$AD$2</f>
        <v>凡品升星石</v>
      </c>
      <c r="D5081" s="224">
        <f>材料产出!$AD$6/(基本属性!$A$6/(基本属性!$AS$6*1/3600))*材料产出!$D$6</f>
        <v>7.0882879090813436E-3</v>
      </c>
    </row>
    <row r="5082" spans="1:4" ht="16.5" x14ac:dyDescent="0.3">
      <c r="A5082" s="10" t="str">
        <f>基本属性!$B$7&amp;"|"&amp;基本属性!$C$7</f>
        <v>60|0</v>
      </c>
      <c r="B5082" s="10" t="str">
        <f>参数调整!$J$31</f>
        <v>小怪掉落</v>
      </c>
      <c r="C5082" s="8" t="str">
        <f>材料产出!$AD$2</f>
        <v>凡品升星石</v>
      </c>
      <c r="D5082" s="224">
        <f>材料产出!$AD$7/(基本属性!$A$7/(基本属性!$AS$7*1/3600))*材料产出!$D$7</f>
        <v>8.5768283699884252E-3</v>
      </c>
    </row>
    <row r="5083" spans="1:4" ht="16.5" x14ac:dyDescent="0.3">
      <c r="A5083" s="10" t="str">
        <f>基本属性!$B$8&amp;"|"&amp;基本属性!$C$8</f>
        <v>65|0</v>
      </c>
      <c r="B5083" s="10" t="str">
        <f>参数调整!$J$31</f>
        <v>小怪掉落</v>
      </c>
      <c r="C5083" s="8" t="str">
        <f>材料产出!$AD$2</f>
        <v>凡品升星石</v>
      </c>
      <c r="D5083" s="224">
        <f>材料产出!$AD$8/(基本属性!$A$8/(基本属性!$AS$8*1/3600))*材料产出!$D$8</f>
        <v>1.0207134589077134E-2</v>
      </c>
    </row>
    <row r="5084" spans="1:4" ht="16.5" x14ac:dyDescent="0.3">
      <c r="A5084" s="10" t="str">
        <f>基本属性!$B$9&amp;"|"&amp;基本属性!$C$9</f>
        <v>70|0</v>
      </c>
      <c r="B5084" s="10" t="str">
        <f>参数调整!$J$31</f>
        <v>小怪掉落</v>
      </c>
      <c r="C5084" s="8" t="str">
        <f>材料产出!$AD$2</f>
        <v>凡品升星石</v>
      </c>
      <c r="D5084" s="224">
        <f>材料产出!$AD$9/(基本属性!$A$9/(基本属性!$AS$9*1/3600))*材料产出!$D$9</f>
        <v>1.197920656634747E-2</v>
      </c>
    </row>
    <row r="5085" spans="1:4" ht="16.5" x14ac:dyDescent="0.3">
      <c r="A5085" s="10" t="str">
        <f>基本属性!$B$10&amp;"|"&amp;基本属性!$C$10</f>
        <v>75|0</v>
      </c>
      <c r="B5085" s="10" t="str">
        <f>参数调整!$J$31</f>
        <v>小怪掉落</v>
      </c>
      <c r="C5085" s="8" t="str">
        <f>材料产出!$AD$2</f>
        <v>凡品升星石</v>
      </c>
      <c r="D5085" s="224">
        <f>材料产出!$AD$10/(基本属性!$A$10/(基本属性!$AS$10*1/3600))*材料产出!$D$10</f>
        <v>1.3893044301799431E-2</v>
      </c>
    </row>
    <row r="5086" spans="1:4" ht="16.5" x14ac:dyDescent="0.3">
      <c r="A5086" s="10" t="str">
        <f>基本属性!$B$11&amp;"|"&amp;基本属性!$C$11</f>
        <v>80|1</v>
      </c>
      <c r="B5086" s="10" t="str">
        <f>参数调整!$J$31</f>
        <v>小怪掉落</v>
      </c>
      <c r="C5086" s="8" t="str">
        <f>材料产出!$AD$2</f>
        <v>凡品升星石</v>
      </c>
      <c r="D5086" s="224">
        <f>材料产出!$AD$11/(基本属性!$A$11/(基本属性!$AS$11*1/3600))*材料产出!$D$11</f>
        <v>1.5948647795433021E-2</v>
      </c>
    </row>
    <row r="5087" spans="1:4" ht="16.5" x14ac:dyDescent="0.3">
      <c r="A5087" s="10" t="str">
        <f>基本属性!$B$12&amp;"|"&amp;基本属性!$C$12</f>
        <v>90|2</v>
      </c>
      <c r="B5087" s="10" t="str">
        <f>参数调整!$J$31</f>
        <v>小怪掉落</v>
      </c>
      <c r="C5087" s="8" t="str">
        <f>材料产出!$AD$2</f>
        <v>凡品升星石</v>
      </c>
      <c r="D5087" s="224">
        <f>材料产出!$AD$12/(基本属性!$A$12/(基本属性!$AS$12*1/3600))*材料产出!$D$12</f>
        <v>1.8146017047248244E-2</v>
      </c>
    </row>
    <row r="5088" spans="1:4" ht="16.5" x14ac:dyDescent="0.3">
      <c r="A5088" s="10" t="str">
        <f>基本属性!$B$13&amp;"|"&amp;基本属性!$C$13</f>
        <v>100|3</v>
      </c>
      <c r="B5088" s="10" t="str">
        <f>参数调整!$J$31</f>
        <v>小怪掉落</v>
      </c>
      <c r="C5088" s="8" t="str">
        <f>材料产出!$AD$2</f>
        <v>凡品升星石</v>
      </c>
      <c r="D5088" s="224">
        <f>材料产出!$AD$13/(基本属性!$A$13/(基本属性!$AS$13*1/3600))*材料产出!$D$13</f>
        <v>2.2966052825423557E-2</v>
      </c>
    </row>
    <row r="5089" spans="1:4" ht="16.5" x14ac:dyDescent="0.3">
      <c r="A5089" s="10" t="str">
        <f>基本属性!$B$14&amp;"|"&amp;基本属性!$C$14</f>
        <v>105|4</v>
      </c>
      <c r="B5089" s="10" t="str">
        <f>参数调整!$J$31</f>
        <v>小怪掉落</v>
      </c>
      <c r="C5089" s="8" t="str">
        <f>材料产出!$AD$2</f>
        <v>凡品升星石</v>
      </c>
      <c r="D5089" s="224">
        <f>材料产出!$AD$14/(基本属性!$A$14/(基本属性!$AS$14*1/3600))*材料产出!$D$14</f>
        <v>2.8353151636325371E-2</v>
      </c>
    </row>
    <row r="5090" spans="1:4" ht="16.5" x14ac:dyDescent="0.3">
      <c r="A5090" s="10" t="str">
        <f>基本属性!$B$15&amp;"|"&amp;基本属性!$C$15</f>
        <v>110|5</v>
      </c>
      <c r="B5090" s="10" t="str">
        <f>参数调整!$J$31</f>
        <v>小怪掉落</v>
      </c>
      <c r="C5090" s="8" t="str">
        <f>材料产出!$AD$2</f>
        <v>凡品升星石</v>
      </c>
      <c r="D5090" s="224">
        <f>材料产出!$AD$15/(基本属性!$A$15/(基本属性!$AS$15*1/3600))*材料产出!$D$15</f>
        <v>3.4307313479953701E-2</v>
      </c>
    </row>
    <row r="5091" spans="1:4" ht="16.5" x14ac:dyDescent="0.3">
      <c r="A5091" s="10" t="str">
        <f>基本属性!$B$16&amp;"|"&amp;基本属性!$C$16</f>
        <v>120|6</v>
      </c>
      <c r="B5091" s="10" t="str">
        <f>参数调整!$J$31</f>
        <v>小怪掉落</v>
      </c>
      <c r="C5091" s="8" t="str">
        <f>材料产出!$AD$2</f>
        <v>凡品升星石</v>
      </c>
      <c r="D5091" s="224">
        <f>材料产出!$AD$16/(基本属性!$A$16/(基本属性!$AS$16*1/3600))*材料产出!$D$16</f>
        <v>4.4301799431758396E-2</v>
      </c>
    </row>
    <row r="5092" spans="1:4" ht="16.5" x14ac:dyDescent="0.3">
      <c r="A5092" s="10" t="str">
        <f>基本属性!$B$17&amp;"|"&amp;基本属性!$C$17</f>
        <v>135|7</v>
      </c>
      <c r="B5092" s="10" t="str">
        <f>参数调整!$J$31</f>
        <v>小怪掉落</v>
      </c>
      <c r="C5092" s="8" t="str">
        <f>材料产出!$AD$2</f>
        <v>凡品升星石</v>
      </c>
      <c r="D5092" s="224">
        <f>材料产出!$AD$17/(基本属性!$A$17/(基本属性!$AS$17*1/3600))*材料产出!$D$17</f>
        <v>6.3794591181732085E-2</v>
      </c>
    </row>
    <row r="5093" spans="1:4" ht="16.5" x14ac:dyDescent="0.3">
      <c r="A5093" s="10" t="str">
        <f>基本属性!$B$18&amp;"|"&amp;基本属性!$C$18</f>
        <v>155|8</v>
      </c>
      <c r="B5093" s="10" t="str">
        <f>参数调整!$J$31</f>
        <v>小怪掉落</v>
      </c>
      <c r="C5093" s="8" t="str">
        <f>材料产出!$AD$2</f>
        <v>凡品升星石</v>
      </c>
      <c r="D5093" s="224">
        <f>材料产出!$AD$18/(基本属性!$A$18/(基本属性!$AS$18*1/3600))*材料产出!$D$18</f>
        <v>8.6831526886246471E-2</v>
      </c>
    </row>
    <row r="5094" spans="1:4" ht="16.5" x14ac:dyDescent="0.3">
      <c r="A5094" s="10" t="str">
        <f>基本属性!$B$19&amp;"|"&amp;基本属性!$C$19</f>
        <v>190|9</v>
      </c>
      <c r="B5094" s="10" t="str">
        <f>参数调整!$J$31</f>
        <v>小怪掉落</v>
      </c>
      <c r="C5094" s="8" t="str">
        <f>材料产出!$AD$2</f>
        <v>凡品升星石</v>
      </c>
      <c r="D5094" s="224">
        <f>材料产出!$AD$19/(基本属性!$A$19/(基本属性!$AS$19*1/3600))*材料产出!$D$19</f>
        <v>9.7038661475323612E-2</v>
      </c>
    </row>
    <row r="5095" spans="1:4" ht="16.5" x14ac:dyDescent="0.3">
      <c r="A5095" s="10" t="str">
        <f>基本属性!$B$20&amp;"|"&amp;基本属性!$C$20</f>
        <v>200|10</v>
      </c>
      <c r="B5095" s="10" t="str">
        <f>参数调整!$J$31</f>
        <v>小怪掉落</v>
      </c>
      <c r="C5095" s="8" t="str">
        <f>材料产出!$AD$2</f>
        <v>凡品升星石</v>
      </c>
      <c r="D5095" s="224">
        <f>材料产出!$AD$20/(基本属性!$A$20/(基本属性!$AS$20*1/3600))*材料产出!$D$20</f>
        <v>0.11341260654530148</v>
      </c>
    </row>
    <row r="5096" spans="1:4" ht="16.5" x14ac:dyDescent="0.3">
      <c r="A5096" s="10" t="str">
        <f>基本属性!$B$21&amp;"|"&amp;基本属性!$C$21</f>
        <v>200|11</v>
      </c>
      <c r="B5096" s="10" t="str">
        <f>参数调整!$J$31</f>
        <v>小怪掉落</v>
      </c>
      <c r="C5096" s="8" t="str">
        <f>材料产出!$AD$2</f>
        <v>凡品升星石</v>
      </c>
      <c r="D5096" s="224">
        <f>材料产出!$AD$21/(基本属性!$A$21/(基本属性!$AS$21*1/3600))*材料产出!$D$21</f>
        <v>0.13106244343891402</v>
      </c>
    </row>
    <row r="5097" spans="1:4" ht="16.5" x14ac:dyDescent="0.3">
      <c r="A5097" s="10" t="str">
        <f>基本属性!$B$22&amp;"|"&amp;基本属性!$C$22</f>
        <v>210|12</v>
      </c>
      <c r="B5097" s="10" t="str">
        <f>参数调整!$J$31</f>
        <v>小怪掉落</v>
      </c>
      <c r="C5097" s="8" t="str">
        <f>材料产出!$AD$2</f>
        <v>凡品升星石</v>
      </c>
      <c r="D5097" s="224">
        <f>材料产出!$AD$22/(基本属性!$A$22/(基本属性!$AS$22*1/3600))*材料产出!$D$22</f>
        <v>0.1499881721561612</v>
      </c>
    </row>
    <row r="5098" spans="1:4" ht="16.5" x14ac:dyDescent="0.3">
      <c r="A5098" s="10" t="str">
        <f>基本属性!$B$23&amp;"|"&amp;基本属性!$C$23</f>
        <v>210|13</v>
      </c>
      <c r="B5098" s="10" t="str">
        <f>参数调整!$J$31</f>
        <v>小怪掉落</v>
      </c>
      <c r="C5098" s="8" t="str">
        <f>材料产出!$AD$2</f>
        <v>凡品升星石</v>
      </c>
      <c r="D5098" s="224">
        <f>材料产出!$AD$23/(基本属性!$A$23/(基本属性!$AS$23*1/3600))*材料产出!$D$23</f>
        <v>0.17018979269704304</v>
      </c>
    </row>
    <row r="5099" spans="1:4" ht="16.5" x14ac:dyDescent="0.3">
      <c r="A5099" s="10" t="str">
        <f>基本属性!$B$24&amp;"|"&amp;基本属性!$C$24</f>
        <v>220|14</v>
      </c>
      <c r="B5099" s="10" t="str">
        <f>参数调整!$J$31</f>
        <v>小怪掉落</v>
      </c>
      <c r="C5099" s="8" t="str">
        <f>材料产出!$AD$2</f>
        <v>凡品升星石</v>
      </c>
      <c r="D5099" s="224">
        <f>材料产出!$AD$24/(基本属性!$A$24/(基本属性!$AS$24*1/3600))*材料产出!$D$24</f>
        <v>0.19166730506155955</v>
      </c>
    </row>
    <row r="5100" spans="1:4" ht="16.5" x14ac:dyDescent="0.3">
      <c r="A5100" s="10" t="str">
        <f>基本属性!$B$25&amp;"|"&amp;基本属性!$C$25</f>
        <v>220|15</v>
      </c>
      <c r="B5100" s="10" t="str">
        <f>参数调整!$J$31</f>
        <v>小怪掉落</v>
      </c>
      <c r="C5100" s="8" t="str">
        <f>材料产出!$AD$2</f>
        <v>凡品升星石</v>
      </c>
      <c r="D5100" s="224">
        <f>材料产出!$AD$25/(基本属性!$A$25/(基本属性!$AS$25*1/3600))*材料产出!$D$25</f>
        <v>0.21442070924971057</v>
      </c>
    </row>
    <row r="5101" spans="1:4" ht="16.5" x14ac:dyDescent="0.3">
      <c r="A5101" s="10" t="str">
        <f>基本属性!$B$26&amp;"|"&amp;基本属性!$C$26</f>
        <v>230|16</v>
      </c>
      <c r="B5101" s="10" t="str">
        <f>参数调整!$J$31</f>
        <v>小怪掉落</v>
      </c>
      <c r="C5101" s="8" t="str">
        <f>材料产出!$AD$2</f>
        <v>凡品升星石</v>
      </c>
      <c r="D5101" s="224">
        <f>材料产出!$AD$26/(基本属性!$A$26/(基本属性!$AS$26*1/3600))*材料产出!$D$26</f>
        <v>0.23845000526149637</v>
      </c>
    </row>
    <row r="5102" spans="1:4" ht="16.5" x14ac:dyDescent="0.3">
      <c r="A5102" s="10" t="str">
        <f>基本属性!$B$27&amp;"|"&amp;基本属性!$C$27</f>
        <v>230|17</v>
      </c>
      <c r="B5102" s="10" t="str">
        <f>参数调整!$J$31</f>
        <v>小怪掉落</v>
      </c>
      <c r="C5102" s="8" t="str">
        <f>材料产出!$AD$2</f>
        <v>凡品升星石</v>
      </c>
      <c r="D5102" s="224">
        <f>材料产出!$AD$27/(基本属性!$A$27/(基本属性!$AS$27*1/3600))*材料产出!$D$27</f>
        <v>0.26375519309691675</v>
      </c>
    </row>
    <row r="5103" spans="1:4" ht="16.5" x14ac:dyDescent="0.3">
      <c r="A5103" s="10" t="str">
        <f>基本属性!$B$28&amp;"|"&amp;基本属性!$C$28</f>
        <v>240|18</v>
      </c>
      <c r="B5103" s="10" t="str">
        <f>参数调整!$J$31</f>
        <v>小怪掉落</v>
      </c>
      <c r="C5103" s="8" t="str">
        <f>材料产出!$AD$2</f>
        <v>凡品升星石</v>
      </c>
      <c r="D5103" s="224">
        <f>材料产出!$AD$28/(基本属性!$A$28/(基本属性!$AS$28*1/3600))*材料产出!$D$28</f>
        <v>0.29033627275597185</v>
      </c>
    </row>
    <row r="5104" spans="1:4" ht="16.5" x14ac:dyDescent="0.3">
      <c r="A5104" s="10" t="str">
        <f>基本属性!$B$29&amp;"|"&amp;基本属性!$C$29</f>
        <v>240|19</v>
      </c>
      <c r="B5104" s="10" t="str">
        <f>参数调整!$J$31</f>
        <v>小怪掉落</v>
      </c>
      <c r="C5104" s="8" t="str">
        <f>材料产出!$AD$2</f>
        <v>凡品升星石</v>
      </c>
      <c r="D5104" s="224">
        <f>材料产出!$AD$29/(基本属性!$A$29/(基本属性!$AS$29*1/3600))*材料产出!$D$29</f>
        <v>0.31819324423866152</v>
      </c>
    </row>
    <row r="5105" spans="1:4" ht="16.5" x14ac:dyDescent="0.3">
      <c r="A5105" s="10" t="str">
        <f>基本属性!$B$30&amp;"|"&amp;基本属性!$C$30</f>
        <v>250|20</v>
      </c>
      <c r="B5105" s="10" t="str">
        <f>参数调整!$J$31</f>
        <v>小怪掉落</v>
      </c>
      <c r="C5105" s="8" t="str">
        <f>材料产出!$AD$2</f>
        <v>凡品升星石</v>
      </c>
      <c r="D5105" s="224">
        <f>材料产出!$AD$30/(基本属性!$A$30/(基本属性!$AS$30*1/3600))*材料产出!$D$30</f>
        <v>0.34732610754498577</v>
      </c>
    </row>
    <row r="5106" spans="1:4" ht="16.5" x14ac:dyDescent="0.3">
      <c r="A5106" s="10" t="str">
        <f>基本属性!$B$4&amp;"|"&amp;基本属性!$C$4</f>
        <v>35|0</v>
      </c>
      <c r="B5106" s="10" t="str">
        <f>参数调整!$J$31</f>
        <v>小怪掉落</v>
      </c>
      <c r="C5106" s="8" t="str">
        <f>材料产出!$Z$2</f>
        <v>恶魔头颅</v>
      </c>
      <c r="D5106" s="224">
        <f>材料产出!$Z$4/(基本属性!$A$4/(基本属性!$AS$4*1/3600))*材料产出!$D$4</f>
        <v>5.9074343962982497E-4</v>
      </c>
    </row>
    <row r="5107" spans="1:4" ht="16.5" x14ac:dyDescent="0.3">
      <c r="A5107" s="10" t="str">
        <f>基本属性!$B$5&amp;"|"&amp;基本属性!$C$5</f>
        <v>40|0</v>
      </c>
      <c r="B5107" s="10" t="str">
        <f>参数调整!$J$31</f>
        <v>小怪掉落</v>
      </c>
      <c r="C5107" s="8" t="str">
        <f>材料产出!$Z$2</f>
        <v>恶魔头颅</v>
      </c>
      <c r="D5107" s="224">
        <f>材料产出!$Z$5/(基本属性!$A$5/(基本属性!$AS$5*1/3600))*材料产出!$D$5</f>
        <v>7.4765966578149723E-4</v>
      </c>
    </row>
    <row r="5108" spans="1:4" ht="16.5" x14ac:dyDescent="0.3">
      <c r="A5108" s="10" t="str">
        <f>基本属性!$B$6&amp;"|"&amp;基本属性!$C$6</f>
        <v>50|0</v>
      </c>
      <c r="B5108" s="10" t="str">
        <f>参数调整!$J$31</f>
        <v>小怪掉落</v>
      </c>
      <c r="C5108" s="8" t="str">
        <f>材料产出!$Z$2</f>
        <v>恶魔头颅</v>
      </c>
      <c r="D5108" s="224">
        <f>材料产出!$Z$6/(基本属性!$A$6/(基本属性!$AS$6*1/3600))*材料产出!$D$6</f>
        <v>9.2303662442160146E-4</v>
      </c>
    </row>
    <row r="5109" spans="1:4" ht="16.5" x14ac:dyDescent="0.3">
      <c r="A5109" s="10" t="str">
        <f>基本属性!$B$7&amp;"|"&amp;基本属性!$C$7</f>
        <v>60|0</v>
      </c>
      <c r="B5109" s="10" t="str">
        <f>参数调整!$J$31</f>
        <v>小怪掉落</v>
      </c>
      <c r="C5109" s="8" t="str">
        <f>材料产出!$Z$2</f>
        <v>恶魔头颅</v>
      </c>
      <c r="D5109" s="224">
        <f>材料产出!$Z$7/(基本属性!$A$7/(基本属性!$AS$7*1/3600))*材料产出!$D$7</f>
        <v>1.116874315550138E-3</v>
      </c>
    </row>
    <row r="5110" spans="1:4" ht="16.5" x14ac:dyDescent="0.3">
      <c r="A5110" s="10" t="str">
        <f>基本属性!$B$8&amp;"|"&amp;基本属性!$C$8</f>
        <v>65|0</v>
      </c>
      <c r="B5110" s="10" t="str">
        <f>参数调整!$J$31</f>
        <v>小怪掉落</v>
      </c>
      <c r="C5110" s="8" t="str">
        <f>材料产出!$Z$2</f>
        <v>恶魔头颅</v>
      </c>
      <c r="D5110" s="224">
        <f>材料产出!$Z$8/(基本属性!$A$8/(基本属性!$AS$8*1/3600))*材料产出!$D$8</f>
        <v>1.3291727391671062E-3</v>
      </c>
    </row>
    <row r="5111" spans="1:4" ht="16.5" x14ac:dyDescent="0.3">
      <c r="A5111" s="10" t="str">
        <f>基本属性!$B$9&amp;"|"&amp;基本属性!$C$9</f>
        <v>70|0</v>
      </c>
      <c r="B5111" s="10" t="str">
        <f>参数调整!$J$31</f>
        <v>小怪掉落</v>
      </c>
      <c r="C5111" s="8" t="str">
        <f>材料产出!$Z$2</f>
        <v>恶魔头颅</v>
      </c>
      <c r="D5111" s="224">
        <f>材料产出!$Z$9/(基本属性!$A$9/(基本属性!$AS$9*1/3600))*材料产出!$D$9</f>
        <v>1.5599318952725066E-3</v>
      </c>
    </row>
    <row r="5112" spans="1:4" ht="16.5" x14ac:dyDescent="0.3">
      <c r="A5112" s="10" t="str">
        <f>基本属性!$B$10&amp;"|"&amp;基本属性!$C$10</f>
        <v>75|0</v>
      </c>
      <c r="B5112" s="10" t="str">
        <f>参数调整!$J$31</f>
        <v>小怪掉落</v>
      </c>
      <c r="C5112" s="8" t="str">
        <f>材料产出!$Z$2</f>
        <v>恶魔头颅</v>
      </c>
      <c r="D5112" s="224">
        <f>材料产出!$Z$10/(基本属性!$A$10/(基本属性!$AS$10*1/3600))*材料产出!$D$10</f>
        <v>1.8091517838663388E-3</v>
      </c>
    </row>
    <row r="5113" spans="1:4" ht="16.5" x14ac:dyDescent="0.3">
      <c r="A5113" s="10" t="str">
        <f>基本属性!$B$11&amp;"|"&amp;基本属性!$C$11</f>
        <v>80|1</v>
      </c>
      <c r="B5113" s="10" t="str">
        <f>参数调整!$J$31</f>
        <v>小怪掉落</v>
      </c>
      <c r="C5113" s="8" t="str">
        <f>材料产出!$Z$2</f>
        <v>恶魔头颅</v>
      </c>
      <c r="D5113" s="224">
        <f>材料产出!$Z$11/(基本属性!$A$11/(基本属性!$AS$11*1/3600))*材料产出!$D$11</f>
        <v>2.0768324049486035E-3</v>
      </c>
    </row>
    <row r="5114" spans="1:4" ht="16.5" x14ac:dyDescent="0.3">
      <c r="A5114" s="10" t="str">
        <f>基本属性!$B$12&amp;"|"&amp;基本属性!$C$12</f>
        <v>90|2</v>
      </c>
      <c r="B5114" s="10" t="str">
        <f>参数调整!$J$31</f>
        <v>小怪掉落</v>
      </c>
      <c r="C5114" s="8" t="str">
        <f>材料产出!$Z$2</f>
        <v>恶魔头颅</v>
      </c>
      <c r="D5114" s="224">
        <f>材料产出!$Z$12/(基本属性!$A$12/(基本属性!$AS$12*1/3600))*材料产出!$D$12</f>
        <v>2.3629737585193003E-3</v>
      </c>
    </row>
    <row r="5115" spans="1:4" ht="16.5" x14ac:dyDescent="0.3">
      <c r="A5115" s="10" t="str">
        <f>基本属性!$B$13&amp;"|"&amp;基本属性!$C$13</f>
        <v>100|3</v>
      </c>
      <c r="B5115" s="10" t="str">
        <f>参数调整!$J$31</f>
        <v>小怪掉落</v>
      </c>
      <c r="C5115" s="8" t="str">
        <f>材料产出!$Z$2</f>
        <v>恶魔头颅</v>
      </c>
      <c r="D5115" s="224">
        <f>材料产出!$Z$13/(基本属性!$A$13/(基本属性!$AS$13*1/3600))*材料产出!$D$13</f>
        <v>2.9906386631259893E-3</v>
      </c>
    </row>
    <row r="5116" spans="1:4" ht="16.5" x14ac:dyDescent="0.3">
      <c r="A5116" s="10" t="str">
        <f>基本属性!$B$14&amp;"|"&amp;基本属性!$C$14</f>
        <v>105|4</v>
      </c>
      <c r="B5116" s="10" t="str">
        <f>参数调整!$J$31</f>
        <v>小怪掉落</v>
      </c>
      <c r="C5116" s="8" t="str">
        <f>材料产出!$Z$2</f>
        <v>恶魔头颅</v>
      </c>
      <c r="D5116" s="224">
        <f>材料产出!$Z$14/(基本属性!$A$14/(基本属性!$AS$14*1/3600))*材料产出!$D$14</f>
        <v>3.6921464976864059E-3</v>
      </c>
    </row>
    <row r="5117" spans="1:4" ht="16.5" x14ac:dyDescent="0.3">
      <c r="A5117" s="10" t="str">
        <f>基本属性!$B$15&amp;"|"&amp;基本属性!$C$15</f>
        <v>110|5</v>
      </c>
      <c r="B5117" s="10" t="str">
        <f>参数调整!$J$31</f>
        <v>小怪掉落</v>
      </c>
      <c r="C5117" s="8" t="str">
        <f>材料产出!$Z$2</f>
        <v>恶魔头颅</v>
      </c>
      <c r="D5117" s="224">
        <f>材料产出!$Z$15/(基本属性!$A$15/(基本属性!$AS$15*1/3600))*材料产出!$D$15</f>
        <v>4.467497262200552E-3</v>
      </c>
    </row>
    <row r="5118" spans="1:4" ht="16.5" x14ac:dyDescent="0.3">
      <c r="A5118" s="10" t="str">
        <f>基本属性!$B$16&amp;"|"&amp;基本属性!$C$16</f>
        <v>120|6</v>
      </c>
      <c r="B5118" s="10" t="str">
        <f>参数调整!$J$31</f>
        <v>小怪掉落</v>
      </c>
      <c r="C5118" s="8" t="str">
        <f>材料产出!$Z$2</f>
        <v>恶魔头颅</v>
      </c>
      <c r="D5118" s="224">
        <f>材料产出!$Z$16/(基本属性!$A$16/(基本属性!$AS$16*1/3600))*材料产出!$D$16</f>
        <v>5.7689789026350094E-3</v>
      </c>
    </row>
    <row r="5119" spans="1:4" ht="16.5" x14ac:dyDescent="0.3">
      <c r="A5119" s="10" t="str">
        <f>基本属性!$B$17&amp;"|"&amp;基本属性!$C$17</f>
        <v>135|7</v>
      </c>
      <c r="B5119" s="10" t="str">
        <f>参数调整!$J$31</f>
        <v>小怪掉落</v>
      </c>
      <c r="C5119" s="8" t="str">
        <f>材料产出!$Z$2</f>
        <v>恶魔头颅</v>
      </c>
      <c r="D5119" s="224">
        <f>材料产出!$Z$17/(基本属性!$A$17/(基本属性!$AS$17*1/3600))*材料产出!$D$17</f>
        <v>8.3073296197944142E-3</v>
      </c>
    </row>
    <row r="5120" spans="1:4" ht="16.5" x14ac:dyDescent="0.3">
      <c r="A5120" s="10" t="str">
        <f>基本属性!$B$18&amp;"|"&amp;基本属性!$C$18</f>
        <v>155|8</v>
      </c>
      <c r="B5120" s="10" t="str">
        <f>参数调整!$J$31</f>
        <v>小怪掉落</v>
      </c>
      <c r="C5120" s="8" t="str">
        <f>材料产出!$Z$2</f>
        <v>恶魔头颅</v>
      </c>
      <c r="D5120" s="224">
        <f>材料产出!$Z$18/(基本属性!$A$18/(基本属性!$AS$18*1/3600))*材料产出!$D$18</f>
        <v>1.1307198649164621E-2</v>
      </c>
    </row>
    <row r="5121" spans="1:4" ht="16.5" x14ac:dyDescent="0.3">
      <c r="A5121" s="10" t="str">
        <f>基本属性!$B$19&amp;"|"&amp;基本属性!$C$19</f>
        <v>190|9</v>
      </c>
      <c r="B5121" s="10" t="str">
        <f>参数调整!$J$31</f>
        <v>小怪掉落</v>
      </c>
      <c r="C5121" s="8" t="str">
        <f>材料产出!$Z$2</f>
        <v>恶魔头颅</v>
      </c>
      <c r="D5121" s="224">
        <f>材料产出!$Z$19/(基本属性!$A$19/(基本属性!$AS$19*1/3600))*材料产出!$D$19</f>
        <v>1.2636371388331727E-2</v>
      </c>
    </row>
    <row r="5122" spans="1:4" ht="16.5" x14ac:dyDescent="0.3">
      <c r="A5122" s="10" t="str">
        <f>基本属性!$B$20&amp;"|"&amp;基本属性!$C$20</f>
        <v>200|10</v>
      </c>
      <c r="B5122" s="10" t="str">
        <f>参数调整!$J$31</f>
        <v>小怪掉落</v>
      </c>
      <c r="C5122" s="8" t="str">
        <f>材料产出!$Z$2</f>
        <v>恶魔头颅</v>
      </c>
      <c r="D5122" s="224">
        <f>材料产出!$Z$20/(基本属性!$A$20/(基本属性!$AS$20*1/3600))*材料产出!$D$20</f>
        <v>1.4768585990745623E-2</v>
      </c>
    </row>
    <row r="5123" spans="1:4" ht="16.5" x14ac:dyDescent="0.3">
      <c r="A5123" s="10" t="str">
        <f>基本属性!$B$21&amp;"|"&amp;基本属性!$C$21</f>
        <v>200|11</v>
      </c>
      <c r="B5123" s="10" t="str">
        <f>参数调整!$J$31</f>
        <v>小怪掉落</v>
      </c>
      <c r="C5123" s="8" t="str">
        <f>材料产出!$Z$2</f>
        <v>恶魔头颅</v>
      </c>
      <c r="D5123" s="224">
        <f>材料产出!$Z$21/(基本属性!$A$21/(基本属性!$AS$21*1/3600))*材料产出!$D$21</f>
        <v>1.7066947185555407E-2</v>
      </c>
    </row>
    <row r="5124" spans="1:4" ht="16.5" x14ac:dyDescent="0.3">
      <c r="A5124" s="10" t="str">
        <f>基本属性!$B$22&amp;"|"&amp;基本属性!$C$22</f>
        <v>210|12</v>
      </c>
      <c r="B5124" s="10" t="str">
        <f>参数调整!$J$31</f>
        <v>小怪掉落</v>
      </c>
      <c r="C5124" s="8" t="str">
        <f>材料产出!$Z$2</f>
        <v>恶魔头颅</v>
      </c>
      <c r="D5124" s="224">
        <f>材料产出!$Z$22/(基本属性!$A$22/(基本属性!$AS$22*1/3600))*材料产出!$D$22</f>
        <v>1.9531454972761084E-2</v>
      </c>
    </row>
    <row r="5125" spans="1:4" ht="16.5" x14ac:dyDescent="0.3">
      <c r="A5125" s="10" t="str">
        <f>基本属性!$B$23&amp;"|"&amp;基本属性!$C$23</f>
        <v>210|13</v>
      </c>
      <c r="B5125" s="10" t="str">
        <f>参数调整!$J$31</f>
        <v>小怪掉落</v>
      </c>
      <c r="C5125" s="8" t="str">
        <f>材料产出!$Z$2</f>
        <v>恶魔头颅</v>
      </c>
      <c r="D5125" s="224">
        <f>材料产出!$Z$23/(基本属性!$A$23/(基本属性!$AS$23*1/3600))*材料产出!$D$23</f>
        <v>2.2162109352362656E-2</v>
      </c>
    </row>
    <row r="5126" spans="1:4" ht="16.5" x14ac:dyDescent="0.3">
      <c r="A5126" s="10" t="str">
        <f>基本属性!$B$24&amp;"|"&amp;基本属性!$C$24</f>
        <v>220|14</v>
      </c>
      <c r="B5126" s="10" t="str">
        <f>参数调整!$J$31</f>
        <v>小怪掉落</v>
      </c>
      <c r="C5126" s="8" t="str">
        <f>材料产出!$Z$2</f>
        <v>恶魔头颅</v>
      </c>
      <c r="D5126" s="224">
        <f>材料产出!$Z$24/(基本属性!$A$24/(基本属性!$AS$24*1/3600))*材料产出!$D$24</f>
        <v>2.4958910324360106E-2</v>
      </c>
    </row>
    <row r="5127" spans="1:4" ht="16.5" x14ac:dyDescent="0.3">
      <c r="A5127" s="10" t="str">
        <f>基本属性!$B$25&amp;"|"&amp;基本属性!$C$25</f>
        <v>220|15</v>
      </c>
      <c r="B5127" s="10" t="str">
        <f>参数调整!$J$31</f>
        <v>小怪掉落</v>
      </c>
      <c r="C5127" s="8" t="str">
        <f>材料产出!$Z$2</f>
        <v>恶魔头颅</v>
      </c>
      <c r="D5127" s="224">
        <f>材料产出!$Z$25/(基本属性!$A$25/(基本属性!$AS$25*1/3600))*材料产出!$D$25</f>
        <v>2.7921857888753444E-2</v>
      </c>
    </row>
    <row r="5128" spans="1:4" ht="16.5" x14ac:dyDescent="0.3">
      <c r="A5128" s="10" t="str">
        <f>基本属性!$B$26&amp;"|"&amp;基本属性!$C$26</f>
        <v>230|16</v>
      </c>
      <c r="B5128" s="10" t="str">
        <f>参数调整!$J$31</f>
        <v>小怪掉落</v>
      </c>
      <c r="C5128" s="8" t="str">
        <f>材料产出!$Z$2</f>
        <v>恶魔头颅</v>
      </c>
      <c r="D5128" s="224">
        <f>材料产出!$Z$26/(基本属性!$A$26/(基本属性!$AS$26*1/3600))*材料产出!$D$26</f>
        <v>3.1050952045542674E-2</v>
      </c>
    </row>
    <row r="5129" spans="1:4" ht="16.5" x14ac:dyDescent="0.3">
      <c r="A5129" s="10" t="str">
        <f>基本属性!$B$27&amp;"|"&amp;基本属性!$C$27</f>
        <v>230|17</v>
      </c>
      <c r="B5129" s="10" t="str">
        <f>参数调整!$J$31</f>
        <v>小怪掉落</v>
      </c>
      <c r="C5129" s="8" t="str">
        <f>材料产出!$Z$2</f>
        <v>恶魔头颅</v>
      </c>
      <c r="D5129" s="224">
        <f>材料产出!$Z$27/(基本属性!$A$27/(基本属性!$AS$27*1/3600))*材料产出!$D$27</f>
        <v>3.4346192794727788E-2</v>
      </c>
    </row>
    <row r="5130" spans="1:4" ht="16.5" x14ac:dyDescent="0.3">
      <c r="A5130" s="10" t="str">
        <f>基本属性!$B$28&amp;"|"&amp;基本属性!$C$28</f>
        <v>240|18</v>
      </c>
      <c r="B5130" s="10" t="str">
        <f>参数调整!$J$31</f>
        <v>小怪掉落</v>
      </c>
      <c r="C5130" s="8" t="str">
        <f>材料产出!$Z$2</f>
        <v>恶魔头颅</v>
      </c>
      <c r="D5130" s="224">
        <f>材料产出!$Z$28/(基本属性!$A$28/(基本属性!$AS$28*1/3600))*材料产出!$D$28</f>
        <v>3.7807580136308805E-2</v>
      </c>
    </row>
    <row r="5131" spans="1:4" ht="16.5" x14ac:dyDescent="0.3">
      <c r="A5131" s="10" t="str">
        <f>基本属性!$B$29&amp;"|"&amp;基本属性!$C$29</f>
        <v>240|19</v>
      </c>
      <c r="B5131" s="10" t="str">
        <f>参数调整!$J$31</f>
        <v>小怪掉落</v>
      </c>
      <c r="C5131" s="8" t="str">
        <f>材料产出!$Z$2</f>
        <v>恶魔头颅</v>
      </c>
      <c r="D5131" s="224">
        <f>材料产出!$Z$29/(基本属性!$A$29/(基本属性!$AS$29*1/3600))*材料产出!$D$29</f>
        <v>4.1435114070285696E-2</v>
      </c>
    </row>
    <row r="5132" spans="1:4" ht="16.5" x14ac:dyDescent="0.3">
      <c r="A5132" s="10" t="str">
        <f>基本属性!$B$30&amp;"|"&amp;基本属性!$C$30</f>
        <v>250|20</v>
      </c>
      <c r="B5132" s="10" t="str">
        <f>参数调整!$J$31</f>
        <v>小怪掉落</v>
      </c>
      <c r="C5132" s="8" t="str">
        <f>材料产出!$Z$2</f>
        <v>恶魔头颅</v>
      </c>
      <c r="D5132" s="224">
        <f>材料产出!$Z$30/(基本属性!$A$30/(基本属性!$AS$30*1/3600))*材料产出!$D$30</f>
        <v>4.5228794596658468E-2</v>
      </c>
    </row>
    <row r="5133" spans="1:4" ht="16.5" hidden="1" x14ac:dyDescent="0.3">
      <c r="A5133" s="10" t="str">
        <f>基本属性!$B$4&amp;"|"&amp;基本属性!$C$4</f>
        <v>35|0</v>
      </c>
      <c r="B5133" s="10" t="str">
        <f>参数调整!$J$36</f>
        <v>新增怪物种类1掉落</v>
      </c>
      <c r="C5133" s="8" t="str">
        <f>材料产出!$R$2</f>
        <v>转生精华</v>
      </c>
      <c r="D5133" s="224">
        <f>参数调整!$K$36*怪物掉落配置方案!$D4107</f>
        <v>3.9560216851598524E-4</v>
      </c>
    </row>
    <row r="5134" spans="1:4" ht="16.5" hidden="1" x14ac:dyDescent="0.3">
      <c r="A5134" s="10" t="str">
        <f>基本属性!$B$5&amp;"|"&amp;基本属性!$C$5</f>
        <v>40|0</v>
      </c>
      <c r="B5134" s="10" t="str">
        <f>参数调整!$J$36</f>
        <v>新增怪物种类1掉落</v>
      </c>
      <c r="C5134" s="8" t="str">
        <f>材料产出!$R$2</f>
        <v>转生精华</v>
      </c>
      <c r="D5134" s="224">
        <f>参数调整!$K$36*怪物掉落配置方案!$D4108</f>
        <v>5.0068399452804372E-4</v>
      </c>
    </row>
    <row r="5135" spans="1:4" ht="16.5" hidden="1" x14ac:dyDescent="0.3">
      <c r="A5135" s="10" t="str">
        <f>基本属性!$B$6&amp;"|"&amp;基本属性!$C$6</f>
        <v>50|0</v>
      </c>
      <c r="B5135" s="10" t="str">
        <f>参数调整!$J$36</f>
        <v>新增怪物种类1掉落</v>
      </c>
      <c r="C5135" s="8" t="str">
        <f>材料产出!$R$2</f>
        <v>转生精华</v>
      </c>
      <c r="D5135" s="224">
        <f>参数调整!$K$36*怪物掉落配置方案!$D4109</f>
        <v>6.1812838830622692E-4</v>
      </c>
    </row>
    <row r="5136" spans="1:4" ht="16.5" hidden="1" x14ac:dyDescent="0.3">
      <c r="A5136" s="10" t="str">
        <f>基本属性!$B$7&amp;"|"&amp;基本属性!$C$7</f>
        <v>60|0</v>
      </c>
      <c r="B5136" s="10" t="str">
        <f>参数调整!$J$36</f>
        <v>新增怪物种类1掉落</v>
      </c>
      <c r="C5136" s="8" t="str">
        <f>材料产出!$R$2</f>
        <v>转生精华</v>
      </c>
      <c r="D5136" s="224">
        <f>参数调整!$K$36*怪物掉落配置方案!$D4110</f>
        <v>7.4793534985053464E-4</v>
      </c>
    </row>
    <row r="5137" spans="1:4" ht="16.5" hidden="1" x14ac:dyDescent="0.3">
      <c r="A5137" s="10" t="str">
        <f>基本属性!$B$8&amp;"|"&amp;基本属性!$C$8</f>
        <v>65|0</v>
      </c>
      <c r="B5137" s="10" t="str">
        <f>参数调整!$J$36</f>
        <v>新增怪物种类1掉落</v>
      </c>
      <c r="C5137" s="8" t="str">
        <f>材料产出!$R$2</f>
        <v>转生精华</v>
      </c>
      <c r="D5137" s="224">
        <f>参数调整!$K$36*怪物掉落配置方案!$D4111</f>
        <v>8.9010487916096664E-4</v>
      </c>
    </row>
    <row r="5138" spans="1:4" ht="16.5" hidden="1" x14ac:dyDescent="0.3">
      <c r="A5138" s="10" t="str">
        <f>基本属性!$B$9&amp;"|"&amp;基本属性!$C$9</f>
        <v>70|0</v>
      </c>
      <c r="B5138" s="10" t="str">
        <f>参数调整!$J$36</f>
        <v>新增怪物种类1掉落</v>
      </c>
      <c r="C5138" s="8" t="str">
        <f>材料产出!$R$2</f>
        <v>转生精华</v>
      </c>
      <c r="D5138" s="224">
        <f>参数调整!$K$36*怪物掉落配置方案!$D4112</f>
        <v>1.0446369762375234E-3</v>
      </c>
    </row>
    <row r="5139" spans="1:4" ht="16.5" hidden="1" x14ac:dyDescent="0.3">
      <c r="A5139" s="10" t="str">
        <f>基本属性!$B$10&amp;"|"&amp;基本属性!$C$10</f>
        <v>75|0</v>
      </c>
      <c r="B5139" s="10" t="str">
        <f>参数调整!$J$36</f>
        <v>新增怪物种类1掉落</v>
      </c>
      <c r="C5139" s="8" t="str">
        <f>材料产出!$R$2</f>
        <v>转生精华</v>
      </c>
      <c r="D5139" s="224">
        <f>参数调整!$K$36*怪物掉落配置方案!$D4113</f>
        <v>1.2115316410802044E-3</v>
      </c>
    </row>
    <row r="5140" spans="1:4" ht="16.5" hidden="1" x14ac:dyDescent="0.3">
      <c r="A5140" s="10" t="str">
        <f>基本属性!$B$11&amp;"|"&amp;基本属性!$C$11</f>
        <v>80|1</v>
      </c>
      <c r="B5140" s="10" t="str">
        <f>参数调整!$J$36</f>
        <v>新增怪物种类1掉落</v>
      </c>
      <c r="C5140" s="8" t="str">
        <f>材料产出!$R$2</f>
        <v>转生精华</v>
      </c>
      <c r="D5140" s="224">
        <f>参数调整!$K$36*怪物掉落配置方案!$D4114</f>
        <v>1.3907888736890105E-3</v>
      </c>
    </row>
    <row r="5141" spans="1:4" ht="16.5" hidden="1" x14ac:dyDescent="0.3">
      <c r="A5141" s="10" t="str">
        <f>基本属性!$B$12&amp;"|"&amp;基本属性!$C$12</f>
        <v>90|2</v>
      </c>
      <c r="B5141" s="10" t="str">
        <f>参数调整!$J$36</f>
        <v>新增怪物种类1掉落</v>
      </c>
      <c r="C5141" s="8" t="str">
        <f>材料产出!$R$2</f>
        <v>转生精华</v>
      </c>
      <c r="D5141" s="224">
        <f>参数调整!$K$36*怪物掉落配置方案!$D4115</f>
        <v>1.5824086740639414E-3</v>
      </c>
    </row>
    <row r="5142" spans="1:4" ht="16.5" hidden="1" x14ac:dyDescent="0.3">
      <c r="A5142" s="10" t="str">
        <f>基本属性!$B$13&amp;"|"&amp;基本属性!$C$13</f>
        <v>100|3</v>
      </c>
      <c r="B5142" s="10" t="str">
        <f>参数调整!$J$36</f>
        <v>新增怪物种类1掉落</v>
      </c>
      <c r="C5142" s="8" t="str">
        <f>材料产出!$R$2</f>
        <v>转生精华</v>
      </c>
      <c r="D5142" s="224">
        <f>参数调整!$K$36*怪物掉落配置方案!$D4116</f>
        <v>2.0027359781121753E-3</v>
      </c>
    </row>
    <row r="5143" spans="1:4" ht="16.5" hidden="1" x14ac:dyDescent="0.3">
      <c r="A5143" s="10" t="str">
        <f>基本属性!$B$14&amp;"|"&amp;基本属性!$C$14</f>
        <v>105|4</v>
      </c>
      <c r="B5143" s="10" t="str">
        <f>参数调整!$J$36</f>
        <v>新增怪物种类1掉落</v>
      </c>
      <c r="C5143" s="8" t="str">
        <f>材料产出!$R$2</f>
        <v>转生精华</v>
      </c>
      <c r="D5143" s="224">
        <f>参数调整!$K$36*怪物掉落配置方案!$D4117</f>
        <v>2.4725135532249077E-3</v>
      </c>
    </row>
    <row r="5144" spans="1:4" ht="16.5" hidden="1" x14ac:dyDescent="0.3">
      <c r="A5144" s="10" t="str">
        <f>基本属性!$B$15&amp;"|"&amp;基本属性!$C$15</f>
        <v>110|5</v>
      </c>
      <c r="B5144" s="10" t="str">
        <f>参数调整!$J$36</f>
        <v>新增怪物种类1掉落</v>
      </c>
      <c r="C5144" s="8" t="str">
        <f>材料产出!$R$2</f>
        <v>转生精华</v>
      </c>
      <c r="D5144" s="224">
        <f>参数调整!$K$36*怪物掉落配置方案!$D4118</f>
        <v>2.991741399402139E-3</v>
      </c>
    </row>
    <row r="5145" spans="1:4" ht="16.5" hidden="1" x14ac:dyDescent="0.3">
      <c r="A5145" s="10" t="str">
        <f>基本属性!$B$16&amp;"|"&amp;基本属性!$C$16</f>
        <v>120|6</v>
      </c>
      <c r="B5145" s="10" t="str">
        <f>参数调整!$J$36</f>
        <v>新增怪物种类1掉落</v>
      </c>
      <c r="C5145" s="8" t="str">
        <f>材料产出!$R$2</f>
        <v>转生精华</v>
      </c>
      <c r="D5145" s="224">
        <f>参数调整!$K$36*怪物掉落配置方案!$D4119</f>
        <v>3.8633024269139182E-3</v>
      </c>
    </row>
    <row r="5146" spans="1:4" ht="16.5" hidden="1" x14ac:dyDescent="0.3">
      <c r="A5146" s="10" t="str">
        <f>基本属性!$B$17&amp;"|"&amp;基本属性!$C$17</f>
        <v>135|7</v>
      </c>
      <c r="B5146" s="10" t="str">
        <f>参数调整!$J$36</f>
        <v>新增怪物种类1掉落</v>
      </c>
      <c r="C5146" s="8" t="str">
        <f>材料产出!$R$2</f>
        <v>转生精华</v>
      </c>
      <c r="D5146" s="224">
        <f>参数调整!$K$36*怪物掉落配置方案!$D4120</f>
        <v>5.5631554947560419E-3</v>
      </c>
    </row>
    <row r="5147" spans="1:4" ht="16.5" hidden="1" x14ac:dyDescent="0.3">
      <c r="A5147" s="10" t="str">
        <f>基本属性!$B$18&amp;"|"&amp;基本属性!$C$18</f>
        <v>155|8</v>
      </c>
      <c r="B5147" s="10" t="str">
        <f>参数调整!$J$36</f>
        <v>新增怪物种类1掉落</v>
      </c>
      <c r="C5147" s="8" t="str">
        <f>材料产出!$R$2</f>
        <v>转生精华</v>
      </c>
      <c r="D5147" s="224">
        <f>参数调整!$K$36*怪物掉落配置方案!$D4121</f>
        <v>7.5720727567512806E-3</v>
      </c>
    </row>
    <row r="5148" spans="1:4" ht="16.5" hidden="1" x14ac:dyDescent="0.3">
      <c r="A5148" s="10" t="str">
        <f>基本属性!$B$19&amp;"|"&amp;基本属性!$C$19</f>
        <v>190|9</v>
      </c>
      <c r="B5148" s="10" t="str">
        <f>参数调整!$J$36</f>
        <v>新增怪物种类1掉落</v>
      </c>
      <c r="C5148" s="8" t="str">
        <f>材料产出!$R$2</f>
        <v>转生精华</v>
      </c>
      <c r="D5148" s="224">
        <f>参数调整!$K$36*怪物掉落配置方案!$D4122</f>
        <v>8.462177635912246E-3</v>
      </c>
    </row>
    <row r="5149" spans="1:4" ht="16.5" hidden="1" x14ac:dyDescent="0.3">
      <c r="A5149" s="10" t="str">
        <f>基本属性!$B$20&amp;"|"&amp;基本属性!$C$20</f>
        <v>200|10</v>
      </c>
      <c r="B5149" s="10" t="str">
        <f>参数调整!$J$36</f>
        <v>新增怪物种类1掉落</v>
      </c>
      <c r="C5149" s="8" t="str">
        <f>材料产出!$R$2</f>
        <v>转生精华</v>
      </c>
      <c r="D5149" s="224">
        <f>参数调整!$K$36*怪物掉落配置方案!$D4123</f>
        <v>9.8900542128996308E-3</v>
      </c>
    </row>
    <row r="5150" spans="1:4" ht="16.5" hidden="1" x14ac:dyDescent="0.3">
      <c r="A5150" s="10" t="str">
        <f>基本属性!$B$21&amp;"|"&amp;基本属性!$C$21</f>
        <v>200|11</v>
      </c>
      <c r="B5150" s="10" t="str">
        <f>参数调整!$J$36</f>
        <v>新增怪物种类1掉落</v>
      </c>
      <c r="C5150" s="8" t="str">
        <f>材料产出!$R$2</f>
        <v>转生精华</v>
      </c>
      <c r="D5150" s="224">
        <f>参数调整!$K$36*怪物掉落配置方案!$D4124</f>
        <v>1.1429193899782133E-2</v>
      </c>
    </row>
    <row r="5151" spans="1:4" ht="16.5" hidden="1" x14ac:dyDescent="0.3">
      <c r="A5151" s="10" t="str">
        <f>基本属性!$B$22&amp;"|"&amp;基本属性!$C$22</f>
        <v>210|12</v>
      </c>
      <c r="B5151" s="10" t="str">
        <f>参数调整!$J$36</f>
        <v>新增怪物种类1掉落</v>
      </c>
      <c r="C5151" s="8" t="str">
        <f>材料产出!$R$2</f>
        <v>转生精华</v>
      </c>
      <c r="D5151" s="224">
        <f>参数调整!$K$36*怪物掉落配置方案!$D4125</f>
        <v>1.3079596696559757E-2</v>
      </c>
    </row>
    <row r="5152" spans="1:4" ht="16.5" hidden="1" x14ac:dyDescent="0.3">
      <c r="A5152" s="10" t="str">
        <f>基本属性!$B$23&amp;"|"&amp;基本属性!$C$23</f>
        <v>210|13</v>
      </c>
      <c r="B5152" s="10" t="str">
        <f>参数调整!$J$36</f>
        <v>新增怪物种类1掉落</v>
      </c>
      <c r="C5152" s="8" t="str">
        <f>材料产出!$R$2</f>
        <v>转生精华</v>
      </c>
      <c r="D5152" s="224">
        <f>参数调整!$K$36*怪物掉落配置方案!$D4126</f>
        <v>1.484126260323251E-2</v>
      </c>
    </row>
    <row r="5153" spans="1:4" ht="16.5" hidden="1" x14ac:dyDescent="0.3">
      <c r="A5153" s="10" t="str">
        <f>基本属性!$B$24&amp;"|"&amp;基本属性!$C$24</f>
        <v>220|14</v>
      </c>
      <c r="B5153" s="10" t="str">
        <f>参数调整!$J$36</f>
        <v>新增怪物种类1掉落</v>
      </c>
      <c r="C5153" s="8" t="str">
        <f>材料产出!$R$2</f>
        <v>转生精华</v>
      </c>
      <c r="D5153" s="224">
        <f>参数调整!$K$36*怪物掉落配置方案!$D4127</f>
        <v>1.6714191619800377E-2</v>
      </c>
    </row>
    <row r="5154" spans="1:4" ht="16.5" hidden="1" x14ac:dyDescent="0.3">
      <c r="A5154" s="10" t="str">
        <f>基本属性!$B$25&amp;"|"&amp;基本属性!$C$25</f>
        <v>220|15</v>
      </c>
      <c r="B5154" s="10" t="str">
        <f>参数调整!$J$36</f>
        <v>新增怪物种类1掉落</v>
      </c>
      <c r="C5154" s="8" t="str">
        <f>材料产出!$R$2</f>
        <v>转生精华</v>
      </c>
      <c r="D5154" s="224">
        <f>参数调整!$K$36*怪物掉落配置方案!$D4128</f>
        <v>1.8698383746263363E-2</v>
      </c>
    </row>
    <row r="5155" spans="1:4" ht="16.5" hidden="1" x14ac:dyDescent="0.3">
      <c r="A5155" s="10" t="str">
        <f>基本属性!$B$26&amp;"|"&amp;基本属性!$C$26</f>
        <v>230|16</v>
      </c>
      <c r="B5155" s="10" t="str">
        <f>参数调整!$J$36</f>
        <v>新增怪物种类1掉落</v>
      </c>
      <c r="C5155" s="8" t="str">
        <f>材料产出!$R$2</f>
        <v>转生精华</v>
      </c>
      <c r="D5155" s="224">
        <f>参数调整!$K$36*怪物掉落配置方案!$D4129</f>
        <v>2.0793838982621472E-2</v>
      </c>
    </row>
    <row r="5156" spans="1:4" ht="16.5" hidden="1" x14ac:dyDescent="0.3">
      <c r="A5156" s="10" t="str">
        <f>基本属性!$B$27&amp;"|"&amp;基本属性!$C$27</f>
        <v>230|17</v>
      </c>
      <c r="B5156" s="10" t="str">
        <f>参数调整!$J$36</f>
        <v>新增怪物种类1掉落</v>
      </c>
      <c r="C5156" s="8" t="str">
        <f>材料产出!$R$2</f>
        <v>转生精华</v>
      </c>
      <c r="D5156" s="224">
        <f>参数调整!$K$36*怪物掉落配置方案!$D4130</f>
        <v>2.30005573288747E-2</v>
      </c>
    </row>
    <row r="5157" spans="1:4" ht="16.5" hidden="1" x14ac:dyDescent="0.3">
      <c r="A5157" s="10" t="str">
        <f>基本属性!$B$28&amp;"|"&amp;基本属性!$C$28</f>
        <v>240|18</v>
      </c>
      <c r="B5157" s="10" t="str">
        <f>参数调整!$J$36</f>
        <v>新增怪物种类1掉落</v>
      </c>
      <c r="C5157" s="8" t="str">
        <f>材料产出!$R$2</f>
        <v>转生精华</v>
      </c>
      <c r="D5157" s="224">
        <f>参数调整!$K$36*怪物掉落配置方案!$D4131</f>
        <v>2.5318538785023055E-2</v>
      </c>
    </row>
    <row r="5158" spans="1:4" ht="16.5" hidden="1" x14ac:dyDescent="0.3">
      <c r="A5158" s="10" t="str">
        <f>基本属性!$B$29&amp;"|"&amp;基本属性!$C$29</f>
        <v>240|19</v>
      </c>
      <c r="B5158" s="10" t="str">
        <f>参数调整!$J$36</f>
        <v>新增怪物种类1掉落</v>
      </c>
      <c r="C5158" s="8" t="str">
        <f>材料产出!$R$2</f>
        <v>转生精华</v>
      </c>
      <c r="D5158" s="224">
        <f>参数调整!$K$36*怪物掉落配置方案!$D4132</f>
        <v>2.7747783351066525E-2</v>
      </c>
    </row>
    <row r="5159" spans="1:4" ht="16.5" hidden="1" x14ac:dyDescent="0.3">
      <c r="A5159" s="10" t="str">
        <f>基本属性!$B$30&amp;"|"&amp;基本属性!$C$30</f>
        <v>250|20</v>
      </c>
      <c r="B5159" s="10" t="str">
        <f>参数调整!$J$36</f>
        <v>新增怪物种类1掉落</v>
      </c>
      <c r="C5159" s="8" t="str">
        <f>材料产出!$R$2</f>
        <v>转生精华</v>
      </c>
      <c r="D5159" s="224">
        <f>参数调整!$K$36*怪物掉落配置方案!$D4133</f>
        <v>3.0288291027005108E-2</v>
      </c>
    </row>
    <row r="5160" spans="1:4" ht="16.5" hidden="1" x14ac:dyDescent="0.3">
      <c r="A5160" s="10" t="str">
        <f>基本属性!$B$4&amp;"|"&amp;基本属性!$C$4</f>
        <v>35|0</v>
      </c>
      <c r="B5160" s="10" t="str">
        <f>参数调整!$J$36</f>
        <v>新增怪物种类1掉落</v>
      </c>
      <c r="C5160" s="8" t="str">
        <f>材料产出!$AJ$2</f>
        <v>中品注灵石</v>
      </c>
      <c r="D5160" s="224">
        <f>参数调整!$K$36*怪物掉落配置方案!$D4134</f>
        <v>5.1844102894235662E-3</v>
      </c>
    </row>
    <row r="5161" spans="1:4" ht="16.5" hidden="1" x14ac:dyDescent="0.3">
      <c r="A5161" s="10" t="str">
        <f>基本属性!$B$5&amp;"|"&amp;基本属性!$C$5</f>
        <v>40|0</v>
      </c>
      <c r="B5161" s="10" t="str">
        <f>参数调整!$J$36</f>
        <v>新增怪物种类1掉落</v>
      </c>
      <c r="C5161" s="8" t="str">
        <f>材料产出!$AJ$2</f>
        <v>中品注灵石</v>
      </c>
      <c r="D5161" s="224">
        <f>参数调整!$K$36*怪物掉落配置方案!$D4135</f>
        <v>6.5615192725517017E-3</v>
      </c>
    </row>
    <row r="5162" spans="1:4" ht="16.5" hidden="1" x14ac:dyDescent="0.3">
      <c r="A5162" s="10" t="str">
        <f>基本属性!$B$6&amp;"|"&amp;基本属性!$C$6</f>
        <v>50|0</v>
      </c>
      <c r="B5162" s="10" t="str">
        <f>参数调整!$J$36</f>
        <v>新增怪物种类1掉落</v>
      </c>
      <c r="C5162" s="8" t="str">
        <f>材料产出!$AJ$2</f>
        <v>中品注灵石</v>
      </c>
      <c r="D5162" s="224">
        <f>参数调整!$K$36*怪物掉落配置方案!$D4136</f>
        <v>8.1006410772243229E-3</v>
      </c>
    </row>
    <row r="5163" spans="1:4" ht="16.5" hidden="1" x14ac:dyDescent="0.3">
      <c r="A5163" s="10" t="str">
        <f>基本属性!$B$7&amp;"|"&amp;基本属性!$C$7</f>
        <v>60|0</v>
      </c>
      <c r="B5163" s="10" t="str">
        <f>参数调整!$J$36</f>
        <v>新增怪物种类1掉落</v>
      </c>
      <c r="C5163" s="8" t="str">
        <f>材料产出!$AJ$2</f>
        <v>中品注灵石</v>
      </c>
      <c r="D5163" s="224">
        <f>参数调整!$K$36*怪物掉落配置方案!$D4137</f>
        <v>9.8017757034414323E-3</v>
      </c>
    </row>
    <row r="5164" spans="1:4" ht="16.5" hidden="1" x14ac:dyDescent="0.3">
      <c r="A5164" s="10" t="str">
        <f>基本属性!$B$8&amp;"|"&amp;基本属性!$C$8</f>
        <v>65|0</v>
      </c>
      <c r="B5164" s="10" t="str">
        <f>参数调整!$J$36</f>
        <v>新增怪物种类1掉落</v>
      </c>
      <c r="C5164" s="8" t="str">
        <f>材料产出!$AJ$2</f>
        <v>中品注灵石</v>
      </c>
      <c r="D5164" s="224">
        <f>参数调整!$K$36*怪物掉落配置方案!$D4138</f>
        <v>1.1664923151203023E-2</v>
      </c>
    </row>
    <row r="5165" spans="1:4" ht="16.5" hidden="1" x14ac:dyDescent="0.3">
      <c r="A5165" s="10" t="str">
        <f>基本属性!$B$9&amp;"|"&amp;基本属性!$C$9</f>
        <v>70|0</v>
      </c>
      <c r="B5165" s="10" t="str">
        <f>参数调整!$J$36</f>
        <v>新增怪物种类1掉落</v>
      </c>
      <c r="C5165" s="8" t="str">
        <f>材料产出!$AJ$2</f>
        <v>中品注灵石</v>
      </c>
      <c r="D5165" s="224">
        <f>参数调整!$K$36*怪物掉落配置方案!$D4139</f>
        <v>1.3690083420509105E-2</v>
      </c>
    </row>
    <row r="5166" spans="1:4" ht="16.5" hidden="1" x14ac:dyDescent="0.3">
      <c r="A5166" s="10" t="str">
        <f>基本属性!$B$10&amp;"|"&amp;基本属性!$C$10</f>
        <v>75|0</v>
      </c>
      <c r="B5166" s="10" t="str">
        <f>参数调整!$J$36</f>
        <v>新增怪物种类1掉落</v>
      </c>
      <c r="C5166" s="8" t="str">
        <f>材料产出!$AJ$2</f>
        <v>中品注灵石</v>
      </c>
      <c r="D5166" s="224">
        <f>参数调整!$K$36*怪物掉落配置方案!$D4140</f>
        <v>1.5877256511359669E-2</v>
      </c>
    </row>
    <row r="5167" spans="1:4" ht="16.5" hidden="1" x14ac:dyDescent="0.3">
      <c r="A5167" s="10" t="str">
        <f>基本属性!$B$11&amp;"|"&amp;基本属性!$C$11</f>
        <v>80|1</v>
      </c>
      <c r="B5167" s="10" t="str">
        <f>参数调整!$J$36</f>
        <v>新增怪物种类1掉落</v>
      </c>
      <c r="C5167" s="8" t="str">
        <f>材料产出!$AJ$2</f>
        <v>中品注灵石</v>
      </c>
      <c r="D5167" s="224">
        <f>参数调整!$K$36*怪物掉落配置方案!$D4141</f>
        <v>1.8226442423754728E-2</v>
      </c>
    </row>
    <row r="5168" spans="1:4" ht="16.5" hidden="1" x14ac:dyDescent="0.3">
      <c r="A5168" s="10" t="str">
        <f>基本属性!$B$12&amp;"|"&amp;基本属性!$C$12</f>
        <v>90|2</v>
      </c>
      <c r="B5168" s="10" t="str">
        <f>参数调整!$J$36</f>
        <v>新增怪物种类1掉落</v>
      </c>
      <c r="C5168" s="8" t="str">
        <f>材料产出!$AJ$2</f>
        <v>中品注灵石</v>
      </c>
      <c r="D5168" s="224">
        <f>参数调整!$K$36*怪物掉落配置方案!$D4142</f>
        <v>2.0737641157694268E-2</v>
      </c>
    </row>
    <row r="5169" spans="1:4" ht="16.5" hidden="1" x14ac:dyDescent="0.3">
      <c r="A5169" s="10" t="str">
        <f>基本属性!$B$13&amp;"|"&amp;基本属性!$C$13</f>
        <v>100|3</v>
      </c>
      <c r="B5169" s="10" t="str">
        <f>参数调整!$J$36</f>
        <v>新增怪物种类1掉落</v>
      </c>
      <c r="C5169" s="8" t="str">
        <f>材料产出!$AJ$2</f>
        <v>中品注灵石</v>
      </c>
      <c r="D5169" s="224">
        <f>参数调整!$K$36*怪物掉落配置方案!$D4143</f>
        <v>2.6246077090206807E-2</v>
      </c>
    </row>
    <row r="5170" spans="1:4" ht="16.5" hidden="1" x14ac:dyDescent="0.3">
      <c r="A5170" s="10" t="str">
        <f>基本属性!$B$14&amp;"|"&amp;基本属性!$C$14</f>
        <v>105|4</v>
      </c>
      <c r="B5170" s="10" t="str">
        <f>参数调整!$J$36</f>
        <v>新增怪物种类1掉落</v>
      </c>
      <c r="C5170" s="8" t="str">
        <f>材料产出!$AJ$2</f>
        <v>中品注灵石</v>
      </c>
      <c r="D5170" s="224">
        <f>参数调整!$K$36*怪物掉落配置方案!$D4144</f>
        <v>3.2402564308897291E-2</v>
      </c>
    </row>
    <row r="5171" spans="1:4" ht="16.5" hidden="1" x14ac:dyDescent="0.3">
      <c r="A5171" s="10" t="str">
        <f>基本属性!$B$15&amp;"|"&amp;基本属性!$C$15</f>
        <v>110|5</v>
      </c>
      <c r="B5171" s="10" t="str">
        <f>参数调整!$J$36</f>
        <v>新增怪物种类1掉落</v>
      </c>
      <c r="C5171" s="8" t="str">
        <f>材料产出!$AJ$2</f>
        <v>中品注灵石</v>
      </c>
      <c r="D5171" s="224">
        <f>参数调整!$K$36*怪物掉落配置方案!$D4145</f>
        <v>3.9207102813765729E-2</v>
      </c>
    </row>
    <row r="5172" spans="1:4" ht="16.5" hidden="1" x14ac:dyDescent="0.3">
      <c r="A5172" s="10" t="str">
        <f>基本属性!$B$16&amp;"|"&amp;基本属性!$C$16</f>
        <v>120|6</v>
      </c>
      <c r="B5172" s="10" t="str">
        <f>参数调整!$J$36</f>
        <v>新增怪物种类1掉落</v>
      </c>
      <c r="C5172" s="8" t="str">
        <f>材料产出!$AJ$2</f>
        <v>中品注灵石</v>
      </c>
      <c r="D5172" s="224">
        <f>参数调整!$K$36*怪物掉落配置方案!$D4146</f>
        <v>5.062900673265202E-2</v>
      </c>
    </row>
    <row r="5173" spans="1:4" ht="16.5" hidden="1" x14ac:dyDescent="0.3">
      <c r="A5173" s="10" t="str">
        <f>基本属性!$B$17&amp;"|"&amp;基本属性!$C$17</f>
        <v>135|7</v>
      </c>
      <c r="B5173" s="10" t="str">
        <f>参数调整!$J$36</f>
        <v>新增怪物种类1掉落</v>
      </c>
      <c r="C5173" s="8" t="str">
        <f>材料产出!$AJ$2</f>
        <v>中品注灵石</v>
      </c>
      <c r="D5173" s="224">
        <f>参数调整!$K$36*怪物掉落配置方案!$D4147</f>
        <v>7.2905769695018913E-2</v>
      </c>
    </row>
    <row r="5174" spans="1:4" ht="16.5" hidden="1" x14ac:dyDescent="0.3">
      <c r="A5174" s="10" t="str">
        <f>基本属性!$B$18&amp;"|"&amp;基本属性!$C$18</f>
        <v>155|8</v>
      </c>
      <c r="B5174" s="10" t="str">
        <f>参数调整!$J$36</f>
        <v>新增怪物种类1掉落</v>
      </c>
      <c r="C5174" s="8" t="str">
        <f>材料产出!$AJ$2</f>
        <v>中品注灵石</v>
      </c>
      <c r="D5174" s="224">
        <f>参数调整!$K$36*怪物掉落配置方案!$D4148</f>
        <v>9.923285319599795E-2</v>
      </c>
    </row>
    <row r="5175" spans="1:4" ht="16.5" hidden="1" x14ac:dyDescent="0.3">
      <c r="A5175" s="10" t="str">
        <f>基本属性!$B$19&amp;"|"&amp;基本属性!$C$19</f>
        <v>190|9</v>
      </c>
      <c r="B5175" s="10" t="str">
        <f>参数调整!$J$36</f>
        <v>新增怪物种类1掉落</v>
      </c>
      <c r="C5175" s="8" t="str">
        <f>材料产出!$AJ$2</f>
        <v>中品注灵石</v>
      </c>
      <c r="D5175" s="224">
        <f>参数调整!$K$36*怪物掉落配置方案!$D4149</f>
        <v>0.11089777634720099</v>
      </c>
    </row>
    <row r="5176" spans="1:4" ht="16.5" hidden="1" x14ac:dyDescent="0.3">
      <c r="A5176" s="10" t="str">
        <f>基本属性!$B$20&amp;"|"&amp;基本属性!$C$20</f>
        <v>200|10</v>
      </c>
      <c r="B5176" s="10" t="str">
        <f>参数调整!$J$36</f>
        <v>新增怪物种类1掉落</v>
      </c>
      <c r="C5176" s="8" t="str">
        <f>材料产出!$AJ$2</f>
        <v>中品注灵石</v>
      </c>
      <c r="D5176" s="224">
        <f>参数调整!$K$36*怪物掉落配置方案!$D4150</f>
        <v>0.12961025723558917</v>
      </c>
    </row>
    <row r="5177" spans="1:4" ht="16.5" hidden="1" x14ac:dyDescent="0.3">
      <c r="A5177" s="10" t="str">
        <f>基本属性!$B$21&amp;"|"&amp;基本属性!$C$21</f>
        <v>200|11</v>
      </c>
      <c r="B5177" s="10" t="str">
        <f>参数调整!$J$36</f>
        <v>新增怪物种类1掉落</v>
      </c>
      <c r="C5177" s="8" t="str">
        <f>材料产出!$AJ$2</f>
        <v>中品注灵石</v>
      </c>
      <c r="D5177" s="224">
        <f>参数调整!$K$36*怪物掉落配置方案!$D4151</f>
        <v>0.1497808535178777</v>
      </c>
    </row>
    <row r="5178" spans="1:4" ht="16.5" hidden="1" x14ac:dyDescent="0.3">
      <c r="A5178" s="10" t="str">
        <f>基本属性!$B$22&amp;"|"&amp;基本属性!$C$22</f>
        <v>210|12</v>
      </c>
      <c r="B5178" s="10" t="str">
        <f>参数调整!$J$36</f>
        <v>新增怪物种类1掉落</v>
      </c>
      <c r="C5178" s="8" t="str">
        <f>材料产出!$AJ$2</f>
        <v>中品注灵石</v>
      </c>
      <c r="D5178" s="224">
        <f>参数调整!$K$36*怪物掉落配置方案!$D4152</f>
        <v>0.17140956519406661</v>
      </c>
    </row>
    <row r="5179" spans="1:4" ht="16.5" hidden="1" x14ac:dyDescent="0.3">
      <c r="A5179" s="10" t="str">
        <f>基本属性!$B$23&amp;"|"&amp;基本属性!$C$23</f>
        <v>210|13</v>
      </c>
      <c r="B5179" s="10" t="str">
        <f>参数调整!$J$36</f>
        <v>新增怪物种类1掉落</v>
      </c>
      <c r="C5179" s="8" t="str">
        <f>材料产出!$AJ$2</f>
        <v>中品注灵石</v>
      </c>
      <c r="D5179" s="224">
        <f>参数调整!$K$36*怪物掉落配置方案!$D4153</f>
        <v>0.19449639226415599</v>
      </c>
    </row>
    <row r="5180" spans="1:4" ht="16.5" hidden="1" x14ac:dyDescent="0.3">
      <c r="A5180" s="10" t="str">
        <f>基本属性!$B$24&amp;"|"&amp;基本属性!$C$24</f>
        <v>220|14</v>
      </c>
      <c r="B5180" s="10" t="str">
        <f>参数调整!$J$36</f>
        <v>新增怪物种类1掉落</v>
      </c>
      <c r="C5180" s="8" t="str">
        <f>材料产出!$AJ$2</f>
        <v>中品注灵石</v>
      </c>
      <c r="D5180" s="224">
        <f>参数调整!$K$36*怪物掉落配置方案!$D4154</f>
        <v>0.21904133472814569</v>
      </c>
    </row>
    <row r="5181" spans="1:4" ht="16.5" hidden="1" x14ac:dyDescent="0.3">
      <c r="A5181" s="10" t="str">
        <f>基本属性!$B$25&amp;"|"&amp;基本属性!$C$25</f>
        <v>220|15</v>
      </c>
      <c r="B5181" s="10" t="str">
        <f>参数调整!$J$36</f>
        <v>新增怪物种类1掉落</v>
      </c>
      <c r="C5181" s="8" t="str">
        <f>材料产出!$AJ$2</f>
        <v>中品注灵石</v>
      </c>
      <c r="D5181" s="224">
        <f>参数调整!$K$36*怪物掉落配置方案!$D4155</f>
        <v>0.24504439258603575</v>
      </c>
    </row>
    <row r="5182" spans="1:4" ht="16.5" hidden="1" x14ac:dyDescent="0.3">
      <c r="A5182" s="10" t="str">
        <f>基本属性!$B$26&amp;"|"&amp;基本属性!$C$26</f>
        <v>230|16</v>
      </c>
      <c r="B5182" s="10" t="str">
        <f>参数调整!$J$36</f>
        <v>新增怪物种类1掉落</v>
      </c>
      <c r="C5182" s="8" t="str">
        <f>材料产出!$AJ$2</f>
        <v>中品注灵石</v>
      </c>
      <c r="D5182" s="224">
        <f>参数调整!$K$36*怪物掉落配置方案!$D4156</f>
        <v>0.27250556583782615</v>
      </c>
    </row>
    <row r="5183" spans="1:4" ht="16.5" hidden="1" x14ac:dyDescent="0.3">
      <c r="A5183" s="10" t="str">
        <f>基本属性!$B$27&amp;"|"&amp;基本属性!$C$27</f>
        <v>230|17</v>
      </c>
      <c r="B5183" s="10" t="str">
        <f>参数调整!$J$36</f>
        <v>新增怪物种类1掉落</v>
      </c>
      <c r="C5183" s="8" t="str">
        <f>材料产出!$AJ$2</f>
        <v>中品注灵石</v>
      </c>
      <c r="D5183" s="224">
        <f>参数调整!$K$36*怪物掉落配置方案!$D4157</f>
        <v>0.30142485448351702</v>
      </c>
    </row>
    <row r="5184" spans="1:4" ht="16.5" hidden="1" x14ac:dyDescent="0.3">
      <c r="A5184" s="10" t="str">
        <f>基本属性!$B$28&amp;"|"&amp;基本属性!$C$28</f>
        <v>240|18</v>
      </c>
      <c r="B5184" s="10" t="str">
        <f>参数调整!$J$36</f>
        <v>新增怪物种类1掉落</v>
      </c>
      <c r="C5184" s="8" t="str">
        <f>材料产出!$AJ$2</f>
        <v>中品注灵石</v>
      </c>
      <c r="D5184" s="224">
        <f>参数调整!$K$36*怪物掉落配置方案!$D4158</f>
        <v>0.3318022585231083</v>
      </c>
    </row>
    <row r="5185" spans="1:4" ht="16.5" hidden="1" x14ac:dyDescent="0.3">
      <c r="A5185" s="10" t="str">
        <f>基本属性!$B$29&amp;"|"&amp;基本属性!$C$29</f>
        <v>240|19</v>
      </c>
      <c r="B5185" s="10" t="str">
        <f>参数调整!$J$36</f>
        <v>新增怪物种类1掉落</v>
      </c>
      <c r="C5185" s="8" t="str">
        <f>材料产出!$AJ$2</f>
        <v>中品注灵石</v>
      </c>
      <c r="D5185" s="224">
        <f>参数调整!$K$36*怪物掉落配置方案!$D4159</f>
        <v>0.36363777795659985</v>
      </c>
    </row>
    <row r="5186" spans="1:4" ht="16.5" hidden="1" x14ac:dyDescent="0.3">
      <c r="A5186" s="10" t="str">
        <f>基本属性!$B$30&amp;"|"&amp;基本属性!$C$30</f>
        <v>250|20</v>
      </c>
      <c r="B5186" s="10" t="str">
        <f>参数调整!$J$36</f>
        <v>新增怪物种类1掉落</v>
      </c>
      <c r="C5186" s="8" t="str">
        <f>材料产出!$AJ$2</f>
        <v>中品注灵石</v>
      </c>
      <c r="D5186" s="224">
        <f>参数调整!$K$36*怪物掉落配置方案!$D4160</f>
        <v>0.3969314127839918</v>
      </c>
    </row>
    <row r="5187" spans="1:4" ht="16.5" hidden="1" x14ac:dyDescent="0.3">
      <c r="A5187" s="10" t="str">
        <f>基本属性!$B$4&amp;"|"&amp;基本属性!$C$4</f>
        <v>35|0</v>
      </c>
      <c r="B5187" s="10" t="str">
        <f>参数调整!$J$36</f>
        <v>新增怪物种类1掉落</v>
      </c>
      <c r="C5187" s="8" t="str">
        <f>材料产出!$J$2</f>
        <v>元宝</v>
      </c>
      <c r="D5187" s="224">
        <f>参数调整!$K$36*怪物掉落配置方案!$D4161</f>
        <v>67</v>
      </c>
    </row>
    <row r="5188" spans="1:4" ht="16.5" hidden="1" x14ac:dyDescent="0.3">
      <c r="A5188" s="10" t="str">
        <f>基本属性!$B$5&amp;"|"&amp;基本属性!$C$5</f>
        <v>40|0</v>
      </c>
      <c r="B5188" s="10" t="str">
        <f>参数调整!$J$36</f>
        <v>新增怪物种类1掉落</v>
      </c>
      <c r="C5188" s="8" t="str">
        <f>材料产出!$J$2</f>
        <v>元宝</v>
      </c>
      <c r="D5188" s="224">
        <f>参数调整!$K$36*怪物掉落配置方案!$D4162</f>
        <v>85</v>
      </c>
    </row>
    <row r="5189" spans="1:4" ht="16.5" hidden="1" x14ac:dyDescent="0.3">
      <c r="A5189" s="10" t="str">
        <f>基本属性!$B$6&amp;"|"&amp;基本属性!$C$6</f>
        <v>50|0</v>
      </c>
      <c r="B5189" s="10" t="str">
        <f>参数调整!$J$36</f>
        <v>新增怪物种类1掉落</v>
      </c>
      <c r="C5189" s="8" t="str">
        <f>材料产出!$J$2</f>
        <v>元宝</v>
      </c>
      <c r="D5189" s="224">
        <f>参数调整!$K$36*怪物掉落配置方案!$D4163</f>
        <v>105</v>
      </c>
    </row>
    <row r="5190" spans="1:4" ht="16.5" hidden="1" x14ac:dyDescent="0.3">
      <c r="A5190" s="10" t="str">
        <f>基本属性!$B$7&amp;"|"&amp;基本属性!$C$7</f>
        <v>60|0</v>
      </c>
      <c r="B5190" s="10" t="str">
        <f>参数调整!$J$36</f>
        <v>新增怪物种类1掉落</v>
      </c>
      <c r="C5190" s="8" t="str">
        <f>材料产出!$J$2</f>
        <v>元宝</v>
      </c>
      <c r="D5190" s="224">
        <f>参数调整!$K$36*怪物掉落配置方案!$D4164</f>
        <v>127</v>
      </c>
    </row>
    <row r="5191" spans="1:4" ht="16.5" hidden="1" x14ac:dyDescent="0.3">
      <c r="A5191" s="10" t="str">
        <f>基本属性!$B$8&amp;"|"&amp;基本属性!$C$8</f>
        <v>65|0</v>
      </c>
      <c r="B5191" s="10" t="str">
        <f>参数调整!$J$36</f>
        <v>新增怪物种类1掉落</v>
      </c>
      <c r="C5191" s="8" t="str">
        <f>材料产出!$J$2</f>
        <v>元宝</v>
      </c>
      <c r="D5191" s="224">
        <f>参数调整!$K$36*怪物掉落配置方案!$D4165</f>
        <v>151</v>
      </c>
    </row>
    <row r="5192" spans="1:4" ht="16.5" hidden="1" x14ac:dyDescent="0.3">
      <c r="A5192" s="10" t="str">
        <f>基本属性!$B$9&amp;"|"&amp;基本属性!$C$9</f>
        <v>70|0</v>
      </c>
      <c r="B5192" s="10" t="str">
        <f>参数调整!$J$36</f>
        <v>新增怪物种类1掉落</v>
      </c>
      <c r="C5192" s="8" t="str">
        <f>材料产出!$J$2</f>
        <v>元宝</v>
      </c>
      <c r="D5192" s="224">
        <f>参数调整!$K$36*怪物掉落配置方案!$D4166</f>
        <v>177</v>
      </c>
    </row>
    <row r="5193" spans="1:4" ht="16.5" hidden="1" x14ac:dyDescent="0.3">
      <c r="A5193" s="10" t="str">
        <f>基本属性!$B$10&amp;"|"&amp;基本属性!$C$10</f>
        <v>75|0</v>
      </c>
      <c r="B5193" s="10" t="str">
        <f>参数调整!$J$36</f>
        <v>新增怪物种类1掉落</v>
      </c>
      <c r="C5193" s="8" t="str">
        <f>材料产出!$J$2</f>
        <v>元宝</v>
      </c>
      <c r="D5193" s="224">
        <f>参数调整!$K$36*怪物掉落配置方案!$D4167</f>
        <v>205</v>
      </c>
    </row>
    <row r="5194" spans="1:4" ht="16.5" hidden="1" x14ac:dyDescent="0.3">
      <c r="A5194" s="10" t="str">
        <f>基本属性!$B$11&amp;"|"&amp;基本属性!$C$11</f>
        <v>80|1</v>
      </c>
      <c r="B5194" s="10" t="str">
        <f>参数调整!$J$36</f>
        <v>新增怪物种类1掉落</v>
      </c>
      <c r="C5194" s="8" t="str">
        <f>材料产出!$J$2</f>
        <v>元宝</v>
      </c>
      <c r="D5194" s="224">
        <f>参数调整!$K$36*怪物掉落配置方案!$D4168</f>
        <v>236</v>
      </c>
    </row>
    <row r="5195" spans="1:4" ht="16.5" hidden="1" x14ac:dyDescent="0.3">
      <c r="A5195" s="10" t="str">
        <f>基本属性!$B$12&amp;"|"&amp;基本属性!$C$12</f>
        <v>90|2</v>
      </c>
      <c r="B5195" s="10" t="str">
        <f>参数调整!$J$36</f>
        <v>新增怪物种类1掉落</v>
      </c>
      <c r="C5195" s="8" t="str">
        <f>材料产出!$J$2</f>
        <v>元宝</v>
      </c>
      <c r="D5195" s="224">
        <f>参数调整!$K$36*怪物掉落配置方案!$D4169</f>
        <v>268</v>
      </c>
    </row>
    <row r="5196" spans="1:4" ht="16.5" hidden="1" x14ac:dyDescent="0.3">
      <c r="A5196" s="10" t="str">
        <f>基本属性!$B$13&amp;"|"&amp;基本属性!$C$13</f>
        <v>100|3</v>
      </c>
      <c r="B5196" s="10" t="str">
        <f>参数调整!$J$36</f>
        <v>新增怪物种类1掉落</v>
      </c>
      <c r="C5196" s="8" t="str">
        <f>材料产出!$J$2</f>
        <v>元宝</v>
      </c>
      <c r="D5196" s="224">
        <f>参数调整!$K$36*怪物掉落配置方案!$D4170</f>
        <v>339</v>
      </c>
    </row>
    <row r="5197" spans="1:4" ht="16.5" hidden="1" x14ac:dyDescent="0.3">
      <c r="A5197" s="10" t="str">
        <f>基本属性!$B$14&amp;"|"&amp;基本属性!$C$14</f>
        <v>105|4</v>
      </c>
      <c r="B5197" s="10" t="str">
        <f>参数调整!$J$36</f>
        <v>新增怪物种类1掉落</v>
      </c>
      <c r="C5197" s="8" t="str">
        <f>材料产出!$J$2</f>
        <v>元宝</v>
      </c>
      <c r="D5197" s="224">
        <f>参数调整!$K$36*怪物掉落配置方案!$D4171</f>
        <v>419</v>
      </c>
    </row>
    <row r="5198" spans="1:4" ht="16.5" hidden="1" x14ac:dyDescent="0.3">
      <c r="A5198" s="10" t="str">
        <f>基本属性!$B$15&amp;"|"&amp;基本属性!$C$15</f>
        <v>110|5</v>
      </c>
      <c r="B5198" s="10" t="str">
        <f>参数调整!$J$36</f>
        <v>新增怪物种类1掉落</v>
      </c>
      <c r="C5198" s="8" t="str">
        <f>材料产出!$J$2</f>
        <v>元宝</v>
      </c>
      <c r="D5198" s="224">
        <f>参数调整!$K$36*怪物掉落配置方案!$D4172</f>
        <v>507</v>
      </c>
    </row>
    <row r="5199" spans="1:4" ht="16.5" hidden="1" x14ac:dyDescent="0.3">
      <c r="A5199" s="10" t="str">
        <f>基本属性!$B$16&amp;"|"&amp;基本属性!$C$16</f>
        <v>120|6</v>
      </c>
      <c r="B5199" s="10" t="str">
        <f>参数调整!$J$36</f>
        <v>新增怪物种类1掉落</v>
      </c>
      <c r="C5199" s="8" t="str">
        <f>材料产出!$J$2</f>
        <v>元宝</v>
      </c>
      <c r="D5199" s="224">
        <f>参数调整!$K$36*怪物掉落配置方案!$D4173</f>
        <v>655</v>
      </c>
    </row>
    <row r="5200" spans="1:4" ht="16.5" hidden="1" x14ac:dyDescent="0.3">
      <c r="A5200" s="10" t="str">
        <f>基本属性!$B$17&amp;"|"&amp;基本属性!$C$17</f>
        <v>135|7</v>
      </c>
      <c r="B5200" s="10" t="str">
        <f>参数调整!$J$36</f>
        <v>新增怪物种类1掉落</v>
      </c>
      <c r="C5200" s="8" t="str">
        <f>材料产出!$J$2</f>
        <v>元宝</v>
      </c>
      <c r="D5200" s="224">
        <f>参数调整!$K$36*怪物掉落配置方案!$D4174</f>
        <v>943</v>
      </c>
    </row>
    <row r="5201" spans="1:4" ht="16.5" hidden="1" x14ac:dyDescent="0.3">
      <c r="A5201" s="10" t="str">
        <f>基本属性!$B$18&amp;"|"&amp;基本属性!$C$18</f>
        <v>155|8</v>
      </c>
      <c r="B5201" s="10" t="str">
        <f>参数调整!$J$36</f>
        <v>新增怪物种类1掉落</v>
      </c>
      <c r="C5201" s="8" t="str">
        <f>材料产出!$J$2</f>
        <v>元宝</v>
      </c>
      <c r="D5201" s="224">
        <f>参数调整!$K$36*怪物掉落配置方案!$D4175</f>
        <v>1284</v>
      </c>
    </row>
    <row r="5202" spans="1:4" ht="16.5" hidden="1" x14ac:dyDescent="0.3">
      <c r="A5202" s="10" t="str">
        <f>基本属性!$B$19&amp;"|"&amp;基本属性!$C$19</f>
        <v>190|9</v>
      </c>
      <c r="B5202" s="10" t="str">
        <f>参数调整!$J$36</f>
        <v>新增怪物种类1掉落</v>
      </c>
      <c r="C5202" s="8" t="str">
        <f>材料产出!$J$2</f>
        <v>元宝</v>
      </c>
      <c r="D5202" s="224">
        <f>参数调整!$K$36*怪物掉落配置方案!$D4176</f>
        <v>1434</v>
      </c>
    </row>
    <row r="5203" spans="1:4" ht="16.5" hidden="1" x14ac:dyDescent="0.3">
      <c r="A5203" s="10" t="str">
        <f>基本属性!$B$20&amp;"|"&amp;基本属性!$C$20</f>
        <v>200|10</v>
      </c>
      <c r="B5203" s="10" t="str">
        <f>参数调整!$J$36</f>
        <v>新增怪物种类1掉落</v>
      </c>
      <c r="C5203" s="8" t="str">
        <f>材料产出!$J$2</f>
        <v>元宝</v>
      </c>
      <c r="D5203" s="224">
        <f>参数调整!$K$36*怪物掉落配置方案!$D4177</f>
        <v>1677</v>
      </c>
    </row>
    <row r="5204" spans="1:4" ht="16.5" hidden="1" x14ac:dyDescent="0.3">
      <c r="A5204" s="10" t="str">
        <f>基本属性!$B$21&amp;"|"&amp;基本属性!$C$21</f>
        <v>200|11</v>
      </c>
      <c r="B5204" s="10" t="str">
        <f>参数调整!$J$36</f>
        <v>新增怪物种类1掉落</v>
      </c>
      <c r="C5204" s="8" t="str">
        <f>材料产出!$J$2</f>
        <v>元宝</v>
      </c>
      <c r="D5204" s="224">
        <f>参数调整!$K$36*怪物掉落配置方案!$D4178</f>
        <v>1937</v>
      </c>
    </row>
    <row r="5205" spans="1:4" ht="16.5" hidden="1" x14ac:dyDescent="0.3">
      <c r="A5205" s="10" t="str">
        <f>基本属性!$B$22&amp;"|"&amp;基本属性!$C$22</f>
        <v>210|12</v>
      </c>
      <c r="B5205" s="10" t="str">
        <f>参数调整!$J$36</f>
        <v>新增怪物种类1掉落</v>
      </c>
      <c r="C5205" s="8" t="str">
        <f>材料产出!$J$2</f>
        <v>元宝</v>
      </c>
      <c r="D5205" s="224">
        <f>参数调整!$K$36*怪物掉落配置方案!$D4179</f>
        <v>2217</v>
      </c>
    </row>
    <row r="5206" spans="1:4" ht="16.5" hidden="1" x14ac:dyDescent="0.3">
      <c r="A5206" s="10" t="str">
        <f>基本属性!$B$23&amp;"|"&amp;基本属性!$C$23</f>
        <v>210|13</v>
      </c>
      <c r="B5206" s="10" t="str">
        <f>参数调整!$J$36</f>
        <v>新增怪物种类1掉落</v>
      </c>
      <c r="C5206" s="8" t="str">
        <f>材料产出!$J$2</f>
        <v>元宝</v>
      </c>
      <c r="D5206" s="224">
        <f>参数调整!$K$36*怪物掉落配置方案!$D4180</f>
        <v>2516</v>
      </c>
    </row>
    <row r="5207" spans="1:4" ht="16.5" hidden="1" x14ac:dyDescent="0.3">
      <c r="A5207" s="10" t="str">
        <f>基本属性!$B$24&amp;"|"&amp;基本属性!$C$24</f>
        <v>220|14</v>
      </c>
      <c r="B5207" s="10" t="str">
        <f>参数调整!$J$36</f>
        <v>新增怪物种类1掉落</v>
      </c>
      <c r="C5207" s="8" t="str">
        <f>材料产出!$J$2</f>
        <v>元宝</v>
      </c>
      <c r="D5207" s="224">
        <f>参数调整!$K$36*怪物掉落配置方案!$D4181</f>
        <v>2833</v>
      </c>
    </row>
    <row r="5208" spans="1:4" ht="16.5" hidden="1" x14ac:dyDescent="0.3">
      <c r="A5208" s="10" t="str">
        <f>基本属性!$B$25&amp;"|"&amp;基本属性!$C$25</f>
        <v>220|15</v>
      </c>
      <c r="B5208" s="10" t="str">
        <f>参数调整!$J$36</f>
        <v>新增怪物种类1掉落</v>
      </c>
      <c r="C5208" s="8" t="str">
        <f>材料产出!$J$2</f>
        <v>元宝</v>
      </c>
      <c r="D5208" s="224">
        <f>参数调整!$K$36*怪物掉落配置方案!$D4182</f>
        <v>3170</v>
      </c>
    </row>
    <row r="5209" spans="1:4" ht="16.5" hidden="1" x14ac:dyDescent="0.3">
      <c r="A5209" s="10" t="str">
        <f>基本属性!$B$26&amp;"|"&amp;基本属性!$C$26</f>
        <v>230|16</v>
      </c>
      <c r="B5209" s="10" t="str">
        <f>参数调整!$J$36</f>
        <v>新增怪物种类1掉落</v>
      </c>
      <c r="C5209" s="8" t="str">
        <f>材料产出!$J$2</f>
        <v>元宝</v>
      </c>
      <c r="D5209" s="224">
        <f>参数调整!$K$36*怪物掉落配置方案!$D4183</f>
        <v>3525</v>
      </c>
    </row>
    <row r="5210" spans="1:4" ht="16.5" hidden="1" x14ac:dyDescent="0.3">
      <c r="A5210" s="10" t="str">
        <f>基本属性!$B$27&amp;"|"&amp;基本属性!$C$27</f>
        <v>230|17</v>
      </c>
      <c r="B5210" s="10" t="str">
        <f>参数调整!$J$36</f>
        <v>新增怪物种类1掉落</v>
      </c>
      <c r="C5210" s="8" t="str">
        <f>材料产出!$J$2</f>
        <v>元宝</v>
      </c>
      <c r="D5210" s="224">
        <f>参数调整!$K$36*怪物掉落配置方案!$D4184</f>
        <v>3899</v>
      </c>
    </row>
    <row r="5211" spans="1:4" ht="16.5" hidden="1" x14ac:dyDescent="0.3">
      <c r="A5211" s="10" t="str">
        <f>基本属性!$B$28&amp;"|"&amp;基本属性!$C$28</f>
        <v>240|18</v>
      </c>
      <c r="B5211" s="10" t="str">
        <f>参数调整!$J$36</f>
        <v>新增怪物种类1掉落</v>
      </c>
      <c r="C5211" s="8" t="str">
        <f>材料产出!$J$2</f>
        <v>元宝</v>
      </c>
      <c r="D5211" s="224">
        <f>参数调整!$K$36*怪物掉落配置方案!$D4185</f>
        <v>4292</v>
      </c>
    </row>
    <row r="5212" spans="1:4" ht="16.5" hidden="1" x14ac:dyDescent="0.3">
      <c r="A5212" s="10" t="str">
        <f>基本属性!$B$29&amp;"|"&amp;基本属性!$C$29</f>
        <v>240|19</v>
      </c>
      <c r="B5212" s="10" t="str">
        <f>参数调整!$J$36</f>
        <v>新增怪物种类1掉落</v>
      </c>
      <c r="C5212" s="8" t="str">
        <f>材料产出!$J$2</f>
        <v>元宝</v>
      </c>
      <c r="D5212" s="224">
        <f>参数调整!$K$36*怪物掉落配置方案!$D4186</f>
        <v>4704</v>
      </c>
    </row>
    <row r="5213" spans="1:4" ht="16.5" hidden="1" x14ac:dyDescent="0.3">
      <c r="A5213" s="10" t="str">
        <f>基本属性!$B$30&amp;"|"&amp;基本属性!$C$30</f>
        <v>250|20</v>
      </c>
      <c r="B5213" s="10" t="str">
        <f>参数调整!$J$36</f>
        <v>新增怪物种类1掉落</v>
      </c>
      <c r="C5213" s="8" t="str">
        <f>材料产出!$J$2</f>
        <v>元宝</v>
      </c>
      <c r="D5213" s="224">
        <f>参数调整!$K$36*怪物掉落配置方案!$D4187</f>
        <v>5134</v>
      </c>
    </row>
    <row r="5214" spans="1:4" ht="16.5" hidden="1" x14ac:dyDescent="0.3">
      <c r="A5214" s="10" t="str">
        <f>基本属性!$B$4&amp;"|"&amp;基本属性!$C$4</f>
        <v>35|0</v>
      </c>
      <c r="B5214" s="10" t="str">
        <f>参数调整!$J$36</f>
        <v>新增怪物种类1掉落</v>
      </c>
      <c r="C5214" s="8" t="str">
        <f>材料产出!$BB$2</f>
        <v>衣服碎片</v>
      </c>
      <c r="D5214" s="224">
        <f>参数调整!$K$36*怪物掉落配置方案!$D4188</f>
        <v>8.1166972083899542E-6</v>
      </c>
    </row>
    <row r="5215" spans="1:4" ht="16.5" hidden="1" x14ac:dyDescent="0.3">
      <c r="A5215" s="10" t="str">
        <f>基本属性!$B$5&amp;"|"&amp;基本属性!$C$5</f>
        <v>40|0</v>
      </c>
      <c r="B5215" s="10" t="str">
        <f>参数调整!$J$36</f>
        <v>新增怪物种类1掉落</v>
      </c>
      <c r="C5215" s="8" t="str">
        <f>材料产出!$BB$2</f>
        <v>衣服碎片</v>
      </c>
      <c r="D5215" s="224">
        <f>参数调整!$K$36*怪物掉落配置方案!$D4189</f>
        <v>1.0272694904368536E-5</v>
      </c>
    </row>
    <row r="5216" spans="1:4" ht="16.5" hidden="1" x14ac:dyDescent="0.3">
      <c r="A5216" s="10" t="str">
        <f>基本属性!$B$6&amp;"|"&amp;基本属性!$C$6</f>
        <v>50|0</v>
      </c>
      <c r="B5216" s="10" t="str">
        <f>参数调整!$J$36</f>
        <v>新增怪物种类1掉落</v>
      </c>
      <c r="C5216" s="8" t="str">
        <f>材料产出!$BB$2</f>
        <v>衣服碎片</v>
      </c>
      <c r="D5216" s="224">
        <f>参数调整!$K$36*怪物掉落配置方案!$D4190</f>
        <v>1.2682339388109304E-5</v>
      </c>
    </row>
    <row r="5217" spans="1:4" ht="16.5" hidden="1" x14ac:dyDescent="0.3">
      <c r="A5217" s="10" t="str">
        <f>基本属性!$B$7&amp;"|"&amp;基本属性!$C$7</f>
        <v>60|0</v>
      </c>
      <c r="B5217" s="10" t="str">
        <f>参数调整!$J$36</f>
        <v>新增怪物种类1掉落</v>
      </c>
      <c r="C5217" s="8" t="str">
        <f>材料产出!$BB$2</f>
        <v>衣服碎片</v>
      </c>
      <c r="D5217" s="224">
        <f>参数调整!$K$36*怪物掉落配置方案!$D4191</f>
        <v>1.5345630659612257E-5</v>
      </c>
    </row>
    <row r="5218" spans="1:4" ht="16.5" hidden="1" x14ac:dyDescent="0.3">
      <c r="A5218" s="10" t="str">
        <f>基本属性!$B$8&amp;"|"&amp;基本属性!$C$8</f>
        <v>65|0</v>
      </c>
      <c r="B5218" s="10" t="str">
        <f>参数调整!$J$36</f>
        <v>新增怪物种类1掉落</v>
      </c>
      <c r="C5218" s="8" t="str">
        <f>材料产出!$BB$2</f>
        <v>衣服碎片</v>
      </c>
      <c r="D5218" s="224">
        <f>参数调整!$K$36*怪物掉落配置方案!$D4192</f>
        <v>1.8262568718877397E-5</v>
      </c>
    </row>
    <row r="5219" spans="1:4" ht="16.5" hidden="1" x14ac:dyDescent="0.3">
      <c r="A5219" s="10" t="str">
        <f>基本属性!$B$9&amp;"|"&amp;基本属性!$C$9</f>
        <v>70|0</v>
      </c>
      <c r="B5219" s="10" t="str">
        <f>参数调整!$J$36</f>
        <v>新增怪物种类1掉落</v>
      </c>
      <c r="C5219" s="8" t="str">
        <f>材料产出!$BB$2</f>
        <v>衣服碎片</v>
      </c>
      <c r="D5219" s="224">
        <f>参数调整!$K$36*怪物掉落配置方案!$D4193</f>
        <v>2.1433153565904723E-5</v>
      </c>
    </row>
    <row r="5220" spans="1:4" ht="16.5" hidden="1" x14ac:dyDescent="0.3">
      <c r="A5220" s="10" t="str">
        <f>基本属性!$B$10&amp;"|"&amp;基本属性!$C$10</f>
        <v>75|0</v>
      </c>
      <c r="B5220" s="10" t="str">
        <f>参数调整!$J$36</f>
        <v>新增怪物种类1掉落</v>
      </c>
      <c r="C5220" s="8" t="str">
        <f>材料产出!$BB$2</f>
        <v>衣服碎片</v>
      </c>
      <c r="D5220" s="224">
        <f>参数调整!$K$36*怪物掉落配置方案!$D4194</f>
        <v>2.4857385200694231E-5</v>
      </c>
    </row>
    <row r="5221" spans="1:4" ht="16.5" hidden="1" x14ac:dyDescent="0.3">
      <c r="A5221" s="10" t="str">
        <f>基本属性!$B$11&amp;"|"&amp;基本属性!$C$11</f>
        <v>80|1</v>
      </c>
      <c r="B5221" s="10" t="str">
        <f>参数调整!$J$36</f>
        <v>新增怪物种类1掉落</v>
      </c>
      <c r="C5221" s="8" t="str">
        <f>材料产出!$BB$2</f>
        <v>衣服碎片</v>
      </c>
      <c r="D5221" s="224">
        <f>参数调整!$K$36*怪物掉落配置方案!$D4195</f>
        <v>2.8535263623245931E-5</v>
      </c>
    </row>
    <row r="5222" spans="1:4" ht="16.5" hidden="1" x14ac:dyDescent="0.3">
      <c r="A5222" s="10" t="str">
        <f>基本属性!$B$12&amp;"|"&amp;基本属性!$C$12</f>
        <v>90|2</v>
      </c>
      <c r="B5222" s="10" t="str">
        <f>参数调整!$J$36</f>
        <v>新增怪物种类1掉落</v>
      </c>
      <c r="C5222" s="8" t="str">
        <f>材料产出!$BB$2</f>
        <v>衣服碎片</v>
      </c>
      <c r="D5222" s="224">
        <f>参数调整!$K$36*怪物掉落配置方案!$D4196</f>
        <v>3.2466788833559824E-5</v>
      </c>
    </row>
    <row r="5223" spans="1:4" ht="16.5" hidden="1" x14ac:dyDescent="0.3">
      <c r="A5223" s="10" t="str">
        <f>基本属性!$B$13&amp;"|"&amp;基本属性!$C$13</f>
        <v>100|3</v>
      </c>
      <c r="B5223" s="10" t="str">
        <f>参数调整!$J$36</f>
        <v>新增怪物种类1掉落</v>
      </c>
      <c r="C5223" s="8" t="str">
        <f>材料产出!$BB$2</f>
        <v>衣服碎片</v>
      </c>
      <c r="D5223" s="224">
        <f>参数调整!$K$36*怪物掉落配置方案!$D4197</f>
        <v>4.1090779617474149E-5</v>
      </c>
    </row>
    <row r="5224" spans="1:4" ht="16.5" hidden="1" x14ac:dyDescent="0.3">
      <c r="A5224" s="10" t="str">
        <f>基本属性!$B$14&amp;"|"&amp;基本属性!$C$14</f>
        <v>105|4</v>
      </c>
      <c r="B5224" s="10" t="str">
        <f>参数调整!$J$36</f>
        <v>新增怪物种类1掉落</v>
      </c>
      <c r="C5224" s="8" t="str">
        <f>材料产出!$BB$2</f>
        <v>衣服碎片</v>
      </c>
      <c r="D5224" s="224">
        <f>参数调整!$K$36*怪物掉落配置方案!$D4198</f>
        <v>5.0729357552437217E-5</v>
      </c>
    </row>
    <row r="5225" spans="1:4" ht="16.5" hidden="1" x14ac:dyDescent="0.3">
      <c r="A5225" s="10" t="str">
        <f>基本属性!$B$15&amp;"|"&amp;基本属性!$C$15</f>
        <v>110|5</v>
      </c>
      <c r="B5225" s="10" t="str">
        <f>参数调整!$J$36</f>
        <v>新增怪物种类1掉落</v>
      </c>
      <c r="C5225" s="8" t="str">
        <f>材料产出!$BB$2</f>
        <v>衣服碎片</v>
      </c>
      <c r="D5225" s="224">
        <f>参数调整!$K$36*怪物掉落配置方案!$D4199</f>
        <v>6.1382522638449042E-5</v>
      </c>
    </row>
    <row r="5226" spans="1:4" ht="16.5" hidden="1" x14ac:dyDescent="0.3">
      <c r="A5226" s="10" t="str">
        <f>基本属性!$B$16&amp;"|"&amp;基本属性!$C$16</f>
        <v>120|6</v>
      </c>
      <c r="B5226" s="10" t="str">
        <f>参数调整!$J$36</f>
        <v>新增怪物种类1掉落</v>
      </c>
      <c r="C5226" s="8" t="str">
        <f>材料产出!$BB$2</f>
        <v>衣服碎片</v>
      </c>
      <c r="D5226" s="224">
        <f>参数调整!$K$36*怪物掉落配置方案!$D4200</f>
        <v>7.9264621175683162E-5</v>
      </c>
    </row>
    <row r="5227" spans="1:4" ht="16.5" hidden="1" x14ac:dyDescent="0.3">
      <c r="A5227" s="10" t="str">
        <f>基本属性!$B$17&amp;"|"&amp;基本属性!$C$17</f>
        <v>135|7</v>
      </c>
      <c r="B5227" s="10" t="str">
        <f>参数调整!$J$36</f>
        <v>新增怪物种类1掉落</v>
      </c>
      <c r="C5227" s="8" t="str">
        <f>材料产出!$BB$2</f>
        <v>衣服碎片</v>
      </c>
      <c r="D5227" s="224">
        <f>参数调整!$K$36*怪物掉落配置方案!$D4201</f>
        <v>1.1414105449298372E-4</v>
      </c>
    </row>
    <row r="5228" spans="1:4" ht="16.5" hidden="1" x14ac:dyDescent="0.3">
      <c r="A5228" s="10" t="str">
        <f>基本属性!$B$18&amp;"|"&amp;基本属性!$C$18</f>
        <v>155|8</v>
      </c>
      <c r="B5228" s="10" t="str">
        <f>参数调整!$J$36</f>
        <v>新增怪物种类1掉落</v>
      </c>
      <c r="C5228" s="8" t="str">
        <f>材料产出!$BB$2</f>
        <v>衣服碎片</v>
      </c>
      <c r="D5228" s="224">
        <f>参数调整!$K$36*怪物掉落配置方案!$D4202</f>
        <v>1.5535865750433898E-4</v>
      </c>
    </row>
    <row r="5229" spans="1:4" ht="16.5" hidden="1" x14ac:dyDescent="0.3">
      <c r="A5229" s="10" t="str">
        <f>基本属性!$B$19&amp;"|"&amp;基本属性!$C$19</f>
        <v>190|9</v>
      </c>
      <c r="B5229" s="10" t="str">
        <f>参数调整!$J$36</f>
        <v>新增怪物种类1掉落</v>
      </c>
      <c r="C5229" s="8" t="str">
        <f>材料产出!$BB$2</f>
        <v>衣服碎片</v>
      </c>
      <c r="D5229" s="224">
        <f>参数调整!$K$36*怪物掉落配置方案!$D4203</f>
        <v>1.7362122622321637E-4</v>
      </c>
    </row>
    <row r="5230" spans="1:4" ht="16.5" hidden="1" x14ac:dyDescent="0.3">
      <c r="A5230" s="10" t="str">
        <f>基本属性!$B$20&amp;"|"&amp;基本属性!$C$20</f>
        <v>200|10</v>
      </c>
      <c r="B5230" s="10" t="str">
        <f>参数调整!$J$36</f>
        <v>新增怪物种类1掉落</v>
      </c>
      <c r="C5230" s="8" t="str">
        <f>材料产出!$BB$2</f>
        <v>衣服碎片</v>
      </c>
      <c r="D5230" s="224">
        <f>参数调整!$K$36*怪物掉落配置方案!$D4204</f>
        <v>2.0291743020974887E-4</v>
      </c>
    </row>
    <row r="5231" spans="1:4" ht="16.5" hidden="1" x14ac:dyDescent="0.3">
      <c r="A5231" s="10" t="str">
        <f>基本属性!$B$21&amp;"|"&amp;基本属性!$C$21</f>
        <v>200|11</v>
      </c>
      <c r="B5231" s="10" t="str">
        <f>参数调整!$J$36</f>
        <v>新增怪物种类1掉落</v>
      </c>
      <c r="C5231" s="8" t="str">
        <f>材料产出!$BB$2</f>
        <v>衣服碎片</v>
      </c>
      <c r="D5231" s="224">
        <f>参数调整!$K$36*怪物掉落配置方案!$D4205</f>
        <v>2.3449645528614095E-4</v>
      </c>
    </row>
    <row r="5232" spans="1:4" ht="16.5" hidden="1" x14ac:dyDescent="0.3">
      <c r="A5232" s="10" t="str">
        <f>基本属性!$B$22&amp;"|"&amp;基本属性!$C$22</f>
        <v>210|12</v>
      </c>
      <c r="B5232" s="10" t="str">
        <f>参数调整!$J$36</f>
        <v>新增怪物种类1掉落</v>
      </c>
      <c r="C5232" s="8" t="str">
        <f>材料产出!$BB$2</f>
        <v>衣服碎片</v>
      </c>
      <c r="D5232" s="224">
        <f>参数调整!$K$36*怪物掉落配置方案!$D4206</f>
        <v>2.6835830145239279E-4</v>
      </c>
    </row>
    <row r="5233" spans="1:4" ht="16.5" hidden="1" x14ac:dyDescent="0.3">
      <c r="A5233" s="10" t="str">
        <f>基本属性!$B$23&amp;"|"&amp;基本属性!$C$23</f>
        <v>210|13</v>
      </c>
      <c r="B5233" s="10" t="str">
        <f>参数调整!$J$36</f>
        <v>新增怪物种类1掉落</v>
      </c>
      <c r="C5233" s="8" t="str">
        <f>材料产出!$BB$2</f>
        <v>衣服碎片</v>
      </c>
      <c r="D5233" s="224">
        <f>参数调整!$K$36*怪物掉落配置方案!$D4207</f>
        <v>3.0450296870850442E-4</v>
      </c>
    </row>
    <row r="5234" spans="1:4" ht="16.5" hidden="1" x14ac:dyDescent="0.3">
      <c r="A5234" s="10" t="str">
        <f>基本属性!$B$24&amp;"|"&amp;基本属性!$C$24</f>
        <v>220|14</v>
      </c>
      <c r="B5234" s="10" t="str">
        <f>参数调整!$J$36</f>
        <v>新增怪物种类1掉落</v>
      </c>
      <c r="C5234" s="8" t="str">
        <f>材料产出!$BB$2</f>
        <v>衣服碎片</v>
      </c>
      <c r="D5234" s="224">
        <f>参数调整!$K$36*怪物掉落配置方案!$D4208</f>
        <v>3.4293045705447556E-4</v>
      </c>
    </row>
    <row r="5235" spans="1:4" ht="16.5" hidden="1" x14ac:dyDescent="0.3">
      <c r="A5235" s="10" t="str">
        <f>基本属性!$B$25&amp;"|"&amp;基本属性!$C$25</f>
        <v>220|15</v>
      </c>
      <c r="B5235" s="10" t="str">
        <f>参数调整!$J$36</f>
        <v>新增怪物种类1掉落</v>
      </c>
      <c r="C5235" s="8" t="str">
        <f>材料产出!$BB$2</f>
        <v>衣服碎片</v>
      </c>
      <c r="D5235" s="224">
        <f>参数调整!$K$36*怪物掉落配置方案!$D4209</f>
        <v>3.8364076649030632E-4</v>
      </c>
    </row>
    <row r="5236" spans="1:4" ht="16.5" hidden="1" x14ac:dyDescent="0.3">
      <c r="A5236" s="10" t="str">
        <f>基本属性!$B$26&amp;"|"&amp;基本属性!$C$26</f>
        <v>230|16</v>
      </c>
      <c r="B5236" s="10" t="str">
        <f>参数调整!$J$36</f>
        <v>新增怪物种类1掉落</v>
      </c>
      <c r="C5236" s="8" t="str">
        <f>材料产出!$BB$2</f>
        <v>衣服碎片</v>
      </c>
      <c r="D5236" s="224">
        <f>参数调整!$K$36*怪物掉落配置方案!$D4210</f>
        <v>4.266338970159969E-4</v>
      </c>
    </row>
    <row r="5237" spans="1:4" ht="16.5" hidden="1" x14ac:dyDescent="0.3">
      <c r="A5237" s="10" t="str">
        <f>基本属性!$B$27&amp;"|"&amp;基本属性!$C$27</f>
        <v>230|17</v>
      </c>
      <c r="B5237" s="10" t="str">
        <f>参数调整!$J$36</f>
        <v>新增怪物种类1掉落</v>
      </c>
      <c r="C5237" s="8" t="str">
        <f>材料产出!$BB$2</f>
        <v>衣服碎片</v>
      </c>
      <c r="D5237" s="224">
        <f>参数调整!$K$36*怪物掉落配置方案!$D4211</f>
        <v>4.719098486315471E-4</v>
      </c>
    </row>
    <row r="5238" spans="1:4" ht="16.5" hidden="1" x14ac:dyDescent="0.3">
      <c r="A5238" s="10" t="str">
        <f>基本属性!$B$28&amp;"|"&amp;基本属性!$C$28</f>
        <v>240|18</v>
      </c>
      <c r="B5238" s="10" t="str">
        <f>参数调整!$J$36</f>
        <v>新增怪物种类1掉落</v>
      </c>
      <c r="C5238" s="8" t="str">
        <f>材料产出!$BB$2</f>
        <v>衣服碎片</v>
      </c>
      <c r="D5238" s="224">
        <f>参数调整!$K$36*怪物掉落配置方案!$D4212</f>
        <v>5.1946862133695707E-4</v>
      </c>
    </row>
    <row r="5239" spans="1:4" ht="16.5" hidden="1" x14ac:dyDescent="0.3">
      <c r="A5239" s="10" t="str">
        <f>基本属性!$B$29&amp;"|"&amp;基本属性!$C$29</f>
        <v>240|19</v>
      </c>
      <c r="B5239" s="10" t="str">
        <f>参数调整!$J$36</f>
        <v>新增怪物种类1掉落</v>
      </c>
      <c r="C5239" s="8" t="str">
        <f>材料产出!$BB$2</f>
        <v>衣服碎片</v>
      </c>
      <c r="D5239" s="224">
        <f>参数调整!$K$36*怪物掉落配置方案!$D4213</f>
        <v>5.6931021513222666E-4</v>
      </c>
    </row>
    <row r="5240" spans="1:4" ht="16.5" hidden="1" x14ac:dyDescent="0.3">
      <c r="A5240" s="10" t="str">
        <f>基本属性!$B$30&amp;"|"&amp;基本属性!$C$30</f>
        <v>250|20</v>
      </c>
      <c r="B5240" s="10" t="str">
        <f>参数调整!$J$36</f>
        <v>新增怪物种类1掉落</v>
      </c>
      <c r="C5240" s="8" t="str">
        <f>材料产出!$BB$2</f>
        <v>衣服碎片</v>
      </c>
      <c r="D5240" s="224">
        <f>参数调整!$K$36*怪物掉落配置方案!$D4214</f>
        <v>6.214346300173557E-4</v>
      </c>
    </row>
    <row r="5241" spans="1:4" ht="16.5" hidden="1" x14ac:dyDescent="0.3">
      <c r="A5241" s="10" t="str">
        <f>基本属性!$B$4&amp;"|"&amp;基本属性!$C$4</f>
        <v>35|0</v>
      </c>
      <c r="B5241" s="10" t="str">
        <f>参数调整!$J$36</f>
        <v>新增怪物种类1掉落</v>
      </c>
      <c r="C5241" s="8" t="str">
        <f>材料产出!$HX$2</f>
        <v>星座装备</v>
      </c>
      <c r="D5241" s="224">
        <f>参数调整!$K$36*怪物掉落配置方案!$D4215</f>
        <v>0</v>
      </c>
    </row>
    <row r="5242" spans="1:4" ht="16.5" hidden="1" x14ac:dyDescent="0.3">
      <c r="A5242" s="10" t="str">
        <f>基本属性!$B$5&amp;"|"&amp;基本属性!$C$5</f>
        <v>40|0</v>
      </c>
      <c r="B5242" s="10" t="str">
        <f>参数调整!$J$36</f>
        <v>新增怪物种类1掉落</v>
      </c>
      <c r="C5242" s="8" t="str">
        <f>材料产出!$HX$2</f>
        <v>星座装备</v>
      </c>
      <c r="D5242" s="224">
        <f>参数调整!$K$36*怪物掉落配置方案!$D4216</f>
        <v>0</v>
      </c>
    </row>
    <row r="5243" spans="1:4" ht="16.5" hidden="1" x14ac:dyDescent="0.3">
      <c r="A5243" s="10" t="str">
        <f>基本属性!$B$6&amp;"|"&amp;基本属性!$C$6</f>
        <v>50|0</v>
      </c>
      <c r="B5243" s="10" t="str">
        <f>参数调整!$J$36</f>
        <v>新增怪物种类1掉落</v>
      </c>
      <c r="C5243" s="8" t="str">
        <f>材料产出!$HX$2</f>
        <v>星座装备</v>
      </c>
      <c r="D5243" s="224">
        <f>参数调整!$K$36*怪物掉落配置方案!$D4217</f>
        <v>0</v>
      </c>
    </row>
    <row r="5244" spans="1:4" ht="16.5" hidden="1" x14ac:dyDescent="0.3">
      <c r="A5244" s="10" t="str">
        <f>基本属性!$B$7&amp;"|"&amp;基本属性!$C$7</f>
        <v>60|0</v>
      </c>
      <c r="B5244" s="10" t="str">
        <f>参数调整!$J$36</f>
        <v>新增怪物种类1掉落</v>
      </c>
      <c r="C5244" s="8" t="str">
        <f>材料产出!$HX$2</f>
        <v>星座装备</v>
      </c>
      <c r="D5244" s="224">
        <f>参数调整!$K$36*怪物掉落配置方案!$D4218</f>
        <v>0</v>
      </c>
    </row>
    <row r="5245" spans="1:4" ht="16.5" hidden="1" x14ac:dyDescent="0.3">
      <c r="A5245" s="10" t="str">
        <f>基本属性!$B$8&amp;"|"&amp;基本属性!$C$8</f>
        <v>65|0</v>
      </c>
      <c r="B5245" s="10" t="str">
        <f>参数调整!$J$36</f>
        <v>新增怪物种类1掉落</v>
      </c>
      <c r="C5245" s="8" t="str">
        <f>材料产出!$HX$2</f>
        <v>星座装备</v>
      </c>
      <c r="D5245" s="224">
        <f>参数调整!$K$36*怪物掉落配置方案!$D4219</f>
        <v>0</v>
      </c>
    </row>
    <row r="5246" spans="1:4" ht="16.5" hidden="1" x14ac:dyDescent="0.3">
      <c r="A5246" s="10" t="str">
        <f>基本属性!$B$9&amp;"|"&amp;基本属性!$C$9</f>
        <v>70|0</v>
      </c>
      <c r="B5246" s="10" t="str">
        <f>参数调整!$J$36</f>
        <v>新增怪物种类1掉落</v>
      </c>
      <c r="C5246" s="8" t="str">
        <f>材料产出!$HX$2</f>
        <v>星座装备</v>
      </c>
      <c r="D5246" s="224">
        <f>参数调整!$K$36*怪物掉落配置方案!$D4220</f>
        <v>0</v>
      </c>
    </row>
    <row r="5247" spans="1:4" ht="16.5" hidden="1" x14ac:dyDescent="0.3">
      <c r="A5247" s="10" t="str">
        <f>基本属性!$B$10&amp;"|"&amp;基本属性!$C$10</f>
        <v>75|0</v>
      </c>
      <c r="B5247" s="10" t="str">
        <f>参数调整!$J$36</f>
        <v>新增怪物种类1掉落</v>
      </c>
      <c r="C5247" s="8" t="str">
        <f>材料产出!$HX$2</f>
        <v>星座装备</v>
      </c>
      <c r="D5247" s="224">
        <f>参数调整!$K$36*怪物掉落配置方案!$D4221</f>
        <v>0</v>
      </c>
    </row>
    <row r="5248" spans="1:4" ht="16.5" hidden="1" x14ac:dyDescent="0.3">
      <c r="A5248" s="10" t="str">
        <f>基本属性!$B$11&amp;"|"&amp;基本属性!$C$11</f>
        <v>80|1</v>
      </c>
      <c r="B5248" s="10" t="str">
        <f>参数调整!$J$36</f>
        <v>新增怪物种类1掉落</v>
      </c>
      <c r="C5248" s="8" t="str">
        <f>材料产出!$HX$2</f>
        <v>星座装备</v>
      </c>
      <c r="D5248" s="224">
        <f>参数调整!$K$36*怪物掉落配置方案!$D4222</f>
        <v>0</v>
      </c>
    </row>
    <row r="5249" spans="1:4" ht="16.5" hidden="1" x14ac:dyDescent="0.3">
      <c r="A5249" s="10" t="str">
        <f>基本属性!$B$12&amp;"|"&amp;基本属性!$C$12</f>
        <v>90|2</v>
      </c>
      <c r="B5249" s="10" t="str">
        <f>参数调整!$J$36</f>
        <v>新增怪物种类1掉落</v>
      </c>
      <c r="C5249" s="8" t="str">
        <f>材料产出!$HX$2</f>
        <v>星座装备</v>
      </c>
      <c r="D5249" s="224">
        <f>参数调整!$K$36*怪物掉落配置方案!$D4223</f>
        <v>0</v>
      </c>
    </row>
    <row r="5250" spans="1:4" ht="16.5" hidden="1" x14ac:dyDescent="0.3">
      <c r="A5250" s="10" t="str">
        <f>基本属性!$B$13&amp;"|"&amp;基本属性!$C$13</f>
        <v>100|3</v>
      </c>
      <c r="B5250" s="10" t="str">
        <f>参数调整!$J$36</f>
        <v>新增怪物种类1掉落</v>
      </c>
      <c r="C5250" s="8" t="str">
        <f>材料产出!$HX$2</f>
        <v>星座装备</v>
      </c>
      <c r="D5250" s="224">
        <f>参数调整!$K$36*怪物掉落配置方案!$D4224</f>
        <v>0</v>
      </c>
    </row>
    <row r="5251" spans="1:4" ht="16.5" hidden="1" x14ac:dyDescent="0.3">
      <c r="A5251" s="10" t="str">
        <f>基本属性!$B$14&amp;"|"&amp;基本属性!$C$14</f>
        <v>105|4</v>
      </c>
      <c r="B5251" s="10" t="str">
        <f>参数调整!$J$36</f>
        <v>新增怪物种类1掉落</v>
      </c>
      <c r="C5251" s="8" t="str">
        <f>材料产出!$HX$2</f>
        <v>星座装备</v>
      </c>
      <c r="D5251" s="224">
        <f>参数调整!$K$36*怪物掉落配置方案!$D4225</f>
        <v>0</v>
      </c>
    </row>
    <row r="5252" spans="1:4" ht="16.5" hidden="1" x14ac:dyDescent="0.3">
      <c r="A5252" s="10" t="str">
        <f>基本属性!$B$15&amp;"|"&amp;基本属性!$C$15</f>
        <v>110|5</v>
      </c>
      <c r="B5252" s="10" t="str">
        <f>参数调整!$J$36</f>
        <v>新增怪物种类1掉落</v>
      </c>
      <c r="C5252" s="8" t="str">
        <f>材料产出!$HX$2</f>
        <v>星座装备</v>
      </c>
      <c r="D5252" s="224">
        <f>参数调整!$K$36*怪物掉落配置方案!$D4226</f>
        <v>0</v>
      </c>
    </row>
    <row r="5253" spans="1:4" ht="16.5" hidden="1" x14ac:dyDescent="0.3">
      <c r="A5253" s="10" t="str">
        <f>基本属性!$B$16&amp;"|"&amp;基本属性!$C$16</f>
        <v>120|6</v>
      </c>
      <c r="B5253" s="10" t="str">
        <f>参数调整!$J$36</f>
        <v>新增怪物种类1掉落</v>
      </c>
      <c r="C5253" s="8" t="str">
        <f>材料产出!$HX$2</f>
        <v>星座装备</v>
      </c>
      <c r="D5253" s="224">
        <f>参数调整!$K$36*怪物掉落配置方案!$D4227</f>
        <v>0</v>
      </c>
    </row>
    <row r="5254" spans="1:4" ht="16.5" hidden="1" x14ac:dyDescent="0.3">
      <c r="A5254" s="10" t="str">
        <f>基本属性!$B$17&amp;"|"&amp;基本属性!$C$17</f>
        <v>135|7</v>
      </c>
      <c r="B5254" s="10" t="str">
        <f>参数调整!$J$36</f>
        <v>新增怪物种类1掉落</v>
      </c>
      <c r="C5254" s="8" t="str">
        <f>材料产出!$HX$2</f>
        <v>星座装备</v>
      </c>
      <c r="D5254" s="224">
        <f>参数调整!$K$36*怪物掉落配置方案!$D4228</f>
        <v>0</v>
      </c>
    </row>
    <row r="5255" spans="1:4" ht="16.5" hidden="1" x14ac:dyDescent="0.3">
      <c r="A5255" s="10" t="str">
        <f>基本属性!$B$18&amp;"|"&amp;基本属性!$C$18</f>
        <v>155|8</v>
      </c>
      <c r="B5255" s="10" t="str">
        <f>参数调整!$J$36</f>
        <v>新增怪物种类1掉落</v>
      </c>
      <c r="C5255" s="8" t="str">
        <f>材料产出!$HX$2</f>
        <v>星座装备</v>
      </c>
      <c r="D5255" s="224">
        <f>参数调整!$K$36*怪物掉落配置方案!$D4229</f>
        <v>0</v>
      </c>
    </row>
    <row r="5256" spans="1:4" ht="16.5" hidden="1" x14ac:dyDescent="0.3">
      <c r="A5256" s="10" t="str">
        <f>基本属性!$B$19&amp;"|"&amp;基本属性!$C$19</f>
        <v>190|9</v>
      </c>
      <c r="B5256" s="10" t="str">
        <f>参数调整!$J$36</f>
        <v>新增怪物种类1掉落</v>
      </c>
      <c r="C5256" s="8" t="str">
        <f>材料产出!$HX$2</f>
        <v>星座装备</v>
      </c>
      <c r="D5256" s="224">
        <f>参数调整!$K$36*怪物掉落配置方案!$D4230</f>
        <v>0</v>
      </c>
    </row>
    <row r="5257" spans="1:4" ht="16.5" hidden="1" x14ac:dyDescent="0.3">
      <c r="A5257" s="10" t="str">
        <f>基本属性!$B$20&amp;"|"&amp;基本属性!$C$20</f>
        <v>200|10</v>
      </c>
      <c r="B5257" s="10" t="str">
        <f>参数调整!$J$36</f>
        <v>新增怪物种类1掉落</v>
      </c>
      <c r="C5257" s="8" t="str">
        <f>材料产出!$HX$2</f>
        <v>星座装备</v>
      </c>
      <c r="D5257" s="224">
        <f>参数调整!$K$36*怪物掉落配置方案!$D4231</f>
        <v>0</v>
      </c>
    </row>
    <row r="5258" spans="1:4" ht="16.5" hidden="1" x14ac:dyDescent="0.3">
      <c r="A5258" s="10" t="str">
        <f>基本属性!$B$21&amp;"|"&amp;基本属性!$C$21</f>
        <v>200|11</v>
      </c>
      <c r="B5258" s="10" t="str">
        <f>参数调整!$J$36</f>
        <v>新增怪物种类1掉落</v>
      </c>
      <c r="C5258" s="8" t="str">
        <f>材料产出!$HX$2</f>
        <v>星座装备</v>
      </c>
      <c r="D5258" s="224">
        <f>参数调整!$K$36*怪物掉落配置方案!$D4232</f>
        <v>0</v>
      </c>
    </row>
    <row r="5259" spans="1:4" ht="16.5" hidden="1" x14ac:dyDescent="0.3">
      <c r="A5259" s="10" t="str">
        <f>基本属性!$B$22&amp;"|"&amp;基本属性!$C$22</f>
        <v>210|12</v>
      </c>
      <c r="B5259" s="10" t="str">
        <f>参数调整!$J$36</f>
        <v>新增怪物种类1掉落</v>
      </c>
      <c r="C5259" s="8" t="str">
        <f>材料产出!$HX$2</f>
        <v>星座装备</v>
      </c>
      <c r="D5259" s="224">
        <f>参数调整!$K$36*怪物掉落配置方案!$D4233</f>
        <v>0</v>
      </c>
    </row>
    <row r="5260" spans="1:4" ht="16.5" hidden="1" x14ac:dyDescent="0.3">
      <c r="A5260" s="10" t="str">
        <f>基本属性!$B$23&amp;"|"&amp;基本属性!$C$23</f>
        <v>210|13</v>
      </c>
      <c r="B5260" s="10" t="str">
        <f>参数调整!$J$36</f>
        <v>新增怪物种类1掉落</v>
      </c>
      <c r="C5260" s="8" t="str">
        <f>材料产出!$HX$2</f>
        <v>星座装备</v>
      </c>
      <c r="D5260" s="224">
        <f>参数调整!$K$36*怪物掉落配置方案!$D4234</f>
        <v>0</v>
      </c>
    </row>
    <row r="5261" spans="1:4" ht="16.5" hidden="1" x14ac:dyDescent="0.3">
      <c r="A5261" s="10" t="str">
        <f>基本属性!$B$24&amp;"|"&amp;基本属性!$C$24</f>
        <v>220|14</v>
      </c>
      <c r="B5261" s="10" t="str">
        <f>参数调整!$J$36</f>
        <v>新增怪物种类1掉落</v>
      </c>
      <c r="C5261" s="8" t="str">
        <f>材料产出!$HX$2</f>
        <v>星座装备</v>
      </c>
      <c r="D5261" s="224">
        <f>参数调整!$K$36*怪物掉落配置方案!$D4235</f>
        <v>0</v>
      </c>
    </row>
    <row r="5262" spans="1:4" ht="16.5" hidden="1" x14ac:dyDescent="0.3">
      <c r="A5262" s="10" t="str">
        <f>基本属性!$B$25&amp;"|"&amp;基本属性!$C$25</f>
        <v>220|15</v>
      </c>
      <c r="B5262" s="10" t="str">
        <f>参数调整!$J$36</f>
        <v>新增怪物种类1掉落</v>
      </c>
      <c r="C5262" s="8" t="str">
        <f>材料产出!$HX$2</f>
        <v>星座装备</v>
      </c>
      <c r="D5262" s="224">
        <f>参数调整!$K$36*怪物掉落配置方案!$D4236</f>
        <v>0</v>
      </c>
    </row>
    <row r="5263" spans="1:4" ht="16.5" hidden="1" x14ac:dyDescent="0.3">
      <c r="A5263" s="10" t="str">
        <f>基本属性!$B$26&amp;"|"&amp;基本属性!$C$26</f>
        <v>230|16</v>
      </c>
      <c r="B5263" s="10" t="str">
        <f>参数调整!$J$36</f>
        <v>新增怪物种类1掉落</v>
      </c>
      <c r="C5263" s="8" t="str">
        <f>材料产出!$HX$2</f>
        <v>星座装备</v>
      </c>
      <c r="D5263" s="224">
        <f>参数调整!$K$36*怪物掉落配置方案!$D4237</f>
        <v>0</v>
      </c>
    </row>
    <row r="5264" spans="1:4" ht="16.5" hidden="1" x14ac:dyDescent="0.3">
      <c r="A5264" s="10" t="str">
        <f>基本属性!$B$27&amp;"|"&amp;基本属性!$C$27</f>
        <v>230|17</v>
      </c>
      <c r="B5264" s="10" t="str">
        <f>参数调整!$J$36</f>
        <v>新增怪物种类1掉落</v>
      </c>
      <c r="C5264" s="8" t="str">
        <f>材料产出!$HX$2</f>
        <v>星座装备</v>
      </c>
      <c r="D5264" s="224">
        <f>参数调整!$K$36*怪物掉落配置方案!$D4238</f>
        <v>0</v>
      </c>
    </row>
    <row r="5265" spans="1:4" ht="16.5" hidden="1" x14ac:dyDescent="0.3">
      <c r="A5265" s="10" t="str">
        <f>基本属性!$B$28&amp;"|"&amp;基本属性!$C$28</f>
        <v>240|18</v>
      </c>
      <c r="B5265" s="10" t="str">
        <f>参数调整!$J$36</f>
        <v>新增怪物种类1掉落</v>
      </c>
      <c r="C5265" s="8" t="str">
        <f>材料产出!$HX$2</f>
        <v>星座装备</v>
      </c>
      <c r="D5265" s="224">
        <f>参数调整!$K$36*怪物掉落配置方案!$D4239</f>
        <v>0</v>
      </c>
    </row>
    <row r="5266" spans="1:4" ht="16.5" hidden="1" x14ac:dyDescent="0.3">
      <c r="A5266" s="10" t="str">
        <f>基本属性!$B$29&amp;"|"&amp;基本属性!$C$29</f>
        <v>240|19</v>
      </c>
      <c r="B5266" s="10" t="str">
        <f>参数调整!$J$36</f>
        <v>新增怪物种类1掉落</v>
      </c>
      <c r="C5266" s="8" t="str">
        <f>材料产出!$HX$2</f>
        <v>星座装备</v>
      </c>
      <c r="D5266" s="224">
        <f>参数调整!$K$36*怪物掉落配置方案!$D4240</f>
        <v>0</v>
      </c>
    </row>
    <row r="5267" spans="1:4" ht="16.5" hidden="1" x14ac:dyDescent="0.3">
      <c r="A5267" s="10" t="str">
        <f>基本属性!$B$30&amp;"|"&amp;基本属性!$C$30</f>
        <v>250|20</v>
      </c>
      <c r="B5267" s="10" t="str">
        <f>参数调整!$J$36</f>
        <v>新增怪物种类1掉落</v>
      </c>
      <c r="C5267" s="8" t="str">
        <f>材料产出!$HX$2</f>
        <v>星座装备</v>
      </c>
      <c r="D5267" s="224">
        <f>参数调整!$K$36*怪物掉落配置方案!$D4241</f>
        <v>0</v>
      </c>
    </row>
    <row r="5268" spans="1:4" ht="16.5" hidden="1" x14ac:dyDescent="0.3">
      <c r="A5268" s="10" t="str">
        <f>基本属性!$B$4&amp;"|"&amp;基本属性!$C$4</f>
        <v>35|0</v>
      </c>
      <c r="B5268" s="10" t="str">
        <f>参数调整!$J$36</f>
        <v>新增怪物种类1掉落</v>
      </c>
      <c r="C5268" s="8" t="str">
        <f>材料产出!$BX$2</f>
        <v>新增材料9</v>
      </c>
      <c r="D5268" s="224">
        <f>参数调整!$K$36*怪物掉落配置方案!$D4242</f>
        <v>0</v>
      </c>
    </row>
    <row r="5269" spans="1:4" ht="16.5" hidden="1" x14ac:dyDescent="0.3">
      <c r="A5269" s="10" t="str">
        <f>基本属性!$B$5&amp;"|"&amp;基本属性!$C$5</f>
        <v>40|0</v>
      </c>
      <c r="B5269" s="10" t="str">
        <f>参数调整!$J$36</f>
        <v>新增怪物种类1掉落</v>
      </c>
      <c r="C5269" s="8" t="str">
        <f>材料产出!$BX$2</f>
        <v>新增材料9</v>
      </c>
      <c r="D5269" s="224">
        <f>参数调整!$K$36*怪物掉落配置方案!$D4243</f>
        <v>0</v>
      </c>
    </row>
    <row r="5270" spans="1:4" ht="16.5" hidden="1" x14ac:dyDescent="0.3">
      <c r="A5270" s="10" t="str">
        <f>基本属性!$B$6&amp;"|"&amp;基本属性!$C$6</f>
        <v>50|0</v>
      </c>
      <c r="B5270" s="10" t="str">
        <f>参数调整!$J$36</f>
        <v>新增怪物种类1掉落</v>
      </c>
      <c r="C5270" s="8" t="str">
        <f>材料产出!$BX$2</f>
        <v>新增材料9</v>
      </c>
      <c r="D5270" s="224">
        <f>参数调整!$K$36*怪物掉落配置方案!$D4244</f>
        <v>0</v>
      </c>
    </row>
    <row r="5271" spans="1:4" ht="16.5" hidden="1" x14ac:dyDescent="0.3">
      <c r="A5271" s="10" t="str">
        <f>基本属性!$B$7&amp;"|"&amp;基本属性!$C$7</f>
        <v>60|0</v>
      </c>
      <c r="B5271" s="10" t="str">
        <f>参数调整!$J$36</f>
        <v>新增怪物种类1掉落</v>
      </c>
      <c r="C5271" s="8" t="str">
        <f>材料产出!$BX$2</f>
        <v>新增材料9</v>
      </c>
      <c r="D5271" s="224">
        <f>参数调整!$K$36*怪物掉落配置方案!$D4245</f>
        <v>0</v>
      </c>
    </row>
    <row r="5272" spans="1:4" ht="16.5" hidden="1" x14ac:dyDescent="0.3">
      <c r="A5272" s="10" t="str">
        <f>基本属性!$B$8&amp;"|"&amp;基本属性!$C$8</f>
        <v>65|0</v>
      </c>
      <c r="B5272" s="10" t="str">
        <f>参数调整!$J$36</f>
        <v>新增怪物种类1掉落</v>
      </c>
      <c r="C5272" s="8" t="str">
        <f>材料产出!$BX$2</f>
        <v>新增材料9</v>
      </c>
      <c r="D5272" s="224">
        <f>参数调整!$K$36*怪物掉落配置方案!$D4246</f>
        <v>0</v>
      </c>
    </row>
    <row r="5273" spans="1:4" ht="16.5" hidden="1" x14ac:dyDescent="0.3">
      <c r="A5273" s="10" t="str">
        <f>基本属性!$B$9&amp;"|"&amp;基本属性!$C$9</f>
        <v>70|0</v>
      </c>
      <c r="B5273" s="10" t="str">
        <f>参数调整!$J$36</f>
        <v>新增怪物种类1掉落</v>
      </c>
      <c r="C5273" s="8" t="str">
        <f>材料产出!$BX$2</f>
        <v>新增材料9</v>
      </c>
      <c r="D5273" s="224">
        <f>参数调整!$K$36*怪物掉落配置方案!$D4247</f>
        <v>0</v>
      </c>
    </row>
    <row r="5274" spans="1:4" ht="16.5" hidden="1" x14ac:dyDescent="0.3">
      <c r="A5274" s="10" t="str">
        <f>基本属性!$B$10&amp;"|"&amp;基本属性!$C$10</f>
        <v>75|0</v>
      </c>
      <c r="B5274" s="10" t="str">
        <f>参数调整!$J$36</f>
        <v>新增怪物种类1掉落</v>
      </c>
      <c r="C5274" s="8" t="str">
        <f>材料产出!$BX$2</f>
        <v>新增材料9</v>
      </c>
      <c r="D5274" s="224">
        <f>参数调整!$K$36*怪物掉落配置方案!$D4248</f>
        <v>0</v>
      </c>
    </row>
    <row r="5275" spans="1:4" ht="16.5" hidden="1" x14ac:dyDescent="0.3">
      <c r="A5275" s="10" t="str">
        <f>基本属性!$B$11&amp;"|"&amp;基本属性!$C$11</f>
        <v>80|1</v>
      </c>
      <c r="B5275" s="10" t="str">
        <f>参数调整!$J$36</f>
        <v>新增怪物种类1掉落</v>
      </c>
      <c r="C5275" s="8" t="str">
        <f>材料产出!$BX$2</f>
        <v>新增材料9</v>
      </c>
      <c r="D5275" s="224">
        <f>参数调整!$K$36*怪物掉落配置方案!$D4249</f>
        <v>0</v>
      </c>
    </row>
    <row r="5276" spans="1:4" ht="16.5" hidden="1" x14ac:dyDescent="0.3">
      <c r="A5276" s="10" t="str">
        <f>基本属性!$B$12&amp;"|"&amp;基本属性!$C$12</f>
        <v>90|2</v>
      </c>
      <c r="B5276" s="10" t="str">
        <f>参数调整!$J$36</f>
        <v>新增怪物种类1掉落</v>
      </c>
      <c r="C5276" s="8" t="str">
        <f>材料产出!$BX$2</f>
        <v>新增材料9</v>
      </c>
      <c r="D5276" s="224">
        <f>参数调整!$K$36*怪物掉落配置方案!$D4250</f>
        <v>0</v>
      </c>
    </row>
    <row r="5277" spans="1:4" ht="16.5" hidden="1" x14ac:dyDescent="0.3">
      <c r="A5277" s="10" t="str">
        <f>基本属性!$B$13&amp;"|"&amp;基本属性!$C$13</f>
        <v>100|3</v>
      </c>
      <c r="B5277" s="10" t="str">
        <f>参数调整!$J$36</f>
        <v>新增怪物种类1掉落</v>
      </c>
      <c r="C5277" s="8" t="str">
        <f>材料产出!$BX$2</f>
        <v>新增材料9</v>
      </c>
      <c r="D5277" s="224">
        <f>参数调整!$K$36*怪物掉落配置方案!$D4251</f>
        <v>0</v>
      </c>
    </row>
    <row r="5278" spans="1:4" ht="16.5" hidden="1" x14ac:dyDescent="0.3">
      <c r="A5278" s="10" t="str">
        <f>基本属性!$B$14&amp;"|"&amp;基本属性!$C$14</f>
        <v>105|4</v>
      </c>
      <c r="B5278" s="10" t="str">
        <f>参数调整!$J$36</f>
        <v>新增怪物种类1掉落</v>
      </c>
      <c r="C5278" s="8" t="str">
        <f>材料产出!$BX$2</f>
        <v>新增材料9</v>
      </c>
      <c r="D5278" s="224">
        <f>参数调整!$K$36*怪物掉落配置方案!$D4252</f>
        <v>0</v>
      </c>
    </row>
    <row r="5279" spans="1:4" ht="16.5" hidden="1" x14ac:dyDescent="0.3">
      <c r="A5279" s="10" t="str">
        <f>基本属性!$B$15&amp;"|"&amp;基本属性!$C$15</f>
        <v>110|5</v>
      </c>
      <c r="B5279" s="10" t="str">
        <f>参数调整!$J$36</f>
        <v>新增怪物种类1掉落</v>
      </c>
      <c r="C5279" s="8" t="str">
        <f>材料产出!$BX$2</f>
        <v>新增材料9</v>
      </c>
      <c r="D5279" s="224">
        <f>参数调整!$K$36*怪物掉落配置方案!$D4253</f>
        <v>0</v>
      </c>
    </row>
    <row r="5280" spans="1:4" ht="16.5" hidden="1" x14ac:dyDescent="0.3">
      <c r="A5280" s="10" t="str">
        <f>基本属性!$B$16&amp;"|"&amp;基本属性!$C$16</f>
        <v>120|6</v>
      </c>
      <c r="B5280" s="10" t="str">
        <f>参数调整!$J$36</f>
        <v>新增怪物种类1掉落</v>
      </c>
      <c r="C5280" s="8" t="str">
        <f>材料产出!$BX$2</f>
        <v>新增材料9</v>
      </c>
      <c r="D5280" s="224">
        <f>参数调整!$K$36*怪物掉落配置方案!$D4254</f>
        <v>0</v>
      </c>
    </row>
    <row r="5281" spans="1:4" ht="16.5" hidden="1" x14ac:dyDescent="0.3">
      <c r="A5281" s="10" t="str">
        <f>基本属性!$B$17&amp;"|"&amp;基本属性!$C$17</f>
        <v>135|7</v>
      </c>
      <c r="B5281" s="10" t="str">
        <f>参数调整!$J$36</f>
        <v>新增怪物种类1掉落</v>
      </c>
      <c r="C5281" s="8" t="str">
        <f>材料产出!$BX$2</f>
        <v>新增材料9</v>
      </c>
      <c r="D5281" s="224">
        <f>参数调整!$K$36*怪物掉落配置方案!$D4255</f>
        <v>0</v>
      </c>
    </row>
    <row r="5282" spans="1:4" ht="16.5" hidden="1" x14ac:dyDescent="0.3">
      <c r="A5282" s="10" t="str">
        <f>基本属性!$B$18&amp;"|"&amp;基本属性!$C$18</f>
        <v>155|8</v>
      </c>
      <c r="B5282" s="10" t="str">
        <f>参数调整!$J$36</f>
        <v>新增怪物种类1掉落</v>
      </c>
      <c r="C5282" s="8" t="str">
        <f>材料产出!$BX$2</f>
        <v>新增材料9</v>
      </c>
      <c r="D5282" s="224">
        <f>参数调整!$K$36*怪物掉落配置方案!$D4256</f>
        <v>0</v>
      </c>
    </row>
    <row r="5283" spans="1:4" ht="16.5" hidden="1" x14ac:dyDescent="0.3">
      <c r="A5283" s="10" t="str">
        <f>基本属性!$B$19&amp;"|"&amp;基本属性!$C$19</f>
        <v>190|9</v>
      </c>
      <c r="B5283" s="10" t="str">
        <f>参数调整!$J$36</f>
        <v>新增怪物种类1掉落</v>
      </c>
      <c r="C5283" s="8" t="str">
        <f>材料产出!$BX$2</f>
        <v>新增材料9</v>
      </c>
      <c r="D5283" s="224">
        <f>参数调整!$K$36*怪物掉落配置方案!$D4257</f>
        <v>0</v>
      </c>
    </row>
    <row r="5284" spans="1:4" ht="16.5" hidden="1" x14ac:dyDescent="0.3">
      <c r="A5284" s="10" t="str">
        <f>基本属性!$B$20&amp;"|"&amp;基本属性!$C$20</f>
        <v>200|10</v>
      </c>
      <c r="B5284" s="10" t="str">
        <f>参数调整!$J$36</f>
        <v>新增怪物种类1掉落</v>
      </c>
      <c r="C5284" s="8" t="str">
        <f>材料产出!$BX$2</f>
        <v>新增材料9</v>
      </c>
      <c r="D5284" s="224">
        <f>参数调整!$K$36*怪物掉落配置方案!$D4258</f>
        <v>0</v>
      </c>
    </row>
    <row r="5285" spans="1:4" ht="16.5" hidden="1" x14ac:dyDescent="0.3">
      <c r="A5285" s="10" t="str">
        <f>基本属性!$B$21&amp;"|"&amp;基本属性!$C$21</f>
        <v>200|11</v>
      </c>
      <c r="B5285" s="10" t="str">
        <f>参数调整!$J$36</f>
        <v>新增怪物种类1掉落</v>
      </c>
      <c r="C5285" s="8" t="str">
        <f>材料产出!$BX$2</f>
        <v>新增材料9</v>
      </c>
      <c r="D5285" s="224">
        <f>参数调整!$K$36*怪物掉落配置方案!$D4259</f>
        <v>0</v>
      </c>
    </row>
    <row r="5286" spans="1:4" ht="16.5" hidden="1" x14ac:dyDescent="0.3">
      <c r="A5286" s="10" t="str">
        <f>基本属性!$B$22&amp;"|"&amp;基本属性!$C$22</f>
        <v>210|12</v>
      </c>
      <c r="B5286" s="10" t="str">
        <f>参数调整!$J$36</f>
        <v>新增怪物种类1掉落</v>
      </c>
      <c r="C5286" s="8" t="str">
        <f>材料产出!$BX$2</f>
        <v>新增材料9</v>
      </c>
      <c r="D5286" s="224">
        <f>参数调整!$K$36*怪物掉落配置方案!$D4260</f>
        <v>0</v>
      </c>
    </row>
    <row r="5287" spans="1:4" ht="16.5" hidden="1" x14ac:dyDescent="0.3">
      <c r="A5287" s="10" t="str">
        <f>基本属性!$B$23&amp;"|"&amp;基本属性!$C$23</f>
        <v>210|13</v>
      </c>
      <c r="B5287" s="10" t="str">
        <f>参数调整!$J$36</f>
        <v>新增怪物种类1掉落</v>
      </c>
      <c r="C5287" s="8" t="str">
        <f>材料产出!$BX$2</f>
        <v>新增材料9</v>
      </c>
      <c r="D5287" s="224">
        <f>参数调整!$K$36*怪物掉落配置方案!$D4261</f>
        <v>0</v>
      </c>
    </row>
    <row r="5288" spans="1:4" ht="16.5" hidden="1" x14ac:dyDescent="0.3">
      <c r="A5288" s="10" t="str">
        <f>基本属性!$B$24&amp;"|"&amp;基本属性!$C$24</f>
        <v>220|14</v>
      </c>
      <c r="B5288" s="10" t="str">
        <f>参数调整!$J$36</f>
        <v>新增怪物种类1掉落</v>
      </c>
      <c r="C5288" s="8" t="str">
        <f>材料产出!$BX$2</f>
        <v>新增材料9</v>
      </c>
      <c r="D5288" s="224">
        <f>参数调整!$K$36*怪物掉落配置方案!$D4262</f>
        <v>0</v>
      </c>
    </row>
    <row r="5289" spans="1:4" ht="16.5" hidden="1" x14ac:dyDescent="0.3">
      <c r="A5289" s="10" t="str">
        <f>基本属性!$B$25&amp;"|"&amp;基本属性!$C$25</f>
        <v>220|15</v>
      </c>
      <c r="B5289" s="10" t="str">
        <f>参数调整!$J$36</f>
        <v>新增怪物种类1掉落</v>
      </c>
      <c r="C5289" s="8" t="str">
        <f>材料产出!$BX$2</f>
        <v>新增材料9</v>
      </c>
      <c r="D5289" s="224">
        <f>参数调整!$K$36*怪物掉落配置方案!$D4263</f>
        <v>0</v>
      </c>
    </row>
    <row r="5290" spans="1:4" ht="16.5" hidden="1" x14ac:dyDescent="0.3">
      <c r="A5290" s="10" t="str">
        <f>基本属性!$B$26&amp;"|"&amp;基本属性!$C$26</f>
        <v>230|16</v>
      </c>
      <c r="B5290" s="10" t="str">
        <f>参数调整!$J$36</f>
        <v>新增怪物种类1掉落</v>
      </c>
      <c r="C5290" s="8" t="str">
        <f>材料产出!$BX$2</f>
        <v>新增材料9</v>
      </c>
      <c r="D5290" s="224">
        <f>参数调整!$K$36*怪物掉落配置方案!$D4264</f>
        <v>0</v>
      </c>
    </row>
    <row r="5291" spans="1:4" ht="16.5" hidden="1" x14ac:dyDescent="0.3">
      <c r="A5291" s="10" t="str">
        <f>基本属性!$B$27&amp;"|"&amp;基本属性!$C$27</f>
        <v>230|17</v>
      </c>
      <c r="B5291" s="10" t="str">
        <f>参数调整!$J$36</f>
        <v>新增怪物种类1掉落</v>
      </c>
      <c r="C5291" s="8" t="str">
        <f>材料产出!$BX$2</f>
        <v>新增材料9</v>
      </c>
      <c r="D5291" s="224">
        <f>参数调整!$K$36*怪物掉落配置方案!$D4265</f>
        <v>0</v>
      </c>
    </row>
    <row r="5292" spans="1:4" ht="16.5" hidden="1" x14ac:dyDescent="0.3">
      <c r="A5292" s="10" t="str">
        <f>基本属性!$B$28&amp;"|"&amp;基本属性!$C$28</f>
        <v>240|18</v>
      </c>
      <c r="B5292" s="10" t="str">
        <f>参数调整!$J$36</f>
        <v>新增怪物种类1掉落</v>
      </c>
      <c r="C5292" s="8" t="str">
        <f>材料产出!$BX$2</f>
        <v>新增材料9</v>
      </c>
      <c r="D5292" s="224">
        <f>参数调整!$K$36*怪物掉落配置方案!$D4266</f>
        <v>0</v>
      </c>
    </row>
    <row r="5293" spans="1:4" ht="16.5" hidden="1" x14ac:dyDescent="0.3">
      <c r="A5293" s="10" t="str">
        <f>基本属性!$B$29&amp;"|"&amp;基本属性!$C$29</f>
        <v>240|19</v>
      </c>
      <c r="B5293" s="10" t="str">
        <f>参数调整!$J$36</f>
        <v>新增怪物种类1掉落</v>
      </c>
      <c r="C5293" s="8" t="str">
        <f>材料产出!$BX$2</f>
        <v>新增材料9</v>
      </c>
      <c r="D5293" s="224">
        <f>参数调整!$K$36*怪物掉落配置方案!$D4267</f>
        <v>0</v>
      </c>
    </row>
    <row r="5294" spans="1:4" ht="16.5" hidden="1" x14ac:dyDescent="0.3">
      <c r="A5294" s="10" t="str">
        <f>基本属性!$B$30&amp;"|"&amp;基本属性!$C$30</f>
        <v>250|20</v>
      </c>
      <c r="B5294" s="10" t="str">
        <f>参数调整!$J$36</f>
        <v>新增怪物种类1掉落</v>
      </c>
      <c r="C5294" s="8" t="str">
        <f>材料产出!$BX$2</f>
        <v>新增材料9</v>
      </c>
      <c r="D5294" s="224">
        <f>参数调整!$K$36*怪物掉落配置方案!$D4268</f>
        <v>0</v>
      </c>
    </row>
    <row r="5295" spans="1:4" ht="16.5" hidden="1" x14ac:dyDescent="0.3">
      <c r="A5295" s="10" t="str">
        <f>基本属性!$B$4&amp;"|"&amp;基本属性!$C$4</f>
        <v>35|0</v>
      </c>
      <c r="B5295" s="10" t="str">
        <f>参数调整!$J$36</f>
        <v>新增怪物种类1掉落</v>
      </c>
      <c r="C5295" s="8" t="str">
        <f>材料产出!$BV$2</f>
        <v>新增材料8</v>
      </c>
      <c r="D5295" s="224">
        <f>参数调整!$K$36*怪物掉落配置方案!$D4269</f>
        <v>0</v>
      </c>
    </row>
    <row r="5296" spans="1:4" ht="16.5" hidden="1" x14ac:dyDescent="0.3">
      <c r="A5296" s="10" t="str">
        <f>基本属性!$B$5&amp;"|"&amp;基本属性!$C$5</f>
        <v>40|0</v>
      </c>
      <c r="B5296" s="10" t="str">
        <f>参数调整!$J$36</f>
        <v>新增怪物种类1掉落</v>
      </c>
      <c r="C5296" s="8" t="str">
        <f>材料产出!$BV$2</f>
        <v>新增材料8</v>
      </c>
      <c r="D5296" s="224">
        <f>参数调整!$K$36*怪物掉落配置方案!$D4270</f>
        <v>0</v>
      </c>
    </row>
    <row r="5297" spans="1:4" ht="16.5" hidden="1" x14ac:dyDescent="0.3">
      <c r="A5297" s="10" t="str">
        <f>基本属性!$B$6&amp;"|"&amp;基本属性!$C$6</f>
        <v>50|0</v>
      </c>
      <c r="B5297" s="10" t="str">
        <f>参数调整!$J$36</f>
        <v>新增怪物种类1掉落</v>
      </c>
      <c r="C5297" s="8" t="str">
        <f>材料产出!$BV$2</f>
        <v>新增材料8</v>
      </c>
      <c r="D5297" s="224">
        <f>参数调整!$K$36*怪物掉落配置方案!$D4271</f>
        <v>0</v>
      </c>
    </row>
    <row r="5298" spans="1:4" ht="16.5" hidden="1" x14ac:dyDescent="0.3">
      <c r="A5298" s="10" t="str">
        <f>基本属性!$B$7&amp;"|"&amp;基本属性!$C$7</f>
        <v>60|0</v>
      </c>
      <c r="B5298" s="10" t="str">
        <f>参数调整!$J$36</f>
        <v>新增怪物种类1掉落</v>
      </c>
      <c r="C5298" s="8" t="str">
        <f>材料产出!$BV$2</f>
        <v>新增材料8</v>
      </c>
      <c r="D5298" s="224">
        <f>参数调整!$K$36*怪物掉落配置方案!$D4272</f>
        <v>0</v>
      </c>
    </row>
    <row r="5299" spans="1:4" ht="16.5" hidden="1" x14ac:dyDescent="0.3">
      <c r="A5299" s="10" t="str">
        <f>基本属性!$B$8&amp;"|"&amp;基本属性!$C$8</f>
        <v>65|0</v>
      </c>
      <c r="B5299" s="10" t="str">
        <f>参数调整!$J$36</f>
        <v>新增怪物种类1掉落</v>
      </c>
      <c r="C5299" s="8" t="str">
        <f>材料产出!$BV$2</f>
        <v>新增材料8</v>
      </c>
      <c r="D5299" s="224">
        <f>参数调整!$K$36*怪物掉落配置方案!$D4273</f>
        <v>0</v>
      </c>
    </row>
    <row r="5300" spans="1:4" ht="16.5" hidden="1" x14ac:dyDescent="0.3">
      <c r="A5300" s="10" t="str">
        <f>基本属性!$B$9&amp;"|"&amp;基本属性!$C$9</f>
        <v>70|0</v>
      </c>
      <c r="B5300" s="10" t="str">
        <f>参数调整!$J$36</f>
        <v>新增怪物种类1掉落</v>
      </c>
      <c r="C5300" s="8" t="str">
        <f>材料产出!$BV$2</f>
        <v>新增材料8</v>
      </c>
      <c r="D5300" s="224">
        <f>参数调整!$K$36*怪物掉落配置方案!$D4274</f>
        <v>0</v>
      </c>
    </row>
    <row r="5301" spans="1:4" ht="16.5" hidden="1" x14ac:dyDescent="0.3">
      <c r="A5301" s="10" t="str">
        <f>基本属性!$B$10&amp;"|"&amp;基本属性!$C$10</f>
        <v>75|0</v>
      </c>
      <c r="B5301" s="10" t="str">
        <f>参数调整!$J$36</f>
        <v>新增怪物种类1掉落</v>
      </c>
      <c r="C5301" s="8" t="str">
        <f>材料产出!$BV$2</f>
        <v>新增材料8</v>
      </c>
      <c r="D5301" s="224">
        <f>参数调整!$K$36*怪物掉落配置方案!$D4275</f>
        <v>0</v>
      </c>
    </row>
    <row r="5302" spans="1:4" ht="16.5" hidden="1" x14ac:dyDescent="0.3">
      <c r="A5302" s="10" t="str">
        <f>基本属性!$B$11&amp;"|"&amp;基本属性!$C$11</f>
        <v>80|1</v>
      </c>
      <c r="B5302" s="10" t="str">
        <f>参数调整!$J$36</f>
        <v>新增怪物种类1掉落</v>
      </c>
      <c r="C5302" s="8" t="str">
        <f>材料产出!$BV$2</f>
        <v>新增材料8</v>
      </c>
      <c r="D5302" s="224">
        <f>参数调整!$K$36*怪物掉落配置方案!$D4276</f>
        <v>0</v>
      </c>
    </row>
    <row r="5303" spans="1:4" ht="16.5" hidden="1" x14ac:dyDescent="0.3">
      <c r="A5303" s="10" t="str">
        <f>基本属性!$B$12&amp;"|"&amp;基本属性!$C$12</f>
        <v>90|2</v>
      </c>
      <c r="B5303" s="10" t="str">
        <f>参数调整!$J$36</f>
        <v>新增怪物种类1掉落</v>
      </c>
      <c r="C5303" s="8" t="str">
        <f>材料产出!$BV$2</f>
        <v>新增材料8</v>
      </c>
      <c r="D5303" s="224">
        <f>参数调整!$K$36*怪物掉落配置方案!$D4277</f>
        <v>0</v>
      </c>
    </row>
    <row r="5304" spans="1:4" ht="16.5" hidden="1" x14ac:dyDescent="0.3">
      <c r="A5304" s="10" t="str">
        <f>基本属性!$B$13&amp;"|"&amp;基本属性!$C$13</f>
        <v>100|3</v>
      </c>
      <c r="B5304" s="10" t="str">
        <f>参数调整!$J$36</f>
        <v>新增怪物种类1掉落</v>
      </c>
      <c r="C5304" s="8" t="str">
        <f>材料产出!$BV$2</f>
        <v>新增材料8</v>
      </c>
      <c r="D5304" s="224">
        <f>参数调整!$K$36*怪物掉落配置方案!$D4278</f>
        <v>0</v>
      </c>
    </row>
    <row r="5305" spans="1:4" ht="16.5" hidden="1" x14ac:dyDescent="0.3">
      <c r="A5305" s="10" t="str">
        <f>基本属性!$B$14&amp;"|"&amp;基本属性!$C$14</f>
        <v>105|4</v>
      </c>
      <c r="B5305" s="10" t="str">
        <f>参数调整!$J$36</f>
        <v>新增怪物种类1掉落</v>
      </c>
      <c r="C5305" s="8" t="str">
        <f>材料产出!$BV$2</f>
        <v>新增材料8</v>
      </c>
      <c r="D5305" s="224">
        <f>参数调整!$K$36*怪物掉落配置方案!$D4279</f>
        <v>0</v>
      </c>
    </row>
    <row r="5306" spans="1:4" ht="16.5" hidden="1" x14ac:dyDescent="0.3">
      <c r="A5306" s="10" t="str">
        <f>基本属性!$B$15&amp;"|"&amp;基本属性!$C$15</f>
        <v>110|5</v>
      </c>
      <c r="B5306" s="10" t="str">
        <f>参数调整!$J$36</f>
        <v>新增怪物种类1掉落</v>
      </c>
      <c r="C5306" s="8" t="str">
        <f>材料产出!$BV$2</f>
        <v>新增材料8</v>
      </c>
      <c r="D5306" s="224">
        <f>参数调整!$K$36*怪物掉落配置方案!$D4280</f>
        <v>0</v>
      </c>
    </row>
    <row r="5307" spans="1:4" ht="16.5" hidden="1" x14ac:dyDescent="0.3">
      <c r="A5307" s="10" t="str">
        <f>基本属性!$B$16&amp;"|"&amp;基本属性!$C$16</f>
        <v>120|6</v>
      </c>
      <c r="B5307" s="10" t="str">
        <f>参数调整!$J$36</f>
        <v>新增怪物种类1掉落</v>
      </c>
      <c r="C5307" s="8" t="str">
        <f>材料产出!$BV$2</f>
        <v>新增材料8</v>
      </c>
      <c r="D5307" s="224">
        <f>参数调整!$K$36*怪物掉落配置方案!$D4281</f>
        <v>0</v>
      </c>
    </row>
    <row r="5308" spans="1:4" ht="16.5" hidden="1" x14ac:dyDescent="0.3">
      <c r="A5308" s="10" t="str">
        <f>基本属性!$B$17&amp;"|"&amp;基本属性!$C$17</f>
        <v>135|7</v>
      </c>
      <c r="B5308" s="10" t="str">
        <f>参数调整!$J$36</f>
        <v>新增怪物种类1掉落</v>
      </c>
      <c r="C5308" s="8" t="str">
        <f>材料产出!$BV$2</f>
        <v>新增材料8</v>
      </c>
      <c r="D5308" s="224">
        <f>参数调整!$K$36*怪物掉落配置方案!$D4282</f>
        <v>0</v>
      </c>
    </row>
    <row r="5309" spans="1:4" ht="16.5" hidden="1" x14ac:dyDescent="0.3">
      <c r="A5309" s="10" t="str">
        <f>基本属性!$B$18&amp;"|"&amp;基本属性!$C$18</f>
        <v>155|8</v>
      </c>
      <c r="B5309" s="10" t="str">
        <f>参数调整!$J$36</f>
        <v>新增怪物种类1掉落</v>
      </c>
      <c r="C5309" s="8" t="str">
        <f>材料产出!$BV$2</f>
        <v>新增材料8</v>
      </c>
      <c r="D5309" s="224">
        <f>参数调整!$K$36*怪物掉落配置方案!$D4283</f>
        <v>0</v>
      </c>
    </row>
    <row r="5310" spans="1:4" ht="16.5" hidden="1" x14ac:dyDescent="0.3">
      <c r="A5310" s="10" t="str">
        <f>基本属性!$B$19&amp;"|"&amp;基本属性!$C$19</f>
        <v>190|9</v>
      </c>
      <c r="B5310" s="10" t="str">
        <f>参数调整!$J$36</f>
        <v>新增怪物种类1掉落</v>
      </c>
      <c r="C5310" s="8" t="str">
        <f>材料产出!$BV$2</f>
        <v>新增材料8</v>
      </c>
      <c r="D5310" s="224">
        <f>参数调整!$K$36*怪物掉落配置方案!$D4284</f>
        <v>0</v>
      </c>
    </row>
    <row r="5311" spans="1:4" ht="16.5" hidden="1" x14ac:dyDescent="0.3">
      <c r="A5311" s="10" t="str">
        <f>基本属性!$B$20&amp;"|"&amp;基本属性!$C$20</f>
        <v>200|10</v>
      </c>
      <c r="B5311" s="10" t="str">
        <f>参数调整!$J$36</f>
        <v>新增怪物种类1掉落</v>
      </c>
      <c r="C5311" s="8" t="str">
        <f>材料产出!$BV$2</f>
        <v>新增材料8</v>
      </c>
      <c r="D5311" s="224">
        <f>参数调整!$K$36*怪物掉落配置方案!$D4285</f>
        <v>0</v>
      </c>
    </row>
    <row r="5312" spans="1:4" ht="16.5" hidden="1" x14ac:dyDescent="0.3">
      <c r="A5312" s="10" t="str">
        <f>基本属性!$B$21&amp;"|"&amp;基本属性!$C$21</f>
        <v>200|11</v>
      </c>
      <c r="B5312" s="10" t="str">
        <f>参数调整!$J$36</f>
        <v>新增怪物种类1掉落</v>
      </c>
      <c r="C5312" s="8" t="str">
        <f>材料产出!$BV$2</f>
        <v>新增材料8</v>
      </c>
      <c r="D5312" s="224">
        <f>参数调整!$K$36*怪物掉落配置方案!$D4286</f>
        <v>0</v>
      </c>
    </row>
    <row r="5313" spans="1:4" ht="16.5" hidden="1" x14ac:dyDescent="0.3">
      <c r="A5313" s="10" t="str">
        <f>基本属性!$B$22&amp;"|"&amp;基本属性!$C$22</f>
        <v>210|12</v>
      </c>
      <c r="B5313" s="10" t="str">
        <f>参数调整!$J$36</f>
        <v>新增怪物种类1掉落</v>
      </c>
      <c r="C5313" s="8" t="str">
        <f>材料产出!$BV$2</f>
        <v>新增材料8</v>
      </c>
      <c r="D5313" s="224">
        <f>参数调整!$K$36*怪物掉落配置方案!$D4287</f>
        <v>0</v>
      </c>
    </row>
    <row r="5314" spans="1:4" ht="16.5" hidden="1" x14ac:dyDescent="0.3">
      <c r="A5314" s="10" t="str">
        <f>基本属性!$B$23&amp;"|"&amp;基本属性!$C$23</f>
        <v>210|13</v>
      </c>
      <c r="B5314" s="10" t="str">
        <f>参数调整!$J$36</f>
        <v>新增怪物种类1掉落</v>
      </c>
      <c r="C5314" s="8" t="str">
        <f>材料产出!$BV$2</f>
        <v>新增材料8</v>
      </c>
      <c r="D5314" s="224">
        <f>参数调整!$K$36*怪物掉落配置方案!$D4288</f>
        <v>0</v>
      </c>
    </row>
    <row r="5315" spans="1:4" ht="16.5" hidden="1" x14ac:dyDescent="0.3">
      <c r="A5315" s="10" t="str">
        <f>基本属性!$B$24&amp;"|"&amp;基本属性!$C$24</f>
        <v>220|14</v>
      </c>
      <c r="B5315" s="10" t="str">
        <f>参数调整!$J$36</f>
        <v>新增怪物种类1掉落</v>
      </c>
      <c r="C5315" s="8" t="str">
        <f>材料产出!$BV$2</f>
        <v>新增材料8</v>
      </c>
      <c r="D5315" s="224">
        <f>参数调整!$K$36*怪物掉落配置方案!$D4289</f>
        <v>0</v>
      </c>
    </row>
    <row r="5316" spans="1:4" ht="16.5" hidden="1" x14ac:dyDescent="0.3">
      <c r="A5316" s="10" t="str">
        <f>基本属性!$B$25&amp;"|"&amp;基本属性!$C$25</f>
        <v>220|15</v>
      </c>
      <c r="B5316" s="10" t="str">
        <f>参数调整!$J$36</f>
        <v>新增怪物种类1掉落</v>
      </c>
      <c r="C5316" s="8" t="str">
        <f>材料产出!$BV$2</f>
        <v>新增材料8</v>
      </c>
      <c r="D5316" s="224">
        <f>参数调整!$K$36*怪物掉落配置方案!$D4290</f>
        <v>0</v>
      </c>
    </row>
    <row r="5317" spans="1:4" ht="16.5" hidden="1" x14ac:dyDescent="0.3">
      <c r="A5317" s="10" t="str">
        <f>基本属性!$B$26&amp;"|"&amp;基本属性!$C$26</f>
        <v>230|16</v>
      </c>
      <c r="B5317" s="10" t="str">
        <f>参数调整!$J$36</f>
        <v>新增怪物种类1掉落</v>
      </c>
      <c r="C5317" s="8" t="str">
        <f>材料产出!$BV$2</f>
        <v>新增材料8</v>
      </c>
      <c r="D5317" s="224">
        <f>参数调整!$K$36*怪物掉落配置方案!$D4291</f>
        <v>0</v>
      </c>
    </row>
    <row r="5318" spans="1:4" ht="16.5" hidden="1" x14ac:dyDescent="0.3">
      <c r="A5318" s="10" t="str">
        <f>基本属性!$B$27&amp;"|"&amp;基本属性!$C$27</f>
        <v>230|17</v>
      </c>
      <c r="B5318" s="10" t="str">
        <f>参数调整!$J$36</f>
        <v>新增怪物种类1掉落</v>
      </c>
      <c r="C5318" s="8" t="str">
        <f>材料产出!$BV$2</f>
        <v>新增材料8</v>
      </c>
      <c r="D5318" s="224">
        <f>参数调整!$K$36*怪物掉落配置方案!$D4292</f>
        <v>0</v>
      </c>
    </row>
    <row r="5319" spans="1:4" ht="16.5" hidden="1" x14ac:dyDescent="0.3">
      <c r="A5319" s="10" t="str">
        <f>基本属性!$B$28&amp;"|"&amp;基本属性!$C$28</f>
        <v>240|18</v>
      </c>
      <c r="B5319" s="10" t="str">
        <f>参数调整!$J$36</f>
        <v>新增怪物种类1掉落</v>
      </c>
      <c r="C5319" s="8" t="str">
        <f>材料产出!$BV$2</f>
        <v>新增材料8</v>
      </c>
      <c r="D5319" s="224">
        <f>参数调整!$K$36*怪物掉落配置方案!$D4293</f>
        <v>0</v>
      </c>
    </row>
    <row r="5320" spans="1:4" ht="16.5" hidden="1" x14ac:dyDescent="0.3">
      <c r="A5320" s="10" t="str">
        <f>基本属性!$B$29&amp;"|"&amp;基本属性!$C$29</f>
        <v>240|19</v>
      </c>
      <c r="B5320" s="10" t="str">
        <f>参数调整!$J$36</f>
        <v>新增怪物种类1掉落</v>
      </c>
      <c r="C5320" s="8" t="str">
        <f>材料产出!$BV$2</f>
        <v>新增材料8</v>
      </c>
      <c r="D5320" s="224">
        <f>参数调整!$K$36*怪物掉落配置方案!$D4294</f>
        <v>0</v>
      </c>
    </row>
    <row r="5321" spans="1:4" ht="16.5" hidden="1" x14ac:dyDescent="0.3">
      <c r="A5321" s="10" t="str">
        <f>基本属性!$B$30&amp;"|"&amp;基本属性!$C$30</f>
        <v>250|20</v>
      </c>
      <c r="B5321" s="10" t="str">
        <f>参数调整!$J$36</f>
        <v>新增怪物种类1掉落</v>
      </c>
      <c r="C5321" s="8" t="str">
        <f>材料产出!$BV$2</f>
        <v>新增材料8</v>
      </c>
      <c r="D5321" s="224">
        <f>参数调整!$K$36*怪物掉落配置方案!$D4295</f>
        <v>0</v>
      </c>
    </row>
    <row r="5322" spans="1:4" ht="16.5" hidden="1" x14ac:dyDescent="0.3">
      <c r="A5322" s="10" t="str">
        <f>基本属性!$B$4&amp;"|"&amp;基本属性!$C$4</f>
        <v>35|0</v>
      </c>
      <c r="B5322" s="10" t="str">
        <f>参数调整!$J$36</f>
        <v>新增怪物种类1掉落</v>
      </c>
      <c r="C5322" s="8" t="str">
        <f>材料产出!$BT$2</f>
        <v>新增材料7</v>
      </c>
      <c r="D5322" s="224">
        <f>参数调整!$K$36*怪物掉落配置方案!$D4296</f>
        <v>0</v>
      </c>
    </row>
    <row r="5323" spans="1:4" ht="16.5" hidden="1" x14ac:dyDescent="0.3">
      <c r="A5323" s="10" t="str">
        <f>基本属性!$B$5&amp;"|"&amp;基本属性!$C$5</f>
        <v>40|0</v>
      </c>
      <c r="B5323" s="10" t="str">
        <f>参数调整!$J$36</f>
        <v>新增怪物种类1掉落</v>
      </c>
      <c r="C5323" s="8" t="str">
        <f>材料产出!$BT$2</f>
        <v>新增材料7</v>
      </c>
      <c r="D5323" s="224">
        <f>参数调整!$K$36*怪物掉落配置方案!$D4297</f>
        <v>0</v>
      </c>
    </row>
    <row r="5324" spans="1:4" ht="16.5" hidden="1" x14ac:dyDescent="0.3">
      <c r="A5324" s="10" t="str">
        <f>基本属性!$B$6&amp;"|"&amp;基本属性!$C$6</f>
        <v>50|0</v>
      </c>
      <c r="B5324" s="10" t="str">
        <f>参数调整!$J$36</f>
        <v>新增怪物种类1掉落</v>
      </c>
      <c r="C5324" s="8" t="str">
        <f>材料产出!$BT$2</f>
        <v>新增材料7</v>
      </c>
      <c r="D5324" s="224">
        <f>参数调整!$K$36*怪物掉落配置方案!$D4298</f>
        <v>0</v>
      </c>
    </row>
    <row r="5325" spans="1:4" ht="16.5" hidden="1" x14ac:dyDescent="0.3">
      <c r="A5325" s="10" t="str">
        <f>基本属性!$B$7&amp;"|"&amp;基本属性!$C$7</f>
        <v>60|0</v>
      </c>
      <c r="B5325" s="10" t="str">
        <f>参数调整!$J$36</f>
        <v>新增怪物种类1掉落</v>
      </c>
      <c r="C5325" s="8" t="str">
        <f>材料产出!$BT$2</f>
        <v>新增材料7</v>
      </c>
      <c r="D5325" s="224">
        <f>参数调整!$K$36*怪物掉落配置方案!$D4299</f>
        <v>0</v>
      </c>
    </row>
    <row r="5326" spans="1:4" ht="16.5" hidden="1" x14ac:dyDescent="0.3">
      <c r="A5326" s="10" t="str">
        <f>基本属性!$B$8&amp;"|"&amp;基本属性!$C$8</f>
        <v>65|0</v>
      </c>
      <c r="B5326" s="10" t="str">
        <f>参数调整!$J$36</f>
        <v>新增怪物种类1掉落</v>
      </c>
      <c r="C5326" s="8" t="str">
        <f>材料产出!$BT$2</f>
        <v>新增材料7</v>
      </c>
      <c r="D5326" s="224">
        <f>参数调整!$K$36*怪物掉落配置方案!$D4300</f>
        <v>0</v>
      </c>
    </row>
    <row r="5327" spans="1:4" ht="16.5" hidden="1" x14ac:dyDescent="0.3">
      <c r="A5327" s="10" t="str">
        <f>基本属性!$B$9&amp;"|"&amp;基本属性!$C$9</f>
        <v>70|0</v>
      </c>
      <c r="B5327" s="10" t="str">
        <f>参数调整!$J$36</f>
        <v>新增怪物种类1掉落</v>
      </c>
      <c r="C5327" s="8" t="str">
        <f>材料产出!$BT$2</f>
        <v>新增材料7</v>
      </c>
      <c r="D5327" s="224">
        <f>参数调整!$K$36*怪物掉落配置方案!$D4301</f>
        <v>0</v>
      </c>
    </row>
    <row r="5328" spans="1:4" ht="16.5" hidden="1" x14ac:dyDescent="0.3">
      <c r="A5328" s="10" t="str">
        <f>基本属性!$B$10&amp;"|"&amp;基本属性!$C$10</f>
        <v>75|0</v>
      </c>
      <c r="B5328" s="10" t="str">
        <f>参数调整!$J$36</f>
        <v>新增怪物种类1掉落</v>
      </c>
      <c r="C5328" s="8" t="str">
        <f>材料产出!$BT$2</f>
        <v>新增材料7</v>
      </c>
      <c r="D5328" s="224">
        <f>参数调整!$K$36*怪物掉落配置方案!$D4302</f>
        <v>0</v>
      </c>
    </row>
    <row r="5329" spans="1:4" ht="16.5" hidden="1" x14ac:dyDescent="0.3">
      <c r="A5329" s="10" t="str">
        <f>基本属性!$B$11&amp;"|"&amp;基本属性!$C$11</f>
        <v>80|1</v>
      </c>
      <c r="B5329" s="10" t="str">
        <f>参数调整!$J$36</f>
        <v>新增怪物种类1掉落</v>
      </c>
      <c r="C5329" s="8" t="str">
        <f>材料产出!$BT$2</f>
        <v>新增材料7</v>
      </c>
      <c r="D5329" s="224">
        <f>参数调整!$K$36*怪物掉落配置方案!$D4303</f>
        <v>0</v>
      </c>
    </row>
    <row r="5330" spans="1:4" ht="16.5" hidden="1" x14ac:dyDescent="0.3">
      <c r="A5330" s="10" t="str">
        <f>基本属性!$B$12&amp;"|"&amp;基本属性!$C$12</f>
        <v>90|2</v>
      </c>
      <c r="B5330" s="10" t="str">
        <f>参数调整!$J$36</f>
        <v>新增怪物种类1掉落</v>
      </c>
      <c r="C5330" s="8" t="str">
        <f>材料产出!$BT$2</f>
        <v>新增材料7</v>
      </c>
      <c r="D5330" s="224">
        <f>参数调整!$K$36*怪物掉落配置方案!$D4304</f>
        <v>0</v>
      </c>
    </row>
    <row r="5331" spans="1:4" ht="16.5" hidden="1" x14ac:dyDescent="0.3">
      <c r="A5331" s="10" t="str">
        <f>基本属性!$B$13&amp;"|"&amp;基本属性!$C$13</f>
        <v>100|3</v>
      </c>
      <c r="B5331" s="10" t="str">
        <f>参数调整!$J$36</f>
        <v>新增怪物种类1掉落</v>
      </c>
      <c r="C5331" s="8" t="str">
        <f>材料产出!$BT$2</f>
        <v>新增材料7</v>
      </c>
      <c r="D5331" s="224">
        <f>参数调整!$K$36*怪物掉落配置方案!$D4305</f>
        <v>0</v>
      </c>
    </row>
    <row r="5332" spans="1:4" ht="16.5" hidden="1" x14ac:dyDescent="0.3">
      <c r="A5332" s="10" t="str">
        <f>基本属性!$B$14&amp;"|"&amp;基本属性!$C$14</f>
        <v>105|4</v>
      </c>
      <c r="B5332" s="10" t="str">
        <f>参数调整!$J$36</f>
        <v>新增怪物种类1掉落</v>
      </c>
      <c r="C5332" s="8" t="str">
        <f>材料产出!$BT$2</f>
        <v>新增材料7</v>
      </c>
      <c r="D5332" s="224">
        <f>参数调整!$K$36*怪物掉落配置方案!$D4306</f>
        <v>0</v>
      </c>
    </row>
    <row r="5333" spans="1:4" ht="16.5" hidden="1" x14ac:dyDescent="0.3">
      <c r="A5333" s="10" t="str">
        <f>基本属性!$B$15&amp;"|"&amp;基本属性!$C$15</f>
        <v>110|5</v>
      </c>
      <c r="B5333" s="10" t="str">
        <f>参数调整!$J$36</f>
        <v>新增怪物种类1掉落</v>
      </c>
      <c r="C5333" s="8" t="str">
        <f>材料产出!$BT$2</f>
        <v>新增材料7</v>
      </c>
      <c r="D5333" s="224">
        <f>参数调整!$K$36*怪物掉落配置方案!$D4307</f>
        <v>0</v>
      </c>
    </row>
    <row r="5334" spans="1:4" ht="16.5" hidden="1" x14ac:dyDescent="0.3">
      <c r="A5334" s="10" t="str">
        <f>基本属性!$B$16&amp;"|"&amp;基本属性!$C$16</f>
        <v>120|6</v>
      </c>
      <c r="B5334" s="10" t="str">
        <f>参数调整!$J$36</f>
        <v>新增怪物种类1掉落</v>
      </c>
      <c r="C5334" s="8" t="str">
        <f>材料产出!$BT$2</f>
        <v>新增材料7</v>
      </c>
      <c r="D5334" s="224">
        <f>参数调整!$K$36*怪物掉落配置方案!$D4308</f>
        <v>0</v>
      </c>
    </row>
    <row r="5335" spans="1:4" ht="16.5" hidden="1" x14ac:dyDescent="0.3">
      <c r="A5335" s="10" t="str">
        <f>基本属性!$B$17&amp;"|"&amp;基本属性!$C$17</f>
        <v>135|7</v>
      </c>
      <c r="B5335" s="10" t="str">
        <f>参数调整!$J$36</f>
        <v>新增怪物种类1掉落</v>
      </c>
      <c r="C5335" s="8" t="str">
        <f>材料产出!$BT$2</f>
        <v>新增材料7</v>
      </c>
      <c r="D5335" s="224">
        <f>参数调整!$K$36*怪物掉落配置方案!$D4309</f>
        <v>0</v>
      </c>
    </row>
    <row r="5336" spans="1:4" ht="16.5" hidden="1" x14ac:dyDescent="0.3">
      <c r="A5336" s="10" t="str">
        <f>基本属性!$B$18&amp;"|"&amp;基本属性!$C$18</f>
        <v>155|8</v>
      </c>
      <c r="B5336" s="10" t="str">
        <f>参数调整!$J$36</f>
        <v>新增怪物种类1掉落</v>
      </c>
      <c r="C5336" s="8" t="str">
        <f>材料产出!$BT$2</f>
        <v>新增材料7</v>
      </c>
      <c r="D5336" s="224">
        <f>参数调整!$K$36*怪物掉落配置方案!$D4310</f>
        <v>0</v>
      </c>
    </row>
    <row r="5337" spans="1:4" ht="16.5" hidden="1" x14ac:dyDescent="0.3">
      <c r="A5337" s="10" t="str">
        <f>基本属性!$B$19&amp;"|"&amp;基本属性!$C$19</f>
        <v>190|9</v>
      </c>
      <c r="B5337" s="10" t="str">
        <f>参数调整!$J$36</f>
        <v>新增怪物种类1掉落</v>
      </c>
      <c r="C5337" s="8" t="str">
        <f>材料产出!$BT$2</f>
        <v>新增材料7</v>
      </c>
      <c r="D5337" s="224">
        <f>参数调整!$K$36*怪物掉落配置方案!$D4311</f>
        <v>0</v>
      </c>
    </row>
    <row r="5338" spans="1:4" ht="16.5" hidden="1" x14ac:dyDescent="0.3">
      <c r="A5338" s="10" t="str">
        <f>基本属性!$B$20&amp;"|"&amp;基本属性!$C$20</f>
        <v>200|10</v>
      </c>
      <c r="B5338" s="10" t="str">
        <f>参数调整!$J$36</f>
        <v>新增怪物种类1掉落</v>
      </c>
      <c r="C5338" s="8" t="str">
        <f>材料产出!$BT$2</f>
        <v>新增材料7</v>
      </c>
      <c r="D5338" s="224">
        <f>参数调整!$K$36*怪物掉落配置方案!$D4312</f>
        <v>0</v>
      </c>
    </row>
    <row r="5339" spans="1:4" ht="16.5" hidden="1" x14ac:dyDescent="0.3">
      <c r="A5339" s="10" t="str">
        <f>基本属性!$B$21&amp;"|"&amp;基本属性!$C$21</f>
        <v>200|11</v>
      </c>
      <c r="B5339" s="10" t="str">
        <f>参数调整!$J$36</f>
        <v>新增怪物种类1掉落</v>
      </c>
      <c r="C5339" s="8" t="str">
        <f>材料产出!$BT$2</f>
        <v>新增材料7</v>
      </c>
      <c r="D5339" s="224">
        <f>参数调整!$K$36*怪物掉落配置方案!$D4313</f>
        <v>0</v>
      </c>
    </row>
    <row r="5340" spans="1:4" ht="16.5" hidden="1" x14ac:dyDescent="0.3">
      <c r="A5340" s="10" t="str">
        <f>基本属性!$B$22&amp;"|"&amp;基本属性!$C$22</f>
        <v>210|12</v>
      </c>
      <c r="B5340" s="10" t="str">
        <f>参数调整!$J$36</f>
        <v>新增怪物种类1掉落</v>
      </c>
      <c r="C5340" s="8" t="str">
        <f>材料产出!$BT$2</f>
        <v>新增材料7</v>
      </c>
      <c r="D5340" s="224">
        <f>参数调整!$K$36*怪物掉落配置方案!$D4314</f>
        <v>0</v>
      </c>
    </row>
    <row r="5341" spans="1:4" ht="16.5" hidden="1" x14ac:dyDescent="0.3">
      <c r="A5341" s="10" t="str">
        <f>基本属性!$B$23&amp;"|"&amp;基本属性!$C$23</f>
        <v>210|13</v>
      </c>
      <c r="B5341" s="10" t="str">
        <f>参数调整!$J$36</f>
        <v>新增怪物种类1掉落</v>
      </c>
      <c r="C5341" s="8" t="str">
        <f>材料产出!$BT$2</f>
        <v>新增材料7</v>
      </c>
      <c r="D5341" s="224">
        <f>参数调整!$K$36*怪物掉落配置方案!$D4315</f>
        <v>0</v>
      </c>
    </row>
    <row r="5342" spans="1:4" ht="16.5" hidden="1" x14ac:dyDescent="0.3">
      <c r="A5342" s="10" t="str">
        <f>基本属性!$B$24&amp;"|"&amp;基本属性!$C$24</f>
        <v>220|14</v>
      </c>
      <c r="B5342" s="10" t="str">
        <f>参数调整!$J$36</f>
        <v>新增怪物种类1掉落</v>
      </c>
      <c r="C5342" s="8" t="str">
        <f>材料产出!$BT$2</f>
        <v>新增材料7</v>
      </c>
      <c r="D5342" s="224">
        <f>参数调整!$K$36*怪物掉落配置方案!$D4316</f>
        <v>0</v>
      </c>
    </row>
    <row r="5343" spans="1:4" ht="16.5" hidden="1" x14ac:dyDescent="0.3">
      <c r="A5343" s="10" t="str">
        <f>基本属性!$B$25&amp;"|"&amp;基本属性!$C$25</f>
        <v>220|15</v>
      </c>
      <c r="B5343" s="10" t="str">
        <f>参数调整!$J$36</f>
        <v>新增怪物种类1掉落</v>
      </c>
      <c r="C5343" s="8" t="str">
        <f>材料产出!$BT$2</f>
        <v>新增材料7</v>
      </c>
      <c r="D5343" s="224">
        <f>参数调整!$K$36*怪物掉落配置方案!$D4317</f>
        <v>0</v>
      </c>
    </row>
    <row r="5344" spans="1:4" ht="16.5" hidden="1" x14ac:dyDescent="0.3">
      <c r="A5344" s="10" t="str">
        <f>基本属性!$B$26&amp;"|"&amp;基本属性!$C$26</f>
        <v>230|16</v>
      </c>
      <c r="B5344" s="10" t="str">
        <f>参数调整!$J$36</f>
        <v>新增怪物种类1掉落</v>
      </c>
      <c r="C5344" s="8" t="str">
        <f>材料产出!$BT$2</f>
        <v>新增材料7</v>
      </c>
      <c r="D5344" s="224">
        <f>参数调整!$K$36*怪物掉落配置方案!$D4318</f>
        <v>0</v>
      </c>
    </row>
    <row r="5345" spans="1:4" ht="16.5" hidden="1" x14ac:dyDescent="0.3">
      <c r="A5345" s="10" t="str">
        <f>基本属性!$B$27&amp;"|"&amp;基本属性!$C$27</f>
        <v>230|17</v>
      </c>
      <c r="B5345" s="10" t="str">
        <f>参数调整!$J$36</f>
        <v>新增怪物种类1掉落</v>
      </c>
      <c r="C5345" s="8" t="str">
        <f>材料产出!$BT$2</f>
        <v>新增材料7</v>
      </c>
      <c r="D5345" s="224">
        <f>参数调整!$K$36*怪物掉落配置方案!$D4319</f>
        <v>0</v>
      </c>
    </row>
    <row r="5346" spans="1:4" ht="16.5" hidden="1" x14ac:dyDescent="0.3">
      <c r="A5346" s="10" t="str">
        <f>基本属性!$B$28&amp;"|"&amp;基本属性!$C$28</f>
        <v>240|18</v>
      </c>
      <c r="B5346" s="10" t="str">
        <f>参数调整!$J$36</f>
        <v>新增怪物种类1掉落</v>
      </c>
      <c r="C5346" s="8" t="str">
        <f>材料产出!$BT$2</f>
        <v>新增材料7</v>
      </c>
      <c r="D5346" s="224">
        <f>参数调整!$K$36*怪物掉落配置方案!$D4320</f>
        <v>0</v>
      </c>
    </row>
    <row r="5347" spans="1:4" ht="16.5" hidden="1" x14ac:dyDescent="0.3">
      <c r="A5347" s="10" t="str">
        <f>基本属性!$B$29&amp;"|"&amp;基本属性!$C$29</f>
        <v>240|19</v>
      </c>
      <c r="B5347" s="10" t="str">
        <f>参数调整!$J$36</f>
        <v>新增怪物种类1掉落</v>
      </c>
      <c r="C5347" s="8" t="str">
        <f>材料产出!$BT$2</f>
        <v>新增材料7</v>
      </c>
      <c r="D5347" s="224">
        <f>参数调整!$K$36*怪物掉落配置方案!$D4321</f>
        <v>0</v>
      </c>
    </row>
    <row r="5348" spans="1:4" ht="16.5" hidden="1" x14ac:dyDescent="0.3">
      <c r="A5348" s="10" t="str">
        <f>基本属性!$B$30&amp;"|"&amp;基本属性!$C$30</f>
        <v>250|20</v>
      </c>
      <c r="B5348" s="10" t="str">
        <f>参数调整!$J$36</f>
        <v>新增怪物种类1掉落</v>
      </c>
      <c r="C5348" s="8" t="str">
        <f>材料产出!$BT$2</f>
        <v>新增材料7</v>
      </c>
      <c r="D5348" s="224">
        <f>参数调整!$K$36*怪物掉落配置方案!$D4322</f>
        <v>0</v>
      </c>
    </row>
    <row r="5349" spans="1:4" ht="16.5" hidden="1" x14ac:dyDescent="0.3">
      <c r="A5349" s="10" t="str">
        <f>基本属性!$B$4&amp;"|"&amp;基本属性!$C$4</f>
        <v>35|0</v>
      </c>
      <c r="B5349" s="10" t="str">
        <f>参数调整!$J$36</f>
        <v>新增怪物种类1掉落</v>
      </c>
      <c r="C5349" s="8" t="str">
        <f>材料产出!$BR$2</f>
        <v>新增材料6</v>
      </c>
      <c r="D5349" s="224">
        <f>参数调整!$K$36*怪物掉落配置方案!$D4323</f>
        <v>0</v>
      </c>
    </row>
    <row r="5350" spans="1:4" ht="16.5" hidden="1" x14ac:dyDescent="0.3">
      <c r="A5350" s="10" t="str">
        <f>基本属性!$B$5&amp;"|"&amp;基本属性!$C$5</f>
        <v>40|0</v>
      </c>
      <c r="B5350" s="10" t="str">
        <f>参数调整!$J$36</f>
        <v>新增怪物种类1掉落</v>
      </c>
      <c r="C5350" s="8" t="str">
        <f>材料产出!$BR$2</f>
        <v>新增材料6</v>
      </c>
      <c r="D5350" s="224">
        <f>参数调整!$K$36*怪物掉落配置方案!$D4324</f>
        <v>0</v>
      </c>
    </row>
    <row r="5351" spans="1:4" ht="16.5" hidden="1" x14ac:dyDescent="0.3">
      <c r="A5351" s="10" t="str">
        <f>基本属性!$B$6&amp;"|"&amp;基本属性!$C$6</f>
        <v>50|0</v>
      </c>
      <c r="B5351" s="10" t="str">
        <f>参数调整!$J$36</f>
        <v>新增怪物种类1掉落</v>
      </c>
      <c r="C5351" s="8" t="str">
        <f>材料产出!$BR$2</f>
        <v>新增材料6</v>
      </c>
      <c r="D5351" s="224">
        <f>参数调整!$K$36*怪物掉落配置方案!$D4325</f>
        <v>0</v>
      </c>
    </row>
    <row r="5352" spans="1:4" ht="16.5" hidden="1" x14ac:dyDescent="0.3">
      <c r="A5352" s="10" t="str">
        <f>基本属性!$B$7&amp;"|"&amp;基本属性!$C$7</f>
        <v>60|0</v>
      </c>
      <c r="B5352" s="10" t="str">
        <f>参数调整!$J$36</f>
        <v>新增怪物种类1掉落</v>
      </c>
      <c r="C5352" s="8" t="str">
        <f>材料产出!$BR$2</f>
        <v>新增材料6</v>
      </c>
      <c r="D5352" s="224">
        <f>参数调整!$K$36*怪物掉落配置方案!$D4326</f>
        <v>0</v>
      </c>
    </row>
    <row r="5353" spans="1:4" ht="16.5" hidden="1" x14ac:dyDescent="0.3">
      <c r="A5353" s="10" t="str">
        <f>基本属性!$B$8&amp;"|"&amp;基本属性!$C$8</f>
        <v>65|0</v>
      </c>
      <c r="B5353" s="10" t="str">
        <f>参数调整!$J$36</f>
        <v>新增怪物种类1掉落</v>
      </c>
      <c r="C5353" s="8" t="str">
        <f>材料产出!$BR$2</f>
        <v>新增材料6</v>
      </c>
      <c r="D5353" s="224">
        <f>参数调整!$K$36*怪物掉落配置方案!$D4327</f>
        <v>0</v>
      </c>
    </row>
    <row r="5354" spans="1:4" ht="16.5" hidden="1" x14ac:dyDescent="0.3">
      <c r="A5354" s="10" t="str">
        <f>基本属性!$B$9&amp;"|"&amp;基本属性!$C$9</f>
        <v>70|0</v>
      </c>
      <c r="B5354" s="10" t="str">
        <f>参数调整!$J$36</f>
        <v>新增怪物种类1掉落</v>
      </c>
      <c r="C5354" s="8" t="str">
        <f>材料产出!$BR$2</f>
        <v>新增材料6</v>
      </c>
      <c r="D5354" s="224">
        <f>参数调整!$K$36*怪物掉落配置方案!$D4328</f>
        <v>0</v>
      </c>
    </row>
    <row r="5355" spans="1:4" ht="16.5" hidden="1" x14ac:dyDescent="0.3">
      <c r="A5355" s="10" t="str">
        <f>基本属性!$B$10&amp;"|"&amp;基本属性!$C$10</f>
        <v>75|0</v>
      </c>
      <c r="B5355" s="10" t="str">
        <f>参数调整!$J$36</f>
        <v>新增怪物种类1掉落</v>
      </c>
      <c r="C5355" s="8" t="str">
        <f>材料产出!$BR$2</f>
        <v>新增材料6</v>
      </c>
      <c r="D5355" s="224">
        <f>参数调整!$K$36*怪物掉落配置方案!$D4329</f>
        <v>0</v>
      </c>
    </row>
    <row r="5356" spans="1:4" ht="16.5" hidden="1" x14ac:dyDescent="0.3">
      <c r="A5356" s="10" t="str">
        <f>基本属性!$B$11&amp;"|"&amp;基本属性!$C$11</f>
        <v>80|1</v>
      </c>
      <c r="B5356" s="10" t="str">
        <f>参数调整!$J$36</f>
        <v>新增怪物种类1掉落</v>
      </c>
      <c r="C5356" s="8" t="str">
        <f>材料产出!$BR$2</f>
        <v>新增材料6</v>
      </c>
      <c r="D5356" s="224">
        <f>参数调整!$K$36*怪物掉落配置方案!$D4330</f>
        <v>0</v>
      </c>
    </row>
    <row r="5357" spans="1:4" ht="16.5" hidden="1" x14ac:dyDescent="0.3">
      <c r="A5357" s="10" t="str">
        <f>基本属性!$B$12&amp;"|"&amp;基本属性!$C$12</f>
        <v>90|2</v>
      </c>
      <c r="B5357" s="10" t="str">
        <f>参数调整!$J$36</f>
        <v>新增怪物种类1掉落</v>
      </c>
      <c r="C5357" s="8" t="str">
        <f>材料产出!$BR$2</f>
        <v>新增材料6</v>
      </c>
      <c r="D5357" s="224">
        <f>参数调整!$K$36*怪物掉落配置方案!$D4331</f>
        <v>0</v>
      </c>
    </row>
    <row r="5358" spans="1:4" ht="16.5" hidden="1" x14ac:dyDescent="0.3">
      <c r="A5358" s="10" t="str">
        <f>基本属性!$B$13&amp;"|"&amp;基本属性!$C$13</f>
        <v>100|3</v>
      </c>
      <c r="B5358" s="10" t="str">
        <f>参数调整!$J$36</f>
        <v>新增怪物种类1掉落</v>
      </c>
      <c r="C5358" s="8" t="str">
        <f>材料产出!$BR$2</f>
        <v>新增材料6</v>
      </c>
      <c r="D5358" s="224">
        <f>参数调整!$K$36*怪物掉落配置方案!$D4332</f>
        <v>0</v>
      </c>
    </row>
    <row r="5359" spans="1:4" ht="16.5" hidden="1" x14ac:dyDescent="0.3">
      <c r="A5359" s="10" t="str">
        <f>基本属性!$B$14&amp;"|"&amp;基本属性!$C$14</f>
        <v>105|4</v>
      </c>
      <c r="B5359" s="10" t="str">
        <f>参数调整!$J$36</f>
        <v>新增怪物种类1掉落</v>
      </c>
      <c r="C5359" s="8" t="str">
        <f>材料产出!$BR$2</f>
        <v>新增材料6</v>
      </c>
      <c r="D5359" s="224">
        <f>参数调整!$K$36*怪物掉落配置方案!$D4333</f>
        <v>0</v>
      </c>
    </row>
    <row r="5360" spans="1:4" ht="16.5" hidden="1" x14ac:dyDescent="0.3">
      <c r="A5360" s="10" t="str">
        <f>基本属性!$B$15&amp;"|"&amp;基本属性!$C$15</f>
        <v>110|5</v>
      </c>
      <c r="B5360" s="10" t="str">
        <f>参数调整!$J$36</f>
        <v>新增怪物种类1掉落</v>
      </c>
      <c r="C5360" s="8" t="str">
        <f>材料产出!$BR$2</f>
        <v>新增材料6</v>
      </c>
      <c r="D5360" s="224">
        <f>参数调整!$K$36*怪物掉落配置方案!$D4334</f>
        <v>0</v>
      </c>
    </row>
    <row r="5361" spans="1:4" ht="16.5" hidden="1" x14ac:dyDescent="0.3">
      <c r="A5361" s="10" t="str">
        <f>基本属性!$B$16&amp;"|"&amp;基本属性!$C$16</f>
        <v>120|6</v>
      </c>
      <c r="B5361" s="10" t="str">
        <f>参数调整!$J$36</f>
        <v>新增怪物种类1掉落</v>
      </c>
      <c r="C5361" s="8" t="str">
        <f>材料产出!$BR$2</f>
        <v>新增材料6</v>
      </c>
      <c r="D5361" s="224">
        <f>参数调整!$K$36*怪物掉落配置方案!$D4335</f>
        <v>0</v>
      </c>
    </row>
    <row r="5362" spans="1:4" ht="16.5" hidden="1" x14ac:dyDescent="0.3">
      <c r="A5362" s="10" t="str">
        <f>基本属性!$B$17&amp;"|"&amp;基本属性!$C$17</f>
        <v>135|7</v>
      </c>
      <c r="B5362" s="10" t="str">
        <f>参数调整!$J$36</f>
        <v>新增怪物种类1掉落</v>
      </c>
      <c r="C5362" s="8" t="str">
        <f>材料产出!$BR$2</f>
        <v>新增材料6</v>
      </c>
      <c r="D5362" s="224">
        <f>参数调整!$K$36*怪物掉落配置方案!$D4336</f>
        <v>0</v>
      </c>
    </row>
    <row r="5363" spans="1:4" ht="16.5" hidden="1" x14ac:dyDescent="0.3">
      <c r="A5363" s="10" t="str">
        <f>基本属性!$B$18&amp;"|"&amp;基本属性!$C$18</f>
        <v>155|8</v>
      </c>
      <c r="B5363" s="10" t="str">
        <f>参数调整!$J$36</f>
        <v>新增怪物种类1掉落</v>
      </c>
      <c r="C5363" s="8" t="str">
        <f>材料产出!$BR$2</f>
        <v>新增材料6</v>
      </c>
      <c r="D5363" s="224">
        <f>参数调整!$K$36*怪物掉落配置方案!$D4337</f>
        <v>0</v>
      </c>
    </row>
    <row r="5364" spans="1:4" ht="16.5" hidden="1" x14ac:dyDescent="0.3">
      <c r="A5364" s="10" t="str">
        <f>基本属性!$B$19&amp;"|"&amp;基本属性!$C$19</f>
        <v>190|9</v>
      </c>
      <c r="B5364" s="10" t="str">
        <f>参数调整!$J$36</f>
        <v>新增怪物种类1掉落</v>
      </c>
      <c r="C5364" s="8" t="str">
        <f>材料产出!$BR$2</f>
        <v>新增材料6</v>
      </c>
      <c r="D5364" s="224">
        <f>参数调整!$K$36*怪物掉落配置方案!$D4338</f>
        <v>0</v>
      </c>
    </row>
    <row r="5365" spans="1:4" ht="16.5" hidden="1" x14ac:dyDescent="0.3">
      <c r="A5365" s="10" t="str">
        <f>基本属性!$B$20&amp;"|"&amp;基本属性!$C$20</f>
        <v>200|10</v>
      </c>
      <c r="B5365" s="10" t="str">
        <f>参数调整!$J$36</f>
        <v>新增怪物种类1掉落</v>
      </c>
      <c r="C5365" s="8" t="str">
        <f>材料产出!$BR$2</f>
        <v>新增材料6</v>
      </c>
      <c r="D5365" s="224">
        <f>参数调整!$K$36*怪物掉落配置方案!$D4339</f>
        <v>0</v>
      </c>
    </row>
    <row r="5366" spans="1:4" ht="16.5" hidden="1" x14ac:dyDescent="0.3">
      <c r="A5366" s="10" t="str">
        <f>基本属性!$B$21&amp;"|"&amp;基本属性!$C$21</f>
        <v>200|11</v>
      </c>
      <c r="B5366" s="10" t="str">
        <f>参数调整!$J$36</f>
        <v>新增怪物种类1掉落</v>
      </c>
      <c r="C5366" s="8" t="str">
        <f>材料产出!$BR$2</f>
        <v>新增材料6</v>
      </c>
      <c r="D5366" s="224">
        <f>参数调整!$K$36*怪物掉落配置方案!$D4340</f>
        <v>0</v>
      </c>
    </row>
    <row r="5367" spans="1:4" ht="16.5" hidden="1" x14ac:dyDescent="0.3">
      <c r="A5367" s="10" t="str">
        <f>基本属性!$B$22&amp;"|"&amp;基本属性!$C$22</f>
        <v>210|12</v>
      </c>
      <c r="B5367" s="10" t="str">
        <f>参数调整!$J$36</f>
        <v>新增怪物种类1掉落</v>
      </c>
      <c r="C5367" s="8" t="str">
        <f>材料产出!$BR$2</f>
        <v>新增材料6</v>
      </c>
      <c r="D5367" s="224">
        <f>参数调整!$K$36*怪物掉落配置方案!$D4341</f>
        <v>0</v>
      </c>
    </row>
    <row r="5368" spans="1:4" ht="16.5" hidden="1" x14ac:dyDescent="0.3">
      <c r="A5368" s="10" t="str">
        <f>基本属性!$B$23&amp;"|"&amp;基本属性!$C$23</f>
        <v>210|13</v>
      </c>
      <c r="B5368" s="10" t="str">
        <f>参数调整!$J$36</f>
        <v>新增怪物种类1掉落</v>
      </c>
      <c r="C5368" s="8" t="str">
        <f>材料产出!$BR$2</f>
        <v>新增材料6</v>
      </c>
      <c r="D5368" s="224">
        <f>参数调整!$K$36*怪物掉落配置方案!$D4342</f>
        <v>0</v>
      </c>
    </row>
    <row r="5369" spans="1:4" ht="16.5" hidden="1" x14ac:dyDescent="0.3">
      <c r="A5369" s="10" t="str">
        <f>基本属性!$B$24&amp;"|"&amp;基本属性!$C$24</f>
        <v>220|14</v>
      </c>
      <c r="B5369" s="10" t="str">
        <f>参数调整!$J$36</f>
        <v>新增怪物种类1掉落</v>
      </c>
      <c r="C5369" s="8" t="str">
        <f>材料产出!$BR$2</f>
        <v>新增材料6</v>
      </c>
      <c r="D5369" s="224">
        <f>参数调整!$K$36*怪物掉落配置方案!$D4343</f>
        <v>0</v>
      </c>
    </row>
    <row r="5370" spans="1:4" ht="16.5" hidden="1" x14ac:dyDescent="0.3">
      <c r="A5370" s="10" t="str">
        <f>基本属性!$B$25&amp;"|"&amp;基本属性!$C$25</f>
        <v>220|15</v>
      </c>
      <c r="B5370" s="10" t="str">
        <f>参数调整!$J$36</f>
        <v>新增怪物种类1掉落</v>
      </c>
      <c r="C5370" s="8" t="str">
        <f>材料产出!$BR$2</f>
        <v>新增材料6</v>
      </c>
      <c r="D5370" s="224">
        <f>参数调整!$K$36*怪物掉落配置方案!$D4344</f>
        <v>0</v>
      </c>
    </row>
    <row r="5371" spans="1:4" ht="16.5" hidden="1" x14ac:dyDescent="0.3">
      <c r="A5371" s="10" t="str">
        <f>基本属性!$B$26&amp;"|"&amp;基本属性!$C$26</f>
        <v>230|16</v>
      </c>
      <c r="B5371" s="10" t="str">
        <f>参数调整!$J$36</f>
        <v>新增怪物种类1掉落</v>
      </c>
      <c r="C5371" s="8" t="str">
        <f>材料产出!$BR$2</f>
        <v>新增材料6</v>
      </c>
      <c r="D5371" s="224">
        <f>参数调整!$K$36*怪物掉落配置方案!$D4345</f>
        <v>0</v>
      </c>
    </row>
    <row r="5372" spans="1:4" ht="16.5" hidden="1" x14ac:dyDescent="0.3">
      <c r="A5372" s="10" t="str">
        <f>基本属性!$B$27&amp;"|"&amp;基本属性!$C$27</f>
        <v>230|17</v>
      </c>
      <c r="B5372" s="10" t="str">
        <f>参数调整!$J$36</f>
        <v>新增怪物种类1掉落</v>
      </c>
      <c r="C5372" s="8" t="str">
        <f>材料产出!$BR$2</f>
        <v>新增材料6</v>
      </c>
      <c r="D5372" s="224">
        <f>参数调整!$K$36*怪物掉落配置方案!$D4346</f>
        <v>0</v>
      </c>
    </row>
    <row r="5373" spans="1:4" ht="16.5" hidden="1" x14ac:dyDescent="0.3">
      <c r="A5373" s="10" t="str">
        <f>基本属性!$B$28&amp;"|"&amp;基本属性!$C$28</f>
        <v>240|18</v>
      </c>
      <c r="B5373" s="10" t="str">
        <f>参数调整!$J$36</f>
        <v>新增怪物种类1掉落</v>
      </c>
      <c r="C5373" s="8" t="str">
        <f>材料产出!$BR$2</f>
        <v>新增材料6</v>
      </c>
      <c r="D5373" s="224">
        <f>参数调整!$K$36*怪物掉落配置方案!$D4347</f>
        <v>0</v>
      </c>
    </row>
    <row r="5374" spans="1:4" ht="16.5" hidden="1" x14ac:dyDescent="0.3">
      <c r="A5374" s="10" t="str">
        <f>基本属性!$B$29&amp;"|"&amp;基本属性!$C$29</f>
        <v>240|19</v>
      </c>
      <c r="B5374" s="10" t="str">
        <f>参数调整!$J$36</f>
        <v>新增怪物种类1掉落</v>
      </c>
      <c r="C5374" s="8" t="str">
        <f>材料产出!$BR$2</f>
        <v>新增材料6</v>
      </c>
      <c r="D5374" s="224">
        <f>参数调整!$K$36*怪物掉落配置方案!$D4348</f>
        <v>0</v>
      </c>
    </row>
    <row r="5375" spans="1:4" ht="16.5" hidden="1" x14ac:dyDescent="0.3">
      <c r="A5375" s="10" t="str">
        <f>基本属性!$B$30&amp;"|"&amp;基本属性!$C$30</f>
        <v>250|20</v>
      </c>
      <c r="B5375" s="10" t="str">
        <f>参数调整!$J$36</f>
        <v>新增怪物种类1掉落</v>
      </c>
      <c r="C5375" s="8" t="str">
        <f>材料产出!$BR$2</f>
        <v>新增材料6</v>
      </c>
      <c r="D5375" s="224">
        <f>参数调整!$K$36*怪物掉落配置方案!$D4349</f>
        <v>0</v>
      </c>
    </row>
    <row r="5376" spans="1:4" ht="16.5" hidden="1" x14ac:dyDescent="0.3">
      <c r="A5376" s="10" t="str">
        <f>基本属性!$B$4&amp;"|"&amp;基本属性!$C$4</f>
        <v>35|0</v>
      </c>
      <c r="B5376" s="10" t="str">
        <f>参数调整!$J$36</f>
        <v>新增怪物种类1掉落</v>
      </c>
      <c r="C5376" s="8" t="str">
        <f>材料产出!$BP$2</f>
        <v>新增材料5</v>
      </c>
      <c r="D5376" s="224">
        <f>参数调整!$K$36*怪物掉落配置方案!$D4350</f>
        <v>0</v>
      </c>
    </row>
    <row r="5377" spans="1:4" ht="16.5" hidden="1" x14ac:dyDescent="0.3">
      <c r="A5377" s="10" t="str">
        <f>基本属性!$B$5&amp;"|"&amp;基本属性!$C$5</f>
        <v>40|0</v>
      </c>
      <c r="B5377" s="10" t="str">
        <f>参数调整!$J$36</f>
        <v>新增怪物种类1掉落</v>
      </c>
      <c r="C5377" s="8" t="str">
        <f>材料产出!$BP$2</f>
        <v>新增材料5</v>
      </c>
      <c r="D5377" s="224">
        <f>参数调整!$K$36*怪物掉落配置方案!$D4351</f>
        <v>0</v>
      </c>
    </row>
    <row r="5378" spans="1:4" ht="16.5" hidden="1" x14ac:dyDescent="0.3">
      <c r="A5378" s="10" t="str">
        <f>基本属性!$B$6&amp;"|"&amp;基本属性!$C$6</f>
        <v>50|0</v>
      </c>
      <c r="B5378" s="10" t="str">
        <f>参数调整!$J$36</f>
        <v>新增怪物种类1掉落</v>
      </c>
      <c r="C5378" s="8" t="str">
        <f>材料产出!$BP$2</f>
        <v>新增材料5</v>
      </c>
      <c r="D5378" s="224">
        <f>参数调整!$K$36*怪物掉落配置方案!$D4352</f>
        <v>0</v>
      </c>
    </row>
    <row r="5379" spans="1:4" ht="16.5" hidden="1" x14ac:dyDescent="0.3">
      <c r="A5379" s="10" t="str">
        <f>基本属性!$B$7&amp;"|"&amp;基本属性!$C$7</f>
        <v>60|0</v>
      </c>
      <c r="B5379" s="10" t="str">
        <f>参数调整!$J$36</f>
        <v>新增怪物种类1掉落</v>
      </c>
      <c r="C5379" s="8" t="str">
        <f>材料产出!$BP$2</f>
        <v>新增材料5</v>
      </c>
      <c r="D5379" s="224">
        <f>参数调整!$K$36*怪物掉落配置方案!$D4353</f>
        <v>0</v>
      </c>
    </row>
    <row r="5380" spans="1:4" ht="16.5" hidden="1" x14ac:dyDescent="0.3">
      <c r="A5380" s="10" t="str">
        <f>基本属性!$B$8&amp;"|"&amp;基本属性!$C$8</f>
        <v>65|0</v>
      </c>
      <c r="B5380" s="10" t="str">
        <f>参数调整!$J$36</f>
        <v>新增怪物种类1掉落</v>
      </c>
      <c r="C5380" s="8" t="str">
        <f>材料产出!$BP$2</f>
        <v>新增材料5</v>
      </c>
      <c r="D5380" s="224">
        <f>参数调整!$K$36*怪物掉落配置方案!$D4354</f>
        <v>0</v>
      </c>
    </row>
    <row r="5381" spans="1:4" ht="16.5" hidden="1" x14ac:dyDescent="0.3">
      <c r="A5381" s="10" t="str">
        <f>基本属性!$B$9&amp;"|"&amp;基本属性!$C$9</f>
        <v>70|0</v>
      </c>
      <c r="B5381" s="10" t="str">
        <f>参数调整!$J$36</f>
        <v>新增怪物种类1掉落</v>
      </c>
      <c r="C5381" s="8" t="str">
        <f>材料产出!$BP$2</f>
        <v>新增材料5</v>
      </c>
      <c r="D5381" s="224">
        <f>参数调整!$K$36*怪物掉落配置方案!$D4355</f>
        <v>0</v>
      </c>
    </row>
    <row r="5382" spans="1:4" ht="16.5" hidden="1" x14ac:dyDescent="0.3">
      <c r="A5382" s="10" t="str">
        <f>基本属性!$B$10&amp;"|"&amp;基本属性!$C$10</f>
        <v>75|0</v>
      </c>
      <c r="B5382" s="10" t="str">
        <f>参数调整!$J$36</f>
        <v>新增怪物种类1掉落</v>
      </c>
      <c r="C5382" s="8" t="str">
        <f>材料产出!$BP$2</f>
        <v>新增材料5</v>
      </c>
      <c r="D5382" s="224">
        <f>参数调整!$K$36*怪物掉落配置方案!$D4356</f>
        <v>0</v>
      </c>
    </row>
    <row r="5383" spans="1:4" ht="16.5" hidden="1" x14ac:dyDescent="0.3">
      <c r="A5383" s="10" t="str">
        <f>基本属性!$B$11&amp;"|"&amp;基本属性!$C$11</f>
        <v>80|1</v>
      </c>
      <c r="B5383" s="10" t="str">
        <f>参数调整!$J$36</f>
        <v>新增怪物种类1掉落</v>
      </c>
      <c r="C5383" s="8" t="str">
        <f>材料产出!$BP$2</f>
        <v>新增材料5</v>
      </c>
      <c r="D5383" s="224">
        <f>参数调整!$K$36*怪物掉落配置方案!$D4357</f>
        <v>0</v>
      </c>
    </row>
    <row r="5384" spans="1:4" ht="16.5" hidden="1" x14ac:dyDescent="0.3">
      <c r="A5384" s="10" t="str">
        <f>基本属性!$B$12&amp;"|"&amp;基本属性!$C$12</f>
        <v>90|2</v>
      </c>
      <c r="B5384" s="10" t="str">
        <f>参数调整!$J$36</f>
        <v>新增怪物种类1掉落</v>
      </c>
      <c r="C5384" s="8" t="str">
        <f>材料产出!$BP$2</f>
        <v>新增材料5</v>
      </c>
      <c r="D5384" s="224">
        <f>参数调整!$K$36*怪物掉落配置方案!$D4358</f>
        <v>0</v>
      </c>
    </row>
    <row r="5385" spans="1:4" ht="16.5" hidden="1" x14ac:dyDescent="0.3">
      <c r="A5385" s="10" t="str">
        <f>基本属性!$B$13&amp;"|"&amp;基本属性!$C$13</f>
        <v>100|3</v>
      </c>
      <c r="B5385" s="10" t="str">
        <f>参数调整!$J$36</f>
        <v>新增怪物种类1掉落</v>
      </c>
      <c r="C5385" s="8" t="str">
        <f>材料产出!$BP$2</f>
        <v>新增材料5</v>
      </c>
      <c r="D5385" s="224">
        <f>参数调整!$K$36*怪物掉落配置方案!$D4359</f>
        <v>0</v>
      </c>
    </row>
    <row r="5386" spans="1:4" ht="16.5" hidden="1" x14ac:dyDescent="0.3">
      <c r="A5386" s="10" t="str">
        <f>基本属性!$B$14&amp;"|"&amp;基本属性!$C$14</f>
        <v>105|4</v>
      </c>
      <c r="B5386" s="10" t="str">
        <f>参数调整!$J$36</f>
        <v>新增怪物种类1掉落</v>
      </c>
      <c r="C5386" s="8" t="str">
        <f>材料产出!$BP$2</f>
        <v>新增材料5</v>
      </c>
      <c r="D5386" s="224">
        <f>参数调整!$K$36*怪物掉落配置方案!$D4360</f>
        <v>0</v>
      </c>
    </row>
    <row r="5387" spans="1:4" ht="16.5" hidden="1" x14ac:dyDescent="0.3">
      <c r="A5387" s="10" t="str">
        <f>基本属性!$B$15&amp;"|"&amp;基本属性!$C$15</f>
        <v>110|5</v>
      </c>
      <c r="B5387" s="10" t="str">
        <f>参数调整!$J$36</f>
        <v>新增怪物种类1掉落</v>
      </c>
      <c r="C5387" s="8" t="str">
        <f>材料产出!$BP$2</f>
        <v>新增材料5</v>
      </c>
      <c r="D5387" s="224">
        <f>参数调整!$K$36*怪物掉落配置方案!$D4361</f>
        <v>0</v>
      </c>
    </row>
    <row r="5388" spans="1:4" ht="16.5" hidden="1" x14ac:dyDescent="0.3">
      <c r="A5388" s="10" t="str">
        <f>基本属性!$B$16&amp;"|"&amp;基本属性!$C$16</f>
        <v>120|6</v>
      </c>
      <c r="B5388" s="10" t="str">
        <f>参数调整!$J$36</f>
        <v>新增怪物种类1掉落</v>
      </c>
      <c r="C5388" s="8" t="str">
        <f>材料产出!$BP$2</f>
        <v>新增材料5</v>
      </c>
      <c r="D5388" s="224">
        <f>参数调整!$K$36*怪物掉落配置方案!$D4362</f>
        <v>0</v>
      </c>
    </row>
    <row r="5389" spans="1:4" ht="16.5" hidden="1" x14ac:dyDescent="0.3">
      <c r="A5389" s="10" t="str">
        <f>基本属性!$B$17&amp;"|"&amp;基本属性!$C$17</f>
        <v>135|7</v>
      </c>
      <c r="B5389" s="10" t="str">
        <f>参数调整!$J$36</f>
        <v>新增怪物种类1掉落</v>
      </c>
      <c r="C5389" s="8" t="str">
        <f>材料产出!$BP$2</f>
        <v>新增材料5</v>
      </c>
      <c r="D5389" s="224">
        <f>参数调整!$K$36*怪物掉落配置方案!$D4363</f>
        <v>0</v>
      </c>
    </row>
    <row r="5390" spans="1:4" ht="16.5" hidden="1" x14ac:dyDescent="0.3">
      <c r="A5390" s="10" t="str">
        <f>基本属性!$B$18&amp;"|"&amp;基本属性!$C$18</f>
        <v>155|8</v>
      </c>
      <c r="B5390" s="10" t="str">
        <f>参数调整!$J$36</f>
        <v>新增怪物种类1掉落</v>
      </c>
      <c r="C5390" s="8" t="str">
        <f>材料产出!$BP$2</f>
        <v>新增材料5</v>
      </c>
      <c r="D5390" s="224">
        <f>参数调整!$K$36*怪物掉落配置方案!$D4364</f>
        <v>0</v>
      </c>
    </row>
    <row r="5391" spans="1:4" ht="16.5" hidden="1" x14ac:dyDescent="0.3">
      <c r="A5391" s="10" t="str">
        <f>基本属性!$B$19&amp;"|"&amp;基本属性!$C$19</f>
        <v>190|9</v>
      </c>
      <c r="B5391" s="10" t="str">
        <f>参数调整!$J$36</f>
        <v>新增怪物种类1掉落</v>
      </c>
      <c r="C5391" s="8" t="str">
        <f>材料产出!$BP$2</f>
        <v>新增材料5</v>
      </c>
      <c r="D5391" s="224">
        <f>参数调整!$K$36*怪物掉落配置方案!$D4365</f>
        <v>0</v>
      </c>
    </row>
    <row r="5392" spans="1:4" ht="16.5" hidden="1" x14ac:dyDescent="0.3">
      <c r="A5392" s="10" t="str">
        <f>基本属性!$B$20&amp;"|"&amp;基本属性!$C$20</f>
        <v>200|10</v>
      </c>
      <c r="B5392" s="10" t="str">
        <f>参数调整!$J$36</f>
        <v>新增怪物种类1掉落</v>
      </c>
      <c r="C5392" s="8" t="str">
        <f>材料产出!$BP$2</f>
        <v>新增材料5</v>
      </c>
      <c r="D5392" s="224">
        <f>参数调整!$K$36*怪物掉落配置方案!$D4366</f>
        <v>0</v>
      </c>
    </row>
    <row r="5393" spans="1:4" ht="16.5" hidden="1" x14ac:dyDescent="0.3">
      <c r="A5393" s="10" t="str">
        <f>基本属性!$B$21&amp;"|"&amp;基本属性!$C$21</f>
        <v>200|11</v>
      </c>
      <c r="B5393" s="10" t="str">
        <f>参数调整!$J$36</f>
        <v>新增怪物种类1掉落</v>
      </c>
      <c r="C5393" s="8" t="str">
        <f>材料产出!$BP$2</f>
        <v>新增材料5</v>
      </c>
      <c r="D5393" s="224">
        <f>参数调整!$K$36*怪物掉落配置方案!$D4367</f>
        <v>0</v>
      </c>
    </row>
    <row r="5394" spans="1:4" ht="16.5" hidden="1" x14ac:dyDescent="0.3">
      <c r="A5394" s="10" t="str">
        <f>基本属性!$B$22&amp;"|"&amp;基本属性!$C$22</f>
        <v>210|12</v>
      </c>
      <c r="B5394" s="10" t="str">
        <f>参数调整!$J$36</f>
        <v>新增怪物种类1掉落</v>
      </c>
      <c r="C5394" s="8" t="str">
        <f>材料产出!$BP$2</f>
        <v>新增材料5</v>
      </c>
      <c r="D5394" s="224">
        <f>参数调整!$K$36*怪物掉落配置方案!$D4368</f>
        <v>0</v>
      </c>
    </row>
    <row r="5395" spans="1:4" ht="16.5" hidden="1" x14ac:dyDescent="0.3">
      <c r="A5395" s="10" t="str">
        <f>基本属性!$B$23&amp;"|"&amp;基本属性!$C$23</f>
        <v>210|13</v>
      </c>
      <c r="B5395" s="10" t="str">
        <f>参数调整!$J$36</f>
        <v>新增怪物种类1掉落</v>
      </c>
      <c r="C5395" s="8" t="str">
        <f>材料产出!$BP$2</f>
        <v>新增材料5</v>
      </c>
      <c r="D5395" s="224">
        <f>参数调整!$K$36*怪物掉落配置方案!$D4369</f>
        <v>0</v>
      </c>
    </row>
    <row r="5396" spans="1:4" ht="16.5" hidden="1" x14ac:dyDescent="0.3">
      <c r="A5396" s="10" t="str">
        <f>基本属性!$B$24&amp;"|"&amp;基本属性!$C$24</f>
        <v>220|14</v>
      </c>
      <c r="B5396" s="10" t="str">
        <f>参数调整!$J$36</f>
        <v>新增怪物种类1掉落</v>
      </c>
      <c r="C5396" s="8" t="str">
        <f>材料产出!$BP$2</f>
        <v>新增材料5</v>
      </c>
      <c r="D5396" s="224">
        <f>参数调整!$K$36*怪物掉落配置方案!$D4370</f>
        <v>0</v>
      </c>
    </row>
    <row r="5397" spans="1:4" ht="16.5" hidden="1" x14ac:dyDescent="0.3">
      <c r="A5397" s="10" t="str">
        <f>基本属性!$B$25&amp;"|"&amp;基本属性!$C$25</f>
        <v>220|15</v>
      </c>
      <c r="B5397" s="10" t="str">
        <f>参数调整!$J$36</f>
        <v>新增怪物种类1掉落</v>
      </c>
      <c r="C5397" s="8" t="str">
        <f>材料产出!$BP$2</f>
        <v>新增材料5</v>
      </c>
      <c r="D5397" s="224">
        <f>参数调整!$K$36*怪物掉落配置方案!$D4371</f>
        <v>0</v>
      </c>
    </row>
    <row r="5398" spans="1:4" ht="16.5" hidden="1" x14ac:dyDescent="0.3">
      <c r="A5398" s="10" t="str">
        <f>基本属性!$B$26&amp;"|"&amp;基本属性!$C$26</f>
        <v>230|16</v>
      </c>
      <c r="B5398" s="10" t="str">
        <f>参数调整!$J$36</f>
        <v>新增怪物种类1掉落</v>
      </c>
      <c r="C5398" s="8" t="str">
        <f>材料产出!$BP$2</f>
        <v>新增材料5</v>
      </c>
      <c r="D5398" s="224">
        <f>参数调整!$K$36*怪物掉落配置方案!$D4372</f>
        <v>0</v>
      </c>
    </row>
    <row r="5399" spans="1:4" ht="16.5" hidden="1" x14ac:dyDescent="0.3">
      <c r="A5399" s="10" t="str">
        <f>基本属性!$B$27&amp;"|"&amp;基本属性!$C$27</f>
        <v>230|17</v>
      </c>
      <c r="B5399" s="10" t="str">
        <f>参数调整!$J$36</f>
        <v>新增怪物种类1掉落</v>
      </c>
      <c r="C5399" s="8" t="str">
        <f>材料产出!$BP$2</f>
        <v>新增材料5</v>
      </c>
      <c r="D5399" s="224">
        <f>参数调整!$K$36*怪物掉落配置方案!$D4373</f>
        <v>0</v>
      </c>
    </row>
    <row r="5400" spans="1:4" ht="16.5" hidden="1" x14ac:dyDescent="0.3">
      <c r="A5400" s="10" t="str">
        <f>基本属性!$B$28&amp;"|"&amp;基本属性!$C$28</f>
        <v>240|18</v>
      </c>
      <c r="B5400" s="10" t="str">
        <f>参数调整!$J$36</f>
        <v>新增怪物种类1掉落</v>
      </c>
      <c r="C5400" s="8" t="str">
        <f>材料产出!$BP$2</f>
        <v>新增材料5</v>
      </c>
      <c r="D5400" s="224">
        <f>参数调整!$K$36*怪物掉落配置方案!$D4374</f>
        <v>0</v>
      </c>
    </row>
    <row r="5401" spans="1:4" ht="16.5" hidden="1" x14ac:dyDescent="0.3">
      <c r="A5401" s="10" t="str">
        <f>基本属性!$B$29&amp;"|"&amp;基本属性!$C$29</f>
        <v>240|19</v>
      </c>
      <c r="B5401" s="10" t="str">
        <f>参数调整!$J$36</f>
        <v>新增怪物种类1掉落</v>
      </c>
      <c r="C5401" s="8" t="str">
        <f>材料产出!$BP$2</f>
        <v>新增材料5</v>
      </c>
      <c r="D5401" s="224">
        <f>参数调整!$K$36*怪物掉落配置方案!$D4375</f>
        <v>0</v>
      </c>
    </row>
    <row r="5402" spans="1:4" ht="16.5" hidden="1" x14ac:dyDescent="0.3">
      <c r="A5402" s="10" t="str">
        <f>基本属性!$B$30&amp;"|"&amp;基本属性!$C$30</f>
        <v>250|20</v>
      </c>
      <c r="B5402" s="10" t="str">
        <f>参数调整!$J$36</f>
        <v>新增怪物种类1掉落</v>
      </c>
      <c r="C5402" s="8" t="str">
        <f>材料产出!$BP$2</f>
        <v>新增材料5</v>
      </c>
      <c r="D5402" s="224">
        <f>参数调整!$K$36*怪物掉落配置方案!$D4376</f>
        <v>0</v>
      </c>
    </row>
    <row r="5403" spans="1:4" ht="16.5" hidden="1" x14ac:dyDescent="0.3">
      <c r="A5403" s="10" t="str">
        <f>基本属性!$B$4&amp;"|"&amp;基本属性!$C$4</f>
        <v>35|0</v>
      </c>
      <c r="B5403" s="10" t="str">
        <f>参数调整!$J$36</f>
        <v>新增怪物种类1掉落</v>
      </c>
      <c r="C5403" s="8" t="str">
        <f>材料产出!$BN$2</f>
        <v>新增材料4</v>
      </c>
      <c r="D5403" s="224">
        <f>参数调整!$K$36*怪物掉落配置方案!$D4377</f>
        <v>0</v>
      </c>
    </row>
    <row r="5404" spans="1:4" ht="16.5" hidden="1" x14ac:dyDescent="0.3">
      <c r="A5404" s="10" t="str">
        <f>基本属性!$B$5&amp;"|"&amp;基本属性!$C$5</f>
        <v>40|0</v>
      </c>
      <c r="B5404" s="10" t="str">
        <f>参数调整!$J$36</f>
        <v>新增怪物种类1掉落</v>
      </c>
      <c r="C5404" s="8" t="str">
        <f>材料产出!$BN$2</f>
        <v>新增材料4</v>
      </c>
      <c r="D5404" s="224">
        <f>参数调整!$K$36*怪物掉落配置方案!$D4378</f>
        <v>0</v>
      </c>
    </row>
    <row r="5405" spans="1:4" ht="16.5" hidden="1" x14ac:dyDescent="0.3">
      <c r="A5405" s="10" t="str">
        <f>基本属性!$B$6&amp;"|"&amp;基本属性!$C$6</f>
        <v>50|0</v>
      </c>
      <c r="B5405" s="10" t="str">
        <f>参数调整!$J$36</f>
        <v>新增怪物种类1掉落</v>
      </c>
      <c r="C5405" s="8" t="str">
        <f>材料产出!$BN$2</f>
        <v>新增材料4</v>
      </c>
      <c r="D5405" s="224">
        <f>参数调整!$K$36*怪物掉落配置方案!$D4379</f>
        <v>0</v>
      </c>
    </row>
    <row r="5406" spans="1:4" ht="16.5" hidden="1" x14ac:dyDescent="0.3">
      <c r="A5406" s="10" t="str">
        <f>基本属性!$B$7&amp;"|"&amp;基本属性!$C$7</f>
        <v>60|0</v>
      </c>
      <c r="B5406" s="10" t="str">
        <f>参数调整!$J$36</f>
        <v>新增怪物种类1掉落</v>
      </c>
      <c r="C5406" s="8" t="str">
        <f>材料产出!$BN$2</f>
        <v>新增材料4</v>
      </c>
      <c r="D5406" s="224">
        <f>参数调整!$K$36*怪物掉落配置方案!$D4380</f>
        <v>0</v>
      </c>
    </row>
    <row r="5407" spans="1:4" ht="16.5" hidden="1" x14ac:dyDescent="0.3">
      <c r="A5407" s="10" t="str">
        <f>基本属性!$B$8&amp;"|"&amp;基本属性!$C$8</f>
        <v>65|0</v>
      </c>
      <c r="B5407" s="10" t="str">
        <f>参数调整!$J$36</f>
        <v>新增怪物种类1掉落</v>
      </c>
      <c r="C5407" s="8" t="str">
        <f>材料产出!$BN$2</f>
        <v>新增材料4</v>
      </c>
      <c r="D5407" s="224">
        <f>参数调整!$K$36*怪物掉落配置方案!$D4381</f>
        <v>0</v>
      </c>
    </row>
    <row r="5408" spans="1:4" ht="16.5" hidden="1" x14ac:dyDescent="0.3">
      <c r="A5408" s="10" t="str">
        <f>基本属性!$B$9&amp;"|"&amp;基本属性!$C$9</f>
        <v>70|0</v>
      </c>
      <c r="B5408" s="10" t="str">
        <f>参数调整!$J$36</f>
        <v>新增怪物种类1掉落</v>
      </c>
      <c r="C5408" s="8" t="str">
        <f>材料产出!$BN$2</f>
        <v>新增材料4</v>
      </c>
      <c r="D5408" s="224">
        <f>参数调整!$K$36*怪物掉落配置方案!$D4382</f>
        <v>0</v>
      </c>
    </row>
    <row r="5409" spans="1:4" ht="16.5" hidden="1" x14ac:dyDescent="0.3">
      <c r="A5409" s="10" t="str">
        <f>基本属性!$B$10&amp;"|"&amp;基本属性!$C$10</f>
        <v>75|0</v>
      </c>
      <c r="B5409" s="10" t="str">
        <f>参数调整!$J$36</f>
        <v>新增怪物种类1掉落</v>
      </c>
      <c r="C5409" s="8" t="str">
        <f>材料产出!$BN$2</f>
        <v>新增材料4</v>
      </c>
      <c r="D5409" s="224">
        <f>参数调整!$K$36*怪物掉落配置方案!$D4383</f>
        <v>0</v>
      </c>
    </row>
    <row r="5410" spans="1:4" ht="16.5" hidden="1" x14ac:dyDescent="0.3">
      <c r="A5410" s="10" t="str">
        <f>基本属性!$B$11&amp;"|"&amp;基本属性!$C$11</f>
        <v>80|1</v>
      </c>
      <c r="B5410" s="10" t="str">
        <f>参数调整!$J$36</f>
        <v>新增怪物种类1掉落</v>
      </c>
      <c r="C5410" s="8" t="str">
        <f>材料产出!$BN$2</f>
        <v>新增材料4</v>
      </c>
      <c r="D5410" s="224">
        <f>参数调整!$K$36*怪物掉落配置方案!$D4384</f>
        <v>0</v>
      </c>
    </row>
    <row r="5411" spans="1:4" ht="16.5" hidden="1" x14ac:dyDescent="0.3">
      <c r="A5411" s="10" t="str">
        <f>基本属性!$B$12&amp;"|"&amp;基本属性!$C$12</f>
        <v>90|2</v>
      </c>
      <c r="B5411" s="10" t="str">
        <f>参数调整!$J$36</f>
        <v>新增怪物种类1掉落</v>
      </c>
      <c r="C5411" s="8" t="str">
        <f>材料产出!$BN$2</f>
        <v>新增材料4</v>
      </c>
      <c r="D5411" s="224">
        <f>参数调整!$K$36*怪物掉落配置方案!$D4385</f>
        <v>0</v>
      </c>
    </row>
    <row r="5412" spans="1:4" ht="16.5" hidden="1" x14ac:dyDescent="0.3">
      <c r="A5412" s="10" t="str">
        <f>基本属性!$B$13&amp;"|"&amp;基本属性!$C$13</f>
        <v>100|3</v>
      </c>
      <c r="B5412" s="10" t="str">
        <f>参数调整!$J$36</f>
        <v>新增怪物种类1掉落</v>
      </c>
      <c r="C5412" s="8" t="str">
        <f>材料产出!$BN$2</f>
        <v>新增材料4</v>
      </c>
      <c r="D5412" s="224">
        <f>参数调整!$K$36*怪物掉落配置方案!$D4386</f>
        <v>0</v>
      </c>
    </row>
    <row r="5413" spans="1:4" ht="16.5" hidden="1" x14ac:dyDescent="0.3">
      <c r="A5413" s="10" t="str">
        <f>基本属性!$B$14&amp;"|"&amp;基本属性!$C$14</f>
        <v>105|4</v>
      </c>
      <c r="B5413" s="10" t="str">
        <f>参数调整!$J$36</f>
        <v>新增怪物种类1掉落</v>
      </c>
      <c r="C5413" s="8" t="str">
        <f>材料产出!$BN$2</f>
        <v>新增材料4</v>
      </c>
      <c r="D5413" s="224">
        <f>参数调整!$K$36*怪物掉落配置方案!$D4387</f>
        <v>0</v>
      </c>
    </row>
    <row r="5414" spans="1:4" ht="16.5" hidden="1" x14ac:dyDescent="0.3">
      <c r="A5414" s="10" t="str">
        <f>基本属性!$B$15&amp;"|"&amp;基本属性!$C$15</f>
        <v>110|5</v>
      </c>
      <c r="B5414" s="10" t="str">
        <f>参数调整!$J$36</f>
        <v>新增怪物种类1掉落</v>
      </c>
      <c r="C5414" s="8" t="str">
        <f>材料产出!$BN$2</f>
        <v>新增材料4</v>
      </c>
      <c r="D5414" s="224">
        <f>参数调整!$K$36*怪物掉落配置方案!$D4388</f>
        <v>0</v>
      </c>
    </row>
    <row r="5415" spans="1:4" ht="16.5" hidden="1" x14ac:dyDescent="0.3">
      <c r="A5415" s="10" t="str">
        <f>基本属性!$B$16&amp;"|"&amp;基本属性!$C$16</f>
        <v>120|6</v>
      </c>
      <c r="B5415" s="10" t="str">
        <f>参数调整!$J$36</f>
        <v>新增怪物种类1掉落</v>
      </c>
      <c r="C5415" s="8" t="str">
        <f>材料产出!$BN$2</f>
        <v>新增材料4</v>
      </c>
      <c r="D5415" s="224">
        <f>参数调整!$K$36*怪物掉落配置方案!$D4389</f>
        <v>0</v>
      </c>
    </row>
    <row r="5416" spans="1:4" ht="16.5" hidden="1" x14ac:dyDescent="0.3">
      <c r="A5416" s="10" t="str">
        <f>基本属性!$B$17&amp;"|"&amp;基本属性!$C$17</f>
        <v>135|7</v>
      </c>
      <c r="B5416" s="10" t="str">
        <f>参数调整!$J$36</f>
        <v>新增怪物种类1掉落</v>
      </c>
      <c r="C5416" s="8" t="str">
        <f>材料产出!$BN$2</f>
        <v>新增材料4</v>
      </c>
      <c r="D5416" s="224">
        <f>参数调整!$K$36*怪物掉落配置方案!$D4390</f>
        <v>0</v>
      </c>
    </row>
    <row r="5417" spans="1:4" ht="16.5" hidden="1" x14ac:dyDescent="0.3">
      <c r="A5417" s="10" t="str">
        <f>基本属性!$B$18&amp;"|"&amp;基本属性!$C$18</f>
        <v>155|8</v>
      </c>
      <c r="B5417" s="10" t="str">
        <f>参数调整!$J$36</f>
        <v>新增怪物种类1掉落</v>
      </c>
      <c r="C5417" s="8" t="str">
        <f>材料产出!$BN$2</f>
        <v>新增材料4</v>
      </c>
      <c r="D5417" s="224">
        <f>参数调整!$K$36*怪物掉落配置方案!$D4391</f>
        <v>0</v>
      </c>
    </row>
    <row r="5418" spans="1:4" ht="16.5" hidden="1" x14ac:dyDescent="0.3">
      <c r="A5418" s="10" t="str">
        <f>基本属性!$B$19&amp;"|"&amp;基本属性!$C$19</f>
        <v>190|9</v>
      </c>
      <c r="B5418" s="10" t="str">
        <f>参数调整!$J$36</f>
        <v>新增怪物种类1掉落</v>
      </c>
      <c r="C5418" s="8" t="str">
        <f>材料产出!$BN$2</f>
        <v>新增材料4</v>
      </c>
      <c r="D5418" s="224">
        <f>参数调整!$K$36*怪物掉落配置方案!$D4392</f>
        <v>0</v>
      </c>
    </row>
    <row r="5419" spans="1:4" ht="16.5" hidden="1" x14ac:dyDescent="0.3">
      <c r="A5419" s="10" t="str">
        <f>基本属性!$B$20&amp;"|"&amp;基本属性!$C$20</f>
        <v>200|10</v>
      </c>
      <c r="B5419" s="10" t="str">
        <f>参数调整!$J$36</f>
        <v>新增怪物种类1掉落</v>
      </c>
      <c r="C5419" s="8" t="str">
        <f>材料产出!$BN$2</f>
        <v>新增材料4</v>
      </c>
      <c r="D5419" s="224">
        <f>参数调整!$K$36*怪物掉落配置方案!$D4393</f>
        <v>0</v>
      </c>
    </row>
    <row r="5420" spans="1:4" ht="16.5" hidden="1" x14ac:dyDescent="0.3">
      <c r="A5420" s="10" t="str">
        <f>基本属性!$B$21&amp;"|"&amp;基本属性!$C$21</f>
        <v>200|11</v>
      </c>
      <c r="B5420" s="10" t="str">
        <f>参数调整!$J$36</f>
        <v>新增怪物种类1掉落</v>
      </c>
      <c r="C5420" s="8" t="str">
        <f>材料产出!$BN$2</f>
        <v>新增材料4</v>
      </c>
      <c r="D5420" s="224">
        <f>参数调整!$K$36*怪物掉落配置方案!$D4394</f>
        <v>0</v>
      </c>
    </row>
    <row r="5421" spans="1:4" ht="16.5" hidden="1" x14ac:dyDescent="0.3">
      <c r="A5421" s="10" t="str">
        <f>基本属性!$B$22&amp;"|"&amp;基本属性!$C$22</f>
        <v>210|12</v>
      </c>
      <c r="B5421" s="10" t="str">
        <f>参数调整!$J$36</f>
        <v>新增怪物种类1掉落</v>
      </c>
      <c r="C5421" s="8" t="str">
        <f>材料产出!$BN$2</f>
        <v>新增材料4</v>
      </c>
      <c r="D5421" s="224">
        <f>参数调整!$K$36*怪物掉落配置方案!$D4395</f>
        <v>0</v>
      </c>
    </row>
    <row r="5422" spans="1:4" ht="16.5" hidden="1" x14ac:dyDescent="0.3">
      <c r="A5422" s="10" t="str">
        <f>基本属性!$B$23&amp;"|"&amp;基本属性!$C$23</f>
        <v>210|13</v>
      </c>
      <c r="B5422" s="10" t="str">
        <f>参数调整!$J$36</f>
        <v>新增怪物种类1掉落</v>
      </c>
      <c r="C5422" s="8" t="str">
        <f>材料产出!$BN$2</f>
        <v>新增材料4</v>
      </c>
      <c r="D5422" s="224">
        <f>参数调整!$K$36*怪物掉落配置方案!$D4396</f>
        <v>0</v>
      </c>
    </row>
    <row r="5423" spans="1:4" ht="16.5" hidden="1" x14ac:dyDescent="0.3">
      <c r="A5423" s="10" t="str">
        <f>基本属性!$B$24&amp;"|"&amp;基本属性!$C$24</f>
        <v>220|14</v>
      </c>
      <c r="B5423" s="10" t="str">
        <f>参数调整!$J$36</f>
        <v>新增怪物种类1掉落</v>
      </c>
      <c r="C5423" s="8" t="str">
        <f>材料产出!$BN$2</f>
        <v>新增材料4</v>
      </c>
      <c r="D5423" s="224">
        <f>参数调整!$K$36*怪物掉落配置方案!$D4397</f>
        <v>0</v>
      </c>
    </row>
    <row r="5424" spans="1:4" ht="16.5" hidden="1" x14ac:dyDescent="0.3">
      <c r="A5424" s="10" t="str">
        <f>基本属性!$B$25&amp;"|"&amp;基本属性!$C$25</f>
        <v>220|15</v>
      </c>
      <c r="B5424" s="10" t="str">
        <f>参数调整!$J$36</f>
        <v>新增怪物种类1掉落</v>
      </c>
      <c r="C5424" s="8" t="str">
        <f>材料产出!$BN$2</f>
        <v>新增材料4</v>
      </c>
      <c r="D5424" s="224">
        <f>参数调整!$K$36*怪物掉落配置方案!$D4398</f>
        <v>0</v>
      </c>
    </row>
    <row r="5425" spans="1:4" ht="16.5" hidden="1" x14ac:dyDescent="0.3">
      <c r="A5425" s="10" t="str">
        <f>基本属性!$B$26&amp;"|"&amp;基本属性!$C$26</f>
        <v>230|16</v>
      </c>
      <c r="B5425" s="10" t="str">
        <f>参数调整!$J$36</f>
        <v>新增怪物种类1掉落</v>
      </c>
      <c r="C5425" s="8" t="str">
        <f>材料产出!$BN$2</f>
        <v>新增材料4</v>
      </c>
      <c r="D5425" s="224">
        <f>参数调整!$K$36*怪物掉落配置方案!$D4399</f>
        <v>0</v>
      </c>
    </row>
    <row r="5426" spans="1:4" ht="16.5" hidden="1" x14ac:dyDescent="0.3">
      <c r="A5426" s="10" t="str">
        <f>基本属性!$B$27&amp;"|"&amp;基本属性!$C$27</f>
        <v>230|17</v>
      </c>
      <c r="B5426" s="10" t="str">
        <f>参数调整!$J$36</f>
        <v>新增怪物种类1掉落</v>
      </c>
      <c r="C5426" s="8" t="str">
        <f>材料产出!$BN$2</f>
        <v>新增材料4</v>
      </c>
      <c r="D5426" s="224">
        <f>参数调整!$K$36*怪物掉落配置方案!$D4400</f>
        <v>0</v>
      </c>
    </row>
    <row r="5427" spans="1:4" ht="16.5" hidden="1" x14ac:dyDescent="0.3">
      <c r="A5427" s="10" t="str">
        <f>基本属性!$B$28&amp;"|"&amp;基本属性!$C$28</f>
        <v>240|18</v>
      </c>
      <c r="B5427" s="10" t="str">
        <f>参数调整!$J$36</f>
        <v>新增怪物种类1掉落</v>
      </c>
      <c r="C5427" s="8" t="str">
        <f>材料产出!$BN$2</f>
        <v>新增材料4</v>
      </c>
      <c r="D5427" s="224">
        <f>参数调整!$K$36*怪物掉落配置方案!$D4401</f>
        <v>0</v>
      </c>
    </row>
    <row r="5428" spans="1:4" ht="16.5" hidden="1" x14ac:dyDescent="0.3">
      <c r="A5428" s="10" t="str">
        <f>基本属性!$B$29&amp;"|"&amp;基本属性!$C$29</f>
        <v>240|19</v>
      </c>
      <c r="B5428" s="10" t="str">
        <f>参数调整!$J$36</f>
        <v>新增怪物种类1掉落</v>
      </c>
      <c r="C5428" s="8" t="str">
        <f>材料产出!$BN$2</f>
        <v>新增材料4</v>
      </c>
      <c r="D5428" s="224">
        <f>参数调整!$K$36*怪物掉落配置方案!$D4402</f>
        <v>0</v>
      </c>
    </row>
    <row r="5429" spans="1:4" ht="16.5" hidden="1" x14ac:dyDescent="0.3">
      <c r="A5429" s="10" t="str">
        <f>基本属性!$B$30&amp;"|"&amp;基本属性!$C$30</f>
        <v>250|20</v>
      </c>
      <c r="B5429" s="10" t="str">
        <f>参数调整!$J$36</f>
        <v>新增怪物种类1掉落</v>
      </c>
      <c r="C5429" s="8" t="str">
        <f>材料产出!$BN$2</f>
        <v>新增材料4</v>
      </c>
      <c r="D5429" s="224">
        <f>参数调整!$K$36*怪物掉落配置方案!$D4403</f>
        <v>0</v>
      </c>
    </row>
    <row r="5430" spans="1:4" ht="16.5" hidden="1" x14ac:dyDescent="0.3">
      <c r="A5430" s="10" t="str">
        <f>基本属性!$B$4&amp;"|"&amp;基本属性!$C$4</f>
        <v>35|0</v>
      </c>
      <c r="B5430" s="10" t="str">
        <f>参数调整!$J$36</f>
        <v>新增怪物种类1掉落</v>
      </c>
      <c r="C5430" s="8" t="str">
        <f>材料产出!$BL$2</f>
        <v>新增材料3</v>
      </c>
      <c r="D5430" s="224">
        <f>参数调整!$K$36*怪物掉落配置方案!$D4404</f>
        <v>0</v>
      </c>
    </row>
    <row r="5431" spans="1:4" ht="16.5" hidden="1" x14ac:dyDescent="0.3">
      <c r="A5431" s="10" t="str">
        <f>基本属性!$B$5&amp;"|"&amp;基本属性!$C$5</f>
        <v>40|0</v>
      </c>
      <c r="B5431" s="10" t="str">
        <f>参数调整!$J$36</f>
        <v>新增怪物种类1掉落</v>
      </c>
      <c r="C5431" s="8" t="str">
        <f>材料产出!$BL$2</f>
        <v>新增材料3</v>
      </c>
      <c r="D5431" s="224">
        <f>参数调整!$K$36*怪物掉落配置方案!$D4405</f>
        <v>0</v>
      </c>
    </row>
    <row r="5432" spans="1:4" ht="16.5" hidden="1" x14ac:dyDescent="0.3">
      <c r="A5432" s="10" t="str">
        <f>基本属性!$B$6&amp;"|"&amp;基本属性!$C$6</f>
        <v>50|0</v>
      </c>
      <c r="B5432" s="10" t="str">
        <f>参数调整!$J$36</f>
        <v>新增怪物种类1掉落</v>
      </c>
      <c r="C5432" s="8" t="str">
        <f>材料产出!$BL$2</f>
        <v>新增材料3</v>
      </c>
      <c r="D5432" s="224">
        <f>参数调整!$K$36*怪物掉落配置方案!$D4406</f>
        <v>0</v>
      </c>
    </row>
    <row r="5433" spans="1:4" ht="16.5" hidden="1" x14ac:dyDescent="0.3">
      <c r="A5433" s="10" t="str">
        <f>基本属性!$B$7&amp;"|"&amp;基本属性!$C$7</f>
        <v>60|0</v>
      </c>
      <c r="B5433" s="10" t="str">
        <f>参数调整!$J$36</f>
        <v>新增怪物种类1掉落</v>
      </c>
      <c r="C5433" s="8" t="str">
        <f>材料产出!$BL$2</f>
        <v>新增材料3</v>
      </c>
      <c r="D5433" s="224">
        <f>参数调整!$K$36*怪物掉落配置方案!$D4407</f>
        <v>0</v>
      </c>
    </row>
    <row r="5434" spans="1:4" ht="16.5" hidden="1" x14ac:dyDescent="0.3">
      <c r="A5434" s="10" t="str">
        <f>基本属性!$B$8&amp;"|"&amp;基本属性!$C$8</f>
        <v>65|0</v>
      </c>
      <c r="B5434" s="10" t="str">
        <f>参数调整!$J$36</f>
        <v>新增怪物种类1掉落</v>
      </c>
      <c r="C5434" s="8" t="str">
        <f>材料产出!$BL$2</f>
        <v>新增材料3</v>
      </c>
      <c r="D5434" s="224">
        <f>参数调整!$K$36*怪物掉落配置方案!$D4408</f>
        <v>0</v>
      </c>
    </row>
    <row r="5435" spans="1:4" ht="16.5" hidden="1" x14ac:dyDescent="0.3">
      <c r="A5435" s="10" t="str">
        <f>基本属性!$B$9&amp;"|"&amp;基本属性!$C$9</f>
        <v>70|0</v>
      </c>
      <c r="B5435" s="10" t="str">
        <f>参数调整!$J$36</f>
        <v>新增怪物种类1掉落</v>
      </c>
      <c r="C5435" s="8" t="str">
        <f>材料产出!$BL$2</f>
        <v>新增材料3</v>
      </c>
      <c r="D5435" s="224">
        <f>参数调整!$K$36*怪物掉落配置方案!$D4409</f>
        <v>0</v>
      </c>
    </row>
    <row r="5436" spans="1:4" ht="16.5" hidden="1" x14ac:dyDescent="0.3">
      <c r="A5436" s="10" t="str">
        <f>基本属性!$B$10&amp;"|"&amp;基本属性!$C$10</f>
        <v>75|0</v>
      </c>
      <c r="B5436" s="10" t="str">
        <f>参数调整!$J$36</f>
        <v>新增怪物种类1掉落</v>
      </c>
      <c r="C5436" s="8" t="str">
        <f>材料产出!$BL$2</f>
        <v>新增材料3</v>
      </c>
      <c r="D5436" s="224">
        <f>参数调整!$K$36*怪物掉落配置方案!$D4410</f>
        <v>0</v>
      </c>
    </row>
    <row r="5437" spans="1:4" ht="16.5" hidden="1" x14ac:dyDescent="0.3">
      <c r="A5437" s="10" t="str">
        <f>基本属性!$B$11&amp;"|"&amp;基本属性!$C$11</f>
        <v>80|1</v>
      </c>
      <c r="B5437" s="10" t="str">
        <f>参数调整!$J$36</f>
        <v>新增怪物种类1掉落</v>
      </c>
      <c r="C5437" s="8" t="str">
        <f>材料产出!$BL$2</f>
        <v>新增材料3</v>
      </c>
      <c r="D5437" s="224">
        <f>参数调整!$K$36*怪物掉落配置方案!$D4411</f>
        <v>0</v>
      </c>
    </row>
    <row r="5438" spans="1:4" ht="16.5" hidden="1" x14ac:dyDescent="0.3">
      <c r="A5438" s="10" t="str">
        <f>基本属性!$B$12&amp;"|"&amp;基本属性!$C$12</f>
        <v>90|2</v>
      </c>
      <c r="B5438" s="10" t="str">
        <f>参数调整!$J$36</f>
        <v>新增怪物种类1掉落</v>
      </c>
      <c r="C5438" s="8" t="str">
        <f>材料产出!$BL$2</f>
        <v>新增材料3</v>
      </c>
      <c r="D5438" s="224">
        <f>参数调整!$K$36*怪物掉落配置方案!$D4412</f>
        <v>0</v>
      </c>
    </row>
    <row r="5439" spans="1:4" ht="16.5" hidden="1" x14ac:dyDescent="0.3">
      <c r="A5439" s="10" t="str">
        <f>基本属性!$B$13&amp;"|"&amp;基本属性!$C$13</f>
        <v>100|3</v>
      </c>
      <c r="B5439" s="10" t="str">
        <f>参数调整!$J$36</f>
        <v>新增怪物种类1掉落</v>
      </c>
      <c r="C5439" s="8" t="str">
        <f>材料产出!$BL$2</f>
        <v>新增材料3</v>
      </c>
      <c r="D5439" s="224">
        <f>参数调整!$K$36*怪物掉落配置方案!$D4413</f>
        <v>0</v>
      </c>
    </row>
    <row r="5440" spans="1:4" ht="16.5" hidden="1" x14ac:dyDescent="0.3">
      <c r="A5440" s="10" t="str">
        <f>基本属性!$B$14&amp;"|"&amp;基本属性!$C$14</f>
        <v>105|4</v>
      </c>
      <c r="B5440" s="10" t="str">
        <f>参数调整!$J$36</f>
        <v>新增怪物种类1掉落</v>
      </c>
      <c r="C5440" s="8" t="str">
        <f>材料产出!$BL$2</f>
        <v>新增材料3</v>
      </c>
      <c r="D5440" s="224">
        <f>参数调整!$K$36*怪物掉落配置方案!$D4414</f>
        <v>0</v>
      </c>
    </row>
    <row r="5441" spans="1:4" ht="16.5" hidden="1" x14ac:dyDescent="0.3">
      <c r="A5441" s="10" t="str">
        <f>基本属性!$B$15&amp;"|"&amp;基本属性!$C$15</f>
        <v>110|5</v>
      </c>
      <c r="B5441" s="10" t="str">
        <f>参数调整!$J$36</f>
        <v>新增怪物种类1掉落</v>
      </c>
      <c r="C5441" s="8" t="str">
        <f>材料产出!$BL$2</f>
        <v>新增材料3</v>
      </c>
      <c r="D5441" s="224">
        <f>参数调整!$K$36*怪物掉落配置方案!$D4415</f>
        <v>0</v>
      </c>
    </row>
    <row r="5442" spans="1:4" ht="16.5" hidden="1" x14ac:dyDescent="0.3">
      <c r="A5442" s="10" t="str">
        <f>基本属性!$B$16&amp;"|"&amp;基本属性!$C$16</f>
        <v>120|6</v>
      </c>
      <c r="B5442" s="10" t="str">
        <f>参数调整!$J$36</f>
        <v>新增怪物种类1掉落</v>
      </c>
      <c r="C5442" s="8" t="str">
        <f>材料产出!$BL$2</f>
        <v>新增材料3</v>
      </c>
      <c r="D5442" s="224">
        <f>参数调整!$K$36*怪物掉落配置方案!$D4416</f>
        <v>0</v>
      </c>
    </row>
    <row r="5443" spans="1:4" ht="16.5" hidden="1" x14ac:dyDescent="0.3">
      <c r="A5443" s="10" t="str">
        <f>基本属性!$B$17&amp;"|"&amp;基本属性!$C$17</f>
        <v>135|7</v>
      </c>
      <c r="B5443" s="10" t="str">
        <f>参数调整!$J$36</f>
        <v>新增怪物种类1掉落</v>
      </c>
      <c r="C5443" s="8" t="str">
        <f>材料产出!$BL$2</f>
        <v>新增材料3</v>
      </c>
      <c r="D5443" s="224">
        <f>参数调整!$K$36*怪物掉落配置方案!$D4417</f>
        <v>0</v>
      </c>
    </row>
    <row r="5444" spans="1:4" ht="16.5" hidden="1" x14ac:dyDescent="0.3">
      <c r="A5444" s="10" t="str">
        <f>基本属性!$B$18&amp;"|"&amp;基本属性!$C$18</f>
        <v>155|8</v>
      </c>
      <c r="B5444" s="10" t="str">
        <f>参数调整!$J$36</f>
        <v>新增怪物种类1掉落</v>
      </c>
      <c r="C5444" s="8" t="str">
        <f>材料产出!$BL$2</f>
        <v>新增材料3</v>
      </c>
      <c r="D5444" s="224">
        <f>参数调整!$K$36*怪物掉落配置方案!$D4418</f>
        <v>0</v>
      </c>
    </row>
    <row r="5445" spans="1:4" ht="16.5" hidden="1" x14ac:dyDescent="0.3">
      <c r="A5445" s="10" t="str">
        <f>基本属性!$B$19&amp;"|"&amp;基本属性!$C$19</f>
        <v>190|9</v>
      </c>
      <c r="B5445" s="10" t="str">
        <f>参数调整!$J$36</f>
        <v>新增怪物种类1掉落</v>
      </c>
      <c r="C5445" s="8" t="str">
        <f>材料产出!$BL$2</f>
        <v>新增材料3</v>
      </c>
      <c r="D5445" s="224">
        <f>参数调整!$K$36*怪物掉落配置方案!$D4419</f>
        <v>0</v>
      </c>
    </row>
    <row r="5446" spans="1:4" ht="16.5" hidden="1" x14ac:dyDescent="0.3">
      <c r="A5446" s="10" t="str">
        <f>基本属性!$B$20&amp;"|"&amp;基本属性!$C$20</f>
        <v>200|10</v>
      </c>
      <c r="B5446" s="10" t="str">
        <f>参数调整!$J$36</f>
        <v>新增怪物种类1掉落</v>
      </c>
      <c r="C5446" s="8" t="str">
        <f>材料产出!$BL$2</f>
        <v>新增材料3</v>
      </c>
      <c r="D5446" s="224">
        <f>参数调整!$K$36*怪物掉落配置方案!$D4420</f>
        <v>0</v>
      </c>
    </row>
    <row r="5447" spans="1:4" ht="16.5" hidden="1" x14ac:dyDescent="0.3">
      <c r="A5447" s="10" t="str">
        <f>基本属性!$B$21&amp;"|"&amp;基本属性!$C$21</f>
        <v>200|11</v>
      </c>
      <c r="B5447" s="10" t="str">
        <f>参数调整!$J$36</f>
        <v>新增怪物种类1掉落</v>
      </c>
      <c r="C5447" s="8" t="str">
        <f>材料产出!$BL$2</f>
        <v>新增材料3</v>
      </c>
      <c r="D5447" s="224">
        <f>参数调整!$K$36*怪物掉落配置方案!$D4421</f>
        <v>0</v>
      </c>
    </row>
    <row r="5448" spans="1:4" ht="16.5" hidden="1" x14ac:dyDescent="0.3">
      <c r="A5448" s="10" t="str">
        <f>基本属性!$B$22&amp;"|"&amp;基本属性!$C$22</f>
        <v>210|12</v>
      </c>
      <c r="B5448" s="10" t="str">
        <f>参数调整!$J$36</f>
        <v>新增怪物种类1掉落</v>
      </c>
      <c r="C5448" s="8" t="str">
        <f>材料产出!$BL$2</f>
        <v>新增材料3</v>
      </c>
      <c r="D5448" s="224">
        <f>参数调整!$K$36*怪物掉落配置方案!$D4422</f>
        <v>0</v>
      </c>
    </row>
    <row r="5449" spans="1:4" ht="16.5" hidden="1" x14ac:dyDescent="0.3">
      <c r="A5449" s="10" t="str">
        <f>基本属性!$B$23&amp;"|"&amp;基本属性!$C$23</f>
        <v>210|13</v>
      </c>
      <c r="B5449" s="10" t="str">
        <f>参数调整!$J$36</f>
        <v>新增怪物种类1掉落</v>
      </c>
      <c r="C5449" s="8" t="str">
        <f>材料产出!$BL$2</f>
        <v>新增材料3</v>
      </c>
      <c r="D5449" s="224">
        <f>参数调整!$K$36*怪物掉落配置方案!$D4423</f>
        <v>0</v>
      </c>
    </row>
    <row r="5450" spans="1:4" ht="16.5" hidden="1" x14ac:dyDescent="0.3">
      <c r="A5450" s="10" t="str">
        <f>基本属性!$B$24&amp;"|"&amp;基本属性!$C$24</f>
        <v>220|14</v>
      </c>
      <c r="B5450" s="10" t="str">
        <f>参数调整!$J$36</f>
        <v>新增怪物种类1掉落</v>
      </c>
      <c r="C5450" s="8" t="str">
        <f>材料产出!$BL$2</f>
        <v>新增材料3</v>
      </c>
      <c r="D5450" s="224">
        <f>参数调整!$K$36*怪物掉落配置方案!$D4424</f>
        <v>0</v>
      </c>
    </row>
    <row r="5451" spans="1:4" ht="16.5" hidden="1" x14ac:dyDescent="0.3">
      <c r="A5451" s="10" t="str">
        <f>基本属性!$B$25&amp;"|"&amp;基本属性!$C$25</f>
        <v>220|15</v>
      </c>
      <c r="B5451" s="10" t="str">
        <f>参数调整!$J$36</f>
        <v>新增怪物种类1掉落</v>
      </c>
      <c r="C5451" s="8" t="str">
        <f>材料产出!$BL$2</f>
        <v>新增材料3</v>
      </c>
      <c r="D5451" s="224">
        <f>参数调整!$K$36*怪物掉落配置方案!$D4425</f>
        <v>0</v>
      </c>
    </row>
    <row r="5452" spans="1:4" ht="16.5" hidden="1" x14ac:dyDescent="0.3">
      <c r="A5452" s="10" t="str">
        <f>基本属性!$B$26&amp;"|"&amp;基本属性!$C$26</f>
        <v>230|16</v>
      </c>
      <c r="B5452" s="10" t="str">
        <f>参数调整!$J$36</f>
        <v>新增怪物种类1掉落</v>
      </c>
      <c r="C5452" s="8" t="str">
        <f>材料产出!$BL$2</f>
        <v>新增材料3</v>
      </c>
      <c r="D5452" s="224">
        <f>参数调整!$K$36*怪物掉落配置方案!$D4426</f>
        <v>0</v>
      </c>
    </row>
    <row r="5453" spans="1:4" ht="16.5" hidden="1" x14ac:dyDescent="0.3">
      <c r="A5453" s="10" t="str">
        <f>基本属性!$B$27&amp;"|"&amp;基本属性!$C$27</f>
        <v>230|17</v>
      </c>
      <c r="B5453" s="10" t="str">
        <f>参数调整!$J$36</f>
        <v>新增怪物种类1掉落</v>
      </c>
      <c r="C5453" s="8" t="str">
        <f>材料产出!$BL$2</f>
        <v>新增材料3</v>
      </c>
      <c r="D5453" s="224">
        <f>参数调整!$K$36*怪物掉落配置方案!$D4427</f>
        <v>0</v>
      </c>
    </row>
    <row r="5454" spans="1:4" ht="16.5" hidden="1" x14ac:dyDescent="0.3">
      <c r="A5454" s="10" t="str">
        <f>基本属性!$B$28&amp;"|"&amp;基本属性!$C$28</f>
        <v>240|18</v>
      </c>
      <c r="B5454" s="10" t="str">
        <f>参数调整!$J$36</f>
        <v>新增怪物种类1掉落</v>
      </c>
      <c r="C5454" s="8" t="str">
        <f>材料产出!$BL$2</f>
        <v>新增材料3</v>
      </c>
      <c r="D5454" s="224">
        <f>参数调整!$K$36*怪物掉落配置方案!$D4428</f>
        <v>0</v>
      </c>
    </row>
    <row r="5455" spans="1:4" ht="16.5" hidden="1" x14ac:dyDescent="0.3">
      <c r="A5455" s="10" t="str">
        <f>基本属性!$B$29&amp;"|"&amp;基本属性!$C$29</f>
        <v>240|19</v>
      </c>
      <c r="B5455" s="10" t="str">
        <f>参数调整!$J$36</f>
        <v>新增怪物种类1掉落</v>
      </c>
      <c r="C5455" s="8" t="str">
        <f>材料产出!$BL$2</f>
        <v>新增材料3</v>
      </c>
      <c r="D5455" s="224">
        <f>参数调整!$K$36*怪物掉落配置方案!$D4429</f>
        <v>0</v>
      </c>
    </row>
    <row r="5456" spans="1:4" ht="16.5" hidden="1" x14ac:dyDescent="0.3">
      <c r="A5456" s="10" t="str">
        <f>基本属性!$B$30&amp;"|"&amp;基本属性!$C$30</f>
        <v>250|20</v>
      </c>
      <c r="B5456" s="10" t="str">
        <f>参数调整!$J$36</f>
        <v>新增怪物种类1掉落</v>
      </c>
      <c r="C5456" s="8" t="str">
        <f>材料产出!$BL$2</f>
        <v>新增材料3</v>
      </c>
      <c r="D5456" s="224">
        <f>参数调整!$K$36*怪物掉落配置方案!$D4430</f>
        <v>0</v>
      </c>
    </row>
    <row r="5457" spans="1:4" ht="16.5" hidden="1" x14ac:dyDescent="0.3">
      <c r="A5457" s="10" t="str">
        <f>基本属性!$B$4&amp;"|"&amp;基本属性!$C$4</f>
        <v>35|0</v>
      </c>
      <c r="B5457" s="10" t="str">
        <f>参数调整!$J$36</f>
        <v>新增怪物种类1掉落</v>
      </c>
      <c r="C5457" s="8" t="str">
        <f>材料产出!$BJ$2</f>
        <v>新增材料2</v>
      </c>
      <c r="D5457" s="224">
        <f>参数调整!$K$36*怪物掉落配置方案!$D4431</f>
        <v>0</v>
      </c>
    </row>
    <row r="5458" spans="1:4" ht="16.5" hidden="1" x14ac:dyDescent="0.3">
      <c r="A5458" s="10" t="str">
        <f>基本属性!$B$5&amp;"|"&amp;基本属性!$C$5</f>
        <v>40|0</v>
      </c>
      <c r="B5458" s="10" t="str">
        <f>参数调整!$J$36</f>
        <v>新增怪物种类1掉落</v>
      </c>
      <c r="C5458" s="8" t="str">
        <f>材料产出!$BJ$2</f>
        <v>新增材料2</v>
      </c>
      <c r="D5458" s="224">
        <f>参数调整!$K$36*怪物掉落配置方案!$D4432</f>
        <v>0</v>
      </c>
    </row>
    <row r="5459" spans="1:4" ht="16.5" hidden="1" x14ac:dyDescent="0.3">
      <c r="A5459" s="10" t="str">
        <f>基本属性!$B$6&amp;"|"&amp;基本属性!$C$6</f>
        <v>50|0</v>
      </c>
      <c r="B5459" s="10" t="str">
        <f>参数调整!$J$36</f>
        <v>新增怪物种类1掉落</v>
      </c>
      <c r="C5459" s="8" t="str">
        <f>材料产出!$BJ$2</f>
        <v>新增材料2</v>
      </c>
      <c r="D5459" s="224">
        <f>参数调整!$K$36*怪物掉落配置方案!$D4433</f>
        <v>0</v>
      </c>
    </row>
    <row r="5460" spans="1:4" ht="16.5" hidden="1" x14ac:dyDescent="0.3">
      <c r="A5460" s="10" t="str">
        <f>基本属性!$B$7&amp;"|"&amp;基本属性!$C$7</f>
        <v>60|0</v>
      </c>
      <c r="B5460" s="10" t="str">
        <f>参数调整!$J$36</f>
        <v>新增怪物种类1掉落</v>
      </c>
      <c r="C5460" s="8" t="str">
        <f>材料产出!$BJ$2</f>
        <v>新增材料2</v>
      </c>
      <c r="D5460" s="224">
        <f>参数调整!$K$36*怪物掉落配置方案!$D4434</f>
        <v>0</v>
      </c>
    </row>
    <row r="5461" spans="1:4" ht="16.5" hidden="1" x14ac:dyDescent="0.3">
      <c r="A5461" s="10" t="str">
        <f>基本属性!$B$8&amp;"|"&amp;基本属性!$C$8</f>
        <v>65|0</v>
      </c>
      <c r="B5461" s="10" t="str">
        <f>参数调整!$J$36</f>
        <v>新增怪物种类1掉落</v>
      </c>
      <c r="C5461" s="8" t="str">
        <f>材料产出!$BJ$2</f>
        <v>新增材料2</v>
      </c>
      <c r="D5461" s="224">
        <f>参数调整!$K$36*怪物掉落配置方案!$D4435</f>
        <v>0</v>
      </c>
    </row>
    <row r="5462" spans="1:4" ht="16.5" hidden="1" x14ac:dyDescent="0.3">
      <c r="A5462" s="10" t="str">
        <f>基本属性!$B$9&amp;"|"&amp;基本属性!$C$9</f>
        <v>70|0</v>
      </c>
      <c r="B5462" s="10" t="str">
        <f>参数调整!$J$36</f>
        <v>新增怪物种类1掉落</v>
      </c>
      <c r="C5462" s="8" t="str">
        <f>材料产出!$BJ$2</f>
        <v>新增材料2</v>
      </c>
      <c r="D5462" s="224">
        <f>参数调整!$K$36*怪物掉落配置方案!$D4436</f>
        <v>0</v>
      </c>
    </row>
    <row r="5463" spans="1:4" ht="16.5" hidden="1" x14ac:dyDescent="0.3">
      <c r="A5463" s="10" t="str">
        <f>基本属性!$B$10&amp;"|"&amp;基本属性!$C$10</f>
        <v>75|0</v>
      </c>
      <c r="B5463" s="10" t="str">
        <f>参数调整!$J$36</f>
        <v>新增怪物种类1掉落</v>
      </c>
      <c r="C5463" s="8" t="str">
        <f>材料产出!$BJ$2</f>
        <v>新增材料2</v>
      </c>
      <c r="D5463" s="224">
        <f>参数调整!$K$36*怪物掉落配置方案!$D4437</f>
        <v>0</v>
      </c>
    </row>
    <row r="5464" spans="1:4" ht="16.5" hidden="1" x14ac:dyDescent="0.3">
      <c r="A5464" s="10" t="str">
        <f>基本属性!$B$11&amp;"|"&amp;基本属性!$C$11</f>
        <v>80|1</v>
      </c>
      <c r="B5464" s="10" t="str">
        <f>参数调整!$J$36</f>
        <v>新增怪物种类1掉落</v>
      </c>
      <c r="C5464" s="8" t="str">
        <f>材料产出!$BJ$2</f>
        <v>新增材料2</v>
      </c>
      <c r="D5464" s="224">
        <f>参数调整!$K$36*怪物掉落配置方案!$D4438</f>
        <v>0</v>
      </c>
    </row>
    <row r="5465" spans="1:4" ht="16.5" hidden="1" x14ac:dyDescent="0.3">
      <c r="A5465" s="10" t="str">
        <f>基本属性!$B$12&amp;"|"&amp;基本属性!$C$12</f>
        <v>90|2</v>
      </c>
      <c r="B5465" s="10" t="str">
        <f>参数调整!$J$36</f>
        <v>新增怪物种类1掉落</v>
      </c>
      <c r="C5465" s="8" t="str">
        <f>材料产出!$BJ$2</f>
        <v>新增材料2</v>
      </c>
      <c r="D5465" s="224">
        <f>参数调整!$K$36*怪物掉落配置方案!$D4439</f>
        <v>0</v>
      </c>
    </row>
    <row r="5466" spans="1:4" ht="16.5" hidden="1" x14ac:dyDescent="0.3">
      <c r="A5466" s="10" t="str">
        <f>基本属性!$B$13&amp;"|"&amp;基本属性!$C$13</f>
        <v>100|3</v>
      </c>
      <c r="B5466" s="10" t="str">
        <f>参数调整!$J$36</f>
        <v>新增怪物种类1掉落</v>
      </c>
      <c r="C5466" s="8" t="str">
        <f>材料产出!$BJ$2</f>
        <v>新增材料2</v>
      </c>
      <c r="D5466" s="224">
        <f>参数调整!$K$36*怪物掉落配置方案!$D4440</f>
        <v>0</v>
      </c>
    </row>
    <row r="5467" spans="1:4" ht="16.5" hidden="1" x14ac:dyDescent="0.3">
      <c r="A5467" s="10" t="str">
        <f>基本属性!$B$14&amp;"|"&amp;基本属性!$C$14</f>
        <v>105|4</v>
      </c>
      <c r="B5467" s="10" t="str">
        <f>参数调整!$J$36</f>
        <v>新增怪物种类1掉落</v>
      </c>
      <c r="C5467" s="8" t="str">
        <f>材料产出!$BJ$2</f>
        <v>新增材料2</v>
      </c>
      <c r="D5467" s="224">
        <f>参数调整!$K$36*怪物掉落配置方案!$D4441</f>
        <v>0</v>
      </c>
    </row>
    <row r="5468" spans="1:4" ht="16.5" hidden="1" x14ac:dyDescent="0.3">
      <c r="A5468" s="10" t="str">
        <f>基本属性!$B$15&amp;"|"&amp;基本属性!$C$15</f>
        <v>110|5</v>
      </c>
      <c r="B5468" s="10" t="str">
        <f>参数调整!$J$36</f>
        <v>新增怪物种类1掉落</v>
      </c>
      <c r="C5468" s="8" t="str">
        <f>材料产出!$BJ$2</f>
        <v>新增材料2</v>
      </c>
      <c r="D5468" s="224">
        <f>参数调整!$K$36*怪物掉落配置方案!$D4442</f>
        <v>0</v>
      </c>
    </row>
    <row r="5469" spans="1:4" ht="16.5" hidden="1" x14ac:dyDescent="0.3">
      <c r="A5469" s="10" t="str">
        <f>基本属性!$B$16&amp;"|"&amp;基本属性!$C$16</f>
        <v>120|6</v>
      </c>
      <c r="B5469" s="10" t="str">
        <f>参数调整!$J$36</f>
        <v>新增怪物种类1掉落</v>
      </c>
      <c r="C5469" s="8" t="str">
        <f>材料产出!$BJ$2</f>
        <v>新增材料2</v>
      </c>
      <c r="D5469" s="224">
        <f>参数调整!$K$36*怪物掉落配置方案!$D4443</f>
        <v>0</v>
      </c>
    </row>
    <row r="5470" spans="1:4" ht="16.5" hidden="1" x14ac:dyDescent="0.3">
      <c r="A5470" s="10" t="str">
        <f>基本属性!$B$17&amp;"|"&amp;基本属性!$C$17</f>
        <v>135|7</v>
      </c>
      <c r="B5470" s="10" t="str">
        <f>参数调整!$J$36</f>
        <v>新增怪物种类1掉落</v>
      </c>
      <c r="C5470" s="8" t="str">
        <f>材料产出!$BJ$2</f>
        <v>新增材料2</v>
      </c>
      <c r="D5470" s="224">
        <f>参数调整!$K$36*怪物掉落配置方案!$D4444</f>
        <v>0</v>
      </c>
    </row>
    <row r="5471" spans="1:4" ht="16.5" hidden="1" x14ac:dyDescent="0.3">
      <c r="A5471" s="10" t="str">
        <f>基本属性!$B$18&amp;"|"&amp;基本属性!$C$18</f>
        <v>155|8</v>
      </c>
      <c r="B5471" s="10" t="str">
        <f>参数调整!$J$36</f>
        <v>新增怪物种类1掉落</v>
      </c>
      <c r="C5471" s="8" t="str">
        <f>材料产出!$BJ$2</f>
        <v>新增材料2</v>
      </c>
      <c r="D5471" s="224">
        <f>参数调整!$K$36*怪物掉落配置方案!$D4445</f>
        <v>0</v>
      </c>
    </row>
    <row r="5472" spans="1:4" ht="16.5" hidden="1" x14ac:dyDescent="0.3">
      <c r="A5472" s="10" t="str">
        <f>基本属性!$B$19&amp;"|"&amp;基本属性!$C$19</f>
        <v>190|9</v>
      </c>
      <c r="B5472" s="10" t="str">
        <f>参数调整!$J$36</f>
        <v>新增怪物种类1掉落</v>
      </c>
      <c r="C5472" s="8" t="str">
        <f>材料产出!$BJ$2</f>
        <v>新增材料2</v>
      </c>
      <c r="D5472" s="224">
        <f>参数调整!$K$36*怪物掉落配置方案!$D4446</f>
        <v>0</v>
      </c>
    </row>
    <row r="5473" spans="1:4" ht="16.5" hidden="1" x14ac:dyDescent="0.3">
      <c r="A5473" s="10" t="str">
        <f>基本属性!$B$20&amp;"|"&amp;基本属性!$C$20</f>
        <v>200|10</v>
      </c>
      <c r="B5473" s="10" t="str">
        <f>参数调整!$J$36</f>
        <v>新增怪物种类1掉落</v>
      </c>
      <c r="C5473" s="8" t="str">
        <f>材料产出!$BJ$2</f>
        <v>新增材料2</v>
      </c>
      <c r="D5473" s="224">
        <f>参数调整!$K$36*怪物掉落配置方案!$D4447</f>
        <v>0</v>
      </c>
    </row>
    <row r="5474" spans="1:4" ht="16.5" hidden="1" x14ac:dyDescent="0.3">
      <c r="A5474" s="10" t="str">
        <f>基本属性!$B$21&amp;"|"&amp;基本属性!$C$21</f>
        <v>200|11</v>
      </c>
      <c r="B5474" s="10" t="str">
        <f>参数调整!$J$36</f>
        <v>新增怪物种类1掉落</v>
      </c>
      <c r="C5474" s="8" t="str">
        <f>材料产出!$BJ$2</f>
        <v>新增材料2</v>
      </c>
      <c r="D5474" s="224">
        <f>参数调整!$K$36*怪物掉落配置方案!$D4448</f>
        <v>0</v>
      </c>
    </row>
    <row r="5475" spans="1:4" ht="16.5" hidden="1" x14ac:dyDescent="0.3">
      <c r="A5475" s="10" t="str">
        <f>基本属性!$B$22&amp;"|"&amp;基本属性!$C$22</f>
        <v>210|12</v>
      </c>
      <c r="B5475" s="10" t="str">
        <f>参数调整!$J$36</f>
        <v>新增怪物种类1掉落</v>
      </c>
      <c r="C5475" s="8" t="str">
        <f>材料产出!$BJ$2</f>
        <v>新增材料2</v>
      </c>
      <c r="D5475" s="224">
        <f>参数调整!$K$36*怪物掉落配置方案!$D4449</f>
        <v>0</v>
      </c>
    </row>
    <row r="5476" spans="1:4" ht="16.5" hidden="1" x14ac:dyDescent="0.3">
      <c r="A5476" s="10" t="str">
        <f>基本属性!$B$23&amp;"|"&amp;基本属性!$C$23</f>
        <v>210|13</v>
      </c>
      <c r="B5476" s="10" t="str">
        <f>参数调整!$J$36</f>
        <v>新增怪物种类1掉落</v>
      </c>
      <c r="C5476" s="8" t="str">
        <f>材料产出!$BJ$2</f>
        <v>新增材料2</v>
      </c>
      <c r="D5476" s="224">
        <f>参数调整!$K$36*怪物掉落配置方案!$D4450</f>
        <v>0</v>
      </c>
    </row>
    <row r="5477" spans="1:4" ht="16.5" hidden="1" x14ac:dyDescent="0.3">
      <c r="A5477" s="10" t="str">
        <f>基本属性!$B$24&amp;"|"&amp;基本属性!$C$24</f>
        <v>220|14</v>
      </c>
      <c r="B5477" s="10" t="str">
        <f>参数调整!$J$36</f>
        <v>新增怪物种类1掉落</v>
      </c>
      <c r="C5477" s="8" t="str">
        <f>材料产出!$BJ$2</f>
        <v>新增材料2</v>
      </c>
      <c r="D5477" s="224">
        <f>参数调整!$K$36*怪物掉落配置方案!$D4451</f>
        <v>0</v>
      </c>
    </row>
    <row r="5478" spans="1:4" ht="16.5" hidden="1" x14ac:dyDescent="0.3">
      <c r="A5478" s="10" t="str">
        <f>基本属性!$B$25&amp;"|"&amp;基本属性!$C$25</f>
        <v>220|15</v>
      </c>
      <c r="B5478" s="10" t="str">
        <f>参数调整!$J$36</f>
        <v>新增怪物种类1掉落</v>
      </c>
      <c r="C5478" s="8" t="str">
        <f>材料产出!$BJ$2</f>
        <v>新增材料2</v>
      </c>
      <c r="D5478" s="224">
        <f>参数调整!$K$36*怪物掉落配置方案!$D4452</f>
        <v>0</v>
      </c>
    </row>
    <row r="5479" spans="1:4" ht="16.5" hidden="1" x14ac:dyDescent="0.3">
      <c r="A5479" s="10" t="str">
        <f>基本属性!$B$26&amp;"|"&amp;基本属性!$C$26</f>
        <v>230|16</v>
      </c>
      <c r="B5479" s="10" t="str">
        <f>参数调整!$J$36</f>
        <v>新增怪物种类1掉落</v>
      </c>
      <c r="C5479" s="8" t="str">
        <f>材料产出!$BJ$2</f>
        <v>新增材料2</v>
      </c>
      <c r="D5479" s="224">
        <f>参数调整!$K$36*怪物掉落配置方案!$D4453</f>
        <v>0</v>
      </c>
    </row>
    <row r="5480" spans="1:4" ht="16.5" hidden="1" x14ac:dyDescent="0.3">
      <c r="A5480" s="10" t="str">
        <f>基本属性!$B$27&amp;"|"&amp;基本属性!$C$27</f>
        <v>230|17</v>
      </c>
      <c r="B5480" s="10" t="str">
        <f>参数调整!$J$36</f>
        <v>新增怪物种类1掉落</v>
      </c>
      <c r="C5480" s="8" t="str">
        <f>材料产出!$BJ$2</f>
        <v>新增材料2</v>
      </c>
      <c r="D5480" s="224">
        <f>参数调整!$K$36*怪物掉落配置方案!$D4454</f>
        <v>0</v>
      </c>
    </row>
    <row r="5481" spans="1:4" ht="16.5" hidden="1" x14ac:dyDescent="0.3">
      <c r="A5481" s="10" t="str">
        <f>基本属性!$B$28&amp;"|"&amp;基本属性!$C$28</f>
        <v>240|18</v>
      </c>
      <c r="B5481" s="10" t="str">
        <f>参数调整!$J$36</f>
        <v>新增怪物种类1掉落</v>
      </c>
      <c r="C5481" s="8" t="str">
        <f>材料产出!$BJ$2</f>
        <v>新增材料2</v>
      </c>
      <c r="D5481" s="224">
        <f>参数调整!$K$36*怪物掉落配置方案!$D4455</f>
        <v>0</v>
      </c>
    </row>
    <row r="5482" spans="1:4" ht="16.5" hidden="1" x14ac:dyDescent="0.3">
      <c r="A5482" s="10" t="str">
        <f>基本属性!$B$29&amp;"|"&amp;基本属性!$C$29</f>
        <v>240|19</v>
      </c>
      <c r="B5482" s="10" t="str">
        <f>参数调整!$J$36</f>
        <v>新增怪物种类1掉落</v>
      </c>
      <c r="C5482" s="8" t="str">
        <f>材料产出!$BJ$2</f>
        <v>新增材料2</v>
      </c>
      <c r="D5482" s="224">
        <f>参数调整!$K$36*怪物掉落配置方案!$D4456</f>
        <v>0</v>
      </c>
    </row>
    <row r="5483" spans="1:4" ht="16.5" hidden="1" x14ac:dyDescent="0.3">
      <c r="A5483" s="10" t="str">
        <f>基本属性!$B$30&amp;"|"&amp;基本属性!$C$30</f>
        <v>250|20</v>
      </c>
      <c r="B5483" s="10" t="str">
        <f>参数调整!$J$36</f>
        <v>新增怪物种类1掉落</v>
      </c>
      <c r="C5483" s="8" t="str">
        <f>材料产出!$BJ$2</f>
        <v>新增材料2</v>
      </c>
      <c r="D5483" s="224">
        <f>参数调整!$K$36*怪物掉落配置方案!$D4457</f>
        <v>0</v>
      </c>
    </row>
    <row r="5484" spans="1:4" ht="16.5" hidden="1" x14ac:dyDescent="0.3">
      <c r="A5484" s="10" t="str">
        <f>基本属性!$B$4&amp;"|"&amp;基本属性!$C$4</f>
        <v>35|0</v>
      </c>
      <c r="B5484" s="10" t="str">
        <f>参数调整!$J$36</f>
        <v>新增怪物种类1掉落</v>
      </c>
      <c r="C5484" s="8" t="str">
        <f>材料产出!$BH$2</f>
        <v>新增材料1</v>
      </c>
      <c r="D5484" s="224">
        <f>参数调整!$K$36*怪物掉落配置方案!$D4458</f>
        <v>0</v>
      </c>
    </row>
    <row r="5485" spans="1:4" ht="16.5" hidden="1" x14ac:dyDescent="0.3">
      <c r="A5485" s="10" t="str">
        <f>基本属性!$B$5&amp;"|"&amp;基本属性!$C$5</f>
        <v>40|0</v>
      </c>
      <c r="B5485" s="10" t="str">
        <f>参数调整!$J$36</f>
        <v>新增怪物种类1掉落</v>
      </c>
      <c r="C5485" s="8" t="str">
        <f>材料产出!$BH$2</f>
        <v>新增材料1</v>
      </c>
      <c r="D5485" s="224">
        <f>参数调整!$K$36*怪物掉落配置方案!$D4459</f>
        <v>0</v>
      </c>
    </row>
    <row r="5486" spans="1:4" ht="16.5" hidden="1" x14ac:dyDescent="0.3">
      <c r="A5486" s="10" t="str">
        <f>基本属性!$B$6&amp;"|"&amp;基本属性!$C$6</f>
        <v>50|0</v>
      </c>
      <c r="B5486" s="10" t="str">
        <f>参数调整!$J$36</f>
        <v>新增怪物种类1掉落</v>
      </c>
      <c r="C5486" s="8" t="str">
        <f>材料产出!$BH$2</f>
        <v>新增材料1</v>
      </c>
      <c r="D5486" s="224">
        <f>参数调整!$K$36*怪物掉落配置方案!$D4460</f>
        <v>0</v>
      </c>
    </row>
    <row r="5487" spans="1:4" ht="16.5" hidden="1" x14ac:dyDescent="0.3">
      <c r="A5487" s="10" t="str">
        <f>基本属性!$B$7&amp;"|"&amp;基本属性!$C$7</f>
        <v>60|0</v>
      </c>
      <c r="B5487" s="10" t="str">
        <f>参数调整!$J$36</f>
        <v>新增怪物种类1掉落</v>
      </c>
      <c r="C5487" s="8" t="str">
        <f>材料产出!$BH$2</f>
        <v>新增材料1</v>
      </c>
      <c r="D5487" s="224">
        <f>参数调整!$K$36*怪物掉落配置方案!$D4461</f>
        <v>0</v>
      </c>
    </row>
    <row r="5488" spans="1:4" ht="16.5" hidden="1" x14ac:dyDescent="0.3">
      <c r="A5488" s="10" t="str">
        <f>基本属性!$B$8&amp;"|"&amp;基本属性!$C$8</f>
        <v>65|0</v>
      </c>
      <c r="B5488" s="10" t="str">
        <f>参数调整!$J$36</f>
        <v>新增怪物种类1掉落</v>
      </c>
      <c r="C5488" s="8" t="str">
        <f>材料产出!$BH$2</f>
        <v>新增材料1</v>
      </c>
      <c r="D5488" s="224">
        <f>参数调整!$K$36*怪物掉落配置方案!$D4462</f>
        <v>0</v>
      </c>
    </row>
    <row r="5489" spans="1:4" ht="16.5" hidden="1" x14ac:dyDescent="0.3">
      <c r="A5489" s="10" t="str">
        <f>基本属性!$B$9&amp;"|"&amp;基本属性!$C$9</f>
        <v>70|0</v>
      </c>
      <c r="B5489" s="10" t="str">
        <f>参数调整!$J$36</f>
        <v>新增怪物种类1掉落</v>
      </c>
      <c r="C5489" s="8" t="str">
        <f>材料产出!$BH$2</f>
        <v>新增材料1</v>
      </c>
      <c r="D5489" s="224">
        <f>参数调整!$K$36*怪物掉落配置方案!$D4463</f>
        <v>0</v>
      </c>
    </row>
    <row r="5490" spans="1:4" ht="16.5" hidden="1" x14ac:dyDescent="0.3">
      <c r="A5490" s="10" t="str">
        <f>基本属性!$B$10&amp;"|"&amp;基本属性!$C$10</f>
        <v>75|0</v>
      </c>
      <c r="B5490" s="10" t="str">
        <f>参数调整!$J$36</f>
        <v>新增怪物种类1掉落</v>
      </c>
      <c r="C5490" s="8" t="str">
        <f>材料产出!$BH$2</f>
        <v>新增材料1</v>
      </c>
      <c r="D5490" s="224">
        <f>参数调整!$K$36*怪物掉落配置方案!$D4464</f>
        <v>0</v>
      </c>
    </row>
    <row r="5491" spans="1:4" ht="16.5" hidden="1" x14ac:dyDescent="0.3">
      <c r="A5491" s="10" t="str">
        <f>基本属性!$B$11&amp;"|"&amp;基本属性!$C$11</f>
        <v>80|1</v>
      </c>
      <c r="B5491" s="10" t="str">
        <f>参数调整!$J$36</f>
        <v>新增怪物种类1掉落</v>
      </c>
      <c r="C5491" s="8" t="str">
        <f>材料产出!$BH$2</f>
        <v>新增材料1</v>
      </c>
      <c r="D5491" s="224">
        <f>参数调整!$K$36*怪物掉落配置方案!$D4465</f>
        <v>0</v>
      </c>
    </row>
    <row r="5492" spans="1:4" ht="16.5" hidden="1" x14ac:dyDescent="0.3">
      <c r="A5492" s="10" t="str">
        <f>基本属性!$B$12&amp;"|"&amp;基本属性!$C$12</f>
        <v>90|2</v>
      </c>
      <c r="B5492" s="10" t="str">
        <f>参数调整!$J$36</f>
        <v>新增怪物种类1掉落</v>
      </c>
      <c r="C5492" s="8" t="str">
        <f>材料产出!$BH$2</f>
        <v>新增材料1</v>
      </c>
      <c r="D5492" s="224">
        <f>参数调整!$K$36*怪物掉落配置方案!$D4466</f>
        <v>0</v>
      </c>
    </row>
    <row r="5493" spans="1:4" ht="16.5" hidden="1" x14ac:dyDescent="0.3">
      <c r="A5493" s="10" t="str">
        <f>基本属性!$B$13&amp;"|"&amp;基本属性!$C$13</f>
        <v>100|3</v>
      </c>
      <c r="B5493" s="10" t="str">
        <f>参数调整!$J$36</f>
        <v>新增怪物种类1掉落</v>
      </c>
      <c r="C5493" s="8" t="str">
        <f>材料产出!$BH$2</f>
        <v>新增材料1</v>
      </c>
      <c r="D5493" s="224">
        <f>参数调整!$K$36*怪物掉落配置方案!$D4467</f>
        <v>0</v>
      </c>
    </row>
    <row r="5494" spans="1:4" ht="16.5" hidden="1" x14ac:dyDescent="0.3">
      <c r="A5494" s="10" t="str">
        <f>基本属性!$B$14&amp;"|"&amp;基本属性!$C$14</f>
        <v>105|4</v>
      </c>
      <c r="B5494" s="10" t="str">
        <f>参数调整!$J$36</f>
        <v>新增怪物种类1掉落</v>
      </c>
      <c r="C5494" s="8" t="str">
        <f>材料产出!$BH$2</f>
        <v>新增材料1</v>
      </c>
      <c r="D5494" s="224">
        <f>参数调整!$K$36*怪物掉落配置方案!$D4468</f>
        <v>0</v>
      </c>
    </row>
    <row r="5495" spans="1:4" ht="16.5" hidden="1" x14ac:dyDescent="0.3">
      <c r="A5495" s="10" t="str">
        <f>基本属性!$B$15&amp;"|"&amp;基本属性!$C$15</f>
        <v>110|5</v>
      </c>
      <c r="B5495" s="10" t="str">
        <f>参数调整!$J$36</f>
        <v>新增怪物种类1掉落</v>
      </c>
      <c r="C5495" s="8" t="str">
        <f>材料产出!$BH$2</f>
        <v>新增材料1</v>
      </c>
      <c r="D5495" s="224">
        <f>参数调整!$K$36*怪物掉落配置方案!$D4469</f>
        <v>0</v>
      </c>
    </row>
    <row r="5496" spans="1:4" ht="16.5" hidden="1" x14ac:dyDescent="0.3">
      <c r="A5496" s="10" t="str">
        <f>基本属性!$B$16&amp;"|"&amp;基本属性!$C$16</f>
        <v>120|6</v>
      </c>
      <c r="B5496" s="10" t="str">
        <f>参数调整!$J$36</f>
        <v>新增怪物种类1掉落</v>
      </c>
      <c r="C5496" s="8" t="str">
        <f>材料产出!$BH$2</f>
        <v>新增材料1</v>
      </c>
      <c r="D5496" s="224">
        <f>参数调整!$K$36*怪物掉落配置方案!$D4470</f>
        <v>0</v>
      </c>
    </row>
    <row r="5497" spans="1:4" ht="16.5" hidden="1" x14ac:dyDescent="0.3">
      <c r="A5497" s="10" t="str">
        <f>基本属性!$B$17&amp;"|"&amp;基本属性!$C$17</f>
        <v>135|7</v>
      </c>
      <c r="B5497" s="10" t="str">
        <f>参数调整!$J$36</f>
        <v>新增怪物种类1掉落</v>
      </c>
      <c r="C5497" s="8" t="str">
        <f>材料产出!$BH$2</f>
        <v>新增材料1</v>
      </c>
      <c r="D5497" s="224">
        <f>参数调整!$K$36*怪物掉落配置方案!$D4471</f>
        <v>0</v>
      </c>
    </row>
    <row r="5498" spans="1:4" ht="16.5" hidden="1" x14ac:dyDescent="0.3">
      <c r="A5498" s="10" t="str">
        <f>基本属性!$B$18&amp;"|"&amp;基本属性!$C$18</f>
        <v>155|8</v>
      </c>
      <c r="B5498" s="10" t="str">
        <f>参数调整!$J$36</f>
        <v>新增怪物种类1掉落</v>
      </c>
      <c r="C5498" s="8" t="str">
        <f>材料产出!$BH$2</f>
        <v>新增材料1</v>
      </c>
      <c r="D5498" s="224">
        <f>参数调整!$K$36*怪物掉落配置方案!$D4472</f>
        <v>0</v>
      </c>
    </row>
    <row r="5499" spans="1:4" ht="16.5" hidden="1" x14ac:dyDescent="0.3">
      <c r="A5499" s="10" t="str">
        <f>基本属性!$B$19&amp;"|"&amp;基本属性!$C$19</f>
        <v>190|9</v>
      </c>
      <c r="B5499" s="10" t="str">
        <f>参数调整!$J$36</f>
        <v>新增怪物种类1掉落</v>
      </c>
      <c r="C5499" s="8" t="str">
        <f>材料产出!$BH$2</f>
        <v>新增材料1</v>
      </c>
      <c r="D5499" s="224">
        <f>参数调整!$K$36*怪物掉落配置方案!$D4473</f>
        <v>0</v>
      </c>
    </row>
    <row r="5500" spans="1:4" ht="16.5" hidden="1" x14ac:dyDescent="0.3">
      <c r="A5500" s="10" t="str">
        <f>基本属性!$B$20&amp;"|"&amp;基本属性!$C$20</f>
        <v>200|10</v>
      </c>
      <c r="B5500" s="10" t="str">
        <f>参数调整!$J$36</f>
        <v>新增怪物种类1掉落</v>
      </c>
      <c r="C5500" s="8" t="str">
        <f>材料产出!$BH$2</f>
        <v>新增材料1</v>
      </c>
      <c r="D5500" s="224">
        <f>参数调整!$K$36*怪物掉落配置方案!$D4474</f>
        <v>0</v>
      </c>
    </row>
    <row r="5501" spans="1:4" ht="16.5" hidden="1" x14ac:dyDescent="0.3">
      <c r="A5501" s="10" t="str">
        <f>基本属性!$B$21&amp;"|"&amp;基本属性!$C$21</f>
        <v>200|11</v>
      </c>
      <c r="B5501" s="10" t="str">
        <f>参数调整!$J$36</f>
        <v>新增怪物种类1掉落</v>
      </c>
      <c r="C5501" s="8" t="str">
        <f>材料产出!$BH$2</f>
        <v>新增材料1</v>
      </c>
      <c r="D5501" s="224">
        <f>参数调整!$K$36*怪物掉落配置方案!$D4475</f>
        <v>0</v>
      </c>
    </row>
    <row r="5502" spans="1:4" ht="16.5" hidden="1" x14ac:dyDescent="0.3">
      <c r="A5502" s="10" t="str">
        <f>基本属性!$B$22&amp;"|"&amp;基本属性!$C$22</f>
        <v>210|12</v>
      </c>
      <c r="B5502" s="10" t="str">
        <f>参数调整!$J$36</f>
        <v>新增怪物种类1掉落</v>
      </c>
      <c r="C5502" s="8" t="str">
        <f>材料产出!$BH$2</f>
        <v>新增材料1</v>
      </c>
      <c r="D5502" s="224">
        <f>参数调整!$K$36*怪物掉落配置方案!$D4476</f>
        <v>0</v>
      </c>
    </row>
    <row r="5503" spans="1:4" ht="16.5" hidden="1" x14ac:dyDescent="0.3">
      <c r="A5503" s="10" t="str">
        <f>基本属性!$B$23&amp;"|"&amp;基本属性!$C$23</f>
        <v>210|13</v>
      </c>
      <c r="B5503" s="10" t="str">
        <f>参数调整!$J$36</f>
        <v>新增怪物种类1掉落</v>
      </c>
      <c r="C5503" s="8" t="str">
        <f>材料产出!$BH$2</f>
        <v>新增材料1</v>
      </c>
      <c r="D5503" s="224">
        <f>参数调整!$K$36*怪物掉落配置方案!$D4477</f>
        <v>0</v>
      </c>
    </row>
    <row r="5504" spans="1:4" ht="16.5" hidden="1" x14ac:dyDescent="0.3">
      <c r="A5504" s="10" t="str">
        <f>基本属性!$B$24&amp;"|"&amp;基本属性!$C$24</f>
        <v>220|14</v>
      </c>
      <c r="B5504" s="10" t="str">
        <f>参数调整!$J$36</f>
        <v>新增怪物种类1掉落</v>
      </c>
      <c r="C5504" s="8" t="str">
        <f>材料产出!$BH$2</f>
        <v>新增材料1</v>
      </c>
      <c r="D5504" s="224">
        <f>参数调整!$K$36*怪物掉落配置方案!$D4478</f>
        <v>0</v>
      </c>
    </row>
    <row r="5505" spans="1:4" ht="16.5" hidden="1" x14ac:dyDescent="0.3">
      <c r="A5505" s="10" t="str">
        <f>基本属性!$B$25&amp;"|"&amp;基本属性!$C$25</f>
        <v>220|15</v>
      </c>
      <c r="B5505" s="10" t="str">
        <f>参数调整!$J$36</f>
        <v>新增怪物种类1掉落</v>
      </c>
      <c r="C5505" s="8" t="str">
        <f>材料产出!$BH$2</f>
        <v>新增材料1</v>
      </c>
      <c r="D5505" s="224">
        <f>参数调整!$K$36*怪物掉落配置方案!$D4479</f>
        <v>0</v>
      </c>
    </row>
    <row r="5506" spans="1:4" ht="16.5" hidden="1" x14ac:dyDescent="0.3">
      <c r="A5506" s="10" t="str">
        <f>基本属性!$B$26&amp;"|"&amp;基本属性!$C$26</f>
        <v>230|16</v>
      </c>
      <c r="B5506" s="10" t="str">
        <f>参数调整!$J$36</f>
        <v>新增怪物种类1掉落</v>
      </c>
      <c r="C5506" s="8" t="str">
        <f>材料产出!$BH$2</f>
        <v>新增材料1</v>
      </c>
      <c r="D5506" s="224">
        <f>参数调整!$K$36*怪物掉落配置方案!$D4480</f>
        <v>0</v>
      </c>
    </row>
    <row r="5507" spans="1:4" ht="16.5" hidden="1" x14ac:dyDescent="0.3">
      <c r="A5507" s="10" t="str">
        <f>基本属性!$B$27&amp;"|"&amp;基本属性!$C$27</f>
        <v>230|17</v>
      </c>
      <c r="B5507" s="10" t="str">
        <f>参数调整!$J$36</f>
        <v>新增怪物种类1掉落</v>
      </c>
      <c r="C5507" s="8" t="str">
        <f>材料产出!$BH$2</f>
        <v>新增材料1</v>
      </c>
      <c r="D5507" s="224">
        <f>参数调整!$K$36*怪物掉落配置方案!$D4481</f>
        <v>0</v>
      </c>
    </row>
    <row r="5508" spans="1:4" ht="16.5" hidden="1" x14ac:dyDescent="0.3">
      <c r="A5508" s="10" t="str">
        <f>基本属性!$B$28&amp;"|"&amp;基本属性!$C$28</f>
        <v>240|18</v>
      </c>
      <c r="B5508" s="10" t="str">
        <f>参数调整!$J$36</f>
        <v>新增怪物种类1掉落</v>
      </c>
      <c r="C5508" s="8" t="str">
        <f>材料产出!$BH$2</f>
        <v>新增材料1</v>
      </c>
      <c r="D5508" s="224">
        <f>参数调整!$K$36*怪物掉落配置方案!$D4482</f>
        <v>0</v>
      </c>
    </row>
    <row r="5509" spans="1:4" ht="16.5" hidden="1" x14ac:dyDescent="0.3">
      <c r="A5509" s="10" t="str">
        <f>基本属性!$B$29&amp;"|"&amp;基本属性!$C$29</f>
        <v>240|19</v>
      </c>
      <c r="B5509" s="10" t="str">
        <f>参数调整!$J$36</f>
        <v>新增怪物种类1掉落</v>
      </c>
      <c r="C5509" s="8" t="str">
        <f>材料产出!$BH$2</f>
        <v>新增材料1</v>
      </c>
      <c r="D5509" s="224">
        <f>参数调整!$K$36*怪物掉落配置方案!$D4483</f>
        <v>0</v>
      </c>
    </row>
    <row r="5510" spans="1:4" ht="16.5" hidden="1" x14ac:dyDescent="0.3">
      <c r="A5510" s="10" t="str">
        <f>基本属性!$B$30&amp;"|"&amp;基本属性!$C$30</f>
        <v>250|20</v>
      </c>
      <c r="B5510" s="10" t="str">
        <f>参数调整!$J$36</f>
        <v>新增怪物种类1掉落</v>
      </c>
      <c r="C5510" s="8" t="str">
        <f>材料产出!$BH$2</f>
        <v>新增材料1</v>
      </c>
      <c r="D5510" s="224">
        <f>参数调整!$K$36*怪物掉落配置方案!$D4484</f>
        <v>0</v>
      </c>
    </row>
    <row r="5511" spans="1:4" ht="16.5" hidden="1" x14ac:dyDescent="0.3">
      <c r="A5511" s="10" t="str">
        <f>基本属性!$B$4&amp;"|"&amp;基本属性!$C$4</f>
        <v>35|0</v>
      </c>
      <c r="B5511" s="10" t="str">
        <f>参数调整!$J$36</f>
        <v>新增怪物种类1掉落</v>
      </c>
      <c r="C5511" s="8" t="str">
        <f>材料产出!$AF$2</f>
        <v>仙品升星石</v>
      </c>
      <c r="D5511" s="224">
        <f>参数调整!$K$36*怪物掉落配置方案!$D4485</f>
        <v>2.2682521309060296E-3</v>
      </c>
    </row>
    <row r="5512" spans="1:4" ht="16.5" hidden="1" x14ac:dyDescent="0.3">
      <c r="A5512" s="10" t="str">
        <f>基本属性!$B$5&amp;"|"&amp;基本属性!$C$5</f>
        <v>40|0</v>
      </c>
      <c r="B5512" s="10" t="str">
        <f>参数调整!$J$36</f>
        <v>新增怪物种类1掉落</v>
      </c>
      <c r="C5512" s="8" t="str">
        <f>材料产出!$AF$2</f>
        <v>仙品升星石</v>
      </c>
      <c r="D5512" s="224">
        <f>参数调整!$K$36*怪物掉落配置方案!$D4486</f>
        <v>2.8707566031779446E-3</v>
      </c>
    </row>
    <row r="5513" spans="1:4" ht="16.5" hidden="1" x14ac:dyDescent="0.3">
      <c r="A5513" s="10" t="str">
        <f>基本属性!$B$6&amp;"|"&amp;基本属性!$C$6</f>
        <v>50|0</v>
      </c>
      <c r="B5513" s="10" t="str">
        <f>参数调整!$J$36</f>
        <v>新增怪物种类1掉落</v>
      </c>
      <c r="C5513" s="8" t="str">
        <f>材料产出!$AF$2</f>
        <v>仙品升星石</v>
      </c>
      <c r="D5513" s="224">
        <f>参数调整!$K$36*怪物掉落配置方案!$D4487</f>
        <v>3.5441439545406718E-3</v>
      </c>
    </row>
    <row r="5514" spans="1:4" ht="16.5" hidden="1" x14ac:dyDescent="0.3">
      <c r="A5514" s="10" t="str">
        <f>基本属性!$B$7&amp;"|"&amp;基本属性!$C$7</f>
        <v>60|0</v>
      </c>
      <c r="B5514" s="10" t="str">
        <f>参数调整!$J$36</f>
        <v>新增怪物种类1掉落</v>
      </c>
      <c r="C5514" s="8" t="str">
        <f>材料产出!$AF$2</f>
        <v>仙品升星石</v>
      </c>
      <c r="D5514" s="224">
        <f>参数调整!$K$36*怪物掉落配置方案!$D4488</f>
        <v>4.2884141849942126E-3</v>
      </c>
    </row>
    <row r="5515" spans="1:4" ht="16.5" hidden="1" x14ac:dyDescent="0.3">
      <c r="A5515" s="10" t="str">
        <f>基本属性!$B$8&amp;"|"&amp;基本属性!$C$8</f>
        <v>65|0</v>
      </c>
      <c r="B5515" s="10" t="str">
        <f>参数调整!$J$36</f>
        <v>新增怪物种类1掉落</v>
      </c>
      <c r="C5515" s="8" t="str">
        <f>材料产出!$AF$2</f>
        <v>仙品升星石</v>
      </c>
      <c r="D5515" s="224">
        <f>参数调整!$K$36*怪物掉落配置方案!$D4489</f>
        <v>5.103567294538567E-3</v>
      </c>
    </row>
    <row r="5516" spans="1:4" ht="16.5" hidden="1" x14ac:dyDescent="0.3">
      <c r="A5516" s="10" t="str">
        <f>基本属性!$B$9&amp;"|"&amp;基本属性!$C$9</f>
        <v>70|0</v>
      </c>
      <c r="B5516" s="10" t="str">
        <f>参数调整!$J$36</f>
        <v>新增怪物种类1掉落</v>
      </c>
      <c r="C5516" s="8" t="str">
        <f>材料产出!$AF$2</f>
        <v>仙品升星石</v>
      </c>
      <c r="D5516" s="224">
        <f>参数调整!$K$36*怪物掉落配置方案!$D4490</f>
        <v>5.9896032831737349E-3</v>
      </c>
    </row>
    <row r="5517" spans="1:4" ht="16.5" hidden="1" x14ac:dyDescent="0.3">
      <c r="A5517" s="10" t="str">
        <f>基本属性!$B$10&amp;"|"&amp;基本属性!$C$10</f>
        <v>75|0</v>
      </c>
      <c r="B5517" s="10" t="str">
        <f>参数调整!$J$36</f>
        <v>新增怪物种类1掉落</v>
      </c>
      <c r="C5517" s="8" t="str">
        <f>材料产出!$AF$2</f>
        <v>仙品升星石</v>
      </c>
      <c r="D5517" s="224">
        <f>参数调整!$K$36*怪物掉落配置方案!$D4491</f>
        <v>6.9465221508997156E-3</v>
      </c>
    </row>
    <row r="5518" spans="1:4" ht="16.5" hidden="1" x14ac:dyDescent="0.3">
      <c r="A5518" s="10" t="str">
        <f>基本属性!$B$11&amp;"|"&amp;基本属性!$C$11</f>
        <v>80|1</v>
      </c>
      <c r="B5518" s="10" t="str">
        <f>参数调整!$J$36</f>
        <v>新增怪物种类1掉落</v>
      </c>
      <c r="C5518" s="8" t="str">
        <f>材料产出!$AF$2</f>
        <v>仙品升星石</v>
      </c>
      <c r="D5518" s="224">
        <f>参数调整!$K$36*怪物掉落配置方案!$D4492</f>
        <v>7.9743238977165107E-3</v>
      </c>
    </row>
    <row r="5519" spans="1:4" ht="16.5" hidden="1" x14ac:dyDescent="0.3">
      <c r="A5519" s="10" t="str">
        <f>基本属性!$B$12&amp;"|"&amp;基本属性!$C$12</f>
        <v>90|2</v>
      </c>
      <c r="B5519" s="10" t="str">
        <f>参数调整!$J$36</f>
        <v>新增怪物种类1掉落</v>
      </c>
      <c r="C5519" s="8" t="str">
        <f>材料产出!$AF$2</f>
        <v>仙品升星石</v>
      </c>
      <c r="D5519" s="224">
        <f>参数调整!$K$36*怪物掉落配置方案!$D4493</f>
        <v>9.073008523624122E-3</v>
      </c>
    </row>
    <row r="5520" spans="1:4" ht="16.5" hidden="1" x14ac:dyDescent="0.3">
      <c r="A5520" s="10" t="str">
        <f>基本属性!$B$13&amp;"|"&amp;基本属性!$C$13</f>
        <v>100|3</v>
      </c>
      <c r="B5520" s="10" t="str">
        <f>参数调整!$J$36</f>
        <v>新增怪物种类1掉落</v>
      </c>
      <c r="C5520" s="8" t="str">
        <f>材料产出!$AF$2</f>
        <v>仙品升星石</v>
      </c>
      <c r="D5520" s="224">
        <f>参数调整!$K$36*怪物掉落配置方案!$D4494</f>
        <v>1.1483026412711778E-2</v>
      </c>
    </row>
    <row r="5521" spans="1:4" ht="16.5" hidden="1" x14ac:dyDescent="0.3">
      <c r="A5521" s="10" t="str">
        <f>基本属性!$B$14&amp;"|"&amp;基本属性!$C$14</f>
        <v>105|4</v>
      </c>
      <c r="B5521" s="10" t="str">
        <f>参数调整!$J$36</f>
        <v>新增怪物种类1掉落</v>
      </c>
      <c r="C5521" s="8" t="str">
        <f>材料产出!$AF$2</f>
        <v>仙品升星石</v>
      </c>
      <c r="D5521" s="224">
        <f>参数调整!$K$36*怪物掉落配置方案!$D4495</f>
        <v>1.4176575818162685E-2</v>
      </c>
    </row>
    <row r="5522" spans="1:4" ht="16.5" hidden="1" x14ac:dyDescent="0.3">
      <c r="A5522" s="10" t="str">
        <f>基本属性!$B$15&amp;"|"&amp;基本属性!$C$15</f>
        <v>110|5</v>
      </c>
      <c r="B5522" s="10" t="str">
        <f>参数调整!$J$36</f>
        <v>新增怪物种类1掉落</v>
      </c>
      <c r="C5522" s="8" t="str">
        <f>材料产出!$AF$2</f>
        <v>仙品升星石</v>
      </c>
      <c r="D5522" s="224">
        <f>参数调整!$K$36*怪物掉落配置方案!$D4496</f>
        <v>1.715365673997685E-2</v>
      </c>
    </row>
    <row r="5523" spans="1:4" ht="16.5" hidden="1" x14ac:dyDescent="0.3">
      <c r="A5523" s="10" t="str">
        <f>基本属性!$B$16&amp;"|"&amp;基本属性!$C$16</f>
        <v>120|6</v>
      </c>
      <c r="B5523" s="10" t="str">
        <f>参数调整!$J$36</f>
        <v>新增怪物种类1掉落</v>
      </c>
      <c r="C5523" s="8" t="str">
        <f>材料产出!$AF$2</f>
        <v>仙品升星石</v>
      </c>
      <c r="D5523" s="224">
        <f>参数调整!$K$36*怪物掉落配置方案!$D4497</f>
        <v>2.2150899715879198E-2</v>
      </c>
    </row>
    <row r="5524" spans="1:4" ht="16.5" hidden="1" x14ac:dyDescent="0.3">
      <c r="A5524" s="10" t="str">
        <f>基本属性!$B$17&amp;"|"&amp;基本属性!$C$17</f>
        <v>135|7</v>
      </c>
      <c r="B5524" s="10" t="str">
        <f>参数调整!$J$36</f>
        <v>新增怪物种类1掉落</v>
      </c>
      <c r="C5524" s="8" t="str">
        <f>材料产出!$AF$2</f>
        <v>仙品升星石</v>
      </c>
      <c r="D5524" s="224">
        <f>参数调整!$K$36*怪物掉落配置方案!$D4498</f>
        <v>3.1897295590866043E-2</v>
      </c>
    </row>
    <row r="5525" spans="1:4" ht="16.5" hidden="1" x14ac:dyDescent="0.3">
      <c r="A5525" s="10" t="str">
        <f>基本属性!$B$18&amp;"|"&amp;基本属性!$C$18</f>
        <v>155|8</v>
      </c>
      <c r="B5525" s="10" t="str">
        <f>参数调整!$J$36</f>
        <v>新增怪物种类1掉落</v>
      </c>
      <c r="C5525" s="8" t="str">
        <f>材料产出!$AF$2</f>
        <v>仙品升星石</v>
      </c>
      <c r="D5525" s="224">
        <f>参数调整!$K$36*怪物掉落配置方案!$D4499</f>
        <v>4.3415763443123236E-2</v>
      </c>
    </row>
    <row r="5526" spans="1:4" ht="16.5" hidden="1" x14ac:dyDescent="0.3">
      <c r="A5526" s="10" t="str">
        <f>基本属性!$B$19&amp;"|"&amp;基本属性!$C$19</f>
        <v>190|9</v>
      </c>
      <c r="B5526" s="10" t="str">
        <f>参数调整!$J$36</f>
        <v>新增怪物种类1掉落</v>
      </c>
      <c r="C5526" s="8" t="str">
        <f>材料产出!$AF$2</f>
        <v>仙品升星石</v>
      </c>
      <c r="D5526" s="224">
        <f>参数调整!$K$36*怪物掉落配置方案!$D4500</f>
        <v>4.8519330737661806E-2</v>
      </c>
    </row>
    <row r="5527" spans="1:4" ht="16.5" hidden="1" x14ac:dyDescent="0.3">
      <c r="A5527" s="10" t="str">
        <f>基本属性!$B$20&amp;"|"&amp;基本属性!$C$20</f>
        <v>200|10</v>
      </c>
      <c r="B5527" s="10" t="str">
        <f>参数调整!$J$36</f>
        <v>新增怪物种类1掉落</v>
      </c>
      <c r="C5527" s="8" t="str">
        <f>材料产出!$AF$2</f>
        <v>仙品升星石</v>
      </c>
      <c r="D5527" s="224">
        <f>参数调整!$K$36*怪物掉落配置方案!$D4501</f>
        <v>5.6706303272650742E-2</v>
      </c>
    </row>
    <row r="5528" spans="1:4" ht="16.5" hidden="1" x14ac:dyDescent="0.3">
      <c r="A5528" s="10" t="str">
        <f>基本属性!$B$21&amp;"|"&amp;基本属性!$C$21</f>
        <v>200|11</v>
      </c>
      <c r="B5528" s="10" t="str">
        <f>参数调整!$J$36</f>
        <v>新增怪物种类1掉落</v>
      </c>
      <c r="C5528" s="8" t="str">
        <f>材料产出!$AF$2</f>
        <v>仙品升星石</v>
      </c>
      <c r="D5528" s="224">
        <f>参数调整!$K$36*怪物掉落配置方案!$D4502</f>
        <v>6.5531221719457008E-2</v>
      </c>
    </row>
    <row r="5529" spans="1:4" ht="16.5" hidden="1" x14ac:dyDescent="0.3">
      <c r="A5529" s="10" t="str">
        <f>基本属性!$B$22&amp;"|"&amp;基本属性!$C$22</f>
        <v>210|12</v>
      </c>
      <c r="B5529" s="10" t="str">
        <f>参数调整!$J$36</f>
        <v>新增怪物种类1掉落</v>
      </c>
      <c r="C5529" s="8" t="str">
        <f>材料产出!$AF$2</f>
        <v>仙品升星石</v>
      </c>
      <c r="D5529" s="224">
        <f>参数调整!$K$36*怪物掉落配置方案!$D4503</f>
        <v>7.4994086078080599E-2</v>
      </c>
    </row>
    <row r="5530" spans="1:4" ht="16.5" hidden="1" x14ac:dyDescent="0.3">
      <c r="A5530" s="10" t="str">
        <f>基本属性!$B$23&amp;"|"&amp;基本属性!$C$23</f>
        <v>210|13</v>
      </c>
      <c r="B5530" s="10" t="str">
        <f>参数调整!$J$36</f>
        <v>新增怪物种类1掉落</v>
      </c>
      <c r="C5530" s="8" t="str">
        <f>材料产出!$AF$2</f>
        <v>仙品升星石</v>
      </c>
      <c r="D5530" s="224">
        <f>参数调整!$K$36*怪物掉落配置方案!$D4504</f>
        <v>8.509489634852152E-2</v>
      </c>
    </row>
    <row r="5531" spans="1:4" ht="16.5" hidden="1" x14ac:dyDescent="0.3">
      <c r="A5531" s="10" t="str">
        <f>基本属性!$B$24&amp;"|"&amp;基本属性!$C$24</f>
        <v>220|14</v>
      </c>
      <c r="B5531" s="10" t="str">
        <f>参数调整!$J$36</f>
        <v>新增怪物种类1掉落</v>
      </c>
      <c r="C5531" s="8" t="str">
        <f>材料产出!$AF$2</f>
        <v>仙品升星石</v>
      </c>
      <c r="D5531" s="224">
        <f>参数调整!$K$36*怪物掉落配置方案!$D4505</f>
        <v>9.5833652530779773E-2</v>
      </c>
    </row>
    <row r="5532" spans="1:4" ht="16.5" hidden="1" x14ac:dyDescent="0.3">
      <c r="A5532" s="10" t="str">
        <f>基本属性!$B$25&amp;"|"&amp;基本属性!$C$25</f>
        <v>220|15</v>
      </c>
      <c r="B5532" s="10" t="str">
        <f>参数调整!$J$36</f>
        <v>新增怪物种类1掉落</v>
      </c>
      <c r="C5532" s="8" t="str">
        <f>材料产出!$AF$2</f>
        <v>仙品升星石</v>
      </c>
      <c r="D5532" s="224">
        <f>参数调整!$K$36*怪物掉落配置方案!$D4506</f>
        <v>0.10721035462485529</v>
      </c>
    </row>
    <row r="5533" spans="1:4" ht="16.5" hidden="1" x14ac:dyDescent="0.3">
      <c r="A5533" s="10" t="str">
        <f>基本属性!$B$26&amp;"|"&amp;基本属性!$C$26</f>
        <v>230|16</v>
      </c>
      <c r="B5533" s="10" t="str">
        <f>参数调整!$J$36</f>
        <v>新增怪物种类1掉落</v>
      </c>
      <c r="C5533" s="8" t="str">
        <f>材料产出!$AF$2</f>
        <v>仙品升星石</v>
      </c>
      <c r="D5533" s="224">
        <f>参数调整!$K$36*怪物掉落配置方案!$D4507</f>
        <v>0.11922500263074819</v>
      </c>
    </row>
    <row r="5534" spans="1:4" ht="16.5" hidden="1" x14ac:dyDescent="0.3">
      <c r="A5534" s="10" t="str">
        <f>基本属性!$B$27&amp;"|"&amp;基本属性!$C$27</f>
        <v>230|17</v>
      </c>
      <c r="B5534" s="10" t="str">
        <f>参数调整!$J$36</f>
        <v>新增怪物种类1掉落</v>
      </c>
      <c r="C5534" s="8" t="str">
        <f>材料产出!$AF$2</f>
        <v>仙品升星石</v>
      </c>
      <c r="D5534" s="224">
        <f>参数调整!$K$36*怪物掉落配置方案!$D4508</f>
        <v>0.13187759654845838</v>
      </c>
    </row>
    <row r="5535" spans="1:4" ht="16.5" hidden="1" x14ac:dyDescent="0.3">
      <c r="A5535" s="10" t="str">
        <f>基本属性!$B$28&amp;"|"&amp;基本属性!$C$28</f>
        <v>240|18</v>
      </c>
      <c r="B5535" s="10" t="str">
        <f>参数调整!$J$36</f>
        <v>新增怪物种类1掉落</v>
      </c>
      <c r="C5535" s="8" t="str">
        <f>材料产出!$AF$2</f>
        <v>仙品升星石</v>
      </c>
      <c r="D5535" s="224">
        <f>参数调整!$K$36*怪物掉落配置方案!$D4509</f>
        <v>0.14516813637798592</v>
      </c>
    </row>
    <row r="5536" spans="1:4" ht="16.5" hidden="1" x14ac:dyDescent="0.3">
      <c r="A5536" s="10" t="str">
        <f>基本属性!$B$29&amp;"|"&amp;基本属性!$C$29</f>
        <v>240|19</v>
      </c>
      <c r="B5536" s="10" t="str">
        <f>参数调整!$J$36</f>
        <v>新增怪物种类1掉落</v>
      </c>
      <c r="C5536" s="8" t="str">
        <f>材料产出!$AF$2</f>
        <v>仙品升星石</v>
      </c>
      <c r="D5536" s="224">
        <f>参数调整!$K$36*怪物掉落配置方案!$D4510</f>
        <v>0.15909662211933076</v>
      </c>
    </row>
    <row r="5537" spans="1:4" ht="16.5" hidden="1" x14ac:dyDescent="0.3">
      <c r="A5537" s="10" t="str">
        <f>基本属性!$B$30&amp;"|"&amp;基本属性!$C$30</f>
        <v>250|20</v>
      </c>
      <c r="B5537" s="10" t="str">
        <f>参数调整!$J$36</f>
        <v>新增怪物种类1掉落</v>
      </c>
      <c r="C5537" s="8" t="str">
        <f>材料产出!$AF$2</f>
        <v>仙品升星石</v>
      </c>
      <c r="D5537" s="224">
        <f>参数调整!$K$36*怪物掉落配置方案!$D4511</f>
        <v>0.17366305377249289</v>
      </c>
    </row>
    <row r="5538" spans="1:4" ht="16.5" hidden="1" x14ac:dyDescent="0.3">
      <c r="A5538" s="10" t="str">
        <f>基本属性!$B$4&amp;"|"&amp;基本属性!$C$4</f>
        <v>35|0</v>
      </c>
      <c r="B5538" s="10" t="str">
        <f>参数调整!$J$36</f>
        <v>新增怪物种类1掉落</v>
      </c>
      <c r="C5538" s="8" t="str">
        <f>材料产出!$T$2</f>
        <v>洗髓丹</v>
      </c>
      <c r="D5538" s="224">
        <f>参数调整!$K$36*怪物掉落配置方案!$D4512</f>
        <v>5.9074343962982497E-4</v>
      </c>
    </row>
    <row r="5539" spans="1:4" ht="16.5" hidden="1" x14ac:dyDescent="0.3">
      <c r="A5539" s="10" t="str">
        <f>基本属性!$B$5&amp;"|"&amp;基本属性!$C$5</f>
        <v>40|0</v>
      </c>
      <c r="B5539" s="10" t="str">
        <f>参数调整!$J$36</f>
        <v>新增怪物种类1掉落</v>
      </c>
      <c r="C5539" s="8" t="str">
        <f>材料产出!$T$2</f>
        <v>洗髓丹</v>
      </c>
      <c r="D5539" s="224">
        <f>参数调整!$K$36*怪物掉落配置方案!$D4513</f>
        <v>7.4765966578149723E-4</v>
      </c>
    </row>
    <row r="5540" spans="1:4" ht="16.5" hidden="1" x14ac:dyDescent="0.3">
      <c r="A5540" s="10" t="str">
        <f>基本属性!$B$6&amp;"|"&amp;基本属性!$C$6</f>
        <v>50|0</v>
      </c>
      <c r="B5540" s="10" t="str">
        <f>参数调整!$J$36</f>
        <v>新增怪物种类1掉落</v>
      </c>
      <c r="C5540" s="8" t="str">
        <f>材料产出!$T$2</f>
        <v>洗髓丹</v>
      </c>
      <c r="D5540" s="224">
        <f>参数调整!$K$36*怪物掉落配置方案!$D4514</f>
        <v>9.2303662442160146E-4</v>
      </c>
    </row>
    <row r="5541" spans="1:4" ht="16.5" hidden="1" x14ac:dyDescent="0.3">
      <c r="A5541" s="10" t="str">
        <f>基本属性!$B$7&amp;"|"&amp;基本属性!$C$7</f>
        <v>60|0</v>
      </c>
      <c r="B5541" s="10" t="str">
        <f>参数调整!$J$36</f>
        <v>新增怪物种类1掉落</v>
      </c>
      <c r="C5541" s="8" t="str">
        <f>材料产出!$T$2</f>
        <v>洗髓丹</v>
      </c>
      <c r="D5541" s="224">
        <f>参数调整!$K$36*怪物掉落配置方案!$D4515</f>
        <v>1.116874315550138E-3</v>
      </c>
    </row>
    <row r="5542" spans="1:4" ht="16.5" hidden="1" x14ac:dyDescent="0.3">
      <c r="A5542" s="10" t="str">
        <f>基本属性!$B$8&amp;"|"&amp;基本属性!$C$8</f>
        <v>65|0</v>
      </c>
      <c r="B5542" s="10" t="str">
        <f>参数调整!$J$36</f>
        <v>新增怪物种类1掉落</v>
      </c>
      <c r="C5542" s="8" t="str">
        <f>材料产出!$T$2</f>
        <v>洗髓丹</v>
      </c>
      <c r="D5542" s="224">
        <f>参数调整!$K$36*怪物掉落配置方案!$D4516</f>
        <v>1.3291727391671062E-3</v>
      </c>
    </row>
    <row r="5543" spans="1:4" ht="16.5" hidden="1" x14ac:dyDescent="0.3">
      <c r="A5543" s="10" t="str">
        <f>基本属性!$B$9&amp;"|"&amp;基本属性!$C$9</f>
        <v>70|0</v>
      </c>
      <c r="B5543" s="10" t="str">
        <f>参数调整!$J$36</f>
        <v>新增怪物种类1掉落</v>
      </c>
      <c r="C5543" s="8" t="str">
        <f>材料产出!$T$2</f>
        <v>洗髓丹</v>
      </c>
      <c r="D5543" s="224">
        <f>参数调整!$K$36*怪物掉落配置方案!$D4517</f>
        <v>1.5599318952725066E-3</v>
      </c>
    </row>
    <row r="5544" spans="1:4" ht="16.5" hidden="1" x14ac:dyDescent="0.3">
      <c r="A5544" s="10" t="str">
        <f>基本属性!$B$10&amp;"|"&amp;基本属性!$C$10</f>
        <v>75|0</v>
      </c>
      <c r="B5544" s="10" t="str">
        <f>参数调整!$J$36</f>
        <v>新增怪物种类1掉落</v>
      </c>
      <c r="C5544" s="8" t="str">
        <f>材料产出!$T$2</f>
        <v>洗髓丹</v>
      </c>
      <c r="D5544" s="224">
        <f>参数调整!$K$36*怪物掉落配置方案!$D4518</f>
        <v>1.8091517838663388E-3</v>
      </c>
    </row>
    <row r="5545" spans="1:4" ht="16.5" hidden="1" x14ac:dyDescent="0.3">
      <c r="A5545" s="10" t="str">
        <f>基本属性!$B$11&amp;"|"&amp;基本属性!$C$11</f>
        <v>80|1</v>
      </c>
      <c r="B5545" s="10" t="str">
        <f>参数调整!$J$36</f>
        <v>新增怪物种类1掉落</v>
      </c>
      <c r="C5545" s="8" t="str">
        <f>材料产出!$T$2</f>
        <v>洗髓丹</v>
      </c>
      <c r="D5545" s="224">
        <f>参数调整!$K$36*怪物掉落配置方案!$D4519</f>
        <v>2.0768324049486035E-3</v>
      </c>
    </row>
    <row r="5546" spans="1:4" ht="16.5" hidden="1" x14ac:dyDescent="0.3">
      <c r="A5546" s="10" t="str">
        <f>基本属性!$B$12&amp;"|"&amp;基本属性!$C$12</f>
        <v>90|2</v>
      </c>
      <c r="B5546" s="10" t="str">
        <f>参数调整!$J$36</f>
        <v>新增怪物种类1掉落</v>
      </c>
      <c r="C5546" s="8" t="str">
        <f>材料产出!$T$2</f>
        <v>洗髓丹</v>
      </c>
      <c r="D5546" s="224">
        <f>参数调整!$K$36*怪物掉落配置方案!$D4520</f>
        <v>2.3629737585193003E-3</v>
      </c>
    </row>
    <row r="5547" spans="1:4" ht="16.5" hidden="1" x14ac:dyDescent="0.3">
      <c r="A5547" s="10" t="str">
        <f>基本属性!$B$13&amp;"|"&amp;基本属性!$C$13</f>
        <v>100|3</v>
      </c>
      <c r="B5547" s="10" t="str">
        <f>参数调整!$J$36</f>
        <v>新增怪物种类1掉落</v>
      </c>
      <c r="C5547" s="8" t="str">
        <f>材料产出!$T$2</f>
        <v>洗髓丹</v>
      </c>
      <c r="D5547" s="224">
        <f>参数调整!$K$36*怪物掉落配置方案!$D4521</f>
        <v>2.9906386631259893E-3</v>
      </c>
    </row>
    <row r="5548" spans="1:4" ht="16.5" hidden="1" x14ac:dyDescent="0.3">
      <c r="A5548" s="10" t="str">
        <f>基本属性!$B$14&amp;"|"&amp;基本属性!$C$14</f>
        <v>105|4</v>
      </c>
      <c r="B5548" s="10" t="str">
        <f>参数调整!$J$36</f>
        <v>新增怪物种类1掉落</v>
      </c>
      <c r="C5548" s="8" t="str">
        <f>材料产出!$T$2</f>
        <v>洗髓丹</v>
      </c>
      <c r="D5548" s="224">
        <f>参数调整!$K$36*怪物掉落配置方案!$D4522</f>
        <v>3.6921464976864059E-3</v>
      </c>
    </row>
    <row r="5549" spans="1:4" ht="16.5" hidden="1" x14ac:dyDescent="0.3">
      <c r="A5549" s="10" t="str">
        <f>基本属性!$B$15&amp;"|"&amp;基本属性!$C$15</f>
        <v>110|5</v>
      </c>
      <c r="B5549" s="10" t="str">
        <f>参数调整!$J$36</f>
        <v>新增怪物种类1掉落</v>
      </c>
      <c r="C5549" s="8" t="str">
        <f>材料产出!$T$2</f>
        <v>洗髓丹</v>
      </c>
      <c r="D5549" s="224">
        <f>参数调整!$K$36*怪物掉落配置方案!$D4523</f>
        <v>4.467497262200552E-3</v>
      </c>
    </row>
    <row r="5550" spans="1:4" ht="16.5" hidden="1" x14ac:dyDescent="0.3">
      <c r="A5550" s="10" t="str">
        <f>基本属性!$B$16&amp;"|"&amp;基本属性!$C$16</f>
        <v>120|6</v>
      </c>
      <c r="B5550" s="10" t="str">
        <f>参数调整!$J$36</f>
        <v>新增怪物种类1掉落</v>
      </c>
      <c r="C5550" s="8" t="str">
        <f>材料产出!$T$2</f>
        <v>洗髓丹</v>
      </c>
      <c r="D5550" s="224">
        <f>参数调整!$K$36*怪物掉落配置方案!$D4524</f>
        <v>5.7689789026350094E-3</v>
      </c>
    </row>
    <row r="5551" spans="1:4" ht="16.5" hidden="1" x14ac:dyDescent="0.3">
      <c r="A5551" s="10" t="str">
        <f>基本属性!$B$17&amp;"|"&amp;基本属性!$C$17</f>
        <v>135|7</v>
      </c>
      <c r="B5551" s="10" t="str">
        <f>参数调整!$J$36</f>
        <v>新增怪物种类1掉落</v>
      </c>
      <c r="C5551" s="8" t="str">
        <f>材料产出!$T$2</f>
        <v>洗髓丹</v>
      </c>
      <c r="D5551" s="224">
        <f>参数调整!$K$36*怪物掉落配置方案!$D4525</f>
        <v>8.3073296197944142E-3</v>
      </c>
    </row>
    <row r="5552" spans="1:4" ht="16.5" hidden="1" x14ac:dyDescent="0.3">
      <c r="A5552" s="10" t="str">
        <f>基本属性!$B$18&amp;"|"&amp;基本属性!$C$18</f>
        <v>155|8</v>
      </c>
      <c r="B5552" s="10" t="str">
        <f>参数调整!$J$36</f>
        <v>新增怪物种类1掉落</v>
      </c>
      <c r="C5552" s="8" t="str">
        <f>材料产出!$T$2</f>
        <v>洗髓丹</v>
      </c>
      <c r="D5552" s="224">
        <f>参数调整!$K$36*怪物掉落配置方案!$D4526</f>
        <v>1.1307198649164621E-2</v>
      </c>
    </row>
    <row r="5553" spans="1:4" ht="16.5" hidden="1" x14ac:dyDescent="0.3">
      <c r="A5553" s="10" t="str">
        <f>基本属性!$B$19&amp;"|"&amp;基本属性!$C$19</f>
        <v>190|9</v>
      </c>
      <c r="B5553" s="10" t="str">
        <f>参数调整!$J$36</f>
        <v>新增怪物种类1掉落</v>
      </c>
      <c r="C5553" s="8" t="str">
        <f>材料产出!$T$2</f>
        <v>洗髓丹</v>
      </c>
      <c r="D5553" s="224">
        <f>参数调整!$K$36*怪物掉落配置方案!$D4527</f>
        <v>1.2636371388331727E-2</v>
      </c>
    </row>
    <row r="5554" spans="1:4" ht="16.5" hidden="1" x14ac:dyDescent="0.3">
      <c r="A5554" s="10" t="str">
        <f>基本属性!$B$20&amp;"|"&amp;基本属性!$C$20</f>
        <v>200|10</v>
      </c>
      <c r="B5554" s="10" t="str">
        <f>参数调整!$J$36</f>
        <v>新增怪物种类1掉落</v>
      </c>
      <c r="C5554" s="8" t="str">
        <f>材料产出!$T$2</f>
        <v>洗髓丹</v>
      </c>
      <c r="D5554" s="224">
        <f>参数调整!$K$36*怪物掉落配置方案!$D4528</f>
        <v>1.4768585990745623E-2</v>
      </c>
    </row>
    <row r="5555" spans="1:4" ht="16.5" hidden="1" x14ac:dyDescent="0.3">
      <c r="A5555" s="10" t="str">
        <f>基本属性!$B$21&amp;"|"&amp;基本属性!$C$21</f>
        <v>200|11</v>
      </c>
      <c r="B5555" s="10" t="str">
        <f>参数调整!$J$36</f>
        <v>新增怪物种类1掉落</v>
      </c>
      <c r="C5555" s="8" t="str">
        <f>材料产出!$T$2</f>
        <v>洗髓丹</v>
      </c>
      <c r="D5555" s="224">
        <f>参数调整!$K$36*怪物掉落配置方案!$D4529</f>
        <v>1.7066947185555407E-2</v>
      </c>
    </row>
    <row r="5556" spans="1:4" ht="16.5" hidden="1" x14ac:dyDescent="0.3">
      <c r="A5556" s="10" t="str">
        <f>基本属性!$B$22&amp;"|"&amp;基本属性!$C$22</f>
        <v>210|12</v>
      </c>
      <c r="B5556" s="10" t="str">
        <f>参数调整!$J$36</f>
        <v>新增怪物种类1掉落</v>
      </c>
      <c r="C5556" s="8" t="str">
        <f>材料产出!$T$2</f>
        <v>洗髓丹</v>
      </c>
      <c r="D5556" s="224">
        <f>参数调整!$K$36*怪物掉落配置方案!$D4530</f>
        <v>1.9531454972761084E-2</v>
      </c>
    </row>
    <row r="5557" spans="1:4" ht="16.5" hidden="1" x14ac:dyDescent="0.3">
      <c r="A5557" s="10" t="str">
        <f>基本属性!$B$23&amp;"|"&amp;基本属性!$C$23</f>
        <v>210|13</v>
      </c>
      <c r="B5557" s="10" t="str">
        <f>参数调整!$J$36</f>
        <v>新增怪物种类1掉落</v>
      </c>
      <c r="C5557" s="8" t="str">
        <f>材料产出!$T$2</f>
        <v>洗髓丹</v>
      </c>
      <c r="D5557" s="224">
        <f>参数调整!$K$36*怪物掉落配置方案!$D4531</f>
        <v>2.2162109352362656E-2</v>
      </c>
    </row>
    <row r="5558" spans="1:4" ht="16.5" hidden="1" x14ac:dyDescent="0.3">
      <c r="A5558" s="10" t="str">
        <f>基本属性!$B$24&amp;"|"&amp;基本属性!$C$24</f>
        <v>220|14</v>
      </c>
      <c r="B5558" s="10" t="str">
        <f>参数调整!$J$36</f>
        <v>新增怪物种类1掉落</v>
      </c>
      <c r="C5558" s="8" t="str">
        <f>材料产出!$T$2</f>
        <v>洗髓丹</v>
      </c>
      <c r="D5558" s="224">
        <f>参数调整!$K$36*怪物掉落配置方案!$D4532</f>
        <v>2.4958910324360106E-2</v>
      </c>
    </row>
    <row r="5559" spans="1:4" ht="16.5" hidden="1" x14ac:dyDescent="0.3">
      <c r="A5559" s="10" t="str">
        <f>基本属性!$B$25&amp;"|"&amp;基本属性!$C$25</f>
        <v>220|15</v>
      </c>
      <c r="B5559" s="10" t="str">
        <f>参数调整!$J$36</f>
        <v>新增怪物种类1掉落</v>
      </c>
      <c r="C5559" s="8" t="str">
        <f>材料产出!$T$2</f>
        <v>洗髓丹</v>
      </c>
      <c r="D5559" s="224">
        <f>参数调整!$K$36*怪物掉落配置方案!$D4533</f>
        <v>2.7921857888753444E-2</v>
      </c>
    </row>
    <row r="5560" spans="1:4" ht="16.5" hidden="1" x14ac:dyDescent="0.3">
      <c r="A5560" s="10" t="str">
        <f>基本属性!$B$26&amp;"|"&amp;基本属性!$C$26</f>
        <v>230|16</v>
      </c>
      <c r="B5560" s="10" t="str">
        <f>参数调整!$J$36</f>
        <v>新增怪物种类1掉落</v>
      </c>
      <c r="C5560" s="8" t="str">
        <f>材料产出!$T$2</f>
        <v>洗髓丹</v>
      </c>
      <c r="D5560" s="224">
        <f>参数调整!$K$36*怪物掉落配置方案!$D4534</f>
        <v>3.1050952045542674E-2</v>
      </c>
    </row>
    <row r="5561" spans="1:4" ht="16.5" hidden="1" x14ac:dyDescent="0.3">
      <c r="A5561" s="10" t="str">
        <f>基本属性!$B$27&amp;"|"&amp;基本属性!$C$27</f>
        <v>230|17</v>
      </c>
      <c r="B5561" s="10" t="str">
        <f>参数调整!$J$36</f>
        <v>新增怪物种类1掉落</v>
      </c>
      <c r="C5561" s="8" t="str">
        <f>材料产出!$T$2</f>
        <v>洗髓丹</v>
      </c>
      <c r="D5561" s="224">
        <f>参数调整!$K$36*怪物掉落配置方案!$D4535</f>
        <v>3.4346192794727788E-2</v>
      </c>
    </row>
    <row r="5562" spans="1:4" ht="16.5" hidden="1" x14ac:dyDescent="0.3">
      <c r="A5562" s="10" t="str">
        <f>基本属性!$B$28&amp;"|"&amp;基本属性!$C$28</f>
        <v>240|18</v>
      </c>
      <c r="B5562" s="10" t="str">
        <f>参数调整!$J$36</f>
        <v>新增怪物种类1掉落</v>
      </c>
      <c r="C5562" s="8" t="str">
        <f>材料产出!$T$2</f>
        <v>洗髓丹</v>
      </c>
      <c r="D5562" s="224">
        <f>参数调整!$K$36*怪物掉落配置方案!$D4536</f>
        <v>3.7807580136308805E-2</v>
      </c>
    </row>
    <row r="5563" spans="1:4" ht="16.5" hidden="1" x14ac:dyDescent="0.3">
      <c r="A5563" s="10" t="str">
        <f>基本属性!$B$29&amp;"|"&amp;基本属性!$C$29</f>
        <v>240|19</v>
      </c>
      <c r="B5563" s="10" t="str">
        <f>参数调整!$J$36</f>
        <v>新增怪物种类1掉落</v>
      </c>
      <c r="C5563" s="8" t="str">
        <f>材料产出!$T$2</f>
        <v>洗髓丹</v>
      </c>
      <c r="D5563" s="224">
        <f>参数调整!$K$36*怪物掉落配置方案!$D4537</f>
        <v>4.1435114070285696E-2</v>
      </c>
    </row>
    <row r="5564" spans="1:4" ht="16.5" hidden="1" x14ac:dyDescent="0.3">
      <c r="A5564" s="10" t="str">
        <f>基本属性!$B$30&amp;"|"&amp;基本属性!$C$30</f>
        <v>250|20</v>
      </c>
      <c r="B5564" s="10" t="str">
        <f>参数调整!$J$36</f>
        <v>新增怪物种类1掉落</v>
      </c>
      <c r="C5564" s="8" t="str">
        <f>材料产出!$T$2</f>
        <v>洗髓丹</v>
      </c>
      <c r="D5564" s="224">
        <f>参数调整!$K$36*怪物掉落配置方案!$D4538</f>
        <v>4.5228794596658468E-2</v>
      </c>
    </row>
    <row r="5565" spans="1:4" ht="16.5" hidden="1" x14ac:dyDescent="0.3">
      <c r="A5565" s="10" t="str">
        <f>基本属性!$B$4&amp;"|"&amp;基本属性!$C$4</f>
        <v>35|0</v>
      </c>
      <c r="B5565" s="10" t="str">
        <f>参数调整!$J$36</f>
        <v>新增怪物种类1掉落</v>
      </c>
      <c r="C5565" s="8" t="str">
        <f>材料产出!$AZ$2</f>
        <v>武器碎片</v>
      </c>
      <c r="D5565" s="224">
        <f>参数调整!$K$36*怪物掉落配置方案!$D4539</f>
        <v>8.1166972083899542E-6</v>
      </c>
    </row>
    <row r="5566" spans="1:4" ht="16.5" hidden="1" x14ac:dyDescent="0.3">
      <c r="A5566" s="10" t="str">
        <f>基本属性!$B$5&amp;"|"&amp;基本属性!$C$5</f>
        <v>40|0</v>
      </c>
      <c r="B5566" s="10" t="str">
        <f>参数调整!$J$36</f>
        <v>新增怪物种类1掉落</v>
      </c>
      <c r="C5566" s="8" t="str">
        <f>材料产出!$AZ$2</f>
        <v>武器碎片</v>
      </c>
      <c r="D5566" s="224">
        <f>参数调整!$K$36*怪物掉落配置方案!$D4540</f>
        <v>1.0272694904368536E-5</v>
      </c>
    </row>
    <row r="5567" spans="1:4" ht="16.5" hidden="1" x14ac:dyDescent="0.3">
      <c r="A5567" s="10" t="str">
        <f>基本属性!$B$6&amp;"|"&amp;基本属性!$C$6</f>
        <v>50|0</v>
      </c>
      <c r="B5567" s="10" t="str">
        <f>参数调整!$J$36</f>
        <v>新增怪物种类1掉落</v>
      </c>
      <c r="C5567" s="8" t="str">
        <f>材料产出!$AZ$2</f>
        <v>武器碎片</v>
      </c>
      <c r="D5567" s="224">
        <f>参数调整!$K$36*怪物掉落配置方案!$D4541</f>
        <v>1.2682339388109304E-5</v>
      </c>
    </row>
    <row r="5568" spans="1:4" ht="16.5" hidden="1" x14ac:dyDescent="0.3">
      <c r="A5568" s="10" t="str">
        <f>基本属性!$B$7&amp;"|"&amp;基本属性!$C$7</f>
        <v>60|0</v>
      </c>
      <c r="B5568" s="10" t="str">
        <f>参数调整!$J$36</f>
        <v>新增怪物种类1掉落</v>
      </c>
      <c r="C5568" s="8" t="str">
        <f>材料产出!$AZ$2</f>
        <v>武器碎片</v>
      </c>
      <c r="D5568" s="224">
        <f>参数调整!$K$36*怪物掉落配置方案!$D4542</f>
        <v>1.5345630659612257E-5</v>
      </c>
    </row>
    <row r="5569" spans="1:4" ht="16.5" hidden="1" x14ac:dyDescent="0.3">
      <c r="A5569" s="10" t="str">
        <f>基本属性!$B$8&amp;"|"&amp;基本属性!$C$8</f>
        <v>65|0</v>
      </c>
      <c r="B5569" s="10" t="str">
        <f>参数调整!$J$36</f>
        <v>新增怪物种类1掉落</v>
      </c>
      <c r="C5569" s="8" t="str">
        <f>材料产出!$AZ$2</f>
        <v>武器碎片</v>
      </c>
      <c r="D5569" s="224">
        <f>参数调整!$K$36*怪物掉落配置方案!$D4543</f>
        <v>1.8262568718877397E-5</v>
      </c>
    </row>
    <row r="5570" spans="1:4" ht="16.5" hidden="1" x14ac:dyDescent="0.3">
      <c r="A5570" s="10" t="str">
        <f>基本属性!$B$9&amp;"|"&amp;基本属性!$C$9</f>
        <v>70|0</v>
      </c>
      <c r="B5570" s="10" t="str">
        <f>参数调整!$J$36</f>
        <v>新增怪物种类1掉落</v>
      </c>
      <c r="C5570" s="8" t="str">
        <f>材料产出!$AZ$2</f>
        <v>武器碎片</v>
      </c>
      <c r="D5570" s="224">
        <f>参数调整!$K$36*怪物掉落配置方案!$D4544</f>
        <v>2.1433153565904723E-5</v>
      </c>
    </row>
    <row r="5571" spans="1:4" ht="16.5" hidden="1" x14ac:dyDescent="0.3">
      <c r="A5571" s="10" t="str">
        <f>基本属性!$B$10&amp;"|"&amp;基本属性!$C$10</f>
        <v>75|0</v>
      </c>
      <c r="B5571" s="10" t="str">
        <f>参数调整!$J$36</f>
        <v>新增怪物种类1掉落</v>
      </c>
      <c r="C5571" s="8" t="str">
        <f>材料产出!$AZ$2</f>
        <v>武器碎片</v>
      </c>
      <c r="D5571" s="224">
        <f>参数调整!$K$36*怪物掉落配置方案!$D4545</f>
        <v>2.4857385200694231E-5</v>
      </c>
    </row>
    <row r="5572" spans="1:4" ht="16.5" hidden="1" x14ac:dyDescent="0.3">
      <c r="A5572" s="10" t="str">
        <f>基本属性!$B$11&amp;"|"&amp;基本属性!$C$11</f>
        <v>80|1</v>
      </c>
      <c r="B5572" s="10" t="str">
        <f>参数调整!$J$36</f>
        <v>新增怪物种类1掉落</v>
      </c>
      <c r="C5572" s="8" t="str">
        <f>材料产出!$AZ$2</f>
        <v>武器碎片</v>
      </c>
      <c r="D5572" s="224">
        <f>参数调整!$K$36*怪物掉落配置方案!$D4546</f>
        <v>2.8535263623245931E-5</v>
      </c>
    </row>
    <row r="5573" spans="1:4" ht="16.5" hidden="1" x14ac:dyDescent="0.3">
      <c r="A5573" s="10" t="str">
        <f>基本属性!$B$12&amp;"|"&amp;基本属性!$C$12</f>
        <v>90|2</v>
      </c>
      <c r="B5573" s="10" t="str">
        <f>参数调整!$J$36</f>
        <v>新增怪物种类1掉落</v>
      </c>
      <c r="C5573" s="8" t="str">
        <f>材料产出!$AZ$2</f>
        <v>武器碎片</v>
      </c>
      <c r="D5573" s="224">
        <f>参数调整!$K$36*怪物掉落配置方案!$D4547</f>
        <v>3.2466788833559824E-5</v>
      </c>
    </row>
    <row r="5574" spans="1:4" ht="16.5" hidden="1" x14ac:dyDescent="0.3">
      <c r="A5574" s="10" t="str">
        <f>基本属性!$B$13&amp;"|"&amp;基本属性!$C$13</f>
        <v>100|3</v>
      </c>
      <c r="B5574" s="10" t="str">
        <f>参数调整!$J$36</f>
        <v>新增怪物种类1掉落</v>
      </c>
      <c r="C5574" s="8" t="str">
        <f>材料产出!$AZ$2</f>
        <v>武器碎片</v>
      </c>
      <c r="D5574" s="224">
        <f>参数调整!$K$36*怪物掉落配置方案!$D4548</f>
        <v>4.1090779617474149E-5</v>
      </c>
    </row>
    <row r="5575" spans="1:4" ht="16.5" hidden="1" x14ac:dyDescent="0.3">
      <c r="A5575" s="10" t="str">
        <f>基本属性!$B$14&amp;"|"&amp;基本属性!$C$14</f>
        <v>105|4</v>
      </c>
      <c r="B5575" s="10" t="str">
        <f>参数调整!$J$36</f>
        <v>新增怪物种类1掉落</v>
      </c>
      <c r="C5575" s="8" t="str">
        <f>材料产出!$AZ$2</f>
        <v>武器碎片</v>
      </c>
      <c r="D5575" s="224">
        <f>参数调整!$K$36*怪物掉落配置方案!$D4549</f>
        <v>5.0729357552437217E-5</v>
      </c>
    </row>
    <row r="5576" spans="1:4" ht="16.5" hidden="1" x14ac:dyDescent="0.3">
      <c r="A5576" s="10" t="str">
        <f>基本属性!$B$15&amp;"|"&amp;基本属性!$C$15</f>
        <v>110|5</v>
      </c>
      <c r="B5576" s="10" t="str">
        <f>参数调整!$J$36</f>
        <v>新增怪物种类1掉落</v>
      </c>
      <c r="C5576" s="8" t="str">
        <f>材料产出!$AZ$2</f>
        <v>武器碎片</v>
      </c>
      <c r="D5576" s="224">
        <f>参数调整!$K$36*怪物掉落配置方案!$D4550</f>
        <v>6.1382522638449042E-5</v>
      </c>
    </row>
    <row r="5577" spans="1:4" ht="16.5" hidden="1" x14ac:dyDescent="0.3">
      <c r="A5577" s="10" t="str">
        <f>基本属性!$B$16&amp;"|"&amp;基本属性!$C$16</f>
        <v>120|6</v>
      </c>
      <c r="B5577" s="10" t="str">
        <f>参数调整!$J$36</f>
        <v>新增怪物种类1掉落</v>
      </c>
      <c r="C5577" s="8" t="str">
        <f>材料产出!$AZ$2</f>
        <v>武器碎片</v>
      </c>
      <c r="D5577" s="224">
        <f>参数调整!$K$36*怪物掉落配置方案!$D4551</f>
        <v>7.9264621175683162E-5</v>
      </c>
    </row>
    <row r="5578" spans="1:4" ht="16.5" hidden="1" x14ac:dyDescent="0.3">
      <c r="A5578" s="10" t="str">
        <f>基本属性!$B$17&amp;"|"&amp;基本属性!$C$17</f>
        <v>135|7</v>
      </c>
      <c r="B5578" s="10" t="str">
        <f>参数调整!$J$36</f>
        <v>新增怪物种类1掉落</v>
      </c>
      <c r="C5578" s="8" t="str">
        <f>材料产出!$AZ$2</f>
        <v>武器碎片</v>
      </c>
      <c r="D5578" s="224">
        <f>参数调整!$K$36*怪物掉落配置方案!$D4552</f>
        <v>1.1414105449298372E-4</v>
      </c>
    </row>
    <row r="5579" spans="1:4" ht="16.5" hidden="1" x14ac:dyDescent="0.3">
      <c r="A5579" s="10" t="str">
        <f>基本属性!$B$18&amp;"|"&amp;基本属性!$C$18</f>
        <v>155|8</v>
      </c>
      <c r="B5579" s="10" t="str">
        <f>参数调整!$J$36</f>
        <v>新增怪物种类1掉落</v>
      </c>
      <c r="C5579" s="8" t="str">
        <f>材料产出!$AZ$2</f>
        <v>武器碎片</v>
      </c>
      <c r="D5579" s="224">
        <f>参数调整!$K$36*怪物掉落配置方案!$D4553</f>
        <v>1.5535865750433898E-4</v>
      </c>
    </row>
    <row r="5580" spans="1:4" ht="16.5" hidden="1" x14ac:dyDescent="0.3">
      <c r="A5580" s="10" t="str">
        <f>基本属性!$B$19&amp;"|"&amp;基本属性!$C$19</f>
        <v>190|9</v>
      </c>
      <c r="B5580" s="10" t="str">
        <f>参数调整!$J$36</f>
        <v>新增怪物种类1掉落</v>
      </c>
      <c r="C5580" s="8" t="str">
        <f>材料产出!$AZ$2</f>
        <v>武器碎片</v>
      </c>
      <c r="D5580" s="224">
        <f>参数调整!$K$36*怪物掉落配置方案!$D4554</f>
        <v>1.7362122622321637E-4</v>
      </c>
    </row>
    <row r="5581" spans="1:4" ht="16.5" hidden="1" x14ac:dyDescent="0.3">
      <c r="A5581" s="10" t="str">
        <f>基本属性!$B$20&amp;"|"&amp;基本属性!$C$20</f>
        <v>200|10</v>
      </c>
      <c r="B5581" s="10" t="str">
        <f>参数调整!$J$36</f>
        <v>新增怪物种类1掉落</v>
      </c>
      <c r="C5581" s="8" t="str">
        <f>材料产出!$AZ$2</f>
        <v>武器碎片</v>
      </c>
      <c r="D5581" s="224">
        <f>参数调整!$K$36*怪物掉落配置方案!$D4555</f>
        <v>2.0291743020974887E-4</v>
      </c>
    </row>
    <row r="5582" spans="1:4" ht="16.5" hidden="1" x14ac:dyDescent="0.3">
      <c r="A5582" s="10" t="str">
        <f>基本属性!$B$21&amp;"|"&amp;基本属性!$C$21</f>
        <v>200|11</v>
      </c>
      <c r="B5582" s="10" t="str">
        <f>参数调整!$J$36</f>
        <v>新增怪物种类1掉落</v>
      </c>
      <c r="C5582" s="8" t="str">
        <f>材料产出!$AZ$2</f>
        <v>武器碎片</v>
      </c>
      <c r="D5582" s="224">
        <f>参数调整!$K$36*怪物掉落配置方案!$D4556</f>
        <v>2.3449645528614095E-4</v>
      </c>
    </row>
    <row r="5583" spans="1:4" ht="16.5" hidden="1" x14ac:dyDescent="0.3">
      <c r="A5583" s="10" t="str">
        <f>基本属性!$B$22&amp;"|"&amp;基本属性!$C$22</f>
        <v>210|12</v>
      </c>
      <c r="B5583" s="10" t="str">
        <f>参数调整!$J$36</f>
        <v>新增怪物种类1掉落</v>
      </c>
      <c r="C5583" s="8" t="str">
        <f>材料产出!$AZ$2</f>
        <v>武器碎片</v>
      </c>
      <c r="D5583" s="224">
        <f>参数调整!$K$36*怪物掉落配置方案!$D4557</f>
        <v>2.6835830145239279E-4</v>
      </c>
    </row>
    <row r="5584" spans="1:4" ht="16.5" hidden="1" x14ac:dyDescent="0.3">
      <c r="A5584" s="10" t="str">
        <f>基本属性!$B$23&amp;"|"&amp;基本属性!$C$23</f>
        <v>210|13</v>
      </c>
      <c r="B5584" s="10" t="str">
        <f>参数调整!$J$36</f>
        <v>新增怪物种类1掉落</v>
      </c>
      <c r="C5584" s="8" t="str">
        <f>材料产出!$AZ$2</f>
        <v>武器碎片</v>
      </c>
      <c r="D5584" s="224">
        <f>参数调整!$K$36*怪物掉落配置方案!$D4558</f>
        <v>3.0450296870850442E-4</v>
      </c>
    </row>
    <row r="5585" spans="1:4" ht="16.5" hidden="1" x14ac:dyDescent="0.3">
      <c r="A5585" s="10" t="str">
        <f>基本属性!$B$24&amp;"|"&amp;基本属性!$C$24</f>
        <v>220|14</v>
      </c>
      <c r="B5585" s="10" t="str">
        <f>参数调整!$J$36</f>
        <v>新增怪物种类1掉落</v>
      </c>
      <c r="C5585" s="8" t="str">
        <f>材料产出!$AZ$2</f>
        <v>武器碎片</v>
      </c>
      <c r="D5585" s="224">
        <f>参数调整!$K$36*怪物掉落配置方案!$D4559</f>
        <v>3.4293045705447556E-4</v>
      </c>
    </row>
    <row r="5586" spans="1:4" ht="16.5" hidden="1" x14ac:dyDescent="0.3">
      <c r="A5586" s="10" t="str">
        <f>基本属性!$B$25&amp;"|"&amp;基本属性!$C$25</f>
        <v>220|15</v>
      </c>
      <c r="B5586" s="10" t="str">
        <f>参数调整!$J$36</f>
        <v>新增怪物种类1掉落</v>
      </c>
      <c r="C5586" s="8" t="str">
        <f>材料产出!$AZ$2</f>
        <v>武器碎片</v>
      </c>
      <c r="D5586" s="224">
        <f>参数调整!$K$36*怪物掉落配置方案!$D4560</f>
        <v>3.8364076649030632E-4</v>
      </c>
    </row>
    <row r="5587" spans="1:4" ht="16.5" hidden="1" x14ac:dyDescent="0.3">
      <c r="A5587" s="10" t="str">
        <f>基本属性!$B$26&amp;"|"&amp;基本属性!$C$26</f>
        <v>230|16</v>
      </c>
      <c r="B5587" s="10" t="str">
        <f>参数调整!$J$36</f>
        <v>新增怪物种类1掉落</v>
      </c>
      <c r="C5587" s="8" t="str">
        <f>材料产出!$AZ$2</f>
        <v>武器碎片</v>
      </c>
      <c r="D5587" s="224">
        <f>参数调整!$K$36*怪物掉落配置方案!$D4561</f>
        <v>4.266338970159969E-4</v>
      </c>
    </row>
    <row r="5588" spans="1:4" ht="16.5" hidden="1" x14ac:dyDescent="0.3">
      <c r="A5588" s="10" t="str">
        <f>基本属性!$B$27&amp;"|"&amp;基本属性!$C$27</f>
        <v>230|17</v>
      </c>
      <c r="B5588" s="10" t="str">
        <f>参数调整!$J$36</f>
        <v>新增怪物种类1掉落</v>
      </c>
      <c r="C5588" s="8" t="str">
        <f>材料产出!$AZ$2</f>
        <v>武器碎片</v>
      </c>
      <c r="D5588" s="224">
        <f>参数调整!$K$36*怪物掉落配置方案!$D4562</f>
        <v>4.719098486315471E-4</v>
      </c>
    </row>
    <row r="5589" spans="1:4" ht="16.5" hidden="1" x14ac:dyDescent="0.3">
      <c r="A5589" s="10" t="str">
        <f>基本属性!$B$28&amp;"|"&amp;基本属性!$C$28</f>
        <v>240|18</v>
      </c>
      <c r="B5589" s="10" t="str">
        <f>参数调整!$J$36</f>
        <v>新增怪物种类1掉落</v>
      </c>
      <c r="C5589" s="8" t="str">
        <f>材料产出!$AZ$2</f>
        <v>武器碎片</v>
      </c>
      <c r="D5589" s="224">
        <f>参数调整!$K$36*怪物掉落配置方案!$D4563</f>
        <v>5.1946862133695707E-4</v>
      </c>
    </row>
    <row r="5590" spans="1:4" ht="16.5" hidden="1" x14ac:dyDescent="0.3">
      <c r="A5590" s="10" t="str">
        <f>基本属性!$B$29&amp;"|"&amp;基本属性!$C$29</f>
        <v>240|19</v>
      </c>
      <c r="B5590" s="10" t="str">
        <f>参数调整!$J$36</f>
        <v>新增怪物种类1掉落</v>
      </c>
      <c r="C5590" s="8" t="str">
        <f>材料产出!$AZ$2</f>
        <v>武器碎片</v>
      </c>
      <c r="D5590" s="224">
        <f>参数调整!$K$36*怪物掉落配置方案!$D4564</f>
        <v>5.6931021513222666E-4</v>
      </c>
    </row>
    <row r="5591" spans="1:4" ht="16.5" hidden="1" x14ac:dyDescent="0.3">
      <c r="A5591" s="10" t="str">
        <f>基本属性!$B$30&amp;"|"&amp;基本属性!$C$30</f>
        <v>250|20</v>
      </c>
      <c r="B5591" s="10" t="str">
        <f>参数调整!$J$36</f>
        <v>新增怪物种类1掉落</v>
      </c>
      <c r="C5591" s="8" t="str">
        <f>材料产出!$AZ$2</f>
        <v>武器碎片</v>
      </c>
      <c r="D5591" s="224">
        <f>参数调整!$K$36*怪物掉落配置方案!$D4565</f>
        <v>6.214346300173557E-4</v>
      </c>
    </row>
    <row r="5592" spans="1:4" ht="16.5" hidden="1" x14ac:dyDescent="0.3">
      <c r="A5592" s="10" t="str">
        <f>基本属性!$B$4&amp;"|"&amp;基本属性!$C$4</f>
        <v>35|0</v>
      </c>
      <c r="B5592" s="10" t="str">
        <f>参数调整!$J$36</f>
        <v>新增怪物种类1掉落</v>
      </c>
      <c r="C5592" s="8" t="str">
        <f>材料产出!$HW$2</f>
        <v>特戒装备</v>
      </c>
      <c r="D5592" s="224">
        <f>参数调整!$K$36*怪物掉落配置方案!$D4566</f>
        <v>0</v>
      </c>
    </row>
    <row r="5593" spans="1:4" ht="16.5" hidden="1" x14ac:dyDescent="0.3">
      <c r="A5593" s="10" t="str">
        <f>基本属性!$B$5&amp;"|"&amp;基本属性!$C$5</f>
        <v>40|0</v>
      </c>
      <c r="B5593" s="10" t="str">
        <f>参数调整!$J$36</f>
        <v>新增怪物种类1掉落</v>
      </c>
      <c r="C5593" s="8" t="str">
        <f>材料产出!$HW$2</f>
        <v>特戒装备</v>
      </c>
      <c r="D5593" s="224">
        <f>参数调整!$K$36*怪物掉落配置方案!$D4567</f>
        <v>0</v>
      </c>
    </row>
    <row r="5594" spans="1:4" ht="16.5" hidden="1" x14ac:dyDescent="0.3">
      <c r="A5594" s="10" t="str">
        <f>基本属性!$B$6&amp;"|"&amp;基本属性!$C$6</f>
        <v>50|0</v>
      </c>
      <c r="B5594" s="10" t="str">
        <f>参数调整!$J$36</f>
        <v>新增怪物种类1掉落</v>
      </c>
      <c r="C5594" s="8" t="str">
        <f>材料产出!$HW$2</f>
        <v>特戒装备</v>
      </c>
      <c r="D5594" s="224">
        <f>参数调整!$K$36*怪物掉落配置方案!$D4568</f>
        <v>0</v>
      </c>
    </row>
    <row r="5595" spans="1:4" ht="16.5" hidden="1" x14ac:dyDescent="0.3">
      <c r="A5595" s="10" t="str">
        <f>基本属性!$B$7&amp;"|"&amp;基本属性!$C$7</f>
        <v>60|0</v>
      </c>
      <c r="B5595" s="10" t="str">
        <f>参数调整!$J$36</f>
        <v>新增怪物种类1掉落</v>
      </c>
      <c r="C5595" s="8" t="str">
        <f>材料产出!$HW$2</f>
        <v>特戒装备</v>
      </c>
      <c r="D5595" s="224">
        <f>参数调整!$K$36*怪物掉落配置方案!$D4569</f>
        <v>0</v>
      </c>
    </row>
    <row r="5596" spans="1:4" ht="16.5" hidden="1" x14ac:dyDescent="0.3">
      <c r="A5596" s="10" t="str">
        <f>基本属性!$B$8&amp;"|"&amp;基本属性!$C$8</f>
        <v>65|0</v>
      </c>
      <c r="B5596" s="10" t="str">
        <f>参数调整!$J$36</f>
        <v>新增怪物种类1掉落</v>
      </c>
      <c r="C5596" s="8" t="str">
        <f>材料产出!$HW$2</f>
        <v>特戒装备</v>
      </c>
      <c r="D5596" s="224">
        <f>参数调整!$K$36*怪物掉落配置方案!$D4570</f>
        <v>0</v>
      </c>
    </row>
    <row r="5597" spans="1:4" ht="16.5" hidden="1" x14ac:dyDescent="0.3">
      <c r="A5597" s="10" t="str">
        <f>基本属性!$B$9&amp;"|"&amp;基本属性!$C$9</f>
        <v>70|0</v>
      </c>
      <c r="B5597" s="10" t="str">
        <f>参数调整!$J$36</f>
        <v>新增怪物种类1掉落</v>
      </c>
      <c r="C5597" s="8" t="str">
        <f>材料产出!$HW$2</f>
        <v>特戒装备</v>
      </c>
      <c r="D5597" s="224">
        <f>参数调整!$K$36*怪物掉落配置方案!$D4571</f>
        <v>0</v>
      </c>
    </row>
    <row r="5598" spans="1:4" ht="16.5" hidden="1" x14ac:dyDescent="0.3">
      <c r="A5598" s="10" t="str">
        <f>基本属性!$B$10&amp;"|"&amp;基本属性!$C$10</f>
        <v>75|0</v>
      </c>
      <c r="B5598" s="10" t="str">
        <f>参数调整!$J$36</f>
        <v>新增怪物种类1掉落</v>
      </c>
      <c r="C5598" s="8" t="str">
        <f>材料产出!$HW$2</f>
        <v>特戒装备</v>
      </c>
      <c r="D5598" s="224">
        <f>参数调整!$K$36*怪物掉落配置方案!$D4572</f>
        <v>0</v>
      </c>
    </row>
    <row r="5599" spans="1:4" ht="16.5" hidden="1" x14ac:dyDescent="0.3">
      <c r="A5599" s="10" t="str">
        <f>基本属性!$B$11&amp;"|"&amp;基本属性!$C$11</f>
        <v>80|1</v>
      </c>
      <c r="B5599" s="10" t="str">
        <f>参数调整!$J$36</f>
        <v>新增怪物种类1掉落</v>
      </c>
      <c r="C5599" s="8" t="str">
        <f>材料产出!$HW$2</f>
        <v>特戒装备</v>
      </c>
      <c r="D5599" s="224">
        <f>参数调整!$K$36*怪物掉落配置方案!$D4573</f>
        <v>0</v>
      </c>
    </row>
    <row r="5600" spans="1:4" ht="16.5" hidden="1" x14ac:dyDescent="0.3">
      <c r="A5600" s="10" t="str">
        <f>基本属性!$B$12&amp;"|"&amp;基本属性!$C$12</f>
        <v>90|2</v>
      </c>
      <c r="B5600" s="10" t="str">
        <f>参数调整!$J$36</f>
        <v>新增怪物种类1掉落</v>
      </c>
      <c r="C5600" s="8" t="str">
        <f>材料产出!$HW$2</f>
        <v>特戒装备</v>
      </c>
      <c r="D5600" s="224">
        <f>参数调整!$K$36*怪物掉落配置方案!$D4574</f>
        <v>0</v>
      </c>
    </row>
    <row r="5601" spans="1:4" ht="16.5" hidden="1" x14ac:dyDescent="0.3">
      <c r="A5601" s="10" t="str">
        <f>基本属性!$B$13&amp;"|"&amp;基本属性!$C$13</f>
        <v>100|3</v>
      </c>
      <c r="B5601" s="10" t="str">
        <f>参数调整!$J$36</f>
        <v>新增怪物种类1掉落</v>
      </c>
      <c r="C5601" s="8" t="str">
        <f>材料产出!$HW$2</f>
        <v>特戒装备</v>
      </c>
      <c r="D5601" s="224">
        <f>参数调整!$K$36*怪物掉落配置方案!$D4575</f>
        <v>0</v>
      </c>
    </row>
    <row r="5602" spans="1:4" ht="16.5" hidden="1" x14ac:dyDescent="0.3">
      <c r="A5602" s="10" t="str">
        <f>基本属性!$B$14&amp;"|"&amp;基本属性!$C$14</f>
        <v>105|4</v>
      </c>
      <c r="B5602" s="10" t="str">
        <f>参数调整!$J$36</f>
        <v>新增怪物种类1掉落</v>
      </c>
      <c r="C5602" s="8" t="str">
        <f>材料产出!$HW$2</f>
        <v>特戒装备</v>
      </c>
      <c r="D5602" s="224">
        <f>参数调整!$K$36*怪物掉落配置方案!$D4576</f>
        <v>0</v>
      </c>
    </row>
    <row r="5603" spans="1:4" ht="16.5" hidden="1" x14ac:dyDescent="0.3">
      <c r="A5603" s="10" t="str">
        <f>基本属性!$B$15&amp;"|"&amp;基本属性!$C$15</f>
        <v>110|5</v>
      </c>
      <c r="B5603" s="10" t="str">
        <f>参数调整!$J$36</f>
        <v>新增怪物种类1掉落</v>
      </c>
      <c r="C5603" s="8" t="str">
        <f>材料产出!$HW$2</f>
        <v>特戒装备</v>
      </c>
      <c r="D5603" s="224">
        <f>参数调整!$K$36*怪物掉落配置方案!$D4577</f>
        <v>0</v>
      </c>
    </row>
    <row r="5604" spans="1:4" ht="16.5" hidden="1" x14ac:dyDescent="0.3">
      <c r="A5604" s="10" t="str">
        <f>基本属性!$B$16&amp;"|"&amp;基本属性!$C$16</f>
        <v>120|6</v>
      </c>
      <c r="B5604" s="10" t="str">
        <f>参数调整!$J$36</f>
        <v>新增怪物种类1掉落</v>
      </c>
      <c r="C5604" s="8" t="str">
        <f>材料产出!$HW$2</f>
        <v>特戒装备</v>
      </c>
      <c r="D5604" s="224">
        <f>参数调整!$K$36*怪物掉落配置方案!$D4578</f>
        <v>0</v>
      </c>
    </row>
    <row r="5605" spans="1:4" ht="16.5" hidden="1" x14ac:dyDescent="0.3">
      <c r="A5605" s="10" t="str">
        <f>基本属性!$B$17&amp;"|"&amp;基本属性!$C$17</f>
        <v>135|7</v>
      </c>
      <c r="B5605" s="10" t="str">
        <f>参数调整!$J$36</f>
        <v>新增怪物种类1掉落</v>
      </c>
      <c r="C5605" s="8" t="str">
        <f>材料产出!$HW$2</f>
        <v>特戒装备</v>
      </c>
      <c r="D5605" s="224">
        <f>参数调整!$K$36*怪物掉落配置方案!$D4579</f>
        <v>0</v>
      </c>
    </row>
    <row r="5606" spans="1:4" ht="16.5" hidden="1" x14ac:dyDescent="0.3">
      <c r="A5606" s="10" t="str">
        <f>基本属性!$B$18&amp;"|"&amp;基本属性!$C$18</f>
        <v>155|8</v>
      </c>
      <c r="B5606" s="10" t="str">
        <f>参数调整!$J$36</f>
        <v>新增怪物种类1掉落</v>
      </c>
      <c r="C5606" s="8" t="str">
        <f>材料产出!$HW$2</f>
        <v>特戒装备</v>
      </c>
      <c r="D5606" s="224">
        <f>参数调整!$K$36*怪物掉落配置方案!$D4580</f>
        <v>0</v>
      </c>
    </row>
    <row r="5607" spans="1:4" ht="16.5" hidden="1" x14ac:dyDescent="0.3">
      <c r="A5607" s="10" t="str">
        <f>基本属性!$B$19&amp;"|"&amp;基本属性!$C$19</f>
        <v>190|9</v>
      </c>
      <c r="B5607" s="10" t="str">
        <f>参数调整!$J$36</f>
        <v>新增怪物种类1掉落</v>
      </c>
      <c r="C5607" s="8" t="str">
        <f>材料产出!$HW$2</f>
        <v>特戒装备</v>
      </c>
      <c r="D5607" s="224">
        <f>参数调整!$K$36*怪物掉落配置方案!$D4581</f>
        <v>0</v>
      </c>
    </row>
    <row r="5608" spans="1:4" ht="16.5" hidden="1" x14ac:dyDescent="0.3">
      <c r="A5608" s="10" t="str">
        <f>基本属性!$B$20&amp;"|"&amp;基本属性!$C$20</f>
        <v>200|10</v>
      </c>
      <c r="B5608" s="10" t="str">
        <f>参数调整!$J$36</f>
        <v>新增怪物种类1掉落</v>
      </c>
      <c r="C5608" s="8" t="str">
        <f>材料产出!$HW$2</f>
        <v>特戒装备</v>
      </c>
      <c r="D5608" s="224">
        <f>参数调整!$K$36*怪物掉落配置方案!$D4582</f>
        <v>0</v>
      </c>
    </row>
    <row r="5609" spans="1:4" ht="16.5" hidden="1" x14ac:dyDescent="0.3">
      <c r="A5609" s="10" t="str">
        <f>基本属性!$B$21&amp;"|"&amp;基本属性!$C$21</f>
        <v>200|11</v>
      </c>
      <c r="B5609" s="10" t="str">
        <f>参数调整!$J$36</f>
        <v>新增怪物种类1掉落</v>
      </c>
      <c r="C5609" s="8" t="str">
        <f>材料产出!$HW$2</f>
        <v>特戒装备</v>
      </c>
      <c r="D5609" s="224">
        <f>参数调整!$K$36*怪物掉落配置方案!$D4583</f>
        <v>0</v>
      </c>
    </row>
    <row r="5610" spans="1:4" ht="16.5" hidden="1" x14ac:dyDescent="0.3">
      <c r="A5610" s="10" t="str">
        <f>基本属性!$B$22&amp;"|"&amp;基本属性!$C$22</f>
        <v>210|12</v>
      </c>
      <c r="B5610" s="10" t="str">
        <f>参数调整!$J$36</f>
        <v>新增怪物种类1掉落</v>
      </c>
      <c r="C5610" s="8" t="str">
        <f>材料产出!$HW$2</f>
        <v>特戒装备</v>
      </c>
      <c r="D5610" s="224">
        <f>参数调整!$K$36*怪物掉落配置方案!$D4584</f>
        <v>0</v>
      </c>
    </row>
    <row r="5611" spans="1:4" ht="16.5" hidden="1" x14ac:dyDescent="0.3">
      <c r="A5611" s="10" t="str">
        <f>基本属性!$B$23&amp;"|"&amp;基本属性!$C$23</f>
        <v>210|13</v>
      </c>
      <c r="B5611" s="10" t="str">
        <f>参数调整!$J$36</f>
        <v>新增怪物种类1掉落</v>
      </c>
      <c r="C5611" s="8" t="str">
        <f>材料产出!$HW$2</f>
        <v>特戒装备</v>
      </c>
      <c r="D5611" s="224">
        <f>参数调整!$K$36*怪物掉落配置方案!$D4585</f>
        <v>0</v>
      </c>
    </row>
    <row r="5612" spans="1:4" ht="16.5" hidden="1" x14ac:dyDescent="0.3">
      <c r="A5612" s="10" t="str">
        <f>基本属性!$B$24&amp;"|"&amp;基本属性!$C$24</f>
        <v>220|14</v>
      </c>
      <c r="B5612" s="10" t="str">
        <f>参数调整!$J$36</f>
        <v>新增怪物种类1掉落</v>
      </c>
      <c r="C5612" s="8" t="str">
        <f>材料产出!$HW$2</f>
        <v>特戒装备</v>
      </c>
      <c r="D5612" s="224">
        <f>参数调整!$K$36*怪物掉落配置方案!$D4586</f>
        <v>0</v>
      </c>
    </row>
    <row r="5613" spans="1:4" ht="16.5" hidden="1" x14ac:dyDescent="0.3">
      <c r="A5613" s="10" t="str">
        <f>基本属性!$B$25&amp;"|"&amp;基本属性!$C$25</f>
        <v>220|15</v>
      </c>
      <c r="B5613" s="10" t="str">
        <f>参数调整!$J$36</f>
        <v>新增怪物种类1掉落</v>
      </c>
      <c r="C5613" s="8" t="str">
        <f>材料产出!$HW$2</f>
        <v>特戒装备</v>
      </c>
      <c r="D5613" s="224">
        <f>参数调整!$K$36*怪物掉落配置方案!$D4587</f>
        <v>0</v>
      </c>
    </row>
    <row r="5614" spans="1:4" ht="16.5" hidden="1" x14ac:dyDescent="0.3">
      <c r="A5614" s="10" t="str">
        <f>基本属性!$B$26&amp;"|"&amp;基本属性!$C$26</f>
        <v>230|16</v>
      </c>
      <c r="B5614" s="10" t="str">
        <f>参数调整!$J$36</f>
        <v>新增怪物种类1掉落</v>
      </c>
      <c r="C5614" s="8" t="str">
        <f>材料产出!$HW$2</f>
        <v>特戒装备</v>
      </c>
      <c r="D5614" s="224">
        <f>参数调整!$K$36*怪物掉落配置方案!$D4588</f>
        <v>0</v>
      </c>
    </row>
    <row r="5615" spans="1:4" ht="16.5" hidden="1" x14ac:dyDescent="0.3">
      <c r="A5615" s="10" t="str">
        <f>基本属性!$B$27&amp;"|"&amp;基本属性!$C$27</f>
        <v>230|17</v>
      </c>
      <c r="B5615" s="10" t="str">
        <f>参数调整!$J$36</f>
        <v>新增怪物种类1掉落</v>
      </c>
      <c r="C5615" s="8" t="str">
        <f>材料产出!$HW$2</f>
        <v>特戒装备</v>
      </c>
      <c r="D5615" s="224">
        <f>参数调整!$K$36*怪物掉落配置方案!$D4589</f>
        <v>0</v>
      </c>
    </row>
    <row r="5616" spans="1:4" ht="16.5" hidden="1" x14ac:dyDescent="0.3">
      <c r="A5616" s="10" t="str">
        <f>基本属性!$B$28&amp;"|"&amp;基本属性!$C$28</f>
        <v>240|18</v>
      </c>
      <c r="B5616" s="10" t="str">
        <f>参数调整!$J$36</f>
        <v>新增怪物种类1掉落</v>
      </c>
      <c r="C5616" s="8" t="str">
        <f>材料产出!$HW$2</f>
        <v>特戒装备</v>
      </c>
      <c r="D5616" s="224">
        <f>参数调整!$K$36*怪物掉落配置方案!$D4590</f>
        <v>0</v>
      </c>
    </row>
    <row r="5617" spans="1:4" ht="16.5" hidden="1" x14ac:dyDescent="0.3">
      <c r="A5617" s="10" t="str">
        <f>基本属性!$B$29&amp;"|"&amp;基本属性!$C$29</f>
        <v>240|19</v>
      </c>
      <c r="B5617" s="10" t="str">
        <f>参数调整!$J$36</f>
        <v>新增怪物种类1掉落</v>
      </c>
      <c r="C5617" s="8" t="str">
        <f>材料产出!$HW$2</f>
        <v>特戒装备</v>
      </c>
      <c r="D5617" s="224">
        <f>参数调整!$K$36*怪物掉落配置方案!$D4591</f>
        <v>0</v>
      </c>
    </row>
    <row r="5618" spans="1:4" ht="16.5" hidden="1" x14ac:dyDescent="0.3">
      <c r="A5618" s="10" t="str">
        <f>基本属性!$B$30&amp;"|"&amp;基本属性!$C$30</f>
        <v>250|20</v>
      </c>
      <c r="B5618" s="10" t="str">
        <f>参数调整!$J$36</f>
        <v>新增怪物种类1掉落</v>
      </c>
      <c r="C5618" s="8" t="str">
        <f>材料产出!$HW$2</f>
        <v>特戒装备</v>
      </c>
      <c r="D5618" s="224">
        <f>参数调整!$K$36*怪物掉落配置方案!$D4592</f>
        <v>0</v>
      </c>
    </row>
    <row r="5619" spans="1:4" ht="16.5" hidden="1" x14ac:dyDescent="0.3">
      <c r="A5619" s="10" t="str">
        <f>基本属性!$B$4&amp;"|"&amp;基本属性!$C$4</f>
        <v>35|0</v>
      </c>
      <c r="B5619" s="10" t="str">
        <f>参数调整!$J$36</f>
        <v>新增怪物种类1掉落</v>
      </c>
      <c r="C5619" s="8" t="str">
        <f>材料产出!$BF$2</f>
        <v>首饰碎片</v>
      </c>
      <c r="D5619" s="224">
        <f>参数调整!$K$36*怪物掉落配置方案!$D4593</f>
        <v>4.0583486041949771E-5</v>
      </c>
    </row>
    <row r="5620" spans="1:4" ht="16.5" hidden="1" x14ac:dyDescent="0.3">
      <c r="A5620" s="10" t="str">
        <f>基本属性!$B$5&amp;"|"&amp;基本属性!$C$5</f>
        <v>40|0</v>
      </c>
      <c r="B5620" s="10" t="str">
        <f>参数调整!$J$36</f>
        <v>新增怪物种类1掉落</v>
      </c>
      <c r="C5620" s="8" t="str">
        <f>材料产出!$BF$2</f>
        <v>首饰碎片</v>
      </c>
      <c r="D5620" s="224">
        <f>参数调整!$K$36*怪物掉落配置方案!$D4594</f>
        <v>5.136347452184268E-5</v>
      </c>
    </row>
    <row r="5621" spans="1:4" ht="16.5" hidden="1" x14ac:dyDescent="0.3">
      <c r="A5621" s="10" t="str">
        <f>基本属性!$B$6&amp;"|"&amp;基本属性!$C$6</f>
        <v>50|0</v>
      </c>
      <c r="B5621" s="10" t="str">
        <f>参数调整!$J$36</f>
        <v>新增怪物种类1掉落</v>
      </c>
      <c r="C5621" s="8" t="str">
        <f>材料产出!$BF$2</f>
        <v>首饰碎片</v>
      </c>
      <c r="D5621" s="224">
        <f>参数调整!$K$36*怪物掉落配置方案!$D4595</f>
        <v>6.3411696940546513E-5</v>
      </c>
    </row>
    <row r="5622" spans="1:4" ht="16.5" hidden="1" x14ac:dyDescent="0.3">
      <c r="A5622" s="10" t="str">
        <f>基本属性!$B$7&amp;"|"&amp;基本属性!$C$7</f>
        <v>60|0</v>
      </c>
      <c r="B5622" s="10" t="str">
        <f>参数调整!$J$36</f>
        <v>新增怪物种类1掉落</v>
      </c>
      <c r="C5622" s="8" t="str">
        <f>材料产出!$BF$2</f>
        <v>首饰碎片</v>
      </c>
      <c r="D5622" s="224">
        <f>参数调整!$K$36*怪物掉落配置方案!$D4596</f>
        <v>7.6728153298061299E-5</v>
      </c>
    </row>
    <row r="5623" spans="1:4" ht="16.5" hidden="1" x14ac:dyDescent="0.3">
      <c r="A5623" s="10" t="str">
        <f>基本属性!$B$8&amp;"|"&amp;基本属性!$C$8</f>
        <v>65|0</v>
      </c>
      <c r="B5623" s="10" t="str">
        <f>参数调整!$J$36</f>
        <v>新增怪物种类1掉落</v>
      </c>
      <c r="C5623" s="8" t="str">
        <f>材料产出!$BF$2</f>
        <v>首饰碎片</v>
      </c>
      <c r="D5623" s="224">
        <f>参数调整!$K$36*怪物掉落配置方案!$D4597</f>
        <v>9.1312843594386982E-5</v>
      </c>
    </row>
    <row r="5624" spans="1:4" ht="16.5" hidden="1" x14ac:dyDescent="0.3">
      <c r="A5624" s="10" t="str">
        <f>基本属性!$B$9&amp;"|"&amp;基本属性!$C$9</f>
        <v>70|0</v>
      </c>
      <c r="B5624" s="10" t="str">
        <f>参数调整!$J$36</f>
        <v>新增怪物种类1掉落</v>
      </c>
      <c r="C5624" s="8" t="str">
        <f>材料产出!$BF$2</f>
        <v>首饰碎片</v>
      </c>
      <c r="D5624" s="224">
        <f>参数调整!$K$36*怪物掉落配置方案!$D4598</f>
        <v>1.0716576782952362E-4</v>
      </c>
    </row>
    <row r="5625" spans="1:4" ht="16.5" hidden="1" x14ac:dyDescent="0.3">
      <c r="A5625" s="10" t="str">
        <f>基本属性!$B$10&amp;"|"&amp;基本属性!$C$10</f>
        <v>75|0</v>
      </c>
      <c r="B5625" s="10" t="str">
        <f>参数调整!$J$36</f>
        <v>新增怪物种类1掉落</v>
      </c>
      <c r="C5625" s="8" t="str">
        <f>材料产出!$BF$2</f>
        <v>首饰碎片</v>
      </c>
      <c r="D5625" s="224">
        <f>参数调整!$K$36*怪物掉落配置方案!$D4599</f>
        <v>1.2428692600347115E-4</v>
      </c>
    </row>
    <row r="5626" spans="1:4" ht="16.5" hidden="1" x14ac:dyDescent="0.3">
      <c r="A5626" s="10" t="str">
        <f>基本属性!$B$11&amp;"|"&amp;基本属性!$C$11</f>
        <v>80|1</v>
      </c>
      <c r="B5626" s="10" t="str">
        <f>参数调整!$J$36</f>
        <v>新增怪物种类1掉落</v>
      </c>
      <c r="C5626" s="8" t="str">
        <f>材料产出!$BF$2</f>
        <v>首饰碎片</v>
      </c>
      <c r="D5626" s="224">
        <f>参数调整!$K$36*怪物掉落配置方案!$D4600</f>
        <v>1.4267631811622968E-4</v>
      </c>
    </row>
    <row r="5627" spans="1:4" ht="16.5" hidden="1" x14ac:dyDescent="0.3">
      <c r="A5627" s="10" t="str">
        <f>基本属性!$B$12&amp;"|"&amp;基本属性!$C$12</f>
        <v>90|2</v>
      </c>
      <c r="B5627" s="10" t="str">
        <f>参数调整!$J$36</f>
        <v>新增怪物种类1掉落</v>
      </c>
      <c r="C5627" s="8" t="str">
        <f>材料产出!$BF$2</f>
        <v>首饰碎片</v>
      </c>
      <c r="D5627" s="224">
        <f>参数调整!$K$36*怪物掉落配置方案!$D4601</f>
        <v>1.6233394416779914E-4</v>
      </c>
    </row>
    <row r="5628" spans="1:4" ht="16.5" hidden="1" x14ac:dyDescent="0.3">
      <c r="A5628" s="10" t="str">
        <f>基本属性!$B$13&amp;"|"&amp;基本属性!$C$13</f>
        <v>100|3</v>
      </c>
      <c r="B5628" s="10" t="str">
        <f>参数调整!$J$36</f>
        <v>新增怪物种类1掉落</v>
      </c>
      <c r="C5628" s="8" t="str">
        <f>材料产出!$BF$2</f>
        <v>首饰碎片</v>
      </c>
      <c r="D5628" s="224">
        <f>参数调整!$K$36*怪物掉落配置方案!$D4602</f>
        <v>2.0545389808737075E-4</v>
      </c>
    </row>
    <row r="5629" spans="1:4" ht="16.5" hidden="1" x14ac:dyDescent="0.3">
      <c r="A5629" s="10" t="str">
        <f>基本属性!$B$14&amp;"|"&amp;基本属性!$C$14</f>
        <v>105|4</v>
      </c>
      <c r="B5629" s="10" t="str">
        <f>参数调整!$J$36</f>
        <v>新增怪物种类1掉落</v>
      </c>
      <c r="C5629" s="8" t="str">
        <f>材料产出!$BF$2</f>
        <v>首饰碎片</v>
      </c>
      <c r="D5629" s="224">
        <f>参数调整!$K$36*怪物掉落配置方案!$D4603</f>
        <v>2.5364678776218611E-4</v>
      </c>
    </row>
    <row r="5630" spans="1:4" ht="16.5" hidden="1" x14ac:dyDescent="0.3">
      <c r="A5630" s="10" t="str">
        <f>基本属性!$B$15&amp;"|"&amp;基本属性!$C$15</f>
        <v>110|5</v>
      </c>
      <c r="B5630" s="10" t="str">
        <f>参数调整!$J$36</f>
        <v>新增怪物种类1掉落</v>
      </c>
      <c r="C5630" s="8" t="str">
        <f>材料产出!$BF$2</f>
        <v>首饰碎片</v>
      </c>
      <c r="D5630" s="224">
        <f>参数调整!$K$36*怪物掉落配置方案!$D4604</f>
        <v>3.0691261319224519E-4</v>
      </c>
    </row>
    <row r="5631" spans="1:4" ht="16.5" hidden="1" x14ac:dyDescent="0.3">
      <c r="A5631" s="10" t="str">
        <f>基本属性!$B$16&amp;"|"&amp;基本属性!$C$16</f>
        <v>120|6</v>
      </c>
      <c r="B5631" s="10" t="str">
        <f>参数调整!$J$36</f>
        <v>新增怪物种类1掉落</v>
      </c>
      <c r="C5631" s="8" t="str">
        <f>材料产出!$BF$2</f>
        <v>首饰碎片</v>
      </c>
      <c r="D5631" s="224">
        <f>参数调整!$K$36*怪物掉落配置方案!$D4605</f>
        <v>3.9632310587841576E-4</v>
      </c>
    </row>
    <row r="5632" spans="1:4" ht="16.5" hidden="1" x14ac:dyDescent="0.3">
      <c r="A5632" s="10" t="str">
        <f>基本属性!$B$17&amp;"|"&amp;基本属性!$C$17</f>
        <v>135|7</v>
      </c>
      <c r="B5632" s="10" t="str">
        <f>参数调整!$J$36</f>
        <v>新增怪物种类1掉落</v>
      </c>
      <c r="C5632" s="8" t="str">
        <f>材料产出!$BF$2</f>
        <v>首饰碎片</v>
      </c>
      <c r="D5632" s="224">
        <f>参数调整!$K$36*怪物掉落配置方案!$D4606</f>
        <v>5.7070527246491859E-4</v>
      </c>
    </row>
    <row r="5633" spans="1:4" ht="16.5" hidden="1" x14ac:dyDescent="0.3">
      <c r="A5633" s="10" t="str">
        <f>基本属性!$B$18&amp;"|"&amp;基本属性!$C$18</f>
        <v>155|8</v>
      </c>
      <c r="B5633" s="10" t="str">
        <f>参数调整!$J$36</f>
        <v>新增怪物种类1掉落</v>
      </c>
      <c r="C5633" s="8" t="str">
        <f>材料产出!$BF$2</f>
        <v>首饰碎片</v>
      </c>
      <c r="D5633" s="224">
        <f>参数调整!$K$36*怪物掉落配置方案!$D4607</f>
        <v>7.7679328752169494E-4</v>
      </c>
    </row>
    <row r="5634" spans="1:4" ht="16.5" hidden="1" x14ac:dyDescent="0.3">
      <c r="A5634" s="10" t="str">
        <f>基本属性!$B$19&amp;"|"&amp;基本属性!$C$19</f>
        <v>190|9</v>
      </c>
      <c r="B5634" s="10" t="str">
        <f>参数调整!$J$36</f>
        <v>新增怪物种类1掉落</v>
      </c>
      <c r="C5634" s="8" t="str">
        <f>材料产出!$BF$2</f>
        <v>首饰碎片</v>
      </c>
      <c r="D5634" s="224">
        <f>参数调整!$K$36*怪物掉落配置方案!$D4608</f>
        <v>8.6810613111608186E-4</v>
      </c>
    </row>
    <row r="5635" spans="1:4" ht="16.5" hidden="1" x14ac:dyDescent="0.3">
      <c r="A5635" s="10" t="str">
        <f>基本属性!$B$20&amp;"|"&amp;基本属性!$C$20</f>
        <v>200|10</v>
      </c>
      <c r="B5635" s="10" t="str">
        <f>参数调整!$J$36</f>
        <v>新增怪物种类1掉落</v>
      </c>
      <c r="C5635" s="8" t="str">
        <f>材料产出!$BF$2</f>
        <v>首饰碎片</v>
      </c>
      <c r="D5635" s="224">
        <f>参数调整!$K$36*怪物掉落配置方案!$D4609</f>
        <v>1.0145871510487444E-3</v>
      </c>
    </row>
    <row r="5636" spans="1:4" ht="16.5" hidden="1" x14ac:dyDescent="0.3">
      <c r="A5636" s="10" t="str">
        <f>基本属性!$B$21&amp;"|"&amp;基本属性!$C$21</f>
        <v>200|11</v>
      </c>
      <c r="B5636" s="10" t="str">
        <f>参数调整!$J$36</f>
        <v>新增怪物种类1掉落</v>
      </c>
      <c r="C5636" s="8" t="str">
        <f>材料产出!$BF$2</f>
        <v>首饰碎片</v>
      </c>
      <c r="D5636" s="224">
        <f>参数调整!$K$36*怪物掉落配置方案!$D4610</f>
        <v>1.1724822764307048E-3</v>
      </c>
    </row>
    <row r="5637" spans="1:4" ht="16.5" hidden="1" x14ac:dyDescent="0.3">
      <c r="A5637" s="10" t="str">
        <f>基本属性!$B$22&amp;"|"&amp;基本属性!$C$22</f>
        <v>210|12</v>
      </c>
      <c r="B5637" s="10" t="str">
        <f>参数调整!$J$36</f>
        <v>新增怪物种类1掉落</v>
      </c>
      <c r="C5637" s="8" t="str">
        <f>材料产出!$BF$2</f>
        <v>首饰碎片</v>
      </c>
      <c r="D5637" s="224">
        <f>参数调整!$K$36*怪物掉落配置方案!$D4611</f>
        <v>1.3417915072619639E-3</v>
      </c>
    </row>
    <row r="5638" spans="1:4" ht="16.5" hidden="1" x14ac:dyDescent="0.3">
      <c r="A5638" s="10" t="str">
        <f>基本属性!$B$23&amp;"|"&amp;基本属性!$C$23</f>
        <v>210|13</v>
      </c>
      <c r="B5638" s="10" t="str">
        <f>参数调整!$J$36</f>
        <v>新增怪物种类1掉落</v>
      </c>
      <c r="C5638" s="8" t="str">
        <f>材料产出!$BF$2</f>
        <v>首饰碎片</v>
      </c>
      <c r="D5638" s="224">
        <f>参数调整!$K$36*怪物掉落配置方案!$D4612</f>
        <v>1.5225148435425221E-3</v>
      </c>
    </row>
    <row r="5639" spans="1:4" ht="16.5" hidden="1" x14ac:dyDescent="0.3">
      <c r="A5639" s="10" t="str">
        <f>基本属性!$B$24&amp;"|"&amp;基本属性!$C$24</f>
        <v>220|14</v>
      </c>
      <c r="B5639" s="10" t="str">
        <f>参数调整!$J$36</f>
        <v>新增怪物种类1掉落</v>
      </c>
      <c r="C5639" s="8" t="str">
        <f>材料产出!$BF$2</f>
        <v>首饰碎片</v>
      </c>
      <c r="D5639" s="224">
        <f>参数调整!$K$36*怪物掉落配置方案!$D4613</f>
        <v>1.7146522852723779E-3</v>
      </c>
    </row>
    <row r="5640" spans="1:4" ht="16.5" hidden="1" x14ac:dyDescent="0.3">
      <c r="A5640" s="10" t="str">
        <f>基本属性!$B$25&amp;"|"&amp;基本属性!$C$25</f>
        <v>220|15</v>
      </c>
      <c r="B5640" s="10" t="str">
        <f>参数调整!$J$36</f>
        <v>新增怪物种类1掉落</v>
      </c>
      <c r="C5640" s="8" t="str">
        <f>材料产出!$BF$2</f>
        <v>首饰碎片</v>
      </c>
      <c r="D5640" s="224">
        <f>参数调整!$K$36*怪物掉落配置方案!$D4614</f>
        <v>1.9182038324515318E-3</v>
      </c>
    </row>
    <row r="5641" spans="1:4" ht="16.5" hidden="1" x14ac:dyDescent="0.3">
      <c r="A5641" s="10" t="str">
        <f>基本属性!$B$26&amp;"|"&amp;基本属性!$C$26</f>
        <v>230|16</v>
      </c>
      <c r="B5641" s="10" t="str">
        <f>参数调整!$J$36</f>
        <v>新增怪物种类1掉落</v>
      </c>
      <c r="C5641" s="8" t="str">
        <f>材料产出!$BF$2</f>
        <v>首饰碎片</v>
      </c>
      <c r="D5641" s="224">
        <f>参数调整!$K$36*怪物掉落配置方案!$D4615</f>
        <v>2.1331694850799843E-3</v>
      </c>
    </row>
    <row r="5642" spans="1:4" ht="16.5" hidden="1" x14ac:dyDescent="0.3">
      <c r="A5642" s="10" t="str">
        <f>基本属性!$B$27&amp;"|"&amp;基本属性!$C$27</f>
        <v>230|17</v>
      </c>
      <c r="B5642" s="10" t="str">
        <f>参数调整!$J$36</f>
        <v>新增怪物种类1掉落</v>
      </c>
      <c r="C5642" s="8" t="str">
        <f>材料产出!$BF$2</f>
        <v>首饰碎片</v>
      </c>
      <c r="D5642" s="224">
        <f>参数调整!$K$36*怪物掉落配置方案!$D4616</f>
        <v>2.3595492431577355E-3</v>
      </c>
    </row>
    <row r="5643" spans="1:4" ht="16.5" hidden="1" x14ac:dyDescent="0.3">
      <c r="A5643" s="10" t="str">
        <f>基本属性!$B$28&amp;"|"&amp;基本属性!$C$28</f>
        <v>240|18</v>
      </c>
      <c r="B5643" s="10" t="str">
        <f>参数调整!$J$36</f>
        <v>新增怪物种类1掉落</v>
      </c>
      <c r="C5643" s="8" t="str">
        <f>材料产出!$BF$2</f>
        <v>首饰碎片</v>
      </c>
      <c r="D5643" s="224">
        <f>参数调整!$K$36*怪物掉落配置方案!$D4617</f>
        <v>2.5973431066847858E-3</v>
      </c>
    </row>
    <row r="5644" spans="1:4" ht="16.5" hidden="1" x14ac:dyDescent="0.3">
      <c r="A5644" s="10" t="str">
        <f>基本属性!$B$29&amp;"|"&amp;基本属性!$C$29</f>
        <v>240|19</v>
      </c>
      <c r="B5644" s="10" t="str">
        <f>参数调整!$J$36</f>
        <v>新增怪物种类1掉落</v>
      </c>
      <c r="C5644" s="8" t="str">
        <f>材料产出!$BF$2</f>
        <v>首饰碎片</v>
      </c>
      <c r="D5644" s="224">
        <f>参数调整!$K$36*怪物掉落配置方案!$D4618</f>
        <v>2.8465510756611333E-3</v>
      </c>
    </row>
    <row r="5645" spans="1:4" ht="16.5" hidden="1" x14ac:dyDescent="0.3">
      <c r="A5645" s="10" t="str">
        <f>基本属性!$B$30&amp;"|"&amp;基本属性!$C$30</f>
        <v>250|20</v>
      </c>
      <c r="B5645" s="10" t="str">
        <f>参数调整!$J$36</f>
        <v>新增怪物种类1掉落</v>
      </c>
      <c r="C5645" s="8" t="str">
        <f>材料产出!$BF$2</f>
        <v>首饰碎片</v>
      </c>
      <c r="D5645" s="224">
        <f>参数调整!$K$36*怪物掉落配置方案!$D4619</f>
        <v>3.1071731500867789E-3</v>
      </c>
    </row>
    <row r="5646" spans="1:4" ht="16.5" hidden="1" x14ac:dyDescent="0.3">
      <c r="A5646" s="10" t="str">
        <f>基本属性!$B$4&amp;"|"&amp;基本属性!$C$4</f>
        <v>35|0</v>
      </c>
      <c r="B5646" s="10" t="str">
        <f>参数调整!$J$36</f>
        <v>新增怪物种类1掉落</v>
      </c>
      <c r="C5646" s="8" t="str">
        <f>材料产出!$P$2</f>
        <v>声望</v>
      </c>
      <c r="D5646" s="224">
        <f>参数调整!$K$36*怪物掉落配置方案!$D4620</f>
        <v>6.4950093732583473E-3</v>
      </c>
    </row>
    <row r="5647" spans="1:4" ht="16.5" hidden="1" x14ac:dyDescent="0.3">
      <c r="A5647" s="10" t="str">
        <f>基本属性!$B$5&amp;"|"&amp;基本属性!$C$5</f>
        <v>40|0</v>
      </c>
      <c r="B5647" s="10" t="str">
        <f>参数调整!$J$36</f>
        <v>新增怪物种类1掉落</v>
      </c>
      <c r="C5647" s="8" t="str">
        <f>材料产出!$P$2</f>
        <v>声望</v>
      </c>
      <c r="D5647" s="224">
        <f>参数调整!$K$36*怪物掉落配置方案!$D4621</f>
        <v>8.2202462380300961E-3</v>
      </c>
    </row>
    <row r="5648" spans="1:4" ht="16.5" hidden="1" x14ac:dyDescent="0.3">
      <c r="A5648" s="10" t="str">
        <f>基本属性!$B$6&amp;"|"&amp;基本属性!$C$6</f>
        <v>50|0</v>
      </c>
      <c r="B5648" s="10" t="str">
        <f>参数调整!$J$36</f>
        <v>新增怪物种类1掉落</v>
      </c>
      <c r="C5648" s="8" t="str">
        <f>材料产出!$P$2</f>
        <v>声望</v>
      </c>
      <c r="D5648" s="224">
        <f>参数调整!$K$36*怪物掉落配置方案!$D4622</f>
        <v>1.0148452145716167E-2</v>
      </c>
    </row>
    <row r="5649" spans="1:4" ht="16.5" hidden="1" x14ac:dyDescent="0.3">
      <c r="A5649" s="10" t="str">
        <f>基本属性!$B$7&amp;"|"&amp;基本属性!$C$7</f>
        <v>60|0</v>
      </c>
      <c r="B5649" s="10" t="str">
        <f>参数调整!$J$36</f>
        <v>新增怪物种类1掉落</v>
      </c>
      <c r="C5649" s="8" t="str">
        <f>材料产出!$P$2</f>
        <v>声望</v>
      </c>
      <c r="D5649" s="224">
        <f>参数调整!$K$36*怪物掉落配置方案!$D4623</f>
        <v>1.2279627096316564E-2</v>
      </c>
    </row>
    <row r="5650" spans="1:4" ht="16.5" hidden="1" x14ac:dyDescent="0.3">
      <c r="A5650" s="10" t="str">
        <f>基本属性!$B$8&amp;"|"&amp;基本属性!$C$8</f>
        <v>65|0</v>
      </c>
      <c r="B5650" s="10" t="str">
        <f>参数调整!$J$36</f>
        <v>新增怪物种类1掉落</v>
      </c>
      <c r="C5650" s="8" t="str">
        <f>材料产出!$P$2</f>
        <v>声望</v>
      </c>
      <c r="D5650" s="224">
        <f>参数调整!$K$36*怪物掉落配置方案!$D4624</f>
        <v>1.4613771089831281E-2</v>
      </c>
    </row>
    <row r="5651" spans="1:4" ht="16.5" hidden="1" x14ac:dyDescent="0.3">
      <c r="A5651" s="10" t="str">
        <f>基本属性!$B$9&amp;"|"&amp;基本属性!$C$9</f>
        <v>70|0</v>
      </c>
      <c r="B5651" s="10" t="str">
        <f>参数调整!$J$36</f>
        <v>新增怪物种类1掉落</v>
      </c>
      <c r="C5651" s="8" t="str">
        <f>材料产出!$P$2</f>
        <v>声望</v>
      </c>
      <c r="D5651" s="224">
        <f>参数调整!$K$36*怪物掉落配置方案!$D4625</f>
        <v>1.7150884126260323E-2</v>
      </c>
    </row>
    <row r="5652" spans="1:4" ht="16.5" hidden="1" x14ac:dyDescent="0.3">
      <c r="A5652" s="10" t="str">
        <f>基本属性!$B$10&amp;"|"&amp;基本属性!$C$10</f>
        <v>75|0</v>
      </c>
      <c r="B5652" s="10" t="str">
        <f>参数调整!$J$36</f>
        <v>新增怪物种类1掉落</v>
      </c>
      <c r="C5652" s="8" t="str">
        <f>材料产出!$P$2</f>
        <v>声望</v>
      </c>
      <c r="D5652" s="224">
        <f>参数调整!$K$36*怪物掉落配置方案!$D4626</f>
        <v>1.9890966205603686E-2</v>
      </c>
    </row>
    <row r="5653" spans="1:4" ht="16.5" hidden="1" x14ac:dyDescent="0.3">
      <c r="A5653" s="10" t="str">
        <f>基本属性!$B$11&amp;"|"&amp;基本属性!$C$11</f>
        <v>80|1</v>
      </c>
      <c r="B5653" s="10" t="str">
        <f>参数调整!$J$36</f>
        <v>新增怪物种类1掉落</v>
      </c>
      <c r="C5653" s="8" t="str">
        <f>材料产出!$P$2</f>
        <v>声望</v>
      </c>
      <c r="D5653" s="224">
        <f>参数调整!$K$36*怪物掉落配置方案!$D4627</f>
        <v>2.2834017327861375E-2</v>
      </c>
    </row>
    <row r="5654" spans="1:4" ht="16.5" hidden="1" x14ac:dyDescent="0.3">
      <c r="A5654" s="10" t="str">
        <f>基本属性!$B$12&amp;"|"&amp;基本属性!$C$12</f>
        <v>90|2</v>
      </c>
      <c r="B5654" s="10" t="str">
        <f>参数调整!$J$36</f>
        <v>新增怪物种类1掉落</v>
      </c>
      <c r="C5654" s="8" t="str">
        <f>材料产出!$P$2</f>
        <v>声望</v>
      </c>
      <c r="D5654" s="224">
        <f>参数调整!$K$36*怪物掉落配置方案!$D4628</f>
        <v>2.5980037493033393E-2</v>
      </c>
    </row>
    <row r="5655" spans="1:4" ht="16.5" hidden="1" x14ac:dyDescent="0.3">
      <c r="A5655" s="10" t="str">
        <f>基本属性!$B$13&amp;"|"&amp;基本属性!$C$13</f>
        <v>100|3</v>
      </c>
      <c r="B5655" s="10" t="str">
        <f>参数调整!$J$36</f>
        <v>新增怪物种类1掉落</v>
      </c>
      <c r="C5655" s="8" t="str">
        <f>材料产出!$P$2</f>
        <v>声望</v>
      </c>
      <c r="D5655" s="224">
        <f>参数调整!$K$36*怪物掉落配置方案!$D4629</f>
        <v>3.2880984952120385E-2</v>
      </c>
    </row>
    <row r="5656" spans="1:4" ht="16.5" hidden="1" x14ac:dyDescent="0.3">
      <c r="A5656" s="10" t="str">
        <f>基本属性!$B$14&amp;"|"&amp;基本属性!$C$14</f>
        <v>105|4</v>
      </c>
      <c r="B5656" s="10" t="str">
        <f>参数调整!$J$36</f>
        <v>新增怪物种类1掉落</v>
      </c>
      <c r="C5656" s="8" t="str">
        <f>材料产出!$P$2</f>
        <v>声望</v>
      </c>
      <c r="D5656" s="224">
        <f>参数调整!$K$36*怪物掉落配置方案!$D4630</f>
        <v>4.0593808582864675E-2</v>
      </c>
    </row>
    <row r="5657" spans="1:4" ht="16.5" hidden="1" x14ac:dyDescent="0.3">
      <c r="A5657" s="10" t="str">
        <f>基本属性!$B$15&amp;"|"&amp;基本属性!$C$15</f>
        <v>110|5</v>
      </c>
      <c r="B5657" s="10" t="str">
        <f>参数调整!$J$36</f>
        <v>新增怪物种类1掉落</v>
      </c>
      <c r="C5657" s="8" t="str">
        <f>材料产出!$P$2</f>
        <v>声望</v>
      </c>
      <c r="D5657" s="224">
        <f>参数调整!$K$36*怪物掉落配置方案!$D4631</f>
        <v>4.9118508385266255E-2</v>
      </c>
    </row>
    <row r="5658" spans="1:4" ht="16.5" hidden="1" x14ac:dyDescent="0.3">
      <c r="A5658" s="10" t="str">
        <f>基本属性!$B$16&amp;"|"&amp;基本属性!$C$16</f>
        <v>120|6</v>
      </c>
      <c r="B5658" s="10" t="str">
        <f>参数调整!$J$36</f>
        <v>新增怪物种类1掉落</v>
      </c>
      <c r="C5658" s="8" t="str">
        <f>材料产出!$P$2</f>
        <v>声望</v>
      </c>
      <c r="D5658" s="224">
        <f>参数调整!$K$36*怪物掉落配置方案!$D4632</f>
        <v>6.3427825910726043E-2</v>
      </c>
    </row>
    <row r="5659" spans="1:4" ht="16.5" hidden="1" x14ac:dyDescent="0.3">
      <c r="A5659" s="10" t="str">
        <f>基本属性!$B$17&amp;"|"&amp;基本属性!$C$17</f>
        <v>135|7</v>
      </c>
      <c r="B5659" s="10" t="str">
        <f>参数调整!$J$36</f>
        <v>新增怪物种类1掉落</v>
      </c>
      <c r="C5659" s="8" t="str">
        <f>材料产出!$P$2</f>
        <v>声望</v>
      </c>
      <c r="D5659" s="224">
        <f>参数调整!$K$36*怪物掉落配置方案!$D4633</f>
        <v>9.13360693114455E-2</v>
      </c>
    </row>
    <row r="5660" spans="1:4" ht="16.5" hidden="1" x14ac:dyDescent="0.3">
      <c r="A5660" s="10" t="str">
        <f>基本属性!$B$18&amp;"|"&amp;基本属性!$C$18</f>
        <v>155|8</v>
      </c>
      <c r="B5660" s="10" t="str">
        <f>参数调整!$J$36</f>
        <v>新增怪物种类1掉落</v>
      </c>
      <c r="C5660" s="8" t="str">
        <f>材料产出!$P$2</f>
        <v>声望</v>
      </c>
      <c r="D5660" s="224">
        <f>参数调整!$K$36*怪物掉落配置方案!$D4634</f>
        <v>0.12431853878502305</v>
      </c>
    </row>
    <row r="5661" spans="1:4" ht="16.5" hidden="1" x14ac:dyDescent="0.3">
      <c r="A5661" s="10" t="str">
        <f>基本属性!$B$19&amp;"|"&amp;基本属性!$C$19</f>
        <v>190|9</v>
      </c>
      <c r="B5661" s="10" t="str">
        <f>参数调整!$J$36</f>
        <v>新增怪物种类1掉落</v>
      </c>
      <c r="C5661" s="8" t="str">
        <f>材料产出!$P$2</f>
        <v>声望</v>
      </c>
      <c r="D5661" s="224">
        <f>参数调整!$K$36*怪物掉落配置方案!$D4635</f>
        <v>0.13893230987485436</v>
      </c>
    </row>
    <row r="5662" spans="1:4" ht="16.5" hidden="1" x14ac:dyDescent="0.3">
      <c r="A5662" s="10" t="str">
        <f>基本属性!$B$20&amp;"|"&amp;基本属性!$C$20</f>
        <v>200|10</v>
      </c>
      <c r="B5662" s="10" t="str">
        <f>参数调整!$J$36</f>
        <v>新增怪物种类1掉落</v>
      </c>
      <c r="C5662" s="8" t="str">
        <f>材料产出!$P$2</f>
        <v>声望</v>
      </c>
      <c r="D5662" s="224">
        <f>参数调整!$K$36*怪物掉落配置方案!$D4636</f>
        <v>0.1623752343314587</v>
      </c>
    </row>
    <row r="5663" spans="1:4" ht="16.5" hidden="1" x14ac:dyDescent="0.3">
      <c r="A5663" s="10" t="str">
        <f>基本属性!$B$21&amp;"|"&amp;基本属性!$C$21</f>
        <v>200|11</v>
      </c>
      <c r="B5663" s="10" t="str">
        <f>参数调整!$J$36</f>
        <v>新增怪物种类1掉落</v>
      </c>
      <c r="C5663" s="8" t="str">
        <f>材料产出!$P$2</f>
        <v>声望</v>
      </c>
      <c r="D5663" s="224">
        <f>参数调整!$K$36*怪物掉落配置方案!$D4637</f>
        <v>0.1876448801742919</v>
      </c>
    </row>
    <row r="5664" spans="1:4" ht="16.5" hidden="1" x14ac:dyDescent="0.3">
      <c r="A5664" s="10" t="str">
        <f>基本属性!$B$22&amp;"|"&amp;基本属性!$C$22</f>
        <v>210|12</v>
      </c>
      <c r="B5664" s="10" t="str">
        <f>参数调整!$J$36</f>
        <v>新增怪物种类1掉落</v>
      </c>
      <c r="C5664" s="8" t="str">
        <f>材料产出!$P$2</f>
        <v>声望</v>
      </c>
      <c r="D5664" s="224">
        <f>参数调整!$K$36*怪物掉落配置方案!$D4638</f>
        <v>0.21474124740335404</v>
      </c>
    </row>
    <row r="5665" spans="1:4" ht="16.5" hidden="1" x14ac:dyDescent="0.3">
      <c r="A5665" s="10" t="str">
        <f>基本属性!$B$23&amp;"|"&amp;基本属性!$C$23</f>
        <v>210|13</v>
      </c>
      <c r="B5665" s="10" t="str">
        <f>参数调整!$J$36</f>
        <v>新增怪物种类1掉落</v>
      </c>
      <c r="C5665" s="8" t="str">
        <f>材料产出!$P$2</f>
        <v>声望</v>
      </c>
      <c r="D5665" s="224">
        <f>参数调整!$K$36*怪物掉落配置方案!$D4639</f>
        <v>0.24366433601864523</v>
      </c>
    </row>
    <row r="5666" spans="1:4" ht="16.5" hidden="1" x14ac:dyDescent="0.3">
      <c r="A5666" s="10" t="str">
        <f>基本属性!$B$24&amp;"|"&amp;基本属性!$C$24</f>
        <v>220|14</v>
      </c>
      <c r="B5666" s="10" t="str">
        <f>参数调整!$J$36</f>
        <v>新增怪物种类1掉落</v>
      </c>
      <c r="C5666" s="8" t="str">
        <f>材料产出!$P$2</f>
        <v>声望</v>
      </c>
      <c r="D5666" s="224">
        <f>参数调整!$K$36*怪物掉落配置方案!$D4640</f>
        <v>0.27441414602016517</v>
      </c>
    </row>
    <row r="5667" spans="1:4" ht="16.5" hidden="1" x14ac:dyDescent="0.3">
      <c r="A5667" s="10" t="str">
        <f>基本属性!$B$25&amp;"|"&amp;基本属性!$C$25</f>
        <v>220|15</v>
      </c>
      <c r="B5667" s="10" t="str">
        <f>参数调整!$J$36</f>
        <v>新增怪物种类1掉落</v>
      </c>
      <c r="C5667" s="8" t="str">
        <f>材料产出!$P$2</f>
        <v>声望</v>
      </c>
      <c r="D5667" s="224">
        <f>参数调整!$K$36*怪物掉落配置方案!$D4641</f>
        <v>0.30699067740791403</v>
      </c>
    </row>
    <row r="5668" spans="1:4" ht="16.5" hidden="1" x14ac:dyDescent="0.3">
      <c r="A5668" s="10" t="str">
        <f>基本属性!$B$26&amp;"|"&amp;基本属性!$C$26</f>
        <v>230|16</v>
      </c>
      <c r="B5668" s="10" t="str">
        <f>参数调整!$J$36</f>
        <v>新增怪物种类1掉落</v>
      </c>
      <c r="C5668" s="8" t="str">
        <f>材料产出!$P$2</f>
        <v>声望</v>
      </c>
      <c r="D5668" s="224">
        <f>参数调整!$K$36*怪物掉落配置方案!$D4642</f>
        <v>0.3413939301818919</v>
      </c>
    </row>
    <row r="5669" spans="1:4" ht="16.5" hidden="1" x14ac:dyDescent="0.3">
      <c r="A5669" s="10" t="str">
        <f>基本属性!$B$27&amp;"|"&amp;基本属性!$C$27</f>
        <v>230|17</v>
      </c>
      <c r="B5669" s="10" t="str">
        <f>参数调整!$J$36</f>
        <v>新增怪物种类1掉落</v>
      </c>
      <c r="C5669" s="8" t="str">
        <f>材料产出!$P$2</f>
        <v>声望</v>
      </c>
      <c r="D5669" s="224">
        <f>参数调整!$K$36*怪物掉落配置方案!$D4643</f>
        <v>0.37762390434209853</v>
      </c>
    </row>
    <row r="5670" spans="1:4" ht="16.5" hidden="1" x14ac:dyDescent="0.3">
      <c r="A5670" s="10" t="str">
        <f>基本属性!$B$28&amp;"|"&amp;基本属性!$C$28</f>
        <v>240|18</v>
      </c>
      <c r="B5670" s="10" t="str">
        <f>参数调整!$J$36</f>
        <v>新增怪物种类1掉落</v>
      </c>
      <c r="C5670" s="8" t="str">
        <f>材料产出!$P$2</f>
        <v>声望</v>
      </c>
      <c r="D5670" s="224">
        <f>参数调整!$K$36*怪物掉落配置方案!$D4644</f>
        <v>0.41568059988853429</v>
      </c>
    </row>
    <row r="5671" spans="1:4" ht="16.5" hidden="1" x14ac:dyDescent="0.3">
      <c r="A5671" s="10" t="str">
        <f>基本属性!$B$29&amp;"|"&amp;基本属性!$C$29</f>
        <v>240|19</v>
      </c>
      <c r="B5671" s="10" t="str">
        <f>参数调整!$J$36</f>
        <v>新增怪物种类1掉落</v>
      </c>
      <c r="C5671" s="8" t="str">
        <f>材料产出!$P$2</f>
        <v>声望</v>
      </c>
      <c r="D5671" s="224">
        <f>参数调整!$K$36*怪物掉落配置方案!$D4645</f>
        <v>0.45556401682119879</v>
      </c>
    </row>
    <row r="5672" spans="1:4" ht="16.5" hidden="1" x14ac:dyDescent="0.3">
      <c r="A5672" s="10" t="str">
        <f>基本属性!$B$30&amp;"|"&amp;基本属性!$C$30</f>
        <v>250|20</v>
      </c>
      <c r="B5672" s="10" t="str">
        <f>参数调整!$J$36</f>
        <v>新增怪物种类1掉落</v>
      </c>
      <c r="C5672" s="8" t="str">
        <f>材料产出!$P$2</f>
        <v>声望</v>
      </c>
      <c r="D5672" s="224">
        <f>参数调整!$K$36*怪物掉落配置方案!$D4646</f>
        <v>0.4972741551400921</v>
      </c>
    </row>
    <row r="5673" spans="1:4" ht="16.5" hidden="1" x14ac:dyDescent="0.3">
      <c r="A5673" s="10" t="str">
        <f>基本属性!$B$4&amp;"|"&amp;基本属性!$C$4</f>
        <v>35|0</v>
      </c>
      <c r="B5673" s="10" t="str">
        <f>参数调整!$J$36</f>
        <v>新增怪物种类1掉落</v>
      </c>
      <c r="C5673" s="8" t="str">
        <f>材料产出!$AV$2</f>
        <v>神器图纸</v>
      </c>
      <c r="D5673" s="224">
        <f>参数调整!$K$36*怪物掉落配置方案!$D4647</f>
        <v>2.922010995020383E-5</v>
      </c>
    </row>
    <row r="5674" spans="1:4" ht="16.5" hidden="1" x14ac:dyDescent="0.3">
      <c r="A5674" s="10" t="str">
        <f>基本属性!$B$5&amp;"|"&amp;基本属性!$C$5</f>
        <v>40|0</v>
      </c>
      <c r="B5674" s="10" t="str">
        <f>参数调整!$J$36</f>
        <v>新增怪物种类1掉落</v>
      </c>
      <c r="C5674" s="8" t="str">
        <f>材料产出!$AV$2</f>
        <v>神器图纸</v>
      </c>
      <c r="D5674" s="224">
        <f>参数调整!$K$36*怪物掉落配置方案!$D4648</f>
        <v>3.6981701655726722E-5</v>
      </c>
    </row>
    <row r="5675" spans="1:4" ht="16.5" hidden="1" x14ac:dyDescent="0.3">
      <c r="A5675" s="10" t="str">
        <f>基本属性!$B$6&amp;"|"&amp;基本属性!$C$6</f>
        <v>50|0</v>
      </c>
      <c r="B5675" s="10" t="str">
        <f>参数调整!$J$36</f>
        <v>新增怪物种类1掉落</v>
      </c>
      <c r="C5675" s="8" t="str">
        <f>材料产出!$AV$2</f>
        <v>神器图纸</v>
      </c>
      <c r="D5675" s="224">
        <f>参数调整!$K$36*怪物掉落配置方案!$D4649</f>
        <v>4.5656421797193484E-5</v>
      </c>
    </row>
    <row r="5676" spans="1:4" ht="16.5" hidden="1" x14ac:dyDescent="0.3">
      <c r="A5676" s="10" t="str">
        <f>基本属性!$B$7&amp;"|"&amp;基本属性!$C$7</f>
        <v>60|0</v>
      </c>
      <c r="B5676" s="10" t="str">
        <f>参数调整!$J$36</f>
        <v>新增怪物种类1掉落</v>
      </c>
      <c r="C5676" s="8" t="str">
        <f>材料产出!$AV$2</f>
        <v>神器图纸</v>
      </c>
      <c r="D5676" s="224">
        <f>参数调整!$K$36*怪物掉落配置方案!$D4650</f>
        <v>5.5244270374604129E-5</v>
      </c>
    </row>
    <row r="5677" spans="1:4" ht="16.5" hidden="1" x14ac:dyDescent="0.3">
      <c r="A5677" s="10" t="str">
        <f>基本属性!$B$8&amp;"|"&amp;基本属性!$C$8</f>
        <v>65|0</v>
      </c>
      <c r="B5677" s="10" t="str">
        <f>参数调整!$J$36</f>
        <v>新增怪物种类1掉落</v>
      </c>
      <c r="C5677" s="8" t="str">
        <f>材料产出!$AV$2</f>
        <v>神器图纸</v>
      </c>
      <c r="D5677" s="224">
        <f>参数调整!$K$36*怪物掉落配置方案!$D4651</f>
        <v>6.5745247387958617E-5</v>
      </c>
    </row>
    <row r="5678" spans="1:4" ht="16.5" hidden="1" x14ac:dyDescent="0.3">
      <c r="A5678" s="10" t="str">
        <f>基本属性!$B$9&amp;"|"&amp;基本属性!$C$9</f>
        <v>70|0</v>
      </c>
      <c r="B5678" s="10" t="str">
        <f>参数调整!$J$36</f>
        <v>新增怪物种类1掉落</v>
      </c>
      <c r="C5678" s="8" t="str">
        <f>材料产出!$AV$2</f>
        <v>神器图纸</v>
      </c>
      <c r="D5678" s="224">
        <f>参数调整!$K$36*怪物掉落配置方案!$D4652</f>
        <v>7.7159352837256995E-5</v>
      </c>
    </row>
    <row r="5679" spans="1:4" ht="16.5" hidden="1" x14ac:dyDescent="0.3">
      <c r="A5679" s="10" t="str">
        <f>基本属性!$B$10&amp;"|"&amp;基本属性!$C$10</f>
        <v>75|0</v>
      </c>
      <c r="B5679" s="10" t="str">
        <f>参数调整!$J$36</f>
        <v>新增怪物种类1掉落</v>
      </c>
      <c r="C5679" s="8" t="str">
        <f>材料产出!$AV$2</f>
        <v>神器图纸</v>
      </c>
      <c r="D5679" s="224">
        <f>参数调整!$K$36*怪物掉落配置方案!$D4653</f>
        <v>8.9486586722499229E-5</v>
      </c>
    </row>
    <row r="5680" spans="1:4" ht="16.5" hidden="1" x14ac:dyDescent="0.3">
      <c r="A5680" s="10" t="str">
        <f>基本属性!$B$11&amp;"|"&amp;基本属性!$C$11</f>
        <v>80|1</v>
      </c>
      <c r="B5680" s="10" t="str">
        <f>参数调整!$J$36</f>
        <v>新增怪物种类1掉落</v>
      </c>
      <c r="C5680" s="8" t="str">
        <f>材料产出!$AV$2</f>
        <v>神器图纸</v>
      </c>
      <c r="D5680" s="224">
        <f>参数调整!$K$36*怪物掉落配置方案!$D4654</f>
        <v>1.0272694904368533E-4</v>
      </c>
    </row>
    <row r="5681" spans="1:4" ht="16.5" hidden="1" x14ac:dyDescent="0.3">
      <c r="A5681" s="10" t="str">
        <f>基本属性!$B$12&amp;"|"&amp;基本属性!$C$12</f>
        <v>90|2</v>
      </c>
      <c r="B5681" s="10" t="str">
        <f>参数调整!$J$36</f>
        <v>新增怪物种类1掉落</v>
      </c>
      <c r="C5681" s="8" t="str">
        <f>材料产出!$AV$2</f>
        <v>神器图纸</v>
      </c>
      <c r="D5681" s="224">
        <f>参数调整!$K$36*怪物掉落配置方案!$D4655</f>
        <v>1.1688043980081535E-4</v>
      </c>
    </row>
    <row r="5682" spans="1:4" ht="16.5" hidden="1" x14ac:dyDescent="0.3">
      <c r="A5682" s="10" t="str">
        <f>基本属性!$B$13&amp;"|"&amp;基本属性!$C$13</f>
        <v>100|3</v>
      </c>
      <c r="B5682" s="10" t="str">
        <f>参数调整!$J$36</f>
        <v>新增怪物种类1掉落</v>
      </c>
      <c r="C5682" s="8" t="str">
        <f>材料产出!$AV$2</f>
        <v>神器图纸</v>
      </c>
      <c r="D5682" s="224">
        <f>参数调整!$K$36*怪物掉落配置方案!$D4656</f>
        <v>1.4792680662290692E-4</v>
      </c>
    </row>
    <row r="5683" spans="1:4" ht="16.5" hidden="1" x14ac:dyDescent="0.3">
      <c r="A5683" s="10" t="str">
        <f>基本属性!$B$14&amp;"|"&amp;基本属性!$C$14</f>
        <v>105|4</v>
      </c>
      <c r="B5683" s="10" t="str">
        <f>参数调整!$J$36</f>
        <v>新增怪物种类1掉落</v>
      </c>
      <c r="C5683" s="8" t="str">
        <f>材料产出!$AV$2</f>
        <v>神器图纸</v>
      </c>
      <c r="D5683" s="224">
        <f>参数调整!$K$36*怪物掉落配置方案!$D4657</f>
        <v>1.8262568718877396E-4</v>
      </c>
    </row>
    <row r="5684" spans="1:4" ht="16.5" hidden="1" x14ac:dyDescent="0.3">
      <c r="A5684" s="10" t="str">
        <f>基本属性!$B$15&amp;"|"&amp;基本属性!$C$15</f>
        <v>110|5</v>
      </c>
      <c r="B5684" s="10" t="str">
        <f>参数调整!$J$36</f>
        <v>新增怪物种类1掉落</v>
      </c>
      <c r="C5684" s="8" t="str">
        <f>材料产出!$AV$2</f>
        <v>神器图纸</v>
      </c>
      <c r="D5684" s="224">
        <f>参数调整!$K$36*怪物掉落配置方案!$D4658</f>
        <v>2.2097708149841652E-4</v>
      </c>
    </row>
    <row r="5685" spans="1:4" ht="16.5" hidden="1" x14ac:dyDescent="0.3">
      <c r="A5685" s="10" t="str">
        <f>基本属性!$B$16&amp;"|"&amp;基本属性!$C$16</f>
        <v>120|6</v>
      </c>
      <c r="B5685" s="10" t="str">
        <f>参数调整!$J$36</f>
        <v>新增怪物种类1掉落</v>
      </c>
      <c r="C5685" s="8" t="str">
        <f>材料产出!$AV$2</f>
        <v>神器图纸</v>
      </c>
      <c r="D5685" s="224">
        <f>参数调整!$K$36*怪物掉落配置方案!$D4659</f>
        <v>2.853526362324593E-4</v>
      </c>
    </row>
    <row r="5686" spans="1:4" ht="16.5" hidden="1" x14ac:dyDescent="0.3">
      <c r="A5686" s="10" t="str">
        <f>基本属性!$B$17&amp;"|"&amp;基本属性!$C$17</f>
        <v>135|7</v>
      </c>
      <c r="B5686" s="10" t="str">
        <f>参数调整!$J$36</f>
        <v>新增怪物种类1掉落</v>
      </c>
      <c r="C5686" s="8" t="str">
        <f>材料产出!$AV$2</f>
        <v>神器图纸</v>
      </c>
      <c r="D5686" s="224">
        <f>参数调整!$K$36*怪物掉落配置方案!$D4660</f>
        <v>4.1090779617474133E-4</v>
      </c>
    </row>
    <row r="5687" spans="1:4" ht="16.5" hidden="1" x14ac:dyDescent="0.3">
      <c r="A5687" s="10" t="str">
        <f>基本属性!$B$18&amp;"|"&amp;基本属性!$C$18</f>
        <v>155|8</v>
      </c>
      <c r="B5687" s="10" t="str">
        <f>参数调整!$J$36</f>
        <v>新增怪物种类1掉落</v>
      </c>
      <c r="C5687" s="8" t="str">
        <f>材料产出!$AV$2</f>
        <v>神器图纸</v>
      </c>
      <c r="D5687" s="224">
        <f>参数调整!$K$36*怪物掉落配置方案!$D4661</f>
        <v>5.5929116701562026E-4</v>
      </c>
    </row>
    <row r="5688" spans="1:4" ht="16.5" hidden="1" x14ac:dyDescent="0.3">
      <c r="A5688" s="10" t="str">
        <f>基本属性!$B$19&amp;"|"&amp;基本属性!$C$19</f>
        <v>190|9</v>
      </c>
      <c r="B5688" s="10" t="str">
        <f>参数调整!$J$36</f>
        <v>新增怪物种类1掉落</v>
      </c>
      <c r="C5688" s="8" t="str">
        <f>材料产出!$AV$2</f>
        <v>神器图纸</v>
      </c>
      <c r="D5688" s="224">
        <f>参数调整!$K$36*怪物掉落配置方案!$D4662</f>
        <v>6.2503641440357887E-4</v>
      </c>
    </row>
    <row r="5689" spans="1:4" ht="16.5" hidden="1" x14ac:dyDescent="0.3">
      <c r="A5689" s="10" t="str">
        <f>基本属性!$B$20&amp;"|"&amp;基本属性!$C$20</f>
        <v>200|10</v>
      </c>
      <c r="B5689" s="10" t="str">
        <f>参数调整!$J$36</f>
        <v>新增怪物种类1掉落</v>
      </c>
      <c r="C5689" s="8" t="str">
        <f>材料产出!$AV$2</f>
        <v>神器图纸</v>
      </c>
      <c r="D5689" s="224">
        <f>参数调整!$K$36*怪物掉落配置方案!$D4663</f>
        <v>7.3050274875509586E-4</v>
      </c>
    </row>
    <row r="5690" spans="1:4" ht="16.5" hidden="1" x14ac:dyDescent="0.3">
      <c r="A5690" s="10" t="str">
        <f>基本属性!$B$21&amp;"|"&amp;基本属性!$C$21</f>
        <v>200|11</v>
      </c>
      <c r="B5690" s="10" t="str">
        <f>参数调整!$J$36</f>
        <v>新增怪物种类1掉落</v>
      </c>
      <c r="C5690" s="8" t="str">
        <f>材料产出!$AV$2</f>
        <v>神器图纸</v>
      </c>
      <c r="D5690" s="224">
        <f>参数调整!$K$36*怪物掉落配置方案!$D4664</f>
        <v>8.4418723903010738E-4</v>
      </c>
    </row>
    <row r="5691" spans="1:4" ht="16.5" hidden="1" x14ac:dyDescent="0.3">
      <c r="A5691" s="10" t="str">
        <f>基本属性!$B$22&amp;"|"&amp;基本属性!$C$22</f>
        <v>210|12</v>
      </c>
      <c r="B5691" s="10" t="str">
        <f>参数调整!$J$36</f>
        <v>新增怪物种类1掉落</v>
      </c>
      <c r="C5691" s="8" t="str">
        <f>材料产出!$AV$2</f>
        <v>神器图纸</v>
      </c>
      <c r="D5691" s="224">
        <f>参数调整!$K$36*怪物掉落配置方案!$D4665</f>
        <v>9.6608988522861388E-4</v>
      </c>
    </row>
    <row r="5692" spans="1:4" ht="16.5" hidden="1" x14ac:dyDescent="0.3">
      <c r="A5692" s="10" t="str">
        <f>基本属性!$B$23&amp;"|"&amp;基本属性!$C$23</f>
        <v>210|13</v>
      </c>
      <c r="B5692" s="10" t="str">
        <f>参数调整!$J$36</f>
        <v>新增怪物种类1掉落</v>
      </c>
      <c r="C5692" s="8" t="str">
        <f>材料产出!$AV$2</f>
        <v>神器图纸</v>
      </c>
      <c r="D5692" s="224">
        <f>参数调整!$K$36*怪物掉落配置方案!$D4666</f>
        <v>1.0962106873506159E-3</v>
      </c>
    </row>
    <row r="5693" spans="1:4" ht="16.5" hidden="1" x14ac:dyDescent="0.3">
      <c r="A5693" s="10" t="str">
        <f>基本属性!$B$24&amp;"|"&amp;基本属性!$C$24</f>
        <v>220|14</v>
      </c>
      <c r="B5693" s="10" t="str">
        <f>参数调整!$J$36</f>
        <v>新增怪物种类1掉落</v>
      </c>
      <c r="C5693" s="8" t="str">
        <f>材料产出!$AV$2</f>
        <v>神器图纸</v>
      </c>
      <c r="D5693" s="224">
        <f>参数调整!$K$36*怪物掉落配置方案!$D4667</f>
        <v>1.2345496453961119E-3</v>
      </c>
    </row>
    <row r="5694" spans="1:4" ht="16.5" hidden="1" x14ac:dyDescent="0.3">
      <c r="A5694" s="10" t="str">
        <f>基本属性!$B$25&amp;"|"&amp;基本属性!$C$25</f>
        <v>220|15</v>
      </c>
      <c r="B5694" s="10" t="str">
        <f>参数调整!$J$36</f>
        <v>新增怪物种类1掉落</v>
      </c>
      <c r="C5694" s="8" t="str">
        <f>材料产出!$AV$2</f>
        <v>神器图纸</v>
      </c>
      <c r="D5694" s="224">
        <f>参数调整!$K$36*怪物掉落配置方案!$D4668</f>
        <v>1.3811067593651027E-3</v>
      </c>
    </row>
    <row r="5695" spans="1:4" ht="16.5" hidden="1" x14ac:dyDescent="0.3">
      <c r="A5695" s="10" t="str">
        <f>基本属性!$B$26&amp;"|"&amp;基本属性!$C$26</f>
        <v>230|16</v>
      </c>
      <c r="B5695" s="10" t="str">
        <f>参数调整!$J$36</f>
        <v>新增怪物种类1掉落</v>
      </c>
      <c r="C5695" s="8" t="str">
        <f>材料产出!$AV$2</f>
        <v>神器图纸</v>
      </c>
      <c r="D5695" s="224">
        <f>参数调整!$K$36*怪物掉落配置方案!$D4669</f>
        <v>1.5358820292575887E-3</v>
      </c>
    </row>
    <row r="5696" spans="1:4" ht="16.5" hidden="1" x14ac:dyDescent="0.3">
      <c r="A5696" s="10" t="str">
        <f>基本属性!$B$27&amp;"|"&amp;基本属性!$C$27</f>
        <v>230|17</v>
      </c>
      <c r="B5696" s="10" t="str">
        <f>参数调整!$J$36</f>
        <v>新增怪物种类1掉落</v>
      </c>
      <c r="C5696" s="8" t="str">
        <f>材料产出!$AV$2</f>
        <v>神器图纸</v>
      </c>
      <c r="D5696" s="224">
        <f>参数调整!$K$36*怪物掉落配置方案!$D4670</f>
        <v>1.6988754550735694E-3</v>
      </c>
    </row>
    <row r="5697" spans="1:4" ht="16.5" hidden="1" x14ac:dyDescent="0.3">
      <c r="A5697" s="10" t="str">
        <f>基本属性!$B$28&amp;"|"&amp;基本属性!$C$28</f>
        <v>240|18</v>
      </c>
      <c r="B5697" s="10" t="str">
        <f>参数调整!$J$36</f>
        <v>新增怪物种类1掉落</v>
      </c>
      <c r="C5697" s="8" t="str">
        <f>材料产出!$AV$2</f>
        <v>神器图纸</v>
      </c>
      <c r="D5697" s="224">
        <f>参数调整!$K$36*怪物掉落配置方案!$D4671</f>
        <v>1.8700870368130455E-3</v>
      </c>
    </row>
    <row r="5698" spans="1:4" ht="16.5" hidden="1" x14ac:dyDescent="0.3">
      <c r="A5698" s="10" t="str">
        <f>基本属性!$B$29&amp;"|"&amp;基本属性!$C$29</f>
        <v>240|19</v>
      </c>
      <c r="B5698" s="10" t="str">
        <f>参数调整!$J$36</f>
        <v>新增怪物种类1掉落</v>
      </c>
      <c r="C5698" s="8" t="str">
        <f>材料产出!$AV$2</f>
        <v>神器图纸</v>
      </c>
      <c r="D5698" s="224">
        <f>参数调整!$K$36*怪物掉落配置方案!$D4672</f>
        <v>2.0495167744760158E-3</v>
      </c>
    </row>
    <row r="5699" spans="1:4" ht="16.5" hidden="1" x14ac:dyDescent="0.3">
      <c r="A5699" s="10" t="str">
        <f>基本属性!$B$30&amp;"|"&amp;基本属性!$C$30</f>
        <v>250|20</v>
      </c>
      <c r="B5699" s="10" t="str">
        <f>参数调整!$J$36</f>
        <v>新增怪物种类1掉落</v>
      </c>
      <c r="C5699" s="8" t="str">
        <f>材料产出!$AV$2</f>
        <v>神器图纸</v>
      </c>
      <c r="D5699" s="224">
        <f>参数调整!$K$36*怪物掉落配置方案!$D4673</f>
        <v>2.2371646680624806E-3</v>
      </c>
    </row>
    <row r="5700" spans="1:4" ht="16.5" hidden="1" x14ac:dyDescent="0.3">
      <c r="A5700" s="10" t="str">
        <f>基本属性!$B$4&amp;"|"&amp;基本属性!$C$4</f>
        <v>35|0</v>
      </c>
      <c r="B5700" s="10" t="str">
        <f>参数调整!$J$36</f>
        <v>新增怪物种类1掉落</v>
      </c>
      <c r="C5700" s="8" t="str">
        <f>材料产出!$AH$2</f>
        <v>神品升星石</v>
      </c>
      <c r="D5700" s="224">
        <f>参数调整!$K$36*怪物掉落配置方案!$D4674</f>
        <v>4.5365042618120594E-4</v>
      </c>
    </row>
    <row r="5701" spans="1:4" ht="16.5" hidden="1" x14ac:dyDescent="0.3">
      <c r="A5701" s="10" t="str">
        <f>基本属性!$B$5&amp;"|"&amp;基本属性!$C$5</f>
        <v>40|0</v>
      </c>
      <c r="B5701" s="10" t="str">
        <f>参数调整!$J$36</f>
        <v>新增怪物种类1掉落</v>
      </c>
      <c r="C5701" s="8" t="str">
        <f>材料产出!$AH$2</f>
        <v>神品升星石</v>
      </c>
      <c r="D5701" s="224">
        <f>参数调整!$K$36*怪物掉落配置方案!$D4675</f>
        <v>5.7415132063558878E-4</v>
      </c>
    </row>
    <row r="5702" spans="1:4" ht="16.5" hidden="1" x14ac:dyDescent="0.3">
      <c r="A5702" s="10" t="str">
        <f>基本属性!$B$6&amp;"|"&amp;基本属性!$C$6</f>
        <v>50|0</v>
      </c>
      <c r="B5702" s="10" t="str">
        <f>参数调整!$J$36</f>
        <v>新增怪物种类1掉落</v>
      </c>
      <c r="C5702" s="8" t="str">
        <f>材料产出!$AH$2</f>
        <v>神品升星石</v>
      </c>
      <c r="D5702" s="224">
        <f>参数调整!$K$36*怪物掉落配置方案!$D4676</f>
        <v>7.0882879090813423E-4</v>
      </c>
    </row>
    <row r="5703" spans="1:4" ht="16.5" hidden="1" x14ac:dyDescent="0.3">
      <c r="A5703" s="10" t="str">
        <f>基本属性!$B$7&amp;"|"&amp;基本属性!$C$7</f>
        <v>60|0</v>
      </c>
      <c r="B5703" s="10" t="str">
        <f>参数调整!$J$36</f>
        <v>新增怪物种类1掉落</v>
      </c>
      <c r="C5703" s="8" t="str">
        <f>材料产出!$AH$2</f>
        <v>神品升星石</v>
      </c>
      <c r="D5703" s="224">
        <f>参数调整!$K$36*怪物掉落配置方案!$D4677</f>
        <v>8.5768283699884254E-4</v>
      </c>
    </row>
    <row r="5704" spans="1:4" ht="16.5" hidden="1" x14ac:dyDescent="0.3">
      <c r="A5704" s="10" t="str">
        <f>基本属性!$B$8&amp;"|"&amp;基本属性!$C$8</f>
        <v>65|0</v>
      </c>
      <c r="B5704" s="10" t="str">
        <f>参数调整!$J$36</f>
        <v>新增怪物种类1掉落</v>
      </c>
      <c r="C5704" s="8" t="str">
        <f>材料产出!$AH$2</f>
        <v>神品升星石</v>
      </c>
      <c r="D5704" s="224">
        <f>参数调整!$K$36*怪物掉落配置方案!$D4678</f>
        <v>1.0207134589077134E-3</v>
      </c>
    </row>
    <row r="5705" spans="1:4" ht="16.5" hidden="1" x14ac:dyDescent="0.3">
      <c r="A5705" s="10" t="str">
        <f>基本属性!$B$9&amp;"|"&amp;基本属性!$C$9</f>
        <v>70|0</v>
      </c>
      <c r="B5705" s="10" t="str">
        <f>参数调整!$J$36</f>
        <v>新增怪物种类1掉落</v>
      </c>
      <c r="C5705" s="8" t="str">
        <f>材料产出!$AH$2</f>
        <v>神品升星石</v>
      </c>
      <c r="D5705" s="224">
        <f>参数调整!$K$36*怪物掉落配置方案!$D4679</f>
        <v>1.1979206566347471E-3</v>
      </c>
    </row>
    <row r="5706" spans="1:4" ht="16.5" hidden="1" x14ac:dyDescent="0.3">
      <c r="A5706" s="10" t="str">
        <f>基本属性!$B$10&amp;"|"&amp;基本属性!$C$10</f>
        <v>75|0</v>
      </c>
      <c r="B5706" s="10" t="str">
        <f>参数调整!$J$36</f>
        <v>新增怪物种类1掉落</v>
      </c>
      <c r="C5706" s="8" t="str">
        <f>材料产出!$AH$2</f>
        <v>神品升星石</v>
      </c>
      <c r="D5706" s="224">
        <f>参数调整!$K$36*怪物掉落配置方案!$D4680</f>
        <v>1.3893044301799429E-3</v>
      </c>
    </row>
    <row r="5707" spans="1:4" ht="16.5" hidden="1" x14ac:dyDescent="0.3">
      <c r="A5707" s="10" t="str">
        <f>基本属性!$B$11&amp;"|"&amp;基本属性!$C$11</f>
        <v>80|1</v>
      </c>
      <c r="B5707" s="10" t="str">
        <f>参数调整!$J$36</f>
        <v>新增怪物种类1掉落</v>
      </c>
      <c r="C5707" s="8" t="str">
        <f>材料产出!$AH$2</f>
        <v>神品升星石</v>
      </c>
      <c r="D5707" s="224">
        <f>参数调整!$K$36*怪物掉落配置方案!$D4681</f>
        <v>1.5948647795433022E-3</v>
      </c>
    </row>
    <row r="5708" spans="1:4" ht="16.5" hidden="1" x14ac:dyDescent="0.3">
      <c r="A5708" s="10" t="str">
        <f>基本属性!$B$12&amp;"|"&amp;基本属性!$C$12</f>
        <v>90|2</v>
      </c>
      <c r="B5708" s="10" t="str">
        <f>参数调整!$J$36</f>
        <v>新增怪物种类1掉落</v>
      </c>
      <c r="C5708" s="8" t="str">
        <f>材料产出!$AH$2</f>
        <v>神品升星石</v>
      </c>
      <c r="D5708" s="224">
        <f>参数调整!$K$36*怪物掉落配置方案!$D4682</f>
        <v>1.8146017047248242E-3</v>
      </c>
    </row>
    <row r="5709" spans="1:4" ht="16.5" hidden="1" x14ac:dyDescent="0.3">
      <c r="A5709" s="10" t="str">
        <f>基本属性!$B$13&amp;"|"&amp;基本属性!$C$13</f>
        <v>100|3</v>
      </c>
      <c r="B5709" s="10" t="str">
        <f>参数调整!$J$36</f>
        <v>新增怪物种类1掉落</v>
      </c>
      <c r="C5709" s="8" t="str">
        <f>材料产出!$AH$2</f>
        <v>神品升星石</v>
      </c>
      <c r="D5709" s="224">
        <f>参数调整!$K$36*怪物掉落配置方案!$D4683</f>
        <v>2.2966052825423556E-3</v>
      </c>
    </row>
    <row r="5710" spans="1:4" ht="16.5" hidden="1" x14ac:dyDescent="0.3">
      <c r="A5710" s="10" t="str">
        <f>基本属性!$B$14&amp;"|"&amp;基本属性!$C$14</f>
        <v>105|4</v>
      </c>
      <c r="B5710" s="10" t="str">
        <f>参数调整!$J$36</f>
        <v>新增怪物种类1掉落</v>
      </c>
      <c r="C5710" s="8" t="str">
        <f>材料产出!$AH$2</f>
        <v>神品升星石</v>
      </c>
      <c r="D5710" s="224">
        <f>参数调整!$K$36*怪物掉落配置方案!$D4684</f>
        <v>2.8353151636325369E-3</v>
      </c>
    </row>
    <row r="5711" spans="1:4" ht="16.5" hidden="1" x14ac:dyDescent="0.3">
      <c r="A5711" s="10" t="str">
        <f>基本属性!$B$15&amp;"|"&amp;基本属性!$C$15</f>
        <v>110|5</v>
      </c>
      <c r="B5711" s="10" t="str">
        <f>参数调整!$J$36</f>
        <v>新增怪物种类1掉落</v>
      </c>
      <c r="C5711" s="8" t="str">
        <f>材料产出!$AH$2</f>
        <v>神品升星石</v>
      </c>
      <c r="D5711" s="224">
        <f>参数调整!$K$36*怪物掉落配置方案!$D4685</f>
        <v>3.4307313479953706E-3</v>
      </c>
    </row>
    <row r="5712" spans="1:4" ht="16.5" hidden="1" x14ac:dyDescent="0.3">
      <c r="A5712" s="10" t="str">
        <f>基本属性!$B$16&amp;"|"&amp;基本属性!$C$16</f>
        <v>120|6</v>
      </c>
      <c r="B5712" s="10" t="str">
        <f>参数调整!$J$36</f>
        <v>新增怪物种类1掉落</v>
      </c>
      <c r="C5712" s="8" t="str">
        <f>材料产出!$AH$2</f>
        <v>神品升星石</v>
      </c>
      <c r="D5712" s="224">
        <f>参数调整!$K$36*怪物掉落配置方案!$D4686</f>
        <v>4.4301799431758406E-3</v>
      </c>
    </row>
    <row r="5713" spans="1:4" ht="16.5" hidden="1" x14ac:dyDescent="0.3">
      <c r="A5713" s="10" t="str">
        <f>基本属性!$B$17&amp;"|"&amp;基本属性!$C$17</f>
        <v>135|7</v>
      </c>
      <c r="B5713" s="10" t="str">
        <f>参数调整!$J$36</f>
        <v>新增怪物种类1掉落</v>
      </c>
      <c r="C5713" s="8" t="str">
        <f>材料产出!$AH$2</f>
        <v>神品升星石</v>
      </c>
      <c r="D5713" s="224">
        <f>参数调整!$K$36*怪物掉落配置方案!$D4687</f>
        <v>6.3794591181732087E-3</v>
      </c>
    </row>
    <row r="5714" spans="1:4" ht="16.5" hidden="1" x14ac:dyDescent="0.3">
      <c r="A5714" s="10" t="str">
        <f>基本属性!$B$18&amp;"|"&amp;基本属性!$C$18</f>
        <v>155|8</v>
      </c>
      <c r="B5714" s="10" t="str">
        <f>参数调整!$J$36</f>
        <v>新增怪物种类1掉落</v>
      </c>
      <c r="C5714" s="8" t="str">
        <f>材料产出!$AH$2</f>
        <v>神品升星石</v>
      </c>
      <c r="D5714" s="224">
        <f>参数调整!$K$36*怪物掉落配置方案!$D4688</f>
        <v>8.6831526886246464E-3</v>
      </c>
    </row>
    <row r="5715" spans="1:4" ht="16.5" hidden="1" x14ac:dyDescent="0.3">
      <c r="A5715" s="10" t="str">
        <f>基本属性!$B$19&amp;"|"&amp;基本属性!$C$19</f>
        <v>190|9</v>
      </c>
      <c r="B5715" s="10" t="str">
        <f>参数调整!$J$36</f>
        <v>新增怪物种类1掉落</v>
      </c>
      <c r="C5715" s="8" t="str">
        <f>材料产出!$AH$2</f>
        <v>神品升星石</v>
      </c>
      <c r="D5715" s="224">
        <f>参数调整!$K$36*怪物掉落配置方案!$D4689</f>
        <v>9.7038661475323598E-3</v>
      </c>
    </row>
    <row r="5716" spans="1:4" ht="16.5" hidden="1" x14ac:dyDescent="0.3">
      <c r="A5716" s="10" t="str">
        <f>基本属性!$B$20&amp;"|"&amp;基本属性!$C$20</f>
        <v>200|10</v>
      </c>
      <c r="B5716" s="10" t="str">
        <f>参数调整!$J$36</f>
        <v>新增怪物种类1掉落</v>
      </c>
      <c r="C5716" s="8" t="str">
        <f>材料产出!$AH$2</f>
        <v>神品升星石</v>
      </c>
      <c r="D5716" s="224">
        <f>参数调整!$K$36*怪物掉落配置方案!$D4690</f>
        <v>1.1341260654530148E-2</v>
      </c>
    </row>
    <row r="5717" spans="1:4" ht="16.5" hidden="1" x14ac:dyDescent="0.3">
      <c r="A5717" s="10" t="str">
        <f>基本属性!$B$21&amp;"|"&amp;基本属性!$C$21</f>
        <v>200|11</v>
      </c>
      <c r="B5717" s="10" t="str">
        <f>参数调整!$J$36</f>
        <v>新增怪物种类1掉落</v>
      </c>
      <c r="C5717" s="8" t="str">
        <f>材料产出!$AH$2</f>
        <v>神品升星石</v>
      </c>
      <c r="D5717" s="224">
        <f>参数调整!$K$36*怪物掉落配置方案!$D4691</f>
        <v>1.3106244343891401E-2</v>
      </c>
    </row>
    <row r="5718" spans="1:4" ht="16.5" hidden="1" x14ac:dyDescent="0.3">
      <c r="A5718" s="10" t="str">
        <f>基本属性!$B$22&amp;"|"&amp;基本属性!$C$22</f>
        <v>210|12</v>
      </c>
      <c r="B5718" s="10" t="str">
        <f>参数调整!$J$36</f>
        <v>新增怪物种类1掉落</v>
      </c>
      <c r="C5718" s="8" t="str">
        <f>材料产出!$AH$2</f>
        <v>神品升星石</v>
      </c>
      <c r="D5718" s="224">
        <f>参数调整!$K$36*怪物掉落配置方案!$D4692</f>
        <v>1.4998817215616118E-2</v>
      </c>
    </row>
    <row r="5719" spans="1:4" ht="16.5" hidden="1" x14ac:dyDescent="0.3">
      <c r="A5719" s="10" t="str">
        <f>基本属性!$B$23&amp;"|"&amp;基本属性!$C$23</f>
        <v>210|13</v>
      </c>
      <c r="B5719" s="10" t="str">
        <f>参数调整!$J$36</f>
        <v>新增怪物种类1掉落</v>
      </c>
      <c r="C5719" s="8" t="str">
        <f>材料产出!$AH$2</f>
        <v>神品升星石</v>
      </c>
      <c r="D5719" s="224">
        <f>参数调整!$K$36*怪物掉落配置方案!$D4693</f>
        <v>1.7018979269704308E-2</v>
      </c>
    </row>
    <row r="5720" spans="1:4" ht="16.5" hidden="1" x14ac:dyDescent="0.3">
      <c r="A5720" s="10" t="str">
        <f>基本属性!$B$24&amp;"|"&amp;基本属性!$C$24</f>
        <v>220|14</v>
      </c>
      <c r="B5720" s="10" t="str">
        <f>参数调整!$J$36</f>
        <v>新增怪物种类1掉落</v>
      </c>
      <c r="C5720" s="8" t="str">
        <f>材料产出!$AH$2</f>
        <v>神品升星石</v>
      </c>
      <c r="D5720" s="224">
        <f>参数调整!$K$36*怪物掉落配置方案!$D4694</f>
        <v>1.9166730506155954E-2</v>
      </c>
    </row>
    <row r="5721" spans="1:4" ht="16.5" hidden="1" x14ac:dyDescent="0.3">
      <c r="A5721" s="10" t="str">
        <f>基本属性!$B$25&amp;"|"&amp;基本属性!$C$25</f>
        <v>220|15</v>
      </c>
      <c r="B5721" s="10" t="str">
        <f>参数调整!$J$36</f>
        <v>新增怪物种类1掉落</v>
      </c>
      <c r="C5721" s="8" t="str">
        <f>材料产出!$AH$2</f>
        <v>神品升星石</v>
      </c>
      <c r="D5721" s="224">
        <f>参数调整!$K$36*怪物掉落配置方案!$D4695</f>
        <v>2.1442070924971062E-2</v>
      </c>
    </row>
    <row r="5722" spans="1:4" ht="16.5" hidden="1" x14ac:dyDescent="0.3">
      <c r="A5722" s="10" t="str">
        <f>基本属性!$B$26&amp;"|"&amp;基本属性!$C$26</f>
        <v>230|16</v>
      </c>
      <c r="B5722" s="10" t="str">
        <f>参数调整!$J$36</f>
        <v>新增怪物种类1掉落</v>
      </c>
      <c r="C5722" s="8" t="str">
        <f>材料产出!$AH$2</f>
        <v>神品升星石</v>
      </c>
      <c r="D5722" s="224">
        <f>参数调整!$K$36*怪物掉落配置方案!$D4696</f>
        <v>2.3845000526149636E-2</v>
      </c>
    </row>
    <row r="5723" spans="1:4" ht="16.5" hidden="1" x14ac:dyDescent="0.3">
      <c r="A5723" s="10" t="str">
        <f>基本属性!$B$27&amp;"|"&amp;基本属性!$C$27</f>
        <v>230|17</v>
      </c>
      <c r="B5723" s="10" t="str">
        <f>参数调整!$J$36</f>
        <v>新增怪物种类1掉落</v>
      </c>
      <c r="C5723" s="8" t="str">
        <f>材料产出!$AH$2</f>
        <v>神品升星石</v>
      </c>
      <c r="D5723" s="224">
        <f>参数调整!$K$36*怪物掉落配置方案!$D4697</f>
        <v>2.6375519309691675E-2</v>
      </c>
    </row>
    <row r="5724" spans="1:4" ht="16.5" hidden="1" x14ac:dyDescent="0.3">
      <c r="A5724" s="10" t="str">
        <f>基本属性!$B$28&amp;"|"&amp;基本属性!$C$28</f>
        <v>240|18</v>
      </c>
      <c r="B5724" s="10" t="str">
        <f>参数调整!$J$36</f>
        <v>新增怪物种类1掉落</v>
      </c>
      <c r="C5724" s="8" t="str">
        <f>材料产出!$AH$2</f>
        <v>神品升星石</v>
      </c>
      <c r="D5724" s="224">
        <f>参数调整!$K$36*怪物掉落配置方案!$D4698</f>
        <v>2.903362727559718E-2</v>
      </c>
    </row>
    <row r="5725" spans="1:4" ht="16.5" hidden="1" x14ac:dyDescent="0.3">
      <c r="A5725" s="10" t="str">
        <f>基本属性!$B$29&amp;"|"&amp;基本属性!$C$29</f>
        <v>240|19</v>
      </c>
      <c r="B5725" s="10" t="str">
        <f>参数调整!$J$36</f>
        <v>新增怪物种类1掉落</v>
      </c>
      <c r="C5725" s="8" t="str">
        <f>材料产出!$AH$2</f>
        <v>神品升星石</v>
      </c>
      <c r="D5725" s="224">
        <f>参数调整!$K$36*怪物掉落配置方案!$D4699</f>
        <v>3.1819324423866154E-2</v>
      </c>
    </row>
    <row r="5726" spans="1:4" ht="16.5" hidden="1" x14ac:dyDescent="0.3">
      <c r="A5726" s="10" t="str">
        <f>基本属性!$B$30&amp;"|"&amp;基本属性!$C$30</f>
        <v>250|20</v>
      </c>
      <c r="B5726" s="10" t="str">
        <f>参数调整!$J$36</f>
        <v>新增怪物种类1掉落</v>
      </c>
      <c r="C5726" s="8" t="str">
        <f>材料产出!$AH$2</f>
        <v>神品升星石</v>
      </c>
      <c r="D5726" s="224">
        <f>参数调整!$K$36*怪物掉落配置方案!$D4700</f>
        <v>3.4732610754498572E-2</v>
      </c>
    </row>
    <row r="5727" spans="1:4" ht="16.5" hidden="1" x14ac:dyDescent="0.3">
      <c r="A5727" s="10" t="str">
        <f>基本属性!$B$4&amp;"|"&amp;基本属性!$C$4</f>
        <v>35|0</v>
      </c>
      <c r="B5727" s="10" t="str">
        <f>参数调整!$J$36</f>
        <v>新增怪物种类1掉落</v>
      </c>
      <c r="C5727" s="8" t="str">
        <f>材料产出!$AL$2</f>
        <v>上品注灵石</v>
      </c>
      <c r="D5727" s="224">
        <f>参数调整!$K$36*怪物掉落配置方案!$D4701</f>
        <v>2.5922051447117831E-3</v>
      </c>
    </row>
    <row r="5728" spans="1:4" ht="16.5" hidden="1" x14ac:dyDescent="0.3">
      <c r="A5728" s="10" t="str">
        <f>基本属性!$B$5&amp;"|"&amp;基本属性!$C$5</f>
        <v>40|0</v>
      </c>
      <c r="B5728" s="10" t="str">
        <f>参数调整!$J$36</f>
        <v>新增怪物种类1掉落</v>
      </c>
      <c r="C5728" s="8" t="str">
        <f>材料产出!$AL$2</f>
        <v>上品注灵石</v>
      </c>
      <c r="D5728" s="224">
        <f>参数调整!$K$36*怪物掉落配置方案!$D4702</f>
        <v>3.2807596362758509E-3</v>
      </c>
    </row>
    <row r="5729" spans="1:4" ht="16.5" hidden="1" x14ac:dyDescent="0.3">
      <c r="A5729" s="10" t="str">
        <f>基本属性!$B$6&amp;"|"&amp;基本属性!$C$6</f>
        <v>50|0</v>
      </c>
      <c r="B5729" s="10" t="str">
        <f>参数调整!$J$36</f>
        <v>新增怪物种类1掉落</v>
      </c>
      <c r="C5729" s="8" t="str">
        <f>材料产出!$AL$2</f>
        <v>上品注灵石</v>
      </c>
      <c r="D5729" s="224">
        <f>参数调整!$K$36*怪物掉落配置方案!$D4703</f>
        <v>4.0503205386121614E-3</v>
      </c>
    </row>
    <row r="5730" spans="1:4" ht="16.5" hidden="1" x14ac:dyDescent="0.3">
      <c r="A5730" s="10" t="str">
        <f>基本属性!$B$7&amp;"|"&amp;基本属性!$C$7</f>
        <v>60|0</v>
      </c>
      <c r="B5730" s="10" t="str">
        <f>参数调整!$J$36</f>
        <v>新增怪物种类1掉落</v>
      </c>
      <c r="C5730" s="8" t="str">
        <f>材料产出!$AL$2</f>
        <v>上品注灵石</v>
      </c>
      <c r="D5730" s="224">
        <f>参数调整!$K$36*怪物掉落配置方案!$D4704</f>
        <v>4.9008878517207161E-3</v>
      </c>
    </row>
    <row r="5731" spans="1:4" ht="16.5" hidden="1" x14ac:dyDescent="0.3">
      <c r="A5731" s="10" t="str">
        <f>基本属性!$B$8&amp;"|"&amp;基本属性!$C$8</f>
        <v>65|0</v>
      </c>
      <c r="B5731" s="10" t="str">
        <f>参数调整!$J$36</f>
        <v>新增怪物种类1掉落</v>
      </c>
      <c r="C5731" s="8" t="str">
        <f>材料产出!$AL$2</f>
        <v>上品注灵石</v>
      </c>
      <c r="D5731" s="224">
        <f>参数调整!$K$36*怪物掉落配置方案!$D4705</f>
        <v>5.8324615756015115E-3</v>
      </c>
    </row>
    <row r="5732" spans="1:4" ht="16.5" hidden="1" x14ac:dyDescent="0.3">
      <c r="A5732" s="10" t="str">
        <f>基本属性!$B$9&amp;"|"&amp;基本属性!$C$9</f>
        <v>70|0</v>
      </c>
      <c r="B5732" s="10" t="str">
        <f>参数调整!$J$36</f>
        <v>新增怪物种类1掉落</v>
      </c>
      <c r="C5732" s="8" t="str">
        <f>材料产出!$AL$2</f>
        <v>上品注灵石</v>
      </c>
      <c r="D5732" s="224">
        <f>参数调整!$K$36*怪物掉落配置方案!$D4706</f>
        <v>6.8450417102545527E-3</v>
      </c>
    </row>
    <row r="5733" spans="1:4" ht="16.5" hidden="1" x14ac:dyDescent="0.3">
      <c r="A5733" s="10" t="str">
        <f>基本属性!$B$10&amp;"|"&amp;基本属性!$C$10</f>
        <v>75|0</v>
      </c>
      <c r="B5733" s="10" t="str">
        <f>参数调整!$J$36</f>
        <v>新增怪物种类1掉落</v>
      </c>
      <c r="C5733" s="8" t="str">
        <f>材料产出!$AL$2</f>
        <v>上品注灵石</v>
      </c>
      <c r="D5733" s="224">
        <f>参数调整!$K$36*怪物掉落配置方案!$D4707</f>
        <v>7.9386282556798346E-3</v>
      </c>
    </row>
    <row r="5734" spans="1:4" ht="16.5" hidden="1" x14ac:dyDescent="0.3">
      <c r="A5734" s="10" t="str">
        <f>基本属性!$B$11&amp;"|"&amp;基本属性!$C$11</f>
        <v>80|1</v>
      </c>
      <c r="B5734" s="10" t="str">
        <f>参数调整!$J$36</f>
        <v>新增怪物种类1掉落</v>
      </c>
      <c r="C5734" s="8" t="str">
        <f>材料产出!$AL$2</f>
        <v>上品注灵石</v>
      </c>
      <c r="D5734" s="224">
        <f>参数调整!$K$36*怪物掉落配置方案!$D4708</f>
        <v>9.1132212118773641E-3</v>
      </c>
    </row>
    <row r="5735" spans="1:4" ht="16.5" hidden="1" x14ac:dyDescent="0.3">
      <c r="A5735" s="10" t="str">
        <f>基本属性!$B$12&amp;"|"&amp;基本属性!$C$12</f>
        <v>90|2</v>
      </c>
      <c r="B5735" s="10" t="str">
        <f>参数调整!$J$36</f>
        <v>新增怪物种类1掉落</v>
      </c>
      <c r="C5735" s="8" t="str">
        <f>材料产出!$AL$2</f>
        <v>上品注灵石</v>
      </c>
      <c r="D5735" s="224">
        <f>参数调整!$K$36*怪物掉落配置方案!$D4709</f>
        <v>1.0368820578847134E-2</v>
      </c>
    </row>
    <row r="5736" spans="1:4" ht="16.5" hidden="1" x14ac:dyDescent="0.3">
      <c r="A5736" s="10" t="str">
        <f>基本属性!$B$13&amp;"|"&amp;基本属性!$C$13</f>
        <v>100|3</v>
      </c>
      <c r="B5736" s="10" t="str">
        <f>参数调整!$J$36</f>
        <v>新增怪物种类1掉落</v>
      </c>
      <c r="C5736" s="8" t="str">
        <f>材料产出!$AL$2</f>
        <v>上品注灵石</v>
      </c>
      <c r="D5736" s="224">
        <f>参数调整!$K$36*怪物掉落配置方案!$D4710</f>
        <v>1.3123038545103403E-2</v>
      </c>
    </row>
    <row r="5737" spans="1:4" ht="16.5" hidden="1" x14ac:dyDescent="0.3">
      <c r="A5737" s="10" t="str">
        <f>基本属性!$B$14&amp;"|"&amp;基本属性!$C$14</f>
        <v>105|4</v>
      </c>
      <c r="B5737" s="10" t="str">
        <f>参数调整!$J$36</f>
        <v>新增怪物种类1掉落</v>
      </c>
      <c r="C5737" s="8" t="str">
        <f>材料产出!$AL$2</f>
        <v>上品注灵石</v>
      </c>
      <c r="D5737" s="224">
        <f>参数调整!$K$36*怪物掉落配置方案!$D4711</f>
        <v>1.6201282154448646E-2</v>
      </c>
    </row>
    <row r="5738" spans="1:4" ht="16.5" hidden="1" x14ac:dyDescent="0.3">
      <c r="A5738" s="10" t="str">
        <f>基本属性!$B$15&amp;"|"&amp;基本属性!$C$15</f>
        <v>110|5</v>
      </c>
      <c r="B5738" s="10" t="str">
        <f>参数调整!$J$36</f>
        <v>新增怪物种类1掉落</v>
      </c>
      <c r="C5738" s="8" t="str">
        <f>材料产出!$AL$2</f>
        <v>上品注灵石</v>
      </c>
      <c r="D5738" s="224">
        <f>参数调整!$K$36*怪物掉落配置方案!$D4712</f>
        <v>1.9603551406882865E-2</v>
      </c>
    </row>
    <row r="5739" spans="1:4" ht="16.5" hidden="1" x14ac:dyDescent="0.3">
      <c r="A5739" s="10" t="str">
        <f>基本属性!$B$16&amp;"|"&amp;基本属性!$C$16</f>
        <v>120|6</v>
      </c>
      <c r="B5739" s="10" t="str">
        <f>参数调整!$J$36</f>
        <v>新增怪物种类1掉落</v>
      </c>
      <c r="C5739" s="8" t="str">
        <f>材料产出!$AL$2</f>
        <v>上品注灵石</v>
      </c>
      <c r="D5739" s="224">
        <f>参数调整!$K$36*怪物掉落配置方案!$D4713</f>
        <v>2.531450336632601E-2</v>
      </c>
    </row>
    <row r="5740" spans="1:4" ht="16.5" hidden="1" x14ac:dyDescent="0.3">
      <c r="A5740" s="10" t="str">
        <f>基本属性!$B$17&amp;"|"&amp;基本属性!$C$17</f>
        <v>135|7</v>
      </c>
      <c r="B5740" s="10" t="str">
        <f>参数调整!$J$36</f>
        <v>新增怪物种类1掉落</v>
      </c>
      <c r="C5740" s="8" t="str">
        <f>材料产出!$AL$2</f>
        <v>上品注灵石</v>
      </c>
      <c r="D5740" s="224">
        <f>参数调整!$K$36*怪物掉落配置方案!$D4714</f>
        <v>3.6452884847509456E-2</v>
      </c>
    </row>
    <row r="5741" spans="1:4" ht="16.5" hidden="1" x14ac:dyDescent="0.3">
      <c r="A5741" s="10" t="str">
        <f>基本属性!$B$18&amp;"|"&amp;基本属性!$C$18</f>
        <v>155|8</v>
      </c>
      <c r="B5741" s="10" t="str">
        <f>参数调整!$J$36</f>
        <v>新增怪物种类1掉落</v>
      </c>
      <c r="C5741" s="8" t="str">
        <f>材料产出!$AL$2</f>
        <v>上品注灵石</v>
      </c>
      <c r="D5741" s="224">
        <f>参数调整!$K$36*怪物掉落配置方案!$D4715</f>
        <v>4.9616426597998975E-2</v>
      </c>
    </row>
    <row r="5742" spans="1:4" ht="16.5" hidden="1" x14ac:dyDescent="0.3">
      <c r="A5742" s="10" t="str">
        <f>基本属性!$B$19&amp;"|"&amp;基本属性!$C$19</f>
        <v>190|9</v>
      </c>
      <c r="B5742" s="10" t="str">
        <f>参数调整!$J$36</f>
        <v>新增怪物种类1掉落</v>
      </c>
      <c r="C5742" s="8" t="str">
        <f>材料产出!$AL$2</f>
        <v>上品注灵石</v>
      </c>
      <c r="D5742" s="224">
        <f>参数调整!$K$36*怪物掉落配置方案!$D4716</f>
        <v>5.5448888173600497E-2</v>
      </c>
    </row>
    <row r="5743" spans="1:4" ht="16.5" hidden="1" x14ac:dyDescent="0.3">
      <c r="A5743" s="10" t="str">
        <f>基本属性!$B$20&amp;"|"&amp;基本属性!$C$20</f>
        <v>200|10</v>
      </c>
      <c r="B5743" s="10" t="str">
        <f>参数调整!$J$36</f>
        <v>新增怪物种类1掉落</v>
      </c>
      <c r="C5743" s="8" t="str">
        <f>材料产出!$AL$2</f>
        <v>上品注灵石</v>
      </c>
      <c r="D5743" s="224">
        <f>参数调整!$K$36*怪物掉落配置方案!$D4717</f>
        <v>6.4805128617794583E-2</v>
      </c>
    </row>
    <row r="5744" spans="1:4" ht="16.5" hidden="1" x14ac:dyDescent="0.3">
      <c r="A5744" s="10" t="str">
        <f>基本属性!$B$21&amp;"|"&amp;基本属性!$C$21</f>
        <v>200|11</v>
      </c>
      <c r="B5744" s="10" t="str">
        <f>参数调整!$J$36</f>
        <v>新增怪物种类1掉落</v>
      </c>
      <c r="C5744" s="8" t="str">
        <f>材料产出!$AL$2</f>
        <v>上品注灵石</v>
      </c>
      <c r="D5744" s="224">
        <f>参数调整!$K$36*怪物掉落配置方案!$D4718</f>
        <v>7.4890426758938852E-2</v>
      </c>
    </row>
    <row r="5745" spans="1:4" ht="16.5" hidden="1" x14ac:dyDescent="0.3">
      <c r="A5745" s="10" t="str">
        <f>基本属性!$B$22&amp;"|"&amp;基本属性!$C$22</f>
        <v>210|12</v>
      </c>
      <c r="B5745" s="10" t="str">
        <f>参数调整!$J$36</f>
        <v>新增怪物种类1掉落</v>
      </c>
      <c r="C5745" s="8" t="str">
        <f>材料产出!$AL$2</f>
        <v>上品注灵石</v>
      </c>
      <c r="D5745" s="224">
        <f>参数调整!$K$36*怪物掉落配置方案!$D4719</f>
        <v>8.5704782597033305E-2</v>
      </c>
    </row>
    <row r="5746" spans="1:4" ht="16.5" hidden="1" x14ac:dyDescent="0.3">
      <c r="A5746" s="10" t="str">
        <f>基本属性!$B$23&amp;"|"&amp;基本属性!$C$23</f>
        <v>210|13</v>
      </c>
      <c r="B5746" s="10" t="str">
        <f>参数调整!$J$36</f>
        <v>新增怪物种类1掉落</v>
      </c>
      <c r="C5746" s="8" t="str">
        <f>材料产出!$AL$2</f>
        <v>上品注灵石</v>
      </c>
      <c r="D5746" s="224">
        <f>参数调整!$K$36*怪物掉落配置方案!$D4720</f>
        <v>9.7248196132077996E-2</v>
      </c>
    </row>
    <row r="5747" spans="1:4" ht="16.5" hidden="1" x14ac:dyDescent="0.3">
      <c r="A5747" s="10" t="str">
        <f>基本属性!$B$24&amp;"|"&amp;基本属性!$C$24</f>
        <v>220|14</v>
      </c>
      <c r="B5747" s="10" t="str">
        <f>参数调整!$J$36</f>
        <v>新增怪物种类1掉落</v>
      </c>
      <c r="C5747" s="8" t="str">
        <f>材料产出!$AL$2</f>
        <v>上品注灵石</v>
      </c>
      <c r="D5747" s="224">
        <f>参数调整!$K$36*怪物掉落配置方案!$D4721</f>
        <v>0.10952066736407284</v>
      </c>
    </row>
    <row r="5748" spans="1:4" ht="16.5" hidden="1" x14ac:dyDescent="0.3">
      <c r="A5748" s="10" t="str">
        <f>基本属性!$B$25&amp;"|"&amp;基本属性!$C$25</f>
        <v>220|15</v>
      </c>
      <c r="B5748" s="10" t="str">
        <f>参数调整!$J$36</f>
        <v>新增怪物种类1掉落</v>
      </c>
      <c r="C5748" s="8" t="str">
        <f>材料产出!$AL$2</f>
        <v>上品注灵石</v>
      </c>
      <c r="D5748" s="224">
        <f>参数调整!$K$36*怪物掉落配置方案!$D4722</f>
        <v>0.12252219629301787</v>
      </c>
    </row>
    <row r="5749" spans="1:4" ht="16.5" hidden="1" x14ac:dyDescent="0.3">
      <c r="A5749" s="10" t="str">
        <f>基本属性!$B$26&amp;"|"&amp;基本属性!$C$26</f>
        <v>230|16</v>
      </c>
      <c r="B5749" s="10" t="str">
        <f>参数调整!$J$36</f>
        <v>新增怪物种类1掉落</v>
      </c>
      <c r="C5749" s="8" t="str">
        <f>材料产出!$AL$2</f>
        <v>上品注灵石</v>
      </c>
      <c r="D5749" s="224">
        <f>参数调整!$K$36*怪物掉落配置方案!$D4723</f>
        <v>0.13625278291891307</v>
      </c>
    </row>
    <row r="5750" spans="1:4" ht="16.5" hidden="1" x14ac:dyDescent="0.3">
      <c r="A5750" s="10" t="str">
        <f>基本属性!$B$27&amp;"|"&amp;基本属性!$C$27</f>
        <v>230|17</v>
      </c>
      <c r="B5750" s="10" t="str">
        <f>参数调整!$J$36</f>
        <v>新增怪物种类1掉落</v>
      </c>
      <c r="C5750" s="8" t="str">
        <f>材料产出!$AL$2</f>
        <v>上品注灵石</v>
      </c>
      <c r="D5750" s="224">
        <f>参数调整!$K$36*怪物掉落配置方案!$D4724</f>
        <v>0.15071242724175851</v>
      </c>
    </row>
    <row r="5751" spans="1:4" ht="16.5" hidden="1" x14ac:dyDescent="0.3">
      <c r="A5751" s="10" t="str">
        <f>基本属性!$B$28&amp;"|"&amp;基本属性!$C$28</f>
        <v>240|18</v>
      </c>
      <c r="B5751" s="10" t="str">
        <f>参数调整!$J$36</f>
        <v>新增怪物种类1掉落</v>
      </c>
      <c r="C5751" s="8" t="str">
        <f>材料产出!$AL$2</f>
        <v>上品注灵石</v>
      </c>
      <c r="D5751" s="224">
        <f>参数调整!$K$36*怪物掉落配置方案!$D4725</f>
        <v>0.16590112926155415</v>
      </c>
    </row>
    <row r="5752" spans="1:4" ht="16.5" hidden="1" x14ac:dyDescent="0.3">
      <c r="A5752" s="10" t="str">
        <f>基本属性!$B$29&amp;"|"&amp;基本属性!$C$29</f>
        <v>240|19</v>
      </c>
      <c r="B5752" s="10" t="str">
        <f>参数调整!$J$36</f>
        <v>新增怪物种类1掉落</v>
      </c>
      <c r="C5752" s="8" t="str">
        <f>材料产出!$AL$2</f>
        <v>上品注灵石</v>
      </c>
      <c r="D5752" s="224">
        <f>参数调整!$K$36*怪物掉落配置方案!$D4726</f>
        <v>0.18181888897829993</v>
      </c>
    </row>
    <row r="5753" spans="1:4" ht="16.5" hidden="1" x14ac:dyDescent="0.3">
      <c r="A5753" s="10" t="str">
        <f>基本属性!$B$30&amp;"|"&amp;基本属性!$C$30</f>
        <v>250|20</v>
      </c>
      <c r="B5753" s="10" t="str">
        <f>参数调整!$J$36</f>
        <v>新增怪物种类1掉落</v>
      </c>
      <c r="C5753" s="8" t="str">
        <f>材料产出!$AL$2</f>
        <v>上品注灵石</v>
      </c>
      <c r="D5753" s="224">
        <f>参数调整!$K$36*怪物掉落配置方案!$D4727</f>
        <v>0.1984657063919959</v>
      </c>
    </row>
    <row r="5754" spans="1:4" ht="16.5" hidden="1" x14ac:dyDescent="0.3">
      <c r="A5754" s="10" t="str">
        <f>基本属性!$B$4&amp;"|"&amp;基本属性!$C$4</f>
        <v>35|0</v>
      </c>
      <c r="B5754" s="10" t="str">
        <f>参数调整!$J$36</f>
        <v>新增怪物种类1掉落</v>
      </c>
      <c r="C5754" s="8" t="str">
        <f>材料产出!$AT$2</f>
        <v>魔龙之心</v>
      </c>
      <c r="D5754" s="224">
        <f>参数调整!$K$36*怪物掉落配置方案!$D4728</f>
        <v>3.246678883355982E-6</v>
      </c>
    </row>
    <row r="5755" spans="1:4" ht="16.5" hidden="1" x14ac:dyDescent="0.3">
      <c r="A5755" s="10" t="str">
        <f>基本属性!$B$5&amp;"|"&amp;基本属性!$C$5</f>
        <v>40|0</v>
      </c>
      <c r="B5755" s="10" t="str">
        <f>参数调整!$J$36</f>
        <v>新增怪物种类1掉落</v>
      </c>
      <c r="C5755" s="8" t="str">
        <f>材料产出!$AT$2</f>
        <v>魔龙之心</v>
      </c>
      <c r="D5755" s="224">
        <f>参数调整!$K$36*怪物掉落配置方案!$D4729</f>
        <v>4.1090779617474144E-6</v>
      </c>
    </row>
    <row r="5756" spans="1:4" ht="16.5" hidden="1" x14ac:dyDescent="0.3">
      <c r="A5756" s="10" t="str">
        <f>基本属性!$B$6&amp;"|"&amp;基本属性!$C$6</f>
        <v>50|0</v>
      </c>
      <c r="B5756" s="10" t="str">
        <f>参数调整!$J$36</f>
        <v>新增怪物种类1掉落</v>
      </c>
      <c r="C5756" s="8" t="str">
        <f>材料产出!$AT$2</f>
        <v>魔龙之心</v>
      </c>
      <c r="D5756" s="224">
        <f>参数调整!$K$36*怪物掉落配置方案!$D4730</f>
        <v>5.0729357552437214E-6</v>
      </c>
    </row>
    <row r="5757" spans="1:4" ht="16.5" hidden="1" x14ac:dyDescent="0.3">
      <c r="A5757" s="10" t="str">
        <f>基本属性!$B$7&amp;"|"&amp;基本属性!$C$7</f>
        <v>60|0</v>
      </c>
      <c r="B5757" s="10" t="str">
        <f>参数调整!$J$36</f>
        <v>新增怪物种类1掉落</v>
      </c>
      <c r="C5757" s="8" t="str">
        <f>材料产出!$AT$2</f>
        <v>魔龙之心</v>
      </c>
      <c r="D5757" s="224">
        <f>参数调整!$K$36*怪物掉落配置方案!$D4731</f>
        <v>6.1382522638449047E-6</v>
      </c>
    </row>
    <row r="5758" spans="1:4" ht="16.5" hidden="1" x14ac:dyDescent="0.3">
      <c r="A5758" s="10" t="str">
        <f>基本属性!$B$8&amp;"|"&amp;基本属性!$C$8</f>
        <v>65|0</v>
      </c>
      <c r="B5758" s="10" t="str">
        <f>参数调整!$J$36</f>
        <v>新增怪物种类1掉落</v>
      </c>
      <c r="C5758" s="8" t="str">
        <f>材料产出!$AT$2</f>
        <v>魔龙之心</v>
      </c>
      <c r="D5758" s="224">
        <f>参数调整!$K$36*怪物掉落配置方案!$D4732</f>
        <v>7.3050274875509583E-6</v>
      </c>
    </row>
    <row r="5759" spans="1:4" ht="16.5" hidden="1" x14ac:dyDescent="0.3">
      <c r="A5759" s="10" t="str">
        <f>基本属性!$B$9&amp;"|"&amp;基本属性!$C$9</f>
        <v>70|0</v>
      </c>
      <c r="B5759" s="10" t="str">
        <f>参数调整!$J$36</f>
        <v>新增怪物种类1掉落</v>
      </c>
      <c r="C5759" s="8" t="str">
        <f>材料产出!$AT$2</f>
        <v>魔龙之心</v>
      </c>
      <c r="D5759" s="224">
        <f>参数调整!$K$36*怪物掉落配置方案!$D4733</f>
        <v>8.5732614263618891E-6</v>
      </c>
    </row>
    <row r="5760" spans="1:4" ht="16.5" hidden="1" x14ac:dyDescent="0.3">
      <c r="A5760" s="10" t="str">
        <f>基本属性!$B$10&amp;"|"&amp;基本属性!$C$10</f>
        <v>75|0</v>
      </c>
      <c r="B5760" s="10" t="str">
        <f>参数调整!$J$36</f>
        <v>新增怪物种类1掉落</v>
      </c>
      <c r="C5760" s="8" t="str">
        <f>材料产出!$AT$2</f>
        <v>魔龙之心</v>
      </c>
      <c r="D5760" s="224">
        <f>参数调整!$K$36*怪物掉落配置方案!$D4734</f>
        <v>9.9429540802776919E-6</v>
      </c>
    </row>
    <row r="5761" spans="1:4" ht="16.5" hidden="1" x14ac:dyDescent="0.3">
      <c r="A5761" s="10" t="str">
        <f>基本属性!$B$11&amp;"|"&amp;基本属性!$C$11</f>
        <v>80|1</v>
      </c>
      <c r="B5761" s="10" t="str">
        <f>参数调整!$J$36</f>
        <v>新增怪物种类1掉落</v>
      </c>
      <c r="C5761" s="8" t="str">
        <f>材料产出!$AT$2</f>
        <v>魔龙之心</v>
      </c>
      <c r="D5761" s="224">
        <f>参数调整!$K$36*怪物掉落配置方案!$D4735</f>
        <v>1.1414105449298371E-5</v>
      </c>
    </row>
    <row r="5762" spans="1:4" ht="16.5" hidden="1" x14ac:dyDescent="0.3">
      <c r="A5762" s="10" t="str">
        <f>基本属性!$B$12&amp;"|"&amp;基本属性!$C$12</f>
        <v>90|2</v>
      </c>
      <c r="B5762" s="10" t="str">
        <f>参数调整!$J$36</f>
        <v>新增怪物种类1掉落</v>
      </c>
      <c r="C5762" s="8" t="str">
        <f>材料产出!$AT$2</f>
        <v>魔龙之心</v>
      </c>
      <c r="D5762" s="224">
        <f>参数调整!$K$36*怪物掉落配置方案!$D4736</f>
        <v>1.298671553342393E-5</v>
      </c>
    </row>
    <row r="5763" spans="1:4" ht="16.5" hidden="1" x14ac:dyDescent="0.3">
      <c r="A5763" s="10" t="str">
        <f>基本属性!$B$13&amp;"|"&amp;基本属性!$C$13</f>
        <v>100|3</v>
      </c>
      <c r="B5763" s="10" t="str">
        <f>参数调整!$J$36</f>
        <v>新增怪物种类1掉落</v>
      </c>
      <c r="C5763" s="8" t="str">
        <f>材料产出!$AT$2</f>
        <v>魔龙之心</v>
      </c>
      <c r="D5763" s="224">
        <f>参数调整!$K$36*怪物掉落配置方案!$D4737</f>
        <v>1.6436311846989661E-5</v>
      </c>
    </row>
    <row r="5764" spans="1:4" ht="16.5" hidden="1" x14ac:dyDescent="0.3">
      <c r="A5764" s="10" t="str">
        <f>基本属性!$B$14&amp;"|"&amp;基本属性!$C$14</f>
        <v>105|4</v>
      </c>
      <c r="B5764" s="10" t="str">
        <f>参数调整!$J$36</f>
        <v>新增怪物种类1掉落</v>
      </c>
      <c r="C5764" s="8" t="str">
        <f>材料产出!$AT$2</f>
        <v>魔龙之心</v>
      </c>
      <c r="D5764" s="224">
        <f>参数调整!$K$36*怪物掉落配置方案!$D4738</f>
        <v>2.0291743020974886E-5</v>
      </c>
    </row>
    <row r="5765" spans="1:4" ht="16.5" hidden="1" x14ac:dyDescent="0.3">
      <c r="A5765" s="10" t="str">
        <f>基本属性!$B$15&amp;"|"&amp;基本属性!$C$15</f>
        <v>110|5</v>
      </c>
      <c r="B5765" s="10" t="str">
        <f>参数调整!$J$36</f>
        <v>新增怪物种类1掉落</v>
      </c>
      <c r="C5765" s="8" t="str">
        <f>材料产出!$AT$2</f>
        <v>魔龙之心</v>
      </c>
      <c r="D5765" s="224">
        <f>参数调整!$K$36*怪物掉落配置方案!$D4739</f>
        <v>2.4553009055379619E-5</v>
      </c>
    </row>
    <row r="5766" spans="1:4" ht="16.5" hidden="1" x14ac:dyDescent="0.3">
      <c r="A5766" s="10" t="str">
        <f>基本属性!$B$16&amp;"|"&amp;基本属性!$C$16</f>
        <v>120|6</v>
      </c>
      <c r="B5766" s="10" t="str">
        <f>参数调整!$J$36</f>
        <v>新增怪物种类1掉落</v>
      </c>
      <c r="C5766" s="8" t="str">
        <f>材料产出!$AT$2</f>
        <v>魔龙之心</v>
      </c>
      <c r="D5766" s="224">
        <f>参数调整!$K$36*怪物掉落配置方案!$D4740</f>
        <v>3.1705848470273263E-5</v>
      </c>
    </row>
    <row r="5767" spans="1:4" ht="16.5" hidden="1" x14ac:dyDescent="0.3">
      <c r="A5767" s="10" t="str">
        <f>基本属性!$B$17&amp;"|"&amp;基本属性!$C$17</f>
        <v>135|7</v>
      </c>
      <c r="B5767" s="10" t="str">
        <f>参数调整!$J$36</f>
        <v>新增怪物种类1掉落</v>
      </c>
      <c r="C5767" s="8" t="str">
        <f>材料产出!$AT$2</f>
        <v>魔龙之心</v>
      </c>
      <c r="D5767" s="224">
        <f>参数调整!$K$36*怪物掉落配置方案!$D4741</f>
        <v>4.5656421797193491E-5</v>
      </c>
    </row>
    <row r="5768" spans="1:4" ht="16.5" hidden="1" x14ac:dyDescent="0.3">
      <c r="A5768" s="10" t="str">
        <f>基本属性!$B$18&amp;"|"&amp;基本属性!$C$18</f>
        <v>155|8</v>
      </c>
      <c r="B5768" s="10" t="str">
        <f>参数调整!$J$36</f>
        <v>新增怪物种类1掉落</v>
      </c>
      <c r="C5768" s="8" t="str">
        <f>材料产出!$AT$2</f>
        <v>魔龙之心</v>
      </c>
      <c r="D5768" s="224">
        <f>参数调整!$K$36*怪物掉落配置方案!$D4742</f>
        <v>6.2143463001735602E-5</v>
      </c>
    </row>
    <row r="5769" spans="1:4" ht="16.5" hidden="1" x14ac:dyDescent="0.3">
      <c r="A5769" s="10" t="str">
        <f>基本属性!$B$19&amp;"|"&amp;基本属性!$C$19</f>
        <v>190|9</v>
      </c>
      <c r="B5769" s="10" t="str">
        <f>参数调整!$J$36</f>
        <v>新增怪物种类1掉落</v>
      </c>
      <c r="C5769" s="8" t="str">
        <f>材料产出!$AT$2</f>
        <v>魔龙之心</v>
      </c>
      <c r="D5769" s="224">
        <f>参数调整!$K$36*怪物掉落配置方案!$D4743</f>
        <v>6.9448490489286546E-5</v>
      </c>
    </row>
    <row r="5770" spans="1:4" ht="16.5" hidden="1" x14ac:dyDescent="0.3">
      <c r="A5770" s="10" t="str">
        <f>基本属性!$B$20&amp;"|"&amp;基本属性!$C$20</f>
        <v>200|10</v>
      </c>
      <c r="B5770" s="10" t="str">
        <f>参数调整!$J$36</f>
        <v>新增怪物种类1掉落</v>
      </c>
      <c r="C5770" s="8" t="str">
        <f>材料产出!$AT$2</f>
        <v>魔龙之心</v>
      </c>
      <c r="D5770" s="224">
        <f>参数调整!$K$36*怪物掉落配置方案!$D4744</f>
        <v>8.1166972083899542E-5</v>
      </c>
    </row>
    <row r="5771" spans="1:4" ht="16.5" hidden="1" x14ac:dyDescent="0.3">
      <c r="A5771" s="10" t="str">
        <f>基本属性!$B$21&amp;"|"&amp;基本属性!$C$21</f>
        <v>200|11</v>
      </c>
      <c r="B5771" s="10" t="str">
        <f>参数调整!$J$36</f>
        <v>新增怪物种类1掉落</v>
      </c>
      <c r="C5771" s="8" t="str">
        <f>材料产出!$AT$2</f>
        <v>魔龙之心</v>
      </c>
      <c r="D5771" s="224">
        <f>参数调整!$K$36*怪物掉落配置方案!$D4745</f>
        <v>9.3798582114456395E-5</v>
      </c>
    </row>
    <row r="5772" spans="1:4" ht="16.5" hidden="1" x14ac:dyDescent="0.3">
      <c r="A5772" s="10" t="str">
        <f>基本属性!$B$22&amp;"|"&amp;基本属性!$C$22</f>
        <v>210|12</v>
      </c>
      <c r="B5772" s="10" t="str">
        <f>参数调整!$J$36</f>
        <v>新增怪物种类1掉落</v>
      </c>
      <c r="C5772" s="8" t="str">
        <f>材料产出!$AT$2</f>
        <v>魔龙之心</v>
      </c>
      <c r="D5772" s="224">
        <f>参数调整!$K$36*怪物掉落配置方案!$D4746</f>
        <v>1.0734332058095713E-4</v>
      </c>
    </row>
    <row r="5773" spans="1:4" ht="16.5" hidden="1" x14ac:dyDescent="0.3">
      <c r="A5773" s="10" t="str">
        <f>基本属性!$B$23&amp;"|"&amp;基本属性!$C$23</f>
        <v>210|13</v>
      </c>
      <c r="B5773" s="10" t="str">
        <f>参数调整!$J$36</f>
        <v>新增怪物种类1掉落</v>
      </c>
      <c r="C5773" s="8" t="str">
        <f>材料产出!$AT$2</f>
        <v>魔龙之心</v>
      </c>
      <c r="D5773" s="224">
        <f>参数调整!$K$36*怪物掉落配置方案!$D4747</f>
        <v>1.2180118748340178E-4</v>
      </c>
    </row>
    <row r="5774" spans="1:4" ht="16.5" hidden="1" x14ac:dyDescent="0.3">
      <c r="A5774" s="10" t="str">
        <f>基本属性!$B$24&amp;"|"&amp;基本属性!$C$24</f>
        <v>220|14</v>
      </c>
      <c r="B5774" s="10" t="str">
        <f>参数调整!$J$36</f>
        <v>新增怪物种类1掉落</v>
      </c>
      <c r="C5774" s="8" t="str">
        <f>材料产出!$AT$2</f>
        <v>魔龙之心</v>
      </c>
      <c r="D5774" s="224">
        <f>参数调整!$K$36*怪物掉落配置方案!$D4748</f>
        <v>1.3717218282179023E-4</v>
      </c>
    </row>
    <row r="5775" spans="1:4" ht="16.5" hidden="1" x14ac:dyDescent="0.3">
      <c r="A5775" s="10" t="str">
        <f>基本属性!$B$25&amp;"|"&amp;基本属性!$C$25</f>
        <v>220|15</v>
      </c>
      <c r="B5775" s="10" t="str">
        <f>参数调整!$J$36</f>
        <v>新增怪物种类1掉落</v>
      </c>
      <c r="C5775" s="8" t="str">
        <f>材料产出!$AT$2</f>
        <v>魔龙之心</v>
      </c>
      <c r="D5775" s="224">
        <f>参数调整!$K$36*怪物掉落配置方案!$D4749</f>
        <v>1.5345630659612254E-4</v>
      </c>
    </row>
    <row r="5776" spans="1:4" ht="16.5" hidden="1" x14ac:dyDescent="0.3">
      <c r="A5776" s="10" t="str">
        <f>基本属性!$B$26&amp;"|"&amp;基本属性!$C$26</f>
        <v>230|16</v>
      </c>
      <c r="B5776" s="10" t="str">
        <f>参数调整!$J$36</f>
        <v>新增怪物种类1掉落</v>
      </c>
      <c r="C5776" s="8" t="str">
        <f>材料产出!$AT$2</f>
        <v>魔龙之心</v>
      </c>
      <c r="D5776" s="224">
        <f>参数调整!$K$36*怪物掉落配置方案!$D4750</f>
        <v>1.7065355880639874E-4</v>
      </c>
    </row>
    <row r="5777" spans="1:4" ht="16.5" hidden="1" x14ac:dyDescent="0.3">
      <c r="A5777" s="10" t="str">
        <f>基本属性!$B$27&amp;"|"&amp;基本属性!$C$27</f>
        <v>230|17</v>
      </c>
      <c r="B5777" s="10" t="str">
        <f>参数调整!$J$36</f>
        <v>新增怪物种类1掉落</v>
      </c>
      <c r="C5777" s="8" t="str">
        <f>材料产出!$AT$2</f>
        <v>魔龙之心</v>
      </c>
      <c r="D5777" s="224">
        <f>参数调整!$K$36*怪物掉落配置方案!$D4751</f>
        <v>1.8876393945261883E-4</v>
      </c>
    </row>
    <row r="5778" spans="1:4" ht="16.5" hidden="1" x14ac:dyDescent="0.3">
      <c r="A5778" s="10" t="str">
        <f>基本属性!$B$28&amp;"|"&amp;基本属性!$C$28</f>
        <v>240|18</v>
      </c>
      <c r="B5778" s="10" t="str">
        <f>参数调整!$J$36</f>
        <v>新增怪物种类1掉落</v>
      </c>
      <c r="C5778" s="8" t="str">
        <f>材料产出!$AT$2</f>
        <v>魔龙之心</v>
      </c>
      <c r="D5778" s="224">
        <f>参数调整!$K$36*怪物掉落配置方案!$D4752</f>
        <v>2.0778744853478285E-4</v>
      </c>
    </row>
    <row r="5779" spans="1:4" ht="16.5" hidden="1" x14ac:dyDescent="0.3">
      <c r="A5779" s="10" t="str">
        <f>基本属性!$B$29&amp;"|"&amp;基本属性!$C$29</f>
        <v>240|19</v>
      </c>
      <c r="B5779" s="10" t="str">
        <f>参数调整!$J$36</f>
        <v>新增怪物种类1掉落</v>
      </c>
      <c r="C5779" s="8" t="str">
        <f>材料产出!$AT$2</f>
        <v>魔龙之心</v>
      </c>
      <c r="D5779" s="224">
        <f>参数调整!$K$36*怪物掉落配置方案!$D4753</f>
        <v>2.277240860528907E-4</v>
      </c>
    </row>
    <row r="5780" spans="1:4" ht="16.5" hidden="1" x14ac:dyDescent="0.3">
      <c r="A5780" s="10" t="str">
        <f>基本属性!$B$30&amp;"|"&amp;基本属性!$C$30</f>
        <v>250|20</v>
      </c>
      <c r="B5780" s="10" t="str">
        <f>参数调整!$J$36</f>
        <v>新增怪物种类1掉落</v>
      </c>
      <c r="C5780" s="8" t="str">
        <f>材料产出!$AT$2</f>
        <v>魔龙之心</v>
      </c>
      <c r="D5780" s="224">
        <f>参数调整!$K$36*怪物掉落配置方案!$D4754</f>
        <v>2.485738520069423E-4</v>
      </c>
    </row>
    <row r="5781" spans="1:4" ht="16.5" hidden="1" x14ac:dyDescent="0.3">
      <c r="A5781" s="10" t="str">
        <f>基本属性!$B$4&amp;"|"&amp;基本属性!$C$4</f>
        <v>35|0</v>
      </c>
      <c r="B5781" s="10" t="str">
        <f>参数调整!$J$36</f>
        <v>新增怪物种类1掉落</v>
      </c>
      <c r="C5781" s="8" t="str">
        <f>材料产出!$X$2</f>
        <v>龍の心</v>
      </c>
      <c r="D5781" s="224">
        <f>参数调整!$K$36*怪物掉落配置方案!$D4755</f>
        <v>5.9074343962982497E-4</v>
      </c>
    </row>
    <row r="5782" spans="1:4" ht="16.5" hidden="1" x14ac:dyDescent="0.3">
      <c r="A5782" s="10" t="str">
        <f>基本属性!$B$5&amp;"|"&amp;基本属性!$C$5</f>
        <v>40|0</v>
      </c>
      <c r="B5782" s="10" t="str">
        <f>参数调整!$J$36</f>
        <v>新增怪物种类1掉落</v>
      </c>
      <c r="C5782" s="8" t="str">
        <f>材料产出!$X$2</f>
        <v>龍の心</v>
      </c>
      <c r="D5782" s="224">
        <f>参数调整!$K$36*怪物掉落配置方案!$D4756</f>
        <v>7.4765966578149723E-4</v>
      </c>
    </row>
    <row r="5783" spans="1:4" ht="16.5" hidden="1" x14ac:dyDescent="0.3">
      <c r="A5783" s="10" t="str">
        <f>基本属性!$B$6&amp;"|"&amp;基本属性!$C$6</f>
        <v>50|0</v>
      </c>
      <c r="B5783" s="10" t="str">
        <f>参数调整!$J$36</f>
        <v>新增怪物种类1掉落</v>
      </c>
      <c r="C5783" s="8" t="str">
        <f>材料产出!$X$2</f>
        <v>龍の心</v>
      </c>
      <c r="D5783" s="224">
        <f>参数调整!$K$36*怪物掉落配置方案!$D4757</f>
        <v>9.2303662442160146E-4</v>
      </c>
    </row>
    <row r="5784" spans="1:4" ht="16.5" hidden="1" x14ac:dyDescent="0.3">
      <c r="A5784" s="10" t="str">
        <f>基本属性!$B$7&amp;"|"&amp;基本属性!$C$7</f>
        <v>60|0</v>
      </c>
      <c r="B5784" s="10" t="str">
        <f>参数调整!$J$36</f>
        <v>新增怪物种类1掉落</v>
      </c>
      <c r="C5784" s="8" t="str">
        <f>材料产出!$X$2</f>
        <v>龍の心</v>
      </c>
      <c r="D5784" s="224">
        <f>参数调整!$K$36*怪物掉落配置方案!$D4758</f>
        <v>1.116874315550138E-3</v>
      </c>
    </row>
    <row r="5785" spans="1:4" ht="16.5" hidden="1" x14ac:dyDescent="0.3">
      <c r="A5785" s="10" t="str">
        <f>基本属性!$B$8&amp;"|"&amp;基本属性!$C$8</f>
        <v>65|0</v>
      </c>
      <c r="B5785" s="10" t="str">
        <f>参数调整!$J$36</f>
        <v>新增怪物种类1掉落</v>
      </c>
      <c r="C5785" s="8" t="str">
        <f>材料产出!$X$2</f>
        <v>龍の心</v>
      </c>
      <c r="D5785" s="224">
        <f>参数调整!$K$36*怪物掉落配置方案!$D4759</f>
        <v>1.3291727391671062E-3</v>
      </c>
    </row>
    <row r="5786" spans="1:4" ht="16.5" hidden="1" x14ac:dyDescent="0.3">
      <c r="A5786" s="10" t="str">
        <f>基本属性!$B$9&amp;"|"&amp;基本属性!$C$9</f>
        <v>70|0</v>
      </c>
      <c r="B5786" s="10" t="str">
        <f>参数调整!$J$36</f>
        <v>新增怪物种类1掉落</v>
      </c>
      <c r="C5786" s="8" t="str">
        <f>材料产出!$X$2</f>
        <v>龍の心</v>
      </c>
      <c r="D5786" s="224">
        <f>参数调整!$K$36*怪物掉落配置方案!$D4760</f>
        <v>1.5599318952725066E-3</v>
      </c>
    </row>
    <row r="5787" spans="1:4" ht="16.5" hidden="1" x14ac:dyDescent="0.3">
      <c r="A5787" s="10" t="str">
        <f>基本属性!$B$10&amp;"|"&amp;基本属性!$C$10</f>
        <v>75|0</v>
      </c>
      <c r="B5787" s="10" t="str">
        <f>参数调整!$J$36</f>
        <v>新增怪物种类1掉落</v>
      </c>
      <c r="C5787" s="8" t="str">
        <f>材料产出!$X$2</f>
        <v>龍の心</v>
      </c>
      <c r="D5787" s="224">
        <f>参数调整!$K$36*怪物掉落配置方案!$D4761</f>
        <v>1.8091517838663388E-3</v>
      </c>
    </row>
    <row r="5788" spans="1:4" ht="16.5" hidden="1" x14ac:dyDescent="0.3">
      <c r="A5788" s="10" t="str">
        <f>基本属性!$B$11&amp;"|"&amp;基本属性!$C$11</f>
        <v>80|1</v>
      </c>
      <c r="B5788" s="10" t="str">
        <f>参数调整!$J$36</f>
        <v>新增怪物种类1掉落</v>
      </c>
      <c r="C5788" s="8" t="str">
        <f>材料产出!$X$2</f>
        <v>龍の心</v>
      </c>
      <c r="D5788" s="224">
        <f>参数调整!$K$36*怪物掉落配置方案!$D4762</f>
        <v>2.0768324049486035E-3</v>
      </c>
    </row>
    <row r="5789" spans="1:4" ht="16.5" hidden="1" x14ac:dyDescent="0.3">
      <c r="A5789" s="10" t="str">
        <f>基本属性!$B$12&amp;"|"&amp;基本属性!$C$12</f>
        <v>90|2</v>
      </c>
      <c r="B5789" s="10" t="str">
        <f>参数调整!$J$36</f>
        <v>新增怪物种类1掉落</v>
      </c>
      <c r="C5789" s="8" t="str">
        <f>材料产出!$X$2</f>
        <v>龍の心</v>
      </c>
      <c r="D5789" s="224">
        <f>参数调整!$K$36*怪物掉落配置方案!$D4763</f>
        <v>2.3629737585193003E-3</v>
      </c>
    </row>
    <row r="5790" spans="1:4" ht="16.5" hidden="1" x14ac:dyDescent="0.3">
      <c r="A5790" s="10" t="str">
        <f>基本属性!$B$13&amp;"|"&amp;基本属性!$C$13</f>
        <v>100|3</v>
      </c>
      <c r="B5790" s="10" t="str">
        <f>参数调整!$J$36</f>
        <v>新增怪物种类1掉落</v>
      </c>
      <c r="C5790" s="8" t="str">
        <f>材料产出!$X$2</f>
        <v>龍の心</v>
      </c>
      <c r="D5790" s="224">
        <f>参数调整!$K$36*怪物掉落配置方案!$D4764</f>
        <v>2.9906386631259893E-3</v>
      </c>
    </row>
    <row r="5791" spans="1:4" ht="16.5" hidden="1" x14ac:dyDescent="0.3">
      <c r="A5791" s="10" t="str">
        <f>基本属性!$B$14&amp;"|"&amp;基本属性!$C$14</f>
        <v>105|4</v>
      </c>
      <c r="B5791" s="10" t="str">
        <f>参数调整!$J$36</f>
        <v>新增怪物种类1掉落</v>
      </c>
      <c r="C5791" s="8" t="str">
        <f>材料产出!$X$2</f>
        <v>龍の心</v>
      </c>
      <c r="D5791" s="224">
        <f>参数调整!$K$36*怪物掉落配置方案!$D4765</f>
        <v>3.6921464976864059E-3</v>
      </c>
    </row>
    <row r="5792" spans="1:4" ht="16.5" hidden="1" x14ac:dyDescent="0.3">
      <c r="A5792" s="10" t="str">
        <f>基本属性!$B$15&amp;"|"&amp;基本属性!$C$15</f>
        <v>110|5</v>
      </c>
      <c r="B5792" s="10" t="str">
        <f>参数调整!$J$36</f>
        <v>新增怪物种类1掉落</v>
      </c>
      <c r="C5792" s="8" t="str">
        <f>材料产出!$X$2</f>
        <v>龍の心</v>
      </c>
      <c r="D5792" s="224">
        <f>参数调整!$K$36*怪物掉落配置方案!$D4766</f>
        <v>4.467497262200552E-3</v>
      </c>
    </row>
    <row r="5793" spans="1:4" ht="16.5" hidden="1" x14ac:dyDescent="0.3">
      <c r="A5793" s="10" t="str">
        <f>基本属性!$B$16&amp;"|"&amp;基本属性!$C$16</f>
        <v>120|6</v>
      </c>
      <c r="B5793" s="10" t="str">
        <f>参数调整!$J$36</f>
        <v>新增怪物种类1掉落</v>
      </c>
      <c r="C5793" s="8" t="str">
        <f>材料产出!$X$2</f>
        <v>龍の心</v>
      </c>
      <c r="D5793" s="224">
        <f>参数调整!$K$36*怪物掉落配置方案!$D4767</f>
        <v>5.7689789026350094E-3</v>
      </c>
    </row>
    <row r="5794" spans="1:4" ht="16.5" hidden="1" x14ac:dyDescent="0.3">
      <c r="A5794" s="10" t="str">
        <f>基本属性!$B$17&amp;"|"&amp;基本属性!$C$17</f>
        <v>135|7</v>
      </c>
      <c r="B5794" s="10" t="str">
        <f>参数调整!$J$36</f>
        <v>新增怪物种类1掉落</v>
      </c>
      <c r="C5794" s="8" t="str">
        <f>材料产出!$X$2</f>
        <v>龍の心</v>
      </c>
      <c r="D5794" s="224">
        <f>参数调整!$K$36*怪物掉落配置方案!$D4768</f>
        <v>8.3073296197944142E-3</v>
      </c>
    </row>
    <row r="5795" spans="1:4" ht="16.5" hidden="1" x14ac:dyDescent="0.3">
      <c r="A5795" s="10" t="str">
        <f>基本属性!$B$18&amp;"|"&amp;基本属性!$C$18</f>
        <v>155|8</v>
      </c>
      <c r="B5795" s="10" t="str">
        <f>参数调整!$J$36</f>
        <v>新增怪物种类1掉落</v>
      </c>
      <c r="C5795" s="8" t="str">
        <f>材料产出!$X$2</f>
        <v>龍の心</v>
      </c>
      <c r="D5795" s="224">
        <f>参数调整!$K$36*怪物掉落配置方案!$D4769</f>
        <v>1.1307198649164621E-2</v>
      </c>
    </row>
    <row r="5796" spans="1:4" ht="16.5" hidden="1" x14ac:dyDescent="0.3">
      <c r="A5796" s="10" t="str">
        <f>基本属性!$B$19&amp;"|"&amp;基本属性!$C$19</f>
        <v>190|9</v>
      </c>
      <c r="B5796" s="10" t="str">
        <f>参数调整!$J$36</f>
        <v>新增怪物种类1掉落</v>
      </c>
      <c r="C5796" s="8" t="str">
        <f>材料产出!$X$2</f>
        <v>龍の心</v>
      </c>
      <c r="D5796" s="224">
        <f>参数调整!$K$36*怪物掉落配置方案!$D4770</f>
        <v>1.2636371388331727E-2</v>
      </c>
    </row>
    <row r="5797" spans="1:4" ht="16.5" hidden="1" x14ac:dyDescent="0.3">
      <c r="A5797" s="10" t="str">
        <f>基本属性!$B$20&amp;"|"&amp;基本属性!$C$20</f>
        <v>200|10</v>
      </c>
      <c r="B5797" s="10" t="str">
        <f>参数调整!$J$36</f>
        <v>新增怪物种类1掉落</v>
      </c>
      <c r="C5797" s="8" t="str">
        <f>材料产出!$X$2</f>
        <v>龍の心</v>
      </c>
      <c r="D5797" s="224">
        <f>参数调整!$K$36*怪物掉落配置方案!$D4771</f>
        <v>1.4768585990745623E-2</v>
      </c>
    </row>
    <row r="5798" spans="1:4" ht="16.5" hidden="1" x14ac:dyDescent="0.3">
      <c r="A5798" s="10" t="str">
        <f>基本属性!$B$21&amp;"|"&amp;基本属性!$C$21</f>
        <v>200|11</v>
      </c>
      <c r="B5798" s="10" t="str">
        <f>参数调整!$J$36</f>
        <v>新增怪物种类1掉落</v>
      </c>
      <c r="C5798" s="8" t="str">
        <f>材料产出!$X$2</f>
        <v>龍の心</v>
      </c>
      <c r="D5798" s="224">
        <f>参数调整!$K$36*怪物掉落配置方案!$D4772</f>
        <v>1.7066947185555407E-2</v>
      </c>
    </row>
    <row r="5799" spans="1:4" ht="16.5" hidden="1" x14ac:dyDescent="0.3">
      <c r="A5799" s="10" t="str">
        <f>基本属性!$B$22&amp;"|"&amp;基本属性!$C$22</f>
        <v>210|12</v>
      </c>
      <c r="B5799" s="10" t="str">
        <f>参数调整!$J$36</f>
        <v>新增怪物种类1掉落</v>
      </c>
      <c r="C5799" s="8" t="str">
        <f>材料产出!$X$2</f>
        <v>龍の心</v>
      </c>
      <c r="D5799" s="224">
        <f>参数调整!$K$36*怪物掉落配置方案!$D4773</f>
        <v>1.9531454972761084E-2</v>
      </c>
    </row>
    <row r="5800" spans="1:4" ht="16.5" hidden="1" x14ac:dyDescent="0.3">
      <c r="A5800" s="10" t="str">
        <f>基本属性!$B$23&amp;"|"&amp;基本属性!$C$23</f>
        <v>210|13</v>
      </c>
      <c r="B5800" s="10" t="str">
        <f>参数调整!$J$36</f>
        <v>新增怪物种类1掉落</v>
      </c>
      <c r="C5800" s="8" t="str">
        <f>材料产出!$X$2</f>
        <v>龍の心</v>
      </c>
      <c r="D5800" s="224">
        <f>参数调整!$K$36*怪物掉落配置方案!$D4774</f>
        <v>2.2162109352362656E-2</v>
      </c>
    </row>
    <row r="5801" spans="1:4" ht="16.5" hidden="1" x14ac:dyDescent="0.3">
      <c r="A5801" s="10" t="str">
        <f>基本属性!$B$24&amp;"|"&amp;基本属性!$C$24</f>
        <v>220|14</v>
      </c>
      <c r="B5801" s="10" t="str">
        <f>参数调整!$J$36</f>
        <v>新增怪物种类1掉落</v>
      </c>
      <c r="C5801" s="8" t="str">
        <f>材料产出!$X$2</f>
        <v>龍の心</v>
      </c>
      <c r="D5801" s="224">
        <f>参数调整!$K$36*怪物掉落配置方案!$D4775</f>
        <v>2.4958910324360106E-2</v>
      </c>
    </row>
    <row r="5802" spans="1:4" ht="16.5" hidden="1" x14ac:dyDescent="0.3">
      <c r="A5802" s="10" t="str">
        <f>基本属性!$B$25&amp;"|"&amp;基本属性!$C$25</f>
        <v>220|15</v>
      </c>
      <c r="B5802" s="10" t="str">
        <f>参数调整!$J$36</f>
        <v>新增怪物种类1掉落</v>
      </c>
      <c r="C5802" s="8" t="str">
        <f>材料产出!$X$2</f>
        <v>龍の心</v>
      </c>
      <c r="D5802" s="224">
        <f>参数调整!$K$36*怪物掉落配置方案!$D4776</f>
        <v>2.7921857888753444E-2</v>
      </c>
    </row>
    <row r="5803" spans="1:4" ht="16.5" hidden="1" x14ac:dyDescent="0.3">
      <c r="A5803" s="10" t="str">
        <f>基本属性!$B$26&amp;"|"&amp;基本属性!$C$26</f>
        <v>230|16</v>
      </c>
      <c r="B5803" s="10" t="str">
        <f>参数调整!$J$36</f>
        <v>新增怪物种类1掉落</v>
      </c>
      <c r="C5803" s="8" t="str">
        <f>材料产出!$X$2</f>
        <v>龍の心</v>
      </c>
      <c r="D5803" s="224">
        <f>参数调整!$K$36*怪物掉落配置方案!$D4777</f>
        <v>3.1050952045542674E-2</v>
      </c>
    </row>
    <row r="5804" spans="1:4" ht="16.5" hidden="1" x14ac:dyDescent="0.3">
      <c r="A5804" s="10" t="str">
        <f>基本属性!$B$27&amp;"|"&amp;基本属性!$C$27</f>
        <v>230|17</v>
      </c>
      <c r="B5804" s="10" t="str">
        <f>参数调整!$J$36</f>
        <v>新增怪物种类1掉落</v>
      </c>
      <c r="C5804" s="8" t="str">
        <f>材料产出!$X$2</f>
        <v>龍の心</v>
      </c>
      <c r="D5804" s="224">
        <f>参数调整!$K$36*怪物掉落配置方案!$D4778</f>
        <v>3.4346192794727788E-2</v>
      </c>
    </row>
    <row r="5805" spans="1:4" ht="16.5" hidden="1" x14ac:dyDescent="0.3">
      <c r="A5805" s="10" t="str">
        <f>基本属性!$B$28&amp;"|"&amp;基本属性!$C$28</f>
        <v>240|18</v>
      </c>
      <c r="B5805" s="10" t="str">
        <f>参数调整!$J$36</f>
        <v>新增怪物种类1掉落</v>
      </c>
      <c r="C5805" s="8" t="str">
        <f>材料产出!$X$2</f>
        <v>龍の心</v>
      </c>
      <c r="D5805" s="224">
        <f>参数调整!$K$36*怪物掉落配置方案!$D4779</f>
        <v>3.7807580136308805E-2</v>
      </c>
    </row>
    <row r="5806" spans="1:4" ht="16.5" hidden="1" x14ac:dyDescent="0.3">
      <c r="A5806" s="10" t="str">
        <f>基本属性!$B$29&amp;"|"&amp;基本属性!$C$29</f>
        <v>240|19</v>
      </c>
      <c r="B5806" s="10" t="str">
        <f>参数调整!$J$36</f>
        <v>新增怪物种类1掉落</v>
      </c>
      <c r="C5806" s="8" t="str">
        <f>材料产出!$X$2</f>
        <v>龍の心</v>
      </c>
      <c r="D5806" s="224">
        <f>参数调整!$K$36*怪物掉落配置方案!$D4780</f>
        <v>4.1435114070285696E-2</v>
      </c>
    </row>
    <row r="5807" spans="1:4" ht="16.5" hidden="1" x14ac:dyDescent="0.3">
      <c r="A5807" s="10" t="str">
        <f>基本属性!$B$30&amp;"|"&amp;基本属性!$C$30</f>
        <v>250|20</v>
      </c>
      <c r="B5807" s="10" t="str">
        <f>参数调整!$J$36</f>
        <v>新增怪物种类1掉落</v>
      </c>
      <c r="C5807" s="8" t="str">
        <f>材料产出!$X$2</f>
        <v>龍の心</v>
      </c>
      <c r="D5807" s="224">
        <f>参数调整!$K$36*怪物掉落配置方案!$D4781</f>
        <v>4.5228794596658468E-2</v>
      </c>
    </row>
    <row r="5808" spans="1:4" ht="16.5" hidden="1" x14ac:dyDescent="0.3">
      <c r="A5808" s="10" t="str">
        <f>基本属性!$B$4&amp;"|"&amp;基本属性!$C$4</f>
        <v>35|0</v>
      </c>
      <c r="B5808" s="10" t="str">
        <f>参数调整!$J$36</f>
        <v>新增怪物种类1掉落</v>
      </c>
      <c r="C5808" s="8" t="str">
        <f>材料产出!$V$2</f>
        <v>龍の魄</v>
      </c>
      <c r="D5808" s="224">
        <f>参数调整!$K$36*怪物掉落配置方案!$D4782</f>
        <v>5.9074343962982497E-4</v>
      </c>
    </row>
    <row r="5809" spans="1:4" ht="16.5" hidden="1" x14ac:dyDescent="0.3">
      <c r="A5809" s="10" t="str">
        <f>基本属性!$B$5&amp;"|"&amp;基本属性!$C$5</f>
        <v>40|0</v>
      </c>
      <c r="B5809" s="10" t="str">
        <f>参数调整!$J$36</f>
        <v>新增怪物种类1掉落</v>
      </c>
      <c r="C5809" s="8" t="str">
        <f>材料产出!$V$2</f>
        <v>龍の魄</v>
      </c>
      <c r="D5809" s="224">
        <f>参数调整!$K$36*怪物掉落配置方案!$D4783</f>
        <v>7.4765966578149723E-4</v>
      </c>
    </row>
    <row r="5810" spans="1:4" ht="16.5" hidden="1" x14ac:dyDescent="0.3">
      <c r="A5810" s="10" t="str">
        <f>基本属性!$B$6&amp;"|"&amp;基本属性!$C$6</f>
        <v>50|0</v>
      </c>
      <c r="B5810" s="10" t="str">
        <f>参数调整!$J$36</f>
        <v>新增怪物种类1掉落</v>
      </c>
      <c r="C5810" s="8" t="str">
        <f>材料产出!$V$2</f>
        <v>龍の魄</v>
      </c>
      <c r="D5810" s="224">
        <f>参数调整!$K$36*怪物掉落配置方案!$D4784</f>
        <v>9.2303662442160146E-4</v>
      </c>
    </row>
    <row r="5811" spans="1:4" ht="16.5" hidden="1" x14ac:dyDescent="0.3">
      <c r="A5811" s="10" t="str">
        <f>基本属性!$B$7&amp;"|"&amp;基本属性!$C$7</f>
        <v>60|0</v>
      </c>
      <c r="B5811" s="10" t="str">
        <f>参数调整!$J$36</f>
        <v>新增怪物种类1掉落</v>
      </c>
      <c r="C5811" s="8" t="str">
        <f>材料产出!$V$2</f>
        <v>龍の魄</v>
      </c>
      <c r="D5811" s="224">
        <f>参数调整!$K$36*怪物掉落配置方案!$D4785</f>
        <v>1.116874315550138E-3</v>
      </c>
    </row>
    <row r="5812" spans="1:4" ht="16.5" hidden="1" x14ac:dyDescent="0.3">
      <c r="A5812" s="10" t="str">
        <f>基本属性!$B$8&amp;"|"&amp;基本属性!$C$8</f>
        <v>65|0</v>
      </c>
      <c r="B5812" s="10" t="str">
        <f>参数调整!$J$36</f>
        <v>新增怪物种类1掉落</v>
      </c>
      <c r="C5812" s="8" t="str">
        <f>材料产出!$V$2</f>
        <v>龍の魄</v>
      </c>
      <c r="D5812" s="224">
        <f>参数调整!$K$36*怪物掉落配置方案!$D4786</f>
        <v>1.3291727391671062E-3</v>
      </c>
    </row>
    <row r="5813" spans="1:4" ht="16.5" hidden="1" x14ac:dyDescent="0.3">
      <c r="A5813" s="10" t="str">
        <f>基本属性!$B$9&amp;"|"&amp;基本属性!$C$9</f>
        <v>70|0</v>
      </c>
      <c r="B5813" s="10" t="str">
        <f>参数调整!$J$36</f>
        <v>新增怪物种类1掉落</v>
      </c>
      <c r="C5813" s="8" t="str">
        <f>材料产出!$V$2</f>
        <v>龍の魄</v>
      </c>
      <c r="D5813" s="224">
        <f>参数调整!$K$36*怪物掉落配置方案!$D4787</f>
        <v>1.5599318952725066E-3</v>
      </c>
    </row>
    <row r="5814" spans="1:4" ht="16.5" hidden="1" x14ac:dyDescent="0.3">
      <c r="A5814" s="10" t="str">
        <f>基本属性!$B$10&amp;"|"&amp;基本属性!$C$10</f>
        <v>75|0</v>
      </c>
      <c r="B5814" s="10" t="str">
        <f>参数调整!$J$36</f>
        <v>新增怪物种类1掉落</v>
      </c>
      <c r="C5814" s="8" t="str">
        <f>材料产出!$V$2</f>
        <v>龍の魄</v>
      </c>
      <c r="D5814" s="224">
        <f>参数调整!$K$36*怪物掉落配置方案!$D4788</f>
        <v>1.8091517838663388E-3</v>
      </c>
    </row>
    <row r="5815" spans="1:4" ht="16.5" hidden="1" x14ac:dyDescent="0.3">
      <c r="A5815" s="10" t="str">
        <f>基本属性!$B$11&amp;"|"&amp;基本属性!$C$11</f>
        <v>80|1</v>
      </c>
      <c r="B5815" s="10" t="str">
        <f>参数调整!$J$36</f>
        <v>新增怪物种类1掉落</v>
      </c>
      <c r="C5815" s="8" t="str">
        <f>材料产出!$V$2</f>
        <v>龍の魄</v>
      </c>
      <c r="D5815" s="224">
        <f>参数调整!$K$36*怪物掉落配置方案!$D4789</f>
        <v>2.0768324049486035E-3</v>
      </c>
    </row>
    <row r="5816" spans="1:4" ht="16.5" hidden="1" x14ac:dyDescent="0.3">
      <c r="A5816" s="10" t="str">
        <f>基本属性!$B$12&amp;"|"&amp;基本属性!$C$12</f>
        <v>90|2</v>
      </c>
      <c r="B5816" s="10" t="str">
        <f>参数调整!$J$36</f>
        <v>新增怪物种类1掉落</v>
      </c>
      <c r="C5816" s="8" t="str">
        <f>材料产出!$V$2</f>
        <v>龍の魄</v>
      </c>
      <c r="D5816" s="224">
        <f>参数调整!$K$36*怪物掉落配置方案!$D4790</f>
        <v>2.3629737585193003E-3</v>
      </c>
    </row>
    <row r="5817" spans="1:4" ht="16.5" hidden="1" x14ac:dyDescent="0.3">
      <c r="A5817" s="10" t="str">
        <f>基本属性!$B$13&amp;"|"&amp;基本属性!$C$13</f>
        <v>100|3</v>
      </c>
      <c r="B5817" s="10" t="str">
        <f>参数调整!$J$36</f>
        <v>新增怪物种类1掉落</v>
      </c>
      <c r="C5817" s="8" t="str">
        <f>材料产出!$V$2</f>
        <v>龍の魄</v>
      </c>
      <c r="D5817" s="224">
        <f>参数调整!$K$36*怪物掉落配置方案!$D4791</f>
        <v>2.9906386631259893E-3</v>
      </c>
    </row>
    <row r="5818" spans="1:4" ht="16.5" hidden="1" x14ac:dyDescent="0.3">
      <c r="A5818" s="10" t="str">
        <f>基本属性!$B$14&amp;"|"&amp;基本属性!$C$14</f>
        <v>105|4</v>
      </c>
      <c r="B5818" s="10" t="str">
        <f>参数调整!$J$36</f>
        <v>新增怪物种类1掉落</v>
      </c>
      <c r="C5818" s="8" t="str">
        <f>材料产出!$V$2</f>
        <v>龍の魄</v>
      </c>
      <c r="D5818" s="224">
        <f>参数调整!$K$36*怪物掉落配置方案!$D4792</f>
        <v>3.6921464976864059E-3</v>
      </c>
    </row>
    <row r="5819" spans="1:4" ht="16.5" hidden="1" x14ac:dyDescent="0.3">
      <c r="A5819" s="10" t="str">
        <f>基本属性!$B$15&amp;"|"&amp;基本属性!$C$15</f>
        <v>110|5</v>
      </c>
      <c r="B5819" s="10" t="str">
        <f>参数调整!$J$36</f>
        <v>新增怪物种类1掉落</v>
      </c>
      <c r="C5819" s="8" t="str">
        <f>材料产出!$V$2</f>
        <v>龍の魄</v>
      </c>
      <c r="D5819" s="224">
        <f>参数调整!$K$36*怪物掉落配置方案!$D4793</f>
        <v>4.467497262200552E-3</v>
      </c>
    </row>
    <row r="5820" spans="1:4" ht="16.5" hidden="1" x14ac:dyDescent="0.3">
      <c r="A5820" s="10" t="str">
        <f>基本属性!$B$16&amp;"|"&amp;基本属性!$C$16</f>
        <v>120|6</v>
      </c>
      <c r="B5820" s="10" t="str">
        <f>参数调整!$J$36</f>
        <v>新增怪物种类1掉落</v>
      </c>
      <c r="C5820" s="8" t="str">
        <f>材料产出!$V$2</f>
        <v>龍の魄</v>
      </c>
      <c r="D5820" s="224">
        <f>参数调整!$K$36*怪物掉落配置方案!$D4794</f>
        <v>5.7689789026350094E-3</v>
      </c>
    </row>
    <row r="5821" spans="1:4" ht="16.5" hidden="1" x14ac:dyDescent="0.3">
      <c r="A5821" s="10" t="str">
        <f>基本属性!$B$17&amp;"|"&amp;基本属性!$C$17</f>
        <v>135|7</v>
      </c>
      <c r="B5821" s="10" t="str">
        <f>参数调整!$J$36</f>
        <v>新增怪物种类1掉落</v>
      </c>
      <c r="C5821" s="8" t="str">
        <f>材料产出!$V$2</f>
        <v>龍の魄</v>
      </c>
      <c r="D5821" s="224">
        <f>参数调整!$K$36*怪物掉落配置方案!$D4795</f>
        <v>8.3073296197944142E-3</v>
      </c>
    </row>
    <row r="5822" spans="1:4" ht="16.5" hidden="1" x14ac:dyDescent="0.3">
      <c r="A5822" s="10" t="str">
        <f>基本属性!$B$18&amp;"|"&amp;基本属性!$C$18</f>
        <v>155|8</v>
      </c>
      <c r="B5822" s="10" t="str">
        <f>参数调整!$J$36</f>
        <v>新增怪物种类1掉落</v>
      </c>
      <c r="C5822" s="8" t="str">
        <f>材料产出!$V$2</f>
        <v>龍の魄</v>
      </c>
      <c r="D5822" s="224">
        <f>参数调整!$K$36*怪物掉落配置方案!$D4796</f>
        <v>1.1307198649164621E-2</v>
      </c>
    </row>
    <row r="5823" spans="1:4" ht="16.5" hidden="1" x14ac:dyDescent="0.3">
      <c r="A5823" s="10" t="str">
        <f>基本属性!$B$19&amp;"|"&amp;基本属性!$C$19</f>
        <v>190|9</v>
      </c>
      <c r="B5823" s="10" t="str">
        <f>参数调整!$J$36</f>
        <v>新增怪物种类1掉落</v>
      </c>
      <c r="C5823" s="8" t="str">
        <f>材料产出!$V$2</f>
        <v>龍の魄</v>
      </c>
      <c r="D5823" s="224">
        <f>参数调整!$K$36*怪物掉落配置方案!$D4797</f>
        <v>1.2636371388331727E-2</v>
      </c>
    </row>
    <row r="5824" spans="1:4" ht="16.5" hidden="1" x14ac:dyDescent="0.3">
      <c r="A5824" s="10" t="str">
        <f>基本属性!$B$20&amp;"|"&amp;基本属性!$C$20</f>
        <v>200|10</v>
      </c>
      <c r="B5824" s="10" t="str">
        <f>参数调整!$J$36</f>
        <v>新增怪物种类1掉落</v>
      </c>
      <c r="C5824" s="8" t="str">
        <f>材料产出!$V$2</f>
        <v>龍の魄</v>
      </c>
      <c r="D5824" s="224">
        <f>参数调整!$K$36*怪物掉落配置方案!$D4798</f>
        <v>1.4768585990745623E-2</v>
      </c>
    </row>
    <row r="5825" spans="1:4" ht="16.5" hidden="1" x14ac:dyDescent="0.3">
      <c r="A5825" s="10" t="str">
        <f>基本属性!$B$21&amp;"|"&amp;基本属性!$C$21</f>
        <v>200|11</v>
      </c>
      <c r="B5825" s="10" t="str">
        <f>参数调整!$J$36</f>
        <v>新增怪物种类1掉落</v>
      </c>
      <c r="C5825" s="8" t="str">
        <f>材料产出!$V$2</f>
        <v>龍の魄</v>
      </c>
      <c r="D5825" s="224">
        <f>参数调整!$K$36*怪物掉落配置方案!$D4799</f>
        <v>1.7066947185555407E-2</v>
      </c>
    </row>
    <row r="5826" spans="1:4" ht="16.5" hidden="1" x14ac:dyDescent="0.3">
      <c r="A5826" s="10" t="str">
        <f>基本属性!$B$22&amp;"|"&amp;基本属性!$C$22</f>
        <v>210|12</v>
      </c>
      <c r="B5826" s="10" t="str">
        <f>参数调整!$J$36</f>
        <v>新增怪物种类1掉落</v>
      </c>
      <c r="C5826" s="8" t="str">
        <f>材料产出!$V$2</f>
        <v>龍の魄</v>
      </c>
      <c r="D5826" s="224">
        <f>参数调整!$K$36*怪物掉落配置方案!$D4800</f>
        <v>1.9531454972761084E-2</v>
      </c>
    </row>
    <row r="5827" spans="1:4" ht="16.5" hidden="1" x14ac:dyDescent="0.3">
      <c r="A5827" s="10" t="str">
        <f>基本属性!$B$23&amp;"|"&amp;基本属性!$C$23</f>
        <v>210|13</v>
      </c>
      <c r="B5827" s="10" t="str">
        <f>参数调整!$J$36</f>
        <v>新增怪物种类1掉落</v>
      </c>
      <c r="C5827" s="8" t="str">
        <f>材料产出!$V$2</f>
        <v>龍の魄</v>
      </c>
      <c r="D5827" s="224">
        <f>参数调整!$K$36*怪物掉落配置方案!$D4801</f>
        <v>2.2162109352362656E-2</v>
      </c>
    </row>
    <row r="5828" spans="1:4" ht="16.5" hidden="1" x14ac:dyDescent="0.3">
      <c r="A5828" s="10" t="str">
        <f>基本属性!$B$24&amp;"|"&amp;基本属性!$C$24</f>
        <v>220|14</v>
      </c>
      <c r="B5828" s="10" t="str">
        <f>参数调整!$J$36</f>
        <v>新增怪物种类1掉落</v>
      </c>
      <c r="C5828" s="8" t="str">
        <f>材料产出!$V$2</f>
        <v>龍の魄</v>
      </c>
      <c r="D5828" s="224">
        <f>参数调整!$K$36*怪物掉落配置方案!$D4802</f>
        <v>2.4958910324360106E-2</v>
      </c>
    </row>
    <row r="5829" spans="1:4" ht="16.5" hidden="1" x14ac:dyDescent="0.3">
      <c r="A5829" s="10" t="str">
        <f>基本属性!$B$25&amp;"|"&amp;基本属性!$C$25</f>
        <v>220|15</v>
      </c>
      <c r="B5829" s="10" t="str">
        <f>参数调整!$J$36</f>
        <v>新增怪物种类1掉落</v>
      </c>
      <c r="C5829" s="8" t="str">
        <f>材料产出!$V$2</f>
        <v>龍の魄</v>
      </c>
      <c r="D5829" s="224">
        <f>参数调整!$K$36*怪物掉落配置方案!$D4803</f>
        <v>2.7921857888753444E-2</v>
      </c>
    </row>
    <row r="5830" spans="1:4" ht="16.5" hidden="1" x14ac:dyDescent="0.3">
      <c r="A5830" s="10" t="str">
        <f>基本属性!$B$26&amp;"|"&amp;基本属性!$C$26</f>
        <v>230|16</v>
      </c>
      <c r="B5830" s="10" t="str">
        <f>参数调整!$J$36</f>
        <v>新增怪物种类1掉落</v>
      </c>
      <c r="C5830" s="8" t="str">
        <f>材料产出!$V$2</f>
        <v>龍の魄</v>
      </c>
      <c r="D5830" s="224">
        <f>参数调整!$K$36*怪物掉落配置方案!$D4804</f>
        <v>3.1050952045542674E-2</v>
      </c>
    </row>
    <row r="5831" spans="1:4" ht="16.5" hidden="1" x14ac:dyDescent="0.3">
      <c r="A5831" s="10" t="str">
        <f>基本属性!$B$27&amp;"|"&amp;基本属性!$C$27</f>
        <v>230|17</v>
      </c>
      <c r="B5831" s="10" t="str">
        <f>参数调整!$J$36</f>
        <v>新增怪物种类1掉落</v>
      </c>
      <c r="C5831" s="8" t="str">
        <f>材料产出!$V$2</f>
        <v>龍の魄</v>
      </c>
      <c r="D5831" s="224">
        <f>参数调整!$K$36*怪物掉落配置方案!$D4805</f>
        <v>3.4346192794727788E-2</v>
      </c>
    </row>
    <row r="5832" spans="1:4" ht="16.5" hidden="1" x14ac:dyDescent="0.3">
      <c r="A5832" s="10" t="str">
        <f>基本属性!$B$28&amp;"|"&amp;基本属性!$C$28</f>
        <v>240|18</v>
      </c>
      <c r="B5832" s="10" t="str">
        <f>参数调整!$J$36</f>
        <v>新增怪物种类1掉落</v>
      </c>
      <c r="C5832" s="8" t="str">
        <f>材料产出!$V$2</f>
        <v>龍の魄</v>
      </c>
      <c r="D5832" s="224">
        <f>参数调整!$K$36*怪物掉落配置方案!$D4806</f>
        <v>3.7807580136308805E-2</v>
      </c>
    </row>
    <row r="5833" spans="1:4" ht="16.5" hidden="1" x14ac:dyDescent="0.3">
      <c r="A5833" s="10" t="str">
        <f>基本属性!$B$29&amp;"|"&amp;基本属性!$C$29</f>
        <v>240|19</v>
      </c>
      <c r="B5833" s="10" t="str">
        <f>参数调整!$J$36</f>
        <v>新增怪物种类1掉落</v>
      </c>
      <c r="C5833" s="8" t="str">
        <f>材料产出!$V$2</f>
        <v>龍の魄</v>
      </c>
      <c r="D5833" s="224">
        <f>参数调整!$K$36*怪物掉落配置方案!$D4807</f>
        <v>4.1435114070285696E-2</v>
      </c>
    </row>
    <row r="5834" spans="1:4" ht="16.5" hidden="1" x14ac:dyDescent="0.3">
      <c r="A5834" s="10" t="str">
        <f>基本属性!$B$30&amp;"|"&amp;基本属性!$C$30</f>
        <v>250|20</v>
      </c>
      <c r="B5834" s="10" t="str">
        <f>参数调整!$J$36</f>
        <v>新增怪物种类1掉落</v>
      </c>
      <c r="C5834" s="8" t="str">
        <f>材料产出!$V$2</f>
        <v>龍の魄</v>
      </c>
      <c r="D5834" s="224">
        <f>参数调整!$K$36*怪物掉落配置方案!$D4808</f>
        <v>4.5228794596658468E-2</v>
      </c>
    </row>
    <row r="5835" spans="1:4" ht="16.5" hidden="1" x14ac:dyDescent="0.3">
      <c r="A5835" s="10" t="str">
        <f>基本属性!$B$4&amp;"|"&amp;基本属性!$C$4</f>
        <v>35|0</v>
      </c>
      <c r="B5835" s="10" t="str">
        <f>参数调整!$J$36</f>
        <v>新增怪物种类1掉落</v>
      </c>
      <c r="C5835" s="8" t="str">
        <f>材料产出!$AB$2</f>
        <v>龙晶碎片</v>
      </c>
      <c r="D5835" s="224">
        <f>参数调整!$K$36*怪物掉落配置方案!$D4809</f>
        <v>1.5143132188275827E-2</v>
      </c>
    </row>
    <row r="5836" spans="1:4" ht="16.5" hidden="1" x14ac:dyDescent="0.3">
      <c r="A5836" s="10" t="str">
        <f>基本属性!$B$5&amp;"|"&amp;基本属性!$C$5</f>
        <v>40|0</v>
      </c>
      <c r="B5836" s="10" t="str">
        <f>参数调整!$J$36</f>
        <v>新增怪物种类1掉落</v>
      </c>
      <c r="C5836" s="8" t="str">
        <f>材料产出!$AB$2</f>
        <v>龙晶碎片</v>
      </c>
      <c r="D5836" s="224">
        <f>参数调整!$K$36*怪物掉落配置方案!$D4810</f>
        <v>1.9165526675786596E-2</v>
      </c>
    </row>
    <row r="5837" spans="1:4" ht="16.5" hidden="1" x14ac:dyDescent="0.3">
      <c r="A5837" s="10" t="str">
        <f>基本属性!$B$6&amp;"|"&amp;基本属性!$C$6</f>
        <v>50|0</v>
      </c>
      <c r="B5837" s="10" t="str">
        <f>参数调整!$J$36</f>
        <v>新增怪物种类1掉落</v>
      </c>
      <c r="C5837" s="8" t="str">
        <f>材料产出!$AB$2</f>
        <v>龙晶碎片</v>
      </c>
      <c r="D5837" s="224">
        <f>参数调整!$K$36*怪物掉落配置方案!$D4811</f>
        <v>2.366114404418098E-2</v>
      </c>
    </row>
    <row r="5838" spans="1:4" ht="16.5" hidden="1" x14ac:dyDescent="0.3">
      <c r="A5838" s="10" t="str">
        <f>基本属性!$B$7&amp;"|"&amp;基本属性!$C$7</f>
        <v>60|0</v>
      </c>
      <c r="B5838" s="10" t="str">
        <f>参数调整!$J$36</f>
        <v>新增怪物种类1掉落</v>
      </c>
      <c r="C5838" s="8" t="str">
        <f>材料产出!$AB$2</f>
        <v>龙晶碎片</v>
      </c>
      <c r="D5838" s="224">
        <f>参数调整!$K$36*怪物掉落配置方案!$D4812</f>
        <v>2.862998429345899E-2</v>
      </c>
    </row>
    <row r="5839" spans="1:4" ht="16.5" hidden="1" x14ac:dyDescent="0.3">
      <c r="A5839" s="10" t="str">
        <f>基本属性!$B$8&amp;"|"&amp;基本属性!$C$8</f>
        <v>65|0</v>
      </c>
      <c r="B5839" s="10" t="str">
        <f>参数调整!$J$36</f>
        <v>新增怪物种类1掉落</v>
      </c>
      <c r="C5839" s="8" t="str">
        <f>材料产出!$AB$2</f>
        <v>龙晶碎片</v>
      </c>
      <c r="D5839" s="224">
        <f>参数调整!$K$36*怪物掉落配置方案!$D4813</f>
        <v>3.4072047423620612E-2</v>
      </c>
    </row>
    <row r="5840" spans="1:4" ht="16.5" hidden="1" x14ac:dyDescent="0.3">
      <c r="A5840" s="10" t="str">
        <f>基本属性!$B$9&amp;"|"&amp;基本属性!$C$9</f>
        <v>70|0</v>
      </c>
      <c r="B5840" s="10" t="str">
        <f>参数调整!$J$36</f>
        <v>新增怪物种类1掉落</v>
      </c>
      <c r="C5840" s="8" t="str">
        <f>材料产出!$AB$2</f>
        <v>龙晶碎片</v>
      </c>
      <c r="D5840" s="224">
        <f>参数调整!$K$36*怪物掉落配置方案!$D4814</f>
        <v>3.9987333434665852E-2</v>
      </c>
    </row>
    <row r="5841" spans="1:4" ht="16.5" hidden="1" x14ac:dyDescent="0.3">
      <c r="A5841" s="10" t="str">
        <f>基本属性!$B$10&amp;"|"&amp;基本属性!$C$10</f>
        <v>75|0</v>
      </c>
      <c r="B5841" s="10" t="str">
        <f>参数调整!$J$36</f>
        <v>新增怪物种类1掉落</v>
      </c>
      <c r="C5841" s="8" t="str">
        <f>材料产出!$AB$2</f>
        <v>龙晶碎片</v>
      </c>
      <c r="D5841" s="224">
        <f>参数调整!$K$36*怪物掉落配置方案!$D4815</f>
        <v>4.637584232659471E-2</v>
      </c>
    </row>
    <row r="5842" spans="1:4" ht="16.5" hidden="1" x14ac:dyDescent="0.3">
      <c r="A5842" s="10" t="str">
        <f>基本属性!$B$11&amp;"|"&amp;基本属性!$C$11</f>
        <v>80|1</v>
      </c>
      <c r="B5842" s="10" t="str">
        <f>参数调整!$J$36</f>
        <v>新增怪物种类1掉落</v>
      </c>
      <c r="C5842" s="8" t="str">
        <f>材料产出!$AB$2</f>
        <v>龙晶碎片</v>
      </c>
      <c r="D5842" s="224">
        <f>参数调整!$K$36*怪物掉落配置方案!$D4816</f>
        <v>5.3237574099407201E-2</v>
      </c>
    </row>
    <row r="5843" spans="1:4" ht="16.5" hidden="1" x14ac:dyDescent="0.3">
      <c r="A5843" s="10" t="str">
        <f>基本属性!$B$12&amp;"|"&amp;基本属性!$C$12</f>
        <v>90|2</v>
      </c>
      <c r="B5843" s="10" t="str">
        <f>参数调整!$J$36</f>
        <v>新增怪物种类1掉落</v>
      </c>
      <c r="C5843" s="8" t="str">
        <f>材料产出!$AB$2</f>
        <v>龙晶碎片</v>
      </c>
      <c r="D5843" s="224">
        <f>参数调整!$K$36*怪物掉落配置方案!$D4817</f>
        <v>6.0572528753103316E-2</v>
      </c>
    </row>
    <row r="5844" spans="1:4" ht="16.5" hidden="1" x14ac:dyDescent="0.3">
      <c r="A5844" s="10" t="str">
        <f>基本属性!$B$13&amp;"|"&amp;基本属性!$C$13</f>
        <v>100|3</v>
      </c>
      <c r="B5844" s="10" t="str">
        <f>参数调整!$J$36</f>
        <v>新增怪物种类1掉落</v>
      </c>
      <c r="C5844" s="8" t="str">
        <f>材料产出!$AB$2</f>
        <v>龙晶碎片</v>
      </c>
      <c r="D5844" s="224">
        <f>参数调整!$K$36*怪物掉落配置方案!$D4818</f>
        <v>7.6662106703146382E-2</v>
      </c>
    </row>
    <row r="5845" spans="1:4" ht="16.5" hidden="1" x14ac:dyDescent="0.3">
      <c r="A5845" s="10" t="str">
        <f>基本属性!$B$14&amp;"|"&amp;基本属性!$C$14</f>
        <v>105|4</v>
      </c>
      <c r="B5845" s="10" t="str">
        <f>参数调整!$J$36</f>
        <v>新增怪物种类1掉落</v>
      </c>
      <c r="C5845" s="8" t="str">
        <f>材料产出!$AB$2</f>
        <v>龙晶碎片</v>
      </c>
      <c r="D5845" s="224">
        <f>参数调整!$K$36*怪物掉落配置方案!$D4819</f>
        <v>9.4644576176723935E-2</v>
      </c>
    </row>
    <row r="5846" spans="1:4" ht="16.5" hidden="1" x14ac:dyDescent="0.3">
      <c r="A5846" s="10" t="str">
        <f>基本属性!$B$15&amp;"|"&amp;基本属性!$C$15</f>
        <v>110|5</v>
      </c>
      <c r="B5846" s="10" t="str">
        <f>参数调整!$J$36</f>
        <v>新增怪物种类1掉落</v>
      </c>
      <c r="C5846" s="8" t="str">
        <f>材料产出!$AB$2</f>
        <v>龙晶碎片</v>
      </c>
      <c r="D5846" s="224">
        <f>参数调整!$K$36*怪物掉落配置方案!$D4820</f>
        <v>0.11451993717383598</v>
      </c>
    </row>
    <row r="5847" spans="1:4" ht="16.5" hidden="1" x14ac:dyDescent="0.3">
      <c r="A5847" s="10" t="str">
        <f>基本属性!$B$16&amp;"|"&amp;基本属性!$C$16</f>
        <v>120|6</v>
      </c>
      <c r="B5847" s="10" t="str">
        <f>参数调整!$J$36</f>
        <v>新增怪物种类1掉落</v>
      </c>
      <c r="C5847" s="8" t="str">
        <f>材料产出!$AB$2</f>
        <v>龙晶碎片</v>
      </c>
      <c r="D5847" s="224">
        <f>参数调整!$K$36*怪物掉落配置方案!$D4821</f>
        <v>0.14788215027613111</v>
      </c>
    </row>
    <row r="5848" spans="1:4" ht="16.5" hidden="1" x14ac:dyDescent="0.3">
      <c r="A5848" s="10" t="str">
        <f>基本属性!$B$17&amp;"|"&amp;基本属性!$C$17</f>
        <v>135|7</v>
      </c>
      <c r="B5848" s="10" t="str">
        <f>参数调整!$J$36</f>
        <v>新增怪物种类1掉落</v>
      </c>
      <c r="C5848" s="8" t="str">
        <f>材料产出!$AB$2</f>
        <v>龙晶碎片</v>
      </c>
      <c r="D5848" s="224">
        <f>参数调整!$K$36*怪物掉落配置方案!$D4822</f>
        <v>0.2129502963976288</v>
      </c>
    </row>
    <row r="5849" spans="1:4" ht="16.5" hidden="1" x14ac:dyDescent="0.3">
      <c r="A5849" s="10" t="str">
        <f>基本属性!$B$18&amp;"|"&amp;基本属性!$C$18</f>
        <v>155|8</v>
      </c>
      <c r="B5849" s="10" t="str">
        <f>参数调整!$J$36</f>
        <v>新增怪物种类1掉落</v>
      </c>
      <c r="C5849" s="8" t="str">
        <f>材料产出!$AB$2</f>
        <v>龙晶碎片</v>
      </c>
      <c r="D5849" s="224">
        <f>参数调整!$K$36*怪物掉落配置方案!$D4823</f>
        <v>0.28984901454121703</v>
      </c>
    </row>
    <row r="5850" spans="1:4" ht="16.5" hidden="1" x14ac:dyDescent="0.3">
      <c r="A5850" s="10" t="str">
        <f>基本属性!$B$19&amp;"|"&amp;基本属性!$C$19</f>
        <v>190|9</v>
      </c>
      <c r="B5850" s="10" t="str">
        <f>参数调整!$J$36</f>
        <v>新增怪物种类1掉落</v>
      </c>
      <c r="C5850" s="8" t="str">
        <f>材料产出!$AB$2</f>
        <v>龙晶碎片</v>
      </c>
      <c r="D5850" s="224">
        <f>参数调整!$K$36*怪物掉落配置方案!$D4824</f>
        <v>0.32392106196483766</v>
      </c>
    </row>
    <row r="5851" spans="1:4" ht="16.5" hidden="1" x14ac:dyDescent="0.3">
      <c r="A5851" s="10" t="str">
        <f>基本属性!$B$20&amp;"|"&amp;基本属性!$C$20</f>
        <v>200|10</v>
      </c>
      <c r="B5851" s="10" t="str">
        <f>参数调整!$J$36</f>
        <v>新增怪物种类1掉落</v>
      </c>
      <c r="C5851" s="8" t="str">
        <f>材料产出!$AB$2</f>
        <v>龙晶碎片</v>
      </c>
      <c r="D5851" s="224">
        <f>参数调整!$K$36*怪物掉落配置方案!$D4825</f>
        <v>0.37857830470689574</v>
      </c>
    </row>
    <row r="5852" spans="1:4" ht="16.5" hidden="1" x14ac:dyDescent="0.3">
      <c r="A5852" s="10" t="str">
        <f>基本属性!$B$21&amp;"|"&amp;基本属性!$C$21</f>
        <v>200|11</v>
      </c>
      <c r="B5852" s="10" t="str">
        <f>参数调整!$J$36</f>
        <v>新增怪物种类1掉落</v>
      </c>
      <c r="C5852" s="8" t="str">
        <f>材料产出!$AB$2</f>
        <v>龙晶碎片</v>
      </c>
      <c r="D5852" s="224">
        <f>参数调整!$K$36*怪物掉落配置方案!$D4826</f>
        <v>0.43749455337690618</v>
      </c>
    </row>
    <row r="5853" spans="1:4" ht="16.5" hidden="1" x14ac:dyDescent="0.3">
      <c r="A5853" s="10" t="str">
        <f>基本属性!$B$22&amp;"|"&amp;基本属性!$C$22</f>
        <v>210|12</v>
      </c>
      <c r="B5853" s="10" t="str">
        <f>参数调整!$J$36</f>
        <v>新增怪物种类1掉落</v>
      </c>
      <c r="C5853" s="8" t="str">
        <f>材料产出!$AB$2</f>
        <v>龙晶碎片</v>
      </c>
      <c r="D5853" s="224">
        <f>参数调整!$K$36*怪物掉落配置方案!$D4827</f>
        <v>0.50066980797486949</v>
      </c>
    </row>
    <row r="5854" spans="1:4" ht="16.5" hidden="1" x14ac:dyDescent="0.3">
      <c r="A5854" s="10" t="str">
        <f>基本属性!$B$23&amp;"|"&amp;基本属性!$C$23</f>
        <v>210|13</v>
      </c>
      <c r="B5854" s="10" t="str">
        <f>参数调整!$J$36</f>
        <v>新增怪物种类1掉落</v>
      </c>
      <c r="C5854" s="8" t="str">
        <f>材料产出!$AB$2</f>
        <v>龙晶碎片</v>
      </c>
      <c r="D5854" s="224">
        <f>参数调整!$K$36*怪物掉落配置方案!$D4828</f>
        <v>0.56810406850078532</v>
      </c>
    </row>
    <row r="5855" spans="1:4" ht="16.5" hidden="1" x14ac:dyDescent="0.3">
      <c r="A5855" s="10" t="str">
        <f>基本属性!$B$24&amp;"|"&amp;基本属性!$C$24</f>
        <v>220|14</v>
      </c>
      <c r="B5855" s="10" t="str">
        <f>参数调整!$J$36</f>
        <v>新增怪物种类1掉落</v>
      </c>
      <c r="C5855" s="8" t="str">
        <f>材料产出!$AB$2</f>
        <v>龙晶碎片</v>
      </c>
      <c r="D5855" s="224">
        <f>参数调整!$K$36*怪物掉落配置方案!$D4829</f>
        <v>0.63979733495465374</v>
      </c>
    </row>
    <row r="5856" spans="1:4" ht="16.5" hidden="1" x14ac:dyDescent="0.3">
      <c r="A5856" s="10" t="str">
        <f>基本属性!$B$25&amp;"|"&amp;基本属性!$C$25</f>
        <v>220|15</v>
      </c>
      <c r="B5856" s="10" t="str">
        <f>参数调整!$J$36</f>
        <v>新增怪物种类1掉落</v>
      </c>
      <c r="C5856" s="8" t="str">
        <f>材料产出!$AB$2</f>
        <v>龙晶碎片</v>
      </c>
      <c r="D5856" s="224">
        <f>参数调整!$K$36*怪物掉落配置方案!$D4830</f>
        <v>0.71574960733647452</v>
      </c>
    </row>
    <row r="5857" spans="1:4" ht="16.5" hidden="1" x14ac:dyDescent="0.3">
      <c r="A5857" s="10" t="str">
        <f>基本属性!$B$26&amp;"|"&amp;基本属性!$C$26</f>
        <v>230|16</v>
      </c>
      <c r="B5857" s="10" t="str">
        <f>参数调整!$J$36</f>
        <v>新增怪物种类1掉落</v>
      </c>
      <c r="C5857" s="8" t="str">
        <f>材料产出!$AB$2</f>
        <v>龙晶碎片</v>
      </c>
      <c r="D5857" s="224">
        <f>参数调整!$K$36*怪物掉落配置方案!$D4831</f>
        <v>0.79596088564624812</v>
      </c>
    </row>
    <row r="5858" spans="1:4" ht="16.5" hidden="1" x14ac:dyDescent="0.3">
      <c r="A5858" s="10" t="str">
        <f>基本属性!$B$27&amp;"|"&amp;基本属性!$C$27</f>
        <v>230|17</v>
      </c>
      <c r="B5858" s="10" t="str">
        <f>参数调整!$J$36</f>
        <v>新增怪物种类1掉落</v>
      </c>
      <c r="C5858" s="8" t="str">
        <f>材料产出!$AB$2</f>
        <v>龙晶碎片</v>
      </c>
      <c r="D5858" s="224">
        <f>参数调整!$K$36*怪物掉落配置方案!$D4832</f>
        <v>0.88043116988397419</v>
      </c>
    </row>
    <row r="5859" spans="1:4" ht="16.5" hidden="1" x14ac:dyDescent="0.3">
      <c r="A5859" s="10" t="str">
        <f>基本属性!$B$28&amp;"|"&amp;基本属性!$C$28</f>
        <v>240|18</v>
      </c>
      <c r="B5859" s="10" t="str">
        <f>参数调整!$J$36</f>
        <v>新增怪物种类1掉落</v>
      </c>
      <c r="C5859" s="8" t="str">
        <f>材料产出!$AB$2</f>
        <v>龙晶碎片</v>
      </c>
      <c r="D5859" s="224">
        <f>参数调整!$K$36*怪物掉落配置方案!$D4833</f>
        <v>0.96916046004965306</v>
      </c>
    </row>
    <row r="5860" spans="1:4" ht="16.5" hidden="1" x14ac:dyDescent="0.3">
      <c r="A5860" s="10" t="str">
        <f>基本属性!$B$29&amp;"|"&amp;基本属性!$C$29</f>
        <v>240|19</v>
      </c>
      <c r="B5860" s="10" t="str">
        <f>参数调整!$J$36</f>
        <v>新增怪物种类1掉落</v>
      </c>
      <c r="C5860" s="8" t="str">
        <f>材料产出!$AB$2</f>
        <v>龙晶碎片</v>
      </c>
      <c r="D5860" s="224">
        <f>参数调整!$K$36*怪物掉落配置方案!$D4834</f>
        <v>1.0621487561432843</v>
      </c>
    </row>
    <row r="5861" spans="1:4" ht="16.5" hidden="1" x14ac:dyDescent="0.3">
      <c r="A5861" s="10" t="str">
        <f>基本属性!$B$30&amp;"|"&amp;基本属性!$C$30</f>
        <v>250|20</v>
      </c>
      <c r="B5861" s="10" t="str">
        <f>参数调整!$J$36</f>
        <v>新增怪物种类1掉落</v>
      </c>
      <c r="C5861" s="8" t="str">
        <f>材料产出!$AB$2</f>
        <v>龙晶碎片</v>
      </c>
      <c r="D5861" s="224">
        <f>参数调整!$K$36*怪物掉落配置方案!$D4835</f>
        <v>1.1593960581648677</v>
      </c>
    </row>
    <row r="5862" spans="1:4" ht="16.5" hidden="1" x14ac:dyDescent="0.3">
      <c r="A5862" s="10" t="str">
        <f>基本属性!$B$4&amp;"|"&amp;基本属性!$C$4</f>
        <v>35|0</v>
      </c>
      <c r="B5862" s="10" t="str">
        <f>参数调整!$J$36</f>
        <v>新增怪物种类1掉落</v>
      </c>
      <c r="C5862" s="8" t="str">
        <f>材料产出!$AX$2</f>
        <v>烈焰玄铁</v>
      </c>
      <c r="D5862" s="224">
        <f>参数调整!$K$36*怪物掉落配置方案!$D4836</f>
        <v>8.9283669292289497E-5</v>
      </c>
    </row>
    <row r="5863" spans="1:4" ht="16.5" hidden="1" x14ac:dyDescent="0.3">
      <c r="A5863" s="10" t="str">
        <f>基本属性!$B$5&amp;"|"&amp;基本属性!$C$5</f>
        <v>40|0</v>
      </c>
      <c r="B5863" s="10" t="str">
        <f>参数调整!$J$36</f>
        <v>新增怪物种类1掉落</v>
      </c>
      <c r="C5863" s="8" t="str">
        <f>材料产出!$AX$2</f>
        <v>烈焰玄铁</v>
      </c>
      <c r="D5863" s="224">
        <f>参数调整!$K$36*怪物掉落配置方案!$D4837</f>
        <v>1.1299964394805388E-4</v>
      </c>
    </row>
    <row r="5864" spans="1:4" ht="16.5" hidden="1" x14ac:dyDescent="0.3">
      <c r="A5864" s="10" t="str">
        <f>基本属性!$B$6&amp;"|"&amp;基本属性!$C$6</f>
        <v>50|0</v>
      </c>
      <c r="B5864" s="10" t="str">
        <f>参数调整!$J$36</f>
        <v>新增怪物种类1掉落</v>
      </c>
      <c r="C5864" s="8" t="str">
        <f>材料产出!$AX$2</f>
        <v>烈焰玄铁</v>
      </c>
      <c r="D5864" s="224">
        <f>参数调整!$K$36*怪物掉落配置方案!$D4838</f>
        <v>1.3950573326920233E-4</v>
      </c>
    </row>
    <row r="5865" spans="1:4" ht="16.5" hidden="1" x14ac:dyDescent="0.3">
      <c r="A5865" s="10" t="str">
        <f>基本属性!$B$7&amp;"|"&amp;基本属性!$C$7</f>
        <v>60|0</v>
      </c>
      <c r="B5865" s="10" t="str">
        <f>参数调整!$J$36</f>
        <v>新增怪物种类1掉落</v>
      </c>
      <c r="C5865" s="8" t="str">
        <f>材料产出!$AX$2</f>
        <v>烈焰玄铁</v>
      </c>
      <c r="D5865" s="224">
        <f>参数调整!$K$36*怪物掉落配置方案!$D4839</f>
        <v>1.6880193725573485E-4</v>
      </c>
    </row>
    <row r="5866" spans="1:4" ht="16.5" hidden="1" x14ac:dyDescent="0.3">
      <c r="A5866" s="10" t="str">
        <f>基本属性!$B$8&amp;"|"&amp;基本属性!$C$8</f>
        <v>65|0</v>
      </c>
      <c r="B5866" s="10" t="str">
        <f>参数调整!$J$36</f>
        <v>新增怪物种类1掉落</v>
      </c>
      <c r="C5866" s="8" t="str">
        <f>材料产出!$AX$2</f>
        <v>烈焰玄铁</v>
      </c>
      <c r="D5866" s="224">
        <f>参数调整!$K$36*怪物掉落配置方案!$D4840</f>
        <v>2.0088825590765136E-4</v>
      </c>
    </row>
    <row r="5867" spans="1:4" ht="16.5" hidden="1" x14ac:dyDescent="0.3">
      <c r="A5867" s="10" t="str">
        <f>基本属性!$B$9&amp;"|"&amp;基本属性!$C$9</f>
        <v>70|0</v>
      </c>
      <c r="B5867" s="10" t="str">
        <f>参数调整!$J$36</f>
        <v>新增怪物种类1掉落</v>
      </c>
      <c r="C5867" s="8" t="str">
        <f>材料产出!$AX$2</f>
        <v>烈焰玄铁</v>
      </c>
      <c r="D5867" s="224">
        <f>参数调整!$K$36*怪物掉落配置方案!$D4841</f>
        <v>2.3576468922495197E-4</v>
      </c>
    </row>
    <row r="5868" spans="1:4" ht="16.5" hidden="1" x14ac:dyDescent="0.3">
      <c r="A5868" s="10" t="str">
        <f>基本属性!$B$10&amp;"|"&amp;基本属性!$C$10</f>
        <v>75|0</v>
      </c>
      <c r="B5868" s="10" t="str">
        <f>参数调整!$J$36</f>
        <v>新增怪物种类1掉落</v>
      </c>
      <c r="C5868" s="8" t="str">
        <f>材料产出!$AX$2</f>
        <v>烈焰玄铁</v>
      </c>
      <c r="D5868" s="224">
        <f>参数调整!$K$36*怪物掉落配置方案!$D4842</f>
        <v>2.7343123720763654E-4</v>
      </c>
    </row>
    <row r="5869" spans="1:4" ht="16.5" hidden="1" x14ac:dyDescent="0.3">
      <c r="A5869" s="10" t="str">
        <f>基本属性!$B$11&amp;"|"&amp;基本属性!$C$11</f>
        <v>80|1</v>
      </c>
      <c r="B5869" s="10" t="str">
        <f>参数调整!$J$36</f>
        <v>新增怪物种类1掉落</v>
      </c>
      <c r="C5869" s="8" t="str">
        <f>材料产出!$AX$2</f>
        <v>烈焰玄铁</v>
      </c>
      <c r="D5869" s="224">
        <f>参数调整!$K$36*怪物掉落配置方案!$D4843</f>
        <v>3.1388789985570525E-4</v>
      </c>
    </row>
    <row r="5870" spans="1:4" ht="16.5" hidden="1" x14ac:dyDescent="0.3">
      <c r="A5870" s="10" t="str">
        <f>基本属性!$B$12&amp;"|"&amp;基本属性!$C$12</f>
        <v>90|2</v>
      </c>
      <c r="B5870" s="10" t="str">
        <f>参数调整!$J$36</f>
        <v>新增怪物种类1掉落</v>
      </c>
      <c r="C5870" s="8" t="str">
        <f>材料产出!$AX$2</f>
        <v>烈焰玄铁</v>
      </c>
      <c r="D5870" s="224">
        <f>参数调整!$K$36*怪物掉落配置方案!$D4844</f>
        <v>3.5713467716915804E-4</v>
      </c>
    </row>
    <row r="5871" spans="1:4" ht="16.5" hidden="1" x14ac:dyDescent="0.3">
      <c r="A5871" s="10" t="str">
        <f>基本属性!$B$13&amp;"|"&amp;基本属性!$C$13</f>
        <v>100|3</v>
      </c>
      <c r="B5871" s="10" t="str">
        <f>参数调整!$J$36</f>
        <v>新增怪物种类1掉落</v>
      </c>
      <c r="C5871" s="8" t="str">
        <f>材料产出!$AX$2</f>
        <v>烈焰玄铁</v>
      </c>
      <c r="D5871" s="224">
        <f>参数调整!$K$36*怪物掉落配置方案!$D4845</f>
        <v>4.5199857579221562E-4</v>
      </c>
    </row>
    <row r="5872" spans="1:4" ht="16.5" hidden="1" x14ac:dyDescent="0.3">
      <c r="A5872" s="10" t="str">
        <f>基本属性!$B$14&amp;"|"&amp;基本属性!$C$14</f>
        <v>105|4</v>
      </c>
      <c r="B5872" s="10" t="str">
        <f>参数调整!$J$36</f>
        <v>新增怪物种类1掉落</v>
      </c>
      <c r="C5872" s="8" t="str">
        <f>材料产出!$AX$2</f>
        <v>烈焰玄铁</v>
      </c>
      <c r="D5872" s="224">
        <f>参数调整!$K$36*怪物掉落配置方案!$D4846</f>
        <v>5.5802293307680943E-4</v>
      </c>
    </row>
    <row r="5873" spans="1:4" ht="16.5" hidden="1" x14ac:dyDescent="0.3">
      <c r="A5873" s="10" t="str">
        <f>基本属性!$B$15&amp;"|"&amp;基本属性!$C$15</f>
        <v>110|5</v>
      </c>
      <c r="B5873" s="10" t="str">
        <f>参数调整!$J$36</f>
        <v>新增怪物种类1掉落</v>
      </c>
      <c r="C5873" s="8" t="str">
        <f>材料产出!$AX$2</f>
        <v>烈焰玄铁</v>
      </c>
      <c r="D5873" s="224">
        <f>参数调整!$K$36*怪物掉落配置方案!$D4847</f>
        <v>6.7520774902293953E-4</v>
      </c>
    </row>
    <row r="5874" spans="1:4" ht="16.5" hidden="1" x14ac:dyDescent="0.3">
      <c r="A5874" s="10" t="str">
        <f>基本属性!$B$16&amp;"|"&amp;基本属性!$C$16</f>
        <v>120|6</v>
      </c>
      <c r="B5874" s="10" t="str">
        <f>参数调整!$J$36</f>
        <v>新增怪物种类1掉落</v>
      </c>
      <c r="C5874" s="8" t="str">
        <f>材料产出!$AX$2</f>
        <v>烈焰玄铁</v>
      </c>
      <c r="D5874" s="224">
        <f>参数调整!$K$36*怪物掉落配置方案!$D4848</f>
        <v>8.7191083293251456E-4</v>
      </c>
    </row>
    <row r="5875" spans="1:4" ht="16.5" hidden="1" x14ac:dyDescent="0.3">
      <c r="A5875" s="10" t="str">
        <f>基本属性!$B$17&amp;"|"&amp;基本属性!$C$17</f>
        <v>135|7</v>
      </c>
      <c r="B5875" s="10" t="str">
        <f>参数调整!$J$36</f>
        <v>新增怪物种类1掉落</v>
      </c>
      <c r="C5875" s="8" t="str">
        <f>材料产出!$AX$2</f>
        <v>烈焰玄铁</v>
      </c>
      <c r="D5875" s="224">
        <f>参数调整!$K$36*怪物掉落配置方案!$D4849</f>
        <v>1.255551599422821E-3</v>
      </c>
    </row>
    <row r="5876" spans="1:4" ht="16.5" hidden="1" x14ac:dyDescent="0.3">
      <c r="A5876" s="10" t="str">
        <f>基本属性!$B$18&amp;"|"&amp;基本属性!$C$18</f>
        <v>155|8</v>
      </c>
      <c r="B5876" s="10" t="str">
        <f>参数调整!$J$36</f>
        <v>新增怪物种类1掉落</v>
      </c>
      <c r="C5876" s="8" t="str">
        <f>材料产出!$AX$2</f>
        <v>烈焰玄铁</v>
      </c>
      <c r="D5876" s="224">
        <f>参数调整!$K$36*怪物掉落配置方案!$D4850</f>
        <v>1.7089452325477288E-3</v>
      </c>
    </row>
    <row r="5877" spans="1:4" ht="16.5" hidden="1" x14ac:dyDescent="0.3">
      <c r="A5877" s="10" t="str">
        <f>基本属性!$B$19&amp;"|"&amp;基本属性!$C$19</f>
        <v>190|9</v>
      </c>
      <c r="B5877" s="10" t="str">
        <f>参数调整!$J$36</f>
        <v>新增怪物种类1掉落</v>
      </c>
      <c r="C5877" s="8" t="str">
        <f>材料产出!$AX$2</f>
        <v>烈焰玄铁</v>
      </c>
      <c r="D5877" s="224">
        <f>参数调整!$K$36*怪物掉落配置方案!$D4851</f>
        <v>1.9098334884553802E-3</v>
      </c>
    </row>
    <row r="5878" spans="1:4" ht="16.5" hidden="1" x14ac:dyDescent="0.3">
      <c r="A5878" s="10" t="str">
        <f>基本属性!$B$20&amp;"|"&amp;基本属性!$C$20</f>
        <v>200|10</v>
      </c>
      <c r="B5878" s="10" t="str">
        <f>参数调整!$J$36</f>
        <v>新增怪物种类1掉落</v>
      </c>
      <c r="C5878" s="8" t="str">
        <f>材料产出!$AX$2</f>
        <v>烈焰玄铁</v>
      </c>
      <c r="D5878" s="224">
        <f>参数调整!$K$36*怪物掉落配置方案!$D4852</f>
        <v>2.2320917323072377E-3</v>
      </c>
    </row>
    <row r="5879" spans="1:4" ht="16.5" hidden="1" x14ac:dyDescent="0.3">
      <c r="A5879" s="10" t="str">
        <f>基本属性!$B$21&amp;"|"&amp;基本属性!$C$21</f>
        <v>200|11</v>
      </c>
      <c r="B5879" s="10" t="str">
        <f>参数调整!$J$36</f>
        <v>新增怪物种类1掉落</v>
      </c>
      <c r="C5879" s="8" t="str">
        <f>材料产出!$AX$2</f>
        <v>烈焰玄铁</v>
      </c>
      <c r="D5879" s="224">
        <f>参数调整!$K$36*怪物掉落配置方案!$D4853</f>
        <v>2.5794610081475507E-3</v>
      </c>
    </row>
    <row r="5880" spans="1:4" ht="16.5" hidden="1" x14ac:dyDescent="0.3">
      <c r="A5880" s="10" t="str">
        <f>基本属性!$B$22&amp;"|"&amp;基本属性!$C$22</f>
        <v>210|12</v>
      </c>
      <c r="B5880" s="10" t="str">
        <f>参数调整!$J$36</f>
        <v>新增怪物种类1掉落</v>
      </c>
      <c r="C5880" s="8" t="str">
        <f>材料产出!$AX$2</f>
        <v>烈焰玄铁</v>
      </c>
      <c r="D5880" s="224">
        <f>参数调整!$K$36*怪物掉落配置方案!$D4854</f>
        <v>2.9519413159763207E-3</v>
      </c>
    </row>
    <row r="5881" spans="1:4" ht="16.5" hidden="1" x14ac:dyDescent="0.3">
      <c r="A5881" s="10" t="str">
        <f>基本属性!$B$23&amp;"|"&amp;基本属性!$C$23</f>
        <v>210|13</v>
      </c>
      <c r="B5881" s="10" t="str">
        <f>参数调整!$J$36</f>
        <v>新增怪物种类1掉落</v>
      </c>
      <c r="C5881" s="8" t="str">
        <f>材料产出!$AX$2</f>
        <v>烈焰玄铁</v>
      </c>
      <c r="D5881" s="224">
        <f>参数调整!$K$36*怪物掉落配置方案!$D4855</f>
        <v>3.3495326557935485E-3</v>
      </c>
    </row>
    <row r="5882" spans="1:4" ht="16.5" hidden="1" x14ac:dyDescent="0.3">
      <c r="A5882" s="10" t="str">
        <f>基本属性!$B$24&amp;"|"&amp;基本属性!$C$24</f>
        <v>220|14</v>
      </c>
      <c r="B5882" s="10" t="str">
        <f>参数调整!$J$36</f>
        <v>新增怪物种类1掉落</v>
      </c>
      <c r="C5882" s="8" t="str">
        <f>材料产出!$AX$2</f>
        <v>烈焰玄铁</v>
      </c>
      <c r="D5882" s="224">
        <f>参数调整!$K$36*怪物掉落配置方案!$D4856</f>
        <v>3.7722350275992311E-3</v>
      </c>
    </row>
    <row r="5883" spans="1:4" ht="16.5" hidden="1" x14ac:dyDescent="0.3">
      <c r="A5883" s="10" t="str">
        <f>基本属性!$B$25&amp;"|"&amp;基本属性!$C$25</f>
        <v>220|15</v>
      </c>
      <c r="B5883" s="10" t="str">
        <f>参数调整!$J$36</f>
        <v>新增怪物种类1掉落</v>
      </c>
      <c r="C5883" s="8" t="str">
        <f>材料产出!$AX$2</f>
        <v>烈焰玄铁</v>
      </c>
      <c r="D5883" s="224">
        <f>参数调整!$K$36*怪物掉落配置方案!$D4857</f>
        <v>4.2200484313933704E-3</v>
      </c>
    </row>
    <row r="5884" spans="1:4" ht="16.5" hidden="1" x14ac:dyDescent="0.3">
      <c r="A5884" s="10" t="str">
        <f>基本属性!$B$26&amp;"|"&amp;基本属性!$C$26</f>
        <v>230|16</v>
      </c>
      <c r="B5884" s="10" t="str">
        <f>参数调整!$J$36</f>
        <v>新增怪物种类1掉落</v>
      </c>
      <c r="C5884" s="8" t="str">
        <f>材料产出!$AX$2</f>
        <v>烈焰玄铁</v>
      </c>
      <c r="D5884" s="224">
        <f>参数调整!$K$36*怪物掉落配置方案!$D4858</f>
        <v>4.6929728671759657E-3</v>
      </c>
    </row>
    <row r="5885" spans="1:4" ht="16.5" hidden="1" x14ac:dyDescent="0.3">
      <c r="A5885" s="10" t="str">
        <f>基本属性!$B$27&amp;"|"&amp;基本属性!$C$27</f>
        <v>230|17</v>
      </c>
      <c r="B5885" s="10" t="str">
        <f>参数调整!$J$36</f>
        <v>新增怪物种类1掉落</v>
      </c>
      <c r="C5885" s="8" t="str">
        <f>材料产出!$AX$2</f>
        <v>烈焰玄铁</v>
      </c>
      <c r="D5885" s="224">
        <f>参数调整!$K$36*怪物掉落配置方案!$D4859</f>
        <v>5.1910083349470176E-3</v>
      </c>
    </row>
    <row r="5886" spans="1:4" ht="16.5" hidden="1" x14ac:dyDescent="0.3">
      <c r="A5886" s="10" t="str">
        <f>基本属性!$B$28&amp;"|"&amp;基本属性!$C$28</f>
        <v>240|18</v>
      </c>
      <c r="B5886" s="10" t="str">
        <f>参数调整!$J$36</f>
        <v>新增怪物种类1掉落</v>
      </c>
      <c r="C5886" s="8" t="str">
        <f>材料产出!$AX$2</f>
        <v>烈焰玄铁</v>
      </c>
      <c r="D5886" s="224">
        <f>参数调整!$K$36*怪物掉落配置方案!$D4860</f>
        <v>5.7141548347065287E-3</v>
      </c>
    </row>
    <row r="5887" spans="1:4" ht="16.5" hidden="1" x14ac:dyDescent="0.3">
      <c r="A5887" s="10" t="str">
        <f>基本属性!$B$29&amp;"|"&amp;基本属性!$C$29</f>
        <v>240|19</v>
      </c>
      <c r="B5887" s="10" t="str">
        <f>参数调整!$J$36</f>
        <v>新增怪物种类1掉落</v>
      </c>
      <c r="C5887" s="8" t="str">
        <f>材料产出!$AX$2</f>
        <v>烈焰玄铁</v>
      </c>
      <c r="D5887" s="224">
        <f>参数调整!$K$36*怪物掉落配置方案!$D4861</f>
        <v>6.2624123664544928E-3</v>
      </c>
    </row>
    <row r="5888" spans="1:4" ht="16.5" hidden="1" x14ac:dyDescent="0.3">
      <c r="A5888" s="10" t="str">
        <f>基本属性!$B$30&amp;"|"&amp;基本属性!$C$30</f>
        <v>250|20</v>
      </c>
      <c r="B5888" s="10" t="str">
        <f>参数调整!$J$36</f>
        <v>新增怪物种类1掉落</v>
      </c>
      <c r="C5888" s="8" t="str">
        <f>材料产出!$AX$2</f>
        <v>烈焰玄铁</v>
      </c>
      <c r="D5888" s="224">
        <f>参数调整!$K$36*怪物掉落配置方案!$D4862</f>
        <v>6.8357809301909135E-3</v>
      </c>
    </row>
    <row r="5889" spans="1:4" ht="16.5" hidden="1" x14ac:dyDescent="0.3">
      <c r="A5889" s="10" t="str">
        <f>基本属性!$B$4&amp;"|"&amp;基本属性!$C$4</f>
        <v>35|0</v>
      </c>
      <c r="B5889" s="10" t="str">
        <f>参数调整!$J$36</f>
        <v>新增怪物种类1掉落</v>
      </c>
      <c r="C5889" s="8" t="str">
        <f>材料产出!$H$2</f>
        <v>经验</v>
      </c>
      <c r="D5889" s="224">
        <f>参数调整!$K$36*怪物掉落配置方案!$D4863</f>
        <v>833</v>
      </c>
    </row>
    <row r="5890" spans="1:4" ht="16.5" hidden="1" x14ac:dyDescent="0.3">
      <c r="A5890" s="10" t="str">
        <f>基本属性!$B$5&amp;"|"&amp;基本属性!$C$5</f>
        <v>40|0</v>
      </c>
      <c r="B5890" s="10" t="str">
        <f>参数调整!$J$36</f>
        <v>新增怪物种类1掉落</v>
      </c>
      <c r="C5890" s="8" t="str">
        <f>材料产出!$H$2</f>
        <v>经验</v>
      </c>
      <c r="D5890" s="224">
        <f>参数调整!$K$36*怪物掉落配置方案!$D4864</f>
        <v>1597</v>
      </c>
    </row>
    <row r="5891" spans="1:4" ht="16.5" hidden="1" x14ac:dyDescent="0.3">
      <c r="A5891" s="10" t="str">
        <f>基本属性!$B$6&amp;"|"&amp;基本属性!$C$6</f>
        <v>50|0</v>
      </c>
      <c r="B5891" s="10" t="str">
        <f>参数调整!$J$36</f>
        <v>新增怪物种类1掉落</v>
      </c>
      <c r="C5891" s="8" t="str">
        <f>材料产出!$H$2</f>
        <v>经验</v>
      </c>
      <c r="D5891" s="224">
        <f>参数调整!$K$36*怪物掉落配置方案!$D4865</f>
        <v>4333</v>
      </c>
    </row>
    <row r="5892" spans="1:4" ht="16.5" hidden="1" x14ac:dyDescent="0.3">
      <c r="A5892" s="10" t="str">
        <f>基本属性!$B$7&amp;"|"&amp;基本属性!$C$7</f>
        <v>60|0</v>
      </c>
      <c r="B5892" s="10" t="str">
        <f>参数调整!$J$36</f>
        <v>新增怪物种类1掉落</v>
      </c>
      <c r="C5892" s="8" t="str">
        <f>材料产出!$H$2</f>
        <v>经验</v>
      </c>
      <c r="D5892" s="224">
        <f>参数调整!$K$36*怪物掉落配置方案!$D4866</f>
        <v>5417</v>
      </c>
    </row>
    <row r="5893" spans="1:4" ht="16.5" hidden="1" x14ac:dyDescent="0.3">
      <c r="A5893" s="10" t="str">
        <f>基本属性!$B$8&amp;"|"&amp;基本属性!$C$8</f>
        <v>65|0</v>
      </c>
      <c r="B5893" s="10" t="str">
        <f>参数调整!$J$36</f>
        <v>新增怪物种类1掉落</v>
      </c>
      <c r="C5893" s="8" t="str">
        <f>材料产出!$H$2</f>
        <v>经验</v>
      </c>
      <c r="D5893" s="224">
        <f>参数调整!$K$36*怪物掉落配置方案!$D4867</f>
        <v>5444</v>
      </c>
    </row>
    <row r="5894" spans="1:4" ht="16.5" hidden="1" x14ac:dyDescent="0.3">
      <c r="A5894" s="10" t="str">
        <f>基本属性!$B$9&amp;"|"&amp;基本属性!$C$9</f>
        <v>70|0</v>
      </c>
      <c r="B5894" s="10" t="str">
        <f>参数调整!$J$36</f>
        <v>新增怪物种类1掉落</v>
      </c>
      <c r="C5894" s="8" t="str">
        <f>材料产出!$H$2</f>
        <v>经验</v>
      </c>
      <c r="D5894" s="224">
        <f>参数调整!$K$36*怪物掉落配置方案!$D4868</f>
        <v>5574</v>
      </c>
    </row>
    <row r="5895" spans="1:4" ht="16.5" hidden="1" x14ac:dyDescent="0.3">
      <c r="A5895" s="10" t="str">
        <f>基本属性!$B$10&amp;"|"&amp;基本属性!$C$10</f>
        <v>75|0</v>
      </c>
      <c r="B5895" s="10" t="str">
        <f>参数调整!$J$36</f>
        <v>新增怪物种类1掉落</v>
      </c>
      <c r="C5895" s="8" t="str">
        <f>材料产出!$H$2</f>
        <v>经验</v>
      </c>
      <c r="D5895" s="224">
        <f>参数调整!$K$36*怪物掉落配置方案!$D4869</f>
        <v>6291</v>
      </c>
    </row>
    <row r="5896" spans="1:4" ht="16.5" hidden="1" x14ac:dyDescent="0.3">
      <c r="A5896" s="10" t="str">
        <f>基本属性!$B$11&amp;"|"&amp;基本属性!$C$11</f>
        <v>80|1</v>
      </c>
      <c r="B5896" s="10" t="str">
        <f>参数调整!$J$36</f>
        <v>新增怪物种类1掉落</v>
      </c>
      <c r="C5896" s="8" t="str">
        <f>材料产出!$H$2</f>
        <v>经验</v>
      </c>
      <c r="D5896" s="224">
        <f>参数调整!$K$36*怪物掉落配置方案!$D4870</f>
        <v>10081</v>
      </c>
    </row>
    <row r="5897" spans="1:4" ht="16.5" hidden="1" x14ac:dyDescent="0.3">
      <c r="A5897" s="10" t="str">
        <f>基本属性!$B$12&amp;"|"&amp;基本属性!$C$12</f>
        <v>90|2</v>
      </c>
      <c r="B5897" s="10" t="str">
        <f>参数调整!$J$36</f>
        <v>新增怪物种类1掉落</v>
      </c>
      <c r="C5897" s="8" t="str">
        <f>材料产出!$H$2</f>
        <v>经验</v>
      </c>
      <c r="D5897" s="224">
        <f>参数调整!$K$36*怪物掉落配置方案!$D4871</f>
        <v>17335</v>
      </c>
    </row>
    <row r="5898" spans="1:4" ht="16.5" hidden="1" x14ac:dyDescent="0.3">
      <c r="A5898" s="10" t="str">
        <f>基本属性!$B$13&amp;"|"&amp;基本属性!$C$13</f>
        <v>100|3</v>
      </c>
      <c r="B5898" s="10" t="str">
        <f>参数调整!$J$36</f>
        <v>新增怪物种类1掉落</v>
      </c>
      <c r="C5898" s="8" t="str">
        <f>材料产出!$H$2</f>
        <v>经验</v>
      </c>
      <c r="D5898" s="224">
        <f>参数调整!$K$36*怪物掉落配置方案!$D4872</f>
        <v>20397</v>
      </c>
    </row>
    <row r="5899" spans="1:4" ht="16.5" hidden="1" x14ac:dyDescent="0.3">
      <c r="A5899" s="10" t="str">
        <f>基本属性!$B$14&amp;"|"&amp;基本属性!$C$14</f>
        <v>105|4</v>
      </c>
      <c r="B5899" s="10" t="str">
        <f>参数调整!$J$36</f>
        <v>新增怪物种类1掉落</v>
      </c>
      <c r="C5899" s="8" t="str">
        <f>材料产出!$H$2</f>
        <v>经验</v>
      </c>
      <c r="D5899" s="224">
        <f>参数调整!$K$36*怪物掉落配置方案!$D4873</f>
        <v>31500</v>
      </c>
    </row>
    <row r="5900" spans="1:4" ht="16.5" hidden="1" x14ac:dyDescent="0.3">
      <c r="A5900" s="10" t="str">
        <f>基本属性!$B$15&amp;"|"&amp;基本属性!$C$15</f>
        <v>110|5</v>
      </c>
      <c r="B5900" s="10" t="str">
        <f>参数调整!$J$36</f>
        <v>新增怪物种类1掉落</v>
      </c>
      <c r="C5900" s="8" t="str">
        <f>材料产出!$H$2</f>
        <v>经验</v>
      </c>
      <c r="D5900" s="224">
        <f>参数调整!$K$36*怪物掉落配置方案!$D4874</f>
        <v>32556</v>
      </c>
    </row>
    <row r="5901" spans="1:4" ht="16.5" hidden="1" x14ac:dyDescent="0.3">
      <c r="A5901" s="10" t="str">
        <f>基本属性!$B$16&amp;"|"&amp;基本属性!$C$16</f>
        <v>120|6</v>
      </c>
      <c r="B5901" s="10" t="str">
        <f>参数调整!$J$36</f>
        <v>新增怪物种类1掉落</v>
      </c>
      <c r="C5901" s="8" t="str">
        <f>材料产出!$H$2</f>
        <v>经验</v>
      </c>
      <c r="D5901" s="224">
        <f>参数调整!$K$36*怪物掉落配置方案!$D4875</f>
        <v>129814</v>
      </c>
    </row>
    <row r="5902" spans="1:4" ht="16.5" hidden="1" x14ac:dyDescent="0.3">
      <c r="A5902" s="10" t="str">
        <f>基本属性!$B$17&amp;"|"&amp;基本属性!$C$17</f>
        <v>135|7</v>
      </c>
      <c r="B5902" s="10" t="str">
        <f>参数调整!$J$36</f>
        <v>新增怪物种类1掉落</v>
      </c>
      <c r="C5902" s="8" t="str">
        <f>材料产出!$H$2</f>
        <v>经验</v>
      </c>
      <c r="D5902" s="224">
        <f>参数调整!$K$36*怪物掉落配置方案!$D4876</f>
        <v>444417</v>
      </c>
    </row>
    <row r="5903" spans="1:4" ht="16.5" hidden="1" x14ac:dyDescent="0.3">
      <c r="A5903" s="10" t="str">
        <f>基本属性!$B$18&amp;"|"&amp;基本属性!$C$18</f>
        <v>155|8</v>
      </c>
      <c r="B5903" s="10" t="str">
        <f>参数调整!$J$36</f>
        <v>新增怪物种类1掉落</v>
      </c>
      <c r="C5903" s="8" t="str">
        <f>材料产出!$H$2</f>
        <v>经验</v>
      </c>
      <c r="D5903" s="224">
        <f>参数调整!$K$36*怪物掉落配置方案!$D4877</f>
        <v>5368389</v>
      </c>
    </row>
    <row r="5904" spans="1:4" ht="16.5" hidden="1" x14ac:dyDescent="0.3">
      <c r="A5904" s="10" t="str">
        <f>基本属性!$B$19&amp;"|"&amp;基本属性!$C$19</f>
        <v>190|9</v>
      </c>
      <c r="B5904" s="10" t="str">
        <f>参数调整!$J$36</f>
        <v>新增怪物种类1掉落</v>
      </c>
      <c r="C5904" s="8" t="str">
        <f>材料产出!$H$2</f>
        <v>经验</v>
      </c>
      <c r="D5904" s="224">
        <f>参数调整!$K$36*怪物掉落配置方案!$D4878</f>
        <v>4881467</v>
      </c>
    </row>
    <row r="5905" spans="1:4" ht="16.5" hidden="1" x14ac:dyDescent="0.3">
      <c r="A5905" s="10" t="str">
        <f>基本属性!$B$20&amp;"|"&amp;基本属性!$C$20</f>
        <v>200|10</v>
      </c>
      <c r="B5905" s="10" t="str">
        <f>参数调整!$J$36</f>
        <v>新增怪物种类1掉落</v>
      </c>
      <c r="C5905" s="8" t="str">
        <f>材料产出!$H$2</f>
        <v>经验</v>
      </c>
      <c r="D5905" s="224">
        <f>参数调整!$K$36*怪物掉落配置方案!$D4879</f>
        <v>5833333</v>
      </c>
    </row>
    <row r="5906" spans="1:4" ht="16.5" hidden="1" x14ac:dyDescent="0.3">
      <c r="A5906" s="10" t="str">
        <f>基本属性!$B$21&amp;"|"&amp;基本属性!$C$21</f>
        <v>200|11</v>
      </c>
      <c r="B5906" s="10" t="str">
        <f>参数调整!$J$36</f>
        <v>新增怪物种类1掉落</v>
      </c>
      <c r="C5906" s="8" t="str">
        <f>材料产出!$H$2</f>
        <v>经验</v>
      </c>
      <c r="D5906" s="224">
        <f>参数调整!$K$36*怪物掉落配置方案!$D4880</f>
        <v>1166667</v>
      </c>
    </row>
    <row r="5907" spans="1:4" ht="16.5" hidden="1" x14ac:dyDescent="0.3">
      <c r="A5907" s="10" t="str">
        <f>基本属性!$B$22&amp;"|"&amp;基本属性!$C$22</f>
        <v>210|12</v>
      </c>
      <c r="B5907" s="10" t="str">
        <f>参数调整!$J$36</f>
        <v>新增怪物种类1掉落</v>
      </c>
      <c r="C5907" s="8" t="str">
        <f>材料产出!$H$2</f>
        <v>经验</v>
      </c>
      <c r="D5907" s="224">
        <f>参数调整!$K$36*怪物掉落配置方案!$D4881</f>
        <v>1166667</v>
      </c>
    </row>
    <row r="5908" spans="1:4" ht="16.5" hidden="1" x14ac:dyDescent="0.3">
      <c r="A5908" s="10" t="str">
        <f>基本属性!$B$23&amp;"|"&amp;基本属性!$C$23</f>
        <v>210|13</v>
      </c>
      <c r="B5908" s="10" t="str">
        <f>参数调整!$J$36</f>
        <v>新增怪物种类1掉落</v>
      </c>
      <c r="C5908" s="8" t="str">
        <f>材料产出!$H$2</f>
        <v>经验</v>
      </c>
      <c r="D5908" s="224">
        <f>参数调整!$K$36*怪物掉落配置方案!$D4882</f>
        <v>1166667</v>
      </c>
    </row>
    <row r="5909" spans="1:4" ht="16.5" hidden="1" x14ac:dyDescent="0.3">
      <c r="A5909" s="10" t="str">
        <f>基本属性!$B$24&amp;"|"&amp;基本属性!$C$24</f>
        <v>220|14</v>
      </c>
      <c r="B5909" s="10" t="str">
        <f>参数调整!$J$36</f>
        <v>新增怪物种类1掉落</v>
      </c>
      <c r="C5909" s="8" t="str">
        <f>材料产出!$H$2</f>
        <v>经验</v>
      </c>
      <c r="D5909" s="224">
        <f>参数调整!$K$36*怪物掉落配置方案!$D4883</f>
        <v>1166667</v>
      </c>
    </row>
    <row r="5910" spans="1:4" ht="16.5" hidden="1" x14ac:dyDescent="0.3">
      <c r="A5910" s="10" t="str">
        <f>基本属性!$B$25&amp;"|"&amp;基本属性!$C$25</f>
        <v>220|15</v>
      </c>
      <c r="B5910" s="10" t="str">
        <f>参数调整!$J$36</f>
        <v>新增怪物种类1掉落</v>
      </c>
      <c r="C5910" s="8" t="str">
        <f>材料产出!$H$2</f>
        <v>经验</v>
      </c>
      <c r="D5910" s="224">
        <f>参数调整!$K$36*怪物掉落配置方案!$D4884</f>
        <v>1166667</v>
      </c>
    </row>
    <row r="5911" spans="1:4" ht="16.5" hidden="1" x14ac:dyDescent="0.3">
      <c r="A5911" s="10" t="str">
        <f>基本属性!$B$26&amp;"|"&amp;基本属性!$C$26</f>
        <v>230|16</v>
      </c>
      <c r="B5911" s="10" t="str">
        <f>参数调整!$J$36</f>
        <v>新增怪物种类1掉落</v>
      </c>
      <c r="C5911" s="8" t="str">
        <f>材料产出!$H$2</f>
        <v>经验</v>
      </c>
      <c r="D5911" s="224">
        <f>参数调整!$K$36*怪物掉落配置方案!$D4885</f>
        <v>583333</v>
      </c>
    </row>
    <row r="5912" spans="1:4" ht="16.5" hidden="1" x14ac:dyDescent="0.3">
      <c r="A5912" s="10" t="str">
        <f>基本属性!$B$27&amp;"|"&amp;基本属性!$C$27</f>
        <v>230|17</v>
      </c>
      <c r="B5912" s="10" t="str">
        <f>参数调整!$J$36</f>
        <v>新增怪物种类1掉落</v>
      </c>
      <c r="C5912" s="8" t="str">
        <f>材料产出!$H$2</f>
        <v>经验</v>
      </c>
      <c r="D5912" s="224">
        <f>参数调整!$K$36*怪物掉落配置方案!$D4886</f>
        <v>583333</v>
      </c>
    </row>
    <row r="5913" spans="1:4" ht="16.5" hidden="1" x14ac:dyDescent="0.3">
      <c r="A5913" s="10" t="str">
        <f>基本属性!$B$28&amp;"|"&amp;基本属性!$C$28</f>
        <v>240|18</v>
      </c>
      <c r="B5913" s="10" t="str">
        <f>参数调整!$J$36</f>
        <v>新增怪物种类1掉落</v>
      </c>
      <c r="C5913" s="8" t="str">
        <f>材料产出!$H$2</f>
        <v>经验</v>
      </c>
      <c r="D5913" s="224">
        <f>参数调整!$K$36*怪物掉落配置方案!$D4887</f>
        <v>583333</v>
      </c>
    </row>
    <row r="5914" spans="1:4" ht="16.5" hidden="1" x14ac:dyDescent="0.3">
      <c r="A5914" s="10" t="str">
        <f>基本属性!$B$29&amp;"|"&amp;基本属性!$C$29</f>
        <v>240|19</v>
      </c>
      <c r="B5914" s="10" t="str">
        <f>参数调整!$J$36</f>
        <v>新增怪物种类1掉落</v>
      </c>
      <c r="C5914" s="8" t="str">
        <f>材料产出!$H$2</f>
        <v>经验</v>
      </c>
      <c r="D5914" s="224">
        <f>参数调整!$K$36*怪物掉落配置方案!$D4888</f>
        <v>583333</v>
      </c>
    </row>
    <row r="5915" spans="1:4" ht="16.5" hidden="1" x14ac:dyDescent="0.3">
      <c r="A5915" s="10" t="str">
        <f>基本属性!$B$30&amp;"|"&amp;基本属性!$C$30</f>
        <v>250|20</v>
      </c>
      <c r="B5915" s="10" t="str">
        <f>参数调整!$J$36</f>
        <v>新增怪物种类1掉落</v>
      </c>
      <c r="C5915" s="8" t="str">
        <f>材料产出!$H$2</f>
        <v>经验</v>
      </c>
      <c r="D5915" s="224">
        <f>参数调整!$K$36*怪物掉落配置方案!$D4889</f>
        <v>583333</v>
      </c>
    </row>
    <row r="5916" spans="1:4" ht="16.5" hidden="1" x14ac:dyDescent="0.3">
      <c r="A5916" s="10" t="str">
        <f>基本属性!$B$4&amp;"|"&amp;基本属性!$C$4</f>
        <v>35|0</v>
      </c>
      <c r="B5916" s="10" t="str">
        <f>参数调整!$J$36</f>
        <v>新增怪物种类1掉落</v>
      </c>
      <c r="C5916" s="8" t="str">
        <f>材料产出!$AN$2</f>
        <v>极品注灵石</v>
      </c>
      <c r="D5916" s="224">
        <f>参数调整!$K$36*怪物掉落配置方案!$D4890</f>
        <v>5.1844102894235667E-4</v>
      </c>
    </row>
    <row r="5917" spans="1:4" ht="16.5" hidden="1" x14ac:dyDescent="0.3">
      <c r="A5917" s="10" t="str">
        <f>基本属性!$B$5&amp;"|"&amp;基本属性!$C$5</f>
        <v>40|0</v>
      </c>
      <c r="B5917" s="10" t="str">
        <f>参数调整!$J$36</f>
        <v>新增怪物种类1掉落</v>
      </c>
      <c r="C5917" s="8" t="str">
        <f>材料产出!$AN$2</f>
        <v>极品注灵石</v>
      </c>
      <c r="D5917" s="224">
        <f>参数调整!$K$36*怪物掉落配置方案!$D4891</f>
        <v>6.5615192725517011E-4</v>
      </c>
    </row>
    <row r="5918" spans="1:4" ht="16.5" hidden="1" x14ac:dyDescent="0.3">
      <c r="A5918" s="10" t="str">
        <f>基本属性!$B$6&amp;"|"&amp;基本属性!$C$6</f>
        <v>50|0</v>
      </c>
      <c r="B5918" s="10" t="str">
        <f>参数调整!$J$36</f>
        <v>新增怪物种类1掉落</v>
      </c>
      <c r="C5918" s="8" t="str">
        <f>材料产出!$AN$2</f>
        <v>极品注灵石</v>
      </c>
      <c r="D5918" s="224">
        <f>参数调整!$K$36*怪物掉落配置方案!$D4892</f>
        <v>8.1006410772243231E-4</v>
      </c>
    </row>
    <row r="5919" spans="1:4" ht="16.5" hidden="1" x14ac:dyDescent="0.3">
      <c r="A5919" s="10" t="str">
        <f>基本属性!$B$7&amp;"|"&amp;基本属性!$C$7</f>
        <v>60|0</v>
      </c>
      <c r="B5919" s="10" t="str">
        <f>参数调整!$J$36</f>
        <v>新增怪物种类1掉落</v>
      </c>
      <c r="C5919" s="8" t="str">
        <f>材料产出!$AN$2</f>
        <v>极品注灵石</v>
      </c>
      <c r="D5919" s="224">
        <f>参数调整!$K$36*怪物掉落配置方案!$D4893</f>
        <v>9.8017757034414327E-4</v>
      </c>
    </row>
    <row r="5920" spans="1:4" ht="16.5" hidden="1" x14ac:dyDescent="0.3">
      <c r="A5920" s="10" t="str">
        <f>基本属性!$B$8&amp;"|"&amp;基本属性!$C$8</f>
        <v>65|0</v>
      </c>
      <c r="B5920" s="10" t="str">
        <f>参数调整!$J$36</f>
        <v>新增怪物种类1掉落</v>
      </c>
      <c r="C5920" s="8" t="str">
        <f>材料产出!$AN$2</f>
        <v>极品注灵石</v>
      </c>
      <c r="D5920" s="224">
        <f>参数调整!$K$36*怪物掉落配置方案!$D4894</f>
        <v>1.1664923151203023E-3</v>
      </c>
    </row>
    <row r="5921" spans="1:4" ht="16.5" hidden="1" x14ac:dyDescent="0.3">
      <c r="A5921" s="10" t="str">
        <f>基本属性!$B$9&amp;"|"&amp;基本属性!$C$9</f>
        <v>70|0</v>
      </c>
      <c r="B5921" s="10" t="str">
        <f>参数调整!$J$36</f>
        <v>新增怪物种类1掉落</v>
      </c>
      <c r="C5921" s="8" t="str">
        <f>材料产出!$AN$2</f>
        <v>极品注灵石</v>
      </c>
      <c r="D5921" s="224">
        <f>参数调整!$K$36*怪物掉落配置方案!$D4895</f>
        <v>1.3690083420509107E-3</v>
      </c>
    </row>
    <row r="5922" spans="1:4" ht="16.5" hidden="1" x14ac:dyDescent="0.3">
      <c r="A5922" s="10" t="str">
        <f>基本属性!$B$10&amp;"|"&amp;基本属性!$C$10</f>
        <v>75|0</v>
      </c>
      <c r="B5922" s="10" t="str">
        <f>参数调整!$J$36</f>
        <v>新增怪物种类1掉落</v>
      </c>
      <c r="C5922" s="8" t="str">
        <f>材料产出!$AN$2</f>
        <v>极品注灵石</v>
      </c>
      <c r="D5922" s="224">
        <f>参数调整!$K$36*怪物掉落配置方案!$D4896</f>
        <v>1.5877256511359669E-3</v>
      </c>
    </row>
    <row r="5923" spans="1:4" ht="16.5" hidden="1" x14ac:dyDescent="0.3">
      <c r="A5923" s="10" t="str">
        <f>基本属性!$B$11&amp;"|"&amp;基本属性!$C$11</f>
        <v>80|1</v>
      </c>
      <c r="B5923" s="10" t="str">
        <f>参数调整!$J$36</f>
        <v>新增怪物种类1掉落</v>
      </c>
      <c r="C5923" s="8" t="str">
        <f>材料产出!$AN$2</f>
        <v>极品注灵石</v>
      </c>
      <c r="D5923" s="224">
        <f>参数调整!$K$36*怪物掉落配置方案!$D4897</f>
        <v>1.8226442423754728E-3</v>
      </c>
    </row>
    <row r="5924" spans="1:4" ht="16.5" hidden="1" x14ac:dyDescent="0.3">
      <c r="A5924" s="10" t="str">
        <f>基本属性!$B$12&amp;"|"&amp;基本属性!$C$12</f>
        <v>90|2</v>
      </c>
      <c r="B5924" s="10" t="str">
        <f>参数调整!$J$36</f>
        <v>新增怪物种类1掉落</v>
      </c>
      <c r="C5924" s="8" t="str">
        <f>材料产出!$AN$2</f>
        <v>极品注灵石</v>
      </c>
      <c r="D5924" s="224">
        <f>参数调整!$K$36*怪物掉落配置方案!$D4898</f>
        <v>2.0737641157694271E-3</v>
      </c>
    </row>
    <row r="5925" spans="1:4" ht="16.5" hidden="1" x14ac:dyDescent="0.3">
      <c r="A5925" s="10" t="str">
        <f>基本属性!$B$13&amp;"|"&amp;基本属性!$C$13</f>
        <v>100|3</v>
      </c>
      <c r="B5925" s="10" t="str">
        <f>参数调整!$J$36</f>
        <v>新增怪物种类1掉落</v>
      </c>
      <c r="C5925" s="8" t="str">
        <f>材料产出!$AN$2</f>
        <v>极品注灵石</v>
      </c>
      <c r="D5925" s="224">
        <f>参数调整!$K$36*怪物掉落配置方案!$D4899</f>
        <v>2.6246077090206809E-3</v>
      </c>
    </row>
    <row r="5926" spans="1:4" ht="16.5" hidden="1" x14ac:dyDescent="0.3">
      <c r="A5926" s="10" t="str">
        <f>基本属性!$B$14&amp;"|"&amp;基本属性!$C$14</f>
        <v>105|4</v>
      </c>
      <c r="B5926" s="10" t="str">
        <f>参数调整!$J$36</f>
        <v>新增怪物种类1掉落</v>
      </c>
      <c r="C5926" s="8" t="str">
        <f>材料产出!$AN$2</f>
        <v>极品注灵石</v>
      </c>
      <c r="D5926" s="224">
        <f>参数调整!$K$36*怪物掉落配置方案!$D4900</f>
        <v>3.2402564308897292E-3</v>
      </c>
    </row>
    <row r="5927" spans="1:4" ht="16.5" hidden="1" x14ac:dyDescent="0.3">
      <c r="A5927" s="10" t="str">
        <f>基本属性!$B$15&amp;"|"&amp;基本属性!$C$15</f>
        <v>110|5</v>
      </c>
      <c r="B5927" s="10" t="str">
        <f>参数调整!$J$36</f>
        <v>新增怪物种类1掉落</v>
      </c>
      <c r="C5927" s="8" t="str">
        <f>材料产出!$AN$2</f>
        <v>极品注灵石</v>
      </c>
      <c r="D5927" s="224">
        <f>参数调整!$K$36*怪物掉落配置方案!$D4901</f>
        <v>3.9207102813765731E-3</v>
      </c>
    </row>
    <row r="5928" spans="1:4" ht="16.5" hidden="1" x14ac:dyDescent="0.3">
      <c r="A5928" s="10" t="str">
        <f>基本属性!$B$16&amp;"|"&amp;基本属性!$C$16</f>
        <v>120|6</v>
      </c>
      <c r="B5928" s="10" t="str">
        <f>参数调整!$J$36</f>
        <v>新增怪物种类1掉落</v>
      </c>
      <c r="C5928" s="8" t="str">
        <f>材料产出!$AN$2</f>
        <v>极品注灵石</v>
      </c>
      <c r="D5928" s="224">
        <f>参数调整!$K$36*怪物掉落配置方案!$D4902</f>
        <v>5.0629006732652018E-3</v>
      </c>
    </row>
    <row r="5929" spans="1:4" ht="16.5" hidden="1" x14ac:dyDescent="0.3">
      <c r="A5929" s="10" t="str">
        <f>基本属性!$B$17&amp;"|"&amp;基本属性!$C$17</f>
        <v>135|7</v>
      </c>
      <c r="B5929" s="10" t="str">
        <f>参数调整!$J$36</f>
        <v>新增怪物种类1掉落</v>
      </c>
      <c r="C5929" s="8" t="str">
        <f>材料产出!$AN$2</f>
        <v>极品注灵石</v>
      </c>
      <c r="D5929" s="224">
        <f>参数调整!$K$36*怪物掉落配置方案!$D4903</f>
        <v>7.2905769695018902E-3</v>
      </c>
    </row>
    <row r="5930" spans="1:4" ht="16.5" hidden="1" x14ac:dyDescent="0.3">
      <c r="A5930" s="10" t="str">
        <f>基本属性!$B$18&amp;"|"&amp;基本属性!$C$18</f>
        <v>155|8</v>
      </c>
      <c r="B5930" s="10" t="str">
        <f>参数调整!$J$36</f>
        <v>新增怪物种类1掉落</v>
      </c>
      <c r="C5930" s="8" t="str">
        <f>材料产出!$AN$2</f>
        <v>极品注灵石</v>
      </c>
      <c r="D5930" s="224">
        <f>参数调整!$K$36*怪物掉落配置方案!$D4904</f>
        <v>9.9232853195997967E-3</v>
      </c>
    </row>
    <row r="5931" spans="1:4" ht="16.5" hidden="1" x14ac:dyDescent="0.3">
      <c r="A5931" s="10" t="str">
        <f>基本属性!$B$19&amp;"|"&amp;基本属性!$C$19</f>
        <v>190|9</v>
      </c>
      <c r="B5931" s="10" t="str">
        <f>参数调整!$J$36</f>
        <v>新增怪物种类1掉落</v>
      </c>
      <c r="C5931" s="8" t="str">
        <f>材料产出!$AN$2</f>
        <v>极品注灵石</v>
      </c>
      <c r="D5931" s="224">
        <f>参数调整!$K$36*怪物掉落配置方案!$D4905</f>
        <v>1.10897776347201E-2</v>
      </c>
    </row>
    <row r="5932" spans="1:4" ht="16.5" hidden="1" x14ac:dyDescent="0.3">
      <c r="A5932" s="10" t="str">
        <f>基本属性!$B$20&amp;"|"&amp;基本属性!$C$20</f>
        <v>200|10</v>
      </c>
      <c r="B5932" s="10" t="str">
        <f>参数调整!$J$36</f>
        <v>新增怪物种类1掉落</v>
      </c>
      <c r="C5932" s="8" t="str">
        <f>材料产出!$AN$2</f>
        <v>极品注灵石</v>
      </c>
      <c r="D5932" s="224">
        <f>参数调整!$K$36*怪物掉落配置方案!$D4906</f>
        <v>1.2961025723558917E-2</v>
      </c>
    </row>
    <row r="5933" spans="1:4" ht="16.5" hidden="1" x14ac:dyDescent="0.3">
      <c r="A5933" s="10" t="str">
        <f>基本属性!$B$21&amp;"|"&amp;基本属性!$C$21</f>
        <v>200|11</v>
      </c>
      <c r="B5933" s="10" t="str">
        <f>参数调整!$J$36</f>
        <v>新增怪物种类1掉落</v>
      </c>
      <c r="C5933" s="8" t="str">
        <f>材料产出!$AN$2</f>
        <v>极品注灵石</v>
      </c>
      <c r="D5933" s="224">
        <f>参数调整!$K$36*怪物掉落配置方案!$D4907</f>
        <v>1.4978085351787769E-2</v>
      </c>
    </row>
    <row r="5934" spans="1:4" ht="16.5" hidden="1" x14ac:dyDescent="0.3">
      <c r="A5934" s="10" t="str">
        <f>基本属性!$B$22&amp;"|"&amp;基本属性!$C$22</f>
        <v>210|12</v>
      </c>
      <c r="B5934" s="10" t="str">
        <f>参数调整!$J$36</f>
        <v>新增怪物种类1掉落</v>
      </c>
      <c r="C5934" s="8" t="str">
        <f>材料产出!$AN$2</f>
        <v>极品注灵石</v>
      </c>
      <c r="D5934" s="224">
        <f>参数调整!$K$36*怪物掉落配置方案!$D4908</f>
        <v>1.7140956519406666E-2</v>
      </c>
    </row>
    <row r="5935" spans="1:4" ht="16.5" hidden="1" x14ac:dyDescent="0.3">
      <c r="A5935" s="10" t="str">
        <f>基本属性!$B$23&amp;"|"&amp;基本属性!$C$23</f>
        <v>210|13</v>
      </c>
      <c r="B5935" s="10" t="str">
        <f>参数调整!$J$36</f>
        <v>新增怪物种类1掉落</v>
      </c>
      <c r="C5935" s="8" t="str">
        <f>材料产出!$AN$2</f>
        <v>极品注灵石</v>
      </c>
      <c r="D5935" s="224">
        <f>参数调整!$K$36*怪物掉落配置方案!$D4909</f>
        <v>1.9449639226415599E-2</v>
      </c>
    </row>
    <row r="5936" spans="1:4" ht="16.5" hidden="1" x14ac:dyDescent="0.3">
      <c r="A5936" s="10" t="str">
        <f>基本属性!$B$24&amp;"|"&amp;基本属性!$C$24</f>
        <v>220|14</v>
      </c>
      <c r="B5936" s="10" t="str">
        <f>参数调整!$J$36</f>
        <v>新增怪物种类1掉落</v>
      </c>
      <c r="C5936" s="8" t="str">
        <f>材料产出!$AN$2</f>
        <v>极品注灵石</v>
      </c>
      <c r="D5936" s="224">
        <f>参数调整!$K$36*怪物掉落配置方案!$D4910</f>
        <v>2.1904133472814571E-2</v>
      </c>
    </row>
    <row r="5937" spans="1:4" ht="16.5" hidden="1" x14ac:dyDescent="0.3">
      <c r="A5937" s="10" t="str">
        <f>基本属性!$B$25&amp;"|"&amp;基本属性!$C$25</f>
        <v>220|15</v>
      </c>
      <c r="B5937" s="10" t="str">
        <f>参数调整!$J$36</f>
        <v>新增怪物种类1掉落</v>
      </c>
      <c r="C5937" s="8" t="str">
        <f>材料产出!$AN$2</f>
        <v>极品注灵石</v>
      </c>
      <c r="D5937" s="224">
        <f>参数调整!$K$36*怪物掉落配置方案!$D4911</f>
        <v>2.4504439258603572E-2</v>
      </c>
    </row>
    <row r="5938" spans="1:4" ht="16.5" hidden="1" x14ac:dyDescent="0.3">
      <c r="A5938" s="10" t="str">
        <f>基本属性!$B$26&amp;"|"&amp;基本属性!$C$26</f>
        <v>230|16</v>
      </c>
      <c r="B5938" s="10" t="str">
        <f>参数调整!$J$36</f>
        <v>新增怪物种类1掉落</v>
      </c>
      <c r="C5938" s="8" t="str">
        <f>材料产出!$AN$2</f>
        <v>极品注灵石</v>
      </c>
      <c r="D5938" s="224">
        <f>参数调整!$K$36*怪物掉落配置方案!$D4912</f>
        <v>2.7250556583782618E-2</v>
      </c>
    </row>
    <row r="5939" spans="1:4" ht="16.5" hidden="1" x14ac:dyDescent="0.3">
      <c r="A5939" s="10" t="str">
        <f>基本属性!$B$27&amp;"|"&amp;基本属性!$C$27</f>
        <v>230|17</v>
      </c>
      <c r="B5939" s="10" t="str">
        <f>参数调整!$J$36</f>
        <v>新增怪物种类1掉落</v>
      </c>
      <c r="C5939" s="8" t="str">
        <f>材料产出!$AN$2</f>
        <v>极品注灵石</v>
      </c>
      <c r="D5939" s="224">
        <f>参数调整!$K$36*怪物掉落配置方案!$D4913</f>
        <v>3.01424854483517E-2</v>
      </c>
    </row>
    <row r="5940" spans="1:4" ht="16.5" hidden="1" x14ac:dyDescent="0.3">
      <c r="A5940" s="10" t="str">
        <f>基本属性!$B$28&amp;"|"&amp;基本属性!$C$28</f>
        <v>240|18</v>
      </c>
      <c r="B5940" s="10" t="str">
        <f>参数调整!$J$36</f>
        <v>新增怪物种类1掉落</v>
      </c>
      <c r="C5940" s="8" t="str">
        <f>材料产出!$AN$2</f>
        <v>极品注灵石</v>
      </c>
      <c r="D5940" s="224">
        <f>参数调整!$K$36*怪物掉落配置方案!$D4914</f>
        <v>3.3180225852310834E-2</v>
      </c>
    </row>
    <row r="5941" spans="1:4" ht="16.5" hidden="1" x14ac:dyDescent="0.3">
      <c r="A5941" s="10" t="str">
        <f>基本属性!$B$29&amp;"|"&amp;基本属性!$C$29</f>
        <v>240|19</v>
      </c>
      <c r="B5941" s="10" t="str">
        <f>参数调整!$J$36</f>
        <v>新增怪物种类1掉落</v>
      </c>
      <c r="C5941" s="8" t="str">
        <f>材料产出!$AN$2</f>
        <v>极品注灵石</v>
      </c>
      <c r="D5941" s="224">
        <f>参数调整!$K$36*怪物掉落配置方案!$D4915</f>
        <v>3.6363777795659989E-2</v>
      </c>
    </row>
    <row r="5942" spans="1:4" ht="16.5" hidden="1" x14ac:dyDescent="0.3">
      <c r="A5942" s="10" t="str">
        <f>基本属性!$B$30&amp;"|"&amp;基本属性!$C$30</f>
        <v>250|20</v>
      </c>
      <c r="B5942" s="10" t="str">
        <f>参数调整!$J$36</f>
        <v>新增怪物种类1掉落</v>
      </c>
      <c r="C5942" s="8" t="str">
        <f>材料产出!$AN$2</f>
        <v>极品注灵石</v>
      </c>
      <c r="D5942" s="224">
        <f>参数调整!$K$36*怪物掉落配置方案!$D4916</f>
        <v>3.9693141278399173E-2</v>
      </c>
    </row>
    <row r="5943" spans="1:4" ht="16.5" hidden="1" x14ac:dyDescent="0.3">
      <c r="A5943" s="10" t="str">
        <f>基本属性!$B$4&amp;"|"&amp;基本属性!$C$4</f>
        <v>35|0</v>
      </c>
      <c r="B5943" s="10" t="str">
        <f>参数调整!$J$36</f>
        <v>新增怪物种类1掉落</v>
      </c>
      <c r="C5943" s="8" t="str">
        <f>材料产出!$HV$2</f>
        <v>基本装备</v>
      </c>
      <c r="D5943" s="224">
        <f>参数调整!$K$36*怪物掉落配置方案!$D4917</f>
        <v>0</v>
      </c>
    </row>
    <row r="5944" spans="1:4" ht="16.5" hidden="1" x14ac:dyDescent="0.3">
      <c r="A5944" s="10" t="str">
        <f>基本属性!$B$5&amp;"|"&amp;基本属性!$C$5</f>
        <v>40|0</v>
      </c>
      <c r="B5944" s="10" t="str">
        <f>参数调整!$J$36</f>
        <v>新增怪物种类1掉落</v>
      </c>
      <c r="C5944" s="8" t="str">
        <f>材料产出!$HV$2</f>
        <v>基本装备</v>
      </c>
      <c r="D5944" s="224">
        <f>参数调整!$K$36*怪物掉落配置方案!$D4918</f>
        <v>0</v>
      </c>
    </row>
    <row r="5945" spans="1:4" ht="16.5" hidden="1" x14ac:dyDescent="0.3">
      <c r="A5945" s="10" t="str">
        <f>基本属性!$B$6&amp;"|"&amp;基本属性!$C$6</f>
        <v>50|0</v>
      </c>
      <c r="B5945" s="10" t="str">
        <f>参数调整!$J$36</f>
        <v>新增怪物种类1掉落</v>
      </c>
      <c r="C5945" s="8" t="str">
        <f>材料产出!$HV$2</f>
        <v>基本装备</v>
      </c>
      <c r="D5945" s="224">
        <f>参数调整!$K$36*怪物掉落配置方案!$D4919</f>
        <v>0</v>
      </c>
    </row>
    <row r="5946" spans="1:4" ht="16.5" hidden="1" x14ac:dyDescent="0.3">
      <c r="A5946" s="10" t="str">
        <f>基本属性!$B$7&amp;"|"&amp;基本属性!$C$7</f>
        <v>60|0</v>
      </c>
      <c r="B5946" s="10" t="str">
        <f>参数调整!$J$36</f>
        <v>新增怪物种类1掉落</v>
      </c>
      <c r="C5946" s="8" t="str">
        <f>材料产出!$HV$2</f>
        <v>基本装备</v>
      </c>
      <c r="D5946" s="224">
        <f>参数调整!$K$36*怪物掉落配置方案!$D4920</f>
        <v>0</v>
      </c>
    </row>
    <row r="5947" spans="1:4" ht="16.5" hidden="1" x14ac:dyDescent="0.3">
      <c r="A5947" s="10" t="str">
        <f>基本属性!$B$8&amp;"|"&amp;基本属性!$C$8</f>
        <v>65|0</v>
      </c>
      <c r="B5947" s="10" t="str">
        <f>参数调整!$J$36</f>
        <v>新增怪物种类1掉落</v>
      </c>
      <c r="C5947" s="8" t="str">
        <f>材料产出!$HV$2</f>
        <v>基本装备</v>
      </c>
      <c r="D5947" s="224">
        <f>参数调整!$K$36*怪物掉落配置方案!$D4921</f>
        <v>0</v>
      </c>
    </row>
    <row r="5948" spans="1:4" ht="16.5" hidden="1" x14ac:dyDescent="0.3">
      <c r="A5948" s="10" t="str">
        <f>基本属性!$B$9&amp;"|"&amp;基本属性!$C$9</f>
        <v>70|0</v>
      </c>
      <c r="B5948" s="10" t="str">
        <f>参数调整!$J$36</f>
        <v>新增怪物种类1掉落</v>
      </c>
      <c r="C5948" s="8" t="str">
        <f>材料产出!$HV$2</f>
        <v>基本装备</v>
      </c>
      <c r="D5948" s="224">
        <f>参数调整!$K$36*怪物掉落配置方案!$D4922</f>
        <v>0</v>
      </c>
    </row>
    <row r="5949" spans="1:4" ht="16.5" hidden="1" x14ac:dyDescent="0.3">
      <c r="A5949" s="10" t="str">
        <f>基本属性!$B$10&amp;"|"&amp;基本属性!$C$10</f>
        <v>75|0</v>
      </c>
      <c r="B5949" s="10" t="str">
        <f>参数调整!$J$36</f>
        <v>新增怪物种类1掉落</v>
      </c>
      <c r="C5949" s="8" t="str">
        <f>材料产出!$HV$2</f>
        <v>基本装备</v>
      </c>
      <c r="D5949" s="224">
        <f>参数调整!$K$36*怪物掉落配置方案!$D4923</f>
        <v>0</v>
      </c>
    </row>
    <row r="5950" spans="1:4" ht="16.5" hidden="1" x14ac:dyDescent="0.3">
      <c r="A5950" s="10" t="str">
        <f>基本属性!$B$11&amp;"|"&amp;基本属性!$C$11</f>
        <v>80|1</v>
      </c>
      <c r="B5950" s="10" t="str">
        <f>参数调整!$J$36</f>
        <v>新增怪物种类1掉落</v>
      </c>
      <c r="C5950" s="8" t="str">
        <f>材料产出!$HV$2</f>
        <v>基本装备</v>
      </c>
      <c r="D5950" s="224">
        <f>参数调整!$K$36*怪物掉落配置方案!$D4924</f>
        <v>0</v>
      </c>
    </row>
    <row r="5951" spans="1:4" ht="16.5" hidden="1" x14ac:dyDescent="0.3">
      <c r="A5951" s="10" t="str">
        <f>基本属性!$B$12&amp;"|"&amp;基本属性!$C$12</f>
        <v>90|2</v>
      </c>
      <c r="B5951" s="10" t="str">
        <f>参数调整!$J$36</f>
        <v>新增怪物种类1掉落</v>
      </c>
      <c r="C5951" s="8" t="str">
        <f>材料产出!$HV$2</f>
        <v>基本装备</v>
      </c>
      <c r="D5951" s="224">
        <f>参数调整!$K$36*怪物掉落配置方案!$D4925</f>
        <v>0</v>
      </c>
    </row>
    <row r="5952" spans="1:4" ht="16.5" hidden="1" x14ac:dyDescent="0.3">
      <c r="A5952" s="10" t="str">
        <f>基本属性!$B$13&amp;"|"&amp;基本属性!$C$13</f>
        <v>100|3</v>
      </c>
      <c r="B5952" s="10" t="str">
        <f>参数调整!$J$36</f>
        <v>新增怪物种类1掉落</v>
      </c>
      <c r="C5952" s="8" t="str">
        <f>材料产出!$HV$2</f>
        <v>基本装备</v>
      </c>
      <c r="D5952" s="224">
        <f>参数调整!$K$36*怪物掉落配置方案!$D4926</f>
        <v>0</v>
      </c>
    </row>
    <row r="5953" spans="1:4" ht="16.5" hidden="1" x14ac:dyDescent="0.3">
      <c r="A5953" s="10" t="str">
        <f>基本属性!$B$14&amp;"|"&amp;基本属性!$C$14</f>
        <v>105|4</v>
      </c>
      <c r="B5953" s="10" t="str">
        <f>参数调整!$J$36</f>
        <v>新增怪物种类1掉落</v>
      </c>
      <c r="C5953" s="8" t="str">
        <f>材料产出!$HV$2</f>
        <v>基本装备</v>
      </c>
      <c r="D5953" s="224">
        <f>参数调整!$K$36*怪物掉落配置方案!$D4927</f>
        <v>0</v>
      </c>
    </row>
    <row r="5954" spans="1:4" ht="16.5" hidden="1" x14ac:dyDescent="0.3">
      <c r="A5954" s="10" t="str">
        <f>基本属性!$B$15&amp;"|"&amp;基本属性!$C$15</f>
        <v>110|5</v>
      </c>
      <c r="B5954" s="10" t="str">
        <f>参数调整!$J$36</f>
        <v>新增怪物种类1掉落</v>
      </c>
      <c r="C5954" s="8" t="str">
        <f>材料产出!$HV$2</f>
        <v>基本装备</v>
      </c>
      <c r="D5954" s="224">
        <f>参数调整!$K$36*怪物掉落配置方案!$D4928</f>
        <v>0</v>
      </c>
    </row>
    <row r="5955" spans="1:4" ht="16.5" hidden="1" x14ac:dyDescent="0.3">
      <c r="A5955" s="10" t="str">
        <f>基本属性!$B$16&amp;"|"&amp;基本属性!$C$16</f>
        <v>120|6</v>
      </c>
      <c r="B5955" s="10" t="str">
        <f>参数调整!$J$36</f>
        <v>新增怪物种类1掉落</v>
      </c>
      <c r="C5955" s="8" t="str">
        <f>材料产出!$HV$2</f>
        <v>基本装备</v>
      </c>
      <c r="D5955" s="224">
        <f>参数调整!$K$36*怪物掉落配置方案!$D4929</f>
        <v>0</v>
      </c>
    </row>
    <row r="5956" spans="1:4" ht="16.5" hidden="1" x14ac:dyDescent="0.3">
      <c r="A5956" s="10" t="str">
        <f>基本属性!$B$17&amp;"|"&amp;基本属性!$C$17</f>
        <v>135|7</v>
      </c>
      <c r="B5956" s="10" t="str">
        <f>参数调整!$J$36</f>
        <v>新增怪物种类1掉落</v>
      </c>
      <c r="C5956" s="8" t="str">
        <f>材料产出!$HV$2</f>
        <v>基本装备</v>
      </c>
      <c r="D5956" s="224">
        <f>参数调整!$K$36*怪物掉落配置方案!$D4930</f>
        <v>0</v>
      </c>
    </row>
    <row r="5957" spans="1:4" ht="16.5" hidden="1" x14ac:dyDescent="0.3">
      <c r="A5957" s="10" t="str">
        <f>基本属性!$B$18&amp;"|"&amp;基本属性!$C$18</f>
        <v>155|8</v>
      </c>
      <c r="B5957" s="10" t="str">
        <f>参数调整!$J$36</f>
        <v>新增怪物种类1掉落</v>
      </c>
      <c r="C5957" s="8" t="str">
        <f>材料产出!$HV$2</f>
        <v>基本装备</v>
      </c>
      <c r="D5957" s="224">
        <f>参数调整!$K$36*怪物掉落配置方案!$D4931</f>
        <v>0</v>
      </c>
    </row>
    <row r="5958" spans="1:4" ht="16.5" hidden="1" x14ac:dyDescent="0.3">
      <c r="A5958" s="10" t="str">
        <f>基本属性!$B$19&amp;"|"&amp;基本属性!$C$19</f>
        <v>190|9</v>
      </c>
      <c r="B5958" s="10" t="str">
        <f>参数调整!$J$36</f>
        <v>新增怪物种类1掉落</v>
      </c>
      <c r="C5958" s="8" t="str">
        <f>材料产出!$HV$2</f>
        <v>基本装备</v>
      </c>
      <c r="D5958" s="224">
        <f>参数调整!$K$36*怪物掉落配置方案!$D4932</f>
        <v>0</v>
      </c>
    </row>
    <row r="5959" spans="1:4" ht="16.5" hidden="1" x14ac:dyDescent="0.3">
      <c r="A5959" s="10" t="str">
        <f>基本属性!$B$20&amp;"|"&amp;基本属性!$C$20</f>
        <v>200|10</v>
      </c>
      <c r="B5959" s="10" t="str">
        <f>参数调整!$J$36</f>
        <v>新增怪物种类1掉落</v>
      </c>
      <c r="C5959" s="8" t="str">
        <f>材料产出!$HV$2</f>
        <v>基本装备</v>
      </c>
      <c r="D5959" s="224">
        <f>参数调整!$K$36*怪物掉落配置方案!$D4933</f>
        <v>0</v>
      </c>
    </row>
    <row r="5960" spans="1:4" ht="16.5" hidden="1" x14ac:dyDescent="0.3">
      <c r="A5960" s="10" t="str">
        <f>基本属性!$B$21&amp;"|"&amp;基本属性!$C$21</f>
        <v>200|11</v>
      </c>
      <c r="B5960" s="10" t="str">
        <f>参数调整!$J$36</f>
        <v>新增怪物种类1掉落</v>
      </c>
      <c r="C5960" s="8" t="str">
        <f>材料产出!$HV$2</f>
        <v>基本装备</v>
      </c>
      <c r="D5960" s="224">
        <f>参数调整!$K$36*怪物掉落配置方案!$D4934</f>
        <v>0</v>
      </c>
    </row>
    <row r="5961" spans="1:4" ht="16.5" hidden="1" x14ac:dyDescent="0.3">
      <c r="A5961" s="10" t="str">
        <f>基本属性!$B$22&amp;"|"&amp;基本属性!$C$22</f>
        <v>210|12</v>
      </c>
      <c r="B5961" s="10" t="str">
        <f>参数调整!$J$36</f>
        <v>新增怪物种类1掉落</v>
      </c>
      <c r="C5961" s="8" t="str">
        <f>材料产出!$HV$2</f>
        <v>基本装备</v>
      </c>
      <c r="D5961" s="224">
        <f>参数调整!$K$36*怪物掉落配置方案!$D4935</f>
        <v>0</v>
      </c>
    </row>
    <row r="5962" spans="1:4" ht="16.5" hidden="1" x14ac:dyDescent="0.3">
      <c r="A5962" s="10" t="str">
        <f>基本属性!$B$23&amp;"|"&amp;基本属性!$C$23</f>
        <v>210|13</v>
      </c>
      <c r="B5962" s="10" t="str">
        <f>参数调整!$J$36</f>
        <v>新增怪物种类1掉落</v>
      </c>
      <c r="C5962" s="8" t="str">
        <f>材料产出!$HV$2</f>
        <v>基本装备</v>
      </c>
      <c r="D5962" s="224">
        <f>参数调整!$K$36*怪物掉落配置方案!$D4936</f>
        <v>0</v>
      </c>
    </row>
    <row r="5963" spans="1:4" ht="16.5" hidden="1" x14ac:dyDescent="0.3">
      <c r="A5963" s="10" t="str">
        <f>基本属性!$B$24&amp;"|"&amp;基本属性!$C$24</f>
        <v>220|14</v>
      </c>
      <c r="B5963" s="10" t="str">
        <f>参数调整!$J$36</f>
        <v>新增怪物种类1掉落</v>
      </c>
      <c r="C5963" s="8" t="str">
        <f>材料产出!$HV$2</f>
        <v>基本装备</v>
      </c>
      <c r="D5963" s="224">
        <f>参数调整!$K$36*怪物掉落配置方案!$D4937</f>
        <v>0</v>
      </c>
    </row>
    <row r="5964" spans="1:4" ht="16.5" hidden="1" x14ac:dyDescent="0.3">
      <c r="A5964" s="10" t="str">
        <f>基本属性!$B$25&amp;"|"&amp;基本属性!$C$25</f>
        <v>220|15</v>
      </c>
      <c r="B5964" s="10" t="str">
        <f>参数调整!$J$36</f>
        <v>新增怪物种类1掉落</v>
      </c>
      <c r="C5964" s="8" t="str">
        <f>材料产出!$HV$2</f>
        <v>基本装备</v>
      </c>
      <c r="D5964" s="224">
        <f>参数调整!$K$36*怪物掉落配置方案!$D4938</f>
        <v>0</v>
      </c>
    </row>
    <row r="5965" spans="1:4" ht="16.5" hidden="1" x14ac:dyDescent="0.3">
      <c r="A5965" s="10" t="str">
        <f>基本属性!$B$26&amp;"|"&amp;基本属性!$C$26</f>
        <v>230|16</v>
      </c>
      <c r="B5965" s="10" t="str">
        <f>参数调整!$J$36</f>
        <v>新增怪物种类1掉落</v>
      </c>
      <c r="C5965" s="8" t="str">
        <f>材料产出!$HV$2</f>
        <v>基本装备</v>
      </c>
      <c r="D5965" s="224">
        <f>参数调整!$K$36*怪物掉落配置方案!$D4939</f>
        <v>0</v>
      </c>
    </row>
    <row r="5966" spans="1:4" ht="16.5" hidden="1" x14ac:dyDescent="0.3">
      <c r="A5966" s="10" t="str">
        <f>基本属性!$B$27&amp;"|"&amp;基本属性!$C$27</f>
        <v>230|17</v>
      </c>
      <c r="B5966" s="10" t="str">
        <f>参数调整!$J$36</f>
        <v>新增怪物种类1掉落</v>
      </c>
      <c r="C5966" s="8" t="str">
        <f>材料产出!$HV$2</f>
        <v>基本装备</v>
      </c>
      <c r="D5966" s="224">
        <f>参数调整!$K$36*怪物掉落配置方案!$D4940</f>
        <v>0</v>
      </c>
    </row>
    <row r="5967" spans="1:4" ht="16.5" hidden="1" x14ac:dyDescent="0.3">
      <c r="A5967" s="10" t="str">
        <f>基本属性!$B$28&amp;"|"&amp;基本属性!$C$28</f>
        <v>240|18</v>
      </c>
      <c r="B5967" s="10" t="str">
        <f>参数调整!$J$36</f>
        <v>新增怪物种类1掉落</v>
      </c>
      <c r="C5967" s="8" t="str">
        <f>材料产出!$HV$2</f>
        <v>基本装备</v>
      </c>
      <c r="D5967" s="224">
        <f>参数调整!$K$36*怪物掉落配置方案!$D4941</f>
        <v>0</v>
      </c>
    </row>
    <row r="5968" spans="1:4" ht="16.5" hidden="1" x14ac:dyDescent="0.3">
      <c r="A5968" s="10" t="str">
        <f>基本属性!$B$29&amp;"|"&amp;基本属性!$C$29</f>
        <v>240|19</v>
      </c>
      <c r="B5968" s="10" t="str">
        <f>参数调整!$J$36</f>
        <v>新增怪物种类1掉落</v>
      </c>
      <c r="C5968" s="8" t="str">
        <f>材料产出!$HV$2</f>
        <v>基本装备</v>
      </c>
      <c r="D5968" s="224">
        <f>参数调整!$K$36*怪物掉落配置方案!$D4942</f>
        <v>0</v>
      </c>
    </row>
    <row r="5969" spans="1:4" ht="16.5" hidden="1" x14ac:dyDescent="0.3">
      <c r="A5969" s="10" t="str">
        <f>基本属性!$B$30&amp;"|"&amp;基本属性!$C$30</f>
        <v>250|20</v>
      </c>
      <c r="B5969" s="10" t="str">
        <f>参数调整!$J$36</f>
        <v>新增怪物种类1掉落</v>
      </c>
      <c r="C5969" s="8" t="str">
        <f>材料产出!$HV$2</f>
        <v>基本装备</v>
      </c>
      <c r="D5969" s="224">
        <f>参数调整!$K$36*怪物掉落配置方案!$D4943</f>
        <v>0</v>
      </c>
    </row>
    <row r="5970" spans="1:4" ht="16.5" hidden="1" x14ac:dyDescent="0.3">
      <c r="A5970" s="10" t="str">
        <f>基本属性!$B$4&amp;"|"&amp;基本属性!$C$4</f>
        <v>35|0</v>
      </c>
      <c r="B5970" s="10" t="str">
        <f>参数调整!$J$36</f>
        <v>新增怪物种类1掉落</v>
      </c>
      <c r="C5970" s="8" t="str">
        <f>材料产出!$AP$2</f>
        <v>火龙气息</v>
      </c>
      <c r="D5970" s="224">
        <f>参数调整!$K$36*怪物掉落配置方案!$D4944</f>
        <v>2.4596837411295849E-4</v>
      </c>
    </row>
    <row r="5971" spans="1:4" ht="16.5" hidden="1" x14ac:dyDescent="0.3">
      <c r="A5971" s="10" t="str">
        <f>基本属性!$B$5&amp;"|"&amp;基本属性!$C$5</f>
        <v>40|0</v>
      </c>
      <c r="B5971" s="10" t="str">
        <f>参数调整!$J$36</f>
        <v>新增怪物种类1掉落</v>
      </c>
      <c r="C5971" s="8" t="str">
        <f>材料产出!$AP$2</f>
        <v>火龙气息</v>
      </c>
      <c r="D5971" s="224">
        <f>参数调整!$K$36*怪物掉落配置方案!$D4945</f>
        <v>3.1130372348671311E-4</v>
      </c>
    </row>
    <row r="5972" spans="1:4" ht="16.5" hidden="1" x14ac:dyDescent="0.3">
      <c r="A5972" s="10" t="str">
        <f>基本属性!$B$6&amp;"|"&amp;基本属性!$C$6</f>
        <v>50|0</v>
      </c>
      <c r="B5972" s="10" t="str">
        <f>参数调整!$J$36</f>
        <v>新增怪物种类1掉落</v>
      </c>
      <c r="C5972" s="8" t="str">
        <f>材料产出!$AP$2</f>
        <v>火龙气息</v>
      </c>
      <c r="D5972" s="224">
        <f>参数调整!$K$36*怪物掉落配置方案!$D4946</f>
        <v>3.8432558455149768E-4</v>
      </c>
    </row>
    <row r="5973" spans="1:4" ht="16.5" hidden="1" x14ac:dyDescent="0.3">
      <c r="A5973" s="10" t="str">
        <f>基本属性!$B$7&amp;"|"&amp;基本属性!$C$7</f>
        <v>60|0</v>
      </c>
      <c r="B5973" s="10" t="str">
        <f>参数调整!$J$36</f>
        <v>新增怪物种类1掉落</v>
      </c>
      <c r="C5973" s="8" t="str">
        <f>材料产出!$AP$2</f>
        <v>火龙气息</v>
      </c>
      <c r="D5973" s="224">
        <f>参数调整!$K$36*怪物掉落配置方案!$D4947</f>
        <v>4.6503395730731226E-4</v>
      </c>
    </row>
    <row r="5974" spans="1:4" ht="16.5" hidden="1" x14ac:dyDescent="0.3">
      <c r="A5974" s="10" t="str">
        <f>基本属性!$B$8&amp;"|"&amp;基本属性!$C$8</f>
        <v>65|0</v>
      </c>
      <c r="B5974" s="10" t="str">
        <f>参数调整!$J$36</f>
        <v>新增怪物种类1掉落</v>
      </c>
      <c r="C5974" s="8" t="str">
        <f>材料产出!$AP$2</f>
        <v>火龙气息</v>
      </c>
      <c r="D5974" s="224">
        <f>参数调整!$K$36*怪物掉落配置方案!$D4948</f>
        <v>5.5342884175415663E-4</v>
      </c>
    </row>
    <row r="5975" spans="1:4" ht="16.5" hidden="1" x14ac:dyDescent="0.3">
      <c r="A5975" s="10" t="str">
        <f>基本属性!$B$9&amp;"|"&amp;基本属性!$C$9</f>
        <v>70|0</v>
      </c>
      <c r="B5975" s="10" t="str">
        <f>参数调整!$J$36</f>
        <v>新增怪物种类1掉落</v>
      </c>
      <c r="C5975" s="8" t="str">
        <f>材料产出!$AP$2</f>
        <v>火龙气息</v>
      </c>
      <c r="D5975" s="224">
        <f>参数调整!$K$36*怪物掉落配置方案!$D4949</f>
        <v>6.4951023789203101E-4</v>
      </c>
    </row>
    <row r="5976" spans="1:4" ht="16.5" hidden="1" x14ac:dyDescent="0.3">
      <c r="A5976" s="10" t="str">
        <f>基本属性!$B$10&amp;"|"&amp;基本属性!$C$10</f>
        <v>75|0</v>
      </c>
      <c r="B5976" s="10" t="str">
        <f>参数调整!$J$36</f>
        <v>新增怪物种类1掉落</v>
      </c>
      <c r="C5976" s="8" t="str">
        <f>材料产出!$AP$2</f>
        <v>火龙气息</v>
      </c>
      <c r="D5976" s="224">
        <f>参数调整!$K$36*怪物掉落配置方案!$D4950</f>
        <v>7.5327814572093523E-4</v>
      </c>
    </row>
    <row r="5977" spans="1:4" ht="16.5" hidden="1" x14ac:dyDescent="0.3">
      <c r="A5977" s="10" t="str">
        <f>基本属性!$B$11&amp;"|"&amp;基本属性!$C$11</f>
        <v>80|1</v>
      </c>
      <c r="B5977" s="10" t="str">
        <f>参数调整!$J$36</f>
        <v>新增怪物种类1掉落</v>
      </c>
      <c r="C5977" s="8" t="str">
        <f>材料产出!$AP$2</f>
        <v>火龙气息</v>
      </c>
      <c r="D5977" s="224">
        <f>参数调整!$K$36*怪物掉落配置方案!$D4951</f>
        <v>8.6473256524086974E-4</v>
      </c>
    </row>
    <row r="5978" spans="1:4" ht="16.5" hidden="1" x14ac:dyDescent="0.3">
      <c r="A5978" s="10" t="str">
        <f>基本属性!$B$12&amp;"|"&amp;基本属性!$C$12</f>
        <v>90|2</v>
      </c>
      <c r="B5978" s="10" t="str">
        <f>参数调整!$J$36</f>
        <v>新增怪物种类1掉落</v>
      </c>
      <c r="C5978" s="8" t="str">
        <f>材料产出!$AP$2</f>
        <v>火龙气息</v>
      </c>
      <c r="D5978" s="224">
        <f>参数调整!$K$36*怪物掉落配置方案!$D4952</f>
        <v>9.8387349645183398E-4</v>
      </c>
    </row>
    <row r="5979" spans="1:4" ht="16.5" hidden="1" x14ac:dyDescent="0.3">
      <c r="A5979" s="10" t="str">
        <f>基本属性!$B$13&amp;"|"&amp;基本属性!$C$13</f>
        <v>100|3</v>
      </c>
      <c r="B5979" s="10" t="str">
        <f>参数调整!$J$36</f>
        <v>新增怪物种类1掉落</v>
      </c>
      <c r="C5979" s="8" t="str">
        <f>材料产出!$AP$2</f>
        <v>火龙气息</v>
      </c>
      <c r="D5979" s="224">
        <f>参数调整!$K$36*怪物掉落配置方案!$D4953</f>
        <v>1.2452148939468524E-3</v>
      </c>
    </row>
    <row r="5980" spans="1:4" ht="16.5" hidden="1" x14ac:dyDescent="0.3">
      <c r="A5980" s="10" t="str">
        <f>基本属性!$B$14&amp;"|"&amp;基本属性!$C$14</f>
        <v>105|4</v>
      </c>
      <c r="B5980" s="10" t="str">
        <f>参数调整!$J$36</f>
        <v>新增怪物种类1掉落</v>
      </c>
      <c r="C5980" s="8" t="str">
        <f>材料产出!$AP$2</f>
        <v>火龙气息</v>
      </c>
      <c r="D5980" s="224">
        <f>参数调整!$K$36*怪物掉落配置方案!$D4954</f>
        <v>1.5373023382059907E-3</v>
      </c>
    </row>
    <row r="5981" spans="1:4" ht="16.5" hidden="1" x14ac:dyDescent="0.3">
      <c r="A5981" s="10" t="str">
        <f>基本属性!$B$15&amp;"|"&amp;基本属性!$C$15</f>
        <v>110|5</v>
      </c>
      <c r="B5981" s="10" t="str">
        <f>参数调整!$J$36</f>
        <v>新增怪物种类1掉落</v>
      </c>
      <c r="C5981" s="8" t="str">
        <f>材料产出!$AP$2</f>
        <v>火龙气息</v>
      </c>
      <c r="D5981" s="224">
        <f>参数调整!$K$36*怪物掉落配置方案!$D4955</f>
        <v>1.860135829229249E-3</v>
      </c>
    </row>
    <row r="5982" spans="1:4" ht="16.5" hidden="1" x14ac:dyDescent="0.3">
      <c r="A5982" s="10" t="str">
        <f>基本属性!$B$16&amp;"|"&amp;基本属性!$C$16</f>
        <v>120|6</v>
      </c>
      <c r="B5982" s="10" t="str">
        <f>参数调整!$J$36</f>
        <v>新增怪物种类1掉落</v>
      </c>
      <c r="C5982" s="8" t="str">
        <f>材料产出!$AP$2</f>
        <v>火龙气息</v>
      </c>
      <c r="D5982" s="224">
        <f>参数调整!$K$36*怪物掉落配置方案!$D4956</f>
        <v>2.4020349034468602E-3</v>
      </c>
    </row>
    <row r="5983" spans="1:4" ht="16.5" hidden="1" x14ac:dyDescent="0.3">
      <c r="A5983" s="10" t="str">
        <f>基本属性!$B$17&amp;"|"&amp;基本属性!$C$17</f>
        <v>135|7</v>
      </c>
      <c r="B5983" s="10" t="str">
        <f>参数调整!$J$36</f>
        <v>新增怪物种类1掉落</v>
      </c>
      <c r="C5983" s="8" t="str">
        <f>材料产出!$AP$2</f>
        <v>火龙气息</v>
      </c>
      <c r="D5983" s="224">
        <f>参数调整!$K$36*怪物掉落配置方案!$D4957</f>
        <v>3.4589302609634789E-3</v>
      </c>
    </row>
    <row r="5984" spans="1:4" ht="16.5" hidden="1" x14ac:dyDescent="0.3">
      <c r="A5984" s="10" t="str">
        <f>基本属性!$B$18&amp;"|"&amp;基本属性!$C$18</f>
        <v>155|8</v>
      </c>
      <c r="B5984" s="10" t="str">
        <f>参数调整!$J$36</f>
        <v>新增怪物种类1掉落</v>
      </c>
      <c r="C5984" s="8" t="str">
        <f>材料产出!$AP$2</f>
        <v>火龙气息</v>
      </c>
      <c r="D5984" s="224">
        <f>参数调整!$K$36*怪物掉落配置方案!$D4958</f>
        <v>4.7079884107558466E-3</v>
      </c>
    </row>
    <row r="5985" spans="1:4" ht="16.5" hidden="1" x14ac:dyDescent="0.3">
      <c r="A5985" s="10" t="str">
        <f>基本属性!$B$19&amp;"|"&amp;基本属性!$C$19</f>
        <v>190|9</v>
      </c>
      <c r="B5985" s="10" t="str">
        <f>参数调整!$J$36</f>
        <v>新增怪物种类1掉落</v>
      </c>
      <c r="C5985" s="8" t="str">
        <f>材料产出!$AP$2</f>
        <v>火龙气息</v>
      </c>
      <c r="D5985" s="224">
        <f>参数调整!$K$36*怪物掉落配置方案!$D4959</f>
        <v>5.2614172525100034E-3</v>
      </c>
    </row>
    <row r="5986" spans="1:4" ht="16.5" hidden="1" x14ac:dyDescent="0.3">
      <c r="A5986" s="10" t="str">
        <f>基本属性!$B$20&amp;"|"&amp;基本属性!$C$20</f>
        <v>200|10</v>
      </c>
      <c r="B5986" s="10" t="str">
        <f>参数调整!$J$36</f>
        <v>新增怪物种类1掉落</v>
      </c>
      <c r="C5986" s="8" t="str">
        <f>材料产出!$AP$2</f>
        <v>火龙气息</v>
      </c>
      <c r="D5986" s="224">
        <f>参数调整!$K$36*怪物掉落配置方案!$D4960</f>
        <v>6.1492093528239629E-3</v>
      </c>
    </row>
    <row r="5987" spans="1:4" ht="16.5" hidden="1" x14ac:dyDescent="0.3">
      <c r="A5987" s="10" t="str">
        <f>基本属性!$B$21&amp;"|"&amp;基本属性!$C$21</f>
        <v>200|11</v>
      </c>
      <c r="B5987" s="10" t="str">
        <f>参数调整!$J$36</f>
        <v>新增怪物种类1掉落</v>
      </c>
      <c r="C5987" s="8" t="str">
        <f>材料产出!$AP$2</f>
        <v>火龙气息</v>
      </c>
      <c r="D5987" s="224">
        <f>参数调整!$K$36*怪物掉落配置方案!$D4961</f>
        <v>7.1061800583571907E-3</v>
      </c>
    </row>
    <row r="5988" spans="1:4" ht="16.5" hidden="1" x14ac:dyDescent="0.3">
      <c r="A5988" s="10" t="str">
        <f>基本属性!$B$22&amp;"|"&amp;基本属性!$C$22</f>
        <v>210|12</v>
      </c>
      <c r="B5988" s="10" t="str">
        <f>参数调整!$J$36</f>
        <v>新增怪物种类1掉落</v>
      </c>
      <c r="C5988" s="8" t="str">
        <f>材料产出!$AP$2</f>
        <v>火龙气息</v>
      </c>
      <c r="D5988" s="224">
        <f>参数调整!$K$36*怪物掉落配置方案!$D4962</f>
        <v>8.1323293691096879E-3</v>
      </c>
    </row>
    <row r="5989" spans="1:4" ht="16.5" hidden="1" x14ac:dyDescent="0.3">
      <c r="A5989" s="10" t="str">
        <f>基本属性!$B$23&amp;"|"&amp;基本属性!$C$23</f>
        <v>210|13</v>
      </c>
      <c r="B5989" s="10" t="str">
        <f>参数调整!$J$36</f>
        <v>新增怪物种类1掉落</v>
      </c>
      <c r="C5989" s="8" t="str">
        <f>材料产出!$AP$2</f>
        <v>火龙气息</v>
      </c>
      <c r="D5989" s="224">
        <f>参数调整!$K$36*怪物掉落配置方案!$D4963</f>
        <v>9.2276572850814604E-3</v>
      </c>
    </row>
    <row r="5990" spans="1:4" ht="16.5" hidden="1" x14ac:dyDescent="0.3">
      <c r="A5990" s="10" t="str">
        <f>基本属性!$B$24&amp;"|"&amp;基本属性!$C$24</f>
        <v>220|14</v>
      </c>
      <c r="B5990" s="10" t="str">
        <f>参数调整!$J$36</f>
        <v>新增怪物种类1掉落</v>
      </c>
      <c r="C5990" s="8" t="str">
        <f>材料产出!$AP$2</f>
        <v>火龙气息</v>
      </c>
      <c r="D5990" s="224">
        <f>参数调整!$K$36*怪物掉落配置方案!$D4964</f>
        <v>1.0392163806272496E-2</v>
      </c>
    </row>
    <row r="5991" spans="1:4" ht="16.5" hidden="1" x14ac:dyDescent="0.3">
      <c r="A5991" s="10" t="str">
        <f>基本属性!$B$25&amp;"|"&amp;基本属性!$C$25</f>
        <v>220|15</v>
      </c>
      <c r="B5991" s="10" t="str">
        <f>参数调整!$J$36</f>
        <v>新增怪物种类1掉落</v>
      </c>
      <c r="C5991" s="8" t="str">
        <f>材料产出!$AP$2</f>
        <v>火龙气息</v>
      </c>
      <c r="D5991" s="224">
        <f>参数调整!$K$36*怪物掉落配置方案!$D4965</f>
        <v>1.1625848932682804E-2</v>
      </c>
    </row>
    <row r="5992" spans="1:4" ht="16.5" hidden="1" x14ac:dyDescent="0.3">
      <c r="A5992" s="10" t="str">
        <f>基本属性!$B$26&amp;"|"&amp;基本属性!$C$26</f>
        <v>230|16</v>
      </c>
      <c r="B5992" s="10" t="str">
        <f>参数调整!$J$36</f>
        <v>新增怪物种类1掉落</v>
      </c>
      <c r="C5992" s="8" t="str">
        <f>材料产出!$AP$2</f>
        <v>火龙气息</v>
      </c>
      <c r="D5992" s="224">
        <f>参数调整!$K$36*怪物掉落配置方案!$D4966</f>
        <v>1.292871266431238E-2</v>
      </c>
    </row>
    <row r="5993" spans="1:4" ht="16.5" hidden="1" x14ac:dyDescent="0.3">
      <c r="A5993" s="10" t="str">
        <f>基本属性!$B$27&amp;"|"&amp;基本属性!$C$27</f>
        <v>230|17</v>
      </c>
      <c r="B5993" s="10" t="str">
        <f>参数调整!$J$36</f>
        <v>新增怪物种类1掉落</v>
      </c>
      <c r="C5993" s="8" t="str">
        <f>材料产出!$AP$2</f>
        <v>火龙气息</v>
      </c>
      <c r="D5993" s="224">
        <f>参数调整!$K$36*怪物掉落配置方案!$D4967</f>
        <v>1.4300755001161226E-2</v>
      </c>
    </row>
    <row r="5994" spans="1:4" ht="16.5" hidden="1" x14ac:dyDescent="0.3">
      <c r="A5994" s="10" t="str">
        <f>基本属性!$B$28&amp;"|"&amp;基本属性!$C$28</f>
        <v>240|18</v>
      </c>
      <c r="B5994" s="10" t="str">
        <f>参数调整!$J$36</f>
        <v>新增怪物种类1掉落</v>
      </c>
      <c r="C5994" s="8" t="str">
        <f>材料产出!$AP$2</f>
        <v>火龙气息</v>
      </c>
      <c r="D5994" s="224">
        <f>参数调整!$K$36*怪物掉落配置方案!$D4968</f>
        <v>1.5741975943229344E-2</v>
      </c>
    </row>
    <row r="5995" spans="1:4" ht="16.5" hidden="1" x14ac:dyDescent="0.3">
      <c r="A5995" s="10" t="str">
        <f>基本属性!$B$29&amp;"|"&amp;基本属性!$C$29</f>
        <v>240|19</v>
      </c>
      <c r="B5995" s="10" t="str">
        <f>参数调整!$J$36</f>
        <v>新增怪物种类1掉落</v>
      </c>
      <c r="C5995" s="8" t="str">
        <f>材料产出!$AP$2</f>
        <v>火龙气息</v>
      </c>
      <c r="D5995" s="224">
        <f>参数调整!$K$36*怪物掉落配置方案!$D4969</f>
        <v>1.7252375490516732E-2</v>
      </c>
    </row>
    <row r="5996" spans="1:4" ht="16.5" hidden="1" x14ac:dyDescent="0.3">
      <c r="A5996" s="10" t="str">
        <f>基本属性!$B$30&amp;"|"&amp;基本属性!$C$30</f>
        <v>250|20</v>
      </c>
      <c r="B5996" s="10" t="str">
        <f>参数调整!$J$36</f>
        <v>新增怪物种类1掉落</v>
      </c>
      <c r="C5996" s="8" t="str">
        <f>材料产出!$AP$2</f>
        <v>火龙气息</v>
      </c>
      <c r="D5996" s="224">
        <f>参数调整!$K$36*怪物掉落配置方案!$D4970</f>
        <v>1.8831953643023383E-2</v>
      </c>
    </row>
    <row r="5997" spans="1:4" ht="16.5" hidden="1" x14ac:dyDescent="0.3">
      <c r="A5997" s="10" t="str">
        <f>基本属性!$B$4&amp;"|"&amp;基本属性!$C$4</f>
        <v>35|0</v>
      </c>
      <c r="B5997" s="10" t="str">
        <f>参数调整!$J$36</f>
        <v>新增怪物种类1掉落</v>
      </c>
      <c r="C5997" s="8" t="str">
        <f>材料产出!$N$2</f>
        <v>火龙凭证</v>
      </c>
      <c r="D5997" s="224">
        <f>参数调整!$K$36*怪物掉落配置方案!$D4971</f>
        <v>6.4950093732583473E-3</v>
      </c>
    </row>
    <row r="5998" spans="1:4" ht="16.5" hidden="1" x14ac:dyDescent="0.3">
      <c r="A5998" s="10" t="str">
        <f>基本属性!$B$5&amp;"|"&amp;基本属性!$C$5</f>
        <v>40|0</v>
      </c>
      <c r="B5998" s="10" t="str">
        <f>参数调整!$J$36</f>
        <v>新增怪物种类1掉落</v>
      </c>
      <c r="C5998" s="8" t="str">
        <f>材料产出!$N$2</f>
        <v>火龙凭证</v>
      </c>
      <c r="D5998" s="224">
        <f>参数调整!$K$36*怪物掉落配置方案!$D4972</f>
        <v>8.2202462380300961E-3</v>
      </c>
    </row>
    <row r="5999" spans="1:4" ht="16.5" hidden="1" x14ac:dyDescent="0.3">
      <c r="A5999" s="10" t="str">
        <f>基本属性!$B$6&amp;"|"&amp;基本属性!$C$6</f>
        <v>50|0</v>
      </c>
      <c r="B5999" s="10" t="str">
        <f>参数调整!$J$36</f>
        <v>新增怪物种类1掉落</v>
      </c>
      <c r="C5999" s="8" t="str">
        <f>材料产出!$N$2</f>
        <v>火龙凭证</v>
      </c>
      <c r="D5999" s="224">
        <f>参数调整!$K$36*怪物掉落配置方案!$D4973</f>
        <v>1.0148452145716167E-2</v>
      </c>
    </row>
    <row r="6000" spans="1:4" ht="16.5" hidden="1" x14ac:dyDescent="0.3">
      <c r="A6000" s="10" t="str">
        <f>基本属性!$B$7&amp;"|"&amp;基本属性!$C$7</f>
        <v>60|0</v>
      </c>
      <c r="B6000" s="10" t="str">
        <f>参数调整!$J$36</f>
        <v>新增怪物种类1掉落</v>
      </c>
      <c r="C6000" s="8" t="str">
        <f>材料产出!$N$2</f>
        <v>火龙凭证</v>
      </c>
      <c r="D6000" s="224">
        <f>参数调整!$K$36*怪物掉落配置方案!$D4974</f>
        <v>1.2279627096316564E-2</v>
      </c>
    </row>
    <row r="6001" spans="1:4" ht="16.5" hidden="1" x14ac:dyDescent="0.3">
      <c r="A6001" s="10" t="str">
        <f>基本属性!$B$8&amp;"|"&amp;基本属性!$C$8</f>
        <v>65|0</v>
      </c>
      <c r="B6001" s="10" t="str">
        <f>参数调整!$J$36</f>
        <v>新增怪物种类1掉落</v>
      </c>
      <c r="C6001" s="8" t="str">
        <f>材料产出!$N$2</f>
        <v>火龙凭证</v>
      </c>
      <c r="D6001" s="224">
        <f>参数调整!$K$36*怪物掉落配置方案!$D4975</f>
        <v>1.4613771089831281E-2</v>
      </c>
    </row>
    <row r="6002" spans="1:4" ht="16.5" hidden="1" x14ac:dyDescent="0.3">
      <c r="A6002" s="10" t="str">
        <f>基本属性!$B$9&amp;"|"&amp;基本属性!$C$9</f>
        <v>70|0</v>
      </c>
      <c r="B6002" s="10" t="str">
        <f>参数调整!$J$36</f>
        <v>新增怪物种类1掉落</v>
      </c>
      <c r="C6002" s="8" t="str">
        <f>材料产出!$N$2</f>
        <v>火龙凭证</v>
      </c>
      <c r="D6002" s="224">
        <f>参数调整!$K$36*怪物掉落配置方案!$D4976</f>
        <v>1.7150884126260323E-2</v>
      </c>
    </row>
    <row r="6003" spans="1:4" ht="16.5" hidden="1" x14ac:dyDescent="0.3">
      <c r="A6003" s="10" t="str">
        <f>基本属性!$B$10&amp;"|"&amp;基本属性!$C$10</f>
        <v>75|0</v>
      </c>
      <c r="B6003" s="10" t="str">
        <f>参数调整!$J$36</f>
        <v>新增怪物种类1掉落</v>
      </c>
      <c r="C6003" s="8" t="str">
        <f>材料产出!$N$2</f>
        <v>火龙凭证</v>
      </c>
      <c r="D6003" s="224">
        <f>参数调整!$K$36*怪物掉落配置方案!$D4977</f>
        <v>1.9890966205603686E-2</v>
      </c>
    </row>
    <row r="6004" spans="1:4" ht="16.5" hidden="1" x14ac:dyDescent="0.3">
      <c r="A6004" s="10" t="str">
        <f>基本属性!$B$11&amp;"|"&amp;基本属性!$C$11</f>
        <v>80|1</v>
      </c>
      <c r="B6004" s="10" t="str">
        <f>参数调整!$J$36</f>
        <v>新增怪物种类1掉落</v>
      </c>
      <c r="C6004" s="8" t="str">
        <f>材料产出!$N$2</f>
        <v>火龙凭证</v>
      </c>
      <c r="D6004" s="224">
        <f>参数调整!$K$36*怪物掉落配置方案!$D4978</f>
        <v>2.2834017327861375E-2</v>
      </c>
    </row>
    <row r="6005" spans="1:4" ht="16.5" hidden="1" x14ac:dyDescent="0.3">
      <c r="A6005" s="10" t="str">
        <f>基本属性!$B$12&amp;"|"&amp;基本属性!$C$12</f>
        <v>90|2</v>
      </c>
      <c r="B6005" s="10" t="str">
        <f>参数调整!$J$36</f>
        <v>新增怪物种类1掉落</v>
      </c>
      <c r="C6005" s="8" t="str">
        <f>材料产出!$N$2</f>
        <v>火龙凭证</v>
      </c>
      <c r="D6005" s="224">
        <f>参数调整!$K$36*怪物掉落配置方案!$D4979</f>
        <v>2.5980037493033393E-2</v>
      </c>
    </row>
    <row r="6006" spans="1:4" ht="16.5" hidden="1" x14ac:dyDescent="0.3">
      <c r="A6006" s="10" t="str">
        <f>基本属性!$B$13&amp;"|"&amp;基本属性!$C$13</f>
        <v>100|3</v>
      </c>
      <c r="B6006" s="10" t="str">
        <f>参数调整!$J$36</f>
        <v>新增怪物种类1掉落</v>
      </c>
      <c r="C6006" s="8" t="str">
        <f>材料产出!$N$2</f>
        <v>火龙凭证</v>
      </c>
      <c r="D6006" s="224">
        <f>参数调整!$K$36*怪物掉落配置方案!$D4980</f>
        <v>3.2880984952120385E-2</v>
      </c>
    </row>
    <row r="6007" spans="1:4" ht="16.5" hidden="1" x14ac:dyDescent="0.3">
      <c r="A6007" s="10" t="str">
        <f>基本属性!$B$14&amp;"|"&amp;基本属性!$C$14</f>
        <v>105|4</v>
      </c>
      <c r="B6007" s="10" t="str">
        <f>参数调整!$J$36</f>
        <v>新增怪物种类1掉落</v>
      </c>
      <c r="C6007" s="8" t="str">
        <f>材料产出!$N$2</f>
        <v>火龙凭证</v>
      </c>
      <c r="D6007" s="224">
        <f>参数调整!$K$36*怪物掉落配置方案!$D4981</f>
        <v>4.0593808582864675E-2</v>
      </c>
    </row>
    <row r="6008" spans="1:4" ht="16.5" hidden="1" x14ac:dyDescent="0.3">
      <c r="A6008" s="10" t="str">
        <f>基本属性!$B$15&amp;"|"&amp;基本属性!$C$15</f>
        <v>110|5</v>
      </c>
      <c r="B6008" s="10" t="str">
        <f>参数调整!$J$36</f>
        <v>新增怪物种类1掉落</v>
      </c>
      <c r="C6008" s="8" t="str">
        <f>材料产出!$N$2</f>
        <v>火龙凭证</v>
      </c>
      <c r="D6008" s="224">
        <f>参数调整!$K$36*怪物掉落配置方案!$D4982</f>
        <v>4.9118508385266255E-2</v>
      </c>
    </row>
    <row r="6009" spans="1:4" ht="16.5" hidden="1" x14ac:dyDescent="0.3">
      <c r="A6009" s="10" t="str">
        <f>基本属性!$B$16&amp;"|"&amp;基本属性!$C$16</f>
        <v>120|6</v>
      </c>
      <c r="B6009" s="10" t="str">
        <f>参数调整!$J$36</f>
        <v>新增怪物种类1掉落</v>
      </c>
      <c r="C6009" s="8" t="str">
        <f>材料产出!$N$2</f>
        <v>火龙凭证</v>
      </c>
      <c r="D6009" s="224">
        <f>参数调整!$K$36*怪物掉落配置方案!$D4983</f>
        <v>6.3427825910726043E-2</v>
      </c>
    </row>
    <row r="6010" spans="1:4" ht="16.5" hidden="1" x14ac:dyDescent="0.3">
      <c r="A6010" s="10" t="str">
        <f>基本属性!$B$17&amp;"|"&amp;基本属性!$C$17</f>
        <v>135|7</v>
      </c>
      <c r="B6010" s="10" t="str">
        <f>参数调整!$J$36</f>
        <v>新增怪物种类1掉落</v>
      </c>
      <c r="C6010" s="8" t="str">
        <f>材料产出!$N$2</f>
        <v>火龙凭证</v>
      </c>
      <c r="D6010" s="224">
        <f>参数调整!$K$36*怪物掉落配置方案!$D4984</f>
        <v>9.13360693114455E-2</v>
      </c>
    </row>
    <row r="6011" spans="1:4" ht="16.5" hidden="1" x14ac:dyDescent="0.3">
      <c r="A6011" s="10" t="str">
        <f>基本属性!$B$18&amp;"|"&amp;基本属性!$C$18</f>
        <v>155|8</v>
      </c>
      <c r="B6011" s="10" t="str">
        <f>参数调整!$J$36</f>
        <v>新增怪物种类1掉落</v>
      </c>
      <c r="C6011" s="8" t="str">
        <f>材料产出!$N$2</f>
        <v>火龙凭证</v>
      </c>
      <c r="D6011" s="224">
        <f>参数调整!$K$36*怪物掉落配置方案!$D4985</f>
        <v>0.12431853878502305</v>
      </c>
    </row>
    <row r="6012" spans="1:4" ht="16.5" hidden="1" x14ac:dyDescent="0.3">
      <c r="A6012" s="10" t="str">
        <f>基本属性!$B$19&amp;"|"&amp;基本属性!$C$19</f>
        <v>190|9</v>
      </c>
      <c r="B6012" s="10" t="str">
        <f>参数调整!$J$36</f>
        <v>新增怪物种类1掉落</v>
      </c>
      <c r="C6012" s="8" t="str">
        <f>材料产出!$N$2</f>
        <v>火龙凭证</v>
      </c>
      <c r="D6012" s="224">
        <f>参数调整!$K$36*怪物掉落配置方案!$D4986</f>
        <v>0.13893230987485436</v>
      </c>
    </row>
    <row r="6013" spans="1:4" ht="16.5" hidden="1" x14ac:dyDescent="0.3">
      <c r="A6013" s="10" t="str">
        <f>基本属性!$B$20&amp;"|"&amp;基本属性!$C$20</f>
        <v>200|10</v>
      </c>
      <c r="B6013" s="10" t="str">
        <f>参数调整!$J$36</f>
        <v>新增怪物种类1掉落</v>
      </c>
      <c r="C6013" s="8" t="str">
        <f>材料产出!$N$2</f>
        <v>火龙凭证</v>
      </c>
      <c r="D6013" s="224">
        <f>参数调整!$K$36*怪物掉落配置方案!$D4987</f>
        <v>0.1623752343314587</v>
      </c>
    </row>
    <row r="6014" spans="1:4" ht="16.5" hidden="1" x14ac:dyDescent="0.3">
      <c r="A6014" s="10" t="str">
        <f>基本属性!$B$21&amp;"|"&amp;基本属性!$C$21</f>
        <v>200|11</v>
      </c>
      <c r="B6014" s="10" t="str">
        <f>参数调整!$J$36</f>
        <v>新增怪物种类1掉落</v>
      </c>
      <c r="C6014" s="8" t="str">
        <f>材料产出!$N$2</f>
        <v>火龙凭证</v>
      </c>
      <c r="D6014" s="224">
        <f>参数调整!$K$36*怪物掉落配置方案!$D4988</f>
        <v>0.1876448801742919</v>
      </c>
    </row>
    <row r="6015" spans="1:4" ht="16.5" hidden="1" x14ac:dyDescent="0.3">
      <c r="A6015" s="10" t="str">
        <f>基本属性!$B$22&amp;"|"&amp;基本属性!$C$22</f>
        <v>210|12</v>
      </c>
      <c r="B6015" s="10" t="str">
        <f>参数调整!$J$36</f>
        <v>新增怪物种类1掉落</v>
      </c>
      <c r="C6015" s="8" t="str">
        <f>材料产出!$N$2</f>
        <v>火龙凭证</v>
      </c>
      <c r="D6015" s="224">
        <f>参数调整!$K$36*怪物掉落配置方案!$D4989</f>
        <v>0.21474124740335404</v>
      </c>
    </row>
    <row r="6016" spans="1:4" ht="16.5" hidden="1" x14ac:dyDescent="0.3">
      <c r="A6016" s="10" t="str">
        <f>基本属性!$B$23&amp;"|"&amp;基本属性!$C$23</f>
        <v>210|13</v>
      </c>
      <c r="B6016" s="10" t="str">
        <f>参数调整!$J$36</f>
        <v>新增怪物种类1掉落</v>
      </c>
      <c r="C6016" s="8" t="str">
        <f>材料产出!$N$2</f>
        <v>火龙凭证</v>
      </c>
      <c r="D6016" s="224">
        <f>参数调整!$K$36*怪物掉落配置方案!$D4990</f>
        <v>0.24366433601864523</v>
      </c>
    </row>
    <row r="6017" spans="1:4" ht="16.5" hidden="1" x14ac:dyDescent="0.3">
      <c r="A6017" s="10" t="str">
        <f>基本属性!$B$24&amp;"|"&amp;基本属性!$C$24</f>
        <v>220|14</v>
      </c>
      <c r="B6017" s="10" t="str">
        <f>参数调整!$J$36</f>
        <v>新增怪物种类1掉落</v>
      </c>
      <c r="C6017" s="8" t="str">
        <f>材料产出!$N$2</f>
        <v>火龙凭证</v>
      </c>
      <c r="D6017" s="224">
        <f>参数调整!$K$36*怪物掉落配置方案!$D4991</f>
        <v>0.27441414602016517</v>
      </c>
    </row>
    <row r="6018" spans="1:4" ht="16.5" hidden="1" x14ac:dyDescent="0.3">
      <c r="A6018" s="10" t="str">
        <f>基本属性!$B$25&amp;"|"&amp;基本属性!$C$25</f>
        <v>220|15</v>
      </c>
      <c r="B6018" s="10" t="str">
        <f>参数调整!$J$36</f>
        <v>新增怪物种类1掉落</v>
      </c>
      <c r="C6018" s="8" t="str">
        <f>材料产出!$N$2</f>
        <v>火龙凭证</v>
      </c>
      <c r="D6018" s="224">
        <f>参数调整!$K$36*怪物掉落配置方案!$D4992</f>
        <v>0.30699067740791403</v>
      </c>
    </row>
    <row r="6019" spans="1:4" ht="16.5" hidden="1" x14ac:dyDescent="0.3">
      <c r="A6019" s="10" t="str">
        <f>基本属性!$B$26&amp;"|"&amp;基本属性!$C$26</f>
        <v>230|16</v>
      </c>
      <c r="B6019" s="10" t="str">
        <f>参数调整!$J$36</f>
        <v>新增怪物种类1掉落</v>
      </c>
      <c r="C6019" s="8" t="str">
        <f>材料产出!$N$2</f>
        <v>火龙凭证</v>
      </c>
      <c r="D6019" s="224">
        <f>参数调整!$K$36*怪物掉落配置方案!$D4993</f>
        <v>0.3413939301818919</v>
      </c>
    </row>
    <row r="6020" spans="1:4" ht="16.5" hidden="1" x14ac:dyDescent="0.3">
      <c r="A6020" s="10" t="str">
        <f>基本属性!$B$27&amp;"|"&amp;基本属性!$C$27</f>
        <v>230|17</v>
      </c>
      <c r="B6020" s="10" t="str">
        <f>参数调整!$J$36</f>
        <v>新增怪物种类1掉落</v>
      </c>
      <c r="C6020" s="8" t="str">
        <f>材料产出!$N$2</f>
        <v>火龙凭证</v>
      </c>
      <c r="D6020" s="224">
        <f>参数调整!$K$36*怪物掉落配置方案!$D4994</f>
        <v>0.37762390434209853</v>
      </c>
    </row>
    <row r="6021" spans="1:4" ht="16.5" hidden="1" x14ac:dyDescent="0.3">
      <c r="A6021" s="10" t="str">
        <f>基本属性!$B$28&amp;"|"&amp;基本属性!$C$28</f>
        <v>240|18</v>
      </c>
      <c r="B6021" s="10" t="str">
        <f>参数调整!$J$36</f>
        <v>新增怪物种类1掉落</v>
      </c>
      <c r="C6021" s="8" t="str">
        <f>材料产出!$N$2</f>
        <v>火龙凭证</v>
      </c>
      <c r="D6021" s="224">
        <f>参数调整!$K$36*怪物掉落配置方案!$D4995</f>
        <v>0.41568059988853429</v>
      </c>
    </row>
    <row r="6022" spans="1:4" ht="16.5" hidden="1" x14ac:dyDescent="0.3">
      <c r="A6022" s="10" t="str">
        <f>基本属性!$B$29&amp;"|"&amp;基本属性!$C$29</f>
        <v>240|19</v>
      </c>
      <c r="B6022" s="10" t="str">
        <f>参数调整!$J$36</f>
        <v>新增怪物种类1掉落</v>
      </c>
      <c r="C6022" s="8" t="str">
        <f>材料产出!$N$2</f>
        <v>火龙凭证</v>
      </c>
      <c r="D6022" s="224">
        <f>参数调整!$K$36*怪物掉落配置方案!$D4996</f>
        <v>0.45556401682119879</v>
      </c>
    </row>
    <row r="6023" spans="1:4" ht="16.5" hidden="1" x14ac:dyDescent="0.3">
      <c r="A6023" s="10" t="str">
        <f>基本属性!$B$30&amp;"|"&amp;基本属性!$C$30</f>
        <v>250|20</v>
      </c>
      <c r="B6023" s="10" t="str">
        <f>参数调整!$J$36</f>
        <v>新增怪物种类1掉落</v>
      </c>
      <c r="C6023" s="8" t="str">
        <f>材料产出!$N$2</f>
        <v>火龙凭证</v>
      </c>
      <c r="D6023" s="224">
        <f>参数调整!$K$36*怪物掉落配置方案!$D4997</f>
        <v>0.4972741551400921</v>
      </c>
    </row>
    <row r="6024" spans="1:4" ht="16.5" hidden="1" x14ac:dyDescent="0.3">
      <c r="A6024" s="10" t="str">
        <f>基本属性!$B$4&amp;"|"&amp;基本属性!$C$4</f>
        <v>35|0</v>
      </c>
      <c r="B6024" s="10" t="str">
        <f>参数调整!$J$36</f>
        <v>新增怪物种类1掉落</v>
      </c>
      <c r="C6024" s="8" t="str">
        <f>材料产出!$AR$2</f>
        <v>火龙精魄</v>
      </c>
      <c r="D6024" s="224">
        <f>参数调整!$K$36*怪物掉落配置方案!$D4998</f>
        <v>3.246678883355982E-6</v>
      </c>
    </row>
    <row r="6025" spans="1:4" ht="16.5" hidden="1" x14ac:dyDescent="0.3">
      <c r="A6025" s="10" t="str">
        <f>基本属性!$B$5&amp;"|"&amp;基本属性!$C$5</f>
        <v>40|0</v>
      </c>
      <c r="B6025" s="10" t="str">
        <f>参数调整!$J$36</f>
        <v>新增怪物种类1掉落</v>
      </c>
      <c r="C6025" s="8" t="str">
        <f>材料产出!$AR$2</f>
        <v>火龙精魄</v>
      </c>
      <c r="D6025" s="224">
        <f>参数调整!$K$36*怪物掉落配置方案!$D4999</f>
        <v>4.1090779617474144E-6</v>
      </c>
    </row>
    <row r="6026" spans="1:4" ht="16.5" hidden="1" x14ac:dyDescent="0.3">
      <c r="A6026" s="10" t="str">
        <f>基本属性!$B$6&amp;"|"&amp;基本属性!$C$6</f>
        <v>50|0</v>
      </c>
      <c r="B6026" s="10" t="str">
        <f>参数调整!$J$36</f>
        <v>新增怪物种类1掉落</v>
      </c>
      <c r="C6026" s="8" t="str">
        <f>材料产出!$AR$2</f>
        <v>火龙精魄</v>
      </c>
      <c r="D6026" s="224">
        <f>参数调整!$K$36*怪物掉落配置方案!$D5000</f>
        <v>5.0729357552437214E-6</v>
      </c>
    </row>
    <row r="6027" spans="1:4" ht="16.5" hidden="1" x14ac:dyDescent="0.3">
      <c r="A6027" s="10" t="str">
        <f>基本属性!$B$7&amp;"|"&amp;基本属性!$C$7</f>
        <v>60|0</v>
      </c>
      <c r="B6027" s="10" t="str">
        <f>参数调整!$J$36</f>
        <v>新增怪物种类1掉落</v>
      </c>
      <c r="C6027" s="8" t="str">
        <f>材料产出!$AR$2</f>
        <v>火龙精魄</v>
      </c>
      <c r="D6027" s="224">
        <f>参数调整!$K$36*怪物掉落配置方案!$D5001</f>
        <v>6.1382522638449047E-6</v>
      </c>
    </row>
    <row r="6028" spans="1:4" ht="16.5" hidden="1" x14ac:dyDescent="0.3">
      <c r="A6028" s="10" t="str">
        <f>基本属性!$B$8&amp;"|"&amp;基本属性!$C$8</f>
        <v>65|0</v>
      </c>
      <c r="B6028" s="10" t="str">
        <f>参数调整!$J$36</f>
        <v>新增怪物种类1掉落</v>
      </c>
      <c r="C6028" s="8" t="str">
        <f>材料产出!$AR$2</f>
        <v>火龙精魄</v>
      </c>
      <c r="D6028" s="224">
        <f>参数调整!$K$36*怪物掉落配置方案!$D5002</f>
        <v>7.3050274875509583E-6</v>
      </c>
    </row>
    <row r="6029" spans="1:4" ht="16.5" hidden="1" x14ac:dyDescent="0.3">
      <c r="A6029" s="10" t="str">
        <f>基本属性!$B$9&amp;"|"&amp;基本属性!$C$9</f>
        <v>70|0</v>
      </c>
      <c r="B6029" s="10" t="str">
        <f>参数调整!$J$36</f>
        <v>新增怪物种类1掉落</v>
      </c>
      <c r="C6029" s="8" t="str">
        <f>材料产出!$AR$2</f>
        <v>火龙精魄</v>
      </c>
      <c r="D6029" s="224">
        <f>参数调整!$K$36*怪物掉落配置方案!$D5003</f>
        <v>8.5732614263618891E-6</v>
      </c>
    </row>
    <row r="6030" spans="1:4" ht="16.5" hidden="1" x14ac:dyDescent="0.3">
      <c r="A6030" s="10" t="str">
        <f>基本属性!$B$10&amp;"|"&amp;基本属性!$C$10</f>
        <v>75|0</v>
      </c>
      <c r="B6030" s="10" t="str">
        <f>参数调整!$J$36</f>
        <v>新增怪物种类1掉落</v>
      </c>
      <c r="C6030" s="8" t="str">
        <f>材料产出!$AR$2</f>
        <v>火龙精魄</v>
      </c>
      <c r="D6030" s="224">
        <f>参数调整!$K$36*怪物掉落配置方案!$D5004</f>
        <v>9.9429540802776919E-6</v>
      </c>
    </row>
    <row r="6031" spans="1:4" ht="16.5" hidden="1" x14ac:dyDescent="0.3">
      <c r="A6031" s="10" t="str">
        <f>基本属性!$B$11&amp;"|"&amp;基本属性!$C$11</f>
        <v>80|1</v>
      </c>
      <c r="B6031" s="10" t="str">
        <f>参数调整!$J$36</f>
        <v>新增怪物种类1掉落</v>
      </c>
      <c r="C6031" s="8" t="str">
        <f>材料产出!$AR$2</f>
        <v>火龙精魄</v>
      </c>
      <c r="D6031" s="224">
        <f>参数调整!$K$36*怪物掉落配置方案!$D5005</f>
        <v>1.1414105449298371E-5</v>
      </c>
    </row>
    <row r="6032" spans="1:4" ht="16.5" hidden="1" x14ac:dyDescent="0.3">
      <c r="A6032" s="10" t="str">
        <f>基本属性!$B$12&amp;"|"&amp;基本属性!$C$12</f>
        <v>90|2</v>
      </c>
      <c r="B6032" s="10" t="str">
        <f>参数调整!$J$36</f>
        <v>新增怪物种类1掉落</v>
      </c>
      <c r="C6032" s="8" t="str">
        <f>材料产出!$AR$2</f>
        <v>火龙精魄</v>
      </c>
      <c r="D6032" s="224">
        <f>参数调整!$K$36*怪物掉落配置方案!$D5006</f>
        <v>1.298671553342393E-5</v>
      </c>
    </row>
    <row r="6033" spans="1:4" ht="16.5" hidden="1" x14ac:dyDescent="0.3">
      <c r="A6033" s="10" t="str">
        <f>基本属性!$B$13&amp;"|"&amp;基本属性!$C$13</f>
        <v>100|3</v>
      </c>
      <c r="B6033" s="10" t="str">
        <f>参数调整!$J$36</f>
        <v>新增怪物种类1掉落</v>
      </c>
      <c r="C6033" s="8" t="str">
        <f>材料产出!$AR$2</f>
        <v>火龙精魄</v>
      </c>
      <c r="D6033" s="224">
        <f>参数调整!$K$36*怪物掉落配置方案!$D5007</f>
        <v>1.6436311846989661E-5</v>
      </c>
    </row>
    <row r="6034" spans="1:4" ht="16.5" hidden="1" x14ac:dyDescent="0.3">
      <c r="A6034" s="10" t="str">
        <f>基本属性!$B$14&amp;"|"&amp;基本属性!$C$14</f>
        <v>105|4</v>
      </c>
      <c r="B6034" s="10" t="str">
        <f>参数调整!$J$36</f>
        <v>新增怪物种类1掉落</v>
      </c>
      <c r="C6034" s="8" t="str">
        <f>材料产出!$AR$2</f>
        <v>火龙精魄</v>
      </c>
      <c r="D6034" s="224">
        <f>参数调整!$K$36*怪物掉落配置方案!$D5008</f>
        <v>2.0291743020974886E-5</v>
      </c>
    </row>
    <row r="6035" spans="1:4" ht="16.5" hidden="1" x14ac:dyDescent="0.3">
      <c r="A6035" s="10" t="str">
        <f>基本属性!$B$15&amp;"|"&amp;基本属性!$C$15</f>
        <v>110|5</v>
      </c>
      <c r="B6035" s="10" t="str">
        <f>参数调整!$J$36</f>
        <v>新增怪物种类1掉落</v>
      </c>
      <c r="C6035" s="8" t="str">
        <f>材料产出!$AR$2</f>
        <v>火龙精魄</v>
      </c>
      <c r="D6035" s="224">
        <f>参数调整!$K$36*怪物掉落配置方案!$D5009</f>
        <v>2.4553009055379619E-5</v>
      </c>
    </row>
    <row r="6036" spans="1:4" ht="16.5" hidden="1" x14ac:dyDescent="0.3">
      <c r="A6036" s="10" t="str">
        <f>基本属性!$B$16&amp;"|"&amp;基本属性!$C$16</f>
        <v>120|6</v>
      </c>
      <c r="B6036" s="10" t="str">
        <f>参数调整!$J$36</f>
        <v>新增怪物种类1掉落</v>
      </c>
      <c r="C6036" s="8" t="str">
        <f>材料产出!$AR$2</f>
        <v>火龙精魄</v>
      </c>
      <c r="D6036" s="224">
        <f>参数调整!$K$36*怪物掉落配置方案!$D5010</f>
        <v>3.1705848470273263E-5</v>
      </c>
    </row>
    <row r="6037" spans="1:4" ht="16.5" hidden="1" x14ac:dyDescent="0.3">
      <c r="A6037" s="10" t="str">
        <f>基本属性!$B$17&amp;"|"&amp;基本属性!$C$17</f>
        <v>135|7</v>
      </c>
      <c r="B6037" s="10" t="str">
        <f>参数调整!$J$36</f>
        <v>新增怪物种类1掉落</v>
      </c>
      <c r="C6037" s="8" t="str">
        <f>材料产出!$AR$2</f>
        <v>火龙精魄</v>
      </c>
      <c r="D6037" s="224">
        <f>参数调整!$K$36*怪物掉落配置方案!$D5011</f>
        <v>4.5656421797193491E-5</v>
      </c>
    </row>
    <row r="6038" spans="1:4" ht="16.5" hidden="1" x14ac:dyDescent="0.3">
      <c r="A6038" s="10" t="str">
        <f>基本属性!$B$18&amp;"|"&amp;基本属性!$C$18</f>
        <v>155|8</v>
      </c>
      <c r="B6038" s="10" t="str">
        <f>参数调整!$J$36</f>
        <v>新增怪物种类1掉落</v>
      </c>
      <c r="C6038" s="8" t="str">
        <f>材料产出!$AR$2</f>
        <v>火龙精魄</v>
      </c>
      <c r="D6038" s="224">
        <f>参数调整!$K$36*怪物掉落配置方案!$D5012</f>
        <v>6.2143463001735602E-5</v>
      </c>
    </row>
    <row r="6039" spans="1:4" ht="16.5" hidden="1" x14ac:dyDescent="0.3">
      <c r="A6039" s="10" t="str">
        <f>基本属性!$B$19&amp;"|"&amp;基本属性!$C$19</f>
        <v>190|9</v>
      </c>
      <c r="B6039" s="10" t="str">
        <f>参数调整!$J$36</f>
        <v>新增怪物种类1掉落</v>
      </c>
      <c r="C6039" s="8" t="str">
        <f>材料产出!$AR$2</f>
        <v>火龙精魄</v>
      </c>
      <c r="D6039" s="224">
        <f>参数调整!$K$36*怪物掉落配置方案!$D5013</f>
        <v>6.9448490489286546E-5</v>
      </c>
    </row>
    <row r="6040" spans="1:4" ht="16.5" hidden="1" x14ac:dyDescent="0.3">
      <c r="A6040" s="10" t="str">
        <f>基本属性!$B$20&amp;"|"&amp;基本属性!$C$20</f>
        <v>200|10</v>
      </c>
      <c r="B6040" s="10" t="str">
        <f>参数调整!$J$36</f>
        <v>新增怪物种类1掉落</v>
      </c>
      <c r="C6040" s="8" t="str">
        <f>材料产出!$AR$2</f>
        <v>火龙精魄</v>
      </c>
      <c r="D6040" s="224">
        <f>参数调整!$K$36*怪物掉落配置方案!$D5014</f>
        <v>8.1166972083899542E-5</v>
      </c>
    </row>
    <row r="6041" spans="1:4" ht="16.5" hidden="1" x14ac:dyDescent="0.3">
      <c r="A6041" s="10" t="str">
        <f>基本属性!$B$21&amp;"|"&amp;基本属性!$C$21</f>
        <v>200|11</v>
      </c>
      <c r="B6041" s="10" t="str">
        <f>参数调整!$J$36</f>
        <v>新增怪物种类1掉落</v>
      </c>
      <c r="C6041" s="8" t="str">
        <f>材料产出!$AR$2</f>
        <v>火龙精魄</v>
      </c>
      <c r="D6041" s="224">
        <f>参数调整!$K$36*怪物掉落配置方案!$D5015</f>
        <v>9.3798582114456395E-5</v>
      </c>
    </row>
    <row r="6042" spans="1:4" ht="16.5" hidden="1" x14ac:dyDescent="0.3">
      <c r="A6042" s="10" t="str">
        <f>基本属性!$B$22&amp;"|"&amp;基本属性!$C$22</f>
        <v>210|12</v>
      </c>
      <c r="B6042" s="10" t="str">
        <f>参数调整!$J$36</f>
        <v>新增怪物种类1掉落</v>
      </c>
      <c r="C6042" s="8" t="str">
        <f>材料产出!$AR$2</f>
        <v>火龙精魄</v>
      </c>
      <c r="D6042" s="224">
        <f>参数调整!$K$36*怪物掉落配置方案!$D5016</f>
        <v>1.0734332058095713E-4</v>
      </c>
    </row>
    <row r="6043" spans="1:4" ht="16.5" hidden="1" x14ac:dyDescent="0.3">
      <c r="A6043" s="10" t="str">
        <f>基本属性!$B$23&amp;"|"&amp;基本属性!$C$23</f>
        <v>210|13</v>
      </c>
      <c r="B6043" s="10" t="str">
        <f>参数调整!$J$36</f>
        <v>新增怪物种类1掉落</v>
      </c>
      <c r="C6043" s="8" t="str">
        <f>材料产出!$AR$2</f>
        <v>火龙精魄</v>
      </c>
      <c r="D6043" s="224">
        <f>参数调整!$K$36*怪物掉落配置方案!$D5017</f>
        <v>1.2180118748340178E-4</v>
      </c>
    </row>
    <row r="6044" spans="1:4" ht="16.5" hidden="1" x14ac:dyDescent="0.3">
      <c r="A6044" s="10" t="str">
        <f>基本属性!$B$24&amp;"|"&amp;基本属性!$C$24</f>
        <v>220|14</v>
      </c>
      <c r="B6044" s="10" t="str">
        <f>参数调整!$J$36</f>
        <v>新增怪物种类1掉落</v>
      </c>
      <c r="C6044" s="8" t="str">
        <f>材料产出!$AR$2</f>
        <v>火龙精魄</v>
      </c>
      <c r="D6044" s="224">
        <f>参数调整!$K$36*怪物掉落配置方案!$D5018</f>
        <v>1.3717218282179023E-4</v>
      </c>
    </row>
    <row r="6045" spans="1:4" ht="16.5" hidden="1" x14ac:dyDescent="0.3">
      <c r="A6045" s="10" t="str">
        <f>基本属性!$B$25&amp;"|"&amp;基本属性!$C$25</f>
        <v>220|15</v>
      </c>
      <c r="B6045" s="10" t="str">
        <f>参数调整!$J$36</f>
        <v>新增怪物种类1掉落</v>
      </c>
      <c r="C6045" s="8" t="str">
        <f>材料产出!$AR$2</f>
        <v>火龙精魄</v>
      </c>
      <c r="D6045" s="224">
        <f>参数调整!$K$36*怪物掉落配置方案!$D5019</f>
        <v>1.5345630659612254E-4</v>
      </c>
    </row>
    <row r="6046" spans="1:4" ht="16.5" hidden="1" x14ac:dyDescent="0.3">
      <c r="A6046" s="10" t="str">
        <f>基本属性!$B$26&amp;"|"&amp;基本属性!$C$26</f>
        <v>230|16</v>
      </c>
      <c r="B6046" s="10" t="str">
        <f>参数调整!$J$36</f>
        <v>新增怪物种类1掉落</v>
      </c>
      <c r="C6046" s="8" t="str">
        <f>材料产出!$AR$2</f>
        <v>火龙精魄</v>
      </c>
      <c r="D6046" s="224">
        <f>参数调整!$K$36*怪物掉落配置方案!$D5020</f>
        <v>1.7065355880639874E-4</v>
      </c>
    </row>
    <row r="6047" spans="1:4" ht="16.5" hidden="1" x14ac:dyDescent="0.3">
      <c r="A6047" s="10" t="str">
        <f>基本属性!$B$27&amp;"|"&amp;基本属性!$C$27</f>
        <v>230|17</v>
      </c>
      <c r="B6047" s="10" t="str">
        <f>参数调整!$J$36</f>
        <v>新增怪物种类1掉落</v>
      </c>
      <c r="C6047" s="8" t="str">
        <f>材料产出!$AR$2</f>
        <v>火龙精魄</v>
      </c>
      <c r="D6047" s="224">
        <f>参数调整!$K$36*怪物掉落配置方案!$D5021</f>
        <v>1.8876393945261883E-4</v>
      </c>
    </row>
    <row r="6048" spans="1:4" ht="16.5" hidden="1" x14ac:dyDescent="0.3">
      <c r="A6048" s="10" t="str">
        <f>基本属性!$B$28&amp;"|"&amp;基本属性!$C$28</f>
        <v>240|18</v>
      </c>
      <c r="B6048" s="10" t="str">
        <f>参数调整!$J$36</f>
        <v>新增怪物种类1掉落</v>
      </c>
      <c r="C6048" s="8" t="str">
        <f>材料产出!$AR$2</f>
        <v>火龙精魄</v>
      </c>
      <c r="D6048" s="224">
        <f>参数调整!$K$36*怪物掉落配置方案!$D5022</f>
        <v>2.0778744853478285E-4</v>
      </c>
    </row>
    <row r="6049" spans="1:4" ht="16.5" hidden="1" x14ac:dyDescent="0.3">
      <c r="A6049" s="10" t="str">
        <f>基本属性!$B$29&amp;"|"&amp;基本属性!$C$29</f>
        <v>240|19</v>
      </c>
      <c r="B6049" s="10" t="str">
        <f>参数调整!$J$36</f>
        <v>新增怪物种类1掉落</v>
      </c>
      <c r="C6049" s="8" t="str">
        <f>材料产出!$AR$2</f>
        <v>火龙精魄</v>
      </c>
      <c r="D6049" s="224">
        <f>参数调整!$K$36*怪物掉落配置方案!$D5023</f>
        <v>2.277240860528907E-4</v>
      </c>
    </row>
    <row r="6050" spans="1:4" ht="16.5" hidden="1" x14ac:dyDescent="0.3">
      <c r="A6050" s="10" t="str">
        <f>基本属性!$B$30&amp;"|"&amp;基本属性!$C$30</f>
        <v>250|20</v>
      </c>
      <c r="B6050" s="10" t="str">
        <f>参数调整!$J$36</f>
        <v>新增怪物种类1掉落</v>
      </c>
      <c r="C6050" s="8" t="str">
        <f>材料产出!$AR$2</f>
        <v>火龙精魄</v>
      </c>
      <c r="D6050" s="224">
        <f>参数调整!$K$36*怪物掉落配置方案!$D5024</f>
        <v>2.485738520069423E-4</v>
      </c>
    </row>
    <row r="6051" spans="1:4" ht="16.5" hidden="1" x14ac:dyDescent="0.3">
      <c r="A6051" s="10" t="str">
        <f>基本属性!$B$4&amp;"|"&amp;基本属性!$C$4</f>
        <v>35|0</v>
      </c>
      <c r="B6051" s="10" t="str">
        <f>参数调整!$J$36</f>
        <v>新增怪物种类1掉落</v>
      </c>
      <c r="C6051" s="8" t="str">
        <f>材料产出!$L$2</f>
        <v>火龙币</v>
      </c>
      <c r="D6051" s="224">
        <f>参数调整!$K$36*怪物掉落配置方案!$D5025</f>
        <v>8.9283669292289499E-4</v>
      </c>
    </row>
    <row r="6052" spans="1:4" ht="16.5" hidden="1" x14ac:dyDescent="0.3">
      <c r="A6052" s="10" t="str">
        <f>基本属性!$B$5&amp;"|"&amp;基本属性!$C$5</f>
        <v>40|0</v>
      </c>
      <c r="B6052" s="10" t="str">
        <f>参数调整!$J$36</f>
        <v>新增怪物种类1掉落</v>
      </c>
      <c r="C6052" s="8" t="str">
        <f>材料产出!$L$2</f>
        <v>火龙币</v>
      </c>
      <c r="D6052" s="224">
        <f>参数调整!$K$36*怪物掉落配置方案!$D5026</f>
        <v>1.1299964394805388E-3</v>
      </c>
    </row>
    <row r="6053" spans="1:4" ht="16.5" hidden="1" x14ac:dyDescent="0.3">
      <c r="A6053" s="10" t="str">
        <f>基本属性!$B$6&amp;"|"&amp;基本属性!$C$6</f>
        <v>50|0</v>
      </c>
      <c r="B6053" s="10" t="str">
        <f>参数调整!$J$36</f>
        <v>新增怪物种类1掉落</v>
      </c>
      <c r="C6053" s="8" t="str">
        <f>材料产出!$L$2</f>
        <v>火龙币</v>
      </c>
      <c r="D6053" s="224">
        <f>参数调整!$K$36*怪物掉落配置方案!$D5027</f>
        <v>1.3950573326920233E-3</v>
      </c>
    </row>
    <row r="6054" spans="1:4" ht="16.5" hidden="1" x14ac:dyDescent="0.3">
      <c r="A6054" s="10" t="str">
        <f>基本属性!$B$7&amp;"|"&amp;基本属性!$C$7</f>
        <v>60|0</v>
      </c>
      <c r="B6054" s="10" t="str">
        <f>参数调整!$J$36</f>
        <v>新增怪物种类1掉落</v>
      </c>
      <c r="C6054" s="8" t="str">
        <f>材料产出!$L$2</f>
        <v>火龙币</v>
      </c>
      <c r="D6054" s="224">
        <f>参数调整!$K$36*怪物掉落配置方案!$D5028</f>
        <v>1.6880193725573483E-3</v>
      </c>
    </row>
    <row r="6055" spans="1:4" ht="16.5" hidden="1" x14ac:dyDescent="0.3">
      <c r="A6055" s="10" t="str">
        <f>基本属性!$B$8&amp;"|"&amp;基本属性!$C$8</f>
        <v>65|0</v>
      </c>
      <c r="B6055" s="10" t="str">
        <f>参数调整!$J$36</f>
        <v>新增怪物种类1掉落</v>
      </c>
      <c r="C6055" s="8" t="str">
        <f>材料产出!$L$2</f>
        <v>火龙币</v>
      </c>
      <c r="D6055" s="224">
        <f>参数调整!$K$36*怪物掉落配置方案!$D5029</f>
        <v>2.0088825590765134E-3</v>
      </c>
    </row>
    <row r="6056" spans="1:4" ht="16.5" hidden="1" x14ac:dyDescent="0.3">
      <c r="A6056" s="10" t="str">
        <f>基本属性!$B$9&amp;"|"&amp;基本属性!$C$9</f>
        <v>70|0</v>
      </c>
      <c r="B6056" s="10" t="str">
        <f>参数调整!$J$36</f>
        <v>新增怪物种类1掉落</v>
      </c>
      <c r="C6056" s="8" t="str">
        <f>材料产出!$L$2</f>
        <v>火龙币</v>
      </c>
      <c r="D6056" s="224">
        <f>参数调整!$K$36*怪物掉落配置方案!$D5030</f>
        <v>2.3576468922495192E-3</v>
      </c>
    </row>
    <row r="6057" spans="1:4" ht="16.5" hidden="1" x14ac:dyDescent="0.3">
      <c r="A6057" s="10" t="str">
        <f>基本属性!$B$10&amp;"|"&amp;基本属性!$C$10</f>
        <v>75|0</v>
      </c>
      <c r="B6057" s="10" t="str">
        <f>参数调整!$J$36</f>
        <v>新增怪物种类1掉落</v>
      </c>
      <c r="C6057" s="8" t="str">
        <f>材料产出!$L$2</f>
        <v>火龙币</v>
      </c>
      <c r="D6057" s="224">
        <f>参数调整!$K$36*怪物掉落配置方案!$D5031</f>
        <v>2.734312372076365E-3</v>
      </c>
    </row>
    <row r="6058" spans="1:4" ht="16.5" hidden="1" x14ac:dyDescent="0.3">
      <c r="A6058" s="10" t="str">
        <f>基本属性!$B$11&amp;"|"&amp;基本属性!$C$11</f>
        <v>80|1</v>
      </c>
      <c r="B6058" s="10" t="str">
        <f>参数调整!$J$36</f>
        <v>新增怪物种类1掉落</v>
      </c>
      <c r="C6058" s="8" t="str">
        <f>材料产出!$L$2</f>
        <v>火龙币</v>
      </c>
      <c r="D6058" s="224">
        <f>参数调整!$K$36*怪物掉落配置方案!$D5032</f>
        <v>3.138878998557052E-3</v>
      </c>
    </row>
    <row r="6059" spans="1:4" ht="16.5" hidden="1" x14ac:dyDescent="0.3">
      <c r="A6059" s="10" t="str">
        <f>基本属性!$B$12&amp;"|"&amp;基本属性!$C$12</f>
        <v>90|2</v>
      </c>
      <c r="B6059" s="10" t="str">
        <f>参数调整!$J$36</f>
        <v>新增怪物种类1掉落</v>
      </c>
      <c r="C6059" s="8" t="str">
        <f>材料产出!$L$2</f>
        <v>火龙币</v>
      </c>
      <c r="D6059" s="224">
        <f>参数调整!$K$36*怪物掉落配置方案!$D5033</f>
        <v>3.5713467716915804E-3</v>
      </c>
    </row>
    <row r="6060" spans="1:4" ht="16.5" hidden="1" x14ac:dyDescent="0.3">
      <c r="A6060" s="10" t="str">
        <f>基本属性!$B$13&amp;"|"&amp;基本属性!$C$13</f>
        <v>100|3</v>
      </c>
      <c r="B6060" s="10" t="str">
        <f>参数调整!$J$36</f>
        <v>新增怪物种类1掉落</v>
      </c>
      <c r="C6060" s="8" t="str">
        <f>材料产出!$L$2</f>
        <v>火龙币</v>
      </c>
      <c r="D6060" s="224">
        <f>参数调整!$K$36*怪物掉落配置方案!$D5034</f>
        <v>4.5199857579221563E-3</v>
      </c>
    </row>
    <row r="6061" spans="1:4" ht="16.5" hidden="1" x14ac:dyDescent="0.3">
      <c r="A6061" s="10" t="str">
        <f>基本属性!$B$14&amp;"|"&amp;基本属性!$C$14</f>
        <v>105|4</v>
      </c>
      <c r="B6061" s="10" t="str">
        <f>参数调整!$J$36</f>
        <v>新增怪物种类1掉落</v>
      </c>
      <c r="C6061" s="8" t="str">
        <f>材料产出!$L$2</f>
        <v>火龙币</v>
      </c>
      <c r="D6061" s="224">
        <f>参数调整!$K$36*怪物掉落配置方案!$D5035</f>
        <v>5.5802293307680934E-3</v>
      </c>
    </row>
    <row r="6062" spans="1:4" ht="16.5" hidden="1" x14ac:dyDescent="0.3">
      <c r="A6062" s="10" t="str">
        <f>基本属性!$B$15&amp;"|"&amp;基本属性!$C$15</f>
        <v>110|5</v>
      </c>
      <c r="B6062" s="10" t="str">
        <f>参数调整!$J$36</f>
        <v>新增怪物种类1掉落</v>
      </c>
      <c r="C6062" s="8" t="str">
        <f>材料产出!$L$2</f>
        <v>火龙币</v>
      </c>
      <c r="D6062" s="224">
        <f>参数调整!$K$36*怪物掉落配置方案!$D5036</f>
        <v>6.752077490229394E-3</v>
      </c>
    </row>
    <row r="6063" spans="1:4" ht="16.5" hidden="1" x14ac:dyDescent="0.3">
      <c r="A6063" s="10" t="str">
        <f>基本属性!$B$16&amp;"|"&amp;基本属性!$C$16</f>
        <v>120|6</v>
      </c>
      <c r="B6063" s="10" t="str">
        <f>参数调整!$J$36</f>
        <v>新增怪物种类1掉落</v>
      </c>
      <c r="C6063" s="8" t="str">
        <f>材料产出!$L$2</f>
        <v>火龙币</v>
      </c>
      <c r="D6063" s="224">
        <f>参数调整!$K$36*怪物掉落配置方案!$D5037</f>
        <v>8.7191083293251467E-3</v>
      </c>
    </row>
    <row r="6064" spans="1:4" ht="16.5" hidden="1" x14ac:dyDescent="0.3">
      <c r="A6064" s="10" t="str">
        <f>基本属性!$B$17&amp;"|"&amp;基本属性!$C$17</f>
        <v>135|7</v>
      </c>
      <c r="B6064" s="10" t="str">
        <f>参数调整!$J$36</f>
        <v>新增怪物种类1掉落</v>
      </c>
      <c r="C6064" s="8" t="str">
        <f>材料产出!$L$2</f>
        <v>火龙币</v>
      </c>
      <c r="D6064" s="224">
        <f>参数调整!$K$36*怪物掉落配置方案!$D5038</f>
        <v>1.2555515994228208E-2</v>
      </c>
    </row>
    <row r="6065" spans="1:4" ht="16.5" hidden="1" x14ac:dyDescent="0.3">
      <c r="A6065" s="10" t="str">
        <f>基本属性!$B$18&amp;"|"&amp;基本属性!$C$18</f>
        <v>155|8</v>
      </c>
      <c r="B6065" s="10" t="str">
        <f>参数调整!$J$36</f>
        <v>新增怪物种类1掉落</v>
      </c>
      <c r="C6065" s="8" t="str">
        <f>材料产出!$L$2</f>
        <v>火龙币</v>
      </c>
      <c r="D6065" s="224">
        <f>参数调整!$K$36*怪物掉落配置方案!$D5039</f>
        <v>1.7089452325477286E-2</v>
      </c>
    </row>
    <row r="6066" spans="1:4" ht="16.5" hidden="1" x14ac:dyDescent="0.3">
      <c r="A6066" s="10" t="str">
        <f>基本属性!$B$19&amp;"|"&amp;基本属性!$C$19</f>
        <v>190|9</v>
      </c>
      <c r="B6066" s="10" t="str">
        <f>参数调整!$J$36</f>
        <v>新增怪物种类1掉落</v>
      </c>
      <c r="C6066" s="8" t="str">
        <f>材料产出!$L$2</f>
        <v>火龙币</v>
      </c>
      <c r="D6066" s="224">
        <f>参数调整!$K$36*怪物掉落配置方案!$D5040</f>
        <v>1.90983348845538E-2</v>
      </c>
    </row>
    <row r="6067" spans="1:4" ht="16.5" hidden="1" x14ac:dyDescent="0.3">
      <c r="A6067" s="10" t="str">
        <f>基本属性!$B$20&amp;"|"&amp;基本属性!$C$20</f>
        <v>200|10</v>
      </c>
      <c r="B6067" s="10" t="str">
        <f>参数调整!$J$36</f>
        <v>新增怪物种类1掉落</v>
      </c>
      <c r="C6067" s="8" t="str">
        <f>材料产出!$L$2</f>
        <v>火龙币</v>
      </c>
      <c r="D6067" s="224">
        <f>参数调整!$K$36*怪物掉落配置方案!$D5041</f>
        <v>2.2320917323072374E-2</v>
      </c>
    </row>
    <row r="6068" spans="1:4" ht="16.5" hidden="1" x14ac:dyDescent="0.3">
      <c r="A6068" s="10" t="str">
        <f>基本属性!$B$21&amp;"|"&amp;基本属性!$C$21</f>
        <v>200|11</v>
      </c>
      <c r="B6068" s="10" t="str">
        <f>参数调整!$J$36</f>
        <v>新增怪物种类1掉落</v>
      </c>
      <c r="C6068" s="8" t="str">
        <f>材料产出!$L$2</f>
        <v>火龙币</v>
      </c>
      <c r="D6068" s="224">
        <f>参数调整!$K$36*怪物掉落配置方案!$D5042</f>
        <v>2.5794610081475506E-2</v>
      </c>
    </row>
    <row r="6069" spans="1:4" ht="16.5" hidden="1" x14ac:dyDescent="0.3">
      <c r="A6069" s="10" t="str">
        <f>基本属性!$B$22&amp;"|"&amp;基本属性!$C$22</f>
        <v>210|12</v>
      </c>
      <c r="B6069" s="10" t="str">
        <f>参数调整!$J$36</f>
        <v>新增怪物种类1掉落</v>
      </c>
      <c r="C6069" s="8" t="str">
        <f>材料产出!$L$2</f>
        <v>火龙币</v>
      </c>
      <c r="D6069" s="224">
        <f>参数调整!$K$36*怪物掉落配置方案!$D5043</f>
        <v>2.9519413159763207E-2</v>
      </c>
    </row>
    <row r="6070" spans="1:4" ht="16.5" hidden="1" x14ac:dyDescent="0.3">
      <c r="A6070" s="10" t="str">
        <f>基本属性!$B$23&amp;"|"&amp;基本属性!$C$23</f>
        <v>210|13</v>
      </c>
      <c r="B6070" s="10" t="str">
        <f>参数调整!$J$36</f>
        <v>新增怪物种类1掉落</v>
      </c>
      <c r="C6070" s="8" t="str">
        <f>材料产出!$L$2</f>
        <v>火龙币</v>
      </c>
      <c r="D6070" s="224">
        <f>参数调整!$K$36*怪物掉落配置方案!$D5044</f>
        <v>3.3495326557935481E-2</v>
      </c>
    </row>
    <row r="6071" spans="1:4" ht="16.5" hidden="1" x14ac:dyDescent="0.3">
      <c r="A6071" s="10" t="str">
        <f>基本属性!$B$24&amp;"|"&amp;基本属性!$C$24</f>
        <v>220|14</v>
      </c>
      <c r="B6071" s="10" t="str">
        <f>参数调整!$J$36</f>
        <v>新增怪物种类1掉落</v>
      </c>
      <c r="C6071" s="8" t="str">
        <f>材料产出!$L$2</f>
        <v>火龙币</v>
      </c>
      <c r="D6071" s="224">
        <f>参数调整!$K$36*怪物掉落配置方案!$D5045</f>
        <v>3.7722350275992314E-2</v>
      </c>
    </row>
    <row r="6072" spans="1:4" ht="16.5" hidden="1" x14ac:dyDescent="0.3">
      <c r="A6072" s="10" t="str">
        <f>基本属性!$B$25&amp;"|"&amp;基本属性!$C$25</f>
        <v>220|15</v>
      </c>
      <c r="B6072" s="10" t="str">
        <f>参数调整!$J$36</f>
        <v>新增怪物种类1掉落</v>
      </c>
      <c r="C6072" s="8" t="str">
        <f>材料产出!$L$2</f>
        <v>火龙币</v>
      </c>
      <c r="D6072" s="224">
        <f>参数调整!$K$36*怪物掉落配置方案!$D5046</f>
        <v>4.2200484313933702E-2</v>
      </c>
    </row>
    <row r="6073" spans="1:4" ht="16.5" hidden="1" x14ac:dyDescent="0.3">
      <c r="A6073" s="10" t="str">
        <f>基本属性!$B$26&amp;"|"&amp;基本属性!$C$26</f>
        <v>230|16</v>
      </c>
      <c r="B6073" s="10" t="str">
        <f>参数调整!$J$36</f>
        <v>新增怪物种类1掉落</v>
      </c>
      <c r="C6073" s="8" t="str">
        <f>材料产出!$L$2</f>
        <v>火龙币</v>
      </c>
      <c r="D6073" s="224">
        <f>参数调整!$K$36*怪物掉落配置方案!$D5047</f>
        <v>4.6929728671759659E-2</v>
      </c>
    </row>
    <row r="6074" spans="1:4" ht="16.5" hidden="1" x14ac:dyDescent="0.3">
      <c r="A6074" s="10" t="str">
        <f>基本属性!$B$27&amp;"|"&amp;基本属性!$C$27</f>
        <v>230|17</v>
      </c>
      <c r="B6074" s="10" t="str">
        <f>参数调整!$J$36</f>
        <v>新增怪物种类1掉落</v>
      </c>
      <c r="C6074" s="8" t="str">
        <f>材料产出!$L$2</f>
        <v>火龙币</v>
      </c>
      <c r="D6074" s="224">
        <f>参数调整!$K$36*怪物掉落配置方案!$D5048</f>
        <v>5.1910083349470178E-2</v>
      </c>
    </row>
    <row r="6075" spans="1:4" ht="16.5" hidden="1" x14ac:dyDescent="0.3">
      <c r="A6075" s="10" t="str">
        <f>基本属性!$B$28&amp;"|"&amp;基本属性!$C$28</f>
        <v>240|18</v>
      </c>
      <c r="B6075" s="10" t="str">
        <f>参数调整!$J$36</f>
        <v>新增怪物种类1掉落</v>
      </c>
      <c r="C6075" s="8" t="str">
        <f>材料产出!$L$2</f>
        <v>火龙币</v>
      </c>
      <c r="D6075" s="224">
        <f>参数调整!$K$36*怪物掉落配置方案!$D5049</f>
        <v>5.714154834706528E-2</v>
      </c>
    </row>
    <row r="6076" spans="1:4" ht="16.5" hidden="1" x14ac:dyDescent="0.3">
      <c r="A6076" s="10" t="str">
        <f>基本属性!$B$29&amp;"|"&amp;基本属性!$C$29</f>
        <v>240|19</v>
      </c>
      <c r="B6076" s="10" t="str">
        <f>参数调整!$J$36</f>
        <v>新增怪物种类1掉落</v>
      </c>
      <c r="C6076" s="8" t="str">
        <f>材料产出!$L$2</f>
        <v>火龙币</v>
      </c>
      <c r="D6076" s="224">
        <f>参数调整!$K$36*怪物掉落配置方案!$D5050</f>
        <v>6.2624123664544923E-2</v>
      </c>
    </row>
    <row r="6077" spans="1:4" ht="16.5" hidden="1" x14ac:dyDescent="0.3">
      <c r="A6077" s="10" t="str">
        <f>基本属性!$B$30&amp;"|"&amp;基本属性!$C$30</f>
        <v>250|20</v>
      </c>
      <c r="B6077" s="10" t="str">
        <f>参数调整!$J$36</f>
        <v>新增怪物种类1掉落</v>
      </c>
      <c r="C6077" s="8" t="str">
        <f>材料产出!$L$2</f>
        <v>火龙币</v>
      </c>
      <c r="D6077" s="224">
        <f>参数调整!$K$36*怪物掉落配置方案!$D5051</f>
        <v>6.8357809301909128E-2</v>
      </c>
    </row>
    <row r="6078" spans="1:4" ht="16.5" hidden="1" x14ac:dyDescent="0.3">
      <c r="A6078" s="10" t="str">
        <f>基本属性!$B$4&amp;"|"&amp;基本属性!$C$4</f>
        <v>35|0</v>
      </c>
      <c r="B6078" s="10" t="str">
        <f>参数调整!$J$36</f>
        <v>新增怪物种类1掉落</v>
      </c>
      <c r="C6078" s="8" t="str">
        <f>材料产出!$BD$2</f>
        <v>防具碎片</v>
      </c>
      <c r="D6078" s="224">
        <f>参数调整!$K$36*怪物掉落配置方案!$D5052</f>
        <v>3.2466788833559817E-5</v>
      </c>
    </row>
    <row r="6079" spans="1:4" ht="16.5" hidden="1" x14ac:dyDescent="0.3">
      <c r="A6079" s="10" t="str">
        <f>基本属性!$B$5&amp;"|"&amp;基本属性!$C$5</f>
        <v>40|0</v>
      </c>
      <c r="B6079" s="10" t="str">
        <f>参数调整!$J$36</f>
        <v>新增怪物种类1掉落</v>
      </c>
      <c r="C6079" s="8" t="str">
        <f>材料产出!$BD$2</f>
        <v>防具碎片</v>
      </c>
      <c r="D6079" s="224">
        <f>参数调整!$K$36*怪物掉落配置方案!$D5053</f>
        <v>4.1090779617474143E-5</v>
      </c>
    </row>
    <row r="6080" spans="1:4" ht="16.5" hidden="1" x14ac:dyDescent="0.3">
      <c r="A6080" s="10" t="str">
        <f>基本属性!$B$6&amp;"|"&amp;基本属性!$C$6</f>
        <v>50|0</v>
      </c>
      <c r="B6080" s="10" t="str">
        <f>参数调整!$J$36</f>
        <v>新增怪物种类1掉落</v>
      </c>
      <c r="C6080" s="8" t="str">
        <f>材料产出!$BD$2</f>
        <v>防具碎片</v>
      </c>
      <c r="D6080" s="224">
        <f>参数调整!$K$36*怪物掉落配置方案!$D5054</f>
        <v>5.0729357552437217E-5</v>
      </c>
    </row>
    <row r="6081" spans="1:4" ht="16.5" hidden="1" x14ac:dyDescent="0.3">
      <c r="A6081" s="10" t="str">
        <f>基本属性!$B$7&amp;"|"&amp;基本属性!$C$7</f>
        <v>60|0</v>
      </c>
      <c r="B6081" s="10" t="str">
        <f>参数调整!$J$36</f>
        <v>新增怪物种类1掉落</v>
      </c>
      <c r="C6081" s="8" t="str">
        <f>材料产出!$BD$2</f>
        <v>防具碎片</v>
      </c>
      <c r="D6081" s="224">
        <f>参数调整!$K$36*怪物掉落配置方案!$D5055</f>
        <v>6.1382522638449028E-5</v>
      </c>
    </row>
    <row r="6082" spans="1:4" ht="16.5" hidden="1" x14ac:dyDescent="0.3">
      <c r="A6082" s="10" t="str">
        <f>基本属性!$B$8&amp;"|"&amp;基本属性!$C$8</f>
        <v>65|0</v>
      </c>
      <c r="B6082" s="10" t="str">
        <f>参数调整!$J$36</f>
        <v>新增怪物种类1掉落</v>
      </c>
      <c r="C6082" s="8" t="str">
        <f>材料产出!$BD$2</f>
        <v>防具碎片</v>
      </c>
      <c r="D6082" s="224">
        <f>参数调整!$K$36*怪物掉落配置方案!$D5056</f>
        <v>7.3050274875509588E-5</v>
      </c>
    </row>
    <row r="6083" spans="1:4" ht="16.5" hidden="1" x14ac:dyDescent="0.3">
      <c r="A6083" s="10" t="str">
        <f>基本属性!$B$9&amp;"|"&amp;基本属性!$C$9</f>
        <v>70|0</v>
      </c>
      <c r="B6083" s="10" t="str">
        <f>参数调整!$J$36</f>
        <v>新增怪物种类1掉落</v>
      </c>
      <c r="C6083" s="8" t="str">
        <f>材料产出!$BD$2</f>
        <v>防具碎片</v>
      </c>
      <c r="D6083" s="224">
        <f>参数调整!$K$36*怪物掉落配置方案!$D5057</f>
        <v>8.5732614263618891E-5</v>
      </c>
    </row>
    <row r="6084" spans="1:4" ht="16.5" hidden="1" x14ac:dyDescent="0.3">
      <c r="A6084" s="10" t="str">
        <f>基本属性!$B$10&amp;"|"&amp;基本属性!$C$10</f>
        <v>75|0</v>
      </c>
      <c r="B6084" s="10" t="str">
        <f>参数调整!$J$36</f>
        <v>新增怪物种类1掉落</v>
      </c>
      <c r="C6084" s="8" t="str">
        <f>材料产出!$BD$2</f>
        <v>防具碎片</v>
      </c>
      <c r="D6084" s="224">
        <f>参数调整!$K$36*怪物掉落配置方案!$D5058</f>
        <v>9.9429540802776923E-5</v>
      </c>
    </row>
    <row r="6085" spans="1:4" ht="16.5" hidden="1" x14ac:dyDescent="0.3">
      <c r="A6085" s="10" t="str">
        <f>基本属性!$B$11&amp;"|"&amp;基本属性!$C$11</f>
        <v>80|1</v>
      </c>
      <c r="B6085" s="10" t="str">
        <f>参数调整!$J$36</f>
        <v>新增怪物种类1掉落</v>
      </c>
      <c r="C6085" s="8" t="str">
        <f>材料产出!$BD$2</f>
        <v>防具碎片</v>
      </c>
      <c r="D6085" s="224">
        <f>参数调整!$K$36*怪物掉落配置方案!$D5059</f>
        <v>1.1414105449298372E-4</v>
      </c>
    </row>
    <row r="6086" spans="1:4" ht="16.5" hidden="1" x14ac:dyDescent="0.3">
      <c r="A6086" s="10" t="str">
        <f>基本属性!$B$12&amp;"|"&amp;基本属性!$C$12</f>
        <v>90|2</v>
      </c>
      <c r="B6086" s="10" t="str">
        <f>参数调整!$J$36</f>
        <v>新增怪物种类1掉落</v>
      </c>
      <c r="C6086" s="8" t="str">
        <f>材料产出!$BD$2</f>
        <v>防具碎片</v>
      </c>
      <c r="D6086" s="224">
        <f>参数调整!$K$36*怪物掉落配置方案!$D5060</f>
        <v>1.298671553342393E-4</v>
      </c>
    </row>
    <row r="6087" spans="1:4" ht="16.5" hidden="1" x14ac:dyDescent="0.3">
      <c r="A6087" s="10" t="str">
        <f>基本属性!$B$13&amp;"|"&amp;基本属性!$C$13</f>
        <v>100|3</v>
      </c>
      <c r="B6087" s="10" t="str">
        <f>参数调整!$J$36</f>
        <v>新增怪物种类1掉落</v>
      </c>
      <c r="C6087" s="8" t="str">
        <f>材料产出!$BD$2</f>
        <v>防具碎片</v>
      </c>
      <c r="D6087" s="224">
        <f>参数调整!$K$36*怪物掉落配置方案!$D5061</f>
        <v>1.643631184698966E-4</v>
      </c>
    </row>
    <row r="6088" spans="1:4" ht="16.5" hidden="1" x14ac:dyDescent="0.3">
      <c r="A6088" s="10" t="str">
        <f>基本属性!$B$14&amp;"|"&amp;基本属性!$C$14</f>
        <v>105|4</v>
      </c>
      <c r="B6088" s="10" t="str">
        <f>参数调整!$J$36</f>
        <v>新增怪物种类1掉落</v>
      </c>
      <c r="C6088" s="8" t="str">
        <f>材料产出!$BD$2</f>
        <v>防具碎片</v>
      </c>
      <c r="D6088" s="224">
        <f>参数调整!$K$36*怪物掉落配置方案!$D5062</f>
        <v>2.0291743020974887E-4</v>
      </c>
    </row>
    <row r="6089" spans="1:4" ht="16.5" hidden="1" x14ac:dyDescent="0.3">
      <c r="A6089" s="10" t="str">
        <f>基本属性!$B$15&amp;"|"&amp;基本属性!$C$15</f>
        <v>110|5</v>
      </c>
      <c r="B6089" s="10" t="str">
        <f>参数调整!$J$36</f>
        <v>新增怪物种类1掉落</v>
      </c>
      <c r="C6089" s="8" t="str">
        <f>材料产出!$BD$2</f>
        <v>防具碎片</v>
      </c>
      <c r="D6089" s="224">
        <f>参数调整!$K$36*怪物掉落配置方案!$D5063</f>
        <v>2.4553009055379617E-4</v>
      </c>
    </row>
    <row r="6090" spans="1:4" ht="16.5" hidden="1" x14ac:dyDescent="0.3">
      <c r="A6090" s="10" t="str">
        <f>基本属性!$B$16&amp;"|"&amp;基本属性!$C$16</f>
        <v>120|6</v>
      </c>
      <c r="B6090" s="10" t="str">
        <f>参数调整!$J$36</f>
        <v>新增怪物种类1掉落</v>
      </c>
      <c r="C6090" s="8" t="str">
        <f>材料产出!$BD$2</f>
        <v>防具碎片</v>
      </c>
      <c r="D6090" s="224">
        <f>参数调整!$K$36*怪物掉落配置方案!$D5064</f>
        <v>3.1705848470273265E-4</v>
      </c>
    </row>
    <row r="6091" spans="1:4" ht="16.5" hidden="1" x14ac:dyDescent="0.3">
      <c r="A6091" s="10" t="str">
        <f>基本属性!$B$17&amp;"|"&amp;基本属性!$C$17</f>
        <v>135|7</v>
      </c>
      <c r="B6091" s="10" t="str">
        <f>参数调整!$J$36</f>
        <v>新增怪物种类1掉落</v>
      </c>
      <c r="C6091" s="8" t="str">
        <f>材料产出!$BD$2</f>
        <v>防具碎片</v>
      </c>
      <c r="D6091" s="224">
        <f>参数调整!$K$36*怪物掉落配置方案!$D5065</f>
        <v>4.565642179719349E-4</v>
      </c>
    </row>
    <row r="6092" spans="1:4" ht="16.5" hidden="1" x14ac:dyDescent="0.3">
      <c r="A6092" s="10" t="str">
        <f>基本属性!$B$18&amp;"|"&amp;基本属性!$C$18</f>
        <v>155|8</v>
      </c>
      <c r="B6092" s="10" t="str">
        <f>参数调整!$J$36</f>
        <v>新增怪物种类1掉落</v>
      </c>
      <c r="C6092" s="8" t="str">
        <f>材料产出!$BD$2</f>
        <v>防具碎片</v>
      </c>
      <c r="D6092" s="224">
        <f>参数调整!$K$36*怪物掉落配置方案!$D5066</f>
        <v>6.2143463001735591E-4</v>
      </c>
    </row>
    <row r="6093" spans="1:4" ht="16.5" hidden="1" x14ac:dyDescent="0.3">
      <c r="A6093" s="10" t="str">
        <f>基本属性!$B$19&amp;"|"&amp;基本属性!$C$19</f>
        <v>190|9</v>
      </c>
      <c r="B6093" s="10" t="str">
        <f>参数调整!$J$36</f>
        <v>新增怪物种类1掉落</v>
      </c>
      <c r="C6093" s="8" t="str">
        <f>材料产出!$BD$2</f>
        <v>防具碎片</v>
      </c>
      <c r="D6093" s="224">
        <f>参数调整!$K$36*怪物掉落配置方案!$D5067</f>
        <v>6.9448490489286549E-4</v>
      </c>
    </row>
    <row r="6094" spans="1:4" ht="16.5" hidden="1" x14ac:dyDescent="0.3">
      <c r="A6094" s="10" t="str">
        <f>基本属性!$B$20&amp;"|"&amp;基本属性!$C$20</f>
        <v>200|10</v>
      </c>
      <c r="B6094" s="10" t="str">
        <f>参数调整!$J$36</f>
        <v>新增怪物种类1掉落</v>
      </c>
      <c r="C6094" s="8" t="str">
        <f>材料产出!$BD$2</f>
        <v>防具碎片</v>
      </c>
      <c r="D6094" s="224">
        <f>参数调整!$K$36*怪物掉落配置方案!$D5068</f>
        <v>8.1166972083899548E-4</v>
      </c>
    </row>
    <row r="6095" spans="1:4" ht="16.5" hidden="1" x14ac:dyDescent="0.3">
      <c r="A6095" s="10" t="str">
        <f>基本属性!$B$21&amp;"|"&amp;基本属性!$C$21</f>
        <v>200|11</v>
      </c>
      <c r="B6095" s="10" t="str">
        <f>参数调整!$J$36</f>
        <v>新增怪物种类1掉落</v>
      </c>
      <c r="C6095" s="8" t="str">
        <f>材料产出!$BD$2</f>
        <v>防具碎片</v>
      </c>
      <c r="D6095" s="224">
        <f>参数调整!$K$36*怪物掉落配置方案!$D5069</f>
        <v>9.3798582114456382E-4</v>
      </c>
    </row>
    <row r="6096" spans="1:4" ht="16.5" hidden="1" x14ac:dyDescent="0.3">
      <c r="A6096" s="10" t="str">
        <f>基本属性!$B$22&amp;"|"&amp;基本属性!$C$22</f>
        <v>210|12</v>
      </c>
      <c r="B6096" s="10" t="str">
        <f>参数调整!$J$36</f>
        <v>新增怪物种类1掉落</v>
      </c>
      <c r="C6096" s="8" t="str">
        <f>材料产出!$BD$2</f>
        <v>防具碎片</v>
      </c>
      <c r="D6096" s="224">
        <f>参数调整!$K$36*怪物掉落配置方案!$D5070</f>
        <v>1.0734332058095711E-3</v>
      </c>
    </row>
    <row r="6097" spans="1:4" ht="16.5" hidden="1" x14ac:dyDescent="0.3">
      <c r="A6097" s="10" t="str">
        <f>基本属性!$B$23&amp;"|"&amp;基本属性!$C$23</f>
        <v>210|13</v>
      </c>
      <c r="B6097" s="10" t="str">
        <f>参数调整!$J$36</f>
        <v>新增怪物种类1掉落</v>
      </c>
      <c r="C6097" s="8" t="str">
        <f>材料产出!$BD$2</f>
        <v>防具碎片</v>
      </c>
      <c r="D6097" s="224">
        <f>参数调整!$K$36*怪物掉落配置方案!$D5071</f>
        <v>1.2180118748340177E-3</v>
      </c>
    </row>
    <row r="6098" spans="1:4" ht="16.5" hidden="1" x14ac:dyDescent="0.3">
      <c r="A6098" s="10" t="str">
        <f>基本属性!$B$24&amp;"|"&amp;基本属性!$C$24</f>
        <v>220|14</v>
      </c>
      <c r="B6098" s="10" t="str">
        <f>参数调整!$J$36</f>
        <v>新增怪物种类1掉落</v>
      </c>
      <c r="C6098" s="8" t="str">
        <f>材料产出!$BD$2</f>
        <v>防具碎片</v>
      </c>
      <c r="D6098" s="224">
        <f>参数调整!$K$36*怪物掉落配置方案!$D5072</f>
        <v>1.3717218282179023E-3</v>
      </c>
    </row>
    <row r="6099" spans="1:4" ht="16.5" hidden="1" x14ac:dyDescent="0.3">
      <c r="A6099" s="10" t="str">
        <f>基本属性!$B$25&amp;"|"&amp;基本属性!$C$25</f>
        <v>220|15</v>
      </c>
      <c r="B6099" s="10" t="str">
        <f>参数调整!$J$36</f>
        <v>新增怪物种类1掉落</v>
      </c>
      <c r="C6099" s="8" t="str">
        <f>材料产出!$BD$2</f>
        <v>防具碎片</v>
      </c>
      <c r="D6099" s="224">
        <f>参数调整!$K$36*怪物掉落配置方案!$D5073</f>
        <v>1.5345630659612253E-3</v>
      </c>
    </row>
    <row r="6100" spans="1:4" ht="16.5" hidden="1" x14ac:dyDescent="0.3">
      <c r="A6100" s="10" t="str">
        <f>基本属性!$B$26&amp;"|"&amp;基本属性!$C$26</f>
        <v>230|16</v>
      </c>
      <c r="B6100" s="10" t="str">
        <f>参数调整!$J$36</f>
        <v>新增怪物种类1掉落</v>
      </c>
      <c r="C6100" s="8" t="str">
        <f>材料产出!$BD$2</f>
        <v>防具碎片</v>
      </c>
      <c r="D6100" s="224">
        <f>参数调整!$K$36*怪物掉落配置方案!$D5074</f>
        <v>1.7065355880639876E-3</v>
      </c>
    </row>
    <row r="6101" spans="1:4" ht="16.5" hidden="1" x14ac:dyDescent="0.3">
      <c r="A6101" s="10" t="str">
        <f>基本属性!$B$27&amp;"|"&amp;基本属性!$C$27</f>
        <v>230|17</v>
      </c>
      <c r="B6101" s="10" t="str">
        <f>参数调整!$J$36</f>
        <v>新增怪物种类1掉落</v>
      </c>
      <c r="C6101" s="8" t="str">
        <f>材料产出!$BD$2</f>
        <v>防具碎片</v>
      </c>
      <c r="D6101" s="224">
        <f>参数调整!$K$36*怪物掉落配置方案!$D5075</f>
        <v>1.8876393945261884E-3</v>
      </c>
    </row>
    <row r="6102" spans="1:4" ht="16.5" hidden="1" x14ac:dyDescent="0.3">
      <c r="A6102" s="10" t="str">
        <f>基本属性!$B$28&amp;"|"&amp;基本属性!$C$28</f>
        <v>240|18</v>
      </c>
      <c r="B6102" s="10" t="str">
        <f>参数调整!$J$36</f>
        <v>新增怪物种类1掉落</v>
      </c>
      <c r="C6102" s="8" t="str">
        <f>材料产出!$BD$2</f>
        <v>防具碎片</v>
      </c>
      <c r="D6102" s="224">
        <f>参数调整!$K$36*怪物掉落配置方案!$D5076</f>
        <v>2.0778744853478283E-3</v>
      </c>
    </row>
    <row r="6103" spans="1:4" ht="16.5" hidden="1" x14ac:dyDescent="0.3">
      <c r="A6103" s="10" t="str">
        <f>基本属性!$B$29&amp;"|"&amp;基本属性!$C$29</f>
        <v>240|19</v>
      </c>
      <c r="B6103" s="10" t="str">
        <f>参数调整!$J$36</f>
        <v>新增怪物种类1掉落</v>
      </c>
      <c r="C6103" s="8" t="str">
        <f>材料产出!$BD$2</f>
        <v>防具碎片</v>
      </c>
      <c r="D6103" s="224">
        <f>参数调整!$K$36*怪物掉落配置方案!$D5077</f>
        <v>2.2772408605289066E-3</v>
      </c>
    </row>
    <row r="6104" spans="1:4" ht="16.5" hidden="1" x14ac:dyDescent="0.3">
      <c r="A6104" s="10" t="str">
        <f>基本属性!$B$30&amp;"|"&amp;基本属性!$C$30</f>
        <v>250|20</v>
      </c>
      <c r="B6104" s="10" t="str">
        <f>参数调整!$J$36</f>
        <v>新增怪物种类1掉落</v>
      </c>
      <c r="C6104" s="8" t="str">
        <f>材料产出!$BD$2</f>
        <v>防具碎片</v>
      </c>
      <c r="D6104" s="224">
        <f>参数调整!$K$36*怪物掉落配置方案!$D5078</f>
        <v>2.4857385200694228E-3</v>
      </c>
    </row>
    <row r="6105" spans="1:4" ht="16.5" hidden="1" x14ac:dyDescent="0.3">
      <c r="A6105" s="10" t="str">
        <f>基本属性!$B$4&amp;"|"&amp;基本属性!$C$4</f>
        <v>35|0</v>
      </c>
      <c r="B6105" s="10" t="str">
        <f>参数调整!$J$36</f>
        <v>新增怪物种类1掉落</v>
      </c>
      <c r="C6105" s="8" t="str">
        <f>材料产出!$AD$2</f>
        <v>凡品升星石</v>
      </c>
      <c r="D6105" s="224">
        <f>参数调整!$K$36*怪物掉落配置方案!$D5079</f>
        <v>4.5365042618120592E-3</v>
      </c>
    </row>
    <row r="6106" spans="1:4" ht="16.5" hidden="1" x14ac:dyDescent="0.3">
      <c r="A6106" s="10" t="str">
        <f>基本属性!$B$5&amp;"|"&amp;基本属性!$C$5</f>
        <v>40|0</v>
      </c>
      <c r="B6106" s="10" t="str">
        <f>参数调整!$J$36</f>
        <v>新增怪物种类1掉落</v>
      </c>
      <c r="C6106" s="8" t="str">
        <f>材料产出!$AD$2</f>
        <v>凡品升星石</v>
      </c>
      <c r="D6106" s="224">
        <f>参数调整!$K$36*怪物掉落配置方案!$D5080</f>
        <v>5.7415132063558891E-3</v>
      </c>
    </row>
    <row r="6107" spans="1:4" ht="16.5" hidden="1" x14ac:dyDescent="0.3">
      <c r="A6107" s="10" t="str">
        <f>基本属性!$B$6&amp;"|"&amp;基本属性!$C$6</f>
        <v>50|0</v>
      </c>
      <c r="B6107" s="10" t="str">
        <f>参数调整!$J$36</f>
        <v>新增怪物种类1掉落</v>
      </c>
      <c r="C6107" s="8" t="str">
        <f>材料产出!$AD$2</f>
        <v>凡品升星石</v>
      </c>
      <c r="D6107" s="224">
        <f>参数调整!$K$36*怪物掉落配置方案!$D5081</f>
        <v>7.0882879090813436E-3</v>
      </c>
    </row>
    <row r="6108" spans="1:4" ht="16.5" hidden="1" x14ac:dyDescent="0.3">
      <c r="A6108" s="10" t="str">
        <f>基本属性!$B$7&amp;"|"&amp;基本属性!$C$7</f>
        <v>60|0</v>
      </c>
      <c r="B6108" s="10" t="str">
        <f>参数调整!$J$36</f>
        <v>新增怪物种类1掉落</v>
      </c>
      <c r="C6108" s="8" t="str">
        <f>材料产出!$AD$2</f>
        <v>凡品升星石</v>
      </c>
      <c r="D6108" s="224">
        <f>参数调整!$K$36*怪物掉落配置方案!$D5082</f>
        <v>8.5768283699884252E-3</v>
      </c>
    </row>
    <row r="6109" spans="1:4" ht="16.5" hidden="1" x14ac:dyDescent="0.3">
      <c r="A6109" s="10" t="str">
        <f>基本属性!$B$8&amp;"|"&amp;基本属性!$C$8</f>
        <v>65|0</v>
      </c>
      <c r="B6109" s="10" t="str">
        <f>参数调整!$J$36</f>
        <v>新增怪物种类1掉落</v>
      </c>
      <c r="C6109" s="8" t="str">
        <f>材料产出!$AD$2</f>
        <v>凡品升星石</v>
      </c>
      <c r="D6109" s="224">
        <f>参数调整!$K$36*怪物掉落配置方案!$D5083</f>
        <v>1.0207134589077134E-2</v>
      </c>
    </row>
    <row r="6110" spans="1:4" ht="16.5" hidden="1" x14ac:dyDescent="0.3">
      <c r="A6110" s="10" t="str">
        <f>基本属性!$B$9&amp;"|"&amp;基本属性!$C$9</f>
        <v>70|0</v>
      </c>
      <c r="B6110" s="10" t="str">
        <f>参数调整!$J$36</f>
        <v>新增怪物种类1掉落</v>
      </c>
      <c r="C6110" s="8" t="str">
        <f>材料产出!$AD$2</f>
        <v>凡品升星石</v>
      </c>
      <c r="D6110" s="224">
        <f>参数调整!$K$36*怪物掉落配置方案!$D5084</f>
        <v>1.197920656634747E-2</v>
      </c>
    </row>
    <row r="6111" spans="1:4" ht="16.5" hidden="1" x14ac:dyDescent="0.3">
      <c r="A6111" s="10" t="str">
        <f>基本属性!$B$10&amp;"|"&amp;基本属性!$C$10</f>
        <v>75|0</v>
      </c>
      <c r="B6111" s="10" t="str">
        <f>参数调整!$J$36</f>
        <v>新增怪物种类1掉落</v>
      </c>
      <c r="C6111" s="8" t="str">
        <f>材料产出!$AD$2</f>
        <v>凡品升星石</v>
      </c>
      <c r="D6111" s="224">
        <f>参数调整!$K$36*怪物掉落配置方案!$D5085</f>
        <v>1.3893044301799431E-2</v>
      </c>
    </row>
    <row r="6112" spans="1:4" ht="16.5" hidden="1" x14ac:dyDescent="0.3">
      <c r="A6112" s="10" t="str">
        <f>基本属性!$B$11&amp;"|"&amp;基本属性!$C$11</f>
        <v>80|1</v>
      </c>
      <c r="B6112" s="10" t="str">
        <f>参数调整!$J$36</f>
        <v>新增怪物种类1掉落</v>
      </c>
      <c r="C6112" s="8" t="str">
        <f>材料产出!$AD$2</f>
        <v>凡品升星石</v>
      </c>
      <c r="D6112" s="224">
        <f>参数调整!$K$36*怪物掉落配置方案!$D5086</f>
        <v>1.5948647795433021E-2</v>
      </c>
    </row>
    <row r="6113" spans="1:4" ht="16.5" hidden="1" x14ac:dyDescent="0.3">
      <c r="A6113" s="10" t="str">
        <f>基本属性!$B$12&amp;"|"&amp;基本属性!$C$12</f>
        <v>90|2</v>
      </c>
      <c r="B6113" s="10" t="str">
        <f>参数调整!$J$36</f>
        <v>新增怪物种类1掉落</v>
      </c>
      <c r="C6113" s="8" t="str">
        <f>材料产出!$AD$2</f>
        <v>凡品升星石</v>
      </c>
      <c r="D6113" s="224">
        <f>参数调整!$K$36*怪物掉落配置方案!$D5087</f>
        <v>1.8146017047248244E-2</v>
      </c>
    </row>
    <row r="6114" spans="1:4" ht="16.5" hidden="1" x14ac:dyDescent="0.3">
      <c r="A6114" s="10" t="str">
        <f>基本属性!$B$13&amp;"|"&amp;基本属性!$C$13</f>
        <v>100|3</v>
      </c>
      <c r="B6114" s="10" t="str">
        <f>参数调整!$J$36</f>
        <v>新增怪物种类1掉落</v>
      </c>
      <c r="C6114" s="8" t="str">
        <f>材料产出!$AD$2</f>
        <v>凡品升星石</v>
      </c>
      <c r="D6114" s="224">
        <f>参数调整!$K$36*怪物掉落配置方案!$D5088</f>
        <v>2.2966052825423557E-2</v>
      </c>
    </row>
    <row r="6115" spans="1:4" ht="16.5" hidden="1" x14ac:dyDescent="0.3">
      <c r="A6115" s="10" t="str">
        <f>基本属性!$B$14&amp;"|"&amp;基本属性!$C$14</f>
        <v>105|4</v>
      </c>
      <c r="B6115" s="10" t="str">
        <f>参数调整!$J$36</f>
        <v>新增怪物种类1掉落</v>
      </c>
      <c r="C6115" s="8" t="str">
        <f>材料产出!$AD$2</f>
        <v>凡品升星石</v>
      </c>
      <c r="D6115" s="224">
        <f>参数调整!$K$36*怪物掉落配置方案!$D5089</f>
        <v>2.8353151636325371E-2</v>
      </c>
    </row>
    <row r="6116" spans="1:4" ht="16.5" hidden="1" x14ac:dyDescent="0.3">
      <c r="A6116" s="10" t="str">
        <f>基本属性!$B$15&amp;"|"&amp;基本属性!$C$15</f>
        <v>110|5</v>
      </c>
      <c r="B6116" s="10" t="str">
        <f>参数调整!$J$36</f>
        <v>新增怪物种类1掉落</v>
      </c>
      <c r="C6116" s="8" t="str">
        <f>材料产出!$AD$2</f>
        <v>凡品升星石</v>
      </c>
      <c r="D6116" s="224">
        <f>参数调整!$K$36*怪物掉落配置方案!$D5090</f>
        <v>3.4307313479953701E-2</v>
      </c>
    </row>
    <row r="6117" spans="1:4" ht="16.5" hidden="1" x14ac:dyDescent="0.3">
      <c r="A6117" s="10" t="str">
        <f>基本属性!$B$16&amp;"|"&amp;基本属性!$C$16</f>
        <v>120|6</v>
      </c>
      <c r="B6117" s="10" t="str">
        <f>参数调整!$J$36</f>
        <v>新增怪物种类1掉落</v>
      </c>
      <c r="C6117" s="8" t="str">
        <f>材料产出!$AD$2</f>
        <v>凡品升星石</v>
      </c>
      <c r="D6117" s="224">
        <f>参数调整!$K$36*怪物掉落配置方案!$D5091</f>
        <v>4.4301799431758396E-2</v>
      </c>
    </row>
    <row r="6118" spans="1:4" ht="16.5" hidden="1" x14ac:dyDescent="0.3">
      <c r="A6118" s="10" t="str">
        <f>基本属性!$B$17&amp;"|"&amp;基本属性!$C$17</f>
        <v>135|7</v>
      </c>
      <c r="B6118" s="10" t="str">
        <f>参数调整!$J$36</f>
        <v>新增怪物种类1掉落</v>
      </c>
      <c r="C6118" s="8" t="str">
        <f>材料产出!$AD$2</f>
        <v>凡品升星石</v>
      </c>
      <c r="D6118" s="224">
        <f>参数调整!$K$36*怪物掉落配置方案!$D5092</f>
        <v>6.3794591181732085E-2</v>
      </c>
    </row>
    <row r="6119" spans="1:4" ht="16.5" hidden="1" x14ac:dyDescent="0.3">
      <c r="A6119" s="10" t="str">
        <f>基本属性!$B$18&amp;"|"&amp;基本属性!$C$18</f>
        <v>155|8</v>
      </c>
      <c r="B6119" s="10" t="str">
        <f>参数调整!$J$36</f>
        <v>新增怪物种类1掉落</v>
      </c>
      <c r="C6119" s="8" t="str">
        <f>材料产出!$AD$2</f>
        <v>凡品升星石</v>
      </c>
      <c r="D6119" s="224">
        <f>参数调整!$K$36*怪物掉落配置方案!$D5093</f>
        <v>8.6831526886246471E-2</v>
      </c>
    </row>
    <row r="6120" spans="1:4" ht="16.5" hidden="1" x14ac:dyDescent="0.3">
      <c r="A6120" s="10" t="str">
        <f>基本属性!$B$19&amp;"|"&amp;基本属性!$C$19</f>
        <v>190|9</v>
      </c>
      <c r="B6120" s="10" t="str">
        <f>参数调整!$J$36</f>
        <v>新增怪物种类1掉落</v>
      </c>
      <c r="C6120" s="8" t="str">
        <f>材料产出!$AD$2</f>
        <v>凡品升星石</v>
      </c>
      <c r="D6120" s="224">
        <f>参数调整!$K$36*怪物掉落配置方案!$D5094</f>
        <v>9.7038661475323612E-2</v>
      </c>
    </row>
    <row r="6121" spans="1:4" ht="16.5" hidden="1" x14ac:dyDescent="0.3">
      <c r="A6121" s="10" t="str">
        <f>基本属性!$B$20&amp;"|"&amp;基本属性!$C$20</f>
        <v>200|10</v>
      </c>
      <c r="B6121" s="10" t="str">
        <f>参数调整!$J$36</f>
        <v>新增怪物种类1掉落</v>
      </c>
      <c r="C6121" s="8" t="str">
        <f>材料产出!$AD$2</f>
        <v>凡品升星石</v>
      </c>
      <c r="D6121" s="224">
        <f>参数调整!$K$36*怪物掉落配置方案!$D5095</f>
        <v>0.11341260654530148</v>
      </c>
    </row>
    <row r="6122" spans="1:4" ht="16.5" hidden="1" x14ac:dyDescent="0.3">
      <c r="A6122" s="10" t="str">
        <f>基本属性!$B$21&amp;"|"&amp;基本属性!$C$21</f>
        <v>200|11</v>
      </c>
      <c r="B6122" s="10" t="str">
        <f>参数调整!$J$36</f>
        <v>新增怪物种类1掉落</v>
      </c>
      <c r="C6122" s="8" t="str">
        <f>材料产出!$AD$2</f>
        <v>凡品升星石</v>
      </c>
      <c r="D6122" s="224">
        <f>参数调整!$K$36*怪物掉落配置方案!$D5096</f>
        <v>0.13106244343891402</v>
      </c>
    </row>
    <row r="6123" spans="1:4" ht="16.5" hidden="1" x14ac:dyDescent="0.3">
      <c r="A6123" s="10" t="str">
        <f>基本属性!$B$22&amp;"|"&amp;基本属性!$C$22</f>
        <v>210|12</v>
      </c>
      <c r="B6123" s="10" t="str">
        <f>参数调整!$J$36</f>
        <v>新增怪物种类1掉落</v>
      </c>
      <c r="C6123" s="8" t="str">
        <f>材料产出!$AD$2</f>
        <v>凡品升星石</v>
      </c>
      <c r="D6123" s="224">
        <f>参数调整!$K$36*怪物掉落配置方案!$D5097</f>
        <v>0.1499881721561612</v>
      </c>
    </row>
    <row r="6124" spans="1:4" ht="16.5" hidden="1" x14ac:dyDescent="0.3">
      <c r="A6124" s="10" t="str">
        <f>基本属性!$B$23&amp;"|"&amp;基本属性!$C$23</f>
        <v>210|13</v>
      </c>
      <c r="B6124" s="10" t="str">
        <f>参数调整!$J$36</f>
        <v>新增怪物种类1掉落</v>
      </c>
      <c r="C6124" s="8" t="str">
        <f>材料产出!$AD$2</f>
        <v>凡品升星石</v>
      </c>
      <c r="D6124" s="224">
        <f>参数调整!$K$36*怪物掉落配置方案!$D5098</f>
        <v>0.17018979269704304</v>
      </c>
    </row>
    <row r="6125" spans="1:4" ht="16.5" hidden="1" x14ac:dyDescent="0.3">
      <c r="A6125" s="10" t="str">
        <f>基本属性!$B$24&amp;"|"&amp;基本属性!$C$24</f>
        <v>220|14</v>
      </c>
      <c r="B6125" s="10" t="str">
        <f>参数调整!$J$36</f>
        <v>新增怪物种类1掉落</v>
      </c>
      <c r="C6125" s="8" t="str">
        <f>材料产出!$AD$2</f>
        <v>凡品升星石</v>
      </c>
      <c r="D6125" s="224">
        <f>参数调整!$K$36*怪物掉落配置方案!$D5099</f>
        <v>0.19166730506155955</v>
      </c>
    </row>
    <row r="6126" spans="1:4" ht="16.5" hidden="1" x14ac:dyDescent="0.3">
      <c r="A6126" s="10" t="str">
        <f>基本属性!$B$25&amp;"|"&amp;基本属性!$C$25</f>
        <v>220|15</v>
      </c>
      <c r="B6126" s="10" t="str">
        <f>参数调整!$J$36</f>
        <v>新增怪物种类1掉落</v>
      </c>
      <c r="C6126" s="8" t="str">
        <f>材料产出!$AD$2</f>
        <v>凡品升星石</v>
      </c>
      <c r="D6126" s="224">
        <f>参数调整!$K$36*怪物掉落配置方案!$D5100</f>
        <v>0.21442070924971057</v>
      </c>
    </row>
    <row r="6127" spans="1:4" ht="16.5" hidden="1" x14ac:dyDescent="0.3">
      <c r="A6127" s="10" t="str">
        <f>基本属性!$B$26&amp;"|"&amp;基本属性!$C$26</f>
        <v>230|16</v>
      </c>
      <c r="B6127" s="10" t="str">
        <f>参数调整!$J$36</f>
        <v>新增怪物种类1掉落</v>
      </c>
      <c r="C6127" s="8" t="str">
        <f>材料产出!$AD$2</f>
        <v>凡品升星石</v>
      </c>
      <c r="D6127" s="224">
        <f>参数调整!$K$36*怪物掉落配置方案!$D5101</f>
        <v>0.23845000526149637</v>
      </c>
    </row>
    <row r="6128" spans="1:4" ht="16.5" hidden="1" x14ac:dyDescent="0.3">
      <c r="A6128" s="10" t="str">
        <f>基本属性!$B$27&amp;"|"&amp;基本属性!$C$27</f>
        <v>230|17</v>
      </c>
      <c r="B6128" s="10" t="str">
        <f>参数调整!$J$36</f>
        <v>新增怪物种类1掉落</v>
      </c>
      <c r="C6128" s="8" t="str">
        <f>材料产出!$AD$2</f>
        <v>凡品升星石</v>
      </c>
      <c r="D6128" s="224">
        <f>参数调整!$K$36*怪物掉落配置方案!$D5102</f>
        <v>0.26375519309691675</v>
      </c>
    </row>
    <row r="6129" spans="1:4" ht="16.5" hidden="1" x14ac:dyDescent="0.3">
      <c r="A6129" s="10" t="str">
        <f>基本属性!$B$28&amp;"|"&amp;基本属性!$C$28</f>
        <v>240|18</v>
      </c>
      <c r="B6129" s="10" t="str">
        <f>参数调整!$J$36</f>
        <v>新增怪物种类1掉落</v>
      </c>
      <c r="C6129" s="8" t="str">
        <f>材料产出!$AD$2</f>
        <v>凡品升星石</v>
      </c>
      <c r="D6129" s="224">
        <f>参数调整!$K$36*怪物掉落配置方案!$D5103</f>
        <v>0.29033627275597185</v>
      </c>
    </row>
    <row r="6130" spans="1:4" ht="16.5" hidden="1" x14ac:dyDescent="0.3">
      <c r="A6130" s="10" t="str">
        <f>基本属性!$B$29&amp;"|"&amp;基本属性!$C$29</f>
        <v>240|19</v>
      </c>
      <c r="B6130" s="10" t="str">
        <f>参数调整!$J$36</f>
        <v>新增怪物种类1掉落</v>
      </c>
      <c r="C6130" s="8" t="str">
        <f>材料产出!$AD$2</f>
        <v>凡品升星石</v>
      </c>
      <c r="D6130" s="224">
        <f>参数调整!$K$36*怪物掉落配置方案!$D5104</f>
        <v>0.31819324423866152</v>
      </c>
    </row>
    <row r="6131" spans="1:4" ht="16.5" hidden="1" x14ac:dyDescent="0.3">
      <c r="A6131" s="10" t="str">
        <f>基本属性!$B$30&amp;"|"&amp;基本属性!$C$30</f>
        <v>250|20</v>
      </c>
      <c r="B6131" s="10" t="str">
        <f>参数调整!$J$36</f>
        <v>新增怪物种类1掉落</v>
      </c>
      <c r="C6131" s="8" t="str">
        <f>材料产出!$AD$2</f>
        <v>凡品升星石</v>
      </c>
      <c r="D6131" s="224">
        <f>参数调整!$K$36*怪物掉落配置方案!$D5105</f>
        <v>0.34732610754498577</v>
      </c>
    </row>
    <row r="6132" spans="1:4" ht="16.5" hidden="1" x14ac:dyDescent="0.3">
      <c r="A6132" s="10" t="str">
        <f>基本属性!$B$4&amp;"|"&amp;基本属性!$C$4</f>
        <v>35|0</v>
      </c>
      <c r="B6132" s="10" t="str">
        <f>参数调整!$J$36</f>
        <v>新增怪物种类1掉落</v>
      </c>
      <c r="C6132" s="8" t="str">
        <f>材料产出!$Z$2</f>
        <v>恶魔头颅</v>
      </c>
      <c r="D6132" s="224">
        <f>参数调整!$K$36*怪物掉落配置方案!$D5106</f>
        <v>5.9074343962982497E-4</v>
      </c>
    </row>
    <row r="6133" spans="1:4" ht="16.5" hidden="1" x14ac:dyDescent="0.3">
      <c r="A6133" s="10" t="str">
        <f>基本属性!$B$5&amp;"|"&amp;基本属性!$C$5</f>
        <v>40|0</v>
      </c>
      <c r="B6133" s="10" t="str">
        <f>参数调整!$J$36</f>
        <v>新增怪物种类1掉落</v>
      </c>
      <c r="C6133" s="8" t="str">
        <f>材料产出!$Z$2</f>
        <v>恶魔头颅</v>
      </c>
      <c r="D6133" s="224">
        <f>参数调整!$K$36*怪物掉落配置方案!$D5107</f>
        <v>7.4765966578149723E-4</v>
      </c>
    </row>
    <row r="6134" spans="1:4" ht="16.5" hidden="1" x14ac:dyDescent="0.3">
      <c r="A6134" s="10" t="str">
        <f>基本属性!$B$6&amp;"|"&amp;基本属性!$C$6</f>
        <v>50|0</v>
      </c>
      <c r="B6134" s="10" t="str">
        <f>参数调整!$J$36</f>
        <v>新增怪物种类1掉落</v>
      </c>
      <c r="C6134" s="8" t="str">
        <f>材料产出!$Z$2</f>
        <v>恶魔头颅</v>
      </c>
      <c r="D6134" s="224">
        <f>参数调整!$K$36*怪物掉落配置方案!$D5108</f>
        <v>9.2303662442160146E-4</v>
      </c>
    </row>
    <row r="6135" spans="1:4" ht="16.5" hidden="1" x14ac:dyDescent="0.3">
      <c r="A6135" s="10" t="str">
        <f>基本属性!$B$7&amp;"|"&amp;基本属性!$C$7</f>
        <v>60|0</v>
      </c>
      <c r="B6135" s="10" t="str">
        <f>参数调整!$J$36</f>
        <v>新增怪物种类1掉落</v>
      </c>
      <c r="C6135" s="8" t="str">
        <f>材料产出!$Z$2</f>
        <v>恶魔头颅</v>
      </c>
      <c r="D6135" s="224">
        <f>参数调整!$K$36*怪物掉落配置方案!$D5109</f>
        <v>1.116874315550138E-3</v>
      </c>
    </row>
    <row r="6136" spans="1:4" ht="16.5" hidden="1" x14ac:dyDescent="0.3">
      <c r="A6136" s="10" t="str">
        <f>基本属性!$B$8&amp;"|"&amp;基本属性!$C$8</f>
        <v>65|0</v>
      </c>
      <c r="B6136" s="10" t="str">
        <f>参数调整!$J$36</f>
        <v>新增怪物种类1掉落</v>
      </c>
      <c r="C6136" s="8" t="str">
        <f>材料产出!$Z$2</f>
        <v>恶魔头颅</v>
      </c>
      <c r="D6136" s="224">
        <f>参数调整!$K$36*怪物掉落配置方案!$D5110</f>
        <v>1.3291727391671062E-3</v>
      </c>
    </row>
    <row r="6137" spans="1:4" ht="16.5" hidden="1" x14ac:dyDescent="0.3">
      <c r="A6137" s="10" t="str">
        <f>基本属性!$B$9&amp;"|"&amp;基本属性!$C$9</f>
        <v>70|0</v>
      </c>
      <c r="B6137" s="10" t="str">
        <f>参数调整!$J$36</f>
        <v>新增怪物种类1掉落</v>
      </c>
      <c r="C6137" s="8" t="str">
        <f>材料产出!$Z$2</f>
        <v>恶魔头颅</v>
      </c>
      <c r="D6137" s="224">
        <f>参数调整!$K$36*怪物掉落配置方案!$D5111</f>
        <v>1.5599318952725066E-3</v>
      </c>
    </row>
    <row r="6138" spans="1:4" ht="16.5" hidden="1" x14ac:dyDescent="0.3">
      <c r="A6138" s="10" t="str">
        <f>基本属性!$B$10&amp;"|"&amp;基本属性!$C$10</f>
        <v>75|0</v>
      </c>
      <c r="B6138" s="10" t="str">
        <f>参数调整!$J$36</f>
        <v>新增怪物种类1掉落</v>
      </c>
      <c r="C6138" s="8" t="str">
        <f>材料产出!$Z$2</f>
        <v>恶魔头颅</v>
      </c>
      <c r="D6138" s="224">
        <f>参数调整!$K$36*怪物掉落配置方案!$D5112</f>
        <v>1.8091517838663388E-3</v>
      </c>
    </row>
    <row r="6139" spans="1:4" ht="16.5" hidden="1" x14ac:dyDescent="0.3">
      <c r="A6139" s="10" t="str">
        <f>基本属性!$B$11&amp;"|"&amp;基本属性!$C$11</f>
        <v>80|1</v>
      </c>
      <c r="B6139" s="10" t="str">
        <f>参数调整!$J$36</f>
        <v>新增怪物种类1掉落</v>
      </c>
      <c r="C6139" s="8" t="str">
        <f>材料产出!$Z$2</f>
        <v>恶魔头颅</v>
      </c>
      <c r="D6139" s="224">
        <f>参数调整!$K$36*怪物掉落配置方案!$D5113</f>
        <v>2.0768324049486035E-3</v>
      </c>
    </row>
    <row r="6140" spans="1:4" ht="16.5" hidden="1" x14ac:dyDescent="0.3">
      <c r="A6140" s="10" t="str">
        <f>基本属性!$B$12&amp;"|"&amp;基本属性!$C$12</f>
        <v>90|2</v>
      </c>
      <c r="B6140" s="10" t="str">
        <f>参数调整!$J$36</f>
        <v>新增怪物种类1掉落</v>
      </c>
      <c r="C6140" s="8" t="str">
        <f>材料产出!$Z$2</f>
        <v>恶魔头颅</v>
      </c>
      <c r="D6140" s="224">
        <f>参数调整!$K$36*怪物掉落配置方案!$D5114</f>
        <v>2.3629737585193003E-3</v>
      </c>
    </row>
    <row r="6141" spans="1:4" ht="16.5" hidden="1" x14ac:dyDescent="0.3">
      <c r="A6141" s="10" t="str">
        <f>基本属性!$B$13&amp;"|"&amp;基本属性!$C$13</f>
        <v>100|3</v>
      </c>
      <c r="B6141" s="10" t="str">
        <f>参数调整!$J$36</f>
        <v>新增怪物种类1掉落</v>
      </c>
      <c r="C6141" s="8" t="str">
        <f>材料产出!$Z$2</f>
        <v>恶魔头颅</v>
      </c>
      <c r="D6141" s="224">
        <f>参数调整!$K$36*怪物掉落配置方案!$D5115</f>
        <v>2.9906386631259893E-3</v>
      </c>
    </row>
    <row r="6142" spans="1:4" ht="16.5" hidden="1" x14ac:dyDescent="0.3">
      <c r="A6142" s="10" t="str">
        <f>基本属性!$B$14&amp;"|"&amp;基本属性!$C$14</f>
        <v>105|4</v>
      </c>
      <c r="B6142" s="10" t="str">
        <f>参数调整!$J$36</f>
        <v>新增怪物种类1掉落</v>
      </c>
      <c r="C6142" s="8" t="str">
        <f>材料产出!$Z$2</f>
        <v>恶魔头颅</v>
      </c>
      <c r="D6142" s="224">
        <f>参数调整!$K$36*怪物掉落配置方案!$D5116</f>
        <v>3.6921464976864059E-3</v>
      </c>
    </row>
    <row r="6143" spans="1:4" ht="16.5" hidden="1" x14ac:dyDescent="0.3">
      <c r="A6143" s="10" t="str">
        <f>基本属性!$B$15&amp;"|"&amp;基本属性!$C$15</f>
        <v>110|5</v>
      </c>
      <c r="B6143" s="10" t="str">
        <f>参数调整!$J$36</f>
        <v>新增怪物种类1掉落</v>
      </c>
      <c r="C6143" s="8" t="str">
        <f>材料产出!$Z$2</f>
        <v>恶魔头颅</v>
      </c>
      <c r="D6143" s="224">
        <f>参数调整!$K$36*怪物掉落配置方案!$D5117</f>
        <v>4.467497262200552E-3</v>
      </c>
    </row>
    <row r="6144" spans="1:4" ht="16.5" hidden="1" x14ac:dyDescent="0.3">
      <c r="A6144" s="10" t="str">
        <f>基本属性!$B$16&amp;"|"&amp;基本属性!$C$16</f>
        <v>120|6</v>
      </c>
      <c r="B6144" s="10" t="str">
        <f>参数调整!$J$36</f>
        <v>新增怪物种类1掉落</v>
      </c>
      <c r="C6144" s="8" t="str">
        <f>材料产出!$Z$2</f>
        <v>恶魔头颅</v>
      </c>
      <c r="D6144" s="224">
        <f>参数调整!$K$36*怪物掉落配置方案!$D5118</f>
        <v>5.7689789026350094E-3</v>
      </c>
    </row>
    <row r="6145" spans="1:4" ht="16.5" hidden="1" x14ac:dyDescent="0.3">
      <c r="A6145" s="10" t="str">
        <f>基本属性!$B$17&amp;"|"&amp;基本属性!$C$17</f>
        <v>135|7</v>
      </c>
      <c r="B6145" s="10" t="str">
        <f>参数调整!$J$36</f>
        <v>新增怪物种类1掉落</v>
      </c>
      <c r="C6145" s="8" t="str">
        <f>材料产出!$Z$2</f>
        <v>恶魔头颅</v>
      </c>
      <c r="D6145" s="224">
        <f>参数调整!$K$36*怪物掉落配置方案!$D5119</f>
        <v>8.3073296197944142E-3</v>
      </c>
    </row>
    <row r="6146" spans="1:4" ht="16.5" hidden="1" x14ac:dyDescent="0.3">
      <c r="A6146" s="10" t="str">
        <f>基本属性!$B$18&amp;"|"&amp;基本属性!$C$18</f>
        <v>155|8</v>
      </c>
      <c r="B6146" s="10" t="str">
        <f>参数调整!$J$36</f>
        <v>新增怪物种类1掉落</v>
      </c>
      <c r="C6146" s="8" t="str">
        <f>材料产出!$Z$2</f>
        <v>恶魔头颅</v>
      </c>
      <c r="D6146" s="224">
        <f>参数调整!$K$36*怪物掉落配置方案!$D5120</f>
        <v>1.1307198649164621E-2</v>
      </c>
    </row>
    <row r="6147" spans="1:4" ht="16.5" hidden="1" x14ac:dyDescent="0.3">
      <c r="A6147" s="10" t="str">
        <f>基本属性!$B$19&amp;"|"&amp;基本属性!$C$19</f>
        <v>190|9</v>
      </c>
      <c r="B6147" s="10" t="str">
        <f>参数调整!$J$36</f>
        <v>新增怪物种类1掉落</v>
      </c>
      <c r="C6147" s="8" t="str">
        <f>材料产出!$Z$2</f>
        <v>恶魔头颅</v>
      </c>
      <c r="D6147" s="224">
        <f>参数调整!$K$36*怪物掉落配置方案!$D5121</f>
        <v>1.2636371388331727E-2</v>
      </c>
    </row>
    <row r="6148" spans="1:4" ht="16.5" hidden="1" x14ac:dyDescent="0.3">
      <c r="A6148" s="10" t="str">
        <f>基本属性!$B$20&amp;"|"&amp;基本属性!$C$20</f>
        <v>200|10</v>
      </c>
      <c r="B6148" s="10" t="str">
        <f>参数调整!$J$36</f>
        <v>新增怪物种类1掉落</v>
      </c>
      <c r="C6148" s="8" t="str">
        <f>材料产出!$Z$2</f>
        <v>恶魔头颅</v>
      </c>
      <c r="D6148" s="224">
        <f>参数调整!$K$36*怪物掉落配置方案!$D5122</f>
        <v>1.4768585990745623E-2</v>
      </c>
    </row>
    <row r="6149" spans="1:4" ht="16.5" hidden="1" x14ac:dyDescent="0.3">
      <c r="A6149" s="10" t="str">
        <f>基本属性!$B$21&amp;"|"&amp;基本属性!$C$21</f>
        <v>200|11</v>
      </c>
      <c r="B6149" s="10" t="str">
        <f>参数调整!$J$36</f>
        <v>新增怪物种类1掉落</v>
      </c>
      <c r="C6149" s="8" t="str">
        <f>材料产出!$Z$2</f>
        <v>恶魔头颅</v>
      </c>
      <c r="D6149" s="224">
        <f>参数调整!$K$36*怪物掉落配置方案!$D5123</f>
        <v>1.7066947185555407E-2</v>
      </c>
    </row>
    <row r="6150" spans="1:4" ht="16.5" hidden="1" x14ac:dyDescent="0.3">
      <c r="A6150" s="10" t="str">
        <f>基本属性!$B$22&amp;"|"&amp;基本属性!$C$22</f>
        <v>210|12</v>
      </c>
      <c r="B6150" s="10" t="str">
        <f>参数调整!$J$36</f>
        <v>新增怪物种类1掉落</v>
      </c>
      <c r="C6150" s="8" t="str">
        <f>材料产出!$Z$2</f>
        <v>恶魔头颅</v>
      </c>
      <c r="D6150" s="224">
        <f>参数调整!$K$36*怪物掉落配置方案!$D5124</f>
        <v>1.9531454972761084E-2</v>
      </c>
    </row>
    <row r="6151" spans="1:4" ht="16.5" hidden="1" x14ac:dyDescent="0.3">
      <c r="A6151" s="10" t="str">
        <f>基本属性!$B$23&amp;"|"&amp;基本属性!$C$23</f>
        <v>210|13</v>
      </c>
      <c r="B6151" s="10" t="str">
        <f>参数调整!$J$36</f>
        <v>新增怪物种类1掉落</v>
      </c>
      <c r="C6151" s="8" t="str">
        <f>材料产出!$Z$2</f>
        <v>恶魔头颅</v>
      </c>
      <c r="D6151" s="224">
        <f>参数调整!$K$36*怪物掉落配置方案!$D5125</f>
        <v>2.2162109352362656E-2</v>
      </c>
    </row>
    <row r="6152" spans="1:4" ht="16.5" hidden="1" x14ac:dyDescent="0.3">
      <c r="A6152" s="10" t="str">
        <f>基本属性!$B$24&amp;"|"&amp;基本属性!$C$24</f>
        <v>220|14</v>
      </c>
      <c r="B6152" s="10" t="str">
        <f>参数调整!$J$36</f>
        <v>新增怪物种类1掉落</v>
      </c>
      <c r="C6152" s="8" t="str">
        <f>材料产出!$Z$2</f>
        <v>恶魔头颅</v>
      </c>
      <c r="D6152" s="224">
        <f>参数调整!$K$36*怪物掉落配置方案!$D5126</f>
        <v>2.4958910324360106E-2</v>
      </c>
    </row>
    <row r="6153" spans="1:4" ht="16.5" hidden="1" x14ac:dyDescent="0.3">
      <c r="A6153" s="10" t="str">
        <f>基本属性!$B$25&amp;"|"&amp;基本属性!$C$25</f>
        <v>220|15</v>
      </c>
      <c r="B6153" s="10" t="str">
        <f>参数调整!$J$36</f>
        <v>新增怪物种类1掉落</v>
      </c>
      <c r="C6153" s="8" t="str">
        <f>材料产出!$Z$2</f>
        <v>恶魔头颅</v>
      </c>
      <c r="D6153" s="224">
        <f>参数调整!$K$36*怪物掉落配置方案!$D5127</f>
        <v>2.7921857888753444E-2</v>
      </c>
    </row>
    <row r="6154" spans="1:4" ht="16.5" hidden="1" x14ac:dyDescent="0.3">
      <c r="A6154" s="10" t="str">
        <f>基本属性!$B$26&amp;"|"&amp;基本属性!$C$26</f>
        <v>230|16</v>
      </c>
      <c r="B6154" s="10" t="str">
        <f>参数调整!$J$36</f>
        <v>新增怪物种类1掉落</v>
      </c>
      <c r="C6154" s="8" t="str">
        <f>材料产出!$Z$2</f>
        <v>恶魔头颅</v>
      </c>
      <c r="D6154" s="224">
        <f>参数调整!$K$36*怪物掉落配置方案!$D5128</f>
        <v>3.1050952045542674E-2</v>
      </c>
    </row>
    <row r="6155" spans="1:4" ht="16.5" hidden="1" x14ac:dyDescent="0.3">
      <c r="A6155" s="10" t="str">
        <f>基本属性!$B$27&amp;"|"&amp;基本属性!$C$27</f>
        <v>230|17</v>
      </c>
      <c r="B6155" s="10" t="str">
        <f>参数调整!$J$36</f>
        <v>新增怪物种类1掉落</v>
      </c>
      <c r="C6155" s="8" t="str">
        <f>材料产出!$Z$2</f>
        <v>恶魔头颅</v>
      </c>
      <c r="D6155" s="224">
        <f>参数调整!$K$36*怪物掉落配置方案!$D5129</f>
        <v>3.4346192794727788E-2</v>
      </c>
    </row>
    <row r="6156" spans="1:4" ht="16.5" hidden="1" x14ac:dyDescent="0.3">
      <c r="A6156" s="10" t="str">
        <f>基本属性!$B$28&amp;"|"&amp;基本属性!$C$28</f>
        <v>240|18</v>
      </c>
      <c r="B6156" s="10" t="str">
        <f>参数调整!$J$36</f>
        <v>新增怪物种类1掉落</v>
      </c>
      <c r="C6156" s="8" t="str">
        <f>材料产出!$Z$2</f>
        <v>恶魔头颅</v>
      </c>
      <c r="D6156" s="224">
        <f>参数调整!$K$36*怪物掉落配置方案!$D5130</f>
        <v>3.7807580136308805E-2</v>
      </c>
    </row>
    <row r="6157" spans="1:4" ht="16.5" hidden="1" x14ac:dyDescent="0.3">
      <c r="A6157" s="10" t="str">
        <f>基本属性!$B$29&amp;"|"&amp;基本属性!$C$29</f>
        <v>240|19</v>
      </c>
      <c r="B6157" s="10" t="str">
        <f>参数调整!$J$36</f>
        <v>新增怪物种类1掉落</v>
      </c>
      <c r="C6157" s="8" t="str">
        <f>材料产出!$Z$2</f>
        <v>恶魔头颅</v>
      </c>
      <c r="D6157" s="224">
        <f>参数调整!$K$36*怪物掉落配置方案!$D5131</f>
        <v>4.1435114070285696E-2</v>
      </c>
    </row>
    <row r="6158" spans="1:4" ht="16.5" hidden="1" x14ac:dyDescent="0.3">
      <c r="A6158" s="10" t="str">
        <f>基本属性!$B$30&amp;"|"&amp;基本属性!$C$30</f>
        <v>250|20</v>
      </c>
      <c r="B6158" s="10" t="str">
        <f>参数调整!$J$36</f>
        <v>新增怪物种类1掉落</v>
      </c>
      <c r="C6158" s="8" t="str">
        <f>材料产出!$Z$2</f>
        <v>恶魔头颅</v>
      </c>
      <c r="D6158" s="224">
        <f>参数调整!$K$36*怪物掉落配置方案!$D5132</f>
        <v>4.5228794596658468E-2</v>
      </c>
    </row>
    <row r="6159" spans="1:4" ht="16.5" hidden="1" x14ac:dyDescent="0.3">
      <c r="A6159" s="10" t="str">
        <f>基本属性!$B$4&amp;"|"&amp;基本属性!$C$4</f>
        <v>35|0</v>
      </c>
      <c r="B6159" s="10" t="str">
        <f>参数调整!$J$37</f>
        <v>新增怪物种类2掉落</v>
      </c>
      <c r="C6159" s="8" t="str">
        <f>材料产出!$R$2</f>
        <v>转生精华</v>
      </c>
      <c r="D6159" s="224">
        <f>参数调整!$K$37*怪物掉落配置方案!$D4107</f>
        <v>7.9120433703197047E-4</v>
      </c>
    </row>
    <row r="6160" spans="1:4" ht="16.5" hidden="1" x14ac:dyDescent="0.3">
      <c r="A6160" s="10" t="str">
        <f>基本属性!$B$5&amp;"|"&amp;基本属性!$C$5</f>
        <v>40|0</v>
      </c>
      <c r="B6160" s="10" t="str">
        <f>参数调整!$J$37</f>
        <v>新增怪物种类2掉落</v>
      </c>
      <c r="C6160" s="8" t="str">
        <f>材料产出!$R$2</f>
        <v>转生精华</v>
      </c>
      <c r="D6160" s="224">
        <f>参数调整!$K$37*怪物掉落配置方案!$D4108</f>
        <v>1.0013679890560874E-3</v>
      </c>
    </row>
    <row r="6161" spans="1:4" ht="16.5" hidden="1" x14ac:dyDescent="0.3">
      <c r="A6161" s="10" t="str">
        <f>基本属性!$B$6&amp;"|"&amp;基本属性!$C$6</f>
        <v>50|0</v>
      </c>
      <c r="B6161" s="10" t="str">
        <f>参数调整!$J$37</f>
        <v>新增怪物种类2掉落</v>
      </c>
      <c r="C6161" s="8" t="str">
        <f>材料产出!$R$2</f>
        <v>转生精华</v>
      </c>
      <c r="D6161" s="224">
        <f>参数调整!$K$37*怪物掉落配置方案!$D4109</f>
        <v>1.2362567766124538E-3</v>
      </c>
    </row>
    <row r="6162" spans="1:4" ht="16.5" hidden="1" x14ac:dyDescent="0.3">
      <c r="A6162" s="10" t="str">
        <f>基本属性!$B$7&amp;"|"&amp;基本属性!$C$7</f>
        <v>60|0</v>
      </c>
      <c r="B6162" s="10" t="str">
        <f>参数调整!$J$37</f>
        <v>新增怪物种类2掉落</v>
      </c>
      <c r="C6162" s="8" t="str">
        <f>材料产出!$R$2</f>
        <v>转生精华</v>
      </c>
      <c r="D6162" s="224">
        <f>参数调整!$K$37*怪物掉落配置方案!$D4110</f>
        <v>1.4958706997010693E-3</v>
      </c>
    </row>
    <row r="6163" spans="1:4" ht="16.5" hidden="1" x14ac:dyDescent="0.3">
      <c r="A6163" s="10" t="str">
        <f>基本属性!$B$8&amp;"|"&amp;基本属性!$C$8</f>
        <v>65|0</v>
      </c>
      <c r="B6163" s="10" t="str">
        <f>参数调整!$J$37</f>
        <v>新增怪物种类2掉落</v>
      </c>
      <c r="C6163" s="8" t="str">
        <f>材料产出!$R$2</f>
        <v>转生精华</v>
      </c>
      <c r="D6163" s="224">
        <f>参数调整!$K$37*怪物掉落配置方案!$D4111</f>
        <v>1.7802097583219333E-3</v>
      </c>
    </row>
    <row r="6164" spans="1:4" ht="16.5" hidden="1" x14ac:dyDescent="0.3">
      <c r="A6164" s="10" t="str">
        <f>基本属性!$B$9&amp;"|"&amp;基本属性!$C$9</f>
        <v>70|0</v>
      </c>
      <c r="B6164" s="10" t="str">
        <f>参数调整!$J$37</f>
        <v>新增怪物种类2掉落</v>
      </c>
      <c r="C6164" s="8" t="str">
        <f>材料产出!$R$2</f>
        <v>转生精华</v>
      </c>
      <c r="D6164" s="224">
        <f>参数调整!$K$37*怪物掉落配置方案!$D4112</f>
        <v>2.0892739524750467E-3</v>
      </c>
    </row>
    <row r="6165" spans="1:4" ht="16.5" hidden="1" x14ac:dyDescent="0.3">
      <c r="A6165" s="10" t="str">
        <f>基本属性!$B$10&amp;"|"&amp;基本属性!$C$10</f>
        <v>75|0</v>
      </c>
      <c r="B6165" s="10" t="str">
        <f>参数调整!$J$37</f>
        <v>新增怪物种类2掉落</v>
      </c>
      <c r="C6165" s="8" t="str">
        <f>材料产出!$R$2</f>
        <v>转生精华</v>
      </c>
      <c r="D6165" s="224">
        <f>参数调整!$K$37*怪物掉落配置方案!$D4113</f>
        <v>2.4230632821604088E-3</v>
      </c>
    </row>
    <row r="6166" spans="1:4" ht="16.5" hidden="1" x14ac:dyDescent="0.3">
      <c r="A6166" s="10" t="str">
        <f>基本属性!$B$11&amp;"|"&amp;基本属性!$C$11</f>
        <v>80|1</v>
      </c>
      <c r="B6166" s="10" t="str">
        <f>参数调整!$J$37</f>
        <v>新增怪物种类2掉落</v>
      </c>
      <c r="C6166" s="8" t="str">
        <f>材料产出!$R$2</f>
        <v>转生精华</v>
      </c>
      <c r="D6166" s="224">
        <f>参数调整!$K$37*怪物掉落配置方案!$D4114</f>
        <v>2.7815777473780209E-3</v>
      </c>
    </row>
    <row r="6167" spans="1:4" ht="16.5" hidden="1" x14ac:dyDescent="0.3">
      <c r="A6167" s="10" t="str">
        <f>基本属性!$B$12&amp;"|"&amp;基本属性!$C$12</f>
        <v>90|2</v>
      </c>
      <c r="B6167" s="10" t="str">
        <f>参数调整!$J$37</f>
        <v>新增怪物种类2掉落</v>
      </c>
      <c r="C6167" s="8" t="str">
        <f>材料产出!$R$2</f>
        <v>转生精华</v>
      </c>
      <c r="D6167" s="224">
        <f>参数调整!$K$37*怪物掉落配置方案!$D4115</f>
        <v>3.1648173481278827E-3</v>
      </c>
    </row>
    <row r="6168" spans="1:4" ht="16.5" hidden="1" x14ac:dyDescent="0.3">
      <c r="A6168" s="10" t="str">
        <f>基本属性!$B$13&amp;"|"&amp;基本属性!$C$13</f>
        <v>100|3</v>
      </c>
      <c r="B6168" s="10" t="str">
        <f>参数调整!$J$37</f>
        <v>新增怪物种类2掉落</v>
      </c>
      <c r="C6168" s="8" t="str">
        <f>材料产出!$R$2</f>
        <v>转生精华</v>
      </c>
      <c r="D6168" s="224">
        <f>参数调整!$K$37*怪物掉落配置方案!$D4116</f>
        <v>4.0054719562243506E-3</v>
      </c>
    </row>
    <row r="6169" spans="1:4" ht="16.5" hidden="1" x14ac:dyDescent="0.3">
      <c r="A6169" s="10" t="str">
        <f>基本属性!$B$14&amp;"|"&amp;基本属性!$C$14</f>
        <v>105|4</v>
      </c>
      <c r="B6169" s="10" t="str">
        <f>参数调整!$J$37</f>
        <v>新增怪物种类2掉落</v>
      </c>
      <c r="C6169" s="8" t="str">
        <f>材料产出!$R$2</f>
        <v>转生精华</v>
      </c>
      <c r="D6169" s="224">
        <f>参数调整!$K$37*怪物掉落配置方案!$D4117</f>
        <v>4.9450271064498154E-3</v>
      </c>
    </row>
    <row r="6170" spans="1:4" ht="16.5" hidden="1" x14ac:dyDescent="0.3">
      <c r="A6170" s="10" t="str">
        <f>基本属性!$B$15&amp;"|"&amp;基本属性!$C$15</f>
        <v>110|5</v>
      </c>
      <c r="B6170" s="10" t="str">
        <f>参数调整!$J$37</f>
        <v>新增怪物种类2掉落</v>
      </c>
      <c r="C6170" s="8" t="str">
        <f>材料产出!$R$2</f>
        <v>转生精华</v>
      </c>
      <c r="D6170" s="224">
        <f>参数调整!$K$37*怪物掉落配置方案!$D4118</f>
        <v>5.983482798804278E-3</v>
      </c>
    </row>
    <row r="6171" spans="1:4" ht="16.5" hidden="1" x14ac:dyDescent="0.3">
      <c r="A6171" s="10" t="str">
        <f>基本属性!$B$16&amp;"|"&amp;基本属性!$C$16</f>
        <v>120|6</v>
      </c>
      <c r="B6171" s="10" t="str">
        <f>参数调整!$J$37</f>
        <v>新增怪物种类2掉落</v>
      </c>
      <c r="C6171" s="8" t="str">
        <f>材料产出!$R$2</f>
        <v>转生精华</v>
      </c>
      <c r="D6171" s="224">
        <f>参数调整!$K$37*怪物掉落配置方案!$D4119</f>
        <v>7.7266048538278363E-3</v>
      </c>
    </row>
    <row r="6172" spans="1:4" ht="16.5" hidden="1" x14ac:dyDescent="0.3">
      <c r="A6172" s="10" t="str">
        <f>基本属性!$B$17&amp;"|"&amp;基本属性!$C$17</f>
        <v>135|7</v>
      </c>
      <c r="B6172" s="10" t="str">
        <f>参数调整!$J$37</f>
        <v>新增怪物种类2掉落</v>
      </c>
      <c r="C6172" s="8" t="str">
        <f>材料产出!$R$2</f>
        <v>转生精华</v>
      </c>
      <c r="D6172" s="224">
        <f>参数调整!$K$37*怪物掉落配置方案!$D4120</f>
        <v>1.1126310989512084E-2</v>
      </c>
    </row>
    <row r="6173" spans="1:4" ht="16.5" hidden="1" x14ac:dyDescent="0.3">
      <c r="A6173" s="10" t="str">
        <f>基本属性!$B$18&amp;"|"&amp;基本属性!$C$18</f>
        <v>155|8</v>
      </c>
      <c r="B6173" s="10" t="str">
        <f>参数调整!$J$37</f>
        <v>新增怪物种类2掉落</v>
      </c>
      <c r="C6173" s="8" t="str">
        <f>材料产出!$R$2</f>
        <v>转生精华</v>
      </c>
      <c r="D6173" s="224">
        <f>参数调整!$K$37*怪物掉落配置方案!$D4121</f>
        <v>1.5144145513502561E-2</v>
      </c>
    </row>
    <row r="6174" spans="1:4" ht="16.5" hidden="1" x14ac:dyDescent="0.3">
      <c r="A6174" s="10" t="str">
        <f>基本属性!$B$19&amp;"|"&amp;基本属性!$C$19</f>
        <v>190|9</v>
      </c>
      <c r="B6174" s="10" t="str">
        <f>参数调整!$J$37</f>
        <v>新增怪物种类2掉落</v>
      </c>
      <c r="C6174" s="8" t="str">
        <f>材料产出!$R$2</f>
        <v>转生精华</v>
      </c>
      <c r="D6174" s="224">
        <f>参数调整!$K$37*怪物掉落配置方案!$D4122</f>
        <v>1.6924355271824492E-2</v>
      </c>
    </row>
    <row r="6175" spans="1:4" ht="16.5" hidden="1" x14ac:dyDescent="0.3">
      <c r="A6175" s="10" t="str">
        <f>基本属性!$B$20&amp;"|"&amp;基本属性!$C$20</f>
        <v>200|10</v>
      </c>
      <c r="B6175" s="10" t="str">
        <f>参数调整!$J$37</f>
        <v>新增怪物种类2掉落</v>
      </c>
      <c r="C6175" s="8" t="str">
        <f>材料产出!$R$2</f>
        <v>转生精华</v>
      </c>
      <c r="D6175" s="224">
        <f>参数调整!$K$37*怪物掉落配置方案!$D4123</f>
        <v>1.9780108425799262E-2</v>
      </c>
    </row>
    <row r="6176" spans="1:4" ht="16.5" hidden="1" x14ac:dyDescent="0.3">
      <c r="A6176" s="10" t="str">
        <f>基本属性!$B$21&amp;"|"&amp;基本属性!$C$21</f>
        <v>200|11</v>
      </c>
      <c r="B6176" s="10" t="str">
        <f>参数调整!$J$37</f>
        <v>新增怪物种类2掉落</v>
      </c>
      <c r="C6176" s="8" t="str">
        <f>材料产出!$R$2</f>
        <v>转生精华</v>
      </c>
      <c r="D6176" s="224">
        <f>参数调整!$K$37*怪物掉落配置方案!$D4124</f>
        <v>2.2858387799564266E-2</v>
      </c>
    </row>
    <row r="6177" spans="1:4" ht="16.5" hidden="1" x14ac:dyDescent="0.3">
      <c r="A6177" s="10" t="str">
        <f>基本属性!$B$22&amp;"|"&amp;基本属性!$C$22</f>
        <v>210|12</v>
      </c>
      <c r="B6177" s="10" t="str">
        <f>参数调整!$J$37</f>
        <v>新增怪物种类2掉落</v>
      </c>
      <c r="C6177" s="8" t="str">
        <f>材料产出!$R$2</f>
        <v>转生精华</v>
      </c>
      <c r="D6177" s="224">
        <f>参数调整!$K$37*怪物掉落配置方案!$D4125</f>
        <v>2.6159193393119513E-2</v>
      </c>
    </row>
    <row r="6178" spans="1:4" ht="16.5" hidden="1" x14ac:dyDescent="0.3">
      <c r="A6178" s="10" t="str">
        <f>基本属性!$B$23&amp;"|"&amp;基本属性!$C$23</f>
        <v>210|13</v>
      </c>
      <c r="B6178" s="10" t="str">
        <f>参数调整!$J$37</f>
        <v>新增怪物种类2掉落</v>
      </c>
      <c r="C6178" s="8" t="str">
        <f>材料产出!$R$2</f>
        <v>转生精华</v>
      </c>
      <c r="D6178" s="224">
        <f>参数调整!$K$37*怪物掉落配置方案!$D4126</f>
        <v>2.968252520646502E-2</v>
      </c>
    </row>
    <row r="6179" spans="1:4" ht="16.5" hidden="1" x14ac:dyDescent="0.3">
      <c r="A6179" s="10" t="str">
        <f>基本属性!$B$24&amp;"|"&amp;基本属性!$C$24</f>
        <v>220|14</v>
      </c>
      <c r="B6179" s="10" t="str">
        <f>参数调整!$J$37</f>
        <v>新增怪物种类2掉落</v>
      </c>
      <c r="C6179" s="8" t="str">
        <f>材料产出!$R$2</f>
        <v>转生精华</v>
      </c>
      <c r="D6179" s="224">
        <f>参数调整!$K$37*怪物掉落配置方案!$D4127</f>
        <v>3.3428383239600755E-2</v>
      </c>
    </row>
    <row r="6180" spans="1:4" ht="16.5" hidden="1" x14ac:dyDescent="0.3">
      <c r="A6180" s="10" t="str">
        <f>基本属性!$B$25&amp;"|"&amp;基本属性!$C$25</f>
        <v>220|15</v>
      </c>
      <c r="B6180" s="10" t="str">
        <f>参数调整!$J$37</f>
        <v>新增怪物种类2掉落</v>
      </c>
      <c r="C6180" s="8" t="str">
        <f>材料产出!$R$2</f>
        <v>转生精华</v>
      </c>
      <c r="D6180" s="224">
        <f>参数调整!$K$37*怪物掉落配置方案!$D4128</f>
        <v>3.7396767492526725E-2</v>
      </c>
    </row>
    <row r="6181" spans="1:4" ht="16.5" hidden="1" x14ac:dyDescent="0.3">
      <c r="A6181" s="10" t="str">
        <f>基本属性!$B$26&amp;"|"&amp;基本属性!$C$26</f>
        <v>230|16</v>
      </c>
      <c r="B6181" s="10" t="str">
        <f>参数调整!$J$37</f>
        <v>新增怪物种类2掉落</v>
      </c>
      <c r="C6181" s="8" t="str">
        <f>材料产出!$R$2</f>
        <v>转生精华</v>
      </c>
      <c r="D6181" s="224">
        <f>参数调整!$K$37*怪物掉落配置方案!$D4129</f>
        <v>4.1587677965242945E-2</v>
      </c>
    </row>
    <row r="6182" spans="1:4" ht="16.5" hidden="1" x14ac:dyDescent="0.3">
      <c r="A6182" s="10" t="str">
        <f>基本属性!$B$27&amp;"|"&amp;基本属性!$C$27</f>
        <v>230|17</v>
      </c>
      <c r="B6182" s="10" t="str">
        <f>参数调整!$J$37</f>
        <v>新增怪物种类2掉落</v>
      </c>
      <c r="C6182" s="8" t="str">
        <f>材料产出!$R$2</f>
        <v>转生精华</v>
      </c>
      <c r="D6182" s="224">
        <f>参数调整!$K$37*怪物掉落配置方案!$D4130</f>
        <v>4.6001114657749399E-2</v>
      </c>
    </row>
    <row r="6183" spans="1:4" ht="16.5" hidden="1" x14ac:dyDescent="0.3">
      <c r="A6183" s="10" t="str">
        <f>基本属性!$B$28&amp;"|"&amp;基本属性!$C$28</f>
        <v>240|18</v>
      </c>
      <c r="B6183" s="10" t="str">
        <f>参数调整!$J$37</f>
        <v>新增怪物种类2掉落</v>
      </c>
      <c r="C6183" s="8" t="str">
        <f>材料产出!$R$2</f>
        <v>转生精华</v>
      </c>
      <c r="D6183" s="224">
        <f>参数调整!$K$37*怪物掉落配置方案!$D4131</f>
        <v>5.063707757004611E-2</v>
      </c>
    </row>
    <row r="6184" spans="1:4" ht="16.5" hidden="1" x14ac:dyDescent="0.3">
      <c r="A6184" s="10" t="str">
        <f>基本属性!$B$29&amp;"|"&amp;基本属性!$C$29</f>
        <v>240|19</v>
      </c>
      <c r="B6184" s="10" t="str">
        <f>参数调整!$J$37</f>
        <v>新增怪物种类2掉落</v>
      </c>
      <c r="C6184" s="8" t="str">
        <f>材料产出!$R$2</f>
        <v>转生精华</v>
      </c>
      <c r="D6184" s="224">
        <f>参数调整!$K$37*怪物掉落配置方案!$D4132</f>
        <v>5.5495566702133049E-2</v>
      </c>
    </row>
    <row r="6185" spans="1:4" ht="16.5" hidden="1" x14ac:dyDescent="0.3">
      <c r="A6185" s="10" t="str">
        <f>基本属性!$B$30&amp;"|"&amp;基本属性!$C$30</f>
        <v>250|20</v>
      </c>
      <c r="B6185" s="10" t="str">
        <f>参数调整!$J$37</f>
        <v>新增怪物种类2掉落</v>
      </c>
      <c r="C6185" s="8" t="str">
        <f>材料产出!$R$2</f>
        <v>转生精华</v>
      </c>
      <c r="D6185" s="224">
        <f>参数调整!$K$37*怪物掉落配置方案!$D4133</f>
        <v>6.0576582054010217E-2</v>
      </c>
    </row>
    <row r="6186" spans="1:4" ht="16.5" hidden="1" x14ac:dyDescent="0.3">
      <c r="A6186" s="10" t="str">
        <f>基本属性!$B$4&amp;"|"&amp;基本属性!$C$4</f>
        <v>35|0</v>
      </c>
      <c r="B6186" s="10" t="str">
        <f>参数调整!$J$37</f>
        <v>新增怪物种类2掉落</v>
      </c>
      <c r="C6186" s="8" t="str">
        <f>材料产出!$AJ$2</f>
        <v>中品注灵石</v>
      </c>
      <c r="D6186" s="224">
        <f>参数调整!$K$37*怪物掉落配置方案!$D4134</f>
        <v>1.0368820578847132E-2</v>
      </c>
    </row>
    <row r="6187" spans="1:4" ht="16.5" hidden="1" x14ac:dyDescent="0.3">
      <c r="A6187" s="10" t="str">
        <f>基本属性!$B$5&amp;"|"&amp;基本属性!$C$5</f>
        <v>40|0</v>
      </c>
      <c r="B6187" s="10" t="str">
        <f>参数调整!$J$37</f>
        <v>新增怪物种类2掉落</v>
      </c>
      <c r="C6187" s="8" t="str">
        <f>材料产出!$AJ$2</f>
        <v>中品注灵石</v>
      </c>
      <c r="D6187" s="224">
        <f>参数调整!$K$37*怪物掉落配置方案!$D4135</f>
        <v>1.3123038545103403E-2</v>
      </c>
    </row>
    <row r="6188" spans="1:4" ht="16.5" hidden="1" x14ac:dyDescent="0.3">
      <c r="A6188" s="10" t="str">
        <f>基本属性!$B$6&amp;"|"&amp;基本属性!$C$6</f>
        <v>50|0</v>
      </c>
      <c r="B6188" s="10" t="str">
        <f>参数调整!$J$37</f>
        <v>新增怪物种类2掉落</v>
      </c>
      <c r="C6188" s="8" t="str">
        <f>材料产出!$AJ$2</f>
        <v>中品注灵石</v>
      </c>
      <c r="D6188" s="224">
        <f>参数调整!$K$37*怪物掉落配置方案!$D4136</f>
        <v>1.6201282154448646E-2</v>
      </c>
    </row>
    <row r="6189" spans="1:4" ht="16.5" hidden="1" x14ac:dyDescent="0.3">
      <c r="A6189" s="10" t="str">
        <f>基本属性!$B$7&amp;"|"&amp;基本属性!$C$7</f>
        <v>60|0</v>
      </c>
      <c r="B6189" s="10" t="str">
        <f>参数调整!$J$37</f>
        <v>新增怪物种类2掉落</v>
      </c>
      <c r="C6189" s="8" t="str">
        <f>材料产出!$AJ$2</f>
        <v>中品注灵石</v>
      </c>
      <c r="D6189" s="224">
        <f>参数调整!$K$37*怪物掉落配置方案!$D4137</f>
        <v>1.9603551406882865E-2</v>
      </c>
    </row>
    <row r="6190" spans="1:4" ht="16.5" hidden="1" x14ac:dyDescent="0.3">
      <c r="A6190" s="10" t="str">
        <f>基本属性!$B$8&amp;"|"&amp;基本属性!$C$8</f>
        <v>65|0</v>
      </c>
      <c r="B6190" s="10" t="str">
        <f>参数调整!$J$37</f>
        <v>新增怪物种类2掉落</v>
      </c>
      <c r="C6190" s="8" t="str">
        <f>材料产出!$AJ$2</f>
        <v>中品注灵石</v>
      </c>
      <c r="D6190" s="224">
        <f>参数调整!$K$37*怪物掉落配置方案!$D4138</f>
        <v>2.3329846302406046E-2</v>
      </c>
    </row>
    <row r="6191" spans="1:4" ht="16.5" hidden="1" x14ac:dyDescent="0.3">
      <c r="A6191" s="10" t="str">
        <f>基本属性!$B$9&amp;"|"&amp;基本属性!$C$9</f>
        <v>70|0</v>
      </c>
      <c r="B6191" s="10" t="str">
        <f>参数调整!$J$37</f>
        <v>新增怪物种类2掉落</v>
      </c>
      <c r="C6191" s="8" t="str">
        <f>材料产出!$AJ$2</f>
        <v>中品注灵石</v>
      </c>
      <c r="D6191" s="224">
        <f>参数调整!$K$37*怪物掉落配置方案!$D4139</f>
        <v>2.7380166841018211E-2</v>
      </c>
    </row>
    <row r="6192" spans="1:4" ht="16.5" hidden="1" x14ac:dyDescent="0.3">
      <c r="A6192" s="10" t="str">
        <f>基本属性!$B$10&amp;"|"&amp;基本属性!$C$10</f>
        <v>75|0</v>
      </c>
      <c r="B6192" s="10" t="str">
        <f>参数调整!$J$37</f>
        <v>新增怪物种类2掉落</v>
      </c>
      <c r="C6192" s="8" t="str">
        <f>材料产出!$AJ$2</f>
        <v>中品注灵石</v>
      </c>
      <c r="D6192" s="224">
        <f>参数调整!$K$37*怪物掉落配置方案!$D4140</f>
        <v>3.1754513022719338E-2</v>
      </c>
    </row>
    <row r="6193" spans="1:4" ht="16.5" hidden="1" x14ac:dyDescent="0.3">
      <c r="A6193" s="10" t="str">
        <f>基本属性!$B$11&amp;"|"&amp;基本属性!$C$11</f>
        <v>80|1</v>
      </c>
      <c r="B6193" s="10" t="str">
        <f>参数调整!$J$37</f>
        <v>新增怪物种类2掉落</v>
      </c>
      <c r="C6193" s="8" t="str">
        <f>材料产出!$AJ$2</f>
        <v>中品注灵石</v>
      </c>
      <c r="D6193" s="224">
        <f>参数调整!$K$37*怪物掉落配置方案!$D4141</f>
        <v>3.6452884847509456E-2</v>
      </c>
    </row>
    <row r="6194" spans="1:4" ht="16.5" hidden="1" x14ac:dyDescent="0.3">
      <c r="A6194" s="10" t="str">
        <f>基本属性!$B$12&amp;"|"&amp;基本属性!$C$12</f>
        <v>90|2</v>
      </c>
      <c r="B6194" s="10" t="str">
        <f>参数调整!$J$37</f>
        <v>新增怪物种类2掉落</v>
      </c>
      <c r="C6194" s="8" t="str">
        <f>材料产出!$AJ$2</f>
        <v>中品注灵石</v>
      </c>
      <c r="D6194" s="224">
        <f>参数调整!$K$37*怪物掉落配置方案!$D4142</f>
        <v>4.1475282315388537E-2</v>
      </c>
    </row>
    <row r="6195" spans="1:4" ht="16.5" hidden="1" x14ac:dyDescent="0.3">
      <c r="A6195" s="10" t="str">
        <f>基本属性!$B$13&amp;"|"&amp;基本属性!$C$13</f>
        <v>100|3</v>
      </c>
      <c r="B6195" s="10" t="str">
        <f>参数调整!$J$37</f>
        <v>新增怪物种类2掉落</v>
      </c>
      <c r="C6195" s="8" t="str">
        <f>材料产出!$AJ$2</f>
        <v>中品注灵石</v>
      </c>
      <c r="D6195" s="224">
        <f>参数调整!$K$37*怪物掉落配置方案!$D4143</f>
        <v>5.2492154180413614E-2</v>
      </c>
    </row>
    <row r="6196" spans="1:4" ht="16.5" hidden="1" x14ac:dyDescent="0.3">
      <c r="A6196" s="10" t="str">
        <f>基本属性!$B$14&amp;"|"&amp;基本属性!$C$14</f>
        <v>105|4</v>
      </c>
      <c r="B6196" s="10" t="str">
        <f>参数调整!$J$37</f>
        <v>新增怪物种类2掉落</v>
      </c>
      <c r="C6196" s="8" t="str">
        <f>材料产出!$AJ$2</f>
        <v>中品注灵石</v>
      </c>
      <c r="D6196" s="224">
        <f>参数调整!$K$37*怪物掉落配置方案!$D4144</f>
        <v>6.4805128617794583E-2</v>
      </c>
    </row>
    <row r="6197" spans="1:4" ht="16.5" hidden="1" x14ac:dyDescent="0.3">
      <c r="A6197" s="10" t="str">
        <f>基本属性!$B$15&amp;"|"&amp;基本属性!$C$15</f>
        <v>110|5</v>
      </c>
      <c r="B6197" s="10" t="str">
        <f>参数调整!$J$37</f>
        <v>新增怪物种类2掉落</v>
      </c>
      <c r="C6197" s="8" t="str">
        <f>材料产出!$AJ$2</f>
        <v>中品注灵石</v>
      </c>
      <c r="D6197" s="224">
        <f>参数调整!$K$37*怪物掉落配置方案!$D4145</f>
        <v>7.8414205627531458E-2</v>
      </c>
    </row>
    <row r="6198" spans="1:4" ht="16.5" hidden="1" x14ac:dyDescent="0.3">
      <c r="A6198" s="10" t="str">
        <f>基本属性!$B$16&amp;"|"&amp;基本属性!$C$16</f>
        <v>120|6</v>
      </c>
      <c r="B6198" s="10" t="str">
        <f>参数调整!$J$37</f>
        <v>新增怪物种类2掉落</v>
      </c>
      <c r="C6198" s="8" t="str">
        <f>材料产出!$AJ$2</f>
        <v>中品注灵石</v>
      </c>
      <c r="D6198" s="224">
        <f>参数调整!$K$37*怪物掉落配置方案!$D4146</f>
        <v>0.10125801346530404</v>
      </c>
    </row>
    <row r="6199" spans="1:4" ht="16.5" hidden="1" x14ac:dyDescent="0.3">
      <c r="A6199" s="10" t="str">
        <f>基本属性!$B$17&amp;"|"&amp;基本属性!$C$17</f>
        <v>135|7</v>
      </c>
      <c r="B6199" s="10" t="str">
        <f>参数调整!$J$37</f>
        <v>新增怪物种类2掉落</v>
      </c>
      <c r="C6199" s="8" t="str">
        <f>材料产出!$AJ$2</f>
        <v>中品注灵石</v>
      </c>
      <c r="D6199" s="224">
        <f>参数调整!$K$37*怪物掉落配置方案!$D4147</f>
        <v>0.14581153939003783</v>
      </c>
    </row>
    <row r="6200" spans="1:4" ht="16.5" hidden="1" x14ac:dyDescent="0.3">
      <c r="A6200" s="10" t="str">
        <f>基本属性!$B$18&amp;"|"&amp;基本属性!$C$18</f>
        <v>155|8</v>
      </c>
      <c r="B6200" s="10" t="str">
        <f>参数调整!$J$37</f>
        <v>新增怪物种类2掉落</v>
      </c>
      <c r="C6200" s="8" t="str">
        <f>材料产出!$AJ$2</f>
        <v>中品注灵石</v>
      </c>
      <c r="D6200" s="224">
        <f>参数调整!$K$37*怪物掉落配置方案!$D4148</f>
        <v>0.1984657063919959</v>
      </c>
    </row>
    <row r="6201" spans="1:4" ht="16.5" hidden="1" x14ac:dyDescent="0.3">
      <c r="A6201" s="10" t="str">
        <f>基本属性!$B$19&amp;"|"&amp;基本属性!$C$19</f>
        <v>190|9</v>
      </c>
      <c r="B6201" s="10" t="str">
        <f>参数调整!$J$37</f>
        <v>新增怪物种类2掉落</v>
      </c>
      <c r="C6201" s="8" t="str">
        <f>材料产出!$AJ$2</f>
        <v>中品注灵石</v>
      </c>
      <c r="D6201" s="224">
        <f>参数调整!$K$37*怪物掉落配置方案!$D4149</f>
        <v>0.22179555269440199</v>
      </c>
    </row>
    <row r="6202" spans="1:4" ht="16.5" hidden="1" x14ac:dyDescent="0.3">
      <c r="A6202" s="10" t="str">
        <f>基本属性!$B$20&amp;"|"&amp;基本属性!$C$20</f>
        <v>200|10</v>
      </c>
      <c r="B6202" s="10" t="str">
        <f>参数调整!$J$37</f>
        <v>新增怪物种类2掉落</v>
      </c>
      <c r="C6202" s="8" t="str">
        <f>材料产出!$AJ$2</f>
        <v>中品注灵石</v>
      </c>
      <c r="D6202" s="224">
        <f>参数调整!$K$37*怪物掉落配置方案!$D4150</f>
        <v>0.25922051447117833</v>
      </c>
    </row>
    <row r="6203" spans="1:4" ht="16.5" hidden="1" x14ac:dyDescent="0.3">
      <c r="A6203" s="10" t="str">
        <f>基本属性!$B$21&amp;"|"&amp;基本属性!$C$21</f>
        <v>200|11</v>
      </c>
      <c r="B6203" s="10" t="str">
        <f>参数调整!$J$37</f>
        <v>新增怪物种类2掉落</v>
      </c>
      <c r="C6203" s="8" t="str">
        <f>材料产出!$AJ$2</f>
        <v>中品注灵石</v>
      </c>
      <c r="D6203" s="224">
        <f>参数调整!$K$37*怪物掉落配置方案!$D4151</f>
        <v>0.29956170703575541</v>
      </c>
    </row>
    <row r="6204" spans="1:4" ht="16.5" hidden="1" x14ac:dyDescent="0.3">
      <c r="A6204" s="10" t="str">
        <f>基本属性!$B$22&amp;"|"&amp;基本属性!$C$22</f>
        <v>210|12</v>
      </c>
      <c r="B6204" s="10" t="str">
        <f>参数调整!$J$37</f>
        <v>新增怪物种类2掉落</v>
      </c>
      <c r="C6204" s="8" t="str">
        <f>材料产出!$AJ$2</f>
        <v>中品注灵石</v>
      </c>
      <c r="D6204" s="224">
        <f>参数调整!$K$37*怪物掉落配置方案!$D4152</f>
        <v>0.34281913038813322</v>
      </c>
    </row>
    <row r="6205" spans="1:4" ht="16.5" hidden="1" x14ac:dyDescent="0.3">
      <c r="A6205" s="10" t="str">
        <f>基本属性!$B$23&amp;"|"&amp;基本属性!$C$23</f>
        <v>210|13</v>
      </c>
      <c r="B6205" s="10" t="str">
        <f>参数调整!$J$37</f>
        <v>新增怪物种类2掉落</v>
      </c>
      <c r="C6205" s="8" t="str">
        <f>材料产出!$AJ$2</f>
        <v>中品注灵石</v>
      </c>
      <c r="D6205" s="224">
        <f>参数调整!$K$37*怪物掉落配置方案!$D4153</f>
        <v>0.38899278452831199</v>
      </c>
    </row>
    <row r="6206" spans="1:4" ht="16.5" hidden="1" x14ac:dyDescent="0.3">
      <c r="A6206" s="10" t="str">
        <f>基本属性!$B$24&amp;"|"&amp;基本属性!$C$24</f>
        <v>220|14</v>
      </c>
      <c r="B6206" s="10" t="str">
        <f>参数调整!$J$37</f>
        <v>新增怪物种类2掉落</v>
      </c>
      <c r="C6206" s="8" t="str">
        <f>材料产出!$AJ$2</f>
        <v>中品注灵石</v>
      </c>
      <c r="D6206" s="224">
        <f>参数调整!$K$37*怪物掉落配置方案!$D4154</f>
        <v>0.43808266945629137</v>
      </c>
    </row>
    <row r="6207" spans="1:4" ht="16.5" hidden="1" x14ac:dyDescent="0.3">
      <c r="A6207" s="10" t="str">
        <f>基本属性!$B$25&amp;"|"&amp;基本属性!$C$25</f>
        <v>220|15</v>
      </c>
      <c r="B6207" s="10" t="str">
        <f>参数调整!$J$37</f>
        <v>新增怪物种类2掉落</v>
      </c>
      <c r="C6207" s="8" t="str">
        <f>材料产出!$AJ$2</f>
        <v>中品注灵石</v>
      </c>
      <c r="D6207" s="224">
        <f>参数调整!$K$37*怪物掉落配置方案!$D4155</f>
        <v>0.49008878517207149</v>
      </c>
    </row>
    <row r="6208" spans="1:4" ht="16.5" hidden="1" x14ac:dyDescent="0.3">
      <c r="A6208" s="10" t="str">
        <f>基本属性!$B$26&amp;"|"&amp;基本属性!$C$26</f>
        <v>230|16</v>
      </c>
      <c r="B6208" s="10" t="str">
        <f>参数调整!$J$37</f>
        <v>新增怪物种类2掉落</v>
      </c>
      <c r="C6208" s="8" t="str">
        <f>材料产出!$AJ$2</f>
        <v>中品注灵石</v>
      </c>
      <c r="D6208" s="224">
        <f>参数调整!$K$37*怪物掉落配置方案!$D4156</f>
        <v>0.54501113167565229</v>
      </c>
    </row>
    <row r="6209" spans="1:4" ht="16.5" hidden="1" x14ac:dyDescent="0.3">
      <c r="A6209" s="10" t="str">
        <f>基本属性!$B$27&amp;"|"&amp;基本属性!$C$27</f>
        <v>230|17</v>
      </c>
      <c r="B6209" s="10" t="str">
        <f>参数调整!$J$37</f>
        <v>新增怪物种类2掉落</v>
      </c>
      <c r="C6209" s="8" t="str">
        <f>材料产出!$AJ$2</f>
        <v>中品注灵石</v>
      </c>
      <c r="D6209" s="224">
        <f>参数调整!$K$37*怪物掉落配置方案!$D4157</f>
        <v>0.60284970896703405</v>
      </c>
    </row>
    <row r="6210" spans="1:4" ht="16.5" hidden="1" x14ac:dyDescent="0.3">
      <c r="A6210" s="10" t="str">
        <f>基本属性!$B$28&amp;"|"&amp;基本属性!$C$28</f>
        <v>240|18</v>
      </c>
      <c r="B6210" s="10" t="str">
        <f>参数调整!$J$37</f>
        <v>新增怪物种类2掉落</v>
      </c>
      <c r="C6210" s="8" t="str">
        <f>材料产出!$AJ$2</f>
        <v>中品注灵石</v>
      </c>
      <c r="D6210" s="224">
        <f>参数调整!$K$37*怪物掉落配置方案!$D4158</f>
        <v>0.66360451704621659</v>
      </c>
    </row>
    <row r="6211" spans="1:4" ht="16.5" hidden="1" x14ac:dyDescent="0.3">
      <c r="A6211" s="10" t="str">
        <f>基本属性!$B$29&amp;"|"&amp;基本属性!$C$29</f>
        <v>240|19</v>
      </c>
      <c r="B6211" s="10" t="str">
        <f>参数调整!$J$37</f>
        <v>新增怪物种类2掉落</v>
      </c>
      <c r="C6211" s="8" t="str">
        <f>材料产出!$AJ$2</f>
        <v>中品注灵石</v>
      </c>
      <c r="D6211" s="224">
        <f>参数调整!$K$37*怪物掉落配置方案!$D4159</f>
        <v>0.7272755559131997</v>
      </c>
    </row>
    <row r="6212" spans="1:4" ht="16.5" hidden="1" x14ac:dyDescent="0.3">
      <c r="A6212" s="10" t="str">
        <f>基本属性!$B$30&amp;"|"&amp;基本属性!$C$30</f>
        <v>250|20</v>
      </c>
      <c r="B6212" s="10" t="str">
        <f>参数调整!$J$37</f>
        <v>新增怪物种类2掉落</v>
      </c>
      <c r="C6212" s="8" t="str">
        <f>材料产出!$AJ$2</f>
        <v>中品注灵石</v>
      </c>
      <c r="D6212" s="224">
        <f>参数调整!$K$37*怪物掉落配置方案!$D4160</f>
        <v>0.7938628255679836</v>
      </c>
    </row>
    <row r="6213" spans="1:4" ht="16.5" hidden="1" x14ac:dyDescent="0.3">
      <c r="A6213" s="10" t="str">
        <f>基本属性!$B$4&amp;"|"&amp;基本属性!$C$4</f>
        <v>35|0</v>
      </c>
      <c r="B6213" s="10" t="str">
        <f>参数调整!$J$37</f>
        <v>新增怪物种类2掉落</v>
      </c>
      <c r="C6213" s="8" t="str">
        <f>材料产出!$J$2</f>
        <v>元宝</v>
      </c>
      <c r="D6213" s="224">
        <f>参数调整!$K$37*怪物掉落配置方案!$D4161</f>
        <v>134</v>
      </c>
    </row>
    <row r="6214" spans="1:4" ht="16.5" hidden="1" x14ac:dyDescent="0.3">
      <c r="A6214" s="10" t="str">
        <f>基本属性!$B$5&amp;"|"&amp;基本属性!$C$5</f>
        <v>40|0</v>
      </c>
      <c r="B6214" s="10" t="str">
        <f>参数调整!$J$37</f>
        <v>新增怪物种类2掉落</v>
      </c>
      <c r="C6214" s="8" t="str">
        <f>材料产出!$J$2</f>
        <v>元宝</v>
      </c>
      <c r="D6214" s="224">
        <f>参数调整!$K$37*怪物掉落配置方案!$D4162</f>
        <v>170</v>
      </c>
    </row>
    <row r="6215" spans="1:4" ht="16.5" hidden="1" x14ac:dyDescent="0.3">
      <c r="A6215" s="10" t="str">
        <f>基本属性!$B$6&amp;"|"&amp;基本属性!$C$6</f>
        <v>50|0</v>
      </c>
      <c r="B6215" s="10" t="str">
        <f>参数调整!$J$37</f>
        <v>新增怪物种类2掉落</v>
      </c>
      <c r="C6215" s="8" t="str">
        <f>材料产出!$J$2</f>
        <v>元宝</v>
      </c>
      <c r="D6215" s="224">
        <f>参数调整!$K$37*怪物掉落配置方案!$D4163</f>
        <v>210</v>
      </c>
    </row>
    <row r="6216" spans="1:4" ht="16.5" hidden="1" x14ac:dyDescent="0.3">
      <c r="A6216" s="10" t="str">
        <f>基本属性!$B$7&amp;"|"&amp;基本属性!$C$7</f>
        <v>60|0</v>
      </c>
      <c r="B6216" s="10" t="str">
        <f>参数调整!$J$37</f>
        <v>新增怪物种类2掉落</v>
      </c>
      <c r="C6216" s="8" t="str">
        <f>材料产出!$J$2</f>
        <v>元宝</v>
      </c>
      <c r="D6216" s="224">
        <f>参数调整!$K$37*怪物掉落配置方案!$D4164</f>
        <v>254</v>
      </c>
    </row>
    <row r="6217" spans="1:4" ht="16.5" hidden="1" x14ac:dyDescent="0.3">
      <c r="A6217" s="10" t="str">
        <f>基本属性!$B$8&amp;"|"&amp;基本属性!$C$8</f>
        <v>65|0</v>
      </c>
      <c r="B6217" s="10" t="str">
        <f>参数调整!$J$37</f>
        <v>新增怪物种类2掉落</v>
      </c>
      <c r="C6217" s="8" t="str">
        <f>材料产出!$J$2</f>
        <v>元宝</v>
      </c>
      <c r="D6217" s="224">
        <f>参数调整!$K$37*怪物掉落配置方案!$D4165</f>
        <v>302</v>
      </c>
    </row>
    <row r="6218" spans="1:4" ht="16.5" hidden="1" x14ac:dyDescent="0.3">
      <c r="A6218" s="10" t="str">
        <f>基本属性!$B$9&amp;"|"&amp;基本属性!$C$9</f>
        <v>70|0</v>
      </c>
      <c r="B6218" s="10" t="str">
        <f>参数调整!$J$37</f>
        <v>新增怪物种类2掉落</v>
      </c>
      <c r="C6218" s="8" t="str">
        <f>材料产出!$J$2</f>
        <v>元宝</v>
      </c>
      <c r="D6218" s="224">
        <f>参数调整!$K$37*怪物掉落配置方案!$D4166</f>
        <v>354</v>
      </c>
    </row>
    <row r="6219" spans="1:4" ht="16.5" hidden="1" x14ac:dyDescent="0.3">
      <c r="A6219" s="10" t="str">
        <f>基本属性!$B$10&amp;"|"&amp;基本属性!$C$10</f>
        <v>75|0</v>
      </c>
      <c r="B6219" s="10" t="str">
        <f>参数调整!$J$37</f>
        <v>新增怪物种类2掉落</v>
      </c>
      <c r="C6219" s="8" t="str">
        <f>材料产出!$J$2</f>
        <v>元宝</v>
      </c>
      <c r="D6219" s="224">
        <f>参数调整!$K$37*怪物掉落配置方案!$D4167</f>
        <v>410</v>
      </c>
    </row>
    <row r="6220" spans="1:4" ht="16.5" hidden="1" x14ac:dyDescent="0.3">
      <c r="A6220" s="10" t="str">
        <f>基本属性!$B$11&amp;"|"&amp;基本属性!$C$11</f>
        <v>80|1</v>
      </c>
      <c r="B6220" s="10" t="str">
        <f>参数调整!$J$37</f>
        <v>新增怪物种类2掉落</v>
      </c>
      <c r="C6220" s="8" t="str">
        <f>材料产出!$J$2</f>
        <v>元宝</v>
      </c>
      <c r="D6220" s="224">
        <f>参数调整!$K$37*怪物掉落配置方案!$D4168</f>
        <v>472</v>
      </c>
    </row>
    <row r="6221" spans="1:4" ht="16.5" hidden="1" x14ac:dyDescent="0.3">
      <c r="A6221" s="10" t="str">
        <f>基本属性!$B$12&amp;"|"&amp;基本属性!$C$12</f>
        <v>90|2</v>
      </c>
      <c r="B6221" s="10" t="str">
        <f>参数调整!$J$37</f>
        <v>新增怪物种类2掉落</v>
      </c>
      <c r="C6221" s="8" t="str">
        <f>材料产出!$J$2</f>
        <v>元宝</v>
      </c>
      <c r="D6221" s="224">
        <f>参数调整!$K$37*怪物掉落配置方案!$D4169</f>
        <v>536</v>
      </c>
    </row>
    <row r="6222" spans="1:4" ht="16.5" hidden="1" x14ac:dyDescent="0.3">
      <c r="A6222" s="10" t="str">
        <f>基本属性!$B$13&amp;"|"&amp;基本属性!$C$13</f>
        <v>100|3</v>
      </c>
      <c r="B6222" s="10" t="str">
        <f>参数调整!$J$37</f>
        <v>新增怪物种类2掉落</v>
      </c>
      <c r="C6222" s="8" t="str">
        <f>材料产出!$J$2</f>
        <v>元宝</v>
      </c>
      <c r="D6222" s="224">
        <f>参数调整!$K$37*怪物掉落配置方案!$D4170</f>
        <v>678</v>
      </c>
    </row>
    <row r="6223" spans="1:4" ht="16.5" hidden="1" x14ac:dyDescent="0.3">
      <c r="A6223" s="10" t="str">
        <f>基本属性!$B$14&amp;"|"&amp;基本属性!$C$14</f>
        <v>105|4</v>
      </c>
      <c r="B6223" s="10" t="str">
        <f>参数调整!$J$37</f>
        <v>新增怪物种类2掉落</v>
      </c>
      <c r="C6223" s="8" t="str">
        <f>材料产出!$J$2</f>
        <v>元宝</v>
      </c>
      <c r="D6223" s="224">
        <f>参数调整!$K$37*怪物掉落配置方案!$D4171</f>
        <v>838</v>
      </c>
    </row>
    <row r="6224" spans="1:4" ht="16.5" hidden="1" x14ac:dyDescent="0.3">
      <c r="A6224" s="10" t="str">
        <f>基本属性!$B$15&amp;"|"&amp;基本属性!$C$15</f>
        <v>110|5</v>
      </c>
      <c r="B6224" s="10" t="str">
        <f>参数调整!$J$37</f>
        <v>新增怪物种类2掉落</v>
      </c>
      <c r="C6224" s="8" t="str">
        <f>材料产出!$J$2</f>
        <v>元宝</v>
      </c>
      <c r="D6224" s="224">
        <f>参数调整!$K$37*怪物掉落配置方案!$D4172</f>
        <v>1014</v>
      </c>
    </row>
    <row r="6225" spans="1:4" ht="16.5" hidden="1" x14ac:dyDescent="0.3">
      <c r="A6225" s="10" t="str">
        <f>基本属性!$B$16&amp;"|"&amp;基本属性!$C$16</f>
        <v>120|6</v>
      </c>
      <c r="B6225" s="10" t="str">
        <f>参数调整!$J$37</f>
        <v>新增怪物种类2掉落</v>
      </c>
      <c r="C6225" s="8" t="str">
        <f>材料产出!$J$2</f>
        <v>元宝</v>
      </c>
      <c r="D6225" s="224">
        <f>参数调整!$K$37*怪物掉落配置方案!$D4173</f>
        <v>1310</v>
      </c>
    </row>
    <row r="6226" spans="1:4" ht="16.5" hidden="1" x14ac:dyDescent="0.3">
      <c r="A6226" s="10" t="str">
        <f>基本属性!$B$17&amp;"|"&amp;基本属性!$C$17</f>
        <v>135|7</v>
      </c>
      <c r="B6226" s="10" t="str">
        <f>参数调整!$J$37</f>
        <v>新增怪物种类2掉落</v>
      </c>
      <c r="C6226" s="8" t="str">
        <f>材料产出!$J$2</f>
        <v>元宝</v>
      </c>
      <c r="D6226" s="224">
        <f>参数调整!$K$37*怪物掉落配置方案!$D4174</f>
        <v>1886</v>
      </c>
    </row>
    <row r="6227" spans="1:4" ht="16.5" hidden="1" x14ac:dyDescent="0.3">
      <c r="A6227" s="10" t="str">
        <f>基本属性!$B$18&amp;"|"&amp;基本属性!$C$18</f>
        <v>155|8</v>
      </c>
      <c r="B6227" s="10" t="str">
        <f>参数调整!$J$37</f>
        <v>新增怪物种类2掉落</v>
      </c>
      <c r="C6227" s="8" t="str">
        <f>材料产出!$J$2</f>
        <v>元宝</v>
      </c>
      <c r="D6227" s="224">
        <f>参数调整!$K$37*怪物掉落配置方案!$D4175</f>
        <v>2568</v>
      </c>
    </row>
    <row r="6228" spans="1:4" ht="16.5" hidden="1" x14ac:dyDescent="0.3">
      <c r="A6228" s="10" t="str">
        <f>基本属性!$B$19&amp;"|"&amp;基本属性!$C$19</f>
        <v>190|9</v>
      </c>
      <c r="B6228" s="10" t="str">
        <f>参数调整!$J$37</f>
        <v>新增怪物种类2掉落</v>
      </c>
      <c r="C6228" s="8" t="str">
        <f>材料产出!$J$2</f>
        <v>元宝</v>
      </c>
      <c r="D6228" s="224">
        <f>参数调整!$K$37*怪物掉落配置方案!$D4176</f>
        <v>2868</v>
      </c>
    </row>
    <row r="6229" spans="1:4" ht="16.5" hidden="1" x14ac:dyDescent="0.3">
      <c r="A6229" s="10" t="str">
        <f>基本属性!$B$20&amp;"|"&amp;基本属性!$C$20</f>
        <v>200|10</v>
      </c>
      <c r="B6229" s="10" t="str">
        <f>参数调整!$J$37</f>
        <v>新增怪物种类2掉落</v>
      </c>
      <c r="C6229" s="8" t="str">
        <f>材料产出!$J$2</f>
        <v>元宝</v>
      </c>
      <c r="D6229" s="224">
        <f>参数调整!$K$37*怪物掉落配置方案!$D4177</f>
        <v>3354</v>
      </c>
    </row>
    <row r="6230" spans="1:4" ht="16.5" hidden="1" x14ac:dyDescent="0.3">
      <c r="A6230" s="10" t="str">
        <f>基本属性!$B$21&amp;"|"&amp;基本属性!$C$21</f>
        <v>200|11</v>
      </c>
      <c r="B6230" s="10" t="str">
        <f>参数调整!$J$37</f>
        <v>新增怪物种类2掉落</v>
      </c>
      <c r="C6230" s="8" t="str">
        <f>材料产出!$J$2</f>
        <v>元宝</v>
      </c>
      <c r="D6230" s="224">
        <f>参数调整!$K$37*怪物掉落配置方案!$D4178</f>
        <v>3874</v>
      </c>
    </row>
    <row r="6231" spans="1:4" ht="16.5" hidden="1" x14ac:dyDescent="0.3">
      <c r="A6231" s="10" t="str">
        <f>基本属性!$B$22&amp;"|"&amp;基本属性!$C$22</f>
        <v>210|12</v>
      </c>
      <c r="B6231" s="10" t="str">
        <f>参数调整!$J$37</f>
        <v>新增怪物种类2掉落</v>
      </c>
      <c r="C6231" s="8" t="str">
        <f>材料产出!$J$2</f>
        <v>元宝</v>
      </c>
      <c r="D6231" s="224">
        <f>参数调整!$K$37*怪物掉落配置方案!$D4179</f>
        <v>4434</v>
      </c>
    </row>
    <row r="6232" spans="1:4" ht="16.5" hidden="1" x14ac:dyDescent="0.3">
      <c r="A6232" s="10" t="str">
        <f>基本属性!$B$23&amp;"|"&amp;基本属性!$C$23</f>
        <v>210|13</v>
      </c>
      <c r="B6232" s="10" t="str">
        <f>参数调整!$J$37</f>
        <v>新增怪物种类2掉落</v>
      </c>
      <c r="C6232" s="8" t="str">
        <f>材料产出!$J$2</f>
        <v>元宝</v>
      </c>
      <c r="D6232" s="224">
        <f>参数调整!$K$37*怪物掉落配置方案!$D4180</f>
        <v>5032</v>
      </c>
    </row>
    <row r="6233" spans="1:4" ht="16.5" hidden="1" x14ac:dyDescent="0.3">
      <c r="A6233" s="10" t="str">
        <f>基本属性!$B$24&amp;"|"&amp;基本属性!$C$24</f>
        <v>220|14</v>
      </c>
      <c r="B6233" s="10" t="str">
        <f>参数调整!$J$37</f>
        <v>新增怪物种类2掉落</v>
      </c>
      <c r="C6233" s="8" t="str">
        <f>材料产出!$J$2</f>
        <v>元宝</v>
      </c>
      <c r="D6233" s="224">
        <f>参数调整!$K$37*怪物掉落配置方案!$D4181</f>
        <v>5666</v>
      </c>
    </row>
    <row r="6234" spans="1:4" ht="16.5" hidden="1" x14ac:dyDescent="0.3">
      <c r="A6234" s="10" t="str">
        <f>基本属性!$B$25&amp;"|"&amp;基本属性!$C$25</f>
        <v>220|15</v>
      </c>
      <c r="B6234" s="10" t="str">
        <f>参数调整!$J$37</f>
        <v>新增怪物种类2掉落</v>
      </c>
      <c r="C6234" s="8" t="str">
        <f>材料产出!$J$2</f>
        <v>元宝</v>
      </c>
      <c r="D6234" s="224">
        <f>参数调整!$K$37*怪物掉落配置方案!$D4182</f>
        <v>6340</v>
      </c>
    </row>
    <row r="6235" spans="1:4" ht="16.5" hidden="1" x14ac:dyDescent="0.3">
      <c r="A6235" s="10" t="str">
        <f>基本属性!$B$26&amp;"|"&amp;基本属性!$C$26</f>
        <v>230|16</v>
      </c>
      <c r="B6235" s="10" t="str">
        <f>参数调整!$J$37</f>
        <v>新增怪物种类2掉落</v>
      </c>
      <c r="C6235" s="8" t="str">
        <f>材料产出!$J$2</f>
        <v>元宝</v>
      </c>
      <c r="D6235" s="224">
        <f>参数调整!$K$37*怪物掉落配置方案!$D4183</f>
        <v>7050</v>
      </c>
    </row>
    <row r="6236" spans="1:4" ht="16.5" hidden="1" x14ac:dyDescent="0.3">
      <c r="A6236" s="10" t="str">
        <f>基本属性!$B$27&amp;"|"&amp;基本属性!$C$27</f>
        <v>230|17</v>
      </c>
      <c r="B6236" s="10" t="str">
        <f>参数调整!$J$37</f>
        <v>新增怪物种类2掉落</v>
      </c>
      <c r="C6236" s="8" t="str">
        <f>材料产出!$J$2</f>
        <v>元宝</v>
      </c>
      <c r="D6236" s="224">
        <f>参数调整!$K$37*怪物掉落配置方案!$D4184</f>
        <v>7798</v>
      </c>
    </row>
    <row r="6237" spans="1:4" ht="16.5" hidden="1" x14ac:dyDescent="0.3">
      <c r="A6237" s="10" t="str">
        <f>基本属性!$B$28&amp;"|"&amp;基本属性!$C$28</f>
        <v>240|18</v>
      </c>
      <c r="B6237" s="10" t="str">
        <f>参数调整!$J$37</f>
        <v>新增怪物种类2掉落</v>
      </c>
      <c r="C6237" s="8" t="str">
        <f>材料产出!$J$2</f>
        <v>元宝</v>
      </c>
      <c r="D6237" s="224">
        <f>参数调整!$K$37*怪物掉落配置方案!$D4185</f>
        <v>8584</v>
      </c>
    </row>
    <row r="6238" spans="1:4" ht="16.5" hidden="1" x14ac:dyDescent="0.3">
      <c r="A6238" s="10" t="str">
        <f>基本属性!$B$29&amp;"|"&amp;基本属性!$C$29</f>
        <v>240|19</v>
      </c>
      <c r="B6238" s="10" t="str">
        <f>参数调整!$J$37</f>
        <v>新增怪物种类2掉落</v>
      </c>
      <c r="C6238" s="8" t="str">
        <f>材料产出!$J$2</f>
        <v>元宝</v>
      </c>
      <c r="D6238" s="224">
        <f>参数调整!$K$37*怪物掉落配置方案!$D4186</f>
        <v>9408</v>
      </c>
    </row>
    <row r="6239" spans="1:4" ht="16.5" hidden="1" x14ac:dyDescent="0.3">
      <c r="A6239" s="10" t="str">
        <f>基本属性!$B$30&amp;"|"&amp;基本属性!$C$30</f>
        <v>250|20</v>
      </c>
      <c r="B6239" s="10" t="str">
        <f>参数调整!$J$37</f>
        <v>新增怪物种类2掉落</v>
      </c>
      <c r="C6239" s="8" t="str">
        <f>材料产出!$J$2</f>
        <v>元宝</v>
      </c>
      <c r="D6239" s="224">
        <f>参数调整!$K$37*怪物掉落配置方案!$D4187</f>
        <v>10268</v>
      </c>
    </row>
    <row r="6240" spans="1:4" ht="16.5" hidden="1" x14ac:dyDescent="0.3">
      <c r="A6240" s="10" t="str">
        <f>基本属性!$B$4&amp;"|"&amp;基本属性!$C$4</f>
        <v>35|0</v>
      </c>
      <c r="B6240" s="10" t="str">
        <f>参数调整!$J$37</f>
        <v>新增怪物种类2掉落</v>
      </c>
      <c r="C6240" s="8" t="str">
        <f>材料产出!$BB$2</f>
        <v>衣服碎片</v>
      </c>
      <c r="D6240" s="224">
        <f>参数调整!$K$37*怪物掉落配置方案!$D4188</f>
        <v>1.6233394416779908E-5</v>
      </c>
    </row>
    <row r="6241" spans="1:4" ht="16.5" hidden="1" x14ac:dyDescent="0.3">
      <c r="A6241" s="10" t="str">
        <f>基本属性!$B$5&amp;"|"&amp;基本属性!$C$5</f>
        <v>40|0</v>
      </c>
      <c r="B6241" s="10" t="str">
        <f>参数调整!$J$37</f>
        <v>新增怪物种类2掉落</v>
      </c>
      <c r="C6241" s="8" t="str">
        <f>材料产出!$BB$2</f>
        <v>衣服碎片</v>
      </c>
      <c r="D6241" s="224">
        <f>参数调整!$K$37*怪物掉落配置方案!$D4189</f>
        <v>2.0545389808737071E-5</v>
      </c>
    </row>
    <row r="6242" spans="1:4" ht="16.5" hidden="1" x14ac:dyDescent="0.3">
      <c r="A6242" s="10" t="str">
        <f>基本属性!$B$6&amp;"|"&amp;基本属性!$C$6</f>
        <v>50|0</v>
      </c>
      <c r="B6242" s="10" t="str">
        <f>参数调整!$J$37</f>
        <v>新增怪物种类2掉落</v>
      </c>
      <c r="C6242" s="8" t="str">
        <f>材料产出!$BB$2</f>
        <v>衣服碎片</v>
      </c>
      <c r="D6242" s="224">
        <f>参数调整!$K$37*怪物掉落配置方案!$D4190</f>
        <v>2.5364678776218609E-5</v>
      </c>
    </row>
    <row r="6243" spans="1:4" ht="16.5" hidden="1" x14ac:dyDescent="0.3">
      <c r="A6243" s="10" t="str">
        <f>基本属性!$B$7&amp;"|"&amp;基本属性!$C$7</f>
        <v>60|0</v>
      </c>
      <c r="B6243" s="10" t="str">
        <f>参数调整!$J$37</f>
        <v>新增怪物种类2掉落</v>
      </c>
      <c r="C6243" s="8" t="str">
        <f>材料产出!$BB$2</f>
        <v>衣服碎片</v>
      </c>
      <c r="D6243" s="224">
        <f>参数调整!$K$37*怪物掉落配置方案!$D4191</f>
        <v>3.0691261319224514E-5</v>
      </c>
    </row>
    <row r="6244" spans="1:4" ht="16.5" hidden="1" x14ac:dyDescent="0.3">
      <c r="A6244" s="10" t="str">
        <f>基本属性!$B$8&amp;"|"&amp;基本属性!$C$8</f>
        <v>65|0</v>
      </c>
      <c r="B6244" s="10" t="str">
        <f>参数调整!$J$37</f>
        <v>新增怪物种类2掉落</v>
      </c>
      <c r="C6244" s="8" t="str">
        <f>材料产出!$BB$2</f>
        <v>衣服碎片</v>
      </c>
      <c r="D6244" s="224">
        <f>参数调整!$K$37*怪物掉落配置方案!$D4192</f>
        <v>3.6525137437754794E-5</v>
      </c>
    </row>
    <row r="6245" spans="1:4" ht="16.5" hidden="1" x14ac:dyDescent="0.3">
      <c r="A6245" s="10" t="str">
        <f>基本属性!$B$9&amp;"|"&amp;基本属性!$C$9</f>
        <v>70|0</v>
      </c>
      <c r="B6245" s="10" t="str">
        <f>参数调整!$J$37</f>
        <v>新增怪物种类2掉落</v>
      </c>
      <c r="C6245" s="8" t="str">
        <f>材料产出!$BB$2</f>
        <v>衣服碎片</v>
      </c>
      <c r="D6245" s="224">
        <f>参数调整!$K$37*怪物掉落配置方案!$D4193</f>
        <v>4.2866307131809445E-5</v>
      </c>
    </row>
    <row r="6246" spans="1:4" ht="16.5" hidden="1" x14ac:dyDescent="0.3">
      <c r="A6246" s="10" t="str">
        <f>基本属性!$B$10&amp;"|"&amp;基本属性!$C$10</f>
        <v>75|0</v>
      </c>
      <c r="B6246" s="10" t="str">
        <f>参数调整!$J$37</f>
        <v>新增怪物种类2掉落</v>
      </c>
      <c r="C6246" s="8" t="str">
        <f>材料产出!$BB$2</f>
        <v>衣服碎片</v>
      </c>
      <c r="D6246" s="224">
        <f>参数调整!$K$37*怪物掉落配置方案!$D4194</f>
        <v>4.9714770401388461E-5</v>
      </c>
    </row>
    <row r="6247" spans="1:4" ht="16.5" hidden="1" x14ac:dyDescent="0.3">
      <c r="A6247" s="10" t="str">
        <f>基本属性!$B$11&amp;"|"&amp;基本属性!$C$11</f>
        <v>80|1</v>
      </c>
      <c r="B6247" s="10" t="str">
        <f>参数调整!$J$37</f>
        <v>新增怪物种类2掉落</v>
      </c>
      <c r="C6247" s="8" t="str">
        <f>材料产出!$BB$2</f>
        <v>衣服碎片</v>
      </c>
      <c r="D6247" s="224">
        <f>参数调整!$K$37*怪物掉落配置方案!$D4195</f>
        <v>5.7070527246491862E-5</v>
      </c>
    </row>
    <row r="6248" spans="1:4" ht="16.5" hidden="1" x14ac:dyDescent="0.3">
      <c r="A6248" s="10" t="str">
        <f>基本属性!$B$12&amp;"|"&amp;基本属性!$C$12</f>
        <v>90|2</v>
      </c>
      <c r="B6248" s="10" t="str">
        <f>参数调整!$J$37</f>
        <v>新增怪物种类2掉落</v>
      </c>
      <c r="C6248" s="8" t="str">
        <f>材料产出!$BB$2</f>
        <v>衣服碎片</v>
      </c>
      <c r="D6248" s="224">
        <f>参数调整!$K$37*怪物掉落配置方案!$D4196</f>
        <v>6.4933577667119648E-5</v>
      </c>
    </row>
    <row r="6249" spans="1:4" ht="16.5" hidden="1" x14ac:dyDescent="0.3">
      <c r="A6249" s="10" t="str">
        <f>基本属性!$B$13&amp;"|"&amp;基本属性!$C$13</f>
        <v>100|3</v>
      </c>
      <c r="B6249" s="10" t="str">
        <f>参数调整!$J$37</f>
        <v>新增怪物种类2掉落</v>
      </c>
      <c r="C6249" s="8" t="str">
        <f>材料产出!$BB$2</f>
        <v>衣服碎片</v>
      </c>
      <c r="D6249" s="224">
        <f>参数调整!$K$37*怪物掉落配置方案!$D4197</f>
        <v>8.2181559234948299E-5</v>
      </c>
    </row>
    <row r="6250" spans="1:4" ht="16.5" hidden="1" x14ac:dyDescent="0.3">
      <c r="A6250" s="10" t="str">
        <f>基本属性!$B$14&amp;"|"&amp;基本属性!$C$14</f>
        <v>105|4</v>
      </c>
      <c r="B6250" s="10" t="str">
        <f>参数调整!$J$37</f>
        <v>新增怪物种类2掉落</v>
      </c>
      <c r="C6250" s="8" t="str">
        <f>材料产出!$BB$2</f>
        <v>衣服碎片</v>
      </c>
      <c r="D6250" s="224">
        <f>参数调整!$K$37*怪物掉落配置方案!$D4198</f>
        <v>1.0145871510487443E-4</v>
      </c>
    </row>
    <row r="6251" spans="1:4" ht="16.5" hidden="1" x14ac:dyDescent="0.3">
      <c r="A6251" s="10" t="str">
        <f>基本属性!$B$15&amp;"|"&amp;基本属性!$C$15</f>
        <v>110|5</v>
      </c>
      <c r="B6251" s="10" t="str">
        <f>参数调整!$J$37</f>
        <v>新增怪物种类2掉落</v>
      </c>
      <c r="C6251" s="8" t="str">
        <f>材料产出!$BB$2</f>
        <v>衣服碎片</v>
      </c>
      <c r="D6251" s="224">
        <f>参数调整!$K$37*怪物掉落配置方案!$D4199</f>
        <v>1.2276504527689808E-4</v>
      </c>
    </row>
    <row r="6252" spans="1:4" ht="16.5" hidden="1" x14ac:dyDescent="0.3">
      <c r="A6252" s="10" t="str">
        <f>基本属性!$B$16&amp;"|"&amp;基本属性!$C$16</f>
        <v>120|6</v>
      </c>
      <c r="B6252" s="10" t="str">
        <f>参数调整!$J$37</f>
        <v>新增怪物种类2掉落</v>
      </c>
      <c r="C6252" s="8" t="str">
        <f>材料产出!$BB$2</f>
        <v>衣服碎片</v>
      </c>
      <c r="D6252" s="224">
        <f>参数调整!$K$37*怪物掉落配置方案!$D4200</f>
        <v>1.5852924235136632E-4</v>
      </c>
    </row>
    <row r="6253" spans="1:4" ht="16.5" hidden="1" x14ac:dyDescent="0.3">
      <c r="A6253" s="10" t="str">
        <f>基本属性!$B$17&amp;"|"&amp;基本属性!$C$17</f>
        <v>135|7</v>
      </c>
      <c r="B6253" s="10" t="str">
        <f>参数调整!$J$37</f>
        <v>新增怪物种类2掉落</v>
      </c>
      <c r="C6253" s="8" t="str">
        <f>材料产出!$BB$2</f>
        <v>衣服碎片</v>
      </c>
      <c r="D6253" s="224">
        <f>参数调整!$K$37*怪物掉落配置方案!$D4201</f>
        <v>2.2828210898596745E-4</v>
      </c>
    </row>
    <row r="6254" spans="1:4" ht="16.5" hidden="1" x14ac:dyDescent="0.3">
      <c r="A6254" s="10" t="str">
        <f>基本属性!$B$18&amp;"|"&amp;基本属性!$C$18</f>
        <v>155|8</v>
      </c>
      <c r="B6254" s="10" t="str">
        <f>参数调整!$J$37</f>
        <v>新增怪物种类2掉落</v>
      </c>
      <c r="C6254" s="8" t="str">
        <f>材料产出!$BB$2</f>
        <v>衣服碎片</v>
      </c>
      <c r="D6254" s="224">
        <f>参数调整!$K$37*怪物掉落配置方案!$D4202</f>
        <v>3.1071731500867796E-4</v>
      </c>
    </row>
    <row r="6255" spans="1:4" ht="16.5" hidden="1" x14ac:dyDescent="0.3">
      <c r="A6255" s="10" t="str">
        <f>基本属性!$B$19&amp;"|"&amp;基本属性!$C$19</f>
        <v>190|9</v>
      </c>
      <c r="B6255" s="10" t="str">
        <f>参数调整!$J$37</f>
        <v>新增怪物种类2掉落</v>
      </c>
      <c r="C6255" s="8" t="str">
        <f>材料产出!$BB$2</f>
        <v>衣服碎片</v>
      </c>
      <c r="D6255" s="224">
        <f>参数调整!$K$37*怪物掉落配置方案!$D4203</f>
        <v>3.4724245244643274E-4</v>
      </c>
    </row>
    <row r="6256" spans="1:4" ht="16.5" hidden="1" x14ac:dyDescent="0.3">
      <c r="A6256" s="10" t="str">
        <f>基本属性!$B$20&amp;"|"&amp;基本属性!$C$20</f>
        <v>200|10</v>
      </c>
      <c r="B6256" s="10" t="str">
        <f>参数调整!$J$37</f>
        <v>新增怪物种类2掉落</v>
      </c>
      <c r="C6256" s="8" t="str">
        <f>材料产出!$BB$2</f>
        <v>衣服碎片</v>
      </c>
      <c r="D6256" s="224">
        <f>参数调整!$K$37*怪物掉落配置方案!$D4204</f>
        <v>4.0583486041949774E-4</v>
      </c>
    </row>
    <row r="6257" spans="1:4" ht="16.5" hidden="1" x14ac:dyDescent="0.3">
      <c r="A6257" s="10" t="str">
        <f>基本属性!$B$21&amp;"|"&amp;基本属性!$C$21</f>
        <v>200|11</v>
      </c>
      <c r="B6257" s="10" t="str">
        <f>参数调整!$J$37</f>
        <v>新增怪物种类2掉落</v>
      </c>
      <c r="C6257" s="8" t="str">
        <f>材料产出!$BB$2</f>
        <v>衣服碎片</v>
      </c>
      <c r="D6257" s="224">
        <f>参数调整!$K$37*怪物掉落配置方案!$D4205</f>
        <v>4.6899291057228191E-4</v>
      </c>
    </row>
    <row r="6258" spans="1:4" ht="16.5" hidden="1" x14ac:dyDescent="0.3">
      <c r="A6258" s="10" t="str">
        <f>基本属性!$B$22&amp;"|"&amp;基本属性!$C$22</f>
        <v>210|12</v>
      </c>
      <c r="B6258" s="10" t="str">
        <f>参数调整!$J$37</f>
        <v>新增怪物种类2掉落</v>
      </c>
      <c r="C6258" s="8" t="str">
        <f>材料产出!$BB$2</f>
        <v>衣服碎片</v>
      </c>
      <c r="D6258" s="224">
        <f>参数调整!$K$37*怪物掉落配置方案!$D4206</f>
        <v>5.3671660290478557E-4</v>
      </c>
    </row>
    <row r="6259" spans="1:4" ht="16.5" hidden="1" x14ac:dyDescent="0.3">
      <c r="A6259" s="10" t="str">
        <f>基本属性!$B$23&amp;"|"&amp;基本属性!$C$23</f>
        <v>210|13</v>
      </c>
      <c r="B6259" s="10" t="str">
        <f>参数调整!$J$37</f>
        <v>新增怪物种类2掉落</v>
      </c>
      <c r="C6259" s="8" t="str">
        <f>材料产出!$BB$2</f>
        <v>衣服碎片</v>
      </c>
      <c r="D6259" s="224">
        <f>参数调整!$K$37*怪物掉落配置方案!$D4207</f>
        <v>6.0900593741700885E-4</v>
      </c>
    </row>
    <row r="6260" spans="1:4" ht="16.5" hidden="1" x14ac:dyDescent="0.3">
      <c r="A6260" s="10" t="str">
        <f>基本属性!$B$24&amp;"|"&amp;基本属性!$C$24</f>
        <v>220|14</v>
      </c>
      <c r="B6260" s="10" t="str">
        <f>参数调整!$J$37</f>
        <v>新增怪物种类2掉落</v>
      </c>
      <c r="C6260" s="8" t="str">
        <f>材料产出!$BB$2</f>
        <v>衣服碎片</v>
      </c>
      <c r="D6260" s="224">
        <f>参数调整!$K$37*怪物掉落配置方案!$D4208</f>
        <v>6.8586091410895113E-4</v>
      </c>
    </row>
    <row r="6261" spans="1:4" ht="16.5" hidden="1" x14ac:dyDescent="0.3">
      <c r="A6261" s="10" t="str">
        <f>基本属性!$B$25&amp;"|"&amp;基本属性!$C$25</f>
        <v>220|15</v>
      </c>
      <c r="B6261" s="10" t="str">
        <f>参数调整!$J$37</f>
        <v>新增怪物种类2掉落</v>
      </c>
      <c r="C6261" s="8" t="str">
        <f>材料产出!$BB$2</f>
        <v>衣服碎片</v>
      </c>
      <c r="D6261" s="224">
        <f>参数调整!$K$37*怪物掉落配置方案!$D4209</f>
        <v>7.6728153298061263E-4</v>
      </c>
    </row>
    <row r="6262" spans="1:4" ht="16.5" hidden="1" x14ac:dyDescent="0.3">
      <c r="A6262" s="10" t="str">
        <f>基本属性!$B$26&amp;"|"&amp;基本属性!$C$26</f>
        <v>230|16</v>
      </c>
      <c r="B6262" s="10" t="str">
        <f>参数调整!$J$37</f>
        <v>新增怪物种类2掉落</v>
      </c>
      <c r="C6262" s="8" t="str">
        <f>材料产出!$BB$2</f>
        <v>衣服碎片</v>
      </c>
      <c r="D6262" s="224">
        <f>参数调整!$K$37*怪物掉落配置方案!$D4210</f>
        <v>8.532677940319938E-4</v>
      </c>
    </row>
    <row r="6263" spans="1:4" ht="16.5" hidden="1" x14ac:dyDescent="0.3">
      <c r="A6263" s="10" t="str">
        <f>基本属性!$B$27&amp;"|"&amp;基本属性!$C$27</f>
        <v>230|17</v>
      </c>
      <c r="B6263" s="10" t="str">
        <f>参数调整!$J$37</f>
        <v>新增怪物种类2掉落</v>
      </c>
      <c r="C6263" s="8" t="str">
        <f>材料产出!$BB$2</f>
        <v>衣服碎片</v>
      </c>
      <c r="D6263" s="224">
        <f>参数调整!$K$37*怪物掉落配置方案!$D4211</f>
        <v>9.438196972630942E-4</v>
      </c>
    </row>
    <row r="6264" spans="1:4" ht="16.5" hidden="1" x14ac:dyDescent="0.3">
      <c r="A6264" s="10" t="str">
        <f>基本属性!$B$28&amp;"|"&amp;基本属性!$C$28</f>
        <v>240|18</v>
      </c>
      <c r="B6264" s="10" t="str">
        <f>参数调整!$J$37</f>
        <v>新增怪物种类2掉落</v>
      </c>
      <c r="C6264" s="8" t="str">
        <f>材料产出!$BB$2</f>
        <v>衣服碎片</v>
      </c>
      <c r="D6264" s="224">
        <f>参数调整!$K$37*怪物掉落配置方案!$D4212</f>
        <v>1.0389372426739141E-3</v>
      </c>
    </row>
    <row r="6265" spans="1:4" ht="16.5" hidden="1" x14ac:dyDescent="0.3">
      <c r="A6265" s="10" t="str">
        <f>基本属性!$B$29&amp;"|"&amp;基本属性!$C$29</f>
        <v>240|19</v>
      </c>
      <c r="B6265" s="10" t="str">
        <f>参数调整!$J$37</f>
        <v>新增怪物种类2掉落</v>
      </c>
      <c r="C6265" s="8" t="str">
        <f>材料产出!$BB$2</f>
        <v>衣服碎片</v>
      </c>
      <c r="D6265" s="224">
        <f>参数调整!$K$37*怪物掉落配置方案!$D4213</f>
        <v>1.1386204302644533E-3</v>
      </c>
    </row>
    <row r="6266" spans="1:4" ht="16.5" hidden="1" x14ac:dyDescent="0.3">
      <c r="A6266" s="10" t="str">
        <f>基本属性!$B$30&amp;"|"&amp;基本属性!$C$30</f>
        <v>250|20</v>
      </c>
      <c r="B6266" s="10" t="str">
        <f>参数调整!$J$37</f>
        <v>新增怪物种类2掉落</v>
      </c>
      <c r="C6266" s="8" t="str">
        <f>材料产出!$BB$2</f>
        <v>衣服碎片</v>
      </c>
      <c r="D6266" s="224">
        <f>参数调整!$K$37*怪物掉落配置方案!$D4214</f>
        <v>1.2428692600347114E-3</v>
      </c>
    </row>
    <row r="6267" spans="1:4" ht="16.5" hidden="1" x14ac:dyDescent="0.3">
      <c r="A6267" s="10" t="str">
        <f>基本属性!$B$4&amp;"|"&amp;基本属性!$C$4</f>
        <v>35|0</v>
      </c>
      <c r="B6267" s="10" t="str">
        <f>参数调整!$J$37</f>
        <v>新增怪物种类2掉落</v>
      </c>
      <c r="C6267" s="8" t="str">
        <f>材料产出!$HX$2</f>
        <v>星座装备</v>
      </c>
      <c r="D6267" s="224">
        <f>参数调整!$K$37*怪物掉落配置方案!$D4215</f>
        <v>0</v>
      </c>
    </row>
    <row r="6268" spans="1:4" ht="16.5" hidden="1" x14ac:dyDescent="0.3">
      <c r="A6268" s="10" t="str">
        <f>基本属性!$B$5&amp;"|"&amp;基本属性!$C$5</f>
        <v>40|0</v>
      </c>
      <c r="B6268" s="10" t="str">
        <f>参数调整!$J$37</f>
        <v>新增怪物种类2掉落</v>
      </c>
      <c r="C6268" s="8" t="str">
        <f>材料产出!$HX$2</f>
        <v>星座装备</v>
      </c>
      <c r="D6268" s="224">
        <f>参数调整!$K$37*怪物掉落配置方案!$D4216</f>
        <v>0</v>
      </c>
    </row>
    <row r="6269" spans="1:4" ht="16.5" hidden="1" x14ac:dyDescent="0.3">
      <c r="A6269" s="10" t="str">
        <f>基本属性!$B$6&amp;"|"&amp;基本属性!$C$6</f>
        <v>50|0</v>
      </c>
      <c r="B6269" s="10" t="str">
        <f>参数调整!$J$37</f>
        <v>新增怪物种类2掉落</v>
      </c>
      <c r="C6269" s="8" t="str">
        <f>材料产出!$HX$2</f>
        <v>星座装备</v>
      </c>
      <c r="D6269" s="224">
        <f>参数调整!$K$37*怪物掉落配置方案!$D4217</f>
        <v>0</v>
      </c>
    </row>
    <row r="6270" spans="1:4" ht="16.5" hidden="1" x14ac:dyDescent="0.3">
      <c r="A6270" s="10" t="str">
        <f>基本属性!$B$7&amp;"|"&amp;基本属性!$C$7</f>
        <v>60|0</v>
      </c>
      <c r="B6270" s="10" t="str">
        <f>参数调整!$J$37</f>
        <v>新增怪物种类2掉落</v>
      </c>
      <c r="C6270" s="8" t="str">
        <f>材料产出!$HX$2</f>
        <v>星座装备</v>
      </c>
      <c r="D6270" s="224">
        <f>参数调整!$K$37*怪物掉落配置方案!$D4218</f>
        <v>0</v>
      </c>
    </row>
    <row r="6271" spans="1:4" ht="16.5" hidden="1" x14ac:dyDescent="0.3">
      <c r="A6271" s="10" t="str">
        <f>基本属性!$B$8&amp;"|"&amp;基本属性!$C$8</f>
        <v>65|0</v>
      </c>
      <c r="B6271" s="10" t="str">
        <f>参数调整!$J$37</f>
        <v>新增怪物种类2掉落</v>
      </c>
      <c r="C6271" s="8" t="str">
        <f>材料产出!$HX$2</f>
        <v>星座装备</v>
      </c>
      <c r="D6271" s="224">
        <f>参数调整!$K$37*怪物掉落配置方案!$D4219</f>
        <v>0</v>
      </c>
    </row>
    <row r="6272" spans="1:4" ht="16.5" hidden="1" x14ac:dyDescent="0.3">
      <c r="A6272" s="10" t="str">
        <f>基本属性!$B$9&amp;"|"&amp;基本属性!$C$9</f>
        <v>70|0</v>
      </c>
      <c r="B6272" s="10" t="str">
        <f>参数调整!$J$37</f>
        <v>新增怪物种类2掉落</v>
      </c>
      <c r="C6272" s="8" t="str">
        <f>材料产出!$HX$2</f>
        <v>星座装备</v>
      </c>
      <c r="D6272" s="224">
        <f>参数调整!$K$37*怪物掉落配置方案!$D4220</f>
        <v>0</v>
      </c>
    </row>
    <row r="6273" spans="1:4" ht="16.5" hidden="1" x14ac:dyDescent="0.3">
      <c r="A6273" s="10" t="str">
        <f>基本属性!$B$10&amp;"|"&amp;基本属性!$C$10</f>
        <v>75|0</v>
      </c>
      <c r="B6273" s="10" t="str">
        <f>参数调整!$J$37</f>
        <v>新增怪物种类2掉落</v>
      </c>
      <c r="C6273" s="8" t="str">
        <f>材料产出!$HX$2</f>
        <v>星座装备</v>
      </c>
      <c r="D6273" s="224">
        <f>参数调整!$K$37*怪物掉落配置方案!$D4221</f>
        <v>0</v>
      </c>
    </row>
    <row r="6274" spans="1:4" ht="16.5" hidden="1" x14ac:dyDescent="0.3">
      <c r="A6274" s="10" t="str">
        <f>基本属性!$B$11&amp;"|"&amp;基本属性!$C$11</f>
        <v>80|1</v>
      </c>
      <c r="B6274" s="10" t="str">
        <f>参数调整!$J$37</f>
        <v>新增怪物种类2掉落</v>
      </c>
      <c r="C6274" s="8" t="str">
        <f>材料产出!$HX$2</f>
        <v>星座装备</v>
      </c>
      <c r="D6274" s="224">
        <f>参数调整!$K$37*怪物掉落配置方案!$D4222</f>
        <v>0</v>
      </c>
    </row>
    <row r="6275" spans="1:4" ht="16.5" hidden="1" x14ac:dyDescent="0.3">
      <c r="A6275" s="10" t="str">
        <f>基本属性!$B$12&amp;"|"&amp;基本属性!$C$12</f>
        <v>90|2</v>
      </c>
      <c r="B6275" s="10" t="str">
        <f>参数调整!$J$37</f>
        <v>新增怪物种类2掉落</v>
      </c>
      <c r="C6275" s="8" t="str">
        <f>材料产出!$HX$2</f>
        <v>星座装备</v>
      </c>
      <c r="D6275" s="224">
        <f>参数调整!$K$37*怪物掉落配置方案!$D4223</f>
        <v>0</v>
      </c>
    </row>
    <row r="6276" spans="1:4" ht="16.5" hidden="1" x14ac:dyDescent="0.3">
      <c r="A6276" s="10" t="str">
        <f>基本属性!$B$13&amp;"|"&amp;基本属性!$C$13</f>
        <v>100|3</v>
      </c>
      <c r="B6276" s="10" t="str">
        <f>参数调整!$J$37</f>
        <v>新增怪物种类2掉落</v>
      </c>
      <c r="C6276" s="8" t="str">
        <f>材料产出!$HX$2</f>
        <v>星座装备</v>
      </c>
      <c r="D6276" s="224">
        <f>参数调整!$K$37*怪物掉落配置方案!$D4224</f>
        <v>0</v>
      </c>
    </row>
    <row r="6277" spans="1:4" ht="16.5" hidden="1" x14ac:dyDescent="0.3">
      <c r="A6277" s="10" t="str">
        <f>基本属性!$B$14&amp;"|"&amp;基本属性!$C$14</f>
        <v>105|4</v>
      </c>
      <c r="B6277" s="10" t="str">
        <f>参数调整!$J$37</f>
        <v>新增怪物种类2掉落</v>
      </c>
      <c r="C6277" s="8" t="str">
        <f>材料产出!$HX$2</f>
        <v>星座装备</v>
      </c>
      <c r="D6277" s="224">
        <f>参数调整!$K$37*怪物掉落配置方案!$D4225</f>
        <v>0</v>
      </c>
    </row>
    <row r="6278" spans="1:4" ht="16.5" hidden="1" x14ac:dyDescent="0.3">
      <c r="A6278" s="10" t="str">
        <f>基本属性!$B$15&amp;"|"&amp;基本属性!$C$15</f>
        <v>110|5</v>
      </c>
      <c r="B6278" s="10" t="str">
        <f>参数调整!$J$37</f>
        <v>新增怪物种类2掉落</v>
      </c>
      <c r="C6278" s="8" t="str">
        <f>材料产出!$HX$2</f>
        <v>星座装备</v>
      </c>
      <c r="D6278" s="224">
        <f>参数调整!$K$37*怪物掉落配置方案!$D4226</f>
        <v>0</v>
      </c>
    </row>
    <row r="6279" spans="1:4" ht="16.5" hidden="1" x14ac:dyDescent="0.3">
      <c r="A6279" s="10" t="str">
        <f>基本属性!$B$16&amp;"|"&amp;基本属性!$C$16</f>
        <v>120|6</v>
      </c>
      <c r="B6279" s="10" t="str">
        <f>参数调整!$J$37</f>
        <v>新增怪物种类2掉落</v>
      </c>
      <c r="C6279" s="8" t="str">
        <f>材料产出!$HX$2</f>
        <v>星座装备</v>
      </c>
      <c r="D6279" s="224">
        <f>参数调整!$K$37*怪物掉落配置方案!$D4227</f>
        <v>0</v>
      </c>
    </row>
    <row r="6280" spans="1:4" ht="16.5" hidden="1" x14ac:dyDescent="0.3">
      <c r="A6280" s="10" t="str">
        <f>基本属性!$B$17&amp;"|"&amp;基本属性!$C$17</f>
        <v>135|7</v>
      </c>
      <c r="B6280" s="10" t="str">
        <f>参数调整!$J$37</f>
        <v>新增怪物种类2掉落</v>
      </c>
      <c r="C6280" s="8" t="str">
        <f>材料产出!$HX$2</f>
        <v>星座装备</v>
      </c>
      <c r="D6280" s="224">
        <f>参数调整!$K$37*怪物掉落配置方案!$D4228</f>
        <v>0</v>
      </c>
    </row>
    <row r="6281" spans="1:4" ht="16.5" hidden="1" x14ac:dyDescent="0.3">
      <c r="A6281" s="10" t="str">
        <f>基本属性!$B$18&amp;"|"&amp;基本属性!$C$18</f>
        <v>155|8</v>
      </c>
      <c r="B6281" s="10" t="str">
        <f>参数调整!$J$37</f>
        <v>新增怪物种类2掉落</v>
      </c>
      <c r="C6281" s="8" t="str">
        <f>材料产出!$HX$2</f>
        <v>星座装备</v>
      </c>
      <c r="D6281" s="224">
        <f>参数调整!$K$37*怪物掉落配置方案!$D4229</f>
        <v>0</v>
      </c>
    </row>
    <row r="6282" spans="1:4" ht="16.5" hidden="1" x14ac:dyDescent="0.3">
      <c r="A6282" s="10" t="str">
        <f>基本属性!$B$19&amp;"|"&amp;基本属性!$C$19</f>
        <v>190|9</v>
      </c>
      <c r="B6282" s="10" t="str">
        <f>参数调整!$J$37</f>
        <v>新增怪物种类2掉落</v>
      </c>
      <c r="C6282" s="8" t="str">
        <f>材料产出!$HX$2</f>
        <v>星座装备</v>
      </c>
      <c r="D6282" s="224">
        <f>参数调整!$K$37*怪物掉落配置方案!$D4230</f>
        <v>0</v>
      </c>
    </row>
    <row r="6283" spans="1:4" ht="16.5" hidden="1" x14ac:dyDescent="0.3">
      <c r="A6283" s="10" t="str">
        <f>基本属性!$B$20&amp;"|"&amp;基本属性!$C$20</f>
        <v>200|10</v>
      </c>
      <c r="B6283" s="10" t="str">
        <f>参数调整!$J$37</f>
        <v>新增怪物种类2掉落</v>
      </c>
      <c r="C6283" s="8" t="str">
        <f>材料产出!$HX$2</f>
        <v>星座装备</v>
      </c>
      <c r="D6283" s="224">
        <f>参数调整!$K$37*怪物掉落配置方案!$D4231</f>
        <v>0</v>
      </c>
    </row>
    <row r="6284" spans="1:4" ht="16.5" hidden="1" x14ac:dyDescent="0.3">
      <c r="A6284" s="10" t="str">
        <f>基本属性!$B$21&amp;"|"&amp;基本属性!$C$21</f>
        <v>200|11</v>
      </c>
      <c r="B6284" s="10" t="str">
        <f>参数调整!$J$37</f>
        <v>新增怪物种类2掉落</v>
      </c>
      <c r="C6284" s="8" t="str">
        <f>材料产出!$HX$2</f>
        <v>星座装备</v>
      </c>
      <c r="D6284" s="224">
        <f>参数调整!$K$37*怪物掉落配置方案!$D4232</f>
        <v>0</v>
      </c>
    </row>
    <row r="6285" spans="1:4" ht="16.5" hidden="1" x14ac:dyDescent="0.3">
      <c r="A6285" s="10" t="str">
        <f>基本属性!$B$22&amp;"|"&amp;基本属性!$C$22</f>
        <v>210|12</v>
      </c>
      <c r="B6285" s="10" t="str">
        <f>参数调整!$J$37</f>
        <v>新增怪物种类2掉落</v>
      </c>
      <c r="C6285" s="8" t="str">
        <f>材料产出!$HX$2</f>
        <v>星座装备</v>
      </c>
      <c r="D6285" s="224">
        <f>参数调整!$K$37*怪物掉落配置方案!$D4233</f>
        <v>0</v>
      </c>
    </row>
    <row r="6286" spans="1:4" ht="16.5" hidden="1" x14ac:dyDescent="0.3">
      <c r="A6286" s="10" t="str">
        <f>基本属性!$B$23&amp;"|"&amp;基本属性!$C$23</f>
        <v>210|13</v>
      </c>
      <c r="B6286" s="10" t="str">
        <f>参数调整!$J$37</f>
        <v>新增怪物种类2掉落</v>
      </c>
      <c r="C6286" s="8" t="str">
        <f>材料产出!$HX$2</f>
        <v>星座装备</v>
      </c>
      <c r="D6286" s="224">
        <f>参数调整!$K$37*怪物掉落配置方案!$D4234</f>
        <v>0</v>
      </c>
    </row>
    <row r="6287" spans="1:4" ht="16.5" hidden="1" x14ac:dyDescent="0.3">
      <c r="A6287" s="10" t="str">
        <f>基本属性!$B$24&amp;"|"&amp;基本属性!$C$24</f>
        <v>220|14</v>
      </c>
      <c r="B6287" s="10" t="str">
        <f>参数调整!$J$37</f>
        <v>新增怪物种类2掉落</v>
      </c>
      <c r="C6287" s="8" t="str">
        <f>材料产出!$HX$2</f>
        <v>星座装备</v>
      </c>
      <c r="D6287" s="224">
        <f>参数调整!$K$37*怪物掉落配置方案!$D4235</f>
        <v>0</v>
      </c>
    </row>
    <row r="6288" spans="1:4" ht="16.5" hidden="1" x14ac:dyDescent="0.3">
      <c r="A6288" s="10" t="str">
        <f>基本属性!$B$25&amp;"|"&amp;基本属性!$C$25</f>
        <v>220|15</v>
      </c>
      <c r="B6288" s="10" t="str">
        <f>参数调整!$J$37</f>
        <v>新增怪物种类2掉落</v>
      </c>
      <c r="C6288" s="8" t="str">
        <f>材料产出!$HX$2</f>
        <v>星座装备</v>
      </c>
      <c r="D6288" s="224">
        <f>参数调整!$K$37*怪物掉落配置方案!$D4236</f>
        <v>0</v>
      </c>
    </row>
    <row r="6289" spans="1:4" ht="16.5" hidden="1" x14ac:dyDescent="0.3">
      <c r="A6289" s="10" t="str">
        <f>基本属性!$B$26&amp;"|"&amp;基本属性!$C$26</f>
        <v>230|16</v>
      </c>
      <c r="B6289" s="10" t="str">
        <f>参数调整!$J$37</f>
        <v>新增怪物种类2掉落</v>
      </c>
      <c r="C6289" s="8" t="str">
        <f>材料产出!$HX$2</f>
        <v>星座装备</v>
      </c>
      <c r="D6289" s="224">
        <f>参数调整!$K$37*怪物掉落配置方案!$D4237</f>
        <v>0</v>
      </c>
    </row>
    <row r="6290" spans="1:4" ht="16.5" hidden="1" x14ac:dyDescent="0.3">
      <c r="A6290" s="10" t="str">
        <f>基本属性!$B$27&amp;"|"&amp;基本属性!$C$27</f>
        <v>230|17</v>
      </c>
      <c r="B6290" s="10" t="str">
        <f>参数调整!$J$37</f>
        <v>新增怪物种类2掉落</v>
      </c>
      <c r="C6290" s="8" t="str">
        <f>材料产出!$HX$2</f>
        <v>星座装备</v>
      </c>
      <c r="D6290" s="224">
        <f>参数调整!$K$37*怪物掉落配置方案!$D4238</f>
        <v>0</v>
      </c>
    </row>
    <row r="6291" spans="1:4" ht="16.5" hidden="1" x14ac:dyDescent="0.3">
      <c r="A6291" s="10" t="str">
        <f>基本属性!$B$28&amp;"|"&amp;基本属性!$C$28</f>
        <v>240|18</v>
      </c>
      <c r="B6291" s="10" t="str">
        <f>参数调整!$J$37</f>
        <v>新增怪物种类2掉落</v>
      </c>
      <c r="C6291" s="8" t="str">
        <f>材料产出!$HX$2</f>
        <v>星座装备</v>
      </c>
      <c r="D6291" s="224">
        <f>参数调整!$K$37*怪物掉落配置方案!$D4239</f>
        <v>0</v>
      </c>
    </row>
    <row r="6292" spans="1:4" ht="16.5" hidden="1" x14ac:dyDescent="0.3">
      <c r="A6292" s="10" t="str">
        <f>基本属性!$B$29&amp;"|"&amp;基本属性!$C$29</f>
        <v>240|19</v>
      </c>
      <c r="B6292" s="10" t="str">
        <f>参数调整!$J$37</f>
        <v>新增怪物种类2掉落</v>
      </c>
      <c r="C6292" s="8" t="str">
        <f>材料产出!$HX$2</f>
        <v>星座装备</v>
      </c>
      <c r="D6292" s="224">
        <f>参数调整!$K$37*怪物掉落配置方案!$D4240</f>
        <v>0</v>
      </c>
    </row>
    <row r="6293" spans="1:4" ht="16.5" hidden="1" x14ac:dyDescent="0.3">
      <c r="A6293" s="10" t="str">
        <f>基本属性!$B$30&amp;"|"&amp;基本属性!$C$30</f>
        <v>250|20</v>
      </c>
      <c r="B6293" s="10" t="str">
        <f>参数调整!$J$37</f>
        <v>新增怪物种类2掉落</v>
      </c>
      <c r="C6293" s="8" t="str">
        <f>材料产出!$HX$2</f>
        <v>星座装备</v>
      </c>
      <c r="D6293" s="224">
        <f>参数调整!$K$37*怪物掉落配置方案!$D4241</f>
        <v>0</v>
      </c>
    </row>
    <row r="6294" spans="1:4" ht="16.5" hidden="1" x14ac:dyDescent="0.3">
      <c r="A6294" s="10" t="str">
        <f>基本属性!$B$4&amp;"|"&amp;基本属性!$C$4</f>
        <v>35|0</v>
      </c>
      <c r="B6294" s="10" t="str">
        <f>参数调整!$J$37</f>
        <v>新增怪物种类2掉落</v>
      </c>
      <c r="C6294" s="8" t="str">
        <f>材料产出!$BX$2</f>
        <v>新增材料9</v>
      </c>
      <c r="D6294" s="224">
        <f>参数调整!$K$37*怪物掉落配置方案!$D4242</f>
        <v>0</v>
      </c>
    </row>
    <row r="6295" spans="1:4" ht="16.5" hidden="1" x14ac:dyDescent="0.3">
      <c r="A6295" s="10" t="str">
        <f>基本属性!$B$5&amp;"|"&amp;基本属性!$C$5</f>
        <v>40|0</v>
      </c>
      <c r="B6295" s="10" t="str">
        <f>参数调整!$J$37</f>
        <v>新增怪物种类2掉落</v>
      </c>
      <c r="C6295" s="8" t="str">
        <f>材料产出!$BX$2</f>
        <v>新增材料9</v>
      </c>
      <c r="D6295" s="224">
        <f>参数调整!$K$37*怪物掉落配置方案!$D4243</f>
        <v>0</v>
      </c>
    </row>
    <row r="6296" spans="1:4" ht="16.5" hidden="1" x14ac:dyDescent="0.3">
      <c r="A6296" s="10" t="str">
        <f>基本属性!$B$6&amp;"|"&amp;基本属性!$C$6</f>
        <v>50|0</v>
      </c>
      <c r="B6296" s="10" t="str">
        <f>参数调整!$J$37</f>
        <v>新增怪物种类2掉落</v>
      </c>
      <c r="C6296" s="8" t="str">
        <f>材料产出!$BX$2</f>
        <v>新增材料9</v>
      </c>
      <c r="D6296" s="224">
        <f>参数调整!$K$37*怪物掉落配置方案!$D4244</f>
        <v>0</v>
      </c>
    </row>
    <row r="6297" spans="1:4" ht="16.5" hidden="1" x14ac:dyDescent="0.3">
      <c r="A6297" s="10" t="str">
        <f>基本属性!$B$7&amp;"|"&amp;基本属性!$C$7</f>
        <v>60|0</v>
      </c>
      <c r="B6297" s="10" t="str">
        <f>参数调整!$J$37</f>
        <v>新增怪物种类2掉落</v>
      </c>
      <c r="C6297" s="8" t="str">
        <f>材料产出!$BX$2</f>
        <v>新增材料9</v>
      </c>
      <c r="D6297" s="224">
        <f>参数调整!$K$37*怪物掉落配置方案!$D4245</f>
        <v>0</v>
      </c>
    </row>
    <row r="6298" spans="1:4" ht="16.5" hidden="1" x14ac:dyDescent="0.3">
      <c r="A6298" s="10" t="str">
        <f>基本属性!$B$8&amp;"|"&amp;基本属性!$C$8</f>
        <v>65|0</v>
      </c>
      <c r="B6298" s="10" t="str">
        <f>参数调整!$J$37</f>
        <v>新增怪物种类2掉落</v>
      </c>
      <c r="C6298" s="8" t="str">
        <f>材料产出!$BX$2</f>
        <v>新增材料9</v>
      </c>
      <c r="D6298" s="224">
        <f>参数调整!$K$37*怪物掉落配置方案!$D4246</f>
        <v>0</v>
      </c>
    </row>
    <row r="6299" spans="1:4" ht="16.5" hidden="1" x14ac:dyDescent="0.3">
      <c r="A6299" s="10" t="str">
        <f>基本属性!$B$9&amp;"|"&amp;基本属性!$C$9</f>
        <v>70|0</v>
      </c>
      <c r="B6299" s="10" t="str">
        <f>参数调整!$J$37</f>
        <v>新增怪物种类2掉落</v>
      </c>
      <c r="C6299" s="8" t="str">
        <f>材料产出!$BX$2</f>
        <v>新增材料9</v>
      </c>
      <c r="D6299" s="224">
        <f>参数调整!$K$37*怪物掉落配置方案!$D4247</f>
        <v>0</v>
      </c>
    </row>
    <row r="6300" spans="1:4" ht="16.5" hidden="1" x14ac:dyDescent="0.3">
      <c r="A6300" s="10" t="str">
        <f>基本属性!$B$10&amp;"|"&amp;基本属性!$C$10</f>
        <v>75|0</v>
      </c>
      <c r="B6300" s="10" t="str">
        <f>参数调整!$J$37</f>
        <v>新增怪物种类2掉落</v>
      </c>
      <c r="C6300" s="8" t="str">
        <f>材料产出!$BX$2</f>
        <v>新增材料9</v>
      </c>
      <c r="D6300" s="224">
        <f>参数调整!$K$37*怪物掉落配置方案!$D4248</f>
        <v>0</v>
      </c>
    </row>
    <row r="6301" spans="1:4" ht="16.5" hidden="1" x14ac:dyDescent="0.3">
      <c r="A6301" s="10" t="str">
        <f>基本属性!$B$11&amp;"|"&amp;基本属性!$C$11</f>
        <v>80|1</v>
      </c>
      <c r="B6301" s="10" t="str">
        <f>参数调整!$J$37</f>
        <v>新增怪物种类2掉落</v>
      </c>
      <c r="C6301" s="8" t="str">
        <f>材料产出!$BX$2</f>
        <v>新增材料9</v>
      </c>
      <c r="D6301" s="224">
        <f>参数调整!$K$37*怪物掉落配置方案!$D4249</f>
        <v>0</v>
      </c>
    </row>
    <row r="6302" spans="1:4" ht="16.5" hidden="1" x14ac:dyDescent="0.3">
      <c r="A6302" s="10" t="str">
        <f>基本属性!$B$12&amp;"|"&amp;基本属性!$C$12</f>
        <v>90|2</v>
      </c>
      <c r="B6302" s="10" t="str">
        <f>参数调整!$J$37</f>
        <v>新增怪物种类2掉落</v>
      </c>
      <c r="C6302" s="8" t="str">
        <f>材料产出!$BX$2</f>
        <v>新增材料9</v>
      </c>
      <c r="D6302" s="224">
        <f>参数调整!$K$37*怪物掉落配置方案!$D4250</f>
        <v>0</v>
      </c>
    </row>
    <row r="6303" spans="1:4" ht="16.5" hidden="1" x14ac:dyDescent="0.3">
      <c r="A6303" s="10" t="str">
        <f>基本属性!$B$13&amp;"|"&amp;基本属性!$C$13</f>
        <v>100|3</v>
      </c>
      <c r="B6303" s="10" t="str">
        <f>参数调整!$J$37</f>
        <v>新增怪物种类2掉落</v>
      </c>
      <c r="C6303" s="8" t="str">
        <f>材料产出!$BX$2</f>
        <v>新增材料9</v>
      </c>
      <c r="D6303" s="224">
        <f>参数调整!$K$37*怪物掉落配置方案!$D4251</f>
        <v>0</v>
      </c>
    </row>
    <row r="6304" spans="1:4" ht="16.5" hidden="1" x14ac:dyDescent="0.3">
      <c r="A6304" s="10" t="str">
        <f>基本属性!$B$14&amp;"|"&amp;基本属性!$C$14</f>
        <v>105|4</v>
      </c>
      <c r="B6304" s="10" t="str">
        <f>参数调整!$J$37</f>
        <v>新增怪物种类2掉落</v>
      </c>
      <c r="C6304" s="8" t="str">
        <f>材料产出!$BX$2</f>
        <v>新增材料9</v>
      </c>
      <c r="D6304" s="224">
        <f>参数调整!$K$37*怪物掉落配置方案!$D4252</f>
        <v>0</v>
      </c>
    </row>
    <row r="6305" spans="1:4" ht="16.5" hidden="1" x14ac:dyDescent="0.3">
      <c r="A6305" s="10" t="str">
        <f>基本属性!$B$15&amp;"|"&amp;基本属性!$C$15</f>
        <v>110|5</v>
      </c>
      <c r="B6305" s="10" t="str">
        <f>参数调整!$J$37</f>
        <v>新增怪物种类2掉落</v>
      </c>
      <c r="C6305" s="8" t="str">
        <f>材料产出!$BX$2</f>
        <v>新增材料9</v>
      </c>
      <c r="D6305" s="224">
        <f>参数调整!$K$37*怪物掉落配置方案!$D4253</f>
        <v>0</v>
      </c>
    </row>
    <row r="6306" spans="1:4" ht="16.5" hidden="1" x14ac:dyDescent="0.3">
      <c r="A6306" s="10" t="str">
        <f>基本属性!$B$16&amp;"|"&amp;基本属性!$C$16</f>
        <v>120|6</v>
      </c>
      <c r="B6306" s="10" t="str">
        <f>参数调整!$J$37</f>
        <v>新增怪物种类2掉落</v>
      </c>
      <c r="C6306" s="8" t="str">
        <f>材料产出!$BX$2</f>
        <v>新增材料9</v>
      </c>
      <c r="D6306" s="224">
        <f>参数调整!$K$37*怪物掉落配置方案!$D4254</f>
        <v>0</v>
      </c>
    </row>
    <row r="6307" spans="1:4" ht="16.5" hidden="1" x14ac:dyDescent="0.3">
      <c r="A6307" s="10" t="str">
        <f>基本属性!$B$17&amp;"|"&amp;基本属性!$C$17</f>
        <v>135|7</v>
      </c>
      <c r="B6307" s="10" t="str">
        <f>参数调整!$J$37</f>
        <v>新增怪物种类2掉落</v>
      </c>
      <c r="C6307" s="8" t="str">
        <f>材料产出!$BX$2</f>
        <v>新增材料9</v>
      </c>
      <c r="D6307" s="224">
        <f>参数调整!$K$37*怪物掉落配置方案!$D4255</f>
        <v>0</v>
      </c>
    </row>
    <row r="6308" spans="1:4" ht="16.5" hidden="1" x14ac:dyDescent="0.3">
      <c r="A6308" s="10" t="str">
        <f>基本属性!$B$18&amp;"|"&amp;基本属性!$C$18</f>
        <v>155|8</v>
      </c>
      <c r="B6308" s="10" t="str">
        <f>参数调整!$J$37</f>
        <v>新增怪物种类2掉落</v>
      </c>
      <c r="C6308" s="8" t="str">
        <f>材料产出!$BX$2</f>
        <v>新增材料9</v>
      </c>
      <c r="D6308" s="224">
        <f>参数调整!$K$37*怪物掉落配置方案!$D4256</f>
        <v>0</v>
      </c>
    </row>
    <row r="6309" spans="1:4" ht="16.5" hidden="1" x14ac:dyDescent="0.3">
      <c r="A6309" s="10" t="str">
        <f>基本属性!$B$19&amp;"|"&amp;基本属性!$C$19</f>
        <v>190|9</v>
      </c>
      <c r="B6309" s="10" t="str">
        <f>参数调整!$J$37</f>
        <v>新增怪物种类2掉落</v>
      </c>
      <c r="C6309" s="8" t="str">
        <f>材料产出!$BX$2</f>
        <v>新增材料9</v>
      </c>
      <c r="D6309" s="224">
        <f>参数调整!$K$37*怪物掉落配置方案!$D4257</f>
        <v>0</v>
      </c>
    </row>
    <row r="6310" spans="1:4" ht="16.5" hidden="1" x14ac:dyDescent="0.3">
      <c r="A6310" s="10" t="str">
        <f>基本属性!$B$20&amp;"|"&amp;基本属性!$C$20</f>
        <v>200|10</v>
      </c>
      <c r="B6310" s="10" t="str">
        <f>参数调整!$J$37</f>
        <v>新增怪物种类2掉落</v>
      </c>
      <c r="C6310" s="8" t="str">
        <f>材料产出!$BX$2</f>
        <v>新增材料9</v>
      </c>
      <c r="D6310" s="224">
        <f>参数调整!$K$37*怪物掉落配置方案!$D4258</f>
        <v>0</v>
      </c>
    </row>
    <row r="6311" spans="1:4" ht="16.5" hidden="1" x14ac:dyDescent="0.3">
      <c r="A6311" s="10" t="str">
        <f>基本属性!$B$21&amp;"|"&amp;基本属性!$C$21</f>
        <v>200|11</v>
      </c>
      <c r="B6311" s="10" t="str">
        <f>参数调整!$J$37</f>
        <v>新增怪物种类2掉落</v>
      </c>
      <c r="C6311" s="8" t="str">
        <f>材料产出!$BX$2</f>
        <v>新增材料9</v>
      </c>
      <c r="D6311" s="224">
        <f>参数调整!$K$37*怪物掉落配置方案!$D4259</f>
        <v>0</v>
      </c>
    </row>
    <row r="6312" spans="1:4" ht="16.5" hidden="1" x14ac:dyDescent="0.3">
      <c r="A6312" s="10" t="str">
        <f>基本属性!$B$22&amp;"|"&amp;基本属性!$C$22</f>
        <v>210|12</v>
      </c>
      <c r="B6312" s="10" t="str">
        <f>参数调整!$J$37</f>
        <v>新增怪物种类2掉落</v>
      </c>
      <c r="C6312" s="8" t="str">
        <f>材料产出!$BX$2</f>
        <v>新增材料9</v>
      </c>
      <c r="D6312" s="224">
        <f>参数调整!$K$37*怪物掉落配置方案!$D4260</f>
        <v>0</v>
      </c>
    </row>
    <row r="6313" spans="1:4" ht="16.5" hidden="1" x14ac:dyDescent="0.3">
      <c r="A6313" s="10" t="str">
        <f>基本属性!$B$23&amp;"|"&amp;基本属性!$C$23</f>
        <v>210|13</v>
      </c>
      <c r="B6313" s="10" t="str">
        <f>参数调整!$J$37</f>
        <v>新增怪物种类2掉落</v>
      </c>
      <c r="C6313" s="8" t="str">
        <f>材料产出!$BX$2</f>
        <v>新增材料9</v>
      </c>
      <c r="D6313" s="224">
        <f>参数调整!$K$37*怪物掉落配置方案!$D4261</f>
        <v>0</v>
      </c>
    </row>
    <row r="6314" spans="1:4" ht="16.5" hidden="1" x14ac:dyDescent="0.3">
      <c r="A6314" s="10" t="str">
        <f>基本属性!$B$24&amp;"|"&amp;基本属性!$C$24</f>
        <v>220|14</v>
      </c>
      <c r="B6314" s="10" t="str">
        <f>参数调整!$J$37</f>
        <v>新增怪物种类2掉落</v>
      </c>
      <c r="C6314" s="8" t="str">
        <f>材料产出!$BX$2</f>
        <v>新增材料9</v>
      </c>
      <c r="D6314" s="224">
        <f>参数调整!$K$37*怪物掉落配置方案!$D4262</f>
        <v>0</v>
      </c>
    </row>
    <row r="6315" spans="1:4" ht="16.5" hidden="1" x14ac:dyDescent="0.3">
      <c r="A6315" s="10" t="str">
        <f>基本属性!$B$25&amp;"|"&amp;基本属性!$C$25</f>
        <v>220|15</v>
      </c>
      <c r="B6315" s="10" t="str">
        <f>参数调整!$J$37</f>
        <v>新增怪物种类2掉落</v>
      </c>
      <c r="C6315" s="8" t="str">
        <f>材料产出!$BX$2</f>
        <v>新增材料9</v>
      </c>
      <c r="D6315" s="224">
        <f>参数调整!$K$37*怪物掉落配置方案!$D4263</f>
        <v>0</v>
      </c>
    </row>
    <row r="6316" spans="1:4" ht="16.5" hidden="1" x14ac:dyDescent="0.3">
      <c r="A6316" s="10" t="str">
        <f>基本属性!$B$26&amp;"|"&amp;基本属性!$C$26</f>
        <v>230|16</v>
      </c>
      <c r="B6316" s="10" t="str">
        <f>参数调整!$J$37</f>
        <v>新增怪物种类2掉落</v>
      </c>
      <c r="C6316" s="8" t="str">
        <f>材料产出!$BX$2</f>
        <v>新增材料9</v>
      </c>
      <c r="D6316" s="224">
        <f>参数调整!$K$37*怪物掉落配置方案!$D4264</f>
        <v>0</v>
      </c>
    </row>
    <row r="6317" spans="1:4" ht="16.5" hidden="1" x14ac:dyDescent="0.3">
      <c r="A6317" s="10" t="str">
        <f>基本属性!$B$27&amp;"|"&amp;基本属性!$C$27</f>
        <v>230|17</v>
      </c>
      <c r="B6317" s="10" t="str">
        <f>参数调整!$J$37</f>
        <v>新增怪物种类2掉落</v>
      </c>
      <c r="C6317" s="8" t="str">
        <f>材料产出!$BX$2</f>
        <v>新增材料9</v>
      </c>
      <c r="D6317" s="224">
        <f>参数调整!$K$37*怪物掉落配置方案!$D4265</f>
        <v>0</v>
      </c>
    </row>
    <row r="6318" spans="1:4" ht="16.5" hidden="1" x14ac:dyDescent="0.3">
      <c r="A6318" s="10" t="str">
        <f>基本属性!$B$28&amp;"|"&amp;基本属性!$C$28</f>
        <v>240|18</v>
      </c>
      <c r="B6318" s="10" t="str">
        <f>参数调整!$J$37</f>
        <v>新增怪物种类2掉落</v>
      </c>
      <c r="C6318" s="8" t="str">
        <f>材料产出!$BX$2</f>
        <v>新增材料9</v>
      </c>
      <c r="D6318" s="224">
        <f>参数调整!$K$37*怪物掉落配置方案!$D4266</f>
        <v>0</v>
      </c>
    </row>
    <row r="6319" spans="1:4" ht="16.5" hidden="1" x14ac:dyDescent="0.3">
      <c r="A6319" s="10" t="str">
        <f>基本属性!$B$29&amp;"|"&amp;基本属性!$C$29</f>
        <v>240|19</v>
      </c>
      <c r="B6319" s="10" t="str">
        <f>参数调整!$J$37</f>
        <v>新增怪物种类2掉落</v>
      </c>
      <c r="C6319" s="8" t="str">
        <f>材料产出!$BX$2</f>
        <v>新增材料9</v>
      </c>
      <c r="D6319" s="224">
        <f>参数调整!$K$37*怪物掉落配置方案!$D4267</f>
        <v>0</v>
      </c>
    </row>
    <row r="6320" spans="1:4" ht="16.5" hidden="1" x14ac:dyDescent="0.3">
      <c r="A6320" s="10" t="str">
        <f>基本属性!$B$30&amp;"|"&amp;基本属性!$C$30</f>
        <v>250|20</v>
      </c>
      <c r="B6320" s="10" t="str">
        <f>参数调整!$J$37</f>
        <v>新增怪物种类2掉落</v>
      </c>
      <c r="C6320" s="8" t="str">
        <f>材料产出!$BX$2</f>
        <v>新增材料9</v>
      </c>
      <c r="D6320" s="224">
        <f>参数调整!$K$37*怪物掉落配置方案!$D4268</f>
        <v>0</v>
      </c>
    </row>
    <row r="6321" spans="1:4" ht="16.5" hidden="1" x14ac:dyDescent="0.3">
      <c r="A6321" s="10" t="str">
        <f>基本属性!$B$4&amp;"|"&amp;基本属性!$C$4</f>
        <v>35|0</v>
      </c>
      <c r="B6321" s="10" t="str">
        <f>参数调整!$J$37</f>
        <v>新增怪物种类2掉落</v>
      </c>
      <c r="C6321" s="8" t="str">
        <f>材料产出!$BV$2</f>
        <v>新增材料8</v>
      </c>
      <c r="D6321" s="224">
        <f>参数调整!$K$37*怪物掉落配置方案!$D4269</f>
        <v>0</v>
      </c>
    </row>
    <row r="6322" spans="1:4" ht="16.5" hidden="1" x14ac:dyDescent="0.3">
      <c r="A6322" s="10" t="str">
        <f>基本属性!$B$5&amp;"|"&amp;基本属性!$C$5</f>
        <v>40|0</v>
      </c>
      <c r="B6322" s="10" t="str">
        <f>参数调整!$J$37</f>
        <v>新增怪物种类2掉落</v>
      </c>
      <c r="C6322" s="8" t="str">
        <f>材料产出!$BV$2</f>
        <v>新增材料8</v>
      </c>
      <c r="D6322" s="224">
        <f>参数调整!$K$37*怪物掉落配置方案!$D4270</f>
        <v>0</v>
      </c>
    </row>
    <row r="6323" spans="1:4" ht="16.5" hidden="1" x14ac:dyDescent="0.3">
      <c r="A6323" s="10" t="str">
        <f>基本属性!$B$6&amp;"|"&amp;基本属性!$C$6</f>
        <v>50|0</v>
      </c>
      <c r="B6323" s="10" t="str">
        <f>参数调整!$J$37</f>
        <v>新增怪物种类2掉落</v>
      </c>
      <c r="C6323" s="8" t="str">
        <f>材料产出!$BV$2</f>
        <v>新增材料8</v>
      </c>
      <c r="D6323" s="224">
        <f>参数调整!$K$37*怪物掉落配置方案!$D4271</f>
        <v>0</v>
      </c>
    </row>
    <row r="6324" spans="1:4" ht="16.5" hidden="1" x14ac:dyDescent="0.3">
      <c r="A6324" s="10" t="str">
        <f>基本属性!$B$7&amp;"|"&amp;基本属性!$C$7</f>
        <v>60|0</v>
      </c>
      <c r="B6324" s="10" t="str">
        <f>参数调整!$J$37</f>
        <v>新增怪物种类2掉落</v>
      </c>
      <c r="C6324" s="8" t="str">
        <f>材料产出!$BV$2</f>
        <v>新增材料8</v>
      </c>
      <c r="D6324" s="224">
        <f>参数调整!$K$37*怪物掉落配置方案!$D4272</f>
        <v>0</v>
      </c>
    </row>
    <row r="6325" spans="1:4" ht="16.5" hidden="1" x14ac:dyDescent="0.3">
      <c r="A6325" s="10" t="str">
        <f>基本属性!$B$8&amp;"|"&amp;基本属性!$C$8</f>
        <v>65|0</v>
      </c>
      <c r="B6325" s="10" t="str">
        <f>参数调整!$J$37</f>
        <v>新增怪物种类2掉落</v>
      </c>
      <c r="C6325" s="8" t="str">
        <f>材料产出!$BV$2</f>
        <v>新增材料8</v>
      </c>
      <c r="D6325" s="224">
        <f>参数调整!$K$37*怪物掉落配置方案!$D4273</f>
        <v>0</v>
      </c>
    </row>
    <row r="6326" spans="1:4" ht="16.5" hidden="1" x14ac:dyDescent="0.3">
      <c r="A6326" s="10" t="str">
        <f>基本属性!$B$9&amp;"|"&amp;基本属性!$C$9</f>
        <v>70|0</v>
      </c>
      <c r="B6326" s="10" t="str">
        <f>参数调整!$J$37</f>
        <v>新增怪物种类2掉落</v>
      </c>
      <c r="C6326" s="8" t="str">
        <f>材料产出!$BV$2</f>
        <v>新增材料8</v>
      </c>
      <c r="D6326" s="224">
        <f>参数调整!$K$37*怪物掉落配置方案!$D4274</f>
        <v>0</v>
      </c>
    </row>
    <row r="6327" spans="1:4" ht="16.5" hidden="1" x14ac:dyDescent="0.3">
      <c r="A6327" s="10" t="str">
        <f>基本属性!$B$10&amp;"|"&amp;基本属性!$C$10</f>
        <v>75|0</v>
      </c>
      <c r="B6327" s="10" t="str">
        <f>参数调整!$J$37</f>
        <v>新增怪物种类2掉落</v>
      </c>
      <c r="C6327" s="8" t="str">
        <f>材料产出!$BV$2</f>
        <v>新增材料8</v>
      </c>
      <c r="D6327" s="224">
        <f>参数调整!$K$37*怪物掉落配置方案!$D4275</f>
        <v>0</v>
      </c>
    </row>
    <row r="6328" spans="1:4" ht="16.5" hidden="1" x14ac:dyDescent="0.3">
      <c r="A6328" s="10" t="str">
        <f>基本属性!$B$11&amp;"|"&amp;基本属性!$C$11</f>
        <v>80|1</v>
      </c>
      <c r="B6328" s="10" t="str">
        <f>参数调整!$J$37</f>
        <v>新增怪物种类2掉落</v>
      </c>
      <c r="C6328" s="8" t="str">
        <f>材料产出!$BV$2</f>
        <v>新增材料8</v>
      </c>
      <c r="D6328" s="224">
        <f>参数调整!$K$37*怪物掉落配置方案!$D4276</f>
        <v>0</v>
      </c>
    </row>
    <row r="6329" spans="1:4" ht="16.5" hidden="1" x14ac:dyDescent="0.3">
      <c r="A6329" s="10" t="str">
        <f>基本属性!$B$12&amp;"|"&amp;基本属性!$C$12</f>
        <v>90|2</v>
      </c>
      <c r="B6329" s="10" t="str">
        <f>参数调整!$J$37</f>
        <v>新增怪物种类2掉落</v>
      </c>
      <c r="C6329" s="8" t="str">
        <f>材料产出!$BV$2</f>
        <v>新增材料8</v>
      </c>
      <c r="D6329" s="224">
        <f>参数调整!$K$37*怪物掉落配置方案!$D4277</f>
        <v>0</v>
      </c>
    </row>
    <row r="6330" spans="1:4" ht="16.5" hidden="1" x14ac:dyDescent="0.3">
      <c r="A6330" s="10" t="str">
        <f>基本属性!$B$13&amp;"|"&amp;基本属性!$C$13</f>
        <v>100|3</v>
      </c>
      <c r="B6330" s="10" t="str">
        <f>参数调整!$J$37</f>
        <v>新增怪物种类2掉落</v>
      </c>
      <c r="C6330" s="8" t="str">
        <f>材料产出!$BV$2</f>
        <v>新增材料8</v>
      </c>
      <c r="D6330" s="224">
        <f>参数调整!$K$37*怪物掉落配置方案!$D4278</f>
        <v>0</v>
      </c>
    </row>
    <row r="6331" spans="1:4" ht="16.5" hidden="1" x14ac:dyDescent="0.3">
      <c r="A6331" s="10" t="str">
        <f>基本属性!$B$14&amp;"|"&amp;基本属性!$C$14</f>
        <v>105|4</v>
      </c>
      <c r="B6331" s="10" t="str">
        <f>参数调整!$J$37</f>
        <v>新增怪物种类2掉落</v>
      </c>
      <c r="C6331" s="8" t="str">
        <f>材料产出!$BV$2</f>
        <v>新增材料8</v>
      </c>
      <c r="D6331" s="224">
        <f>参数调整!$K$37*怪物掉落配置方案!$D4279</f>
        <v>0</v>
      </c>
    </row>
    <row r="6332" spans="1:4" ht="16.5" hidden="1" x14ac:dyDescent="0.3">
      <c r="A6332" s="10" t="str">
        <f>基本属性!$B$15&amp;"|"&amp;基本属性!$C$15</f>
        <v>110|5</v>
      </c>
      <c r="B6332" s="10" t="str">
        <f>参数调整!$J$37</f>
        <v>新增怪物种类2掉落</v>
      </c>
      <c r="C6332" s="8" t="str">
        <f>材料产出!$BV$2</f>
        <v>新增材料8</v>
      </c>
      <c r="D6332" s="224">
        <f>参数调整!$K$37*怪物掉落配置方案!$D4280</f>
        <v>0</v>
      </c>
    </row>
    <row r="6333" spans="1:4" ht="16.5" hidden="1" x14ac:dyDescent="0.3">
      <c r="A6333" s="10" t="str">
        <f>基本属性!$B$16&amp;"|"&amp;基本属性!$C$16</f>
        <v>120|6</v>
      </c>
      <c r="B6333" s="10" t="str">
        <f>参数调整!$J$37</f>
        <v>新增怪物种类2掉落</v>
      </c>
      <c r="C6333" s="8" t="str">
        <f>材料产出!$BV$2</f>
        <v>新增材料8</v>
      </c>
      <c r="D6333" s="224">
        <f>参数调整!$K$37*怪物掉落配置方案!$D4281</f>
        <v>0</v>
      </c>
    </row>
    <row r="6334" spans="1:4" ht="16.5" hidden="1" x14ac:dyDescent="0.3">
      <c r="A6334" s="10" t="str">
        <f>基本属性!$B$17&amp;"|"&amp;基本属性!$C$17</f>
        <v>135|7</v>
      </c>
      <c r="B6334" s="10" t="str">
        <f>参数调整!$J$37</f>
        <v>新增怪物种类2掉落</v>
      </c>
      <c r="C6334" s="8" t="str">
        <f>材料产出!$BV$2</f>
        <v>新增材料8</v>
      </c>
      <c r="D6334" s="224">
        <f>参数调整!$K$37*怪物掉落配置方案!$D4282</f>
        <v>0</v>
      </c>
    </row>
    <row r="6335" spans="1:4" ht="16.5" hidden="1" x14ac:dyDescent="0.3">
      <c r="A6335" s="10" t="str">
        <f>基本属性!$B$18&amp;"|"&amp;基本属性!$C$18</f>
        <v>155|8</v>
      </c>
      <c r="B6335" s="10" t="str">
        <f>参数调整!$J$37</f>
        <v>新增怪物种类2掉落</v>
      </c>
      <c r="C6335" s="8" t="str">
        <f>材料产出!$BV$2</f>
        <v>新增材料8</v>
      </c>
      <c r="D6335" s="224">
        <f>参数调整!$K$37*怪物掉落配置方案!$D4283</f>
        <v>0</v>
      </c>
    </row>
    <row r="6336" spans="1:4" ht="16.5" hidden="1" x14ac:dyDescent="0.3">
      <c r="A6336" s="10" t="str">
        <f>基本属性!$B$19&amp;"|"&amp;基本属性!$C$19</f>
        <v>190|9</v>
      </c>
      <c r="B6336" s="10" t="str">
        <f>参数调整!$J$37</f>
        <v>新增怪物种类2掉落</v>
      </c>
      <c r="C6336" s="8" t="str">
        <f>材料产出!$BV$2</f>
        <v>新增材料8</v>
      </c>
      <c r="D6336" s="224">
        <f>参数调整!$K$37*怪物掉落配置方案!$D4284</f>
        <v>0</v>
      </c>
    </row>
    <row r="6337" spans="1:4" ht="16.5" hidden="1" x14ac:dyDescent="0.3">
      <c r="A6337" s="10" t="str">
        <f>基本属性!$B$20&amp;"|"&amp;基本属性!$C$20</f>
        <v>200|10</v>
      </c>
      <c r="B6337" s="10" t="str">
        <f>参数调整!$J$37</f>
        <v>新增怪物种类2掉落</v>
      </c>
      <c r="C6337" s="8" t="str">
        <f>材料产出!$BV$2</f>
        <v>新增材料8</v>
      </c>
      <c r="D6337" s="224">
        <f>参数调整!$K$37*怪物掉落配置方案!$D4285</f>
        <v>0</v>
      </c>
    </row>
    <row r="6338" spans="1:4" ht="16.5" hidden="1" x14ac:dyDescent="0.3">
      <c r="A6338" s="10" t="str">
        <f>基本属性!$B$21&amp;"|"&amp;基本属性!$C$21</f>
        <v>200|11</v>
      </c>
      <c r="B6338" s="10" t="str">
        <f>参数调整!$J$37</f>
        <v>新增怪物种类2掉落</v>
      </c>
      <c r="C6338" s="8" t="str">
        <f>材料产出!$BV$2</f>
        <v>新增材料8</v>
      </c>
      <c r="D6338" s="224">
        <f>参数调整!$K$37*怪物掉落配置方案!$D4286</f>
        <v>0</v>
      </c>
    </row>
    <row r="6339" spans="1:4" ht="16.5" hidden="1" x14ac:dyDescent="0.3">
      <c r="A6339" s="10" t="str">
        <f>基本属性!$B$22&amp;"|"&amp;基本属性!$C$22</f>
        <v>210|12</v>
      </c>
      <c r="B6339" s="10" t="str">
        <f>参数调整!$J$37</f>
        <v>新增怪物种类2掉落</v>
      </c>
      <c r="C6339" s="8" t="str">
        <f>材料产出!$BV$2</f>
        <v>新增材料8</v>
      </c>
      <c r="D6339" s="224">
        <f>参数调整!$K$37*怪物掉落配置方案!$D4287</f>
        <v>0</v>
      </c>
    </row>
    <row r="6340" spans="1:4" ht="16.5" hidden="1" x14ac:dyDescent="0.3">
      <c r="A6340" s="10" t="str">
        <f>基本属性!$B$23&amp;"|"&amp;基本属性!$C$23</f>
        <v>210|13</v>
      </c>
      <c r="B6340" s="10" t="str">
        <f>参数调整!$J$37</f>
        <v>新增怪物种类2掉落</v>
      </c>
      <c r="C6340" s="8" t="str">
        <f>材料产出!$BV$2</f>
        <v>新增材料8</v>
      </c>
      <c r="D6340" s="224">
        <f>参数调整!$K$37*怪物掉落配置方案!$D4288</f>
        <v>0</v>
      </c>
    </row>
    <row r="6341" spans="1:4" ht="16.5" hidden="1" x14ac:dyDescent="0.3">
      <c r="A6341" s="10" t="str">
        <f>基本属性!$B$24&amp;"|"&amp;基本属性!$C$24</f>
        <v>220|14</v>
      </c>
      <c r="B6341" s="10" t="str">
        <f>参数调整!$J$37</f>
        <v>新增怪物种类2掉落</v>
      </c>
      <c r="C6341" s="8" t="str">
        <f>材料产出!$BV$2</f>
        <v>新增材料8</v>
      </c>
      <c r="D6341" s="224">
        <f>参数调整!$K$37*怪物掉落配置方案!$D4289</f>
        <v>0</v>
      </c>
    </row>
    <row r="6342" spans="1:4" ht="16.5" hidden="1" x14ac:dyDescent="0.3">
      <c r="A6342" s="10" t="str">
        <f>基本属性!$B$25&amp;"|"&amp;基本属性!$C$25</f>
        <v>220|15</v>
      </c>
      <c r="B6342" s="10" t="str">
        <f>参数调整!$J$37</f>
        <v>新增怪物种类2掉落</v>
      </c>
      <c r="C6342" s="8" t="str">
        <f>材料产出!$BV$2</f>
        <v>新增材料8</v>
      </c>
      <c r="D6342" s="224">
        <f>参数调整!$K$37*怪物掉落配置方案!$D4290</f>
        <v>0</v>
      </c>
    </row>
    <row r="6343" spans="1:4" ht="16.5" hidden="1" x14ac:dyDescent="0.3">
      <c r="A6343" s="10" t="str">
        <f>基本属性!$B$26&amp;"|"&amp;基本属性!$C$26</f>
        <v>230|16</v>
      </c>
      <c r="B6343" s="10" t="str">
        <f>参数调整!$J$37</f>
        <v>新增怪物种类2掉落</v>
      </c>
      <c r="C6343" s="8" t="str">
        <f>材料产出!$BV$2</f>
        <v>新增材料8</v>
      </c>
      <c r="D6343" s="224">
        <f>参数调整!$K$37*怪物掉落配置方案!$D4291</f>
        <v>0</v>
      </c>
    </row>
    <row r="6344" spans="1:4" ht="16.5" hidden="1" x14ac:dyDescent="0.3">
      <c r="A6344" s="10" t="str">
        <f>基本属性!$B$27&amp;"|"&amp;基本属性!$C$27</f>
        <v>230|17</v>
      </c>
      <c r="B6344" s="10" t="str">
        <f>参数调整!$J$37</f>
        <v>新增怪物种类2掉落</v>
      </c>
      <c r="C6344" s="8" t="str">
        <f>材料产出!$BV$2</f>
        <v>新增材料8</v>
      </c>
      <c r="D6344" s="224">
        <f>参数调整!$K$37*怪物掉落配置方案!$D4292</f>
        <v>0</v>
      </c>
    </row>
    <row r="6345" spans="1:4" ht="16.5" hidden="1" x14ac:dyDescent="0.3">
      <c r="A6345" s="10" t="str">
        <f>基本属性!$B$28&amp;"|"&amp;基本属性!$C$28</f>
        <v>240|18</v>
      </c>
      <c r="B6345" s="10" t="str">
        <f>参数调整!$J$37</f>
        <v>新增怪物种类2掉落</v>
      </c>
      <c r="C6345" s="8" t="str">
        <f>材料产出!$BV$2</f>
        <v>新增材料8</v>
      </c>
      <c r="D6345" s="224">
        <f>参数调整!$K$37*怪物掉落配置方案!$D4293</f>
        <v>0</v>
      </c>
    </row>
    <row r="6346" spans="1:4" ht="16.5" hidden="1" x14ac:dyDescent="0.3">
      <c r="A6346" s="10" t="str">
        <f>基本属性!$B$29&amp;"|"&amp;基本属性!$C$29</f>
        <v>240|19</v>
      </c>
      <c r="B6346" s="10" t="str">
        <f>参数调整!$J$37</f>
        <v>新增怪物种类2掉落</v>
      </c>
      <c r="C6346" s="8" t="str">
        <f>材料产出!$BV$2</f>
        <v>新增材料8</v>
      </c>
      <c r="D6346" s="224">
        <f>参数调整!$K$37*怪物掉落配置方案!$D4294</f>
        <v>0</v>
      </c>
    </row>
    <row r="6347" spans="1:4" ht="16.5" hidden="1" x14ac:dyDescent="0.3">
      <c r="A6347" s="10" t="str">
        <f>基本属性!$B$30&amp;"|"&amp;基本属性!$C$30</f>
        <v>250|20</v>
      </c>
      <c r="B6347" s="10" t="str">
        <f>参数调整!$J$37</f>
        <v>新增怪物种类2掉落</v>
      </c>
      <c r="C6347" s="8" t="str">
        <f>材料产出!$BV$2</f>
        <v>新增材料8</v>
      </c>
      <c r="D6347" s="224">
        <f>参数调整!$K$37*怪物掉落配置方案!$D4295</f>
        <v>0</v>
      </c>
    </row>
    <row r="6348" spans="1:4" ht="16.5" hidden="1" x14ac:dyDescent="0.3">
      <c r="A6348" s="10" t="str">
        <f>基本属性!$B$4&amp;"|"&amp;基本属性!$C$4</f>
        <v>35|0</v>
      </c>
      <c r="B6348" s="10" t="str">
        <f>参数调整!$J$37</f>
        <v>新增怪物种类2掉落</v>
      </c>
      <c r="C6348" s="8" t="str">
        <f>材料产出!$BT$2</f>
        <v>新增材料7</v>
      </c>
      <c r="D6348" s="224">
        <f>参数调整!$K$37*怪物掉落配置方案!$D4296</f>
        <v>0</v>
      </c>
    </row>
    <row r="6349" spans="1:4" ht="16.5" hidden="1" x14ac:dyDescent="0.3">
      <c r="A6349" s="10" t="str">
        <f>基本属性!$B$5&amp;"|"&amp;基本属性!$C$5</f>
        <v>40|0</v>
      </c>
      <c r="B6349" s="10" t="str">
        <f>参数调整!$J$37</f>
        <v>新增怪物种类2掉落</v>
      </c>
      <c r="C6349" s="8" t="str">
        <f>材料产出!$BT$2</f>
        <v>新增材料7</v>
      </c>
      <c r="D6349" s="224">
        <f>参数调整!$K$37*怪物掉落配置方案!$D4297</f>
        <v>0</v>
      </c>
    </row>
    <row r="6350" spans="1:4" ht="16.5" hidden="1" x14ac:dyDescent="0.3">
      <c r="A6350" s="10" t="str">
        <f>基本属性!$B$6&amp;"|"&amp;基本属性!$C$6</f>
        <v>50|0</v>
      </c>
      <c r="B6350" s="10" t="str">
        <f>参数调整!$J$37</f>
        <v>新增怪物种类2掉落</v>
      </c>
      <c r="C6350" s="8" t="str">
        <f>材料产出!$BT$2</f>
        <v>新增材料7</v>
      </c>
      <c r="D6350" s="224">
        <f>参数调整!$K$37*怪物掉落配置方案!$D4298</f>
        <v>0</v>
      </c>
    </row>
    <row r="6351" spans="1:4" ht="16.5" hidden="1" x14ac:dyDescent="0.3">
      <c r="A6351" s="10" t="str">
        <f>基本属性!$B$7&amp;"|"&amp;基本属性!$C$7</f>
        <v>60|0</v>
      </c>
      <c r="B6351" s="10" t="str">
        <f>参数调整!$J$37</f>
        <v>新增怪物种类2掉落</v>
      </c>
      <c r="C6351" s="8" t="str">
        <f>材料产出!$BT$2</f>
        <v>新增材料7</v>
      </c>
      <c r="D6351" s="224">
        <f>参数调整!$K$37*怪物掉落配置方案!$D4299</f>
        <v>0</v>
      </c>
    </row>
    <row r="6352" spans="1:4" ht="16.5" hidden="1" x14ac:dyDescent="0.3">
      <c r="A6352" s="10" t="str">
        <f>基本属性!$B$8&amp;"|"&amp;基本属性!$C$8</f>
        <v>65|0</v>
      </c>
      <c r="B6352" s="10" t="str">
        <f>参数调整!$J$37</f>
        <v>新增怪物种类2掉落</v>
      </c>
      <c r="C6352" s="8" t="str">
        <f>材料产出!$BT$2</f>
        <v>新增材料7</v>
      </c>
      <c r="D6352" s="224">
        <f>参数调整!$K$37*怪物掉落配置方案!$D4300</f>
        <v>0</v>
      </c>
    </row>
    <row r="6353" spans="1:4" ht="16.5" hidden="1" x14ac:dyDescent="0.3">
      <c r="A6353" s="10" t="str">
        <f>基本属性!$B$9&amp;"|"&amp;基本属性!$C$9</f>
        <v>70|0</v>
      </c>
      <c r="B6353" s="10" t="str">
        <f>参数调整!$J$37</f>
        <v>新增怪物种类2掉落</v>
      </c>
      <c r="C6353" s="8" t="str">
        <f>材料产出!$BT$2</f>
        <v>新增材料7</v>
      </c>
      <c r="D6353" s="224">
        <f>参数调整!$K$37*怪物掉落配置方案!$D4301</f>
        <v>0</v>
      </c>
    </row>
    <row r="6354" spans="1:4" ht="16.5" hidden="1" x14ac:dyDescent="0.3">
      <c r="A6354" s="10" t="str">
        <f>基本属性!$B$10&amp;"|"&amp;基本属性!$C$10</f>
        <v>75|0</v>
      </c>
      <c r="B6354" s="10" t="str">
        <f>参数调整!$J$37</f>
        <v>新增怪物种类2掉落</v>
      </c>
      <c r="C6354" s="8" t="str">
        <f>材料产出!$BT$2</f>
        <v>新增材料7</v>
      </c>
      <c r="D6354" s="224">
        <f>参数调整!$K$37*怪物掉落配置方案!$D4302</f>
        <v>0</v>
      </c>
    </row>
    <row r="6355" spans="1:4" ht="16.5" hidden="1" x14ac:dyDescent="0.3">
      <c r="A6355" s="10" t="str">
        <f>基本属性!$B$11&amp;"|"&amp;基本属性!$C$11</f>
        <v>80|1</v>
      </c>
      <c r="B6355" s="10" t="str">
        <f>参数调整!$J$37</f>
        <v>新增怪物种类2掉落</v>
      </c>
      <c r="C6355" s="8" t="str">
        <f>材料产出!$BT$2</f>
        <v>新增材料7</v>
      </c>
      <c r="D6355" s="224">
        <f>参数调整!$K$37*怪物掉落配置方案!$D4303</f>
        <v>0</v>
      </c>
    </row>
    <row r="6356" spans="1:4" ht="16.5" hidden="1" x14ac:dyDescent="0.3">
      <c r="A6356" s="10" t="str">
        <f>基本属性!$B$12&amp;"|"&amp;基本属性!$C$12</f>
        <v>90|2</v>
      </c>
      <c r="B6356" s="10" t="str">
        <f>参数调整!$J$37</f>
        <v>新增怪物种类2掉落</v>
      </c>
      <c r="C6356" s="8" t="str">
        <f>材料产出!$BT$2</f>
        <v>新增材料7</v>
      </c>
      <c r="D6356" s="224">
        <f>参数调整!$K$37*怪物掉落配置方案!$D4304</f>
        <v>0</v>
      </c>
    </row>
    <row r="6357" spans="1:4" ht="16.5" hidden="1" x14ac:dyDescent="0.3">
      <c r="A6357" s="10" t="str">
        <f>基本属性!$B$13&amp;"|"&amp;基本属性!$C$13</f>
        <v>100|3</v>
      </c>
      <c r="B6357" s="10" t="str">
        <f>参数调整!$J$37</f>
        <v>新增怪物种类2掉落</v>
      </c>
      <c r="C6357" s="8" t="str">
        <f>材料产出!$BT$2</f>
        <v>新增材料7</v>
      </c>
      <c r="D6357" s="224">
        <f>参数调整!$K$37*怪物掉落配置方案!$D4305</f>
        <v>0</v>
      </c>
    </row>
    <row r="6358" spans="1:4" ht="16.5" hidden="1" x14ac:dyDescent="0.3">
      <c r="A6358" s="10" t="str">
        <f>基本属性!$B$14&amp;"|"&amp;基本属性!$C$14</f>
        <v>105|4</v>
      </c>
      <c r="B6358" s="10" t="str">
        <f>参数调整!$J$37</f>
        <v>新增怪物种类2掉落</v>
      </c>
      <c r="C6358" s="8" t="str">
        <f>材料产出!$BT$2</f>
        <v>新增材料7</v>
      </c>
      <c r="D6358" s="224">
        <f>参数调整!$K$37*怪物掉落配置方案!$D4306</f>
        <v>0</v>
      </c>
    </row>
    <row r="6359" spans="1:4" ht="16.5" hidden="1" x14ac:dyDescent="0.3">
      <c r="A6359" s="10" t="str">
        <f>基本属性!$B$15&amp;"|"&amp;基本属性!$C$15</f>
        <v>110|5</v>
      </c>
      <c r="B6359" s="10" t="str">
        <f>参数调整!$J$37</f>
        <v>新增怪物种类2掉落</v>
      </c>
      <c r="C6359" s="8" t="str">
        <f>材料产出!$BT$2</f>
        <v>新增材料7</v>
      </c>
      <c r="D6359" s="224">
        <f>参数调整!$K$37*怪物掉落配置方案!$D4307</f>
        <v>0</v>
      </c>
    </row>
    <row r="6360" spans="1:4" ht="16.5" hidden="1" x14ac:dyDescent="0.3">
      <c r="A6360" s="10" t="str">
        <f>基本属性!$B$16&amp;"|"&amp;基本属性!$C$16</f>
        <v>120|6</v>
      </c>
      <c r="B6360" s="10" t="str">
        <f>参数调整!$J$37</f>
        <v>新增怪物种类2掉落</v>
      </c>
      <c r="C6360" s="8" t="str">
        <f>材料产出!$BT$2</f>
        <v>新增材料7</v>
      </c>
      <c r="D6360" s="224">
        <f>参数调整!$K$37*怪物掉落配置方案!$D4308</f>
        <v>0</v>
      </c>
    </row>
    <row r="6361" spans="1:4" ht="16.5" hidden="1" x14ac:dyDescent="0.3">
      <c r="A6361" s="10" t="str">
        <f>基本属性!$B$17&amp;"|"&amp;基本属性!$C$17</f>
        <v>135|7</v>
      </c>
      <c r="B6361" s="10" t="str">
        <f>参数调整!$J$37</f>
        <v>新增怪物种类2掉落</v>
      </c>
      <c r="C6361" s="8" t="str">
        <f>材料产出!$BT$2</f>
        <v>新增材料7</v>
      </c>
      <c r="D6361" s="224">
        <f>参数调整!$K$37*怪物掉落配置方案!$D4309</f>
        <v>0</v>
      </c>
    </row>
    <row r="6362" spans="1:4" ht="16.5" hidden="1" x14ac:dyDescent="0.3">
      <c r="A6362" s="10" t="str">
        <f>基本属性!$B$18&amp;"|"&amp;基本属性!$C$18</f>
        <v>155|8</v>
      </c>
      <c r="B6362" s="10" t="str">
        <f>参数调整!$J$37</f>
        <v>新增怪物种类2掉落</v>
      </c>
      <c r="C6362" s="8" t="str">
        <f>材料产出!$BT$2</f>
        <v>新增材料7</v>
      </c>
      <c r="D6362" s="224">
        <f>参数调整!$K$37*怪物掉落配置方案!$D4310</f>
        <v>0</v>
      </c>
    </row>
    <row r="6363" spans="1:4" ht="16.5" hidden="1" x14ac:dyDescent="0.3">
      <c r="A6363" s="10" t="str">
        <f>基本属性!$B$19&amp;"|"&amp;基本属性!$C$19</f>
        <v>190|9</v>
      </c>
      <c r="B6363" s="10" t="str">
        <f>参数调整!$J$37</f>
        <v>新增怪物种类2掉落</v>
      </c>
      <c r="C6363" s="8" t="str">
        <f>材料产出!$BT$2</f>
        <v>新增材料7</v>
      </c>
      <c r="D6363" s="224">
        <f>参数调整!$K$37*怪物掉落配置方案!$D4311</f>
        <v>0</v>
      </c>
    </row>
    <row r="6364" spans="1:4" ht="16.5" hidden="1" x14ac:dyDescent="0.3">
      <c r="A6364" s="10" t="str">
        <f>基本属性!$B$20&amp;"|"&amp;基本属性!$C$20</f>
        <v>200|10</v>
      </c>
      <c r="B6364" s="10" t="str">
        <f>参数调整!$J$37</f>
        <v>新增怪物种类2掉落</v>
      </c>
      <c r="C6364" s="8" t="str">
        <f>材料产出!$BT$2</f>
        <v>新增材料7</v>
      </c>
      <c r="D6364" s="224">
        <f>参数调整!$K$37*怪物掉落配置方案!$D4312</f>
        <v>0</v>
      </c>
    </row>
    <row r="6365" spans="1:4" ht="16.5" hidden="1" x14ac:dyDescent="0.3">
      <c r="A6365" s="10" t="str">
        <f>基本属性!$B$21&amp;"|"&amp;基本属性!$C$21</f>
        <v>200|11</v>
      </c>
      <c r="B6365" s="10" t="str">
        <f>参数调整!$J$37</f>
        <v>新增怪物种类2掉落</v>
      </c>
      <c r="C6365" s="8" t="str">
        <f>材料产出!$BT$2</f>
        <v>新增材料7</v>
      </c>
      <c r="D6365" s="224">
        <f>参数调整!$K$37*怪物掉落配置方案!$D4313</f>
        <v>0</v>
      </c>
    </row>
    <row r="6366" spans="1:4" ht="16.5" hidden="1" x14ac:dyDescent="0.3">
      <c r="A6366" s="10" t="str">
        <f>基本属性!$B$22&amp;"|"&amp;基本属性!$C$22</f>
        <v>210|12</v>
      </c>
      <c r="B6366" s="10" t="str">
        <f>参数调整!$J$37</f>
        <v>新增怪物种类2掉落</v>
      </c>
      <c r="C6366" s="8" t="str">
        <f>材料产出!$BT$2</f>
        <v>新增材料7</v>
      </c>
      <c r="D6366" s="224">
        <f>参数调整!$K$37*怪物掉落配置方案!$D4314</f>
        <v>0</v>
      </c>
    </row>
    <row r="6367" spans="1:4" ht="16.5" hidden="1" x14ac:dyDescent="0.3">
      <c r="A6367" s="10" t="str">
        <f>基本属性!$B$23&amp;"|"&amp;基本属性!$C$23</f>
        <v>210|13</v>
      </c>
      <c r="B6367" s="10" t="str">
        <f>参数调整!$J$37</f>
        <v>新增怪物种类2掉落</v>
      </c>
      <c r="C6367" s="8" t="str">
        <f>材料产出!$BT$2</f>
        <v>新增材料7</v>
      </c>
      <c r="D6367" s="224">
        <f>参数调整!$K$37*怪物掉落配置方案!$D4315</f>
        <v>0</v>
      </c>
    </row>
    <row r="6368" spans="1:4" ht="16.5" hidden="1" x14ac:dyDescent="0.3">
      <c r="A6368" s="10" t="str">
        <f>基本属性!$B$24&amp;"|"&amp;基本属性!$C$24</f>
        <v>220|14</v>
      </c>
      <c r="B6368" s="10" t="str">
        <f>参数调整!$J$37</f>
        <v>新增怪物种类2掉落</v>
      </c>
      <c r="C6368" s="8" t="str">
        <f>材料产出!$BT$2</f>
        <v>新增材料7</v>
      </c>
      <c r="D6368" s="224">
        <f>参数调整!$K$37*怪物掉落配置方案!$D4316</f>
        <v>0</v>
      </c>
    </row>
    <row r="6369" spans="1:4" ht="16.5" hidden="1" x14ac:dyDescent="0.3">
      <c r="A6369" s="10" t="str">
        <f>基本属性!$B$25&amp;"|"&amp;基本属性!$C$25</f>
        <v>220|15</v>
      </c>
      <c r="B6369" s="10" t="str">
        <f>参数调整!$J$37</f>
        <v>新增怪物种类2掉落</v>
      </c>
      <c r="C6369" s="8" t="str">
        <f>材料产出!$BT$2</f>
        <v>新增材料7</v>
      </c>
      <c r="D6369" s="224">
        <f>参数调整!$K$37*怪物掉落配置方案!$D4317</f>
        <v>0</v>
      </c>
    </row>
    <row r="6370" spans="1:4" ht="16.5" hidden="1" x14ac:dyDescent="0.3">
      <c r="A6370" s="10" t="str">
        <f>基本属性!$B$26&amp;"|"&amp;基本属性!$C$26</f>
        <v>230|16</v>
      </c>
      <c r="B6370" s="10" t="str">
        <f>参数调整!$J$37</f>
        <v>新增怪物种类2掉落</v>
      </c>
      <c r="C6370" s="8" t="str">
        <f>材料产出!$BT$2</f>
        <v>新增材料7</v>
      </c>
      <c r="D6370" s="224">
        <f>参数调整!$K$37*怪物掉落配置方案!$D4318</f>
        <v>0</v>
      </c>
    </row>
    <row r="6371" spans="1:4" ht="16.5" hidden="1" x14ac:dyDescent="0.3">
      <c r="A6371" s="10" t="str">
        <f>基本属性!$B$27&amp;"|"&amp;基本属性!$C$27</f>
        <v>230|17</v>
      </c>
      <c r="B6371" s="10" t="str">
        <f>参数调整!$J$37</f>
        <v>新增怪物种类2掉落</v>
      </c>
      <c r="C6371" s="8" t="str">
        <f>材料产出!$BT$2</f>
        <v>新增材料7</v>
      </c>
      <c r="D6371" s="224">
        <f>参数调整!$K$37*怪物掉落配置方案!$D4319</f>
        <v>0</v>
      </c>
    </row>
    <row r="6372" spans="1:4" ht="16.5" hidden="1" x14ac:dyDescent="0.3">
      <c r="A6372" s="10" t="str">
        <f>基本属性!$B$28&amp;"|"&amp;基本属性!$C$28</f>
        <v>240|18</v>
      </c>
      <c r="B6372" s="10" t="str">
        <f>参数调整!$J$37</f>
        <v>新增怪物种类2掉落</v>
      </c>
      <c r="C6372" s="8" t="str">
        <f>材料产出!$BT$2</f>
        <v>新增材料7</v>
      </c>
      <c r="D6372" s="224">
        <f>参数调整!$K$37*怪物掉落配置方案!$D4320</f>
        <v>0</v>
      </c>
    </row>
    <row r="6373" spans="1:4" ht="16.5" hidden="1" x14ac:dyDescent="0.3">
      <c r="A6373" s="10" t="str">
        <f>基本属性!$B$29&amp;"|"&amp;基本属性!$C$29</f>
        <v>240|19</v>
      </c>
      <c r="B6373" s="10" t="str">
        <f>参数调整!$J$37</f>
        <v>新增怪物种类2掉落</v>
      </c>
      <c r="C6373" s="8" t="str">
        <f>材料产出!$BT$2</f>
        <v>新增材料7</v>
      </c>
      <c r="D6373" s="224">
        <f>参数调整!$K$37*怪物掉落配置方案!$D4321</f>
        <v>0</v>
      </c>
    </row>
    <row r="6374" spans="1:4" ht="16.5" hidden="1" x14ac:dyDescent="0.3">
      <c r="A6374" s="10" t="str">
        <f>基本属性!$B$30&amp;"|"&amp;基本属性!$C$30</f>
        <v>250|20</v>
      </c>
      <c r="B6374" s="10" t="str">
        <f>参数调整!$J$37</f>
        <v>新增怪物种类2掉落</v>
      </c>
      <c r="C6374" s="8" t="str">
        <f>材料产出!$BT$2</f>
        <v>新增材料7</v>
      </c>
      <c r="D6374" s="224">
        <f>参数调整!$K$37*怪物掉落配置方案!$D4322</f>
        <v>0</v>
      </c>
    </row>
    <row r="6375" spans="1:4" ht="16.5" hidden="1" x14ac:dyDescent="0.3">
      <c r="A6375" s="10" t="str">
        <f>基本属性!$B$4&amp;"|"&amp;基本属性!$C$4</f>
        <v>35|0</v>
      </c>
      <c r="B6375" s="10" t="str">
        <f>参数调整!$J$37</f>
        <v>新增怪物种类2掉落</v>
      </c>
      <c r="C6375" s="8" t="str">
        <f>材料产出!$BR$2</f>
        <v>新增材料6</v>
      </c>
      <c r="D6375" s="224">
        <f>参数调整!$K$37*怪物掉落配置方案!$D4323</f>
        <v>0</v>
      </c>
    </row>
    <row r="6376" spans="1:4" ht="16.5" hidden="1" x14ac:dyDescent="0.3">
      <c r="A6376" s="10" t="str">
        <f>基本属性!$B$5&amp;"|"&amp;基本属性!$C$5</f>
        <v>40|0</v>
      </c>
      <c r="B6376" s="10" t="str">
        <f>参数调整!$J$37</f>
        <v>新增怪物种类2掉落</v>
      </c>
      <c r="C6376" s="8" t="str">
        <f>材料产出!$BR$2</f>
        <v>新增材料6</v>
      </c>
      <c r="D6376" s="224">
        <f>参数调整!$K$37*怪物掉落配置方案!$D4324</f>
        <v>0</v>
      </c>
    </row>
    <row r="6377" spans="1:4" ht="16.5" hidden="1" x14ac:dyDescent="0.3">
      <c r="A6377" s="10" t="str">
        <f>基本属性!$B$6&amp;"|"&amp;基本属性!$C$6</f>
        <v>50|0</v>
      </c>
      <c r="B6377" s="10" t="str">
        <f>参数调整!$J$37</f>
        <v>新增怪物种类2掉落</v>
      </c>
      <c r="C6377" s="8" t="str">
        <f>材料产出!$BR$2</f>
        <v>新增材料6</v>
      </c>
      <c r="D6377" s="224">
        <f>参数调整!$K$37*怪物掉落配置方案!$D4325</f>
        <v>0</v>
      </c>
    </row>
    <row r="6378" spans="1:4" ht="16.5" hidden="1" x14ac:dyDescent="0.3">
      <c r="A6378" s="10" t="str">
        <f>基本属性!$B$7&amp;"|"&amp;基本属性!$C$7</f>
        <v>60|0</v>
      </c>
      <c r="B6378" s="10" t="str">
        <f>参数调整!$J$37</f>
        <v>新增怪物种类2掉落</v>
      </c>
      <c r="C6378" s="8" t="str">
        <f>材料产出!$BR$2</f>
        <v>新增材料6</v>
      </c>
      <c r="D6378" s="224">
        <f>参数调整!$K$37*怪物掉落配置方案!$D4326</f>
        <v>0</v>
      </c>
    </row>
    <row r="6379" spans="1:4" ht="16.5" hidden="1" x14ac:dyDescent="0.3">
      <c r="A6379" s="10" t="str">
        <f>基本属性!$B$8&amp;"|"&amp;基本属性!$C$8</f>
        <v>65|0</v>
      </c>
      <c r="B6379" s="10" t="str">
        <f>参数调整!$J$37</f>
        <v>新增怪物种类2掉落</v>
      </c>
      <c r="C6379" s="8" t="str">
        <f>材料产出!$BR$2</f>
        <v>新增材料6</v>
      </c>
      <c r="D6379" s="224">
        <f>参数调整!$K$37*怪物掉落配置方案!$D4327</f>
        <v>0</v>
      </c>
    </row>
    <row r="6380" spans="1:4" ht="16.5" hidden="1" x14ac:dyDescent="0.3">
      <c r="A6380" s="10" t="str">
        <f>基本属性!$B$9&amp;"|"&amp;基本属性!$C$9</f>
        <v>70|0</v>
      </c>
      <c r="B6380" s="10" t="str">
        <f>参数调整!$J$37</f>
        <v>新增怪物种类2掉落</v>
      </c>
      <c r="C6380" s="8" t="str">
        <f>材料产出!$BR$2</f>
        <v>新增材料6</v>
      </c>
      <c r="D6380" s="224">
        <f>参数调整!$K$37*怪物掉落配置方案!$D4328</f>
        <v>0</v>
      </c>
    </row>
    <row r="6381" spans="1:4" ht="16.5" hidden="1" x14ac:dyDescent="0.3">
      <c r="A6381" s="10" t="str">
        <f>基本属性!$B$10&amp;"|"&amp;基本属性!$C$10</f>
        <v>75|0</v>
      </c>
      <c r="B6381" s="10" t="str">
        <f>参数调整!$J$37</f>
        <v>新增怪物种类2掉落</v>
      </c>
      <c r="C6381" s="8" t="str">
        <f>材料产出!$BR$2</f>
        <v>新增材料6</v>
      </c>
      <c r="D6381" s="224">
        <f>参数调整!$K$37*怪物掉落配置方案!$D4329</f>
        <v>0</v>
      </c>
    </row>
    <row r="6382" spans="1:4" ht="16.5" hidden="1" x14ac:dyDescent="0.3">
      <c r="A6382" s="10" t="str">
        <f>基本属性!$B$11&amp;"|"&amp;基本属性!$C$11</f>
        <v>80|1</v>
      </c>
      <c r="B6382" s="10" t="str">
        <f>参数调整!$J$37</f>
        <v>新增怪物种类2掉落</v>
      </c>
      <c r="C6382" s="8" t="str">
        <f>材料产出!$BR$2</f>
        <v>新增材料6</v>
      </c>
      <c r="D6382" s="224">
        <f>参数调整!$K$37*怪物掉落配置方案!$D4330</f>
        <v>0</v>
      </c>
    </row>
    <row r="6383" spans="1:4" ht="16.5" hidden="1" x14ac:dyDescent="0.3">
      <c r="A6383" s="10" t="str">
        <f>基本属性!$B$12&amp;"|"&amp;基本属性!$C$12</f>
        <v>90|2</v>
      </c>
      <c r="B6383" s="10" t="str">
        <f>参数调整!$J$37</f>
        <v>新增怪物种类2掉落</v>
      </c>
      <c r="C6383" s="8" t="str">
        <f>材料产出!$BR$2</f>
        <v>新增材料6</v>
      </c>
      <c r="D6383" s="224">
        <f>参数调整!$K$37*怪物掉落配置方案!$D4331</f>
        <v>0</v>
      </c>
    </row>
    <row r="6384" spans="1:4" ht="16.5" hidden="1" x14ac:dyDescent="0.3">
      <c r="A6384" s="10" t="str">
        <f>基本属性!$B$13&amp;"|"&amp;基本属性!$C$13</f>
        <v>100|3</v>
      </c>
      <c r="B6384" s="10" t="str">
        <f>参数调整!$J$37</f>
        <v>新增怪物种类2掉落</v>
      </c>
      <c r="C6384" s="8" t="str">
        <f>材料产出!$BR$2</f>
        <v>新增材料6</v>
      </c>
      <c r="D6384" s="224">
        <f>参数调整!$K$37*怪物掉落配置方案!$D4332</f>
        <v>0</v>
      </c>
    </row>
    <row r="6385" spans="1:4" ht="16.5" hidden="1" x14ac:dyDescent="0.3">
      <c r="A6385" s="10" t="str">
        <f>基本属性!$B$14&amp;"|"&amp;基本属性!$C$14</f>
        <v>105|4</v>
      </c>
      <c r="B6385" s="10" t="str">
        <f>参数调整!$J$37</f>
        <v>新增怪物种类2掉落</v>
      </c>
      <c r="C6385" s="8" t="str">
        <f>材料产出!$BR$2</f>
        <v>新增材料6</v>
      </c>
      <c r="D6385" s="224">
        <f>参数调整!$K$37*怪物掉落配置方案!$D4333</f>
        <v>0</v>
      </c>
    </row>
    <row r="6386" spans="1:4" ht="16.5" hidden="1" x14ac:dyDescent="0.3">
      <c r="A6386" s="10" t="str">
        <f>基本属性!$B$15&amp;"|"&amp;基本属性!$C$15</f>
        <v>110|5</v>
      </c>
      <c r="B6386" s="10" t="str">
        <f>参数调整!$J$37</f>
        <v>新增怪物种类2掉落</v>
      </c>
      <c r="C6386" s="8" t="str">
        <f>材料产出!$BR$2</f>
        <v>新增材料6</v>
      </c>
      <c r="D6386" s="224">
        <f>参数调整!$K$37*怪物掉落配置方案!$D4334</f>
        <v>0</v>
      </c>
    </row>
    <row r="6387" spans="1:4" ht="16.5" hidden="1" x14ac:dyDescent="0.3">
      <c r="A6387" s="10" t="str">
        <f>基本属性!$B$16&amp;"|"&amp;基本属性!$C$16</f>
        <v>120|6</v>
      </c>
      <c r="B6387" s="10" t="str">
        <f>参数调整!$J$37</f>
        <v>新增怪物种类2掉落</v>
      </c>
      <c r="C6387" s="8" t="str">
        <f>材料产出!$BR$2</f>
        <v>新增材料6</v>
      </c>
      <c r="D6387" s="224">
        <f>参数调整!$K$37*怪物掉落配置方案!$D4335</f>
        <v>0</v>
      </c>
    </row>
    <row r="6388" spans="1:4" ht="16.5" hidden="1" x14ac:dyDescent="0.3">
      <c r="A6388" s="10" t="str">
        <f>基本属性!$B$17&amp;"|"&amp;基本属性!$C$17</f>
        <v>135|7</v>
      </c>
      <c r="B6388" s="10" t="str">
        <f>参数调整!$J$37</f>
        <v>新增怪物种类2掉落</v>
      </c>
      <c r="C6388" s="8" t="str">
        <f>材料产出!$BR$2</f>
        <v>新增材料6</v>
      </c>
      <c r="D6388" s="224">
        <f>参数调整!$K$37*怪物掉落配置方案!$D4336</f>
        <v>0</v>
      </c>
    </row>
    <row r="6389" spans="1:4" ht="16.5" hidden="1" x14ac:dyDescent="0.3">
      <c r="A6389" s="10" t="str">
        <f>基本属性!$B$18&amp;"|"&amp;基本属性!$C$18</f>
        <v>155|8</v>
      </c>
      <c r="B6389" s="10" t="str">
        <f>参数调整!$J$37</f>
        <v>新增怪物种类2掉落</v>
      </c>
      <c r="C6389" s="8" t="str">
        <f>材料产出!$BR$2</f>
        <v>新增材料6</v>
      </c>
      <c r="D6389" s="224">
        <f>参数调整!$K$37*怪物掉落配置方案!$D4337</f>
        <v>0</v>
      </c>
    </row>
    <row r="6390" spans="1:4" ht="16.5" hidden="1" x14ac:dyDescent="0.3">
      <c r="A6390" s="10" t="str">
        <f>基本属性!$B$19&amp;"|"&amp;基本属性!$C$19</f>
        <v>190|9</v>
      </c>
      <c r="B6390" s="10" t="str">
        <f>参数调整!$J$37</f>
        <v>新增怪物种类2掉落</v>
      </c>
      <c r="C6390" s="8" t="str">
        <f>材料产出!$BR$2</f>
        <v>新增材料6</v>
      </c>
      <c r="D6390" s="224">
        <f>参数调整!$K$37*怪物掉落配置方案!$D4338</f>
        <v>0</v>
      </c>
    </row>
    <row r="6391" spans="1:4" ht="16.5" hidden="1" x14ac:dyDescent="0.3">
      <c r="A6391" s="10" t="str">
        <f>基本属性!$B$20&amp;"|"&amp;基本属性!$C$20</f>
        <v>200|10</v>
      </c>
      <c r="B6391" s="10" t="str">
        <f>参数调整!$J$37</f>
        <v>新增怪物种类2掉落</v>
      </c>
      <c r="C6391" s="8" t="str">
        <f>材料产出!$BR$2</f>
        <v>新增材料6</v>
      </c>
      <c r="D6391" s="224">
        <f>参数调整!$K$37*怪物掉落配置方案!$D4339</f>
        <v>0</v>
      </c>
    </row>
    <row r="6392" spans="1:4" ht="16.5" hidden="1" x14ac:dyDescent="0.3">
      <c r="A6392" s="10" t="str">
        <f>基本属性!$B$21&amp;"|"&amp;基本属性!$C$21</f>
        <v>200|11</v>
      </c>
      <c r="B6392" s="10" t="str">
        <f>参数调整!$J$37</f>
        <v>新增怪物种类2掉落</v>
      </c>
      <c r="C6392" s="8" t="str">
        <f>材料产出!$BR$2</f>
        <v>新增材料6</v>
      </c>
      <c r="D6392" s="224">
        <f>参数调整!$K$37*怪物掉落配置方案!$D4340</f>
        <v>0</v>
      </c>
    </row>
    <row r="6393" spans="1:4" ht="16.5" hidden="1" x14ac:dyDescent="0.3">
      <c r="A6393" s="10" t="str">
        <f>基本属性!$B$22&amp;"|"&amp;基本属性!$C$22</f>
        <v>210|12</v>
      </c>
      <c r="B6393" s="10" t="str">
        <f>参数调整!$J$37</f>
        <v>新增怪物种类2掉落</v>
      </c>
      <c r="C6393" s="8" t="str">
        <f>材料产出!$BR$2</f>
        <v>新增材料6</v>
      </c>
      <c r="D6393" s="224">
        <f>参数调整!$K$37*怪物掉落配置方案!$D4341</f>
        <v>0</v>
      </c>
    </row>
    <row r="6394" spans="1:4" ht="16.5" hidden="1" x14ac:dyDescent="0.3">
      <c r="A6394" s="10" t="str">
        <f>基本属性!$B$23&amp;"|"&amp;基本属性!$C$23</f>
        <v>210|13</v>
      </c>
      <c r="B6394" s="10" t="str">
        <f>参数调整!$J$37</f>
        <v>新增怪物种类2掉落</v>
      </c>
      <c r="C6394" s="8" t="str">
        <f>材料产出!$BR$2</f>
        <v>新增材料6</v>
      </c>
      <c r="D6394" s="224">
        <f>参数调整!$K$37*怪物掉落配置方案!$D4342</f>
        <v>0</v>
      </c>
    </row>
    <row r="6395" spans="1:4" ht="16.5" hidden="1" x14ac:dyDescent="0.3">
      <c r="A6395" s="10" t="str">
        <f>基本属性!$B$24&amp;"|"&amp;基本属性!$C$24</f>
        <v>220|14</v>
      </c>
      <c r="B6395" s="10" t="str">
        <f>参数调整!$J$37</f>
        <v>新增怪物种类2掉落</v>
      </c>
      <c r="C6395" s="8" t="str">
        <f>材料产出!$BR$2</f>
        <v>新增材料6</v>
      </c>
      <c r="D6395" s="224">
        <f>参数调整!$K$37*怪物掉落配置方案!$D4343</f>
        <v>0</v>
      </c>
    </row>
    <row r="6396" spans="1:4" ht="16.5" hidden="1" x14ac:dyDescent="0.3">
      <c r="A6396" s="10" t="str">
        <f>基本属性!$B$25&amp;"|"&amp;基本属性!$C$25</f>
        <v>220|15</v>
      </c>
      <c r="B6396" s="10" t="str">
        <f>参数调整!$J$37</f>
        <v>新增怪物种类2掉落</v>
      </c>
      <c r="C6396" s="8" t="str">
        <f>材料产出!$BR$2</f>
        <v>新增材料6</v>
      </c>
      <c r="D6396" s="224">
        <f>参数调整!$K$37*怪物掉落配置方案!$D4344</f>
        <v>0</v>
      </c>
    </row>
    <row r="6397" spans="1:4" ht="16.5" hidden="1" x14ac:dyDescent="0.3">
      <c r="A6397" s="10" t="str">
        <f>基本属性!$B$26&amp;"|"&amp;基本属性!$C$26</f>
        <v>230|16</v>
      </c>
      <c r="B6397" s="10" t="str">
        <f>参数调整!$J$37</f>
        <v>新增怪物种类2掉落</v>
      </c>
      <c r="C6397" s="8" t="str">
        <f>材料产出!$BR$2</f>
        <v>新增材料6</v>
      </c>
      <c r="D6397" s="224">
        <f>参数调整!$K$37*怪物掉落配置方案!$D4345</f>
        <v>0</v>
      </c>
    </row>
    <row r="6398" spans="1:4" ht="16.5" hidden="1" x14ac:dyDescent="0.3">
      <c r="A6398" s="10" t="str">
        <f>基本属性!$B$27&amp;"|"&amp;基本属性!$C$27</f>
        <v>230|17</v>
      </c>
      <c r="B6398" s="10" t="str">
        <f>参数调整!$J$37</f>
        <v>新增怪物种类2掉落</v>
      </c>
      <c r="C6398" s="8" t="str">
        <f>材料产出!$BR$2</f>
        <v>新增材料6</v>
      </c>
      <c r="D6398" s="224">
        <f>参数调整!$K$37*怪物掉落配置方案!$D4346</f>
        <v>0</v>
      </c>
    </row>
    <row r="6399" spans="1:4" ht="16.5" hidden="1" x14ac:dyDescent="0.3">
      <c r="A6399" s="10" t="str">
        <f>基本属性!$B$28&amp;"|"&amp;基本属性!$C$28</f>
        <v>240|18</v>
      </c>
      <c r="B6399" s="10" t="str">
        <f>参数调整!$J$37</f>
        <v>新增怪物种类2掉落</v>
      </c>
      <c r="C6399" s="8" t="str">
        <f>材料产出!$BR$2</f>
        <v>新增材料6</v>
      </c>
      <c r="D6399" s="224">
        <f>参数调整!$K$37*怪物掉落配置方案!$D4347</f>
        <v>0</v>
      </c>
    </row>
    <row r="6400" spans="1:4" ht="16.5" hidden="1" x14ac:dyDescent="0.3">
      <c r="A6400" s="10" t="str">
        <f>基本属性!$B$29&amp;"|"&amp;基本属性!$C$29</f>
        <v>240|19</v>
      </c>
      <c r="B6400" s="10" t="str">
        <f>参数调整!$J$37</f>
        <v>新增怪物种类2掉落</v>
      </c>
      <c r="C6400" s="8" t="str">
        <f>材料产出!$BR$2</f>
        <v>新增材料6</v>
      </c>
      <c r="D6400" s="224">
        <f>参数调整!$K$37*怪物掉落配置方案!$D4348</f>
        <v>0</v>
      </c>
    </row>
    <row r="6401" spans="1:4" ht="16.5" hidden="1" x14ac:dyDescent="0.3">
      <c r="A6401" s="10" t="str">
        <f>基本属性!$B$30&amp;"|"&amp;基本属性!$C$30</f>
        <v>250|20</v>
      </c>
      <c r="B6401" s="10" t="str">
        <f>参数调整!$J$37</f>
        <v>新增怪物种类2掉落</v>
      </c>
      <c r="C6401" s="8" t="str">
        <f>材料产出!$BR$2</f>
        <v>新增材料6</v>
      </c>
      <c r="D6401" s="224">
        <f>参数调整!$K$37*怪物掉落配置方案!$D4349</f>
        <v>0</v>
      </c>
    </row>
    <row r="6402" spans="1:4" ht="16.5" hidden="1" x14ac:dyDescent="0.3">
      <c r="A6402" s="10" t="str">
        <f>基本属性!$B$4&amp;"|"&amp;基本属性!$C$4</f>
        <v>35|0</v>
      </c>
      <c r="B6402" s="10" t="str">
        <f>参数调整!$J$37</f>
        <v>新增怪物种类2掉落</v>
      </c>
      <c r="C6402" s="8" t="str">
        <f>材料产出!$BP$2</f>
        <v>新增材料5</v>
      </c>
      <c r="D6402" s="224">
        <f>参数调整!$K$37*怪物掉落配置方案!$D4350</f>
        <v>0</v>
      </c>
    </row>
    <row r="6403" spans="1:4" ht="16.5" hidden="1" x14ac:dyDescent="0.3">
      <c r="A6403" s="10" t="str">
        <f>基本属性!$B$5&amp;"|"&amp;基本属性!$C$5</f>
        <v>40|0</v>
      </c>
      <c r="B6403" s="10" t="str">
        <f>参数调整!$J$37</f>
        <v>新增怪物种类2掉落</v>
      </c>
      <c r="C6403" s="8" t="str">
        <f>材料产出!$BP$2</f>
        <v>新增材料5</v>
      </c>
      <c r="D6403" s="224">
        <f>参数调整!$K$37*怪物掉落配置方案!$D4351</f>
        <v>0</v>
      </c>
    </row>
    <row r="6404" spans="1:4" ht="16.5" hidden="1" x14ac:dyDescent="0.3">
      <c r="A6404" s="10" t="str">
        <f>基本属性!$B$6&amp;"|"&amp;基本属性!$C$6</f>
        <v>50|0</v>
      </c>
      <c r="B6404" s="10" t="str">
        <f>参数调整!$J$37</f>
        <v>新增怪物种类2掉落</v>
      </c>
      <c r="C6404" s="8" t="str">
        <f>材料产出!$BP$2</f>
        <v>新增材料5</v>
      </c>
      <c r="D6404" s="224">
        <f>参数调整!$K$37*怪物掉落配置方案!$D4352</f>
        <v>0</v>
      </c>
    </row>
    <row r="6405" spans="1:4" ht="16.5" hidden="1" x14ac:dyDescent="0.3">
      <c r="A6405" s="10" t="str">
        <f>基本属性!$B$7&amp;"|"&amp;基本属性!$C$7</f>
        <v>60|0</v>
      </c>
      <c r="B6405" s="10" t="str">
        <f>参数调整!$J$37</f>
        <v>新增怪物种类2掉落</v>
      </c>
      <c r="C6405" s="8" t="str">
        <f>材料产出!$BP$2</f>
        <v>新增材料5</v>
      </c>
      <c r="D6405" s="224">
        <f>参数调整!$K$37*怪物掉落配置方案!$D4353</f>
        <v>0</v>
      </c>
    </row>
    <row r="6406" spans="1:4" ht="16.5" hidden="1" x14ac:dyDescent="0.3">
      <c r="A6406" s="10" t="str">
        <f>基本属性!$B$8&amp;"|"&amp;基本属性!$C$8</f>
        <v>65|0</v>
      </c>
      <c r="B6406" s="10" t="str">
        <f>参数调整!$J$37</f>
        <v>新增怪物种类2掉落</v>
      </c>
      <c r="C6406" s="8" t="str">
        <f>材料产出!$BP$2</f>
        <v>新增材料5</v>
      </c>
      <c r="D6406" s="224">
        <f>参数调整!$K$37*怪物掉落配置方案!$D4354</f>
        <v>0</v>
      </c>
    </row>
    <row r="6407" spans="1:4" ht="16.5" hidden="1" x14ac:dyDescent="0.3">
      <c r="A6407" s="10" t="str">
        <f>基本属性!$B$9&amp;"|"&amp;基本属性!$C$9</f>
        <v>70|0</v>
      </c>
      <c r="B6407" s="10" t="str">
        <f>参数调整!$J$37</f>
        <v>新增怪物种类2掉落</v>
      </c>
      <c r="C6407" s="8" t="str">
        <f>材料产出!$BP$2</f>
        <v>新增材料5</v>
      </c>
      <c r="D6407" s="224">
        <f>参数调整!$K$37*怪物掉落配置方案!$D4355</f>
        <v>0</v>
      </c>
    </row>
    <row r="6408" spans="1:4" ht="16.5" hidden="1" x14ac:dyDescent="0.3">
      <c r="A6408" s="10" t="str">
        <f>基本属性!$B$10&amp;"|"&amp;基本属性!$C$10</f>
        <v>75|0</v>
      </c>
      <c r="B6408" s="10" t="str">
        <f>参数调整!$J$37</f>
        <v>新增怪物种类2掉落</v>
      </c>
      <c r="C6408" s="8" t="str">
        <f>材料产出!$BP$2</f>
        <v>新增材料5</v>
      </c>
      <c r="D6408" s="224">
        <f>参数调整!$K$37*怪物掉落配置方案!$D4356</f>
        <v>0</v>
      </c>
    </row>
    <row r="6409" spans="1:4" ht="16.5" hidden="1" x14ac:dyDescent="0.3">
      <c r="A6409" s="10" t="str">
        <f>基本属性!$B$11&amp;"|"&amp;基本属性!$C$11</f>
        <v>80|1</v>
      </c>
      <c r="B6409" s="10" t="str">
        <f>参数调整!$J$37</f>
        <v>新增怪物种类2掉落</v>
      </c>
      <c r="C6409" s="8" t="str">
        <f>材料产出!$BP$2</f>
        <v>新增材料5</v>
      </c>
      <c r="D6409" s="224">
        <f>参数调整!$K$37*怪物掉落配置方案!$D4357</f>
        <v>0</v>
      </c>
    </row>
    <row r="6410" spans="1:4" ht="16.5" hidden="1" x14ac:dyDescent="0.3">
      <c r="A6410" s="10" t="str">
        <f>基本属性!$B$12&amp;"|"&amp;基本属性!$C$12</f>
        <v>90|2</v>
      </c>
      <c r="B6410" s="10" t="str">
        <f>参数调整!$J$37</f>
        <v>新增怪物种类2掉落</v>
      </c>
      <c r="C6410" s="8" t="str">
        <f>材料产出!$BP$2</f>
        <v>新增材料5</v>
      </c>
      <c r="D6410" s="224">
        <f>参数调整!$K$37*怪物掉落配置方案!$D4358</f>
        <v>0</v>
      </c>
    </row>
    <row r="6411" spans="1:4" ht="16.5" hidden="1" x14ac:dyDescent="0.3">
      <c r="A6411" s="10" t="str">
        <f>基本属性!$B$13&amp;"|"&amp;基本属性!$C$13</f>
        <v>100|3</v>
      </c>
      <c r="B6411" s="10" t="str">
        <f>参数调整!$J$37</f>
        <v>新增怪物种类2掉落</v>
      </c>
      <c r="C6411" s="8" t="str">
        <f>材料产出!$BP$2</f>
        <v>新增材料5</v>
      </c>
      <c r="D6411" s="224">
        <f>参数调整!$K$37*怪物掉落配置方案!$D4359</f>
        <v>0</v>
      </c>
    </row>
    <row r="6412" spans="1:4" ht="16.5" hidden="1" x14ac:dyDescent="0.3">
      <c r="A6412" s="10" t="str">
        <f>基本属性!$B$14&amp;"|"&amp;基本属性!$C$14</f>
        <v>105|4</v>
      </c>
      <c r="B6412" s="10" t="str">
        <f>参数调整!$J$37</f>
        <v>新增怪物种类2掉落</v>
      </c>
      <c r="C6412" s="8" t="str">
        <f>材料产出!$BP$2</f>
        <v>新增材料5</v>
      </c>
      <c r="D6412" s="224">
        <f>参数调整!$K$37*怪物掉落配置方案!$D4360</f>
        <v>0</v>
      </c>
    </row>
    <row r="6413" spans="1:4" ht="16.5" hidden="1" x14ac:dyDescent="0.3">
      <c r="A6413" s="10" t="str">
        <f>基本属性!$B$15&amp;"|"&amp;基本属性!$C$15</f>
        <v>110|5</v>
      </c>
      <c r="B6413" s="10" t="str">
        <f>参数调整!$J$37</f>
        <v>新增怪物种类2掉落</v>
      </c>
      <c r="C6413" s="8" t="str">
        <f>材料产出!$BP$2</f>
        <v>新增材料5</v>
      </c>
      <c r="D6413" s="224">
        <f>参数调整!$K$37*怪物掉落配置方案!$D4361</f>
        <v>0</v>
      </c>
    </row>
    <row r="6414" spans="1:4" ht="16.5" hidden="1" x14ac:dyDescent="0.3">
      <c r="A6414" s="10" t="str">
        <f>基本属性!$B$16&amp;"|"&amp;基本属性!$C$16</f>
        <v>120|6</v>
      </c>
      <c r="B6414" s="10" t="str">
        <f>参数调整!$J$37</f>
        <v>新增怪物种类2掉落</v>
      </c>
      <c r="C6414" s="8" t="str">
        <f>材料产出!$BP$2</f>
        <v>新增材料5</v>
      </c>
      <c r="D6414" s="224">
        <f>参数调整!$K$37*怪物掉落配置方案!$D4362</f>
        <v>0</v>
      </c>
    </row>
    <row r="6415" spans="1:4" ht="16.5" hidden="1" x14ac:dyDescent="0.3">
      <c r="A6415" s="10" t="str">
        <f>基本属性!$B$17&amp;"|"&amp;基本属性!$C$17</f>
        <v>135|7</v>
      </c>
      <c r="B6415" s="10" t="str">
        <f>参数调整!$J$37</f>
        <v>新增怪物种类2掉落</v>
      </c>
      <c r="C6415" s="8" t="str">
        <f>材料产出!$BP$2</f>
        <v>新增材料5</v>
      </c>
      <c r="D6415" s="224">
        <f>参数调整!$K$37*怪物掉落配置方案!$D4363</f>
        <v>0</v>
      </c>
    </row>
    <row r="6416" spans="1:4" ht="16.5" hidden="1" x14ac:dyDescent="0.3">
      <c r="A6416" s="10" t="str">
        <f>基本属性!$B$18&amp;"|"&amp;基本属性!$C$18</f>
        <v>155|8</v>
      </c>
      <c r="B6416" s="10" t="str">
        <f>参数调整!$J$37</f>
        <v>新增怪物种类2掉落</v>
      </c>
      <c r="C6416" s="8" t="str">
        <f>材料产出!$BP$2</f>
        <v>新增材料5</v>
      </c>
      <c r="D6416" s="224">
        <f>参数调整!$K$37*怪物掉落配置方案!$D4364</f>
        <v>0</v>
      </c>
    </row>
    <row r="6417" spans="1:4" ht="16.5" hidden="1" x14ac:dyDescent="0.3">
      <c r="A6417" s="10" t="str">
        <f>基本属性!$B$19&amp;"|"&amp;基本属性!$C$19</f>
        <v>190|9</v>
      </c>
      <c r="B6417" s="10" t="str">
        <f>参数调整!$J$37</f>
        <v>新增怪物种类2掉落</v>
      </c>
      <c r="C6417" s="8" t="str">
        <f>材料产出!$BP$2</f>
        <v>新增材料5</v>
      </c>
      <c r="D6417" s="224">
        <f>参数调整!$K$37*怪物掉落配置方案!$D4365</f>
        <v>0</v>
      </c>
    </row>
    <row r="6418" spans="1:4" ht="16.5" hidden="1" x14ac:dyDescent="0.3">
      <c r="A6418" s="10" t="str">
        <f>基本属性!$B$20&amp;"|"&amp;基本属性!$C$20</f>
        <v>200|10</v>
      </c>
      <c r="B6418" s="10" t="str">
        <f>参数调整!$J$37</f>
        <v>新增怪物种类2掉落</v>
      </c>
      <c r="C6418" s="8" t="str">
        <f>材料产出!$BP$2</f>
        <v>新增材料5</v>
      </c>
      <c r="D6418" s="224">
        <f>参数调整!$K$37*怪物掉落配置方案!$D4366</f>
        <v>0</v>
      </c>
    </row>
    <row r="6419" spans="1:4" ht="16.5" hidden="1" x14ac:dyDescent="0.3">
      <c r="A6419" s="10" t="str">
        <f>基本属性!$B$21&amp;"|"&amp;基本属性!$C$21</f>
        <v>200|11</v>
      </c>
      <c r="B6419" s="10" t="str">
        <f>参数调整!$J$37</f>
        <v>新增怪物种类2掉落</v>
      </c>
      <c r="C6419" s="8" t="str">
        <f>材料产出!$BP$2</f>
        <v>新增材料5</v>
      </c>
      <c r="D6419" s="224">
        <f>参数调整!$K$37*怪物掉落配置方案!$D4367</f>
        <v>0</v>
      </c>
    </row>
    <row r="6420" spans="1:4" ht="16.5" hidden="1" x14ac:dyDescent="0.3">
      <c r="A6420" s="10" t="str">
        <f>基本属性!$B$22&amp;"|"&amp;基本属性!$C$22</f>
        <v>210|12</v>
      </c>
      <c r="B6420" s="10" t="str">
        <f>参数调整!$J$37</f>
        <v>新增怪物种类2掉落</v>
      </c>
      <c r="C6420" s="8" t="str">
        <f>材料产出!$BP$2</f>
        <v>新增材料5</v>
      </c>
      <c r="D6420" s="224">
        <f>参数调整!$K$37*怪物掉落配置方案!$D4368</f>
        <v>0</v>
      </c>
    </row>
    <row r="6421" spans="1:4" ht="16.5" hidden="1" x14ac:dyDescent="0.3">
      <c r="A6421" s="10" t="str">
        <f>基本属性!$B$23&amp;"|"&amp;基本属性!$C$23</f>
        <v>210|13</v>
      </c>
      <c r="B6421" s="10" t="str">
        <f>参数调整!$J$37</f>
        <v>新增怪物种类2掉落</v>
      </c>
      <c r="C6421" s="8" t="str">
        <f>材料产出!$BP$2</f>
        <v>新增材料5</v>
      </c>
      <c r="D6421" s="224">
        <f>参数调整!$K$37*怪物掉落配置方案!$D4369</f>
        <v>0</v>
      </c>
    </row>
    <row r="6422" spans="1:4" ht="16.5" hidden="1" x14ac:dyDescent="0.3">
      <c r="A6422" s="10" t="str">
        <f>基本属性!$B$24&amp;"|"&amp;基本属性!$C$24</f>
        <v>220|14</v>
      </c>
      <c r="B6422" s="10" t="str">
        <f>参数调整!$J$37</f>
        <v>新增怪物种类2掉落</v>
      </c>
      <c r="C6422" s="8" t="str">
        <f>材料产出!$BP$2</f>
        <v>新增材料5</v>
      </c>
      <c r="D6422" s="224">
        <f>参数调整!$K$37*怪物掉落配置方案!$D4370</f>
        <v>0</v>
      </c>
    </row>
    <row r="6423" spans="1:4" ht="16.5" hidden="1" x14ac:dyDescent="0.3">
      <c r="A6423" s="10" t="str">
        <f>基本属性!$B$25&amp;"|"&amp;基本属性!$C$25</f>
        <v>220|15</v>
      </c>
      <c r="B6423" s="10" t="str">
        <f>参数调整!$J$37</f>
        <v>新增怪物种类2掉落</v>
      </c>
      <c r="C6423" s="8" t="str">
        <f>材料产出!$BP$2</f>
        <v>新增材料5</v>
      </c>
      <c r="D6423" s="224">
        <f>参数调整!$K$37*怪物掉落配置方案!$D4371</f>
        <v>0</v>
      </c>
    </row>
    <row r="6424" spans="1:4" ht="16.5" hidden="1" x14ac:dyDescent="0.3">
      <c r="A6424" s="10" t="str">
        <f>基本属性!$B$26&amp;"|"&amp;基本属性!$C$26</f>
        <v>230|16</v>
      </c>
      <c r="B6424" s="10" t="str">
        <f>参数调整!$J$37</f>
        <v>新增怪物种类2掉落</v>
      </c>
      <c r="C6424" s="8" t="str">
        <f>材料产出!$BP$2</f>
        <v>新增材料5</v>
      </c>
      <c r="D6424" s="224">
        <f>参数调整!$K$37*怪物掉落配置方案!$D4372</f>
        <v>0</v>
      </c>
    </row>
    <row r="6425" spans="1:4" ht="16.5" hidden="1" x14ac:dyDescent="0.3">
      <c r="A6425" s="10" t="str">
        <f>基本属性!$B$27&amp;"|"&amp;基本属性!$C$27</f>
        <v>230|17</v>
      </c>
      <c r="B6425" s="10" t="str">
        <f>参数调整!$J$37</f>
        <v>新增怪物种类2掉落</v>
      </c>
      <c r="C6425" s="8" t="str">
        <f>材料产出!$BP$2</f>
        <v>新增材料5</v>
      </c>
      <c r="D6425" s="224">
        <f>参数调整!$K$37*怪物掉落配置方案!$D4373</f>
        <v>0</v>
      </c>
    </row>
    <row r="6426" spans="1:4" ht="16.5" hidden="1" x14ac:dyDescent="0.3">
      <c r="A6426" s="10" t="str">
        <f>基本属性!$B$28&amp;"|"&amp;基本属性!$C$28</f>
        <v>240|18</v>
      </c>
      <c r="B6426" s="10" t="str">
        <f>参数调整!$J$37</f>
        <v>新增怪物种类2掉落</v>
      </c>
      <c r="C6426" s="8" t="str">
        <f>材料产出!$BP$2</f>
        <v>新增材料5</v>
      </c>
      <c r="D6426" s="224">
        <f>参数调整!$K$37*怪物掉落配置方案!$D4374</f>
        <v>0</v>
      </c>
    </row>
    <row r="6427" spans="1:4" ht="16.5" hidden="1" x14ac:dyDescent="0.3">
      <c r="A6427" s="10" t="str">
        <f>基本属性!$B$29&amp;"|"&amp;基本属性!$C$29</f>
        <v>240|19</v>
      </c>
      <c r="B6427" s="10" t="str">
        <f>参数调整!$J$37</f>
        <v>新增怪物种类2掉落</v>
      </c>
      <c r="C6427" s="8" t="str">
        <f>材料产出!$BP$2</f>
        <v>新增材料5</v>
      </c>
      <c r="D6427" s="224">
        <f>参数调整!$K$37*怪物掉落配置方案!$D4375</f>
        <v>0</v>
      </c>
    </row>
    <row r="6428" spans="1:4" ht="16.5" hidden="1" x14ac:dyDescent="0.3">
      <c r="A6428" s="10" t="str">
        <f>基本属性!$B$30&amp;"|"&amp;基本属性!$C$30</f>
        <v>250|20</v>
      </c>
      <c r="B6428" s="10" t="str">
        <f>参数调整!$J$37</f>
        <v>新增怪物种类2掉落</v>
      </c>
      <c r="C6428" s="8" t="str">
        <f>材料产出!$BP$2</f>
        <v>新增材料5</v>
      </c>
      <c r="D6428" s="224">
        <f>参数调整!$K$37*怪物掉落配置方案!$D4376</f>
        <v>0</v>
      </c>
    </row>
    <row r="6429" spans="1:4" ht="16.5" hidden="1" x14ac:dyDescent="0.3">
      <c r="A6429" s="10" t="str">
        <f>基本属性!$B$4&amp;"|"&amp;基本属性!$C$4</f>
        <v>35|0</v>
      </c>
      <c r="B6429" s="10" t="str">
        <f>参数调整!$J$37</f>
        <v>新增怪物种类2掉落</v>
      </c>
      <c r="C6429" s="8" t="str">
        <f>材料产出!$BN$2</f>
        <v>新增材料4</v>
      </c>
      <c r="D6429" s="224">
        <f>参数调整!$K$37*怪物掉落配置方案!$D4377</f>
        <v>0</v>
      </c>
    </row>
    <row r="6430" spans="1:4" ht="16.5" hidden="1" x14ac:dyDescent="0.3">
      <c r="A6430" s="10" t="str">
        <f>基本属性!$B$5&amp;"|"&amp;基本属性!$C$5</f>
        <v>40|0</v>
      </c>
      <c r="B6430" s="10" t="str">
        <f>参数调整!$J$37</f>
        <v>新增怪物种类2掉落</v>
      </c>
      <c r="C6430" s="8" t="str">
        <f>材料产出!$BN$2</f>
        <v>新增材料4</v>
      </c>
      <c r="D6430" s="224">
        <f>参数调整!$K$37*怪物掉落配置方案!$D4378</f>
        <v>0</v>
      </c>
    </row>
    <row r="6431" spans="1:4" ht="16.5" hidden="1" x14ac:dyDescent="0.3">
      <c r="A6431" s="10" t="str">
        <f>基本属性!$B$6&amp;"|"&amp;基本属性!$C$6</f>
        <v>50|0</v>
      </c>
      <c r="B6431" s="10" t="str">
        <f>参数调整!$J$37</f>
        <v>新增怪物种类2掉落</v>
      </c>
      <c r="C6431" s="8" t="str">
        <f>材料产出!$BN$2</f>
        <v>新增材料4</v>
      </c>
      <c r="D6431" s="224">
        <f>参数调整!$K$37*怪物掉落配置方案!$D4379</f>
        <v>0</v>
      </c>
    </row>
    <row r="6432" spans="1:4" ht="16.5" hidden="1" x14ac:dyDescent="0.3">
      <c r="A6432" s="10" t="str">
        <f>基本属性!$B$7&amp;"|"&amp;基本属性!$C$7</f>
        <v>60|0</v>
      </c>
      <c r="B6432" s="10" t="str">
        <f>参数调整!$J$37</f>
        <v>新增怪物种类2掉落</v>
      </c>
      <c r="C6432" s="8" t="str">
        <f>材料产出!$BN$2</f>
        <v>新增材料4</v>
      </c>
      <c r="D6432" s="224">
        <f>参数调整!$K$37*怪物掉落配置方案!$D4380</f>
        <v>0</v>
      </c>
    </row>
    <row r="6433" spans="1:4" ht="16.5" hidden="1" x14ac:dyDescent="0.3">
      <c r="A6433" s="10" t="str">
        <f>基本属性!$B$8&amp;"|"&amp;基本属性!$C$8</f>
        <v>65|0</v>
      </c>
      <c r="B6433" s="10" t="str">
        <f>参数调整!$J$37</f>
        <v>新增怪物种类2掉落</v>
      </c>
      <c r="C6433" s="8" t="str">
        <f>材料产出!$BN$2</f>
        <v>新增材料4</v>
      </c>
      <c r="D6433" s="224">
        <f>参数调整!$K$37*怪物掉落配置方案!$D4381</f>
        <v>0</v>
      </c>
    </row>
    <row r="6434" spans="1:4" ht="16.5" hidden="1" x14ac:dyDescent="0.3">
      <c r="A6434" s="10" t="str">
        <f>基本属性!$B$9&amp;"|"&amp;基本属性!$C$9</f>
        <v>70|0</v>
      </c>
      <c r="B6434" s="10" t="str">
        <f>参数调整!$J$37</f>
        <v>新增怪物种类2掉落</v>
      </c>
      <c r="C6434" s="8" t="str">
        <f>材料产出!$BN$2</f>
        <v>新增材料4</v>
      </c>
      <c r="D6434" s="224">
        <f>参数调整!$K$37*怪物掉落配置方案!$D4382</f>
        <v>0</v>
      </c>
    </row>
    <row r="6435" spans="1:4" ht="16.5" hidden="1" x14ac:dyDescent="0.3">
      <c r="A6435" s="10" t="str">
        <f>基本属性!$B$10&amp;"|"&amp;基本属性!$C$10</f>
        <v>75|0</v>
      </c>
      <c r="B6435" s="10" t="str">
        <f>参数调整!$J$37</f>
        <v>新增怪物种类2掉落</v>
      </c>
      <c r="C6435" s="8" t="str">
        <f>材料产出!$BN$2</f>
        <v>新增材料4</v>
      </c>
      <c r="D6435" s="224">
        <f>参数调整!$K$37*怪物掉落配置方案!$D4383</f>
        <v>0</v>
      </c>
    </row>
    <row r="6436" spans="1:4" ht="16.5" hidden="1" x14ac:dyDescent="0.3">
      <c r="A6436" s="10" t="str">
        <f>基本属性!$B$11&amp;"|"&amp;基本属性!$C$11</f>
        <v>80|1</v>
      </c>
      <c r="B6436" s="10" t="str">
        <f>参数调整!$J$37</f>
        <v>新增怪物种类2掉落</v>
      </c>
      <c r="C6436" s="8" t="str">
        <f>材料产出!$BN$2</f>
        <v>新增材料4</v>
      </c>
      <c r="D6436" s="224">
        <f>参数调整!$K$37*怪物掉落配置方案!$D4384</f>
        <v>0</v>
      </c>
    </row>
    <row r="6437" spans="1:4" ht="16.5" hidden="1" x14ac:dyDescent="0.3">
      <c r="A6437" s="10" t="str">
        <f>基本属性!$B$12&amp;"|"&amp;基本属性!$C$12</f>
        <v>90|2</v>
      </c>
      <c r="B6437" s="10" t="str">
        <f>参数调整!$J$37</f>
        <v>新增怪物种类2掉落</v>
      </c>
      <c r="C6437" s="8" t="str">
        <f>材料产出!$BN$2</f>
        <v>新增材料4</v>
      </c>
      <c r="D6437" s="224">
        <f>参数调整!$K$37*怪物掉落配置方案!$D4385</f>
        <v>0</v>
      </c>
    </row>
    <row r="6438" spans="1:4" ht="16.5" hidden="1" x14ac:dyDescent="0.3">
      <c r="A6438" s="10" t="str">
        <f>基本属性!$B$13&amp;"|"&amp;基本属性!$C$13</f>
        <v>100|3</v>
      </c>
      <c r="B6438" s="10" t="str">
        <f>参数调整!$J$37</f>
        <v>新增怪物种类2掉落</v>
      </c>
      <c r="C6438" s="8" t="str">
        <f>材料产出!$BN$2</f>
        <v>新增材料4</v>
      </c>
      <c r="D6438" s="224">
        <f>参数调整!$K$37*怪物掉落配置方案!$D4386</f>
        <v>0</v>
      </c>
    </row>
    <row r="6439" spans="1:4" ht="16.5" hidden="1" x14ac:dyDescent="0.3">
      <c r="A6439" s="10" t="str">
        <f>基本属性!$B$14&amp;"|"&amp;基本属性!$C$14</f>
        <v>105|4</v>
      </c>
      <c r="B6439" s="10" t="str">
        <f>参数调整!$J$37</f>
        <v>新增怪物种类2掉落</v>
      </c>
      <c r="C6439" s="8" t="str">
        <f>材料产出!$BN$2</f>
        <v>新增材料4</v>
      </c>
      <c r="D6439" s="224">
        <f>参数调整!$K$37*怪物掉落配置方案!$D4387</f>
        <v>0</v>
      </c>
    </row>
    <row r="6440" spans="1:4" ht="16.5" hidden="1" x14ac:dyDescent="0.3">
      <c r="A6440" s="10" t="str">
        <f>基本属性!$B$15&amp;"|"&amp;基本属性!$C$15</f>
        <v>110|5</v>
      </c>
      <c r="B6440" s="10" t="str">
        <f>参数调整!$J$37</f>
        <v>新增怪物种类2掉落</v>
      </c>
      <c r="C6440" s="8" t="str">
        <f>材料产出!$BN$2</f>
        <v>新增材料4</v>
      </c>
      <c r="D6440" s="224">
        <f>参数调整!$K$37*怪物掉落配置方案!$D4388</f>
        <v>0</v>
      </c>
    </row>
    <row r="6441" spans="1:4" ht="16.5" hidden="1" x14ac:dyDescent="0.3">
      <c r="A6441" s="10" t="str">
        <f>基本属性!$B$16&amp;"|"&amp;基本属性!$C$16</f>
        <v>120|6</v>
      </c>
      <c r="B6441" s="10" t="str">
        <f>参数调整!$J$37</f>
        <v>新增怪物种类2掉落</v>
      </c>
      <c r="C6441" s="8" t="str">
        <f>材料产出!$BN$2</f>
        <v>新增材料4</v>
      </c>
      <c r="D6441" s="224">
        <f>参数调整!$K$37*怪物掉落配置方案!$D4389</f>
        <v>0</v>
      </c>
    </row>
    <row r="6442" spans="1:4" ht="16.5" hidden="1" x14ac:dyDescent="0.3">
      <c r="A6442" s="10" t="str">
        <f>基本属性!$B$17&amp;"|"&amp;基本属性!$C$17</f>
        <v>135|7</v>
      </c>
      <c r="B6442" s="10" t="str">
        <f>参数调整!$J$37</f>
        <v>新增怪物种类2掉落</v>
      </c>
      <c r="C6442" s="8" t="str">
        <f>材料产出!$BN$2</f>
        <v>新增材料4</v>
      </c>
      <c r="D6442" s="224">
        <f>参数调整!$K$37*怪物掉落配置方案!$D4390</f>
        <v>0</v>
      </c>
    </row>
    <row r="6443" spans="1:4" ht="16.5" hidden="1" x14ac:dyDescent="0.3">
      <c r="A6443" s="10" t="str">
        <f>基本属性!$B$18&amp;"|"&amp;基本属性!$C$18</f>
        <v>155|8</v>
      </c>
      <c r="B6443" s="10" t="str">
        <f>参数调整!$J$37</f>
        <v>新增怪物种类2掉落</v>
      </c>
      <c r="C6443" s="8" t="str">
        <f>材料产出!$BN$2</f>
        <v>新增材料4</v>
      </c>
      <c r="D6443" s="224">
        <f>参数调整!$K$37*怪物掉落配置方案!$D4391</f>
        <v>0</v>
      </c>
    </row>
    <row r="6444" spans="1:4" ht="16.5" hidden="1" x14ac:dyDescent="0.3">
      <c r="A6444" s="10" t="str">
        <f>基本属性!$B$19&amp;"|"&amp;基本属性!$C$19</f>
        <v>190|9</v>
      </c>
      <c r="B6444" s="10" t="str">
        <f>参数调整!$J$37</f>
        <v>新增怪物种类2掉落</v>
      </c>
      <c r="C6444" s="8" t="str">
        <f>材料产出!$BN$2</f>
        <v>新增材料4</v>
      </c>
      <c r="D6444" s="224">
        <f>参数调整!$K$37*怪物掉落配置方案!$D4392</f>
        <v>0</v>
      </c>
    </row>
    <row r="6445" spans="1:4" ht="16.5" hidden="1" x14ac:dyDescent="0.3">
      <c r="A6445" s="10" t="str">
        <f>基本属性!$B$20&amp;"|"&amp;基本属性!$C$20</f>
        <v>200|10</v>
      </c>
      <c r="B6445" s="10" t="str">
        <f>参数调整!$J$37</f>
        <v>新增怪物种类2掉落</v>
      </c>
      <c r="C6445" s="8" t="str">
        <f>材料产出!$BN$2</f>
        <v>新增材料4</v>
      </c>
      <c r="D6445" s="224">
        <f>参数调整!$K$37*怪物掉落配置方案!$D4393</f>
        <v>0</v>
      </c>
    </row>
    <row r="6446" spans="1:4" ht="16.5" hidden="1" x14ac:dyDescent="0.3">
      <c r="A6446" s="10" t="str">
        <f>基本属性!$B$21&amp;"|"&amp;基本属性!$C$21</f>
        <v>200|11</v>
      </c>
      <c r="B6446" s="10" t="str">
        <f>参数调整!$J$37</f>
        <v>新增怪物种类2掉落</v>
      </c>
      <c r="C6446" s="8" t="str">
        <f>材料产出!$BN$2</f>
        <v>新增材料4</v>
      </c>
      <c r="D6446" s="224">
        <f>参数调整!$K$37*怪物掉落配置方案!$D4394</f>
        <v>0</v>
      </c>
    </row>
    <row r="6447" spans="1:4" ht="16.5" hidden="1" x14ac:dyDescent="0.3">
      <c r="A6447" s="10" t="str">
        <f>基本属性!$B$22&amp;"|"&amp;基本属性!$C$22</f>
        <v>210|12</v>
      </c>
      <c r="B6447" s="10" t="str">
        <f>参数调整!$J$37</f>
        <v>新增怪物种类2掉落</v>
      </c>
      <c r="C6447" s="8" t="str">
        <f>材料产出!$BN$2</f>
        <v>新增材料4</v>
      </c>
      <c r="D6447" s="224">
        <f>参数调整!$K$37*怪物掉落配置方案!$D4395</f>
        <v>0</v>
      </c>
    </row>
    <row r="6448" spans="1:4" ht="16.5" hidden="1" x14ac:dyDescent="0.3">
      <c r="A6448" s="10" t="str">
        <f>基本属性!$B$23&amp;"|"&amp;基本属性!$C$23</f>
        <v>210|13</v>
      </c>
      <c r="B6448" s="10" t="str">
        <f>参数调整!$J$37</f>
        <v>新增怪物种类2掉落</v>
      </c>
      <c r="C6448" s="8" t="str">
        <f>材料产出!$BN$2</f>
        <v>新增材料4</v>
      </c>
      <c r="D6448" s="224">
        <f>参数调整!$K$37*怪物掉落配置方案!$D4396</f>
        <v>0</v>
      </c>
    </row>
    <row r="6449" spans="1:4" ht="16.5" hidden="1" x14ac:dyDescent="0.3">
      <c r="A6449" s="10" t="str">
        <f>基本属性!$B$24&amp;"|"&amp;基本属性!$C$24</f>
        <v>220|14</v>
      </c>
      <c r="B6449" s="10" t="str">
        <f>参数调整!$J$37</f>
        <v>新增怪物种类2掉落</v>
      </c>
      <c r="C6449" s="8" t="str">
        <f>材料产出!$BN$2</f>
        <v>新增材料4</v>
      </c>
      <c r="D6449" s="224">
        <f>参数调整!$K$37*怪物掉落配置方案!$D4397</f>
        <v>0</v>
      </c>
    </row>
    <row r="6450" spans="1:4" ht="16.5" hidden="1" x14ac:dyDescent="0.3">
      <c r="A6450" s="10" t="str">
        <f>基本属性!$B$25&amp;"|"&amp;基本属性!$C$25</f>
        <v>220|15</v>
      </c>
      <c r="B6450" s="10" t="str">
        <f>参数调整!$J$37</f>
        <v>新增怪物种类2掉落</v>
      </c>
      <c r="C6450" s="8" t="str">
        <f>材料产出!$BN$2</f>
        <v>新增材料4</v>
      </c>
      <c r="D6450" s="224">
        <f>参数调整!$K$37*怪物掉落配置方案!$D4398</f>
        <v>0</v>
      </c>
    </row>
    <row r="6451" spans="1:4" ht="16.5" hidden="1" x14ac:dyDescent="0.3">
      <c r="A6451" s="10" t="str">
        <f>基本属性!$B$26&amp;"|"&amp;基本属性!$C$26</f>
        <v>230|16</v>
      </c>
      <c r="B6451" s="10" t="str">
        <f>参数调整!$J$37</f>
        <v>新增怪物种类2掉落</v>
      </c>
      <c r="C6451" s="8" t="str">
        <f>材料产出!$BN$2</f>
        <v>新增材料4</v>
      </c>
      <c r="D6451" s="224">
        <f>参数调整!$K$37*怪物掉落配置方案!$D4399</f>
        <v>0</v>
      </c>
    </row>
    <row r="6452" spans="1:4" ht="16.5" hidden="1" x14ac:dyDescent="0.3">
      <c r="A6452" s="10" t="str">
        <f>基本属性!$B$27&amp;"|"&amp;基本属性!$C$27</f>
        <v>230|17</v>
      </c>
      <c r="B6452" s="10" t="str">
        <f>参数调整!$J$37</f>
        <v>新增怪物种类2掉落</v>
      </c>
      <c r="C6452" s="8" t="str">
        <f>材料产出!$BN$2</f>
        <v>新增材料4</v>
      </c>
      <c r="D6452" s="224">
        <f>参数调整!$K$37*怪物掉落配置方案!$D4400</f>
        <v>0</v>
      </c>
    </row>
    <row r="6453" spans="1:4" ht="16.5" hidden="1" x14ac:dyDescent="0.3">
      <c r="A6453" s="10" t="str">
        <f>基本属性!$B$28&amp;"|"&amp;基本属性!$C$28</f>
        <v>240|18</v>
      </c>
      <c r="B6453" s="10" t="str">
        <f>参数调整!$J$37</f>
        <v>新增怪物种类2掉落</v>
      </c>
      <c r="C6453" s="8" t="str">
        <f>材料产出!$BN$2</f>
        <v>新增材料4</v>
      </c>
      <c r="D6453" s="224">
        <f>参数调整!$K$37*怪物掉落配置方案!$D4401</f>
        <v>0</v>
      </c>
    </row>
    <row r="6454" spans="1:4" ht="16.5" hidden="1" x14ac:dyDescent="0.3">
      <c r="A6454" s="10" t="str">
        <f>基本属性!$B$29&amp;"|"&amp;基本属性!$C$29</f>
        <v>240|19</v>
      </c>
      <c r="B6454" s="10" t="str">
        <f>参数调整!$J$37</f>
        <v>新增怪物种类2掉落</v>
      </c>
      <c r="C6454" s="8" t="str">
        <f>材料产出!$BN$2</f>
        <v>新增材料4</v>
      </c>
      <c r="D6454" s="224">
        <f>参数调整!$K$37*怪物掉落配置方案!$D4402</f>
        <v>0</v>
      </c>
    </row>
    <row r="6455" spans="1:4" ht="16.5" hidden="1" x14ac:dyDescent="0.3">
      <c r="A6455" s="10" t="str">
        <f>基本属性!$B$30&amp;"|"&amp;基本属性!$C$30</f>
        <v>250|20</v>
      </c>
      <c r="B6455" s="10" t="str">
        <f>参数调整!$J$37</f>
        <v>新增怪物种类2掉落</v>
      </c>
      <c r="C6455" s="8" t="str">
        <f>材料产出!$BN$2</f>
        <v>新增材料4</v>
      </c>
      <c r="D6455" s="224">
        <f>参数调整!$K$37*怪物掉落配置方案!$D4403</f>
        <v>0</v>
      </c>
    </row>
    <row r="6456" spans="1:4" ht="16.5" hidden="1" x14ac:dyDescent="0.3">
      <c r="A6456" s="10" t="str">
        <f>基本属性!$B$4&amp;"|"&amp;基本属性!$C$4</f>
        <v>35|0</v>
      </c>
      <c r="B6456" s="10" t="str">
        <f>参数调整!$J$37</f>
        <v>新增怪物种类2掉落</v>
      </c>
      <c r="C6456" s="8" t="str">
        <f>材料产出!$BL$2</f>
        <v>新增材料3</v>
      </c>
      <c r="D6456" s="224">
        <f>参数调整!$K$37*怪物掉落配置方案!$D4404</f>
        <v>0</v>
      </c>
    </row>
    <row r="6457" spans="1:4" ht="16.5" hidden="1" x14ac:dyDescent="0.3">
      <c r="A6457" s="10" t="str">
        <f>基本属性!$B$5&amp;"|"&amp;基本属性!$C$5</f>
        <v>40|0</v>
      </c>
      <c r="B6457" s="10" t="str">
        <f>参数调整!$J$37</f>
        <v>新增怪物种类2掉落</v>
      </c>
      <c r="C6457" s="8" t="str">
        <f>材料产出!$BL$2</f>
        <v>新增材料3</v>
      </c>
      <c r="D6457" s="224">
        <f>参数调整!$K$37*怪物掉落配置方案!$D4405</f>
        <v>0</v>
      </c>
    </row>
    <row r="6458" spans="1:4" ht="16.5" hidden="1" x14ac:dyDescent="0.3">
      <c r="A6458" s="10" t="str">
        <f>基本属性!$B$6&amp;"|"&amp;基本属性!$C$6</f>
        <v>50|0</v>
      </c>
      <c r="B6458" s="10" t="str">
        <f>参数调整!$J$37</f>
        <v>新增怪物种类2掉落</v>
      </c>
      <c r="C6458" s="8" t="str">
        <f>材料产出!$BL$2</f>
        <v>新增材料3</v>
      </c>
      <c r="D6458" s="224">
        <f>参数调整!$K$37*怪物掉落配置方案!$D4406</f>
        <v>0</v>
      </c>
    </row>
    <row r="6459" spans="1:4" ht="16.5" hidden="1" x14ac:dyDescent="0.3">
      <c r="A6459" s="10" t="str">
        <f>基本属性!$B$7&amp;"|"&amp;基本属性!$C$7</f>
        <v>60|0</v>
      </c>
      <c r="B6459" s="10" t="str">
        <f>参数调整!$J$37</f>
        <v>新增怪物种类2掉落</v>
      </c>
      <c r="C6459" s="8" t="str">
        <f>材料产出!$BL$2</f>
        <v>新增材料3</v>
      </c>
      <c r="D6459" s="224">
        <f>参数调整!$K$37*怪物掉落配置方案!$D4407</f>
        <v>0</v>
      </c>
    </row>
    <row r="6460" spans="1:4" ht="16.5" hidden="1" x14ac:dyDescent="0.3">
      <c r="A6460" s="10" t="str">
        <f>基本属性!$B$8&amp;"|"&amp;基本属性!$C$8</f>
        <v>65|0</v>
      </c>
      <c r="B6460" s="10" t="str">
        <f>参数调整!$J$37</f>
        <v>新增怪物种类2掉落</v>
      </c>
      <c r="C6460" s="8" t="str">
        <f>材料产出!$BL$2</f>
        <v>新增材料3</v>
      </c>
      <c r="D6460" s="224">
        <f>参数调整!$K$37*怪物掉落配置方案!$D4408</f>
        <v>0</v>
      </c>
    </row>
    <row r="6461" spans="1:4" ht="16.5" hidden="1" x14ac:dyDescent="0.3">
      <c r="A6461" s="10" t="str">
        <f>基本属性!$B$9&amp;"|"&amp;基本属性!$C$9</f>
        <v>70|0</v>
      </c>
      <c r="B6461" s="10" t="str">
        <f>参数调整!$J$37</f>
        <v>新增怪物种类2掉落</v>
      </c>
      <c r="C6461" s="8" t="str">
        <f>材料产出!$BL$2</f>
        <v>新增材料3</v>
      </c>
      <c r="D6461" s="224">
        <f>参数调整!$K$37*怪物掉落配置方案!$D4409</f>
        <v>0</v>
      </c>
    </row>
    <row r="6462" spans="1:4" ht="16.5" hidden="1" x14ac:dyDescent="0.3">
      <c r="A6462" s="10" t="str">
        <f>基本属性!$B$10&amp;"|"&amp;基本属性!$C$10</f>
        <v>75|0</v>
      </c>
      <c r="B6462" s="10" t="str">
        <f>参数调整!$J$37</f>
        <v>新增怪物种类2掉落</v>
      </c>
      <c r="C6462" s="8" t="str">
        <f>材料产出!$BL$2</f>
        <v>新增材料3</v>
      </c>
      <c r="D6462" s="224">
        <f>参数调整!$K$37*怪物掉落配置方案!$D4410</f>
        <v>0</v>
      </c>
    </row>
    <row r="6463" spans="1:4" ht="16.5" hidden="1" x14ac:dyDescent="0.3">
      <c r="A6463" s="10" t="str">
        <f>基本属性!$B$11&amp;"|"&amp;基本属性!$C$11</f>
        <v>80|1</v>
      </c>
      <c r="B6463" s="10" t="str">
        <f>参数调整!$J$37</f>
        <v>新增怪物种类2掉落</v>
      </c>
      <c r="C6463" s="8" t="str">
        <f>材料产出!$BL$2</f>
        <v>新增材料3</v>
      </c>
      <c r="D6463" s="224">
        <f>参数调整!$K$37*怪物掉落配置方案!$D4411</f>
        <v>0</v>
      </c>
    </row>
    <row r="6464" spans="1:4" ht="16.5" hidden="1" x14ac:dyDescent="0.3">
      <c r="A6464" s="10" t="str">
        <f>基本属性!$B$12&amp;"|"&amp;基本属性!$C$12</f>
        <v>90|2</v>
      </c>
      <c r="B6464" s="10" t="str">
        <f>参数调整!$J$37</f>
        <v>新增怪物种类2掉落</v>
      </c>
      <c r="C6464" s="8" t="str">
        <f>材料产出!$BL$2</f>
        <v>新增材料3</v>
      </c>
      <c r="D6464" s="224">
        <f>参数调整!$K$37*怪物掉落配置方案!$D4412</f>
        <v>0</v>
      </c>
    </row>
    <row r="6465" spans="1:4" ht="16.5" hidden="1" x14ac:dyDescent="0.3">
      <c r="A6465" s="10" t="str">
        <f>基本属性!$B$13&amp;"|"&amp;基本属性!$C$13</f>
        <v>100|3</v>
      </c>
      <c r="B6465" s="10" t="str">
        <f>参数调整!$J$37</f>
        <v>新增怪物种类2掉落</v>
      </c>
      <c r="C6465" s="8" t="str">
        <f>材料产出!$BL$2</f>
        <v>新增材料3</v>
      </c>
      <c r="D6465" s="224">
        <f>参数调整!$K$37*怪物掉落配置方案!$D4413</f>
        <v>0</v>
      </c>
    </row>
    <row r="6466" spans="1:4" ht="16.5" hidden="1" x14ac:dyDescent="0.3">
      <c r="A6466" s="10" t="str">
        <f>基本属性!$B$14&amp;"|"&amp;基本属性!$C$14</f>
        <v>105|4</v>
      </c>
      <c r="B6466" s="10" t="str">
        <f>参数调整!$J$37</f>
        <v>新增怪物种类2掉落</v>
      </c>
      <c r="C6466" s="8" t="str">
        <f>材料产出!$BL$2</f>
        <v>新增材料3</v>
      </c>
      <c r="D6466" s="224">
        <f>参数调整!$K$37*怪物掉落配置方案!$D4414</f>
        <v>0</v>
      </c>
    </row>
    <row r="6467" spans="1:4" ht="16.5" hidden="1" x14ac:dyDescent="0.3">
      <c r="A6467" s="10" t="str">
        <f>基本属性!$B$15&amp;"|"&amp;基本属性!$C$15</f>
        <v>110|5</v>
      </c>
      <c r="B6467" s="10" t="str">
        <f>参数调整!$J$37</f>
        <v>新增怪物种类2掉落</v>
      </c>
      <c r="C6467" s="8" t="str">
        <f>材料产出!$BL$2</f>
        <v>新增材料3</v>
      </c>
      <c r="D6467" s="224">
        <f>参数调整!$K$37*怪物掉落配置方案!$D4415</f>
        <v>0</v>
      </c>
    </row>
    <row r="6468" spans="1:4" ht="16.5" hidden="1" x14ac:dyDescent="0.3">
      <c r="A6468" s="10" t="str">
        <f>基本属性!$B$16&amp;"|"&amp;基本属性!$C$16</f>
        <v>120|6</v>
      </c>
      <c r="B6468" s="10" t="str">
        <f>参数调整!$J$37</f>
        <v>新增怪物种类2掉落</v>
      </c>
      <c r="C6468" s="8" t="str">
        <f>材料产出!$BL$2</f>
        <v>新增材料3</v>
      </c>
      <c r="D6468" s="224">
        <f>参数调整!$K$37*怪物掉落配置方案!$D4416</f>
        <v>0</v>
      </c>
    </row>
    <row r="6469" spans="1:4" ht="16.5" hidden="1" x14ac:dyDescent="0.3">
      <c r="A6469" s="10" t="str">
        <f>基本属性!$B$17&amp;"|"&amp;基本属性!$C$17</f>
        <v>135|7</v>
      </c>
      <c r="B6469" s="10" t="str">
        <f>参数调整!$J$37</f>
        <v>新增怪物种类2掉落</v>
      </c>
      <c r="C6469" s="8" t="str">
        <f>材料产出!$BL$2</f>
        <v>新增材料3</v>
      </c>
      <c r="D6469" s="224">
        <f>参数调整!$K$37*怪物掉落配置方案!$D4417</f>
        <v>0</v>
      </c>
    </row>
    <row r="6470" spans="1:4" ht="16.5" hidden="1" x14ac:dyDescent="0.3">
      <c r="A6470" s="10" t="str">
        <f>基本属性!$B$18&amp;"|"&amp;基本属性!$C$18</f>
        <v>155|8</v>
      </c>
      <c r="B6470" s="10" t="str">
        <f>参数调整!$J$37</f>
        <v>新增怪物种类2掉落</v>
      </c>
      <c r="C6470" s="8" t="str">
        <f>材料产出!$BL$2</f>
        <v>新增材料3</v>
      </c>
      <c r="D6470" s="224">
        <f>参数调整!$K$37*怪物掉落配置方案!$D4418</f>
        <v>0</v>
      </c>
    </row>
    <row r="6471" spans="1:4" ht="16.5" hidden="1" x14ac:dyDescent="0.3">
      <c r="A6471" s="10" t="str">
        <f>基本属性!$B$19&amp;"|"&amp;基本属性!$C$19</f>
        <v>190|9</v>
      </c>
      <c r="B6471" s="10" t="str">
        <f>参数调整!$J$37</f>
        <v>新增怪物种类2掉落</v>
      </c>
      <c r="C6471" s="8" t="str">
        <f>材料产出!$BL$2</f>
        <v>新增材料3</v>
      </c>
      <c r="D6471" s="224">
        <f>参数调整!$K$37*怪物掉落配置方案!$D4419</f>
        <v>0</v>
      </c>
    </row>
    <row r="6472" spans="1:4" ht="16.5" hidden="1" x14ac:dyDescent="0.3">
      <c r="A6472" s="10" t="str">
        <f>基本属性!$B$20&amp;"|"&amp;基本属性!$C$20</f>
        <v>200|10</v>
      </c>
      <c r="B6472" s="10" t="str">
        <f>参数调整!$J$37</f>
        <v>新增怪物种类2掉落</v>
      </c>
      <c r="C6472" s="8" t="str">
        <f>材料产出!$BL$2</f>
        <v>新增材料3</v>
      </c>
      <c r="D6472" s="224">
        <f>参数调整!$K$37*怪物掉落配置方案!$D4420</f>
        <v>0</v>
      </c>
    </row>
    <row r="6473" spans="1:4" ht="16.5" hidden="1" x14ac:dyDescent="0.3">
      <c r="A6473" s="10" t="str">
        <f>基本属性!$B$21&amp;"|"&amp;基本属性!$C$21</f>
        <v>200|11</v>
      </c>
      <c r="B6473" s="10" t="str">
        <f>参数调整!$J$37</f>
        <v>新增怪物种类2掉落</v>
      </c>
      <c r="C6473" s="8" t="str">
        <f>材料产出!$BL$2</f>
        <v>新增材料3</v>
      </c>
      <c r="D6473" s="224">
        <f>参数调整!$K$37*怪物掉落配置方案!$D4421</f>
        <v>0</v>
      </c>
    </row>
    <row r="6474" spans="1:4" ht="16.5" hidden="1" x14ac:dyDescent="0.3">
      <c r="A6474" s="10" t="str">
        <f>基本属性!$B$22&amp;"|"&amp;基本属性!$C$22</f>
        <v>210|12</v>
      </c>
      <c r="B6474" s="10" t="str">
        <f>参数调整!$J$37</f>
        <v>新增怪物种类2掉落</v>
      </c>
      <c r="C6474" s="8" t="str">
        <f>材料产出!$BL$2</f>
        <v>新增材料3</v>
      </c>
      <c r="D6474" s="224">
        <f>参数调整!$K$37*怪物掉落配置方案!$D4422</f>
        <v>0</v>
      </c>
    </row>
    <row r="6475" spans="1:4" ht="16.5" hidden="1" x14ac:dyDescent="0.3">
      <c r="A6475" s="10" t="str">
        <f>基本属性!$B$23&amp;"|"&amp;基本属性!$C$23</f>
        <v>210|13</v>
      </c>
      <c r="B6475" s="10" t="str">
        <f>参数调整!$J$37</f>
        <v>新增怪物种类2掉落</v>
      </c>
      <c r="C6475" s="8" t="str">
        <f>材料产出!$BL$2</f>
        <v>新增材料3</v>
      </c>
      <c r="D6475" s="224">
        <f>参数调整!$K$37*怪物掉落配置方案!$D4423</f>
        <v>0</v>
      </c>
    </row>
    <row r="6476" spans="1:4" ht="16.5" hidden="1" x14ac:dyDescent="0.3">
      <c r="A6476" s="10" t="str">
        <f>基本属性!$B$24&amp;"|"&amp;基本属性!$C$24</f>
        <v>220|14</v>
      </c>
      <c r="B6476" s="10" t="str">
        <f>参数调整!$J$37</f>
        <v>新增怪物种类2掉落</v>
      </c>
      <c r="C6476" s="8" t="str">
        <f>材料产出!$BL$2</f>
        <v>新增材料3</v>
      </c>
      <c r="D6476" s="224">
        <f>参数调整!$K$37*怪物掉落配置方案!$D4424</f>
        <v>0</v>
      </c>
    </row>
    <row r="6477" spans="1:4" ht="16.5" hidden="1" x14ac:dyDescent="0.3">
      <c r="A6477" s="10" t="str">
        <f>基本属性!$B$25&amp;"|"&amp;基本属性!$C$25</f>
        <v>220|15</v>
      </c>
      <c r="B6477" s="10" t="str">
        <f>参数调整!$J$37</f>
        <v>新增怪物种类2掉落</v>
      </c>
      <c r="C6477" s="8" t="str">
        <f>材料产出!$BL$2</f>
        <v>新增材料3</v>
      </c>
      <c r="D6477" s="224">
        <f>参数调整!$K$37*怪物掉落配置方案!$D4425</f>
        <v>0</v>
      </c>
    </row>
    <row r="6478" spans="1:4" ht="16.5" hidden="1" x14ac:dyDescent="0.3">
      <c r="A6478" s="10" t="str">
        <f>基本属性!$B$26&amp;"|"&amp;基本属性!$C$26</f>
        <v>230|16</v>
      </c>
      <c r="B6478" s="10" t="str">
        <f>参数调整!$J$37</f>
        <v>新增怪物种类2掉落</v>
      </c>
      <c r="C6478" s="8" t="str">
        <f>材料产出!$BL$2</f>
        <v>新增材料3</v>
      </c>
      <c r="D6478" s="224">
        <f>参数调整!$K$37*怪物掉落配置方案!$D4426</f>
        <v>0</v>
      </c>
    </row>
    <row r="6479" spans="1:4" ht="16.5" hidden="1" x14ac:dyDescent="0.3">
      <c r="A6479" s="10" t="str">
        <f>基本属性!$B$27&amp;"|"&amp;基本属性!$C$27</f>
        <v>230|17</v>
      </c>
      <c r="B6479" s="10" t="str">
        <f>参数调整!$J$37</f>
        <v>新增怪物种类2掉落</v>
      </c>
      <c r="C6479" s="8" t="str">
        <f>材料产出!$BL$2</f>
        <v>新增材料3</v>
      </c>
      <c r="D6479" s="224">
        <f>参数调整!$K$37*怪物掉落配置方案!$D4427</f>
        <v>0</v>
      </c>
    </row>
    <row r="6480" spans="1:4" ht="16.5" hidden="1" x14ac:dyDescent="0.3">
      <c r="A6480" s="10" t="str">
        <f>基本属性!$B$28&amp;"|"&amp;基本属性!$C$28</f>
        <v>240|18</v>
      </c>
      <c r="B6480" s="10" t="str">
        <f>参数调整!$J$37</f>
        <v>新增怪物种类2掉落</v>
      </c>
      <c r="C6480" s="8" t="str">
        <f>材料产出!$BL$2</f>
        <v>新增材料3</v>
      </c>
      <c r="D6480" s="224">
        <f>参数调整!$K$37*怪物掉落配置方案!$D4428</f>
        <v>0</v>
      </c>
    </row>
    <row r="6481" spans="1:4" ht="16.5" hidden="1" x14ac:dyDescent="0.3">
      <c r="A6481" s="10" t="str">
        <f>基本属性!$B$29&amp;"|"&amp;基本属性!$C$29</f>
        <v>240|19</v>
      </c>
      <c r="B6481" s="10" t="str">
        <f>参数调整!$J$37</f>
        <v>新增怪物种类2掉落</v>
      </c>
      <c r="C6481" s="8" t="str">
        <f>材料产出!$BL$2</f>
        <v>新增材料3</v>
      </c>
      <c r="D6481" s="224">
        <f>参数调整!$K$37*怪物掉落配置方案!$D4429</f>
        <v>0</v>
      </c>
    </row>
    <row r="6482" spans="1:4" ht="16.5" hidden="1" x14ac:dyDescent="0.3">
      <c r="A6482" s="10" t="str">
        <f>基本属性!$B$30&amp;"|"&amp;基本属性!$C$30</f>
        <v>250|20</v>
      </c>
      <c r="B6482" s="10" t="str">
        <f>参数调整!$J$37</f>
        <v>新增怪物种类2掉落</v>
      </c>
      <c r="C6482" s="8" t="str">
        <f>材料产出!$BL$2</f>
        <v>新增材料3</v>
      </c>
      <c r="D6482" s="224">
        <f>参数调整!$K$37*怪物掉落配置方案!$D4430</f>
        <v>0</v>
      </c>
    </row>
    <row r="6483" spans="1:4" ht="16.5" hidden="1" x14ac:dyDescent="0.3">
      <c r="A6483" s="10" t="str">
        <f>基本属性!$B$4&amp;"|"&amp;基本属性!$C$4</f>
        <v>35|0</v>
      </c>
      <c r="B6483" s="10" t="str">
        <f>参数调整!$J$37</f>
        <v>新增怪物种类2掉落</v>
      </c>
      <c r="C6483" s="8" t="str">
        <f>材料产出!$BJ$2</f>
        <v>新增材料2</v>
      </c>
      <c r="D6483" s="224">
        <f>参数调整!$K$37*怪物掉落配置方案!$D4431</f>
        <v>0</v>
      </c>
    </row>
    <row r="6484" spans="1:4" ht="16.5" hidden="1" x14ac:dyDescent="0.3">
      <c r="A6484" s="10" t="str">
        <f>基本属性!$B$5&amp;"|"&amp;基本属性!$C$5</f>
        <v>40|0</v>
      </c>
      <c r="B6484" s="10" t="str">
        <f>参数调整!$J$37</f>
        <v>新增怪物种类2掉落</v>
      </c>
      <c r="C6484" s="8" t="str">
        <f>材料产出!$BJ$2</f>
        <v>新增材料2</v>
      </c>
      <c r="D6484" s="224">
        <f>参数调整!$K$37*怪物掉落配置方案!$D4432</f>
        <v>0</v>
      </c>
    </row>
    <row r="6485" spans="1:4" ht="16.5" hidden="1" x14ac:dyDescent="0.3">
      <c r="A6485" s="10" t="str">
        <f>基本属性!$B$6&amp;"|"&amp;基本属性!$C$6</f>
        <v>50|0</v>
      </c>
      <c r="B6485" s="10" t="str">
        <f>参数调整!$J$37</f>
        <v>新增怪物种类2掉落</v>
      </c>
      <c r="C6485" s="8" t="str">
        <f>材料产出!$BJ$2</f>
        <v>新增材料2</v>
      </c>
      <c r="D6485" s="224">
        <f>参数调整!$K$37*怪物掉落配置方案!$D4433</f>
        <v>0</v>
      </c>
    </row>
    <row r="6486" spans="1:4" ht="16.5" hidden="1" x14ac:dyDescent="0.3">
      <c r="A6486" s="10" t="str">
        <f>基本属性!$B$7&amp;"|"&amp;基本属性!$C$7</f>
        <v>60|0</v>
      </c>
      <c r="B6486" s="10" t="str">
        <f>参数调整!$J$37</f>
        <v>新增怪物种类2掉落</v>
      </c>
      <c r="C6486" s="8" t="str">
        <f>材料产出!$BJ$2</f>
        <v>新增材料2</v>
      </c>
      <c r="D6486" s="224">
        <f>参数调整!$K$37*怪物掉落配置方案!$D4434</f>
        <v>0</v>
      </c>
    </row>
    <row r="6487" spans="1:4" ht="16.5" hidden="1" x14ac:dyDescent="0.3">
      <c r="A6487" s="10" t="str">
        <f>基本属性!$B$8&amp;"|"&amp;基本属性!$C$8</f>
        <v>65|0</v>
      </c>
      <c r="B6487" s="10" t="str">
        <f>参数调整!$J$37</f>
        <v>新增怪物种类2掉落</v>
      </c>
      <c r="C6487" s="8" t="str">
        <f>材料产出!$BJ$2</f>
        <v>新增材料2</v>
      </c>
      <c r="D6487" s="224">
        <f>参数调整!$K$37*怪物掉落配置方案!$D4435</f>
        <v>0</v>
      </c>
    </row>
    <row r="6488" spans="1:4" ht="16.5" hidden="1" x14ac:dyDescent="0.3">
      <c r="A6488" s="10" t="str">
        <f>基本属性!$B$9&amp;"|"&amp;基本属性!$C$9</f>
        <v>70|0</v>
      </c>
      <c r="B6488" s="10" t="str">
        <f>参数调整!$J$37</f>
        <v>新增怪物种类2掉落</v>
      </c>
      <c r="C6488" s="8" t="str">
        <f>材料产出!$BJ$2</f>
        <v>新增材料2</v>
      </c>
      <c r="D6488" s="224">
        <f>参数调整!$K$37*怪物掉落配置方案!$D4436</f>
        <v>0</v>
      </c>
    </row>
    <row r="6489" spans="1:4" ht="16.5" hidden="1" x14ac:dyDescent="0.3">
      <c r="A6489" s="10" t="str">
        <f>基本属性!$B$10&amp;"|"&amp;基本属性!$C$10</f>
        <v>75|0</v>
      </c>
      <c r="B6489" s="10" t="str">
        <f>参数调整!$J$37</f>
        <v>新增怪物种类2掉落</v>
      </c>
      <c r="C6489" s="8" t="str">
        <f>材料产出!$BJ$2</f>
        <v>新增材料2</v>
      </c>
      <c r="D6489" s="224">
        <f>参数调整!$K$37*怪物掉落配置方案!$D4437</f>
        <v>0</v>
      </c>
    </row>
    <row r="6490" spans="1:4" ht="16.5" hidden="1" x14ac:dyDescent="0.3">
      <c r="A6490" s="10" t="str">
        <f>基本属性!$B$11&amp;"|"&amp;基本属性!$C$11</f>
        <v>80|1</v>
      </c>
      <c r="B6490" s="10" t="str">
        <f>参数调整!$J$37</f>
        <v>新增怪物种类2掉落</v>
      </c>
      <c r="C6490" s="8" t="str">
        <f>材料产出!$BJ$2</f>
        <v>新增材料2</v>
      </c>
      <c r="D6490" s="224">
        <f>参数调整!$K$37*怪物掉落配置方案!$D4438</f>
        <v>0</v>
      </c>
    </row>
    <row r="6491" spans="1:4" ht="16.5" hidden="1" x14ac:dyDescent="0.3">
      <c r="A6491" s="10" t="str">
        <f>基本属性!$B$12&amp;"|"&amp;基本属性!$C$12</f>
        <v>90|2</v>
      </c>
      <c r="B6491" s="10" t="str">
        <f>参数调整!$J$37</f>
        <v>新增怪物种类2掉落</v>
      </c>
      <c r="C6491" s="8" t="str">
        <f>材料产出!$BJ$2</f>
        <v>新增材料2</v>
      </c>
      <c r="D6491" s="224">
        <f>参数调整!$K$37*怪物掉落配置方案!$D4439</f>
        <v>0</v>
      </c>
    </row>
    <row r="6492" spans="1:4" ht="16.5" hidden="1" x14ac:dyDescent="0.3">
      <c r="A6492" s="10" t="str">
        <f>基本属性!$B$13&amp;"|"&amp;基本属性!$C$13</f>
        <v>100|3</v>
      </c>
      <c r="B6492" s="10" t="str">
        <f>参数调整!$J$37</f>
        <v>新增怪物种类2掉落</v>
      </c>
      <c r="C6492" s="8" t="str">
        <f>材料产出!$BJ$2</f>
        <v>新增材料2</v>
      </c>
      <c r="D6492" s="224">
        <f>参数调整!$K$37*怪物掉落配置方案!$D4440</f>
        <v>0</v>
      </c>
    </row>
    <row r="6493" spans="1:4" ht="16.5" hidden="1" x14ac:dyDescent="0.3">
      <c r="A6493" s="10" t="str">
        <f>基本属性!$B$14&amp;"|"&amp;基本属性!$C$14</f>
        <v>105|4</v>
      </c>
      <c r="B6493" s="10" t="str">
        <f>参数调整!$J$37</f>
        <v>新增怪物种类2掉落</v>
      </c>
      <c r="C6493" s="8" t="str">
        <f>材料产出!$BJ$2</f>
        <v>新增材料2</v>
      </c>
      <c r="D6493" s="224">
        <f>参数调整!$K$37*怪物掉落配置方案!$D4441</f>
        <v>0</v>
      </c>
    </row>
    <row r="6494" spans="1:4" ht="16.5" hidden="1" x14ac:dyDescent="0.3">
      <c r="A6494" s="10" t="str">
        <f>基本属性!$B$15&amp;"|"&amp;基本属性!$C$15</f>
        <v>110|5</v>
      </c>
      <c r="B6494" s="10" t="str">
        <f>参数调整!$J$37</f>
        <v>新增怪物种类2掉落</v>
      </c>
      <c r="C6494" s="8" t="str">
        <f>材料产出!$BJ$2</f>
        <v>新增材料2</v>
      </c>
      <c r="D6494" s="224">
        <f>参数调整!$K$37*怪物掉落配置方案!$D4442</f>
        <v>0</v>
      </c>
    </row>
    <row r="6495" spans="1:4" ht="16.5" hidden="1" x14ac:dyDescent="0.3">
      <c r="A6495" s="10" t="str">
        <f>基本属性!$B$16&amp;"|"&amp;基本属性!$C$16</f>
        <v>120|6</v>
      </c>
      <c r="B6495" s="10" t="str">
        <f>参数调整!$J$37</f>
        <v>新增怪物种类2掉落</v>
      </c>
      <c r="C6495" s="8" t="str">
        <f>材料产出!$BJ$2</f>
        <v>新增材料2</v>
      </c>
      <c r="D6495" s="224">
        <f>参数调整!$K$37*怪物掉落配置方案!$D4443</f>
        <v>0</v>
      </c>
    </row>
    <row r="6496" spans="1:4" ht="16.5" hidden="1" x14ac:dyDescent="0.3">
      <c r="A6496" s="10" t="str">
        <f>基本属性!$B$17&amp;"|"&amp;基本属性!$C$17</f>
        <v>135|7</v>
      </c>
      <c r="B6496" s="10" t="str">
        <f>参数调整!$J$37</f>
        <v>新增怪物种类2掉落</v>
      </c>
      <c r="C6496" s="8" t="str">
        <f>材料产出!$BJ$2</f>
        <v>新增材料2</v>
      </c>
      <c r="D6496" s="224">
        <f>参数调整!$K$37*怪物掉落配置方案!$D4444</f>
        <v>0</v>
      </c>
    </row>
    <row r="6497" spans="1:4" ht="16.5" hidden="1" x14ac:dyDescent="0.3">
      <c r="A6497" s="10" t="str">
        <f>基本属性!$B$18&amp;"|"&amp;基本属性!$C$18</f>
        <v>155|8</v>
      </c>
      <c r="B6497" s="10" t="str">
        <f>参数调整!$J$37</f>
        <v>新增怪物种类2掉落</v>
      </c>
      <c r="C6497" s="8" t="str">
        <f>材料产出!$BJ$2</f>
        <v>新增材料2</v>
      </c>
      <c r="D6497" s="224">
        <f>参数调整!$K$37*怪物掉落配置方案!$D4445</f>
        <v>0</v>
      </c>
    </row>
    <row r="6498" spans="1:4" ht="16.5" hidden="1" x14ac:dyDescent="0.3">
      <c r="A6498" s="10" t="str">
        <f>基本属性!$B$19&amp;"|"&amp;基本属性!$C$19</f>
        <v>190|9</v>
      </c>
      <c r="B6498" s="10" t="str">
        <f>参数调整!$J$37</f>
        <v>新增怪物种类2掉落</v>
      </c>
      <c r="C6498" s="8" t="str">
        <f>材料产出!$BJ$2</f>
        <v>新增材料2</v>
      </c>
      <c r="D6498" s="224">
        <f>参数调整!$K$37*怪物掉落配置方案!$D4446</f>
        <v>0</v>
      </c>
    </row>
    <row r="6499" spans="1:4" ht="16.5" hidden="1" x14ac:dyDescent="0.3">
      <c r="A6499" s="10" t="str">
        <f>基本属性!$B$20&amp;"|"&amp;基本属性!$C$20</f>
        <v>200|10</v>
      </c>
      <c r="B6499" s="10" t="str">
        <f>参数调整!$J$37</f>
        <v>新增怪物种类2掉落</v>
      </c>
      <c r="C6499" s="8" t="str">
        <f>材料产出!$BJ$2</f>
        <v>新增材料2</v>
      </c>
      <c r="D6499" s="224">
        <f>参数调整!$K$37*怪物掉落配置方案!$D4447</f>
        <v>0</v>
      </c>
    </row>
    <row r="6500" spans="1:4" ht="16.5" hidden="1" x14ac:dyDescent="0.3">
      <c r="A6500" s="10" t="str">
        <f>基本属性!$B$21&amp;"|"&amp;基本属性!$C$21</f>
        <v>200|11</v>
      </c>
      <c r="B6500" s="10" t="str">
        <f>参数调整!$J$37</f>
        <v>新增怪物种类2掉落</v>
      </c>
      <c r="C6500" s="8" t="str">
        <f>材料产出!$BJ$2</f>
        <v>新增材料2</v>
      </c>
      <c r="D6500" s="224">
        <f>参数调整!$K$37*怪物掉落配置方案!$D4448</f>
        <v>0</v>
      </c>
    </row>
    <row r="6501" spans="1:4" ht="16.5" hidden="1" x14ac:dyDescent="0.3">
      <c r="A6501" s="10" t="str">
        <f>基本属性!$B$22&amp;"|"&amp;基本属性!$C$22</f>
        <v>210|12</v>
      </c>
      <c r="B6501" s="10" t="str">
        <f>参数调整!$J$37</f>
        <v>新增怪物种类2掉落</v>
      </c>
      <c r="C6501" s="8" t="str">
        <f>材料产出!$BJ$2</f>
        <v>新增材料2</v>
      </c>
      <c r="D6501" s="224">
        <f>参数调整!$K$37*怪物掉落配置方案!$D4449</f>
        <v>0</v>
      </c>
    </row>
    <row r="6502" spans="1:4" ht="16.5" hidden="1" x14ac:dyDescent="0.3">
      <c r="A6502" s="10" t="str">
        <f>基本属性!$B$23&amp;"|"&amp;基本属性!$C$23</f>
        <v>210|13</v>
      </c>
      <c r="B6502" s="10" t="str">
        <f>参数调整!$J$37</f>
        <v>新增怪物种类2掉落</v>
      </c>
      <c r="C6502" s="8" t="str">
        <f>材料产出!$BJ$2</f>
        <v>新增材料2</v>
      </c>
      <c r="D6502" s="224">
        <f>参数调整!$K$37*怪物掉落配置方案!$D4450</f>
        <v>0</v>
      </c>
    </row>
    <row r="6503" spans="1:4" ht="16.5" hidden="1" x14ac:dyDescent="0.3">
      <c r="A6503" s="10" t="str">
        <f>基本属性!$B$24&amp;"|"&amp;基本属性!$C$24</f>
        <v>220|14</v>
      </c>
      <c r="B6503" s="10" t="str">
        <f>参数调整!$J$37</f>
        <v>新增怪物种类2掉落</v>
      </c>
      <c r="C6503" s="8" t="str">
        <f>材料产出!$BJ$2</f>
        <v>新增材料2</v>
      </c>
      <c r="D6503" s="224">
        <f>参数调整!$K$37*怪物掉落配置方案!$D4451</f>
        <v>0</v>
      </c>
    </row>
    <row r="6504" spans="1:4" ht="16.5" hidden="1" x14ac:dyDescent="0.3">
      <c r="A6504" s="10" t="str">
        <f>基本属性!$B$25&amp;"|"&amp;基本属性!$C$25</f>
        <v>220|15</v>
      </c>
      <c r="B6504" s="10" t="str">
        <f>参数调整!$J$37</f>
        <v>新增怪物种类2掉落</v>
      </c>
      <c r="C6504" s="8" t="str">
        <f>材料产出!$BJ$2</f>
        <v>新增材料2</v>
      </c>
      <c r="D6504" s="224">
        <f>参数调整!$K$37*怪物掉落配置方案!$D4452</f>
        <v>0</v>
      </c>
    </row>
    <row r="6505" spans="1:4" ht="16.5" hidden="1" x14ac:dyDescent="0.3">
      <c r="A6505" s="10" t="str">
        <f>基本属性!$B$26&amp;"|"&amp;基本属性!$C$26</f>
        <v>230|16</v>
      </c>
      <c r="B6505" s="10" t="str">
        <f>参数调整!$J$37</f>
        <v>新增怪物种类2掉落</v>
      </c>
      <c r="C6505" s="8" t="str">
        <f>材料产出!$BJ$2</f>
        <v>新增材料2</v>
      </c>
      <c r="D6505" s="224">
        <f>参数调整!$K$37*怪物掉落配置方案!$D4453</f>
        <v>0</v>
      </c>
    </row>
    <row r="6506" spans="1:4" ht="16.5" hidden="1" x14ac:dyDescent="0.3">
      <c r="A6506" s="10" t="str">
        <f>基本属性!$B$27&amp;"|"&amp;基本属性!$C$27</f>
        <v>230|17</v>
      </c>
      <c r="B6506" s="10" t="str">
        <f>参数调整!$J$37</f>
        <v>新增怪物种类2掉落</v>
      </c>
      <c r="C6506" s="8" t="str">
        <f>材料产出!$BJ$2</f>
        <v>新增材料2</v>
      </c>
      <c r="D6506" s="224">
        <f>参数调整!$K$37*怪物掉落配置方案!$D4454</f>
        <v>0</v>
      </c>
    </row>
    <row r="6507" spans="1:4" ht="16.5" hidden="1" x14ac:dyDescent="0.3">
      <c r="A6507" s="10" t="str">
        <f>基本属性!$B$28&amp;"|"&amp;基本属性!$C$28</f>
        <v>240|18</v>
      </c>
      <c r="B6507" s="10" t="str">
        <f>参数调整!$J$37</f>
        <v>新增怪物种类2掉落</v>
      </c>
      <c r="C6507" s="8" t="str">
        <f>材料产出!$BJ$2</f>
        <v>新增材料2</v>
      </c>
      <c r="D6507" s="224">
        <f>参数调整!$K$37*怪物掉落配置方案!$D4455</f>
        <v>0</v>
      </c>
    </row>
    <row r="6508" spans="1:4" ht="16.5" hidden="1" x14ac:dyDescent="0.3">
      <c r="A6508" s="10" t="str">
        <f>基本属性!$B$29&amp;"|"&amp;基本属性!$C$29</f>
        <v>240|19</v>
      </c>
      <c r="B6508" s="10" t="str">
        <f>参数调整!$J$37</f>
        <v>新增怪物种类2掉落</v>
      </c>
      <c r="C6508" s="8" t="str">
        <f>材料产出!$BJ$2</f>
        <v>新增材料2</v>
      </c>
      <c r="D6508" s="224">
        <f>参数调整!$K$37*怪物掉落配置方案!$D4456</f>
        <v>0</v>
      </c>
    </row>
    <row r="6509" spans="1:4" ht="16.5" hidden="1" x14ac:dyDescent="0.3">
      <c r="A6509" s="10" t="str">
        <f>基本属性!$B$30&amp;"|"&amp;基本属性!$C$30</f>
        <v>250|20</v>
      </c>
      <c r="B6509" s="10" t="str">
        <f>参数调整!$J$37</f>
        <v>新增怪物种类2掉落</v>
      </c>
      <c r="C6509" s="8" t="str">
        <f>材料产出!$BJ$2</f>
        <v>新增材料2</v>
      </c>
      <c r="D6509" s="224">
        <f>参数调整!$K$37*怪物掉落配置方案!$D4457</f>
        <v>0</v>
      </c>
    </row>
    <row r="6510" spans="1:4" ht="16.5" hidden="1" x14ac:dyDescent="0.3">
      <c r="A6510" s="10" t="str">
        <f>基本属性!$B$4&amp;"|"&amp;基本属性!$C$4</f>
        <v>35|0</v>
      </c>
      <c r="B6510" s="10" t="str">
        <f>参数调整!$J$37</f>
        <v>新增怪物种类2掉落</v>
      </c>
      <c r="C6510" s="8" t="str">
        <f>材料产出!$BH$2</f>
        <v>新增材料1</v>
      </c>
      <c r="D6510" s="224">
        <f>参数调整!$K$37*怪物掉落配置方案!$D4458</f>
        <v>0</v>
      </c>
    </row>
    <row r="6511" spans="1:4" ht="16.5" hidden="1" x14ac:dyDescent="0.3">
      <c r="A6511" s="10" t="str">
        <f>基本属性!$B$5&amp;"|"&amp;基本属性!$C$5</f>
        <v>40|0</v>
      </c>
      <c r="B6511" s="10" t="str">
        <f>参数调整!$J$37</f>
        <v>新增怪物种类2掉落</v>
      </c>
      <c r="C6511" s="8" t="str">
        <f>材料产出!$BH$2</f>
        <v>新增材料1</v>
      </c>
      <c r="D6511" s="224">
        <f>参数调整!$K$37*怪物掉落配置方案!$D4459</f>
        <v>0</v>
      </c>
    </row>
    <row r="6512" spans="1:4" ht="16.5" hidden="1" x14ac:dyDescent="0.3">
      <c r="A6512" s="10" t="str">
        <f>基本属性!$B$6&amp;"|"&amp;基本属性!$C$6</f>
        <v>50|0</v>
      </c>
      <c r="B6512" s="10" t="str">
        <f>参数调整!$J$37</f>
        <v>新增怪物种类2掉落</v>
      </c>
      <c r="C6512" s="8" t="str">
        <f>材料产出!$BH$2</f>
        <v>新增材料1</v>
      </c>
      <c r="D6512" s="224">
        <f>参数调整!$K$37*怪物掉落配置方案!$D4460</f>
        <v>0</v>
      </c>
    </row>
    <row r="6513" spans="1:4" ht="16.5" hidden="1" x14ac:dyDescent="0.3">
      <c r="A6513" s="10" t="str">
        <f>基本属性!$B$7&amp;"|"&amp;基本属性!$C$7</f>
        <v>60|0</v>
      </c>
      <c r="B6513" s="10" t="str">
        <f>参数调整!$J$37</f>
        <v>新增怪物种类2掉落</v>
      </c>
      <c r="C6513" s="8" t="str">
        <f>材料产出!$BH$2</f>
        <v>新增材料1</v>
      </c>
      <c r="D6513" s="224">
        <f>参数调整!$K$37*怪物掉落配置方案!$D4461</f>
        <v>0</v>
      </c>
    </row>
    <row r="6514" spans="1:4" ht="16.5" hidden="1" x14ac:dyDescent="0.3">
      <c r="A6514" s="10" t="str">
        <f>基本属性!$B$8&amp;"|"&amp;基本属性!$C$8</f>
        <v>65|0</v>
      </c>
      <c r="B6514" s="10" t="str">
        <f>参数调整!$J$37</f>
        <v>新增怪物种类2掉落</v>
      </c>
      <c r="C6514" s="8" t="str">
        <f>材料产出!$BH$2</f>
        <v>新增材料1</v>
      </c>
      <c r="D6514" s="224">
        <f>参数调整!$K$37*怪物掉落配置方案!$D4462</f>
        <v>0</v>
      </c>
    </row>
    <row r="6515" spans="1:4" ht="16.5" hidden="1" x14ac:dyDescent="0.3">
      <c r="A6515" s="10" t="str">
        <f>基本属性!$B$9&amp;"|"&amp;基本属性!$C$9</f>
        <v>70|0</v>
      </c>
      <c r="B6515" s="10" t="str">
        <f>参数调整!$J$37</f>
        <v>新增怪物种类2掉落</v>
      </c>
      <c r="C6515" s="8" t="str">
        <f>材料产出!$BH$2</f>
        <v>新增材料1</v>
      </c>
      <c r="D6515" s="224">
        <f>参数调整!$K$37*怪物掉落配置方案!$D4463</f>
        <v>0</v>
      </c>
    </row>
    <row r="6516" spans="1:4" ht="16.5" hidden="1" x14ac:dyDescent="0.3">
      <c r="A6516" s="10" t="str">
        <f>基本属性!$B$10&amp;"|"&amp;基本属性!$C$10</f>
        <v>75|0</v>
      </c>
      <c r="B6516" s="10" t="str">
        <f>参数调整!$J$37</f>
        <v>新增怪物种类2掉落</v>
      </c>
      <c r="C6516" s="8" t="str">
        <f>材料产出!$BH$2</f>
        <v>新增材料1</v>
      </c>
      <c r="D6516" s="224">
        <f>参数调整!$K$37*怪物掉落配置方案!$D4464</f>
        <v>0</v>
      </c>
    </row>
    <row r="6517" spans="1:4" ht="16.5" hidden="1" x14ac:dyDescent="0.3">
      <c r="A6517" s="10" t="str">
        <f>基本属性!$B$11&amp;"|"&amp;基本属性!$C$11</f>
        <v>80|1</v>
      </c>
      <c r="B6517" s="10" t="str">
        <f>参数调整!$J$37</f>
        <v>新增怪物种类2掉落</v>
      </c>
      <c r="C6517" s="8" t="str">
        <f>材料产出!$BH$2</f>
        <v>新增材料1</v>
      </c>
      <c r="D6517" s="224">
        <f>参数调整!$K$37*怪物掉落配置方案!$D4465</f>
        <v>0</v>
      </c>
    </row>
    <row r="6518" spans="1:4" ht="16.5" hidden="1" x14ac:dyDescent="0.3">
      <c r="A6518" s="10" t="str">
        <f>基本属性!$B$12&amp;"|"&amp;基本属性!$C$12</f>
        <v>90|2</v>
      </c>
      <c r="B6518" s="10" t="str">
        <f>参数调整!$J$37</f>
        <v>新增怪物种类2掉落</v>
      </c>
      <c r="C6518" s="8" t="str">
        <f>材料产出!$BH$2</f>
        <v>新增材料1</v>
      </c>
      <c r="D6518" s="224">
        <f>参数调整!$K$37*怪物掉落配置方案!$D4466</f>
        <v>0</v>
      </c>
    </row>
    <row r="6519" spans="1:4" ht="16.5" hidden="1" x14ac:dyDescent="0.3">
      <c r="A6519" s="10" t="str">
        <f>基本属性!$B$13&amp;"|"&amp;基本属性!$C$13</f>
        <v>100|3</v>
      </c>
      <c r="B6519" s="10" t="str">
        <f>参数调整!$J$37</f>
        <v>新增怪物种类2掉落</v>
      </c>
      <c r="C6519" s="8" t="str">
        <f>材料产出!$BH$2</f>
        <v>新增材料1</v>
      </c>
      <c r="D6519" s="224">
        <f>参数调整!$K$37*怪物掉落配置方案!$D4467</f>
        <v>0</v>
      </c>
    </row>
    <row r="6520" spans="1:4" ht="16.5" hidden="1" x14ac:dyDescent="0.3">
      <c r="A6520" s="10" t="str">
        <f>基本属性!$B$14&amp;"|"&amp;基本属性!$C$14</f>
        <v>105|4</v>
      </c>
      <c r="B6520" s="10" t="str">
        <f>参数调整!$J$37</f>
        <v>新增怪物种类2掉落</v>
      </c>
      <c r="C6520" s="8" t="str">
        <f>材料产出!$BH$2</f>
        <v>新增材料1</v>
      </c>
      <c r="D6520" s="224">
        <f>参数调整!$K$37*怪物掉落配置方案!$D4468</f>
        <v>0</v>
      </c>
    </row>
    <row r="6521" spans="1:4" ht="16.5" hidden="1" x14ac:dyDescent="0.3">
      <c r="A6521" s="10" t="str">
        <f>基本属性!$B$15&amp;"|"&amp;基本属性!$C$15</f>
        <v>110|5</v>
      </c>
      <c r="B6521" s="10" t="str">
        <f>参数调整!$J$37</f>
        <v>新增怪物种类2掉落</v>
      </c>
      <c r="C6521" s="8" t="str">
        <f>材料产出!$BH$2</f>
        <v>新增材料1</v>
      </c>
      <c r="D6521" s="224">
        <f>参数调整!$K$37*怪物掉落配置方案!$D4469</f>
        <v>0</v>
      </c>
    </row>
    <row r="6522" spans="1:4" ht="16.5" hidden="1" x14ac:dyDescent="0.3">
      <c r="A6522" s="10" t="str">
        <f>基本属性!$B$16&amp;"|"&amp;基本属性!$C$16</f>
        <v>120|6</v>
      </c>
      <c r="B6522" s="10" t="str">
        <f>参数调整!$J$37</f>
        <v>新增怪物种类2掉落</v>
      </c>
      <c r="C6522" s="8" t="str">
        <f>材料产出!$BH$2</f>
        <v>新增材料1</v>
      </c>
      <c r="D6522" s="224">
        <f>参数调整!$K$37*怪物掉落配置方案!$D4470</f>
        <v>0</v>
      </c>
    </row>
    <row r="6523" spans="1:4" ht="16.5" hidden="1" x14ac:dyDescent="0.3">
      <c r="A6523" s="10" t="str">
        <f>基本属性!$B$17&amp;"|"&amp;基本属性!$C$17</f>
        <v>135|7</v>
      </c>
      <c r="B6523" s="10" t="str">
        <f>参数调整!$J$37</f>
        <v>新增怪物种类2掉落</v>
      </c>
      <c r="C6523" s="8" t="str">
        <f>材料产出!$BH$2</f>
        <v>新增材料1</v>
      </c>
      <c r="D6523" s="224">
        <f>参数调整!$K$37*怪物掉落配置方案!$D4471</f>
        <v>0</v>
      </c>
    </row>
    <row r="6524" spans="1:4" ht="16.5" hidden="1" x14ac:dyDescent="0.3">
      <c r="A6524" s="10" t="str">
        <f>基本属性!$B$18&amp;"|"&amp;基本属性!$C$18</f>
        <v>155|8</v>
      </c>
      <c r="B6524" s="10" t="str">
        <f>参数调整!$J$37</f>
        <v>新增怪物种类2掉落</v>
      </c>
      <c r="C6524" s="8" t="str">
        <f>材料产出!$BH$2</f>
        <v>新增材料1</v>
      </c>
      <c r="D6524" s="224">
        <f>参数调整!$K$37*怪物掉落配置方案!$D4472</f>
        <v>0</v>
      </c>
    </row>
    <row r="6525" spans="1:4" ht="16.5" hidden="1" x14ac:dyDescent="0.3">
      <c r="A6525" s="10" t="str">
        <f>基本属性!$B$19&amp;"|"&amp;基本属性!$C$19</f>
        <v>190|9</v>
      </c>
      <c r="B6525" s="10" t="str">
        <f>参数调整!$J$37</f>
        <v>新增怪物种类2掉落</v>
      </c>
      <c r="C6525" s="8" t="str">
        <f>材料产出!$BH$2</f>
        <v>新增材料1</v>
      </c>
      <c r="D6525" s="224">
        <f>参数调整!$K$37*怪物掉落配置方案!$D4473</f>
        <v>0</v>
      </c>
    </row>
    <row r="6526" spans="1:4" ht="16.5" hidden="1" x14ac:dyDescent="0.3">
      <c r="A6526" s="10" t="str">
        <f>基本属性!$B$20&amp;"|"&amp;基本属性!$C$20</f>
        <v>200|10</v>
      </c>
      <c r="B6526" s="10" t="str">
        <f>参数调整!$J$37</f>
        <v>新增怪物种类2掉落</v>
      </c>
      <c r="C6526" s="8" t="str">
        <f>材料产出!$BH$2</f>
        <v>新增材料1</v>
      </c>
      <c r="D6526" s="224">
        <f>参数调整!$K$37*怪物掉落配置方案!$D4474</f>
        <v>0</v>
      </c>
    </row>
    <row r="6527" spans="1:4" ht="16.5" hidden="1" x14ac:dyDescent="0.3">
      <c r="A6527" s="10" t="str">
        <f>基本属性!$B$21&amp;"|"&amp;基本属性!$C$21</f>
        <v>200|11</v>
      </c>
      <c r="B6527" s="10" t="str">
        <f>参数调整!$J$37</f>
        <v>新增怪物种类2掉落</v>
      </c>
      <c r="C6527" s="8" t="str">
        <f>材料产出!$BH$2</f>
        <v>新增材料1</v>
      </c>
      <c r="D6527" s="224">
        <f>参数调整!$K$37*怪物掉落配置方案!$D4475</f>
        <v>0</v>
      </c>
    </row>
    <row r="6528" spans="1:4" ht="16.5" hidden="1" x14ac:dyDescent="0.3">
      <c r="A6528" s="10" t="str">
        <f>基本属性!$B$22&amp;"|"&amp;基本属性!$C$22</f>
        <v>210|12</v>
      </c>
      <c r="B6528" s="10" t="str">
        <f>参数调整!$J$37</f>
        <v>新增怪物种类2掉落</v>
      </c>
      <c r="C6528" s="8" t="str">
        <f>材料产出!$BH$2</f>
        <v>新增材料1</v>
      </c>
      <c r="D6528" s="224">
        <f>参数调整!$K$37*怪物掉落配置方案!$D4476</f>
        <v>0</v>
      </c>
    </row>
    <row r="6529" spans="1:4" ht="16.5" hidden="1" x14ac:dyDescent="0.3">
      <c r="A6529" s="10" t="str">
        <f>基本属性!$B$23&amp;"|"&amp;基本属性!$C$23</f>
        <v>210|13</v>
      </c>
      <c r="B6529" s="10" t="str">
        <f>参数调整!$J$37</f>
        <v>新增怪物种类2掉落</v>
      </c>
      <c r="C6529" s="8" t="str">
        <f>材料产出!$BH$2</f>
        <v>新增材料1</v>
      </c>
      <c r="D6529" s="224">
        <f>参数调整!$K$37*怪物掉落配置方案!$D4477</f>
        <v>0</v>
      </c>
    </row>
    <row r="6530" spans="1:4" ht="16.5" hidden="1" x14ac:dyDescent="0.3">
      <c r="A6530" s="10" t="str">
        <f>基本属性!$B$24&amp;"|"&amp;基本属性!$C$24</f>
        <v>220|14</v>
      </c>
      <c r="B6530" s="10" t="str">
        <f>参数调整!$J$37</f>
        <v>新增怪物种类2掉落</v>
      </c>
      <c r="C6530" s="8" t="str">
        <f>材料产出!$BH$2</f>
        <v>新增材料1</v>
      </c>
      <c r="D6530" s="224">
        <f>参数调整!$K$37*怪物掉落配置方案!$D4478</f>
        <v>0</v>
      </c>
    </row>
    <row r="6531" spans="1:4" ht="16.5" hidden="1" x14ac:dyDescent="0.3">
      <c r="A6531" s="10" t="str">
        <f>基本属性!$B$25&amp;"|"&amp;基本属性!$C$25</f>
        <v>220|15</v>
      </c>
      <c r="B6531" s="10" t="str">
        <f>参数调整!$J$37</f>
        <v>新增怪物种类2掉落</v>
      </c>
      <c r="C6531" s="8" t="str">
        <f>材料产出!$BH$2</f>
        <v>新增材料1</v>
      </c>
      <c r="D6531" s="224">
        <f>参数调整!$K$37*怪物掉落配置方案!$D4479</f>
        <v>0</v>
      </c>
    </row>
    <row r="6532" spans="1:4" ht="16.5" hidden="1" x14ac:dyDescent="0.3">
      <c r="A6532" s="10" t="str">
        <f>基本属性!$B$26&amp;"|"&amp;基本属性!$C$26</f>
        <v>230|16</v>
      </c>
      <c r="B6532" s="10" t="str">
        <f>参数调整!$J$37</f>
        <v>新增怪物种类2掉落</v>
      </c>
      <c r="C6532" s="8" t="str">
        <f>材料产出!$BH$2</f>
        <v>新增材料1</v>
      </c>
      <c r="D6532" s="224">
        <f>参数调整!$K$37*怪物掉落配置方案!$D4480</f>
        <v>0</v>
      </c>
    </row>
    <row r="6533" spans="1:4" ht="16.5" hidden="1" x14ac:dyDescent="0.3">
      <c r="A6533" s="10" t="str">
        <f>基本属性!$B$27&amp;"|"&amp;基本属性!$C$27</f>
        <v>230|17</v>
      </c>
      <c r="B6533" s="10" t="str">
        <f>参数调整!$J$37</f>
        <v>新增怪物种类2掉落</v>
      </c>
      <c r="C6533" s="8" t="str">
        <f>材料产出!$BH$2</f>
        <v>新增材料1</v>
      </c>
      <c r="D6533" s="224">
        <f>参数调整!$K$37*怪物掉落配置方案!$D4481</f>
        <v>0</v>
      </c>
    </row>
    <row r="6534" spans="1:4" ht="16.5" hidden="1" x14ac:dyDescent="0.3">
      <c r="A6534" s="10" t="str">
        <f>基本属性!$B$28&amp;"|"&amp;基本属性!$C$28</f>
        <v>240|18</v>
      </c>
      <c r="B6534" s="10" t="str">
        <f>参数调整!$J$37</f>
        <v>新增怪物种类2掉落</v>
      </c>
      <c r="C6534" s="8" t="str">
        <f>材料产出!$BH$2</f>
        <v>新增材料1</v>
      </c>
      <c r="D6534" s="224">
        <f>参数调整!$K$37*怪物掉落配置方案!$D4482</f>
        <v>0</v>
      </c>
    </row>
    <row r="6535" spans="1:4" ht="16.5" hidden="1" x14ac:dyDescent="0.3">
      <c r="A6535" s="10" t="str">
        <f>基本属性!$B$29&amp;"|"&amp;基本属性!$C$29</f>
        <v>240|19</v>
      </c>
      <c r="B6535" s="10" t="str">
        <f>参数调整!$J$37</f>
        <v>新增怪物种类2掉落</v>
      </c>
      <c r="C6535" s="8" t="str">
        <f>材料产出!$BH$2</f>
        <v>新增材料1</v>
      </c>
      <c r="D6535" s="224">
        <f>参数调整!$K$37*怪物掉落配置方案!$D4483</f>
        <v>0</v>
      </c>
    </row>
    <row r="6536" spans="1:4" ht="16.5" hidden="1" x14ac:dyDescent="0.3">
      <c r="A6536" s="10" t="str">
        <f>基本属性!$B$30&amp;"|"&amp;基本属性!$C$30</f>
        <v>250|20</v>
      </c>
      <c r="B6536" s="10" t="str">
        <f>参数调整!$J$37</f>
        <v>新增怪物种类2掉落</v>
      </c>
      <c r="C6536" s="8" t="str">
        <f>材料产出!$BH$2</f>
        <v>新增材料1</v>
      </c>
      <c r="D6536" s="224">
        <f>参数调整!$K$37*怪物掉落配置方案!$D4484</f>
        <v>0</v>
      </c>
    </row>
    <row r="6537" spans="1:4" ht="16.5" hidden="1" x14ac:dyDescent="0.3">
      <c r="A6537" s="10" t="str">
        <f>基本属性!$B$4&amp;"|"&amp;基本属性!$C$4</f>
        <v>35|0</v>
      </c>
      <c r="B6537" s="10" t="str">
        <f>参数调整!$J$37</f>
        <v>新增怪物种类2掉落</v>
      </c>
      <c r="C6537" s="8" t="str">
        <f>材料产出!$AF$2</f>
        <v>仙品升星石</v>
      </c>
      <c r="D6537" s="224">
        <f>参数调整!$K$37*怪物掉落配置方案!$D4485</f>
        <v>4.5365042618120592E-3</v>
      </c>
    </row>
    <row r="6538" spans="1:4" ht="16.5" hidden="1" x14ac:dyDescent="0.3">
      <c r="A6538" s="10" t="str">
        <f>基本属性!$B$5&amp;"|"&amp;基本属性!$C$5</f>
        <v>40|0</v>
      </c>
      <c r="B6538" s="10" t="str">
        <f>参数调整!$J$37</f>
        <v>新增怪物种类2掉落</v>
      </c>
      <c r="C6538" s="8" t="str">
        <f>材料产出!$AF$2</f>
        <v>仙品升星石</v>
      </c>
      <c r="D6538" s="224">
        <f>参数调整!$K$37*怪物掉落配置方案!$D4486</f>
        <v>5.7415132063558891E-3</v>
      </c>
    </row>
    <row r="6539" spans="1:4" ht="16.5" hidden="1" x14ac:dyDescent="0.3">
      <c r="A6539" s="10" t="str">
        <f>基本属性!$B$6&amp;"|"&amp;基本属性!$C$6</f>
        <v>50|0</v>
      </c>
      <c r="B6539" s="10" t="str">
        <f>参数调整!$J$37</f>
        <v>新增怪物种类2掉落</v>
      </c>
      <c r="C6539" s="8" t="str">
        <f>材料产出!$AF$2</f>
        <v>仙品升星石</v>
      </c>
      <c r="D6539" s="224">
        <f>参数调整!$K$37*怪物掉落配置方案!$D4487</f>
        <v>7.0882879090813436E-3</v>
      </c>
    </row>
    <row r="6540" spans="1:4" ht="16.5" hidden="1" x14ac:dyDescent="0.3">
      <c r="A6540" s="10" t="str">
        <f>基本属性!$B$7&amp;"|"&amp;基本属性!$C$7</f>
        <v>60|0</v>
      </c>
      <c r="B6540" s="10" t="str">
        <f>参数调整!$J$37</f>
        <v>新增怪物种类2掉落</v>
      </c>
      <c r="C6540" s="8" t="str">
        <f>材料产出!$AF$2</f>
        <v>仙品升星石</v>
      </c>
      <c r="D6540" s="224">
        <f>参数调整!$K$37*怪物掉落配置方案!$D4488</f>
        <v>8.5768283699884252E-3</v>
      </c>
    </row>
    <row r="6541" spans="1:4" ht="16.5" hidden="1" x14ac:dyDescent="0.3">
      <c r="A6541" s="10" t="str">
        <f>基本属性!$B$8&amp;"|"&amp;基本属性!$C$8</f>
        <v>65|0</v>
      </c>
      <c r="B6541" s="10" t="str">
        <f>参数调整!$J$37</f>
        <v>新增怪物种类2掉落</v>
      </c>
      <c r="C6541" s="8" t="str">
        <f>材料产出!$AF$2</f>
        <v>仙品升星石</v>
      </c>
      <c r="D6541" s="224">
        <f>参数调整!$K$37*怪物掉落配置方案!$D4489</f>
        <v>1.0207134589077134E-2</v>
      </c>
    </row>
    <row r="6542" spans="1:4" ht="16.5" hidden="1" x14ac:dyDescent="0.3">
      <c r="A6542" s="10" t="str">
        <f>基本属性!$B$9&amp;"|"&amp;基本属性!$C$9</f>
        <v>70|0</v>
      </c>
      <c r="B6542" s="10" t="str">
        <f>参数调整!$J$37</f>
        <v>新增怪物种类2掉落</v>
      </c>
      <c r="C6542" s="8" t="str">
        <f>材料产出!$AF$2</f>
        <v>仙品升星石</v>
      </c>
      <c r="D6542" s="224">
        <f>参数调整!$K$37*怪物掉落配置方案!$D4490</f>
        <v>1.197920656634747E-2</v>
      </c>
    </row>
    <row r="6543" spans="1:4" ht="16.5" hidden="1" x14ac:dyDescent="0.3">
      <c r="A6543" s="10" t="str">
        <f>基本属性!$B$10&amp;"|"&amp;基本属性!$C$10</f>
        <v>75|0</v>
      </c>
      <c r="B6543" s="10" t="str">
        <f>参数调整!$J$37</f>
        <v>新增怪物种类2掉落</v>
      </c>
      <c r="C6543" s="8" t="str">
        <f>材料产出!$AF$2</f>
        <v>仙品升星石</v>
      </c>
      <c r="D6543" s="224">
        <f>参数调整!$K$37*怪物掉落配置方案!$D4491</f>
        <v>1.3893044301799431E-2</v>
      </c>
    </row>
    <row r="6544" spans="1:4" ht="16.5" hidden="1" x14ac:dyDescent="0.3">
      <c r="A6544" s="10" t="str">
        <f>基本属性!$B$11&amp;"|"&amp;基本属性!$C$11</f>
        <v>80|1</v>
      </c>
      <c r="B6544" s="10" t="str">
        <f>参数调整!$J$37</f>
        <v>新增怪物种类2掉落</v>
      </c>
      <c r="C6544" s="8" t="str">
        <f>材料产出!$AF$2</f>
        <v>仙品升星石</v>
      </c>
      <c r="D6544" s="224">
        <f>参数调整!$K$37*怪物掉落配置方案!$D4492</f>
        <v>1.5948647795433021E-2</v>
      </c>
    </row>
    <row r="6545" spans="1:4" ht="16.5" hidden="1" x14ac:dyDescent="0.3">
      <c r="A6545" s="10" t="str">
        <f>基本属性!$B$12&amp;"|"&amp;基本属性!$C$12</f>
        <v>90|2</v>
      </c>
      <c r="B6545" s="10" t="str">
        <f>参数调整!$J$37</f>
        <v>新增怪物种类2掉落</v>
      </c>
      <c r="C6545" s="8" t="str">
        <f>材料产出!$AF$2</f>
        <v>仙品升星石</v>
      </c>
      <c r="D6545" s="224">
        <f>参数调整!$K$37*怪物掉落配置方案!$D4493</f>
        <v>1.8146017047248244E-2</v>
      </c>
    </row>
    <row r="6546" spans="1:4" ht="16.5" hidden="1" x14ac:dyDescent="0.3">
      <c r="A6546" s="10" t="str">
        <f>基本属性!$B$13&amp;"|"&amp;基本属性!$C$13</f>
        <v>100|3</v>
      </c>
      <c r="B6546" s="10" t="str">
        <f>参数调整!$J$37</f>
        <v>新增怪物种类2掉落</v>
      </c>
      <c r="C6546" s="8" t="str">
        <f>材料产出!$AF$2</f>
        <v>仙品升星石</v>
      </c>
      <c r="D6546" s="224">
        <f>参数调整!$K$37*怪物掉落配置方案!$D4494</f>
        <v>2.2966052825423557E-2</v>
      </c>
    </row>
    <row r="6547" spans="1:4" ht="16.5" hidden="1" x14ac:dyDescent="0.3">
      <c r="A6547" s="10" t="str">
        <f>基本属性!$B$14&amp;"|"&amp;基本属性!$C$14</f>
        <v>105|4</v>
      </c>
      <c r="B6547" s="10" t="str">
        <f>参数调整!$J$37</f>
        <v>新增怪物种类2掉落</v>
      </c>
      <c r="C6547" s="8" t="str">
        <f>材料产出!$AF$2</f>
        <v>仙品升星石</v>
      </c>
      <c r="D6547" s="224">
        <f>参数调整!$K$37*怪物掉落配置方案!$D4495</f>
        <v>2.8353151636325371E-2</v>
      </c>
    </row>
    <row r="6548" spans="1:4" ht="16.5" hidden="1" x14ac:dyDescent="0.3">
      <c r="A6548" s="10" t="str">
        <f>基本属性!$B$15&amp;"|"&amp;基本属性!$C$15</f>
        <v>110|5</v>
      </c>
      <c r="B6548" s="10" t="str">
        <f>参数调整!$J$37</f>
        <v>新增怪物种类2掉落</v>
      </c>
      <c r="C6548" s="8" t="str">
        <f>材料产出!$AF$2</f>
        <v>仙品升星石</v>
      </c>
      <c r="D6548" s="224">
        <f>参数调整!$K$37*怪物掉落配置方案!$D4496</f>
        <v>3.4307313479953701E-2</v>
      </c>
    </row>
    <row r="6549" spans="1:4" ht="16.5" hidden="1" x14ac:dyDescent="0.3">
      <c r="A6549" s="10" t="str">
        <f>基本属性!$B$16&amp;"|"&amp;基本属性!$C$16</f>
        <v>120|6</v>
      </c>
      <c r="B6549" s="10" t="str">
        <f>参数调整!$J$37</f>
        <v>新增怪物种类2掉落</v>
      </c>
      <c r="C6549" s="8" t="str">
        <f>材料产出!$AF$2</f>
        <v>仙品升星石</v>
      </c>
      <c r="D6549" s="224">
        <f>参数调整!$K$37*怪物掉落配置方案!$D4497</f>
        <v>4.4301799431758396E-2</v>
      </c>
    </row>
    <row r="6550" spans="1:4" ht="16.5" hidden="1" x14ac:dyDescent="0.3">
      <c r="A6550" s="10" t="str">
        <f>基本属性!$B$17&amp;"|"&amp;基本属性!$C$17</f>
        <v>135|7</v>
      </c>
      <c r="B6550" s="10" t="str">
        <f>参数调整!$J$37</f>
        <v>新增怪物种类2掉落</v>
      </c>
      <c r="C6550" s="8" t="str">
        <f>材料产出!$AF$2</f>
        <v>仙品升星石</v>
      </c>
      <c r="D6550" s="224">
        <f>参数调整!$K$37*怪物掉落配置方案!$D4498</f>
        <v>6.3794591181732085E-2</v>
      </c>
    </row>
    <row r="6551" spans="1:4" ht="16.5" hidden="1" x14ac:dyDescent="0.3">
      <c r="A6551" s="10" t="str">
        <f>基本属性!$B$18&amp;"|"&amp;基本属性!$C$18</f>
        <v>155|8</v>
      </c>
      <c r="B6551" s="10" t="str">
        <f>参数调整!$J$37</f>
        <v>新增怪物种类2掉落</v>
      </c>
      <c r="C6551" s="8" t="str">
        <f>材料产出!$AF$2</f>
        <v>仙品升星石</v>
      </c>
      <c r="D6551" s="224">
        <f>参数调整!$K$37*怪物掉落配置方案!$D4499</f>
        <v>8.6831526886246471E-2</v>
      </c>
    </row>
    <row r="6552" spans="1:4" ht="16.5" hidden="1" x14ac:dyDescent="0.3">
      <c r="A6552" s="10" t="str">
        <f>基本属性!$B$19&amp;"|"&amp;基本属性!$C$19</f>
        <v>190|9</v>
      </c>
      <c r="B6552" s="10" t="str">
        <f>参数调整!$J$37</f>
        <v>新增怪物种类2掉落</v>
      </c>
      <c r="C6552" s="8" t="str">
        <f>材料产出!$AF$2</f>
        <v>仙品升星石</v>
      </c>
      <c r="D6552" s="224">
        <f>参数调整!$K$37*怪物掉落配置方案!$D4500</f>
        <v>9.7038661475323612E-2</v>
      </c>
    </row>
    <row r="6553" spans="1:4" ht="16.5" hidden="1" x14ac:dyDescent="0.3">
      <c r="A6553" s="10" t="str">
        <f>基本属性!$B$20&amp;"|"&amp;基本属性!$C$20</f>
        <v>200|10</v>
      </c>
      <c r="B6553" s="10" t="str">
        <f>参数调整!$J$37</f>
        <v>新增怪物种类2掉落</v>
      </c>
      <c r="C6553" s="8" t="str">
        <f>材料产出!$AF$2</f>
        <v>仙品升星石</v>
      </c>
      <c r="D6553" s="224">
        <f>参数调整!$K$37*怪物掉落配置方案!$D4501</f>
        <v>0.11341260654530148</v>
      </c>
    </row>
    <row r="6554" spans="1:4" ht="16.5" hidden="1" x14ac:dyDescent="0.3">
      <c r="A6554" s="10" t="str">
        <f>基本属性!$B$21&amp;"|"&amp;基本属性!$C$21</f>
        <v>200|11</v>
      </c>
      <c r="B6554" s="10" t="str">
        <f>参数调整!$J$37</f>
        <v>新增怪物种类2掉落</v>
      </c>
      <c r="C6554" s="8" t="str">
        <f>材料产出!$AF$2</f>
        <v>仙品升星石</v>
      </c>
      <c r="D6554" s="224">
        <f>参数调整!$K$37*怪物掉落配置方案!$D4502</f>
        <v>0.13106244343891402</v>
      </c>
    </row>
    <row r="6555" spans="1:4" ht="16.5" hidden="1" x14ac:dyDescent="0.3">
      <c r="A6555" s="10" t="str">
        <f>基本属性!$B$22&amp;"|"&amp;基本属性!$C$22</f>
        <v>210|12</v>
      </c>
      <c r="B6555" s="10" t="str">
        <f>参数调整!$J$37</f>
        <v>新增怪物种类2掉落</v>
      </c>
      <c r="C6555" s="8" t="str">
        <f>材料产出!$AF$2</f>
        <v>仙品升星石</v>
      </c>
      <c r="D6555" s="224">
        <f>参数调整!$K$37*怪物掉落配置方案!$D4503</f>
        <v>0.1499881721561612</v>
      </c>
    </row>
    <row r="6556" spans="1:4" ht="16.5" hidden="1" x14ac:dyDescent="0.3">
      <c r="A6556" s="10" t="str">
        <f>基本属性!$B$23&amp;"|"&amp;基本属性!$C$23</f>
        <v>210|13</v>
      </c>
      <c r="B6556" s="10" t="str">
        <f>参数调整!$J$37</f>
        <v>新增怪物种类2掉落</v>
      </c>
      <c r="C6556" s="8" t="str">
        <f>材料产出!$AF$2</f>
        <v>仙品升星石</v>
      </c>
      <c r="D6556" s="224">
        <f>参数调整!$K$37*怪物掉落配置方案!$D4504</f>
        <v>0.17018979269704304</v>
      </c>
    </row>
    <row r="6557" spans="1:4" ht="16.5" hidden="1" x14ac:dyDescent="0.3">
      <c r="A6557" s="10" t="str">
        <f>基本属性!$B$24&amp;"|"&amp;基本属性!$C$24</f>
        <v>220|14</v>
      </c>
      <c r="B6557" s="10" t="str">
        <f>参数调整!$J$37</f>
        <v>新增怪物种类2掉落</v>
      </c>
      <c r="C6557" s="8" t="str">
        <f>材料产出!$AF$2</f>
        <v>仙品升星石</v>
      </c>
      <c r="D6557" s="224">
        <f>参数调整!$K$37*怪物掉落配置方案!$D4505</f>
        <v>0.19166730506155955</v>
      </c>
    </row>
    <row r="6558" spans="1:4" ht="16.5" hidden="1" x14ac:dyDescent="0.3">
      <c r="A6558" s="10" t="str">
        <f>基本属性!$B$25&amp;"|"&amp;基本属性!$C$25</f>
        <v>220|15</v>
      </c>
      <c r="B6558" s="10" t="str">
        <f>参数调整!$J$37</f>
        <v>新增怪物种类2掉落</v>
      </c>
      <c r="C6558" s="8" t="str">
        <f>材料产出!$AF$2</f>
        <v>仙品升星石</v>
      </c>
      <c r="D6558" s="224">
        <f>参数调整!$K$37*怪物掉落配置方案!$D4506</f>
        <v>0.21442070924971057</v>
      </c>
    </row>
    <row r="6559" spans="1:4" ht="16.5" hidden="1" x14ac:dyDescent="0.3">
      <c r="A6559" s="10" t="str">
        <f>基本属性!$B$26&amp;"|"&amp;基本属性!$C$26</f>
        <v>230|16</v>
      </c>
      <c r="B6559" s="10" t="str">
        <f>参数调整!$J$37</f>
        <v>新增怪物种类2掉落</v>
      </c>
      <c r="C6559" s="8" t="str">
        <f>材料产出!$AF$2</f>
        <v>仙品升星石</v>
      </c>
      <c r="D6559" s="224">
        <f>参数调整!$K$37*怪物掉落配置方案!$D4507</f>
        <v>0.23845000526149637</v>
      </c>
    </row>
    <row r="6560" spans="1:4" ht="16.5" hidden="1" x14ac:dyDescent="0.3">
      <c r="A6560" s="10" t="str">
        <f>基本属性!$B$27&amp;"|"&amp;基本属性!$C$27</f>
        <v>230|17</v>
      </c>
      <c r="B6560" s="10" t="str">
        <f>参数调整!$J$37</f>
        <v>新增怪物种类2掉落</v>
      </c>
      <c r="C6560" s="8" t="str">
        <f>材料产出!$AF$2</f>
        <v>仙品升星石</v>
      </c>
      <c r="D6560" s="224">
        <f>参数调整!$K$37*怪物掉落配置方案!$D4508</f>
        <v>0.26375519309691675</v>
      </c>
    </row>
    <row r="6561" spans="1:4" ht="16.5" hidden="1" x14ac:dyDescent="0.3">
      <c r="A6561" s="10" t="str">
        <f>基本属性!$B$28&amp;"|"&amp;基本属性!$C$28</f>
        <v>240|18</v>
      </c>
      <c r="B6561" s="10" t="str">
        <f>参数调整!$J$37</f>
        <v>新增怪物种类2掉落</v>
      </c>
      <c r="C6561" s="8" t="str">
        <f>材料产出!$AF$2</f>
        <v>仙品升星石</v>
      </c>
      <c r="D6561" s="224">
        <f>参数调整!$K$37*怪物掉落配置方案!$D4509</f>
        <v>0.29033627275597185</v>
      </c>
    </row>
    <row r="6562" spans="1:4" ht="16.5" hidden="1" x14ac:dyDescent="0.3">
      <c r="A6562" s="10" t="str">
        <f>基本属性!$B$29&amp;"|"&amp;基本属性!$C$29</f>
        <v>240|19</v>
      </c>
      <c r="B6562" s="10" t="str">
        <f>参数调整!$J$37</f>
        <v>新增怪物种类2掉落</v>
      </c>
      <c r="C6562" s="8" t="str">
        <f>材料产出!$AF$2</f>
        <v>仙品升星石</v>
      </c>
      <c r="D6562" s="224">
        <f>参数调整!$K$37*怪物掉落配置方案!$D4510</f>
        <v>0.31819324423866152</v>
      </c>
    </row>
    <row r="6563" spans="1:4" ht="16.5" hidden="1" x14ac:dyDescent="0.3">
      <c r="A6563" s="10" t="str">
        <f>基本属性!$B$30&amp;"|"&amp;基本属性!$C$30</f>
        <v>250|20</v>
      </c>
      <c r="B6563" s="10" t="str">
        <f>参数调整!$J$37</f>
        <v>新增怪物种类2掉落</v>
      </c>
      <c r="C6563" s="8" t="str">
        <f>材料产出!$AF$2</f>
        <v>仙品升星石</v>
      </c>
      <c r="D6563" s="224">
        <f>参数调整!$K$37*怪物掉落配置方案!$D4511</f>
        <v>0.34732610754498577</v>
      </c>
    </row>
    <row r="6564" spans="1:4" ht="16.5" hidden="1" x14ac:dyDescent="0.3">
      <c r="A6564" s="10" t="str">
        <f>基本属性!$B$4&amp;"|"&amp;基本属性!$C$4</f>
        <v>35|0</v>
      </c>
      <c r="B6564" s="10" t="str">
        <f>参数调整!$J$37</f>
        <v>新增怪物种类2掉落</v>
      </c>
      <c r="C6564" s="8" t="str">
        <f>材料产出!$T$2</f>
        <v>洗髓丹</v>
      </c>
      <c r="D6564" s="224">
        <f>参数调整!$K$37*怪物掉落配置方案!$D4512</f>
        <v>1.1814868792596499E-3</v>
      </c>
    </row>
    <row r="6565" spans="1:4" ht="16.5" hidden="1" x14ac:dyDescent="0.3">
      <c r="A6565" s="10" t="str">
        <f>基本属性!$B$5&amp;"|"&amp;基本属性!$C$5</f>
        <v>40|0</v>
      </c>
      <c r="B6565" s="10" t="str">
        <f>参数调整!$J$37</f>
        <v>新增怪物种类2掉落</v>
      </c>
      <c r="C6565" s="8" t="str">
        <f>材料产出!$T$2</f>
        <v>洗髓丹</v>
      </c>
      <c r="D6565" s="224">
        <f>参数调整!$K$37*怪物掉落配置方案!$D4513</f>
        <v>1.4953193315629945E-3</v>
      </c>
    </row>
    <row r="6566" spans="1:4" ht="16.5" hidden="1" x14ac:dyDescent="0.3">
      <c r="A6566" s="10" t="str">
        <f>基本属性!$B$6&amp;"|"&amp;基本属性!$C$6</f>
        <v>50|0</v>
      </c>
      <c r="B6566" s="10" t="str">
        <f>参数调整!$J$37</f>
        <v>新增怪物种类2掉落</v>
      </c>
      <c r="C6566" s="8" t="str">
        <f>材料产出!$T$2</f>
        <v>洗髓丹</v>
      </c>
      <c r="D6566" s="224">
        <f>参数调整!$K$37*怪物掉落配置方案!$D4514</f>
        <v>1.8460732488432029E-3</v>
      </c>
    </row>
    <row r="6567" spans="1:4" ht="16.5" hidden="1" x14ac:dyDescent="0.3">
      <c r="A6567" s="10" t="str">
        <f>基本属性!$B$7&amp;"|"&amp;基本属性!$C$7</f>
        <v>60|0</v>
      </c>
      <c r="B6567" s="10" t="str">
        <f>参数调整!$J$37</f>
        <v>新增怪物种类2掉落</v>
      </c>
      <c r="C6567" s="8" t="str">
        <f>材料产出!$T$2</f>
        <v>洗髓丹</v>
      </c>
      <c r="D6567" s="224">
        <f>参数调整!$K$37*怪物掉落配置方案!$D4515</f>
        <v>2.233748631100276E-3</v>
      </c>
    </row>
    <row r="6568" spans="1:4" ht="16.5" hidden="1" x14ac:dyDescent="0.3">
      <c r="A6568" s="10" t="str">
        <f>基本属性!$B$8&amp;"|"&amp;基本属性!$C$8</f>
        <v>65|0</v>
      </c>
      <c r="B6568" s="10" t="str">
        <f>参数调整!$J$37</f>
        <v>新增怪物种类2掉落</v>
      </c>
      <c r="C6568" s="8" t="str">
        <f>材料产出!$T$2</f>
        <v>洗髓丹</v>
      </c>
      <c r="D6568" s="224">
        <f>参数调整!$K$37*怪物掉落配置方案!$D4516</f>
        <v>2.6583454783342124E-3</v>
      </c>
    </row>
    <row r="6569" spans="1:4" ht="16.5" hidden="1" x14ac:dyDescent="0.3">
      <c r="A6569" s="10" t="str">
        <f>基本属性!$B$9&amp;"|"&amp;基本属性!$C$9</f>
        <v>70|0</v>
      </c>
      <c r="B6569" s="10" t="str">
        <f>参数调整!$J$37</f>
        <v>新增怪物种类2掉落</v>
      </c>
      <c r="C6569" s="8" t="str">
        <f>材料产出!$T$2</f>
        <v>洗髓丹</v>
      </c>
      <c r="D6569" s="224">
        <f>参数调整!$K$37*怪物掉落配置方案!$D4517</f>
        <v>3.1198637905450132E-3</v>
      </c>
    </row>
    <row r="6570" spans="1:4" ht="16.5" hidden="1" x14ac:dyDescent="0.3">
      <c r="A6570" s="10" t="str">
        <f>基本属性!$B$10&amp;"|"&amp;基本属性!$C$10</f>
        <v>75|0</v>
      </c>
      <c r="B6570" s="10" t="str">
        <f>参数调整!$J$37</f>
        <v>新增怪物种类2掉落</v>
      </c>
      <c r="C6570" s="8" t="str">
        <f>材料产出!$T$2</f>
        <v>洗髓丹</v>
      </c>
      <c r="D6570" s="224">
        <f>参数调整!$K$37*怪物掉落配置方案!$D4518</f>
        <v>3.6183035677326775E-3</v>
      </c>
    </row>
    <row r="6571" spans="1:4" ht="16.5" hidden="1" x14ac:dyDescent="0.3">
      <c r="A6571" s="10" t="str">
        <f>基本属性!$B$11&amp;"|"&amp;基本属性!$C$11</f>
        <v>80|1</v>
      </c>
      <c r="B6571" s="10" t="str">
        <f>参数调整!$J$37</f>
        <v>新增怪物种类2掉落</v>
      </c>
      <c r="C6571" s="8" t="str">
        <f>材料产出!$T$2</f>
        <v>洗髓丹</v>
      </c>
      <c r="D6571" s="224">
        <f>参数调整!$K$37*怪物掉落配置方案!$D4519</f>
        <v>4.1536648098972071E-3</v>
      </c>
    </row>
    <row r="6572" spans="1:4" ht="16.5" hidden="1" x14ac:dyDescent="0.3">
      <c r="A6572" s="10" t="str">
        <f>基本属性!$B$12&amp;"|"&amp;基本属性!$C$12</f>
        <v>90|2</v>
      </c>
      <c r="B6572" s="10" t="str">
        <f>参数调整!$J$37</f>
        <v>新增怪物种类2掉落</v>
      </c>
      <c r="C6572" s="8" t="str">
        <f>材料产出!$T$2</f>
        <v>洗髓丹</v>
      </c>
      <c r="D6572" s="224">
        <f>参数调整!$K$37*怪物掉落配置方案!$D4520</f>
        <v>4.7259475170386006E-3</v>
      </c>
    </row>
    <row r="6573" spans="1:4" ht="16.5" hidden="1" x14ac:dyDescent="0.3">
      <c r="A6573" s="10" t="str">
        <f>基本属性!$B$13&amp;"|"&amp;基本属性!$C$13</f>
        <v>100|3</v>
      </c>
      <c r="B6573" s="10" t="str">
        <f>参数调整!$J$37</f>
        <v>新增怪物种类2掉落</v>
      </c>
      <c r="C6573" s="8" t="str">
        <f>材料产出!$T$2</f>
        <v>洗髓丹</v>
      </c>
      <c r="D6573" s="224">
        <f>参数调整!$K$37*怪物掉落配置方案!$D4521</f>
        <v>5.9812773262519787E-3</v>
      </c>
    </row>
    <row r="6574" spans="1:4" ht="16.5" hidden="1" x14ac:dyDescent="0.3">
      <c r="A6574" s="10" t="str">
        <f>基本属性!$B$14&amp;"|"&amp;基本属性!$C$14</f>
        <v>105|4</v>
      </c>
      <c r="B6574" s="10" t="str">
        <f>参数调整!$J$37</f>
        <v>新增怪物种类2掉落</v>
      </c>
      <c r="C6574" s="8" t="str">
        <f>材料产出!$T$2</f>
        <v>洗髓丹</v>
      </c>
      <c r="D6574" s="224">
        <f>参数调整!$K$37*怪物掉落配置方案!$D4522</f>
        <v>7.3842929953728117E-3</v>
      </c>
    </row>
    <row r="6575" spans="1:4" ht="16.5" hidden="1" x14ac:dyDescent="0.3">
      <c r="A6575" s="10" t="str">
        <f>基本属性!$B$15&amp;"|"&amp;基本属性!$C$15</f>
        <v>110|5</v>
      </c>
      <c r="B6575" s="10" t="str">
        <f>参数调整!$J$37</f>
        <v>新增怪物种类2掉落</v>
      </c>
      <c r="C6575" s="8" t="str">
        <f>材料产出!$T$2</f>
        <v>洗髓丹</v>
      </c>
      <c r="D6575" s="224">
        <f>参数调整!$K$37*怪物掉落配置方案!$D4523</f>
        <v>8.9349945244011041E-3</v>
      </c>
    </row>
    <row r="6576" spans="1:4" ht="16.5" hidden="1" x14ac:dyDescent="0.3">
      <c r="A6576" s="10" t="str">
        <f>基本属性!$B$16&amp;"|"&amp;基本属性!$C$16</f>
        <v>120|6</v>
      </c>
      <c r="B6576" s="10" t="str">
        <f>参数调整!$J$37</f>
        <v>新增怪物种类2掉落</v>
      </c>
      <c r="C6576" s="8" t="str">
        <f>材料产出!$T$2</f>
        <v>洗髓丹</v>
      </c>
      <c r="D6576" s="224">
        <f>参数调整!$K$37*怪物掉落配置方案!$D4524</f>
        <v>1.1537957805270019E-2</v>
      </c>
    </row>
    <row r="6577" spans="1:4" ht="16.5" hidden="1" x14ac:dyDescent="0.3">
      <c r="A6577" s="10" t="str">
        <f>基本属性!$B$17&amp;"|"&amp;基本属性!$C$17</f>
        <v>135|7</v>
      </c>
      <c r="B6577" s="10" t="str">
        <f>参数调整!$J$37</f>
        <v>新增怪物种类2掉落</v>
      </c>
      <c r="C6577" s="8" t="str">
        <f>材料产出!$T$2</f>
        <v>洗髓丹</v>
      </c>
      <c r="D6577" s="224">
        <f>参数调整!$K$37*怪物掉落配置方案!$D4525</f>
        <v>1.6614659239588828E-2</v>
      </c>
    </row>
    <row r="6578" spans="1:4" ht="16.5" hidden="1" x14ac:dyDescent="0.3">
      <c r="A6578" s="10" t="str">
        <f>基本属性!$B$18&amp;"|"&amp;基本属性!$C$18</f>
        <v>155|8</v>
      </c>
      <c r="B6578" s="10" t="str">
        <f>参数调整!$J$37</f>
        <v>新增怪物种类2掉落</v>
      </c>
      <c r="C6578" s="8" t="str">
        <f>材料产出!$T$2</f>
        <v>洗髓丹</v>
      </c>
      <c r="D6578" s="224">
        <f>参数调整!$K$37*怪物掉落配置方案!$D4526</f>
        <v>2.2614397298329241E-2</v>
      </c>
    </row>
    <row r="6579" spans="1:4" ht="16.5" hidden="1" x14ac:dyDescent="0.3">
      <c r="A6579" s="10" t="str">
        <f>基本属性!$B$19&amp;"|"&amp;基本属性!$C$19</f>
        <v>190|9</v>
      </c>
      <c r="B6579" s="10" t="str">
        <f>参数调整!$J$37</f>
        <v>新增怪物种类2掉落</v>
      </c>
      <c r="C6579" s="8" t="str">
        <f>材料产出!$T$2</f>
        <v>洗髓丹</v>
      </c>
      <c r="D6579" s="224">
        <f>参数调整!$K$37*怪物掉落配置方案!$D4527</f>
        <v>2.5272742776663453E-2</v>
      </c>
    </row>
    <row r="6580" spans="1:4" ht="16.5" hidden="1" x14ac:dyDescent="0.3">
      <c r="A6580" s="10" t="str">
        <f>基本属性!$B$20&amp;"|"&amp;基本属性!$C$20</f>
        <v>200|10</v>
      </c>
      <c r="B6580" s="10" t="str">
        <f>参数调整!$J$37</f>
        <v>新增怪物种类2掉落</v>
      </c>
      <c r="C6580" s="8" t="str">
        <f>材料产出!$T$2</f>
        <v>洗髓丹</v>
      </c>
      <c r="D6580" s="224">
        <f>参数调整!$K$37*怪物掉落配置方案!$D4528</f>
        <v>2.9537171981491247E-2</v>
      </c>
    </row>
    <row r="6581" spans="1:4" ht="16.5" hidden="1" x14ac:dyDescent="0.3">
      <c r="A6581" s="10" t="str">
        <f>基本属性!$B$21&amp;"|"&amp;基本属性!$C$21</f>
        <v>200|11</v>
      </c>
      <c r="B6581" s="10" t="str">
        <f>参数调整!$J$37</f>
        <v>新增怪物种类2掉落</v>
      </c>
      <c r="C6581" s="8" t="str">
        <f>材料产出!$T$2</f>
        <v>洗髓丹</v>
      </c>
      <c r="D6581" s="224">
        <f>参数调整!$K$37*怪物掉落配置方案!$D4529</f>
        <v>3.4133894371110814E-2</v>
      </c>
    </row>
    <row r="6582" spans="1:4" ht="16.5" hidden="1" x14ac:dyDescent="0.3">
      <c r="A6582" s="10" t="str">
        <f>基本属性!$B$22&amp;"|"&amp;基本属性!$C$22</f>
        <v>210|12</v>
      </c>
      <c r="B6582" s="10" t="str">
        <f>参数调整!$J$37</f>
        <v>新增怪物种类2掉落</v>
      </c>
      <c r="C6582" s="8" t="str">
        <f>材料产出!$T$2</f>
        <v>洗髓丹</v>
      </c>
      <c r="D6582" s="224">
        <f>参数调整!$K$37*怪物掉落配置方案!$D4530</f>
        <v>3.9062909945522167E-2</v>
      </c>
    </row>
    <row r="6583" spans="1:4" ht="16.5" hidden="1" x14ac:dyDescent="0.3">
      <c r="A6583" s="10" t="str">
        <f>基本属性!$B$23&amp;"|"&amp;基本属性!$C$23</f>
        <v>210|13</v>
      </c>
      <c r="B6583" s="10" t="str">
        <f>参数调整!$J$37</f>
        <v>新增怪物种类2掉落</v>
      </c>
      <c r="C6583" s="8" t="str">
        <f>材料产出!$T$2</f>
        <v>洗髓丹</v>
      </c>
      <c r="D6583" s="224">
        <f>参数调整!$K$37*怪物掉落配置方案!$D4531</f>
        <v>4.4324218704725311E-2</v>
      </c>
    </row>
    <row r="6584" spans="1:4" ht="16.5" hidden="1" x14ac:dyDescent="0.3">
      <c r="A6584" s="10" t="str">
        <f>基本属性!$B$24&amp;"|"&amp;基本属性!$C$24</f>
        <v>220|14</v>
      </c>
      <c r="B6584" s="10" t="str">
        <f>参数调整!$J$37</f>
        <v>新增怪物种类2掉落</v>
      </c>
      <c r="C6584" s="8" t="str">
        <f>材料产出!$T$2</f>
        <v>洗髓丹</v>
      </c>
      <c r="D6584" s="224">
        <f>参数调整!$K$37*怪物掉落配置方案!$D4532</f>
        <v>4.9917820648720211E-2</v>
      </c>
    </row>
    <row r="6585" spans="1:4" ht="16.5" hidden="1" x14ac:dyDescent="0.3">
      <c r="A6585" s="10" t="str">
        <f>基本属性!$B$25&amp;"|"&amp;基本属性!$C$25</f>
        <v>220|15</v>
      </c>
      <c r="B6585" s="10" t="str">
        <f>参数调整!$J$37</f>
        <v>新增怪物种类2掉落</v>
      </c>
      <c r="C6585" s="8" t="str">
        <f>材料产出!$T$2</f>
        <v>洗髓丹</v>
      </c>
      <c r="D6585" s="224">
        <f>参数调整!$K$37*怪物掉落配置方案!$D4533</f>
        <v>5.5843715777506887E-2</v>
      </c>
    </row>
    <row r="6586" spans="1:4" ht="16.5" hidden="1" x14ac:dyDescent="0.3">
      <c r="A6586" s="10" t="str">
        <f>基本属性!$B$26&amp;"|"&amp;基本属性!$C$26</f>
        <v>230|16</v>
      </c>
      <c r="B6586" s="10" t="str">
        <f>参数调整!$J$37</f>
        <v>新增怪物种类2掉落</v>
      </c>
      <c r="C6586" s="8" t="str">
        <f>材料产出!$T$2</f>
        <v>洗髓丹</v>
      </c>
      <c r="D6586" s="224">
        <f>参数调整!$K$37*怪物掉落配置方案!$D4534</f>
        <v>6.2101904091085347E-2</v>
      </c>
    </row>
    <row r="6587" spans="1:4" ht="16.5" hidden="1" x14ac:dyDescent="0.3">
      <c r="A6587" s="10" t="str">
        <f>基本属性!$B$27&amp;"|"&amp;基本属性!$C$27</f>
        <v>230|17</v>
      </c>
      <c r="B6587" s="10" t="str">
        <f>参数调整!$J$37</f>
        <v>新增怪物种类2掉落</v>
      </c>
      <c r="C6587" s="8" t="str">
        <f>材料产出!$T$2</f>
        <v>洗髓丹</v>
      </c>
      <c r="D6587" s="224">
        <f>参数调整!$K$37*怪物掉落配置方案!$D4535</f>
        <v>6.8692385589455576E-2</v>
      </c>
    </row>
    <row r="6588" spans="1:4" ht="16.5" hidden="1" x14ac:dyDescent="0.3">
      <c r="A6588" s="10" t="str">
        <f>基本属性!$B$28&amp;"|"&amp;基本属性!$C$28</f>
        <v>240|18</v>
      </c>
      <c r="B6588" s="10" t="str">
        <f>参数调整!$J$37</f>
        <v>新增怪物种类2掉落</v>
      </c>
      <c r="C6588" s="8" t="str">
        <f>材料产出!$T$2</f>
        <v>洗髓丹</v>
      </c>
      <c r="D6588" s="224">
        <f>参数调整!$K$37*怪物掉落配置方案!$D4536</f>
        <v>7.561516027261761E-2</v>
      </c>
    </row>
    <row r="6589" spans="1:4" ht="16.5" hidden="1" x14ac:dyDescent="0.3">
      <c r="A6589" s="10" t="str">
        <f>基本属性!$B$29&amp;"|"&amp;基本属性!$C$29</f>
        <v>240|19</v>
      </c>
      <c r="B6589" s="10" t="str">
        <f>参数调整!$J$37</f>
        <v>新增怪物种类2掉落</v>
      </c>
      <c r="C6589" s="8" t="str">
        <f>材料产出!$T$2</f>
        <v>洗髓丹</v>
      </c>
      <c r="D6589" s="224">
        <f>参数调整!$K$37*怪物掉落配置方案!$D4537</f>
        <v>8.2870228140571392E-2</v>
      </c>
    </row>
    <row r="6590" spans="1:4" ht="16.5" hidden="1" x14ac:dyDescent="0.3">
      <c r="A6590" s="10" t="str">
        <f>基本属性!$B$30&amp;"|"&amp;基本属性!$C$30</f>
        <v>250|20</v>
      </c>
      <c r="B6590" s="10" t="str">
        <f>参数调整!$J$37</f>
        <v>新增怪物种类2掉落</v>
      </c>
      <c r="C6590" s="8" t="str">
        <f>材料产出!$T$2</f>
        <v>洗髓丹</v>
      </c>
      <c r="D6590" s="224">
        <f>参数调整!$K$37*怪物掉落配置方案!$D4538</f>
        <v>9.0457589193316937E-2</v>
      </c>
    </row>
    <row r="6591" spans="1:4" ht="16.5" hidden="1" x14ac:dyDescent="0.3">
      <c r="A6591" s="10" t="str">
        <f>基本属性!$B$4&amp;"|"&amp;基本属性!$C$4</f>
        <v>35|0</v>
      </c>
      <c r="B6591" s="10" t="str">
        <f>参数调整!$J$37</f>
        <v>新增怪物种类2掉落</v>
      </c>
      <c r="C6591" s="8" t="str">
        <f>材料产出!$AZ$2</f>
        <v>武器碎片</v>
      </c>
      <c r="D6591" s="224">
        <f>参数调整!$K$37*怪物掉落配置方案!$D4539</f>
        <v>1.6233394416779908E-5</v>
      </c>
    </row>
    <row r="6592" spans="1:4" ht="16.5" hidden="1" x14ac:dyDescent="0.3">
      <c r="A6592" s="10" t="str">
        <f>基本属性!$B$5&amp;"|"&amp;基本属性!$C$5</f>
        <v>40|0</v>
      </c>
      <c r="B6592" s="10" t="str">
        <f>参数调整!$J$37</f>
        <v>新增怪物种类2掉落</v>
      </c>
      <c r="C6592" s="8" t="str">
        <f>材料产出!$AZ$2</f>
        <v>武器碎片</v>
      </c>
      <c r="D6592" s="224">
        <f>参数调整!$K$37*怪物掉落配置方案!$D4540</f>
        <v>2.0545389808737071E-5</v>
      </c>
    </row>
    <row r="6593" spans="1:4" ht="16.5" hidden="1" x14ac:dyDescent="0.3">
      <c r="A6593" s="10" t="str">
        <f>基本属性!$B$6&amp;"|"&amp;基本属性!$C$6</f>
        <v>50|0</v>
      </c>
      <c r="B6593" s="10" t="str">
        <f>参数调整!$J$37</f>
        <v>新增怪物种类2掉落</v>
      </c>
      <c r="C6593" s="8" t="str">
        <f>材料产出!$AZ$2</f>
        <v>武器碎片</v>
      </c>
      <c r="D6593" s="224">
        <f>参数调整!$K$37*怪物掉落配置方案!$D4541</f>
        <v>2.5364678776218609E-5</v>
      </c>
    </row>
    <row r="6594" spans="1:4" ht="16.5" hidden="1" x14ac:dyDescent="0.3">
      <c r="A6594" s="10" t="str">
        <f>基本属性!$B$7&amp;"|"&amp;基本属性!$C$7</f>
        <v>60|0</v>
      </c>
      <c r="B6594" s="10" t="str">
        <f>参数调整!$J$37</f>
        <v>新增怪物种类2掉落</v>
      </c>
      <c r="C6594" s="8" t="str">
        <f>材料产出!$AZ$2</f>
        <v>武器碎片</v>
      </c>
      <c r="D6594" s="224">
        <f>参数调整!$K$37*怪物掉落配置方案!$D4542</f>
        <v>3.0691261319224514E-5</v>
      </c>
    </row>
    <row r="6595" spans="1:4" ht="16.5" hidden="1" x14ac:dyDescent="0.3">
      <c r="A6595" s="10" t="str">
        <f>基本属性!$B$8&amp;"|"&amp;基本属性!$C$8</f>
        <v>65|0</v>
      </c>
      <c r="B6595" s="10" t="str">
        <f>参数调整!$J$37</f>
        <v>新增怪物种类2掉落</v>
      </c>
      <c r="C6595" s="8" t="str">
        <f>材料产出!$AZ$2</f>
        <v>武器碎片</v>
      </c>
      <c r="D6595" s="224">
        <f>参数调整!$K$37*怪物掉落配置方案!$D4543</f>
        <v>3.6525137437754794E-5</v>
      </c>
    </row>
    <row r="6596" spans="1:4" ht="16.5" hidden="1" x14ac:dyDescent="0.3">
      <c r="A6596" s="10" t="str">
        <f>基本属性!$B$9&amp;"|"&amp;基本属性!$C$9</f>
        <v>70|0</v>
      </c>
      <c r="B6596" s="10" t="str">
        <f>参数调整!$J$37</f>
        <v>新增怪物种类2掉落</v>
      </c>
      <c r="C6596" s="8" t="str">
        <f>材料产出!$AZ$2</f>
        <v>武器碎片</v>
      </c>
      <c r="D6596" s="224">
        <f>参数调整!$K$37*怪物掉落配置方案!$D4544</f>
        <v>4.2866307131809445E-5</v>
      </c>
    </row>
    <row r="6597" spans="1:4" ht="16.5" hidden="1" x14ac:dyDescent="0.3">
      <c r="A6597" s="10" t="str">
        <f>基本属性!$B$10&amp;"|"&amp;基本属性!$C$10</f>
        <v>75|0</v>
      </c>
      <c r="B6597" s="10" t="str">
        <f>参数调整!$J$37</f>
        <v>新增怪物种类2掉落</v>
      </c>
      <c r="C6597" s="8" t="str">
        <f>材料产出!$AZ$2</f>
        <v>武器碎片</v>
      </c>
      <c r="D6597" s="224">
        <f>参数调整!$K$37*怪物掉落配置方案!$D4545</f>
        <v>4.9714770401388461E-5</v>
      </c>
    </row>
    <row r="6598" spans="1:4" ht="16.5" hidden="1" x14ac:dyDescent="0.3">
      <c r="A6598" s="10" t="str">
        <f>基本属性!$B$11&amp;"|"&amp;基本属性!$C$11</f>
        <v>80|1</v>
      </c>
      <c r="B6598" s="10" t="str">
        <f>参数调整!$J$37</f>
        <v>新增怪物种类2掉落</v>
      </c>
      <c r="C6598" s="8" t="str">
        <f>材料产出!$AZ$2</f>
        <v>武器碎片</v>
      </c>
      <c r="D6598" s="224">
        <f>参数调整!$K$37*怪物掉落配置方案!$D4546</f>
        <v>5.7070527246491862E-5</v>
      </c>
    </row>
    <row r="6599" spans="1:4" ht="16.5" hidden="1" x14ac:dyDescent="0.3">
      <c r="A6599" s="10" t="str">
        <f>基本属性!$B$12&amp;"|"&amp;基本属性!$C$12</f>
        <v>90|2</v>
      </c>
      <c r="B6599" s="10" t="str">
        <f>参数调整!$J$37</f>
        <v>新增怪物种类2掉落</v>
      </c>
      <c r="C6599" s="8" t="str">
        <f>材料产出!$AZ$2</f>
        <v>武器碎片</v>
      </c>
      <c r="D6599" s="224">
        <f>参数调整!$K$37*怪物掉落配置方案!$D4547</f>
        <v>6.4933577667119648E-5</v>
      </c>
    </row>
    <row r="6600" spans="1:4" ht="16.5" hidden="1" x14ac:dyDescent="0.3">
      <c r="A6600" s="10" t="str">
        <f>基本属性!$B$13&amp;"|"&amp;基本属性!$C$13</f>
        <v>100|3</v>
      </c>
      <c r="B6600" s="10" t="str">
        <f>参数调整!$J$37</f>
        <v>新增怪物种类2掉落</v>
      </c>
      <c r="C6600" s="8" t="str">
        <f>材料产出!$AZ$2</f>
        <v>武器碎片</v>
      </c>
      <c r="D6600" s="224">
        <f>参数调整!$K$37*怪物掉落配置方案!$D4548</f>
        <v>8.2181559234948299E-5</v>
      </c>
    </row>
    <row r="6601" spans="1:4" ht="16.5" hidden="1" x14ac:dyDescent="0.3">
      <c r="A6601" s="10" t="str">
        <f>基本属性!$B$14&amp;"|"&amp;基本属性!$C$14</f>
        <v>105|4</v>
      </c>
      <c r="B6601" s="10" t="str">
        <f>参数调整!$J$37</f>
        <v>新增怪物种类2掉落</v>
      </c>
      <c r="C6601" s="8" t="str">
        <f>材料产出!$AZ$2</f>
        <v>武器碎片</v>
      </c>
      <c r="D6601" s="224">
        <f>参数调整!$K$37*怪物掉落配置方案!$D4549</f>
        <v>1.0145871510487443E-4</v>
      </c>
    </row>
    <row r="6602" spans="1:4" ht="16.5" hidden="1" x14ac:dyDescent="0.3">
      <c r="A6602" s="10" t="str">
        <f>基本属性!$B$15&amp;"|"&amp;基本属性!$C$15</f>
        <v>110|5</v>
      </c>
      <c r="B6602" s="10" t="str">
        <f>参数调整!$J$37</f>
        <v>新增怪物种类2掉落</v>
      </c>
      <c r="C6602" s="8" t="str">
        <f>材料产出!$AZ$2</f>
        <v>武器碎片</v>
      </c>
      <c r="D6602" s="224">
        <f>参数调整!$K$37*怪物掉落配置方案!$D4550</f>
        <v>1.2276504527689808E-4</v>
      </c>
    </row>
    <row r="6603" spans="1:4" ht="16.5" hidden="1" x14ac:dyDescent="0.3">
      <c r="A6603" s="10" t="str">
        <f>基本属性!$B$16&amp;"|"&amp;基本属性!$C$16</f>
        <v>120|6</v>
      </c>
      <c r="B6603" s="10" t="str">
        <f>参数调整!$J$37</f>
        <v>新增怪物种类2掉落</v>
      </c>
      <c r="C6603" s="8" t="str">
        <f>材料产出!$AZ$2</f>
        <v>武器碎片</v>
      </c>
      <c r="D6603" s="224">
        <f>参数调整!$K$37*怪物掉落配置方案!$D4551</f>
        <v>1.5852924235136632E-4</v>
      </c>
    </row>
    <row r="6604" spans="1:4" ht="16.5" hidden="1" x14ac:dyDescent="0.3">
      <c r="A6604" s="10" t="str">
        <f>基本属性!$B$17&amp;"|"&amp;基本属性!$C$17</f>
        <v>135|7</v>
      </c>
      <c r="B6604" s="10" t="str">
        <f>参数调整!$J$37</f>
        <v>新增怪物种类2掉落</v>
      </c>
      <c r="C6604" s="8" t="str">
        <f>材料产出!$AZ$2</f>
        <v>武器碎片</v>
      </c>
      <c r="D6604" s="224">
        <f>参数调整!$K$37*怪物掉落配置方案!$D4552</f>
        <v>2.2828210898596745E-4</v>
      </c>
    </row>
    <row r="6605" spans="1:4" ht="16.5" hidden="1" x14ac:dyDescent="0.3">
      <c r="A6605" s="10" t="str">
        <f>基本属性!$B$18&amp;"|"&amp;基本属性!$C$18</f>
        <v>155|8</v>
      </c>
      <c r="B6605" s="10" t="str">
        <f>参数调整!$J$37</f>
        <v>新增怪物种类2掉落</v>
      </c>
      <c r="C6605" s="8" t="str">
        <f>材料产出!$AZ$2</f>
        <v>武器碎片</v>
      </c>
      <c r="D6605" s="224">
        <f>参数调整!$K$37*怪物掉落配置方案!$D4553</f>
        <v>3.1071731500867796E-4</v>
      </c>
    </row>
    <row r="6606" spans="1:4" ht="16.5" hidden="1" x14ac:dyDescent="0.3">
      <c r="A6606" s="10" t="str">
        <f>基本属性!$B$19&amp;"|"&amp;基本属性!$C$19</f>
        <v>190|9</v>
      </c>
      <c r="B6606" s="10" t="str">
        <f>参数调整!$J$37</f>
        <v>新增怪物种类2掉落</v>
      </c>
      <c r="C6606" s="8" t="str">
        <f>材料产出!$AZ$2</f>
        <v>武器碎片</v>
      </c>
      <c r="D6606" s="224">
        <f>参数调整!$K$37*怪物掉落配置方案!$D4554</f>
        <v>3.4724245244643274E-4</v>
      </c>
    </row>
    <row r="6607" spans="1:4" ht="16.5" hidden="1" x14ac:dyDescent="0.3">
      <c r="A6607" s="10" t="str">
        <f>基本属性!$B$20&amp;"|"&amp;基本属性!$C$20</f>
        <v>200|10</v>
      </c>
      <c r="B6607" s="10" t="str">
        <f>参数调整!$J$37</f>
        <v>新增怪物种类2掉落</v>
      </c>
      <c r="C6607" s="8" t="str">
        <f>材料产出!$AZ$2</f>
        <v>武器碎片</v>
      </c>
      <c r="D6607" s="224">
        <f>参数调整!$K$37*怪物掉落配置方案!$D4555</f>
        <v>4.0583486041949774E-4</v>
      </c>
    </row>
    <row r="6608" spans="1:4" ht="16.5" hidden="1" x14ac:dyDescent="0.3">
      <c r="A6608" s="10" t="str">
        <f>基本属性!$B$21&amp;"|"&amp;基本属性!$C$21</f>
        <v>200|11</v>
      </c>
      <c r="B6608" s="10" t="str">
        <f>参数调整!$J$37</f>
        <v>新增怪物种类2掉落</v>
      </c>
      <c r="C6608" s="8" t="str">
        <f>材料产出!$AZ$2</f>
        <v>武器碎片</v>
      </c>
      <c r="D6608" s="224">
        <f>参数调整!$K$37*怪物掉落配置方案!$D4556</f>
        <v>4.6899291057228191E-4</v>
      </c>
    </row>
    <row r="6609" spans="1:4" ht="16.5" hidden="1" x14ac:dyDescent="0.3">
      <c r="A6609" s="10" t="str">
        <f>基本属性!$B$22&amp;"|"&amp;基本属性!$C$22</f>
        <v>210|12</v>
      </c>
      <c r="B6609" s="10" t="str">
        <f>参数调整!$J$37</f>
        <v>新增怪物种类2掉落</v>
      </c>
      <c r="C6609" s="8" t="str">
        <f>材料产出!$AZ$2</f>
        <v>武器碎片</v>
      </c>
      <c r="D6609" s="224">
        <f>参数调整!$K$37*怪物掉落配置方案!$D4557</f>
        <v>5.3671660290478557E-4</v>
      </c>
    </row>
    <row r="6610" spans="1:4" ht="16.5" hidden="1" x14ac:dyDescent="0.3">
      <c r="A6610" s="10" t="str">
        <f>基本属性!$B$23&amp;"|"&amp;基本属性!$C$23</f>
        <v>210|13</v>
      </c>
      <c r="B6610" s="10" t="str">
        <f>参数调整!$J$37</f>
        <v>新增怪物种类2掉落</v>
      </c>
      <c r="C6610" s="8" t="str">
        <f>材料产出!$AZ$2</f>
        <v>武器碎片</v>
      </c>
      <c r="D6610" s="224">
        <f>参数调整!$K$37*怪物掉落配置方案!$D4558</f>
        <v>6.0900593741700885E-4</v>
      </c>
    </row>
    <row r="6611" spans="1:4" ht="16.5" hidden="1" x14ac:dyDescent="0.3">
      <c r="A6611" s="10" t="str">
        <f>基本属性!$B$24&amp;"|"&amp;基本属性!$C$24</f>
        <v>220|14</v>
      </c>
      <c r="B6611" s="10" t="str">
        <f>参数调整!$J$37</f>
        <v>新增怪物种类2掉落</v>
      </c>
      <c r="C6611" s="8" t="str">
        <f>材料产出!$AZ$2</f>
        <v>武器碎片</v>
      </c>
      <c r="D6611" s="224">
        <f>参数调整!$K$37*怪物掉落配置方案!$D4559</f>
        <v>6.8586091410895113E-4</v>
      </c>
    </row>
    <row r="6612" spans="1:4" ht="16.5" hidden="1" x14ac:dyDescent="0.3">
      <c r="A6612" s="10" t="str">
        <f>基本属性!$B$25&amp;"|"&amp;基本属性!$C$25</f>
        <v>220|15</v>
      </c>
      <c r="B6612" s="10" t="str">
        <f>参数调整!$J$37</f>
        <v>新增怪物种类2掉落</v>
      </c>
      <c r="C6612" s="8" t="str">
        <f>材料产出!$AZ$2</f>
        <v>武器碎片</v>
      </c>
      <c r="D6612" s="224">
        <f>参数调整!$K$37*怪物掉落配置方案!$D4560</f>
        <v>7.6728153298061263E-4</v>
      </c>
    </row>
    <row r="6613" spans="1:4" ht="16.5" hidden="1" x14ac:dyDescent="0.3">
      <c r="A6613" s="10" t="str">
        <f>基本属性!$B$26&amp;"|"&amp;基本属性!$C$26</f>
        <v>230|16</v>
      </c>
      <c r="B6613" s="10" t="str">
        <f>参数调整!$J$37</f>
        <v>新增怪物种类2掉落</v>
      </c>
      <c r="C6613" s="8" t="str">
        <f>材料产出!$AZ$2</f>
        <v>武器碎片</v>
      </c>
      <c r="D6613" s="224">
        <f>参数调整!$K$37*怪物掉落配置方案!$D4561</f>
        <v>8.532677940319938E-4</v>
      </c>
    </row>
    <row r="6614" spans="1:4" ht="16.5" hidden="1" x14ac:dyDescent="0.3">
      <c r="A6614" s="10" t="str">
        <f>基本属性!$B$27&amp;"|"&amp;基本属性!$C$27</f>
        <v>230|17</v>
      </c>
      <c r="B6614" s="10" t="str">
        <f>参数调整!$J$37</f>
        <v>新增怪物种类2掉落</v>
      </c>
      <c r="C6614" s="8" t="str">
        <f>材料产出!$AZ$2</f>
        <v>武器碎片</v>
      </c>
      <c r="D6614" s="224">
        <f>参数调整!$K$37*怪物掉落配置方案!$D4562</f>
        <v>9.438196972630942E-4</v>
      </c>
    </row>
    <row r="6615" spans="1:4" ht="16.5" hidden="1" x14ac:dyDescent="0.3">
      <c r="A6615" s="10" t="str">
        <f>基本属性!$B$28&amp;"|"&amp;基本属性!$C$28</f>
        <v>240|18</v>
      </c>
      <c r="B6615" s="10" t="str">
        <f>参数调整!$J$37</f>
        <v>新增怪物种类2掉落</v>
      </c>
      <c r="C6615" s="8" t="str">
        <f>材料产出!$AZ$2</f>
        <v>武器碎片</v>
      </c>
      <c r="D6615" s="224">
        <f>参数调整!$K$37*怪物掉落配置方案!$D4563</f>
        <v>1.0389372426739141E-3</v>
      </c>
    </row>
    <row r="6616" spans="1:4" ht="16.5" hidden="1" x14ac:dyDescent="0.3">
      <c r="A6616" s="10" t="str">
        <f>基本属性!$B$29&amp;"|"&amp;基本属性!$C$29</f>
        <v>240|19</v>
      </c>
      <c r="B6616" s="10" t="str">
        <f>参数调整!$J$37</f>
        <v>新增怪物种类2掉落</v>
      </c>
      <c r="C6616" s="8" t="str">
        <f>材料产出!$AZ$2</f>
        <v>武器碎片</v>
      </c>
      <c r="D6616" s="224">
        <f>参数调整!$K$37*怪物掉落配置方案!$D4564</f>
        <v>1.1386204302644533E-3</v>
      </c>
    </row>
    <row r="6617" spans="1:4" ht="16.5" hidden="1" x14ac:dyDescent="0.3">
      <c r="A6617" s="10" t="str">
        <f>基本属性!$B$30&amp;"|"&amp;基本属性!$C$30</f>
        <v>250|20</v>
      </c>
      <c r="B6617" s="10" t="str">
        <f>参数调整!$J$37</f>
        <v>新增怪物种类2掉落</v>
      </c>
      <c r="C6617" s="8" t="str">
        <f>材料产出!$AZ$2</f>
        <v>武器碎片</v>
      </c>
      <c r="D6617" s="224">
        <f>参数调整!$K$37*怪物掉落配置方案!$D4565</f>
        <v>1.2428692600347114E-3</v>
      </c>
    </row>
    <row r="6618" spans="1:4" ht="16.5" hidden="1" x14ac:dyDescent="0.3">
      <c r="A6618" s="10" t="str">
        <f>基本属性!$B$4&amp;"|"&amp;基本属性!$C$4</f>
        <v>35|0</v>
      </c>
      <c r="B6618" s="10" t="str">
        <f>参数调整!$J$37</f>
        <v>新增怪物种类2掉落</v>
      </c>
      <c r="C6618" s="8" t="str">
        <f>材料产出!$HW$2</f>
        <v>特戒装备</v>
      </c>
      <c r="D6618" s="224">
        <f>参数调整!$K$37*怪物掉落配置方案!$D4566</f>
        <v>0</v>
      </c>
    </row>
    <row r="6619" spans="1:4" ht="16.5" hidden="1" x14ac:dyDescent="0.3">
      <c r="A6619" s="10" t="str">
        <f>基本属性!$B$5&amp;"|"&amp;基本属性!$C$5</f>
        <v>40|0</v>
      </c>
      <c r="B6619" s="10" t="str">
        <f>参数调整!$J$37</f>
        <v>新增怪物种类2掉落</v>
      </c>
      <c r="C6619" s="8" t="str">
        <f>材料产出!$HW$2</f>
        <v>特戒装备</v>
      </c>
      <c r="D6619" s="224">
        <f>参数调整!$K$37*怪物掉落配置方案!$D4567</f>
        <v>0</v>
      </c>
    </row>
    <row r="6620" spans="1:4" ht="16.5" hidden="1" x14ac:dyDescent="0.3">
      <c r="A6620" s="10" t="str">
        <f>基本属性!$B$6&amp;"|"&amp;基本属性!$C$6</f>
        <v>50|0</v>
      </c>
      <c r="B6620" s="10" t="str">
        <f>参数调整!$J$37</f>
        <v>新增怪物种类2掉落</v>
      </c>
      <c r="C6620" s="8" t="str">
        <f>材料产出!$HW$2</f>
        <v>特戒装备</v>
      </c>
      <c r="D6620" s="224">
        <f>参数调整!$K$37*怪物掉落配置方案!$D4568</f>
        <v>0</v>
      </c>
    </row>
    <row r="6621" spans="1:4" ht="16.5" hidden="1" x14ac:dyDescent="0.3">
      <c r="A6621" s="10" t="str">
        <f>基本属性!$B$7&amp;"|"&amp;基本属性!$C$7</f>
        <v>60|0</v>
      </c>
      <c r="B6621" s="10" t="str">
        <f>参数调整!$J$37</f>
        <v>新增怪物种类2掉落</v>
      </c>
      <c r="C6621" s="8" t="str">
        <f>材料产出!$HW$2</f>
        <v>特戒装备</v>
      </c>
      <c r="D6621" s="224">
        <f>参数调整!$K$37*怪物掉落配置方案!$D4569</f>
        <v>0</v>
      </c>
    </row>
    <row r="6622" spans="1:4" ht="16.5" hidden="1" x14ac:dyDescent="0.3">
      <c r="A6622" s="10" t="str">
        <f>基本属性!$B$8&amp;"|"&amp;基本属性!$C$8</f>
        <v>65|0</v>
      </c>
      <c r="B6622" s="10" t="str">
        <f>参数调整!$J$37</f>
        <v>新增怪物种类2掉落</v>
      </c>
      <c r="C6622" s="8" t="str">
        <f>材料产出!$HW$2</f>
        <v>特戒装备</v>
      </c>
      <c r="D6622" s="224">
        <f>参数调整!$K$37*怪物掉落配置方案!$D4570</f>
        <v>0</v>
      </c>
    </row>
    <row r="6623" spans="1:4" ht="16.5" hidden="1" x14ac:dyDescent="0.3">
      <c r="A6623" s="10" t="str">
        <f>基本属性!$B$9&amp;"|"&amp;基本属性!$C$9</f>
        <v>70|0</v>
      </c>
      <c r="B6623" s="10" t="str">
        <f>参数调整!$J$37</f>
        <v>新增怪物种类2掉落</v>
      </c>
      <c r="C6623" s="8" t="str">
        <f>材料产出!$HW$2</f>
        <v>特戒装备</v>
      </c>
      <c r="D6623" s="224">
        <f>参数调整!$K$37*怪物掉落配置方案!$D4571</f>
        <v>0</v>
      </c>
    </row>
    <row r="6624" spans="1:4" ht="16.5" hidden="1" x14ac:dyDescent="0.3">
      <c r="A6624" s="10" t="str">
        <f>基本属性!$B$10&amp;"|"&amp;基本属性!$C$10</f>
        <v>75|0</v>
      </c>
      <c r="B6624" s="10" t="str">
        <f>参数调整!$J$37</f>
        <v>新增怪物种类2掉落</v>
      </c>
      <c r="C6624" s="8" t="str">
        <f>材料产出!$HW$2</f>
        <v>特戒装备</v>
      </c>
      <c r="D6624" s="224">
        <f>参数调整!$K$37*怪物掉落配置方案!$D4572</f>
        <v>0</v>
      </c>
    </row>
    <row r="6625" spans="1:4" ht="16.5" hidden="1" x14ac:dyDescent="0.3">
      <c r="A6625" s="10" t="str">
        <f>基本属性!$B$11&amp;"|"&amp;基本属性!$C$11</f>
        <v>80|1</v>
      </c>
      <c r="B6625" s="10" t="str">
        <f>参数调整!$J$37</f>
        <v>新增怪物种类2掉落</v>
      </c>
      <c r="C6625" s="8" t="str">
        <f>材料产出!$HW$2</f>
        <v>特戒装备</v>
      </c>
      <c r="D6625" s="224">
        <f>参数调整!$K$37*怪物掉落配置方案!$D4573</f>
        <v>0</v>
      </c>
    </row>
    <row r="6626" spans="1:4" ht="16.5" hidden="1" x14ac:dyDescent="0.3">
      <c r="A6626" s="10" t="str">
        <f>基本属性!$B$12&amp;"|"&amp;基本属性!$C$12</f>
        <v>90|2</v>
      </c>
      <c r="B6626" s="10" t="str">
        <f>参数调整!$J$37</f>
        <v>新增怪物种类2掉落</v>
      </c>
      <c r="C6626" s="8" t="str">
        <f>材料产出!$HW$2</f>
        <v>特戒装备</v>
      </c>
      <c r="D6626" s="224">
        <f>参数调整!$K$37*怪物掉落配置方案!$D4574</f>
        <v>0</v>
      </c>
    </row>
    <row r="6627" spans="1:4" ht="16.5" hidden="1" x14ac:dyDescent="0.3">
      <c r="A6627" s="10" t="str">
        <f>基本属性!$B$13&amp;"|"&amp;基本属性!$C$13</f>
        <v>100|3</v>
      </c>
      <c r="B6627" s="10" t="str">
        <f>参数调整!$J$37</f>
        <v>新增怪物种类2掉落</v>
      </c>
      <c r="C6627" s="8" t="str">
        <f>材料产出!$HW$2</f>
        <v>特戒装备</v>
      </c>
      <c r="D6627" s="224">
        <f>参数调整!$K$37*怪物掉落配置方案!$D4575</f>
        <v>0</v>
      </c>
    </row>
    <row r="6628" spans="1:4" ht="16.5" hidden="1" x14ac:dyDescent="0.3">
      <c r="A6628" s="10" t="str">
        <f>基本属性!$B$14&amp;"|"&amp;基本属性!$C$14</f>
        <v>105|4</v>
      </c>
      <c r="B6628" s="10" t="str">
        <f>参数调整!$J$37</f>
        <v>新增怪物种类2掉落</v>
      </c>
      <c r="C6628" s="8" t="str">
        <f>材料产出!$HW$2</f>
        <v>特戒装备</v>
      </c>
      <c r="D6628" s="224">
        <f>参数调整!$K$37*怪物掉落配置方案!$D4576</f>
        <v>0</v>
      </c>
    </row>
    <row r="6629" spans="1:4" ht="16.5" hidden="1" x14ac:dyDescent="0.3">
      <c r="A6629" s="10" t="str">
        <f>基本属性!$B$15&amp;"|"&amp;基本属性!$C$15</f>
        <v>110|5</v>
      </c>
      <c r="B6629" s="10" t="str">
        <f>参数调整!$J$37</f>
        <v>新增怪物种类2掉落</v>
      </c>
      <c r="C6629" s="8" t="str">
        <f>材料产出!$HW$2</f>
        <v>特戒装备</v>
      </c>
      <c r="D6629" s="224">
        <f>参数调整!$K$37*怪物掉落配置方案!$D4577</f>
        <v>0</v>
      </c>
    </row>
    <row r="6630" spans="1:4" ht="16.5" hidden="1" x14ac:dyDescent="0.3">
      <c r="A6630" s="10" t="str">
        <f>基本属性!$B$16&amp;"|"&amp;基本属性!$C$16</f>
        <v>120|6</v>
      </c>
      <c r="B6630" s="10" t="str">
        <f>参数调整!$J$37</f>
        <v>新增怪物种类2掉落</v>
      </c>
      <c r="C6630" s="8" t="str">
        <f>材料产出!$HW$2</f>
        <v>特戒装备</v>
      </c>
      <c r="D6630" s="224">
        <f>参数调整!$K$37*怪物掉落配置方案!$D4578</f>
        <v>0</v>
      </c>
    </row>
    <row r="6631" spans="1:4" ht="16.5" hidden="1" x14ac:dyDescent="0.3">
      <c r="A6631" s="10" t="str">
        <f>基本属性!$B$17&amp;"|"&amp;基本属性!$C$17</f>
        <v>135|7</v>
      </c>
      <c r="B6631" s="10" t="str">
        <f>参数调整!$J$37</f>
        <v>新增怪物种类2掉落</v>
      </c>
      <c r="C6631" s="8" t="str">
        <f>材料产出!$HW$2</f>
        <v>特戒装备</v>
      </c>
      <c r="D6631" s="224">
        <f>参数调整!$K$37*怪物掉落配置方案!$D4579</f>
        <v>0</v>
      </c>
    </row>
    <row r="6632" spans="1:4" ht="16.5" hidden="1" x14ac:dyDescent="0.3">
      <c r="A6632" s="10" t="str">
        <f>基本属性!$B$18&amp;"|"&amp;基本属性!$C$18</f>
        <v>155|8</v>
      </c>
      <c r="B6632" s="10" t="str">
        <f>参数调整!$J$37</f>
        <v>新增怪物种类2掉落</v>
      </c>
      <c r="C6632" s="8" t="str">
        <f>材料产出!$HW$2</f>
        <v>特戒装备</v>
      </c>
      <c r="D6632" s="224">
        <f>参数调整!$K$37*怪物掉落配置方案!$D4580</f>
        <v>0</v>
      </c>
    </row>
    <row r="6633" spans="1:4" ht="16.5" hidden="1" x14ac:dyDescent="0.3">
      <c r="A6633" s="10" t="str">
        <f>基本属性!$B$19&amp;"|"&amp;基本属性!$C$19</f>
        <v>190|9</v>
      </c>
      <c r="B6633" s="10" t="str">
        <f>参数调整!$J$37</f>
        <v>新增怪物种类2掉落</v>
      </c>
      <c r="C6633" s="8" t="str">
        <f>材料产出!$HW$2</f>
        <v>特戒装备</v>
      </c>
      <c r="D6633" s="224">
        <f>参数调整!$K$37*怪物掉落配置方案!$D4581</f>
        <v>0</v>
      </c>
    </row>
    <row r="6634" spans="1:4" ht="16.5" hidden="1" x14ac:dyDescent="0.3">
      <c r="A6634" s="10" t="str">
        <f>基本属性!$B$20&amp;"|"&amp;基本属性!$C$20</f>
        <v>200|10</v>
      </c>
      <c r="B6634" s="10" t="str">
        <f>参数调整!$J$37</f>
        <v>新增怪物种类2掉落</v>
      </c>
      <c r="C6634" s="8" t="str">
        <f>材料产出!$HW$2</f>
        <v>特戒装备</v>
      </c>
      <c r="D6634" s="224">
        <f>参数调整!$K$37*怪物掉落配置方案!$D4582</f>
        <v>0</v>
      </c>
    </row>
    <row r="6635" spans="1:4" ht="16.5" hidden="1" x14ac:dyDescent="0.3">
      <c r="A6635" s="10" t="str">
        <f>基本属性!$B$21&amp;"|"&amp;基本属性!$C$21</f>
        <v>200|11</v>
      </c>
      <c r="B6635" s="10" t="str">
        <f>参数调整!$J$37</f>
        <v>新增怪物种类2掉落</v>
      </c>
      <c r="C6635" s="8" t="str">
        <f>材料产出!$HW$2</f>
        <v>特戒装备</v>
      </c>
      <c r="D6635" s="224">
        <f>参数调整!$K$37*怪物掉落配置方案!$D4583</f>
        <v>0</v>
      </c>
    </row>
    <row r="6636" spans="1:4" ht="16.5" hidden="1" x14ac:dyDescent="0.3">
      <c r="A6636" s="10" t="str">
        <f>基本属性!$B$22&amp;"|"&amp;基本属性!$C$22</f>
        <v>210|12</v>
      </c>
      <c r="B6636" s="10" t="str">
        <f>参数调整!$J$37</f>
        <v>新增怪物种类2掉落</v>
      </c>
      <c r="C6636" s="8" t="str">
        <f>材料产出!$HW$2</f>
        <v>特戒装备</v>
      </c>
      <c r="D6636" s="224">
        <f>参数调整!$K$37*怪物掉落配置方案!$D4584</f>
        <v>0</v>
      </c>
    </row>
    <row r="6637" spans="1:4" ht="16.5" hidden="1" x14ac:dyDescent="0.3">
      <c r="A6637" s="10" t="str">
        <f>基本属性!$B$23&amp;"|"&amp;基本属性!$C$23</f>
        <v>210|13</v>
      </c>
      <c r="B6637" s="10" t="str">
        <f>参数调整!$J$37</f>
        <v>新增怪物种类2掉落</v>
      </c>
      <c r="C6637" s="8" t="str">
        <f>材料产出!$HW$2</f>
        <v>特戒装备</v>
      </c>
      <c r="D6637" s="224">
        <f>参数调整!$K$37*怪物掉落配置方案!$D4585</f>
        <v>0</v>
      </c>
    </row>
    <row r="6638" spans="1:4" ht="16.5" hidden="1" x14ac:dyDescent="0.3">
      <c r="A6638" s="10" t="str">
        <f>基本属性!$B$24&amp;"|"&amp;基本属性!$C$24</f>
        <v>220|14</v>
      </c>
      <c r="B6638" s="10" t="str">
        <f>参数调整!$J$37</f>
        <v>新增怪物种类2掉落</v>
      </c>
      <c r="C6638" s="8" t="str">
        <f>材料产出!$HW$2</f>
        <v>特戒装备</v>
      </c>
      <c r="D6638" s="224">
        <f>参数调整!$K$37*怪物掉落配置方案!$D4586</f>
        <v>0</v>
      </c>
    </row>
    <row r="6639" spans="1:4" ht="16.5" hidden="1" x14ac:dyDescent="0.3">
      <c r="A6639" s="10" t="str">
        <f>基本属性!$B$25&amp;"|"&amp;基本属性!$C$25</f>
        <v>220|15</v>
      </c>
      <c r="B6639" s="10" t="str">
        <f>参数调整!$J$37</f>
        <v>新增怪物种类2掉落</v>
      </c>
      <c r="C6639" s="8" t="str">
        <f>材料产出!$HW$2</f>
        <v>特戒装备</v>
      </c>
      <c r="D6639" s="224">
        <f>参数调整!$K$37*怪物掉落配置方案!$D4587</f>
        <v>0</v>
      </c>
    </row>
    <row r="6640" spans="1:4" ht="16.5" hidden="1" x14ac:dyDescent="0.3">
      <c r="A6640" s="10" t="str">
        <f>基本属性!$B$26&amp;"|"&amp;基本属性!$C$26</f>
        <v>230|16</v>
      </c>
      <c r="B6640" s="10" t="str">
        <f>参数调整!$J$37</f>
        <v>新增怪物种类2掉落</v>
      </c>
      <c r="C6640" s="8" t="str">
        <f>材料产出!$HW$2</f>
        <v>特戒装备</v>
      </c>
      <c r="D6640" s="224">
        <f>参数调整!$K$37*怪物掉落配置方案!$D4588</f>
        <v>0</v>
      </c>
    </row>
    <row r="6641" spans="1:4" ht="16.5" hidden="1" x14ac:dyDescent="0.3">
      <c r="A6641" s="10" t="str">
        <f>基本属性!$B$27&amp;"|"&amp;基本属性!$C$27</f>
        <v>230|17</v>
      </c>
      <c r="B6641" s="10" t="str">
        <f>参数调整!$J$37</f>
        <v>新增怪物种类2掉落</v>
      </c>
      <c r="C6641" s="8" t="str">
        <f>材料产出!$HW$2</f>
        <v>特戒装备</v>
      </c>
      <c r="D6641" s="224">
        <f>参数调整!$K$37*怪物掉落配置方案!$D4589</f>
        <v>0</v>
      </c>
    </row>
    <row r="6642" spans="1:4" ht="16.5" hidden="1" x14ac:dyDescent="0.3">
      <c r="A6642" s="10" t="str">
        <f>基本属性!$B$28&amp;"|"&amp;基本属性!$C$28</f>
        <v>240|18</v>
      </c>
      <c r="B6642" s="10" t="str">
        <f>参数调整!$J$37</f>
        <v>新增怪物种类2掉落</v>
      </c>
      <c r="C6642" s="8" t="str">
        <f>材料产出!$HW$2</f>
        <v>特戒装备</v>
      </c>
      <c r="D6642" s="224">
        <f>参数调整!$K$37*怪物掉落配置方案!$D4590</f>
        <v>0</v>
      </c>
    </row>
    <row r="6643" spans="1:4" ht="16.5" hidden="1" x14ac:dyDescent="0.3">
      <c r="A6643" s="10" t="str">
        <f>基本属性!$B$29&amp;"|"&amp;基本属性!$C$29</f>
        <v>240|19</v>
      </c>
      <c r="B6643" s="10" t="str">
        <f>参数调整!$J$37</f>
        <v>新增怪物种类2掉落</v>
      </c>
      <c r="C6643" s="8" t="str">
        <f>材料产出!$HW$2</f>
        <v>特戒装备</v>
      </c>
      <c r="D6643" s="224">
        <f>参数调整!$K$37*怪物掉落配置方案!$D4591</f>
        <v>0</v>
      </c>
    </row>
    <row r="6644" spans="1:4" ht="16.5" hidden="1" x14ac:dyDescent="0.3">
      <c r="A6644" s="10" t="str">
        <f>基本属性!$B$30&amp;"|"&amp;基本属性!$C$30</f>
        <v>250|20</v>
      </c>
      <c r="B6644" s="10" t="str">
        <f>参数调整!$J$37</f>
        <v>新增怪物种类2掉落</v>
      </c>
      <c r="C6644" s="8" t="str">
        <f>材料产出!$HW$2</f>
        <v>特戒装备</v>
      </c>
      <c r="D6644" s="224">
        <f>参数调整!$K$37*怪物掉落配置方案!$D4592</f>
        <v>0</v>
      </c>
    </row>
    <row r="6645" spans="1:4" ht="16.5" hidden="1" x14ac:dyDescent="0.3">
      <c r="A6645" s="10" t="str">
        <f>基本属性!$B$4&amp;"|"&amp;基本属性!$C$4</f>
        <v>35|0</v>
      </c>
      <c r="B6645" s="10" t="str">
        <f>参数调整!$J$37</f>
        <v>新增怪物种类2掉落</v>
      </c>
      <c r="C6645" s="8" t="str">
        <f>材料产出!$BF$2</f>
        <v>首饰碎片</v>
      </c>
      <c r="D6645" s="224">
        <f>参数调整!$K$37*怪物掉落配置方案!$D4593</f>
        <v>8.1166972083899542E-5</v>
      </c>
    </row>
    <row r="6646" spans="1:4" ht="16.5" hidden="1" x14ac:dyDescent="0.3">
      <c r="A6646" s="10" t="str">
        <f>基本属性!$B$5&amp;"|"&amp;基本属性!$C$5</f>
        <v>40|0</v>
      </c>
      <c r="B6646" s="10" t="str">
        <f>参数调整!$J$37</f>
        <v>新增怪物种类2掉落</v>
      </c>
      <c r="C6646" s="8" t="str">
        <f>材料产出!$BF$2</f>
        <v>首饰碎片</v>
      </c>
      <c r="D6646" s="224">
        <f>参数调整!$K$37*怪物掉落配置方案!$D4594</f>
        <v>1.0272694904368536E-4</v>
      </c>
    </row>
    <row r="6647" spans="1:4" ht="16.5" hidden="1" x14ac:dyDescent="0.3">
      <c r="A6647" s="10" t="str">
        <f>基本属性!$B$6&amp;"|"&amp;基本属性!$C$6</f>
        <v>50|0</v>
      </c>
      <c r="B6647" s="10" t="str">
        <f>参数调整!$J$37</f>
        <v>新增怪物种类2掉落</v>
      </c>
      <c r="C6647" s="8" t="str">
        <f>材料产出!$BF$2</f>
        <v>首饰碎片</v>
      </c>
      <c r="D6647" s="224">
        <f>参数调整!$K$37*怪物掉落配置方案!$D4595</f>
        <v>1.2682339388109303E-4</v>
      </c>
    </row>
    <row r="6648" spans="1:4" ht="16.5" hidden="1" x14ac:dyDescent="0.3">
      <c r="A6648" s="10" t="str">
        <f>基本属性!$B$7&amp;"|"&amp;基本属性!$C$7</f>
        <v>60|0</v>
      </c>
      <c r="B6648" s="10" t="str">
        <f>参数调整!$J$37</f>
        <v>新增怪物种类2掉落</v>
      </c>
      <c r="C6648" s="8" t="str">
        <f>材料产出!$BF$2</f>
        <v>首饰碎片</v>
      </c>
      <c r="D6648" s="224">
        <f>参数调整!$K$37*怪物掉落配置方案!$D4596</f>
        <v>1.534563065961226E-4</v>
      </c>
    </row>
    <row r="6649" spans="1:4" ht="16.5" hidden="1" x14ac:dyDescent="0.3">
      <c r="A6649" s="10" t="str">
        <f>基本属性!$B$8&amp;"|"&amp;基本属性!$C$8</f>
        <v>65|0</v>
      </c>
      <c r="B6649" s="10" t="str">
        <f>参数调整!$J$37</f>
        <v>新增怪物种类2掉落</v>
      </c>
      <c r="C6649" s="8" t="str">
        <f>材料产出!$BF$2</f>
        <v>首饰碎片</v>
      </c>
      <c r="D6649" s="224">
        <f>参数调整!$K$37*怪物掉落配置方案!$D4597</f>
        <v>1.8262568718877396E-4</v>
      </c>
    </row>
    <row r="6650" spans="1:4" ht="16.5" hidden="1" x14ac:dyDescent="0.3">
      <c r="A6650" s="10" t="str">
        <f>基本属性!$B$9&amp;"|"&amp;基本属性!$C$9</f>
        <v>70|0</v>
      </c>
      <c r="B6650" s="10" t="str">
        <f>参数调整!$J$37</f>
        <v>新增怪物种类2掉落</v>
      </c>
      <c r="C6650" s="8" t="str">
        <f>材料产出!$BF$2</f>
        <v>首饰碎片</v>
      </c>
      <c r="D6650" s="224">
        <f>参数调整!$K$37*怪物掉落配置方案!$D4598</f>
        <v>2.1433153565904723E-4</v>
      </c>
    </row>
    <row r="6651" spans="1:4" ht="16.5" hidden="1" x14ac:dyDescent="0.3">
      <c r="A6651" s="10" t="str">
        <f>基本属性!$B$10&amp;"|"&amp;基本属性!$C$10</f>
        <v>75|0</v>
      </c>
      <c r="B6651" s="10" t="str">
        <f>参数调整!$J$37</f>
        <v>新增怪物种类2掉落</v>
      </c>
      <c r="C6651" s="8" t="str">
        <f>材料产出!$BF$2</f>
        <v>首饰碎片</v>
      </c>
      <c r="D6651" s="224">
        <f>参数调整!$K$37*怪物掉落配置方案!$D4599</f>
        <v>2.485738520069423E-4</v>
      </c>
    </row>
    <row r="6652" spans="1:4" ht="16.5" hidden="1" x14ac:dyDescent="0.3">
      <c r="A6652" s="10" t="str">
        <f>基本属性!$B$11&amp;"|"&amp;基本属性!$C$11</f>
        <v>80|1</v>
      </c>
      <c r="B6652" s="10" t="str">
        <f>参数调整!$J$37</f>
        <v>新增怪物种类2掉落</v>
      </c>
      <c r="C6652" s="8" t="str">
        <f>材料产出!$BF$2</f>
        <v>首饰碎片</v>
      </c>
      <c r="D6652" s="224">
        <f>参数调整!$K$37*怪物掉落配置方案!$D4600</f>
        <v>2.8535263623245935E-4</v>
      </c>
    </row>
    <row r="6653" spans="1:4" ht="16.5" hidden="1" x14ac:dyDescent="0.3">
      <c r="A6653" s="10" t="str">
        <f>基本属性!$B$12&amp;"|"&amp;基本属性!$C$12</f>
        <v>90|2</v>
      </c>
      <c r="B6653" s="10" t="str">
        <f>参数调整!$J$37</f>
        <v>新增怪物种类2掉落</v>
      </c>
      <c r="C6653" s="8" t="str">
        <f>材料产出!$BF$2</f>
        <v>首饰碎片</v>
      </c>
      <c r="D6653" s="224">
        <f>参数调整!$K$37*怪物掉落配置方案!$D4601</f>
        <v>3.2466788833559828E-4</v>
      </c>
    </row>
    <row r="6654" spans="1:4" ht="16.5" hidden="1" x14ac:dyDescent="0.3">
      <c r="A6654" s="10" t="str">
        <f>基本属性!$B$13&amp;"|"&amp;基本属性!$C$13</f>
        <v>100|3</v>
      </c>
      <c r="B6654" s="10" t="str">
        <f>参数调整!$J$37</f>
        <v>新增怪物种类2掉落</v>
      </c>
      <c r="C6654" s="8" t="str">
        <f>材料产出!$BF$2</f>
        <v>首饰碎片</v>
      </c>
      <c r="D6654" s="224">
        <f>参数调整!$K$37*怪物掉落配置方案!$D4602</f>
        <v>4.1090779617474149E-4</v>
      </c>
    </row>
    <row r="6655" spans="1:4" ht="16.5" hidden="1" x14ac:dyDescent="0.3">
      <c r="A6655" s="10" t="str">
        <f>基本属性!$B$14&amp;"|"&amp;基本属性!$C$14</f>
        <v>105|4</v>
      </c>
      <c r="B6655" s="10" t="str">
        <f>参数调整!$J$37</f>
        <v>新增怪物种类2掉落</v>
      </c>
      <c r="C6655" s="8" t="str">
        <f>材料产出!$BF$2</f>
        <v>首饰碎片</v>
      </c>
      <c r="D6655" s="224">
        <f>参数调整!$K$37*怪物掉落配置方案!$D4603</f>
        <v>5.0729357552437221E-4</v>
      </c>
    </row>
    <row r="6656" spans="1:4" ht="16.5" hidden="1" x14ac:dyDescent="0.3">
      <c r="A6656" s="10" t="str">
        <f>基本属性!$B$15&amp;"|"&amp;基本属性!$C$15</f>
        <v>110|5</v>
      </c>
      <c r="B6656" s="10" t="str">
        <f>参数调整!$J$37</f>
        <v>新增怪物种类2掉落</v>
      </c>
      <c r="C6656" s="8" t="str">
        <f>材料产出!$BF$2</f>
        <v>首饰碎片</v>
      </c>
      <c r="D6656" s="224">
        <f>参数调整!$K$37*怪物掉落配置方案!$D4604</f>
        <v>6.1382522638449039E-4</v>
      </c>
    </row>
    <row r="6657" spans="1:4" ht="16.5" hidden="1" x14ac:dyDescent="0.3">
      <c r="A6657" s="10" t="str">
        <f>基本属性!$B$16&amp;"|"&amp;基本属性!$C$16</f>
        <v>120|6</v>
      </c>
      <c r="B6657" s="10" t="str">
        <f>参数调整!$J$37</f>
        <v>新增怪物种类2掉落</v>
      </c>
      <c r="C6657" s="8" t="str">
        <f>材料产出!$BF$2</f>
        <v>首饰碎片</v>
      </c>
      <c r="D6657" s="224">
        <f>参数调整!$K$37*怪物掉落配置方案!$D4605</f>
        <v>7.9264621175683151E-4</v>
      </c>
    </row>
    <row r="6658" spans="1:4" ht="16.5" hidden="1" x14ac:dyDescent="0.3">
      <c r="A6658" s="10" t="str">
        <f>基本属性!$B$17&amp;"|"&amp;基本属性!$C$17</f>
        <v>135|7</v>
      </c>
      <c r="B6658" s="10" t="str">
        <f>参数调整!$J$37</f>
        <v>新增怪物种类2掉落</v>
      </c>
      <c r="C6658" s="8" t="str">
        <f>材料产出!$BF$2</f>
        <v>首饰碎片</v>
      </c>
      <c r="D6658" s="224">
        <f>参数调整!$K$37*怪物掉落配置方案!$D4606</f>
        <v>1.1414105449298372E-3</v>
      </c>
    </row>
    <row r="6659" spans="1:4" ht="16.5" hidden="1" x14ac:dyDescent="0.3">
      <c r="A6659" s="10" t="str">
        <f>基本属性!$B$18&amp;"|"&amp;基本属性!$C$18</f>
        <v>155|8</v>
      </c>
      <c r="B6659" s="10" t="str">
        <f>参数调整!$J$37</f>
        <v>新增怪物种类2掉落</v>
      </c>
      <c r="C6659" s="8" t="str">
        <f>材料产出!$BF$2</f>
        <v>首饰碎片</v>
      </c>
      <c r="D6659" s="224">
        <f>参数调整!$K$37*怪物掉落配置方案!$D4607</f>
        <v>1.5535865750433899E-3</v>
      </c>
    </row>
    <row r="6660" spans="1:4" ht="16.5" hidden="1" x14ac:dyDescent="0.3">
      <c r="A6660" s="10" t="str">
        <f>基本属性!$B$19&amp;"|"&amp;基本属性!$C$19</f>
        <v>190|9</v>
      </c>
      <c r="B6660" s="10" t="str">
        <f>参数调整!$J$37</f>
        <v>新增怪物种类2掉落</v>
      </c>
      <c r="C6660" s="8" t="str">
        <f>材料产出!$BF$2</f>
        <v>首饰碎片</v>
      </c>
      <c r="D6660" s="224">
        <f>参数调整!$K$37*怪物掉落配置方案!$D4608</f>
        <v>1.7362122622321637E-3</v>
      </c>
    </row>
    <row r="6661" spans="1:4" ht="16.5" hidden="1" x14ac:dyDescent="0.3">
      <c r="A6661" s="10" t="str">
        <f>基本属性!$B$20&amp;"|"&amp;基本属性!$C$20</f>
        <v>200|10</v>
      </c>
      <c r="B6661" s="10" t="str">
        <f>参数调整!$J$37</f>
        <v>新增怪物种类2掉落</v>
      </c>
      <c r="C6661" s="8" t="str">
        <f>材料产出!$BF$2</f>
        <v>首饰碎片</v>
      </c>
      <c r="D6661" s="224">
        <f>参数调整!$K$37*怪物掉落配置方案!$D4609</f>
        <v>2.0291743020974889E-3</v>
      </c>
    </row>
    <row r="6662" spans="1:4" ht="16.5" hidden="1" x14ac:dyDescent="0.3">
      <c r="A6662" s="10" t="str">
        <f>基本属性!$B$21&amp;"|"&amp;基本属性!$C$21</f>
        <v>200|11</v>
      </c>
      <c r="B6662" s="10" t="str">
        <f>参数调整!$J$37</f>
        <v>新增怪物种类2掉落</v>
      </c>
      <c r="C6662" s="8" t="str">
        <f>材料产出!$BF$2</f>
        <v>首饰碎片</v>
      </c>
      <c r="D6662" s="224">
        <f>参数调整!$K$37*怪物掉落配置方案!$D4610</f>
        <v>2.3449645528614096E-3</v>
      </c>
    </row>
    <row r="6663" spans="1:4" ht="16.5" hidden="1" x14ac:dyDescent="0.3">
      <c r="A6663" s="10" t="str">
        <f>基本属性!$B$22&amp;"|"&amp;基本属性!$C$22</f>
        <v>210|12</v>
      </c>
      <c r="B6663" s="10" t="str">
        <f>参数调整!$J$37</f>
        <v>新增怪物种类2掉落</v>
      </c>
      <c r="C6663" s="8" t="str">
        <f>材料产出!$BF$2</f>
        <v>首饰碎片</v>
      </c>
      <c r="D6663" s="224">
        <f>参数调整!$K$37*怪物掉落配置方案!$D4611</f>
        <v>2.6835830145239279E-3</v>
      </c>
    </row>
    <row r="6664" spans="1:4" ht="16.5" hidden="1" x14ac:dyDescent="0.3">
      <c r="A6664" s="10" t="str">
        <f>基本属性!$B$23&amp;"|"&amp;基本属性!$C$23</f>
        <v>210|13</v>
      </c>
      <c r="B6664" s="10" t="str">
        <f>参数调整!$J$37</f>
        <v>新增怪物种类2掉落</v>
      </c>
      <c r="C6664" s="8" t="str">
        <f>材料产出!$BF$2</f>
        <v>首饰碎片</v>
      </c>
      <c r="D6664" s="224">
        <f>参数调整!$K$37*怪物掉落配置方案!$D4612</f>
        <v>3.0450296870850441E-3</v>
      </c>
    </row>
    <row r="6665" spans="1:4" ht="16.5" hidden="1" x14ac:dyDescent="0.3">
      <c r="A6665" s="10" t="str">
        <f>基本属性!$B$24&amp;"|"&amp;基本属性!$C$24</f>
        <v>220|14</v>
      </c>
      <c r="B6665" s="10" t="str">
        <f>参数调整!$J$37</f>
        <v>新增怪物种类2掉落</v>
      </c>
      <c r="C6665" s="8" t="str">
        <f>材料产出!$BF$2</f>
        <v>首饰碎片</v>
      </c>
      <c r="D6665" s="224">
        <f>参数调整!$K$37*怪物掉落配置方案!$D4613</f>
        <v>3.4293045705447557E-3</v>
      </c>
    </row>
    <row r="6666" spans="1:4" ht="16.5" hidden="1" x14ac:dyDescent="0.3">
      <c r="A6666" s="10" t="str">
        <f>基本属性!$B$25&amp;"|"&amp;基本属性!$C$25</f>
        <v>220|15</v>
      </c>
      <c r="B6666" s="10" t="str">
        <f>参数调整!$J$37</f>
        <v>新增怪物种类2掉落</v>
      </c>
      <c r="C6666" s="8" t="str">
        <f>材料产出!$BF$2</f>
        <v>首饰碎片</v>
      </c>
      <c r="D6666" s="224">
        <f>参数调整!$K$37*怪物掉落配置方案!$D4614</f>
        <v>3.8364076649030636E-3</v>
      </c>
    </row>
    <row r="6667" spans="1:4" ht="16.5" hidden="1" x14ac:dyDescent="0.3">
      <c r="A6667" s="10" t="str">
        <f>基本属性!$B$26&amp;"|"&amp;基本属性!$C$26</f>
        <v>230|16</v>
      </c>
      <c r="B6667" s="10" t="str">
        <f>参数调整!$J$37</f>
        <v>新增怪物种类2掉落</v>
      </c>
      <c r="C6667" s="8" t="str">
        <f>材料产出!$BF$2</f>
        <v>首饰碎片</v>
      </c>
      <c r="D6667" s="224">
        <f>参数调整!$K$37*怪物掉落配置方案!$D4615</f>
        <v>4.2663389701599686E-3</v>
      </c>
    </row>
    <row r="6668" spans="1:4" ht="16.5" hidden="1" x14ac:dyDescent="0.3">
      <c r="A6668" s="10" t="str">
        <f>基本属性!$B$27&amp;"|"&amp;基本属性!$C$27</f>
        <v>230|17</v>
      </c>
      <c r="B6668" s="10" t="str">
        <f>参数调整!$J$37</f>
        <v>新增怪物种类2掉落</v>
      </c>
      <c r="C6668" s="8" t="str">
        <f>材料产出!$BF$2</f>
        <v>首饰碎片</v>
      </c>
      <c r="D6668" s="224">
        <f>参数调整!$K$37*怪物掉落配置方案!$D4616</f>
        <v>4.7190984863154711E-3</v>
      </c>
    </row>
    <row r="6669" spans="1:4" ht="16.5" hidden="1" x14ac:dyDescent="0.3">
      <c r="A6669" s="10" t="str">
        <f>基本属性!$B$28&amp;"|"&amp;基本属性!$C$28</f>
        <v>240|18</v>
      </c>
      <c r="B6669" s="10" t="str">
        <f>参数调整!$J$37</f>
        <v>新增怪物种类2掉落</v>
      </c>
      <c r="C6669" s="8" t="str">
        <f>材料产出!$BF$2</f>
        <v>首饰碎片</v>
      </c>
      <c r="D6669" s="224">
        <f>参数调整!$K$37*怪物掉落配置方案!$D4617</f>
        <v>5.1946862133695716E-3</v>
      </c>
    </row>
    <row r="6670" spans="1:4" ht="16.5" hidden="1" x14ac:dyDescent="0.3">
      <c r="A6670" s="10" t="str">
        <f>基本属性!$B$29&amp;"|"&amp;基本属性!$C$29</f>
        <v>240|19</v>
      </c>
      <c r="B6670" s="10" t="str">
        <f>参数调整!$J$37</f>
        <v>新增怪物种类2掉落</v>
      </c>
      <c r="C6670" s="8" t="str">
        <f>材料产出!$BF$2</f>
        <v>首饰碎片</v>
      </c>
      <c r="D6670" s="224">
        <f>参数调整!$K$37*怪物掉落配置方案!$D4618</f>
        <v>5.6931021513222666E-3</v>
      </c>
    </row>
    <row r="6671" spans="1:4" ht="16.5" hidden="1" x14ac:dyDescent="0.3">
      <c r="A6671" s="10" t="str">
        <f>基本属性!$B$30&amp;"|"&amp;基本属性!$C$30</f>
        <v>250|20</v>
      </c>
      <c r="B6671" s="10" t="str">
        <f>参数调整!$J$37</f>
        <v>新增怪物种类2掉落</v>
      </c>
      <c r="C6671" s="8" t="str">
        <f>材料产出!$BF$2</f>
        <v>首饰碎片</v>
      </c>
      <c r="D6671" s="224">
        <f>参数调整!$K$37*怪物掉落配置方案!$D4619</f>
        <v>6.2143463001735578E-3</v>
      </c>
    </row>
    <row r="6672" spans="1:4" ht="16.5" hidden="1" x14ac:dyDescent="0.3">
      <c r="A6672" s="10" t="str">
        <f>基本属性!$B$4&amp;"|"&amp;基本属性!$C$4</f>
        <v>35|0</v>
      </c>
      <c r="B6672" s="10" t="str">
        <f>参数调整!$J$37</f>
        <v>新增怪物种类2掉落</v>
      </c>
      <c r="C6672" s="8" t="str">
        <f>材料产出!$P$2</f>
        <v>声望</v>
      </c>
      <c r="D6672" s="224">
        <f>参数调整!$K$37*怪物掉落配置方案!$D4620</f>
        <v>1.2990018746516695E-2</v>
      </c>
    </row>
    <row r="6673" spans="1:4" ht="16.5" hidden="1" x14ac:dyDescent="0.3">
      <c r="A6673" s="10" t="str">
        <f>基本属性!$B$5&amp;"|"&amp;基本属性!$C$5</f>
        <v>40|0</v>
      </c>
      <c r="B6673" s="10" t="str">
        <f>参数调整!$J$37</f>
        <v>新增怪物种类2掉落</v>
      </c>
      <c r="C6673" s="8" t="str">
        <f>材料产出!$P$2</f>
        <v>声望</v>
      </c>
      <c r="D6673" s="224">
        <f>参数调整!$K$37*怪物掉落配置方案!$D4621</f>
        <v>1.6440492476060192E-2</v>
      </c>
    </row>
    <row r="6674" spans="1:4" ht="16.5" hidden="1" x14ac:dyDescent="0.3">
      <c r="A6674" s="10" t="str">
        <f>基本属性!$B$6&amp;"|"&amp;基本属性!$C$6</f>
        <v>50|0</v>
      </c>
      <c r="B6674" s="10" t="str">
        <f>参数调整!$J$37</f>
        <v>新增怪物种类2掉落</v>
      </c>
      <c r="C6674" s="8" t="str">
        <f>材料产出!$P$2</f>
        <v>声望</v>
      </c>
      <c r="D6674" s="224">
        <f>参数调整!$K$37*怪物掉落配置方案!$D4622</f>
        <v>2.0296904291432334E-2</v>
      </c>
    </row>
    <row r="6675" spans="1:4" ht="16.5" hidden="1" x14ac:dyDescent="0.3">
      <c r="A6675" s="10" t="str">
        <f>基本属性!$B$7&amp;"|"&amp;基本属性!$C$7</f>
        <v>60|0</v>
      </c>
      <c r="B6675" s="10" t="str">
        <f>参数调整!$J$37</f>
        <v>新增怪物种类2掉落</v>
      </c>
      <c r="C6675" s="8" t="str">
        <f>材料产出!$P$2</f>
        <v>声望</v>
      </c>
      <c r="D6675" s="224">
        <f>参数调整!$K$37*怪物掉落配置方案!$D4623</f>
        <v>2.4559254192633127E-2</v>
      </c>
    </row>
    <row r="6676" spans="1:4" ht="16.5" hidden="1" x14ac:dyDescent="0.3">
      <c r="A6676" s="10" t="str">
        <f>基本属性!$B$8&amp;"|"&amp;基本属性!$C$8</f>
        <v>65|0</v>
      </c>
      <c r="B6676" s="10" t="str">
        <f>参数调整!$J$37</f>
        <v>新增怪物种类2掉落</v>
      </c>
      <c r="C6676" s="8" t="str">
        <f>材料产出!$P$2</f>
        <v>声望</v>
      </c>
      <c r="D6676" s="224">
        <f>参数调整!$K$37*怪物掉落配置方案!$D4624</f>
        <v>2.9227542179662561E-2</v>
      </c>
    </row>
    <row r="6677" spans="1:4" ht="16.5" hidden="1" x14ac:dyDescent="0.3">
      <c r="A6677" s="10" t="str">
        <f>基本属性!$B$9&amp;"|"&amp;基本属性!$C$9</f>
        <v>70|0</v>
      </c>
      <c r="B6677" s="10" t="str">
        <f>参数调整!$J$37</f>
        <v>新增怪物种类2掉落</v>
      </c>
      <c r="C6677" s="8" t="str">
        <f>材料产出!$P$2</f>
        <v>声望</v>
      </c>
      <c r="D6677" s="224">
        <f>参数调整!$K$37*怪物掉落配置方案!$D4625</f>
        <v>3.4301768252520647E-2</v>
      </c>
    </row>
    <row r="6678" spans="1:4" ht="16.5" hidden="1" x14ac:dyDescent="0.3">
      <c r="A6678" s="10" t="str">
        <f>基本属性!$B$10&amp;"|"&amp;基本属性!$C$10</f>
        <v>75|0</v>
      </c>
      <c r="B6678" s="10" t="str">
        <f>参数调整!$J$37</f>
        <v>新增怪物种类2掉落</v>
      </c>
      <c r="C6678" s="8" t="str">
        <f>材料产出!$P$2</f>
        <v>声望</v>
      </c>
      <c r="D6678" s="224">
        <f>参数调整!$K$37*怪物掉落配置方案!$D4626</f>
        <v>3.9781932411207373E-2</v>
      </c>
    </row>
    <row r="6679" spans="1:4" ht="16.5" hidden="1" x14ac:dyDescent="0.3">
      <c r="A6679" s="10" t="str">
        <f>基本属性!$B$11&amp;"|"&amp;基本属性!$C$11</f>
        <v>80|1</v>
      </c>
      <c r="B6679" s="10" t="str">
        <f>参数调整!$J$37</f>
        <v>新增怪物种类2掉落</v>
      </c>
      <c r="C6679" s="8" t="str">
        <f>材料产出!$P$2</f>
        <v>声望</v>
      </c>
      <c r="D6679" s="224">
        <f>参数调整!$K$37*怪物掉落配置方案!$D4627</f>
        <v>4.566803465572275E-2</v>
      </c>
    </row>
    <row r="6680" spans="1:4" ht="16.5" hidden="1" x14ac:dyDescent="0.3">
      <c r="A6680" s="10" t="str">
        <f>基本属性!$B$12&amp;"|"&amp;基本属性!$C$12</f>
        <v>90|2</v>
      </c>
      <c r="B6680" s="10" t="str">
        <f>参数调整!$J$37</f>
        <v>新增怪物种类2掉落</v>
      </c>
      <c r="C6680" s="8" t="str">
        <f>材料产出!$P$2</f>
        <v>声望</v>
      </c>
      <c r="D6680" s="224">
        <f>参数调整!$K$37*怪物掉落配置方案!$D4628</f>
        <v>5.1960074986066786E-2</v>
      </c>
    </row>
    <row r="6681" spans="1:4" ht="16.5" hidden="1" x14ac:dyDescent="0.3">
      <c r="A6681" s="10" t="str">
        <f>基本属性!$B$13&amp;"|"&amp;基本属性!$C$13</f>
        <v>100|3</v>
      </c>
      <c r="B6681" s="10" t="str">
        <f>参数调整!$J$37</f>
        <v>新增怪物种类2掉落</v>
      </c>
      <c r="C6681" s="8" t="str">
        <f>材料产出!$P$2</f>
        <v>声望</v>
      </c>
      <c r="D6681" s="224">
        <f>参数调整!$K$37*怪物掉落配置方案!$D4629</f>
        <v>6.5761969904240769E-2</v>
      </c>
    </row>
    <row r="6682" spans="1:4" ht="16.5" hidden="1" x14ac:dyDescent="0.3">
      <c r="A6682" s="10" t="str">
        <f>基本属性!$B$14&amp;"|"&amp;基本属性!$C$14</f>
        <v>105|4</v>
      </c>
      <c r="B6682" s="10" t="str">
        <f>参数调整!$J$37</f>
        <v>新增怪物种类2掉落</v>
      </c>
      <c r="C6682" s="8" t="str">
        <f>材料产出!$P$2</f>
        <v>声望</v>
      </c>
      <c r="D6682" s="224">
        <f>参数调整!$K$37*怪物掉落配置方案!$D4630</f>
        <v>8.118761716572935E-2</v>
      </c>
    </row>
    <row r="6683" spans="1:4" ht="16.5" hidden="1" x14ac:dyDescent="0.3">
      <c r="A6683" s="10" t="str">
        <f>基本属性!$B$15&amp;"|"&amp;基本属性!$C$15</f>
        <v>110|5</v>
      </c>
      <c r="B6683" s="10" t="str">
        <f>参数调整!$J$37</f>
        <v>新增怪物种类2掉落</v>
      </c>
      <c r="C6683" s="8" t="str">
        <f>材料产出!$P$2</f>
        <v>声望</v>
      </c>
      <c r="D6683" s="224">
        <f>参数调整!$K$37*怪物掉落配置方案!$D4631</f>
        <v>9.8237016770532509E-2</v>
      </c>
    </row>
    <row r="6684" spans="1:4" ht="16.5" hidden="1" x14ac:dyDescent="0.3">
      <c r="A6684" s="10" t="str">
        <f>基本属性!$B$16&amp;"|"&amp;基本属性!$C$16</f>
        <v>120|6</v>
      </c>
      <c r="B6684" s="10" t="str">
        <f>参数调整!$J$37</f>
        <v>新增怪物种类2掉落</v>
      </c>
      <c r="C6684" s="8" t="str">
        <f>材料产出!$P$2</f>
        <v>声望</v>
      </c>
      <c r="D6684" s="224">
        <f>参数调整!$K$37*怪物掉落配置方案!$D4632</f>
        <v>0.12685565182145209</v>
      </c>
    </row>
    <row r="6685" spans="1:4" ht="16.5" hidden="1" x14ac:dyDescent="0.3">
      <c r="A6685" s="10" t="str">
        <f>基本属性!$B$17&amp;"|"&amp;基本属性!$C$17</f>
        <v>135|7</v>
      </c>
      <c r="B6685" s="10" t="str">
        <f>参数调整!$J$37</f>
        <v>新增怪物种类2掉落</v>
      </c>
      <c r="C6685" s="8" t="str">
        <f>材料产出!$P$2</f>
        <v>声望</v>
      </c>
      <c r="D6685" s="224">
        <f>参数调整!$K$37*怪物掉落配置方案!$D4633</f>
        <v>0.182672138622891</v>
      </c>
    </row>
    <row r="6686" spans="1:4" ht="16.5" hidden="1" x14ac:dyDescent="0.3">
      <c r="A6686" s="10" t="str">
        <f>基本属性!$B$18&amp;"|"&amp;基本属性!$C$18</f>
        <v>155|8</v>
      </c>
      <c r="B6686" s="10" t="str">
        <f>参数调整!$J$37</f>
        <v>新增怪物种类2掉落</v>
      </c>
      <c r="C6686" s="8" t="str">
        <f>材料产出!$P$2</f>
        <v>声望</v>
      </c>
      <c r="D6686" s="224">
        <f>参数调整!$K$37*怪物掉落配置方案!$D4634</f>
        <v>0.24863707757004611</v>
      </c>
    </row>
    <row r="6687" spans="1:4" ht="16.5" hidden="1" x14ac:dyDescent="0.3">
      <c r="A6687" s="10" t="str">
        <f>基本属性!$B$19&amp;"|"&amp;基本属性!$C$19</f>
        <v>190|9</v>
      </c>
      <c r="B6687" s="10" t="str">
        <f>参数调整!$J$37</f>
        <v>新增怪物种类2掉落</v>
      </c>
      <c r="C6687" s="8" t="str">
        <f>材料产出!$P$2</f>
        <v>声望</v>
      </c>
      <c r="D6687" s="224">
        <f>参数调整!$K$37*怪物掉落配置方案!$D4635</f>
        <v>0.27786461974970872</v>
      </c>
    </row>
    <row r="6688" spans="1:4" ht="16.5" hidden="1" x14ac:dyDescent="0.3">
      <c r="A6688" s="10" t="str">
        <f>基本属性!$B$20&amp;"|"&amp;基本属性!$C$20</f>
        <v>200|10</v>
      </c>
      <c r="B6688" s="10" t="str">
        <f>参数调整!$J$37</f>
        <v>新增怪物种类2掉落</v>
      </c>
      <c r="C6688" s="8" t="str">
        <f>材料产出!$P$2</f>
        <v>声望</v>
      </c>
      <c r="D6688" s="224">
        <f>参数调整!$K$37*怪物掉落配置方案!$D4636</f>
        <v>0.3247504686629174</v>
      </c>
    </row>
    <row r="6689" spans="1:4" ht="16.5" hidden="1" x14ac:dyDescent="0.3">
      <c r="A6689" s="10" t="str">
        <f>基本属性!$B$21&amp;"|"&amp;基本属性!$C$21</f>
        <v>200|11</v>
      </c>
      <c r="B6689" s="10" t="str">
        <f>参数调整!$J$37</f>
        <v>新增怪物种类2掉落</v>
      </c>
      <c r="C6689" s="8" t="str">
        <f>材料产出!$P$2</f>
        <v>声望</v>
      </c>
      <c r="D6689" s="224">
        <f>参数调整!$K$37*怪物掉落配置方案!$D4637</f>
        <v>0.3752897603485838</v>
      </c>
    </row>
    <row r="6690" spans="1:4" ht="16.5" hidden="1" x14ac:dyDescent="0.3">
      <c r="A6690" s="10" t="str">
        <f>基本属性!$B$22&amp;"|"&amp;基本属性!$C$22</f>
        <v>210|12</v>
      </c>
      <c r="B6690" s="10" t="str">
        <f>参数调整!$J$37</f>
        <v>新增怪物种类2掉落</v>
      </c>
      <c r="C6690" s="8" t="str">
        <f>材料产出!$P$2</f>
        <v>声望</v>
      </c>
      <c r="D6690" s="224">
        <f>参数调整!$K$37*怪物掉落配置方案!$D4638</f>
        <v>0.42948249480670808</v>
      </c>
    </row>
    <row r="6691" spans="1:4" ht="16.5" hidden="1" x14ac:dyDescent="0.3">
      <c r="A6691" s="10" t="str">
        <f>基本属性!$B$23&amp;"|"&amp;基本属性!$C$23</f>
        <v>210|13</v>
      </c>
      <c r="B6691" s="10" t="str">
        <f>参数调整!$J$37</f>
        <v>新增怪物种类2掉落</v>
      </c>
      <c r="C6691" s="8" t="str">
        <f>材料产出!$P$2</f>
        <v>声望</v>
      </c>
      <c r="D6691" s="224">
        <f>参数调整!$K$37*怪物掉落配置方案!$D4639</f>
        <v>0.48732867203729047</v>
      </c>
    </row>
    <row r="6692" spans="1:4" ht="16.5" hidden="1" x14ac:dyDescent="0.3">
      <c r="A6692" s="10" t="str">
        <f>基本属性!$B$24&amp;"|"&amp;基本属性!$C$24</f>
        <v>220|14</v>
      </c>
      <c r="B6692" s="10" t="str">
        <f>参数调整!$J$37</f>
        <v>新增怪物种类2掉落</v>
      </c>
      <c r="C6692" s="8" t="str">
        <f>材料产出!$P$2</f>
        <v>声望</v>
      </c>
      <c r="D6692" s="224">
        <f>参数调整!$K$37*怪物掉落配置方案!$D4640</f>
        <v>0.54882829204033035</v>
      </c>
    </row>
    <row r="6693" spans="1:4" ht="16.5" hidden="1" x14ac:dyDescent="0.3">
      <c r="A6693" s="10" t="str">
        <f>基本属性!$B$25&amp;"|"&amp;基本属性!$C$25</f>
        <v>220|15</v>
      </c>
      <c r="B6693" s="10" t="str">
        <f>参数调整!$J$37</f>
        <v>新增怪物种类2掉落</v>
      </c>
      <c r="C6693" s="8" t="str">
        <f>材料产出!$P$2</f>
        <v>声望</v>
      </c>
      <c r="D6693" s="224">
        <f>参数调整!$K$37*怪物掉落配置方案!$D4641</f>
        <v>0.61398135481582805</v>
      </c>
    </row>
    <row r="6694" spans="1:4" ht="16.5" hidden="1" x14ac:dyDescent="0.3">
      <c r="A6694" s="10" t="str">
        <f>基本属性!$B$26&amp;"|"&amp;基本属性!$C$26</f>
        <v>230|16</v>
      </c>
      <c r="B6694" s="10" t="str">
        <f>参数调整!$J$37</f>
        <v>新增怪物种类2掉落</v>
      </c>
      <c r="C6694" s="8" t="str">
        <f>材料产出!$P$2</f>
        <v>声望</v>
      </c>
      <c r="D6694" s="224">
        <f>参数调整!$K$37*怪物掉落配置方案!$D4642</f>
        <v>0.68278786036378381</v>
      </c>
    </row>
    <row r="6695" spans="1:4" ht="16.5" hidden="1" x14ac:dyDescent="0.3">
      <c r="A6695" s="10" t="str">
        <f>基本属性!$B$27&amp;"|"&amp;基本属性!$C$27</f>
        <v>230|17</v>
      </c>
      <c r="B6695" s="10" t="str">
        <f>参数调整!$J$37</f>
        <v>新增怪物种类2掉落</v>
      </c>
      <c r="C6695" s="8" t="str">
        <f>材料产出!$P$2</f>
        <v>声望</v>
      </c>
      <c r="D6695" s="224">
        <f>参数调整!$K$37*怪物掉落配置方案!$D4643</f>
        <v>0.75524780868419705</v>
      </c>
    </row>
    <row r="6696" spans="1:4" ht="16.5" hidden="1" x14ac:dyDescent="0.3">
      <c r="A6696" s="10" t="str">
        <f>基本属性!$B$28&amp;"|"&amp;基本属性!$C$28</f>
        <v>240|18</v>
      </c>
      <c r="B6696" s="10" t="str">
        <f>参数调整!$J$37</f>
        <v>新增怪物种类2掉落</v>
      </c>
      <c r="C6696" s="8" t="str">
        <f>材料产出!$P$2</f>
        <v>声望</v>
      </c>
      <c r="D6696" s="224">
        <f>参数调整!$K$37*怪物掉落配置方案!$D4644</f>
        <v>0.83136119977706857</v>
      </c>
    </row>
    <row r="6697" spans="1:4" ht="16.5" hidden="1" x14ac:dyDescent="0.3">
      <c r="A6697" s="10" t="str">
        <f>基本属性!$B$29&amp;"|"&amp;基本属性!$C$29</f>
        <v>240|19</v>
      </c>
      <c r="B6697" s="10" t="str">
        <f>参数调整!$J$37</f>
        <v>新增怪物种类2掉落</v>
      </c>
      <c r="C6697" s="8" t="str">
        <f>材料产出!$P$2</f>
        <v>声望</v>
      </c>
      <c r="D6697" s="224">
        <f>参数调整!$K$37*怪物掉落配置方案!$D4645</f>
        <v>0.91112803364239758</v>
      </c>
    </row>
    <row r="6698" spans="1:4" ht="16.5" hidden="1" x14ac:dyDescent="0.3">
      <c r="A6698" s="10" t="str">
        <f>基本属性!$B$30&amp;"|"&amp;基本属性!$C$30</f>
        <v>250|20</v>
      </c>
      <c r="B6698" s="10" t="str">
        <f>参数调整!$J$37</f>
        <v>新增怪物种类2掉落</v>
      </c>
      <c r="C6698" s="8" t="str">
        <f>材料产出!$P$2</f>
        <v>声望</v>
      </c>
      <c r="D6698" s="224">
        <f>参数调整!$K$37*怪物掉落配置方案!$D4646</f>
        <v>0.9945483102801842</v>
      </c>
    </row>
    <row r="6699" spans="1:4" ht="16.5" hidden="1" x14ac:dyDescent="0.3">
      <c r="A6699" s="10" t="str">
        <f>基本属性!$B$4&amp;"|"&amp;基本属性!$C$4</f>
        <v>35|0</v>
      </c>
      <c r="B6699" s="10" t="str">
        <f>参数调整!$J$37</f>
        <v>新增怪物种类2掉落</v>
      </c>
      <c r="C6699" s="8" t="str">
        <f>材料产出!$AV$2</f>
        <v>神器图纸</v>
      </c>
      <c r="D6699" s="224">
        <f>参数调整!$K$37*怪物掉落配置方案!$D4647</f>
        <v>5.844021990040766E-5</v>
      </c>
    </row>
    <row r="6700" spans="1:4" ht="16.5" hidden="1" x14ac:dyDescent="0.3">
      <c r="A6700" s="10" t="str">
        <f>基本属性!$B$5&amp;"|"&amp;基本属性!$C$5</f>
        <v>40|0</v>
      </c>
      <c r="B6700" s="10" t="str">
        <f>参数调整!$J$37</f>
        <v>新增怪物种类2掉落</v>
      </c>
      <c r="C6700" s="8" t="str">
        <f>材料产出!$AV$2</f>
        <v>神器图纸</v>
      </c>
      <c r="D6700" s="224">
        <f>参数调整!$K$37*怪物掉落配置方案!$D4648</f>
        <v>7.3963403311453444E-5</v>
      </c>
    </row>
    <row r="6701" spans="1:4" ht="16.5" hidden="1" x14ac:dyDescent="0.3">
      <c r="A6701" s="10" t="str">
        <f>基本属性!$B$6&amp;"|"&amp;基本属性!$C$6</f>
        <v>50|0</v>
      </c>
      <c r="B6701" s="10" t="str">
        <f>参数调整!$J$37</f>
        <v>新增怪物种类2掉落</v>
      </c>
      <c r="C6701" s="8" t="str">
        <f>材料产出!$AV$2</f>
        <v>神器图纸</v>
      </c>
      <c r="D6701" s="224">
        <f>参数调整!$K$37*怪物掉落配置方案!$D4649</f>
        <v>9.1312843594386968E-5</v>
      </c>
    </row>
    <row r="6702" spans="1:4" ht="16.5" hidden="1" x14ac:dyDescent="0.3">
      <c r="A6702" s="10" t="str">
        <f>基本属性!$B$7&amp;"|"&amp;基本属性!$C$7</f>
        <v>60|0</v>
      </c>
      <c r="B6702" s="10" t="str">
        <f>参数调整!$J$37</f>
        <v>新增怪物种类2掉落</v>
      </c>
      <c r="C6702" s="8" t="str">
        <f>材料产出!$AV$2</f>
        <v>神器图纸</v>
      </c>
      <c r="D6702" s="224">
        <f>参数调整!$K$37*怪物掉落配置方案!$D4650</f>
        <v>1.1048854074920826E-4</v>
      </c>
    </row>
    <row r="6703" spans="1:4" ht="16.5" hidden="1" x14ac:dyDescent="0.3">
      <c r="A6703" s="10" t="str">
        <f>基本属性!$B$8&amp;"|"&amp;基本属性!$C$8</f>
        <v>65|0</v>
      </c>
      <c r="B6703" s="10" t="str">
        <f>参数调整!$J$37</f>
        <v>新增怪物种类2掉落</v>
      </c>
      <c r="C6703" s="8" t="str">
        <f>材料产出!$AV$2</f>
        <v>神器图纸</v>
      </c>
      <c r="D6703" s="224">
        <f>参数调整!$K$37*怪物掉落配置方案!$D4651</f>
        <v>1.3149049477591723E-4</v>
      </c>
    </row>
    <row r="6704" spans="1:4" ht="16.5" hidden="1" x14ac:dyDescent="0.3">
      <c r="A6704" s="10" t="str">
        <f>基本属性!$B$9&amp;"|"&amp;基本属性!$C$9</f>
        <v>70|0</v>
      </c>
      <c r="B6704" s="10" t="str">
        <f>参数调整!$J$37</f>
        <v>新增怪物种类2掉落</v>
      </c>
      <c r="C6704" s="8" t="str">
        <f>材料产出!$AV$2</f>
        <v>神器图纸</v>
      </c>
      <c r="D6704" s="224">
        <f>参数调整!$K$37*怪物掉落配置方案!$D4652</f>
        <v>1.5431870567451399E-4</v>
      </c>
    </row>
    <row r="6705" spans="1:4" ht="16.5" hidden="1" x14ac:dyDescent="0.3">
      <c r="A6705" s="10" t="str">
        <f>基本属性!$B$10&amp;"|"&amp;基本属性!$C$10</f>
        <v>75|0</v>
      </c>
      <c r="B6705" s="10" t="str">
        <f>参数调整!$J$37</f>
        <v>新增怪物种类2掉落</v>
      </c>
      <c r="C6705" s="8" t="str">
        <f>材料产出!$AV$2</f>
        <v>神器图纸</v>
      </c>
      <c r="D6705" s="224">
        <f>参数调整!$K$37*怪物掉落配置方案!$D4653</f>
        <v>1.7897317344499846E-4</v>
      </c>
    </row>
    <row r="6706" spans="1:4" ht="16.5" hidden="1" x14ac:dyDescent="0.3">
      <c r="A6706" s="10" t="str">
        <f>基本属性!$B$11&amp;"|"&amp;基本属性!$C$11</f>
        <v>80|1</v>
      </c>
      <c r="B6706" s="10" t="str">
        <f>参数调整!$J$37</f>
        <v>新增怪物种类2掉落</v>
      </c>
      <c r="C6706" s="8" t="str">
        <f>材料产出!$AV$2</f>
        <v>神器图纸</v>
      </c>
      <c r="D6706" s="224">
        <f>参数调整!$K$37*怪物掉落配置方案!$D4654</f>
        <v>2.0545389808737067E-4</v>
      </c>
    </row>
    <row r="6707" spans="1:4" ht="16.5" hidden="1" x14ac:dyDescent="0.3">
      <c r="A6707" s="10" t="str">
        <f>基本属性!$B$12&amp;"|"&amp;基本属性!$C$12</f>
        <v>90|2</v>
      </c>
      <c r="B6707" s="10" t="str">
        <f>参数调整!$J$37</f>
        <v>新增怪物种类2掉落</v>
      </c>
      <c r="C6707" s="8" t="str">
        <f>材料产出!$AV$2</f>
        <v>神器图纸</v>
      </c>
      <c r="D6707" s="224">
        <f>参数调整!$K$37*怪物掉落配置方案!$D4655</f>
        <v>2.3376087960163069E-4</v>
      </c>
    </row>
    <row r="6708" spans="1:4" ht="16.5" hidden="1" x14ac:dyDescent="0.3">
      <c r="A6708" s="10" t="str">
        <f>基本属性!$B$13&amp;"|"&amp;基本属性!$C$13</f>
        <v>100|3</v>
      </c>
      <c r="B6708" s="10" t="str">
        <f>参数调整!$J$37</f>
        <v>新增怪物种类2掉落</v>
      </c>
      <c r="C6708" s="8" t="str">
        <f>材料产出!$AV$2</f>
        <v>神器图纸</v>
      </c>
      <c r="D6708" s="224">
        <f>参数调整!$K$37*怪物掉落配置方案!$D4656</f>
        <v>2.9585361324581383E-4</v>
      </c>
    </row>
    <row r="6709" spans="1:4" ht="16.5" hidden="1" x14ac:dyDescent="0.3">
      <c r="A6709" s="10" t="str">
        <f>基本属性!$B$14&amp;"|"&amp;基本属性!$C$14</f>
        <v>105|4</v>
      </c>
      <c r="B6709" s="10" t="str">
        <f>参数调整!$J$37</f>
        <v>新增怪物种类2掉落</v>
      </c>
      <c r="C6709" s="8" t="str">
        <f>材料产出!$AV$2</f>
        <v>神器图纸</v>
      </c>
      <c r="D6709" s="224">
        <f>参数调整!$K$37*怪物掉落配置方案!$D4657</f>
        <v>3.6525137437754793E-4</v>
      </c>
    </row>
    <row r="6710" spans="1:4" ht="16.5" hidden="1" x14ac:dyDescent="0.3">
      <c r="A6710" s="10" t="str">
        <f>基本属性!$B$15&amp;"|"&amp;基本属性!$C$15</f>
        <v>110|5</v>
      </c>
      <c r="B6710" s="10" t="str">
        <f>参数调整!$J$37</f>
        <v>新增怪物种类2掉落</v>
      </c>
      <c r="C6710" s="8" t="str">
        <f>材料产出!$AV$2</f>
        <v>神器图纸</v>
      </c>
      <c r="D6710" s="224">
        <f>参数调整!$K$37*怪物掉落配置方案!$D4658</f>
        <v>4.4195416299683304E-4</v>
      </c>
    </row>
    <row r="6711" spans="1:4" ht="16.5" hidden="1" x14ac:dyDescent="0.3">
      <c r="A6711" s="10" t="str">
        <f>基本属性!$B$16&amp;"|"&amp;基本属性!$C$16</f>
        <v>120|6</v>
      </c>
      <c r="B6711" s="10" t="str">
        <f>参数调整!$J$37</f>
        <v>新增怪物种类2掉落</v>
      </c>
      <c r="C6711" s="8" t="str">
        <f>材料产出!$AV$2</f>
        <v>神器图纸</v>
      </c>
      <c r="D6711" s="224">
        <f>参数调整!$K$37*怪物掉落配置方案!$D4659</f>
        <v>5.7070527246491859E-4</v>
      </c>
    </row>
    <row r="6712" spans="1:4" ht="16.5" hidden="1" x14ac:dyDescent="0.3">
      <c r="A6712" s="10" t="str">
        <f>基本属性!$B$17&amp;"|"&amp;基本属性!$C$17</f>
        <v>135|7</v>
      </c>
      <c r="B6712" s="10" t="str">
        <f>参数调整!$J$37</f>
        <v>新增怪物种类2掉落</v>
      </c>
      <c r="C6712" s="8" t="str">
        <f>材料产出!$AV$2</f>
        <v>神器图纸</v>
      </c>
      <c r="D6712" s="224">
        <f>参数调整!$K$37*怪物掉落配置方案!$D4660</f>
        <v>8.2181559234948266E-4</v>
      </c>
    </row>
    <row r="6713" spans="1:4" ht="16.5" hidden="1" x14ac:dyDescent="0.3">
      <c r="A6713" s="10" t="str">
        <f>基本属性!$B$18&amp;"|"&amp;基本属性!$C$18</f>
        <v>155|8</v>
      </c>
      <c r="B6713" s="10" t="str">
        <f>参数调整!$J$37</f>
        <v>新增怪物种类2掉落</v>
      </c>
      <c r="C6713" s="8" t="str">
        <f>材料产出!$AV$2</f>
        <v>神器图纸</v>
      </c>
      <c r="D6713" s="224">
        <f>参数调整!$K$37*怪物掉落配置方案!$D4661</f>
        <v>1.1185823340312405E-3</v>
      </c>
    </row>
    <row r="6714" spans="1:4" ht="16.5" hidden="1" x14ac:dyDescent="0.3">
      <c r="A6714" s="10" t="str">
        <f>基本属性!$B$19&amp;"|"&amp;基本属性!$C$19</f>
        <v>190|9</v>
      </c>
      <c r="B6714" s="10" t="str">
        <f>参数调整!$J$37</f>
        <v>新增怪物种类2掉落</v>
      </c>
      <c r="C6714" s="8" t="str">
        <f>材料产出!$AV$2</f>
        <v>神器图纸</v>
      </c>
      <c r="D6714" s="224">
        <f>参数调整!$K$37*怪物掉落配置方案!$D4662</f>
        <v>1.2500728288071577E-3</v>
      </c>
    </row>
    <row r="6715" spans="1:4" ht="16.5" hidden="1" x14ac:dyDescent="0.3">
      <c r="A6715" s="10" t="str">
        <f>基本属性!$B$20&amp;"|"&amp;基本属性!$C$20</f>
        <v>200|10</v>
      </c>
      <c r="B6715" s="10" t="str">
        <f>参数调整!$J$37</f>
        <v>新增怪物种类2掉落</v>
      </c>
      <c r="C6715" s="8" t="str">
        <f>材料产出!$AV$2</f>
        <v>神器图纸</v>
      </c>
      <c r="D6715" s="224">
        <f>参数调整!$K$37*怪物掉落配置方案!$D4663</f>
        <v>1.4610054975101917E-3</v>
      </c>
    </row>
    <row r="6716" spans="1:4" ht="16.5" hidden="1" x14ac:dyDescent="0.3">
      <c r="A6716" s="10" t="str">
        <f>基本属性!$B$21&amp;"|"&amp;基本属性!$C$21</f>
        <v>200|11</v>
      </c>
      <c r="B6716" s="10" t="str">
        <f>参数调整!$J$37</f>
        <v>新增怪物种类2掉落</v>
      </c>
      <c r="C6716" s="8" t="str">
        <f>材料产出!$AV$2</f>
        <v>神器图纸</v>
      </c>
      <c r="D6716" s="224">
        <f>参数调整!$K$37*怪物掉落配置方案!$D4664</f>
        <v>1.6883744780602148E-3</v>
      </c>
    </row>
    <row r="6717" spans="1:4" ht="16.5" hidden="1" x14ac:dyDescent="0.3">
      <c r="A6717" s="10" t="str">
        <f>基本属性!$B$22&amp;"|"&amp;基本属性!$C$22</f>
        <v>210|12</v>
      </c>
      <c r="B6717" s="10" t="str">
        <f>参数调整!$J$37</f>
        <v>新增怪物种类2掉落</v>
      </c>
      <c r="C6717" s="8" t="str">
        <f>材料产出!$AV$2</f>
        <v>神器图纸</v>
      </c>
      <c r="D6717" s="224">
        <f>参数调整!$K$37*怪物掉落配置方案!$D4665</f>
        <v>1.9321797704572278E-3</v>
      </c>
    </row>
    <row r="6718" spans="1:4" ht="16.5" hidden="1" x14ac:dyDescent="0.3">
      <c r="A6718" s="10" t="str">
        <f>基本属性!$B$23&amp;"|"&amp;基本属性!$C$23</f>
        <v>210|13</v>
      </c>
      <c r="B6718" s="10" t="str">
        <f>参数调整!$J$37</f>
        <v>新增怪物种类2掉落</v>
      </c>
      <c r="C6718" s="8" t="str">
        <f>材料产出!$AV$2</f>
        <v>神器图纸</v>
      </c>
      <c r="D6718" s="224">
        <f>参数调整!$K$37*怪物掉落配置方案!$D4666</f>
        <v>2.1924213747012318E-3</v>
      </c>
    </row>
    <row r="6719" spans="1:4" ht="16.5" hidden="1" x14ac:dyDescent="0.3">
      <c r="A6719" s="10" t="str">
        <f>基本属性!$B$24&amp;"|"&amp;基本属性!$C$24</f>
        <v>220|14</v>
      </c>
      <c r="B6719" s="10" t="str">
        <f>参数调整!$J$37</f>
        <v>新增怪物种类2掉落</v>
      </c>
      <c r="C6719" s="8" t="str">
        <f>材料产出!$AV$2</f>
        <v>神器图纸</v>
      </c>
      <c r="D6719" s="224">
        <f>参数调整!$K$37*怪物掉落配置方案!$D4667</f>
        <v>2.4690992907922238E-3</v>
      </c>
    </row>
    <row r="6720" spans="1:4" ht="16.5" hidden="1" x14ac:dyDescent="0.3">
      <c r="A6720" s="10" t="str">
        <f>基本属性!$B$25&amp;"|"&amp;基本属性!$C$25</f>
        <v>220|15</v>
      </c>
      <c r="B6720" s="10" t="str">
        <f>参数调整!$J$37</f>
        <v>新增怪物种类2掉落</v>
      </c>
      <c r="C6720" s="8" t="str">
        <f>材料产出!$AV$2</f>
        <v>神器图纸</v>
      </c>
      <c r="D6720" s="224">
        <f>参数调整!$K$37*怪物掉落配置方案!$D4668</f>
        <v>2.7622135187302054E-3</v>
      </c>
    </row>
    <row r="6721" spans="1:4" ht="16.5" hidden="1" x14ac:dyDescent="0.3">
      <c r="A6721" s="10" t="str">
        <f>基本属性!$B$26&amp;"|"&amp;基本属性!$C$26</f>
        <v>230|16</v>
      </c>
      <c r="B6721" s="10" t="str">
        <f>参数调整!$J$37</f>
        <v>新增怪物种类2掉落</v>
      </c>
      <c r="C6721" s="8" t="str">
        <f>材料产出!$AV$2</f>
        <v>神器图纸</v>
      </c>
      <c r="D6721" s="224">
        <f>参数调整!$K$37*怪物掉落配置方案!$D4669</f>
        <v>3.0717640585151773E-3</v>
      </c>
    </row>
    <row r="6722" spans="1:4" ht="16.5" hidden="1" x14ac:dyDescent="0.3">
      <c r="A6722" s="10" t="str">
        <f>基本属性!$B$27&amp;"|"&amp;基本属性!$C$27</f>
        <v>230|17</v>
      </c>
      <c r="B6722" s="10" t="str">
        <f>参数调整!$J$37</f>
        <v>新增怪物种类2掉落</v>
      </c>
      <c r="C6722" s="8" t="str">
        <f>材料产出!$AV$2</f>
        <v>神器图纸</v>
      </c>
      <c r="D6722" s="224">
        <f>参数调整!$K$37*怪物掉落配置方案!$D4670</f>
        <v>3.3977509101471388E-3</v>
      </c>
    </row>
    <row r="6723" spans="1:4" ht="16.5" hidden="1" x14ac:dyDescent="0.3">
      <c r="A6723" s="10" t="str">
        <f>基本属性!$B$28&amp;"|"&amp;基本属性!$C$28</f>
        <v>240|18</v>
      </c>
      <c r="B6723" s="10" t="str">
        <f>参数调整!$J$37</f>
        <v>新增怪物种类2掉落</v>
      </c>
      <c r="C6723" s="8" t="str">
        <f>材料产出!$AV$2</f>
        <v>神器图纸</v>
      </c>
      <c r="D6723" s="224">
        <f>参数调整!$K$37*怪物掉落配置方案!$D4671</f>
        <v>3.7401740736260911E-3</v>
      </c>
    </row>
    <row r="6724" spans="1:4" ht="16.5" hidden="1" x14ac:dyDescent="0.3">
      <c r="A6724" s="10" t="str">
        <f>基本属性!$B$29&amp;"|"&amp;基本属性!$C$29</f>
        <v>240|19</v>
      </c>
      <c r="B6724" s="10" t="str">
        <f>参数调整!$J$37</f>
        <v>新增怪物种类2掉落</v>
      </c>
      <c r="C6724" s="8" t="str">
        <f>材料产出!$AV$2</f>
        <v>神器图纸</v>
      </c>
      <c r="D6724" s="224">
        <f>参数调整!$K$37*怪物掉落配置方案!$D4672</f>
        <v>4.0990335489520316E-3</v>
      </c>
    </row>
    <row r="6725" spans="1:4" ht="16.5" hidden="1" x14ac:dyDescent="0.3">
      <c r="A6725" s="10" t="str">
        <f>基本属性!$B$30&amp;"|"&amp;基本属性!$C$30</f>
        <v>250|20</v>
      </c>
      <c r="B6725" s="10" t="str">
        <f>参数调整!$J$37</f>
        <v>新增怪物种类2掉落</v>
      </c>
      <c r="C6725" s="8" t="str">
        <f>材料产出!$AV$2</f>
        <v>神器图纸</v>
      </c>
      <c r="D6725" s="224">
        <f>参数调整!$K$37*怪物掉落配置方案!$D4673</f>
        <v>4.4743293361249612E-3</v>
      </c>
    </row>
    <row r="6726" spans="1:4" ht="16.5" hidden="1" x14ac:dyDescent="0.3">
      <c r="A6726" s="10" t="str">
        <f>基本属性!$B$4&amp;"|"&amp;基本属性!$C$4</f>
        <v>35|0</v>
      </c>
      <c r="B6726" s="10" t="str">
        <f>参数调整!$J$37</f>
        <v>新增怪物种类2掉落</v>
      </c>
      <c r="C6726" s="8" t="str">
        <f>材料产出!$AH$2</f>
        <v>神品升星石</v>
      </c>
      <c r="D6726" s="224">
        <f>参数调整!$K$37*怪物掉落配置方案!$D4674</f>
        <v>9.0730085236241187E-4</v>
      </c>
    </row>
    <row r="6727" spans="1:4" ht="16.5" hidden="1" x14ac:dyDescent="0.3">
      <c r="A6727" s="10" t="str">
        <f>基本属性!$B$5&amp;"|"&amp;基本属性!$C$5</f>
        <v>40|0</v>
      </c>
      <c r="B6727" s="10" t="str">
        <f>参数调整!$J$37</f>
        <v>新增怪物种类2掉落</v>
      </c>
      <c r="C6727" s="8" t="str">
        <f>材料产出!$AH$2</f>
        <v>神品升星石</v>
      </c>
      <c r="D6727" s="224">
        <f>参数调整!$K$37*怪物掉落配置方案!$D4675</f>
        <v>1.1483026412711776E-3</v>
      </c>
    </row>
    <row r="6728" spans="1:4" ht="16.5" hidden="1" x14ac:dyDescent="0.3">
      <c r="A6728" s="10" t="str">
        <f>基本属性!$B$6&amp;"|"&amp;基本属性!$C$6</f>
        <v>50|0</v>
      </c>
      <c r="B6728" s="10" t="str">
        <f>参数调整!$J$37</f>
        <v>新增怪物种类2掉落</v>
      </c>
      <c r="C6728" s="8" t="str">
        <f>材料产出!$AH$2</f>
        <v>神品升星石</v>
      </c>
      <c r="D6728" s="224">
        <f>参数调整!$K$37*怪物掉落配置方案!$D4676</f>
        <v>1.4176575818162685E-3</v>
      </c>
    </row>
    <row r="6729" spans="1:4" ht="16.5" hidden="1" x14ac:dyDescent="0.3">
      <c r="A6729" s="10" t="str">
        <f>基本属性!$B$7&amp;"|"&amp;基本属性!$C$7</f>
        <v>60|0</v>
      </c>
      <c r="B6729" s="10" t="str">
        <f>参数调整!$J$37</f>
        <v>新增怪物种类2掉落</v>
      </c>
      <c r="C6729" s="8" t="str">
        <f>材料产出!$AH$2</f>
        <v>神品升星石</v>
      </c>
      <c r="D6729" s="224">
        <f>参数调整!$K$37*怪物掉落配置方案!$D4677</f>
        <v>1.7153656739976851E-3</v>
      </c>
    </row>
    <row r="6730" spans="1:4" ht="16.5" hidden="1" x14ac:dyDescent="0.3">
      <c r="A6730" s="10" t="str">
        <f>基本属性!$B$8&amp;"|"&amp;基本属性!$C$8</f>
        <v>65|0</v>
      </c>
      <c r="B6730" s="10" t="str">
        <f>参数调整!$J$37</f>
        <v>新增怪物种类2掉落</v>
      </c>
      <c r="C6730" s="8" t="str">
        <f>材料产出!$AH$2</f>
        <v>神品升星石</v>
      </c>
      <c r="D6730" s="224">
        <f>参数调整!$K$37*怪物掉落配置方案!$D4678</f>
        <v>2.0414269178154268E-3</v>
      </c>
    </row>
    <row r="6731" spans="1:4" ht="16.5" hidden="1" x14ac:dyDescent="0.3">
      <c r="A6731" s="10" t="str">
        <f>基本属性!$B$9&amp;"|"&amp;基本属性!$C$9</f>
        <v>70|0</v>
      </c>
      <c r="B6731" s="10" t="str">
        <f>参数调整!$J$37</f>
        <v>新增怪物种类2掉落</v>
      </c>
      <c r="C6731" s="8" t="str">
        <f>材料产出!$AH$2</f>
        <v>神品升星石</v>
      </c>
      <c r="D6731" s="224">
        <f>参数调整!$K$37*怪物掉落配置方案!$D4679</f>
        <v>2.3958413132694942E-3</v>
      </c>
    </row>
    <row r="6732" spans="1:4" ht="16.5" hidden="1" x14ac:dyDescent="0.3">
      <c r="A6732" s="10" t="str">
        <f>基本属性!$B$10&amp;"|"&amp;基本属性!$C$10</f>
        <v>75|0</v>
      </c>
      <c r="B6732" s="10" t="str">
        <f>参数调整!$J$37</f>
        <v>新增怪物种类2掉落</v>
      </c>
      <c r="C6732" s="8" t="str">
        <f>材料产出!$AH$2</f>
        <v>神品升星石</v>
      </c>
      <c r="D6732" s="224">
        <f>参数调整!$K$37*怪物掉落配置方案!$D4680</f>
        <v>2.7786088603598859E-3</v>
      </c>
    </row>
    <row r="6733" spans="1:4" ht="16.5" hidden="1" x14ac:dyDescent="0.3">
      <c r="A6733" s="10" t="str">
        <f>基本属性!$B$11&amp;"|"&amp;基本属性!$C$11</f>
        <v>80|1</v>
      </c>
      <c r="B6733" s="10" t="str">
        <f>参数调整!$J$37</f>
        <v>新增怪物种类2掉落</v>
      </c>
      <c r="C6733" s="8" t="str">
        <f>材料产出!$AH$2</f>
        <v>神品升星石</v>
      </c>
      <c r="D6733" s="224">
        <f>参数调整!$K$37*怪物掉落配置方案!$D4681</f>
        <v>3.1897295590866044E-3</v>
      </c>
    </row>
    <row r="6734" spans="1:4" ht="16.5" hidden="1" x14ac:dyDescent="0.3">
      <c r="A6734" s="10" t="str">
        <f>基本属性!$B$12&amp;"|"&amp;基本属性!$C$12</f>
        <v>90|2</v>
      </c>
      <c r="B6734" s="10" t="str">
        <f>参数调整!$J$37</f>
        <v>新增怪物种类2掉落</v>
      </c>
      <c r="C6734" s="8" t="str">
        <f>材料产出!$AH$2</f>
        <v>神品升星石</v>
      </c>
      <c r="D6734" s="224">
        <f>参数调整!$K$37*怪物掉落配置方案!$D4682</f>
        <v>3.6292034094496483E-3</v>
      </c>
    </row>
    <row r="6735" spans="1:4" ht="16.5" hidden="1" x14ac:dyDescent="0.3">
      <c r="A6735" s="10" t="str">
        <f>基本属性!$B$13&amp;"|"&amp;基本属性!$C$13</f>
        <v>100|3</v>
      </c>
      <c r="B6735" s="10" t="str">
        <f>参数调整!$J$37</f>
        <v>新增怪物种类2掉落</v>
      </c>
      <c r="C6735" s="8" t="str">
        <f>材料产出!$AH$2</f>
        <v>神品升星石</v>
      </c>
      <c r="D6735" s="224">
        <f>参数调整!$K$37*怪物掉落配置方案!$D4683</f>
        <v>4.5932105650847111E-3</v>
      </c>
    </row>
    <row r="6736" spans="1:4" ht="16.5" hidden="1" x14ac:dyDescent="0.3">
      <c r="A6736" s="10" t="str">
        <f>基本属性!$B$14&amp;"|"&amp;基本属性!$C$14</f>
        <v>105|4</v>
      </c>
      <c r="B6736" s="10" t="str">
        <f>参数调整!$J$37</f>
        <v>新增怪物种类2掉落</v>
      </c>
      <c r="C6736" s="8" t="str">
        <f>材料产出!$AH$2</f>
        <v>神品升星石</v>
      </c>
      <c r="D6736" s="224">
        <f>参数调整!$K$37*怪物掉落配置方案!$D4684</f>
        <v>5.6706303272650738E-3</v>
      </c>
    </row>
    <row r="6737" spans="1:4" ht="16.5" hidden="1" x14ac:dyDescent="0.3">
      <c r="A6737" s="10" t="str">
        <f>基本属性!$B$15&amp;"|"&amp;基本属性!$C$15</f>
        <v>110|5</v>
      </c>
      <c r="B6737" s="10" t="str">
        <f>参数调整!$J$37</f>
        <v>新增怪物种类2掉落</v>
      </c>
      <c r="C6737" s="8" t="str">
        <f>材料产出!$AH$2</f>
        <v>神品升星石</v>
      </c>
      <c r="D6737" s="224">
        <f>参数调整!$K$37*怪物掉落配置方案!$D4685</f>
        <v>6.8614626959907412E-3</v>
      </c>
    </row>
    <row r="6738" spans="1:4" ht="16.5" hidden="1" x14ac:dyDescent="0.3">
      <c r="A6738" s="10" t="str">
        <f>基本属性!$B$16&amp;"|"&amp;基本属性!$C$16</f>
        <v>120|6</v>
      </c>
      <c r="B6738" s="10" t="str">
        <f>参数调整!$J$37</f>
        <v>新增怪物种类2掉落</v>
      </c>
      <c r="C6738" s="8" t="str">
        <f>材料产出!$AH$2</f>
        <v>神品升星石</v>
      </c>
      <c r="D6738" s="224">
        <f>参数调整!$K$37*怪物掉落配置方案!$D4686</f>
        <v>8.8603598863516812E-3</v>
      </c>
    </row>
    <row r="6739" spans="1:4" ht="16.5" hidden="1" x14ac:dyDescent="0.3">
      <c r="A6739" s="10" t="str">
        <f>基本属性!$B$17&amp;"|"&amp;基本属性!$C$17</f>
        <v>135|7</v>
      </c>
      <c r="B6739" s="10" t="str">
        <f>参数调整!$J$37</f>
        <v>新增怪物种类2掉落</v>
      </c>
      <c r="C6739" s="8" t="str">
        <f>材料产出!$AH$2</f>
        <v>神品升星石</v>
      </c>
      <c r="D6739" s="224">
        <f>参数调整!$K$37*怪物掉落配置方案!$D4687</f>
        <v>1.2758918236346417E-2</v>
      </c>
    </row>
    <row r="6740" spans="1:4" ht="16.5" hidden="1" x14ac:dyDescent="0.3">
      <c r="A6740" s="10" t="str">
        <f>基本属性!$B$18&amp;"|"&amp;基本属性!$C$18</f>
        <v>155|8</v>
      </c>
      <c r="B6740" s="10" t="str">
        <f>参数调整!$J$37</f>
        <v>新增怪物种类2掉落</v>
      </c>
      <c r="C6740" s="8" t="str">
        <f>材料产出!$AH$2</f>
        <v>神品升星石</v>
      </c>
      <c r="D6740" s="224">
        <f>参数调整!$K$37*怪物掉落配置方案!$D4688</f>
        <v>1.7366305377249293E-2</v>
      </c>
    </row>
    <row r="6741" spans="1:4" ht="16.5" hidden="1" x14ac:dyDescent="0.3">
      <c r="A6741" s="10" t="str">
        <f>基本属性!$B$19&amp;"|"&amp;基本属性!$C$19</f>
        <v>190|9</v>
      </c>
      <c r="B6741" s="10" t="str">
        <f>参数调整!$J$37</f>
        <v>新增怪物种类2掉落</v>
      </c>
      <c r="C6741" s="8" t="str">
        <f>材料产出!$AH$2</f>
        <v>神品升星石</v>
      </c>
      <c r="D6741" s="224">
        <f>参数调整!$K$37*怪物掉落配置方案!$D4689</f>
        <v>1.940773229506472E-2</v>
      </c>
    </row>
    <row r="6742" spans="1:4" ht="16.5" hidden="1" x14ac:dyDescent="0.3">
      <c r="A6742" s="10" t="str">
        <f>基本属性!$B$20&amp;"|"&amp;基本属性!$C$20</f>
        <v>200|10</v>
      </c>
      <c r="B6742" s="10" t="str">
        <f>参数调整!$J$37</f>
        <v>新增怪物种类2掉落</v>
      </c>
      <c r="C6742" s="8" t="str">
        <f>材料产出!$AH$2</f>
        <v>神品升星石</v>
      </c>
      <c r="D6742" s="224">
        <f>参数调整!$K$37*怪物掉落配置方案!$D4690</f>
        <v>2.2682521309060295E-2</v>
      </c>
    </row>
    <row r="6743" spans="1:4" ht="16.5" hidden="1" x14ac:dyDescent="0.3">
      <c r="A6743" s="10" t="str">
        <f>基本属性!$B$21&amp;"|"&amp;基本属性!$C$21</f>
        <v>200|11</v>
      </c>
      <c r="B6743" s="10" t="str">
        <f>参数调整!$J$37</f>
        <v>新增怪物种类2掉落</v>
      </c>
      <c r="C6743" s="8" t="str">
        <f>材料产出!$AH$2</f>
        <v>神品升星石</v>
      </c>
      <c r="D6743" s="224">
        <f>参数调整!$K$37*怪物掉落配置方案!$D4691</f>
        <v>2.6212488687782802E-2</v>
      </c>
    </row>
    <row r="6744" spans="1:4" ht="16.5" hidden="1" x14ac:dyDescent="0.3">
      <c r="A6744" s="10" t="str">
        <f>基本属性!$B$22&amp;"|"&amp;基本属性!$C$22</f>
        <v>210|12</v>
      </c>
      <c r="B6744" s="10" t="str">
        <f>参数调整!$J$37</f>
        <v>新增怪物种类2掉落</v>
      </c>
      <c r="C6744" s="8" t="str">
        <f>材料产出!$AH$2</f>
        <v>神品升星石</v>
      </c>
      <c r="D6744" s="224">
        <f>参数调整!$K$37*怪物掉落配置方案!$D4692</f>
        <v>2.9997634431232236E-2</v>
      </c>
    </row>
    <row r="6745" spans="1:4" ht="16.5" hidden="1" x14ac:dyDescent="0.3">
      <c r="A6745" s="10" t="str">
        <f>基本属性!$B$23&amp;"|"&amp;基本属性!$C$23</f>
        <v>210|13</v>
      </c>
      <c r="B6745" s="10" t="str">
        <f>参数调整!$J$37</f>
        <v>新增怪物种类2掉落</v>
      </c>
      <c r="C6745" s="8" t="str">
        <f>材料产出!$AH$2</f>
        <v>神品升星石</v>
      </c>
      <c r="D6745" s="224">
        <f>参数调整!$K$37*怪物掉落配置方案!$D4693</f>
        <v>3.4037958539408615E-2</v>
      </c>
    </row>
    <row r="6746" spans="1:4" ht="16.5" hidden="1" x14ac:dyDescent="0.3">
      <c r="A6746" s="10" t="str">
        <f>基本属性!$B$24&amp;"|"&amp;基本属性!$C$24</f>
        <v>220|14</v>
      </c>
      <c r="B6746" s="10" t="str">
        <f>参数调整!$J$37</f>
        <v>新增怪物种类2掉落</v>
      </c>
      <c r="C6746" s="8" t="str">
        <f>材料产出!$AH$2</f>
        <v>神品升星石</v>
      </c>
      <c r="D6746" s="224">
        <f>参数调整!$K$37*怪物掉落配置方案!$D4694</f>
        <v>3.8333461012311908E-2</v>
      </c>
    </row>
    <row r="6747" spans="1:4" ht="16.5" hidden="1" x14ac:dyDescent="0.3">
      <c r="A6747" s="10" t="str">
        <f>基本属性!$B$25&amp;"|"&amp;基本属性!$C$25</f>
        <v>220|15</v>
      </c>
      <c r="B6747" s="10" t="str">
        <f>参数调整!$J$37</f>
        <v>新增怪物种类2掉落</v>
      </c>
      <c r="C6747" s="8" t="str">
        <f>材料产出!$AH$2</f>
        <v>神品升星石</v>
      </c>
      <c r="D6747" s="224">
        <f>参数调整!$K$37*怪物掉落配置方案!$D4695</f>
        <v>4.2884141849942124E-2</v>
      </c>
    </row>
    <row r="6748" spans="1:4" ht="16.5" hidden="1" x14ac:dyDescent="0.3">
      <c r="A6748" s="10" t="str">
        <f>基本属性!$B$26&amp;"|"&amp;基本属性!$C$26</f>
        <v>230|16</v>
      </c>
      <c r="B6748" s="10" t="str">
        <f>参数调整!$J$37</f>
        <v>新增怪物种类2掉落</v>
      </c>
      <c r="C6748" s="8" t="str">
        <f>材料产出!$AH$2</f>
        <v>神品升星石</v>
      </c>
      <c r="D6748" s="224">
        <f>参数调整!$K$37*怪物掉落配置方案!$D4696</f>
        <v>4.7690001052299272E-2</v>
      </c>
    </row>
    <row r="6749" spans="1:4" ht="16.5" hidden="1" x14ac:dyDescent="0.3">
      <c r="A6749" s="10" t="str">
        <f>基本属性!$B$27&amp;"|"&amp;基本属性!$C$27</f>
        <v>230|17</v>
      </c>
      <c r="B6749" s="10" t="str">
        <f>参数调整!$J$37</f>
        <v>新增怪物种类2掉落</v>
      </c>
      <c r="C6749" s="8" t="str">
        <f>材料产出!$AH$2</f>
        <v>神品升星石</v>
      </c>
      <c r="D6749" s="224">
        <f>参数调整!$K$37*怪物掉落配置方案!$D4697</f>
        <v>5.275103861938335E-2</v>
      </c>
    </row>
    <row r="6750" spans="1:4" ht="16.5" hidden="1" x14ac:dyDescent="0.3">
      <c r="A6750" s="10" t="str">
        <f>基本属性!$B$28&amp;"|"&amp;基本属性!$C$28</f>
        <v>240|18</v>
      </c>
      <c r="B6750" s="10" t="str">
        <f>参数调整!$J$37</f>
        <v>新增怪物种类2掉落</v>
      </c>
      <c r="C6750" s="8" t="str">
        <f>材料产出!$AH$2</f>
        <v>神品升星石</v>
      </c>
      <c r="D6750" s="224">
        <f>参数调整!$K$37*怪物掉落配置方案!$D4698</f>
        <v>5.806725455119436E-2</v>
      </c>
    </row>
    <row r="6751" spans="1:4" ht="16.5" hidden="1" x14ac:dyDescent="0.3">
      <c r="A6751" s="10" t="str">
        <f>基本属性!$B$29&amp;"|"&amp;基本属性!$C$29</f>
        <v>240|19</v>
      </c>
      <c r="B6751" s="10" t="str">
        <f>参数调整!$J$37</f>
        <v>新增怪物种类2掉落</v>
      </c>
      <c r="C6751" s="8" t="str">
        <f>材料产出!$AH$2</f>
        <v>神品升星石</v>
      </c>
      <c r="D6751" s="224">
        <f>参数调整!$K$37*怪物掉落配置方案!$D4699</f>
        <v>6.3638648847732307E-2</v>
      </c>
    </row>
    <row r="6752" spans="1:4" ht="16.5" hidden="1" x14ac:dyDescent="0.3">
      <c r="A6752" s="10" t="str">
        <f>基本属性!$B$30&amp;"|"&amp;基本属性!$C$30</f>
        <v>250|20</v>
      </c>
      <c r="B6752" s="10" t="str">
        <f>参数调整!$J$37</f>
        <v>新增怪物种类2掉落</v>
      </c>
      <c r="C6752" s="8" t="str">
        <f>材料产出!$AH$2</f>
        <v>神品升星石</v>
      </c>
      <c r="D6752" s="224">
        <f>参数调整!$K$37*怪物掉落配置方案!$D4700</f>
        <v>6.9465221508997144E-2</v>
      </c>
    </row>
    <row r="6753" spans="1:4" ht="16.5" hidden="1" x14ac:dyDescent="0.3">
      <c r="A6753" s="10" t="str">
        <f>基本属性!$B$4&amp;"|"&amp;基本属性!$C$4</f>
        <v>35|0</v>
      </c>
      <c r="B6753" s="10" t="str">
        <f>参数调整!$J$37</f>
        <v>新增怪物种类2掉落</v>
      </c>
      <c r="C6753" s="8" t="str">
        <f>材料产出!$AL$2</f>
        <v>上品注灵石</v>
      </c>
      <c r="D6753" s="224">
        <f>参数调整!$K$37*怪物掉落配置方案!$D4701</f>
        <v>5.1844102894235662E-3</v>
      </c>
    </row>
    <row r="6754" spans="1:4" ht="16.5" hidden="1" x14ac:dyDescent="0.3">
      <c r="A6754" s="10" t="str">
        <f>基本属性!$B$5&amp;"|"&amp;基本属性!$C$5</f>
        <v>40|0</v>
      </c>
      <c r="B6754" s="10" t="str">
        <f>参数调整!$J$37</f>
        <v>新增怪物种类2掉落</v>
      </c>
      <c r="C6754" s="8" t="str">
        <f>材料产出!$AL$2</f>
        <v>上品注灵石</v>
      </c>
      <c r="D6754" s="224">
        <f>参数调整!$K$37*怪物掉落配置方案!$D4702</f>
        <v>6.5615192725517017E-3</v>
      </c>
    </row>
    <row r="6755" spans="1:4" ht="16.5" hidden="1" x14ac:dyDescent="0.3">
      <c r="A6755" s="10" t="str">
        <f>基本属性!$B$6&amp;"|"&amp;基本属性!$C$6</f>
        <v>50|0</v>
      </c>
      <c r="B6755" s="10" t="str">
        <f>参数调整!$J$37</f>
        <v>新增怪物种类2掉落</v>
      </c>
      <c r="C6755" s="8" t="str">
        <f>材料产出!$AL$2</f>
        <v>上品注灵石</v>
      </c>
      <c r="D6755" s="224">
        <f>参数调整!$K$37*怪物掉落配置方案!$D4703</f>
        <v>8.1006410772243229E-3</v>
      </c>
    </row>
    <row r="6756" spans="1:4" ht="16.5" hidden="1" x14ac:dyDescent="0.3">
      <c r="A6756" s="10" t="str">
        <f>基本属性!$B$7&amp;"|"&amp;基本属性!$C$7</f>
        <v>60|0</v>
      </c>
      <c r="B6756" s="10" t="str">
        <f>参数调整!$J$37</f>
        <v>新增怪物种类2掉落</v>
      </c>
      <c r="C6756" s="8" t="str">
        <f>材料产出!$AL$2</f>
        <v>上品注灵石</v>
      </c>
      <c r="D6756" s="224">
        <f>参数调整!$K$37*怪物掉落配置方案!$D4704</f>
        <v>9.8017757034414323E-3</v>
      </c>
    </row>
    <row r="6757" spans="1:4" ht="16.5" hidden="1" x14ac:dyDescent="0.3">
      <c r="A6757" s="10" t="str">
        <f>基本属性!$B$8&amp;"|"&amp;基本属性!$C$8</f>
        <v>65|0</v>
      </c>
      <c r="B6757" s="10" t="str">
        <f>参数调整!$J$37</f>
        <v>新增怪物种类2掉落</v>
      </c>
      <c r="C6757" s="8" t="str">
        <f>材料产出!$AL$2</f>
        <v>上品注灵石</v>
      </c>
      <c r="D6757" s="224">
        <f>参数调整!$K$37*怪物掉落配置方案!$D4705</f>
        <v>1.1664923151203023E-2</v>
      </c>
    </row>
    <row r="6758" spans="1:4" ht="16.5" hidden="1" x14ac:dyDescent="0.3">
      <c r="A6758" s="10" t="str">
        <f>基本属性!$B$9&amp;"|"&amp;基本属性!$C$9</f>
        <v>70|0</v>
      </c>
      <c r="B6758" s="10" t="str">
        <f>参数调整!$J$37</f>
        <v>新增怪物种类2掉落</v>
      </c>
      <c r="C6758" s="8" t="str">
        <f>材料产出!$AL$2</f>
        <v>上品注灵石</v>
      </c>
      <c r="D6758" s="224">
        <f>参数调整!$K$37*怪物掉落配置方案!$D4706</f>
        <v>1.3690083420509105E-2</v>
      </c>
    </row>
    <row r="6759" spans="1:4" ht="16.5" hidden="1" x14ac:dyDescent="0.3">
      <c r="A6759" s="10" t="str">
        <f>基本属性!$B$10&amp;"|"&amp;基本属性!$C$10</f>
        <v>75|0</v>
      </c>
      <c r="B6759" s="10" t="str">
        <f>参数调整!$J$37</f>
        <v>新增怪物种类2掉落</v>
      </c>
      <c r="C6759" s="8" t="str">
        <f>材料产出!$AL$2</f>
        <v>上品注灵石</v>
      </c>
      <c r="D6759" s="224">
        <f>参数调整!$K$37*怪物掉落配置方案!$D4707</f>
        <v>1.5877256511359669E-2</v>
      </c>
    </row>
    <row r="6760" spans="1:4" ht="16.5" hidden="1" x14ac:dyDescent="0.3">
      <c r="A6760" s="10" t="str">
        <f>基本属性!$B$11&amp;"|"&amp;基本属性!$C$11</f>
        <v>80|1</v>
      </c>
      <c r="B6760" s="10" t="str">
        <f>参数调整!$J$37</f>
        <v>新增怪物种类2掉落</v>
      </c>
      <c r="C6760" s="8" t="str">
        <f>材料产出!$AL$2</f>
        <v>上品注灵石</v>
      </c>
      <c r="D6760" s="224">
        <f>参数调整!$K$37*怪物掉落配置方案!$D4708</f>
        <v>1.8226442423754728E-2</v>
      </c>
    </row>
    <row r="6761" spans="1:4" ht="16.5" hidden="1" x14ac:dyDescent="0.3">
      <c r="A6761" s="10" t="str">
        <f>基本属性!$B$12&amp;"|"&amp;基本属性!$C$12</f>
        <v>90|2</v>
      </c>
      <c r="B6761" s="10" t="str">
        <f>参数调整!$J$37</f>
        <v>新增怪物种类2掉落</v>
      </c>
      <c r="C6761" s="8" t="str">
        <f>材料产出!$AL$2</f>
        <v>上品注灵石</v>
      </c>
      <c r="D6761" s="224">
        <f>参数调整!$K$37*怪物掉落配置方案!$D4709</f>
        <v>2.0737641157694268E-2</v>
      </c>
    </row>
    <row r="6762" spans="1:4" ht="16.5" hidden="1" x14ac:dyDescent="0.3">
      <c r="A6762" s="10" t="str">
        <f>基本属性!$B$13&amp;"|"&amp;基本属性!$C$13</f>
        <v>100|3</v>
      </c>
      <c r="B6762" s="10" t="str">
        <f>参数调整!$J$37</f>
        <v>新增怪物种类2掉落</v>
      </c>
      <c r="C6762" s="8" t="str">
        <f>材料产出!$AL$2</f>
        <v>上品注灵石</v>
      </c>
      <c r="D6762" s="224">
        <f>参数调整!$K$37*怪物掉落配置方案!$D4710</f>
        <v>2.6246077090206807E-2</v>
      </c>
    </row>
    <row r="6763" spans="1:4" ht="16.5" hidden="1" x14ac:dyDescent="0.3">
      <c r="A6763" s="10" t="str">
        <f>基本属性!$B$14&amp;"|"&amp;基本属性!$C$14</f>
        <v>105|4</v>
      </c>
      <c r="B6763" s="10" t="str">
        <f>参数调整!$J$37</f>
        <v>新增怪物种类2掉落</v>
      </c>
      <c r="C6763" s="8" t="str">
        <f>材料产出!$AL$2</f>
        <v>上品注灵石</v>
      </c>
      <c r="D6763" s="224">
        <f>参数调整!$K$37*怪物掉落配置方案!$D4711</f>
        <v>3.2402564308897291E-2</v>
      </c>
    </row>
    <row r="6764" spans="1:4" ht="16.5" hidden="1" x14ac:dyDescent="0.3">
      <c r="A6764" s="10" t="str">
        <f>基本属性!$B$15&amp;"|"&amp;基本属性!$C$15</f>
        <v>110|5</v>
      </c>
      <c r="B6764" s="10" t="str">
        <f>参数调整!$J$37</f>
        <v>新增怪物种类2掉落</v>
      </c>
      <c r="C6764" s="8" t="str">
        <f>材料产出!$AL$2</f>
        <v>上品注灵石</v>
      </c>
      <c r="D6764" s="224">
        <f>参数调整!$K$37*怪物掉落配置方案!$D4712</f>
        <v>3.9207102813765729E-2</v>
      </c>
    </row>
    <row r="6765" spans="1:4" ht="16.5" hidden="1" x14ac:dyDescent="0.3">
      <c r="A6765" s="10" t="str">
        <f>基本属性!$B$16&amp;"|"&amp;基本属性!$C$16</f>
        <v>120|6</v>
      </c>
      <c r="B6765" s="10" t="str">
        <f>参数调整!$J$37</f>
        <v>新增怪物种类2掉落</v>
      </c>
      <c r="C6765" s="8" t="str">
        <f>材料产出!$AL$2</f>
        <v>上品注灵石</v>
      </c>
      <c r="D6765" s="224">
        <f>参数调整!$K$37*怪物掉落配置方案!$D4713</f>
        <v>5.062900673265202E-2</v>
      </c>
    </row>
    <row r="6766" spans="1:4" ht="16.5" hidden="1" x14ac:dyDescent="0.3">
      <c r="A6766" s="10" t="str">
        <f>基本属性!$B$17&amp;"|"&amp;基本属性!$C$17</f>
        <v>135|7</v>
      </c>
      <c r="B6766" s="10" t="str">
        <f>参数调整!$J$37</f>
        <v>新增怪物种类2掉落</v>
      </c>
      <c r="C6766" s="8" t="str">
        <f>材料产出!$AL$2</f>
        <v>上品注灵石</v>
      </c>
      <c r="D6766" s="224">
        <f>参数调整!$K$37*怪物掉落配置方案!$D4714</f>
        <v>7.2905769695018913E-2</v>
      </c>
    </row>
    <row r="6767" spans="1:4" ht="16.5" hidden="1" x14ac:dyDescent="0.3">
      <c r="A6767" s="10" t="str">
        <f>基本属性!$B$18&amp;"|"&amp;基本属性!$C$18</f>
        <v>155|8</v>
      </c>
      <c r="B6767" s="10" t="str">
        <f>参数调整!$J$37</f>
        <v>新增怪物种类2掉落</v>
      </c>
      <c r="C6767" s="8" t="str">
        <f>材料产出!$AL$2</f>
        <v>上品注灵石</v>
      </c>
      <c r="D6767" s="224">
        <f>参数调整!$K$37*怪物掉落配置方案!$D4715</f>
        <v>9.923285319599795E-2</v>
      </c>
    </row>
    <row r="6768" spans="1:4" ht="16.5" hidden="1" x14ac:dyDescent="0.3">
      <c r="A6768" s="10" t="str">
        <f>基本属性!$B$19&amp;"|"&amp;基本属性!$C$19</f>
        <v>190|9</v>
      </c>
      <c r="B6768" s="10" t="str">
        <f>参数调整!$J$37</f>
        <v>新增怪物种类2掉落</v>
      </c>
      <c r="C6768" s="8" t="str">
        <f>材料产出!$AL$2</f>
        <v>上品注灵石</v>
      </c>
      <c r="D6768" s="224">
        <f>参数调整!$K$37*怪物掉落配置方案!$D4716</f>
        <v>0.11089777634720099</v>
      </c>
    </row>
    <row r="6769" spans="1:4" ht="16.5" hidden="1" x14ac:dyDescent="0.3">
      <c r="A6769" s="10" t="str">
        <f>基本属性!$B$20&amp;"|"&amp;基本属性!$C$20</f>
        <v>200|10</v>
      </c>
      <c r="B6769" s="10" t="str">
        <f>参数调整!$J$37</f>
        <v>新增怪物种类2掉落</v>
      </c>
      <c r="C6769" s="8" t="str">
        <f>材料产出!$AL$2</f>
        <v>上品注灵石</v>
      </c>
      <c r="D6769" s="224">
        <f>参数调整!$K$37*怪物掉落配置方案!$D4717</f>
        <v>0.12961025723558917</v>
      </c>
    </row>
    <row r="6770" spans="1:4" ht="16.5" hidden="1" x14ac:dyDescent="0.3">
      <c r="A6770" s="10" t="str">
        <f>基本属性!$B$21&amp;"|"&amp;基本属性!$C$21</f>
        <v>200|11</v>
      </c>
      <c r="B6770" s="10" t="str">
        <f>参数调整!$J$37</f>
        <v>新增怪物种类2掉落</v>
      </c>
      <c r="C6770" s="8" t="str">
        <f>材料产出!$AL$2</f>
        <v>上品注灵石</v>
      </c>
      <c r="D6770" s="224">
        <f>参数调整!$K$37*怪物掉落配置方案!$D4718</f>
        <v>0.1497808535178777</v>
      </c>
    </row>
    <row r="6771" spans="1:4" ht="16.5" hidden="1" x14ac:dyDescent="0.3">
      <c r="A6771" s="10" t="str">
        <f>基本属性!$B$22&amp;"|"&amp;基本属性!$C$22</f>
        <v>210|12</v>
      </c>
      <c r="B6771" s="10" t="str">
        <f>参数调整!$J$37</f>
        <v>新增怪物种类2掉落</v>
      </c>
      <c r="C6771" s="8" t="str">
        <f>材料产出!$AL$2</f>
        <v>上品注灵石</v>
      </c>
      <c r="D6771" s="224">
        <f>参数调整!$K$37*怪物掉落配置方案!$D4719</f>
        <v>0.17140956519406661</v>
      </c>
    </row>
    <row r="6772" spans="1:4" ht="16.5" hidden="1" x14ac:dyDescent="0.3">
      <c r="A6772" s="10" t="str">
        <f>基本属性!$B$23&amp;"|"&amp;基本属性!$C$23</f>
        <v>210|13</v>
      </c>
      <c r="B6772" s="10" t="str">
        <f>参数调整!$J$37</f>
        <v>新增怪物种类2掉落</v>
      </c>
      <c r="C6772" s="8" t="str">
        <f>材料产出!$AL$2</f>
        <v>上品注灵石</v>
      </c>
      <c r="D6772" s="224">
        <f>参数调整!$K$37*怪物掉落配置方案!$D4720</f>
        <v>0.19449639226415599</v>
      </c>
    </row>
    <row r="6773" spans="1:4" ht="16.5" hidden="1" x14ac:dyDescent="0.3">
      <c r="A6773" s="10" t="str">
        <f>基本属性!$B$24&amp;"|"&amp;基本属性!$C$24</f>
        <v>220|14</v>
      </c>
      <c r="B6773" s="10" t="str">
        <f>参数调整!$J$37</f>
        <v>新增怪物种类2掉落</v>
      </c>
      <c r="C6773" s="8" t="str">
        <f>材料产出!$AL$2</f>
        <v>上品注灵石</v>
      </c>
      <c r="D6773" s="224">
        <f>参数调整!$K$37*怪物掉落配置方案!$D4721</f>
        <v>0.21904133472814569</v>
      </c>
    </row>
    <row r="6774" spans="1:4" ht="16.5" hidden="1" x14ac:dyDescent="0.3">
      <c r="A6774" s="10" t="str">
        <f>基本属性!$B$25&amp;"|"&amp;基本属性!$C$25</f>
        <v>220|15</v>
      </c>
      <c r="B6774" s="10" t="str">
        <f>参数调整!$J$37</f>
        <v>新增怪物种类2掉落</v>
      </c>
      <c r="C6774" s="8" t="str">
        <f>材料产出!$AL$2</f>
        <v>上品注灵石</v>
      </c>
      <c r="D6774" s="224">
        <f>参数调整!$K$37*怪物掉落配置方案!$D4722</f>
        <v>0.24504439258603575</v>
      </c>
    </row>
    <row r="6775" spans="1:4" ht="16.5" hidden="1" x14ac:dyDescent="0.3">
      <c r="A6775" s="10" t="str">
        <f>基本属性!$B$26&amp;"|"&amp;基本属性!$C$26</f>
        <v>230|16</v>
      </c>
      <c r="B6775" s="10" t="str">
        <f>参数调整!$J$37</f>
        <v>新增怪物种类2掉落</v>
      </c>
      <c r="C6775" s="8" t="str">
        <f>材料产出!$AL$2</f>
        <v>上品注灵石</v>
      </c>
      <c r="D6775" s="224">
        <f>参数调整!$K$37*怪物掉落配置方案!$D4723</f>
        <v>0.27250556583782615</v>
      </c>
    </row>
    <row r="6776" spans="1:4" ht="16.5" hidden="1" x14ac:dyDescent="0.3">
      <c r="A6776" s="10" t="str">
        <f>基本属性!$B$27&amp;"|"&amp;基本属性!$C$27</f>
        <v>230|17</v>
      </c>
      <c r="B6776" s="10" t="str">
        <f>参数调整!$J$37</f>
        <v>新增怪物种类2掉落</v>
      </c>
      <c r="C6776" s="8" t="str">
        <f>材料产出!$AL$2</f>
        <v>上品注灵石</v>
      </c>
      <c r="D6776" s="224">
        <f>参数调整!$K$37*怪物掉落配置方案!$D4724</f>
        <v>0.30142485448351702</v>
      </c>
    </row>
    <row r="6777" spans="1:4" ht="16.5" hidden="1" x14ac:dyDescent="0.3">
      <c r="A6777" s="10" t="str">
        <f>基本属性!$B$28&amp;"|"&amp;基本属性!$C$28</f>
        <v>240|18</v>
      </c>
      <c r="B6777" s="10" t="str">
        <f>参数调整!$J$37</f>
        <v>新增怪物种类2掉落</v>
      </c>
      <c r="C6777" s="8" t="str">
        <f>材料产出!$AL$2</f>
        <v>上品注灵石</v>
      </c>
      <c r="D6777" s="224">
        <f>参数调整!$K$37*怪物掉落配置方案!$D4725</f>
        <v>0.3318022585231083</v>
      </c>
    </row>
    <row r="6778" spans="1:4" ht="16.5" hidden="1" x14ac:dyDescent="0.3">
      <c r="A6778" s="10" t="str">
        <f>基本属性!$B$29&amp;"|"&amp;基本属性!$C$29</f>
        <v>240|19</v>
      </c>
      <c r="B6778" s="10" t="str">
        <f>参数调整!$J$37</f>
        <v>新增怪物种类2掉落</v>
      </c>
      <c r="C6778" s="8" t="str">
        <f>材料产出!$AL$2</f>
        <v>上品注灵石</v>
      </c>
      <c r="D6778" s="224">
        <f>参数调整!$K$37*怪物掉落配置方案!$D4726</f>
        <v>0.36363777795659985</v>
      </c>
    </row>
    <row r="6779" spans="1:4" ht="16.5" hidden="1" x14ac:dyDescent="0.3">
      <c r="A6779" s="10" t="str">
        <f>基本属性!$B$30&amp;"|"&amp;基本属性!$C$30</f>
        <v>250|20</v>
      </c>
      <c r="B6779" s="10" t="str">
        <f>参数调整!$J$37</f>
        <v>新增怪物种类2掉落</v>
      </c>
      <c r="C6779" s="8" t="str">
        <f>材料产出!$AL$2</f>
        <v>上品注灵石</v>
      </c>
      <c r="D6779" s="224">
        <f>参数调整!$K$37*怪物掉落配置方案!$D4727</f>
        <v>0.3969314127839918</v>
      </c>
    </row>
    <row r="6780" spans="1:4" ht="16.5" hidden="1" x14ac:dyDescent="0.3">
      <c r="A6780" s="10" t="str">
        <f>基本属性!$B$4&amp;"|"&amp;基本属性!$C$4</f>
        <v>35|0</v>
      </c>
      <c r="B6780" s="10" t="str">
        <f>参数调整!$J$37</f>
        <v>新增怪物种类2掉落</v>
      </c>
      <c r="C6780" s="8" t="str">
        <f>材料产出!$AT$2</f>
        <v>魔龙之心</v>
      </c>
      <c r="D6780" s="224">
        <f>参数调整!$K$37*怪物掉落配置方案!$D4728</f>
        <v>6.4933577667119641E-6</v>
      </c>
    </row>
    <row r="6781" spans="1:4" ht="16.5" hidden="1" x14ac:dyDescent="0.3">
      <c r="A6781" s="10" t="str">
        <f>基本属性!$B$5&amp;"|"&amp;基本属性!$C$5</f>
        <v>40|0</v>
      </c>
      <c r="B6781" s="10" t="str">
        <f>参数调整!$J$37</f>
        <v>新增怪物种类2掉落</v>
      </c>
      <c r="C6781" s="8" t="str">
        <f>材料产出!$AT$2</f>
        <v>魔龙之心</v>
      </c>
      <c r="D6781" s="224">
        <f>参数调整!$K$37*怪物掉落配置方案!$D4729</f>
        <v>8.2181559234948288E-6</v>
      </c>
    </row>
    <row r="6782" spans="1:4" ht="16.5" hidden="1" x14ac:dyDescent="0.3">
      <c r="A6782" s="10" t="str">
        <f>基本属性!$B$6&amp;"|"&amp;基本属性!$C$6</f>
        <v>50|0</v>
      </c>
      <c r="B6782" s="10" t="str">
        <f>参数调整!$J$37</f>
        <v>新增怪物种类2掉落</v>
      </c>
      <c r="C6782" s="8" t="str">
        <f>材料产出!$AT$2</f>
        <v>魔龙之心</v>
      </c>
      <c r="D6782" s="224">
        <f>参数调整!$K$37*怪物掉落配置方案!$D4730</f>
        <v>1.0145871510487443E-5</v>
      </c>
    </row>
    <row r="6783" spans="1:4" ht="16.5" hidden="1" x14ac:dyDescent="0.3">
      <c r="A6783" s="10" t="str">
        <f>基本属性!$B$7&amp;"|"&amp;基本属性!$C$7</f>
        <v>60|0</v>
      </c>
      <c r="B6783" s="10" t="str">
        <f>参数调整!$J$37</f>
        <v>新增怪物种类2掉落</v>
      </c>
      <c r="C6783" s="8" t="str">
        <f>材料产出!$AT$2</f>
        <v>魔龙之心</v>
      </c>
      <c r="D6783" s="224">
        <f>参数调整!$K$37*怪物掉落配置方案!$D4731</f>
        <v>1.2276504527689809E-5</v>
      </c>
    </row>
    <row r="6784" spans="1:4" ht="16.5" hidden="1" x14ac:dyDescent="0.3">
      <c r="A6784" s="10" t="str">
        <f>基本属性!$B$8&amp;"|"&amp;基本属性!$C$8</f>
        <v>65|0</v>
      </c>
      <c r="B6784" s="10" t="str">
        <f>参数调整!$J$37</f>
        <v>新增怪物种类2掉落</v>
      </c>
      <c r="C6784" s="8" t="str">
        <f>材料产出!$AT$2</f>
        <v>魔龙之心</v>
      </c>
      <c r="D6784" s="224">
        <f>参数调整!$K$37*怪物掉落配置方案!$D4732</f>
        <v>1.4610054975101917E-5</v>
      </c>
    </row>
    <row r="6785" spans="1:4" ht="16.5" hidden="1" x14ac:dyDescent="0.3">
      <c r="A6785" s="10" t="str">
        <f>基本属性!$B$9&amp;"|"&amp;基本属性!$C$9</f>
        <v>70|0</v>
      </c>
      <c r="B6785" s="10" t="str">
        <f>参数调整!$J$37</f>
        <v>新增怪物种类2掉落</v>
      </c>
      <c r="C6785" s="8" t="str">
        <f>材料产出!$AT$2</f>
        <v>魔龙之心</v>
      </c>
      <c r="D6785" s="224">
        <f>参数调整!$K$37*怪物掉落配置方案!$D4733</f>
        <v>1.7146522852723778E-5</v>
      </c>
    </row>
    <row r="6786" spans="1:4" ht="16.5" hidden="1" x14ac:dyDescent="0.3">
      <c r="A6786" s="10" t="str">
        <f>基本属性!$B$10&amp;"|"&amp;基本属性!$C$10</f>
        <v>75|0</v>
      </c>
      <c r="B6786" s="10" t="str">
        <f>参数调整!$J$37</f>
        <v>新增怪物种类2掉落</v>
      </c>
      <c r="C6786" s="8" t="str">
        <f>材料产出!$AT$2</f>
        <v>魔龙之心</v>
      </c>
      <c r="D6786" s="224">
        <f>参数调整!$K$37*怪物掉落配置方案!$D4734</f>
        <v>1.9885908160555384E-5</v>
      </c>
    </row>
    <row r="6787" spans="1:4" ht="16.5" hidden="1" x14ac:dyDescent="0.3">
      <c r="A6787" s="10" t="str">
        <f>基本属性!$B$11&amp;"|"&amp;基本属性!$C$11</f>
        <v>80|1</v>
      </c>
      <c r="B6787" s="10" t="str">
        <f>参数调整!$J$37</f>
        <v>新增怪物种类2掉落</v>
      </c>
      <c r="C6787" s="8" t="str">
        <f>材料产出!$AT$2</f>
        <v>魔龙之心</v>
      </c>
      <c r="D6787" s="224">
        <f>参数调整!$K$37*怪物掉落配置方案!$D4735</f>
        <v>2.2828210898596742E-5</v>
      </c>
    </row>
    <row r="6788" spans="1:4" ht="16.5" hidden="1" x14ac:dyDescent="0.3">
      <c r="A6788" s="10" t="str">
        <f>基本属性!$B$12&amp;"|"&amp;基本属性!$C$12</f>
        <v>90|2</v>
      </c>
      <c r="B6788" s="10" t="str">
        <f>参数调整!$J$37</f>
        <v>新增怪物种类2掉落</v>
      </c>
      <c r="C6788" s="8" t="str">
        <f>材料产出!$AT$2</f>
        <v>魔龙之心</v>
      </c>
      <c r="D6788" s="224">
        <f>参数调整!$K$37*怪物掉落配置方案!$D4736</f>
        <v>2.597343106684786E-5</v>
      </c>
    </row>
    <row r="6789" spans="1:4" ht="16.5" hidden="1" x14ac:dyDescent="0.3">
      <c r="A6789" s="10" t="str">
        <f>基本属性!$B$13&amp;"|"&amp;基本属性!$C$13</f>
        <v>100|3</v>
      </c>
      <c r="B6789" s="10" t="str">
        <f>参数调整!$J$37</f>
        <v>新增怪物种类2掉落</v>
      </c>
      <c r="C6789" s="8" t="str">
        <f>材料产出!$AT$2</f>
        <v>魔龙之心</v>
      </c>
      <c r="D6789" s="224">
        <f>参数调整!$K$37*怪物掉落配置方案!$D4737</f>
        <v>3.2872623693979322E-5</v>
      </c>
    </row>
    <row r="6790" spans="1:4" ht="16.5" hidden="1" x14ac:dyDescent="0.3">
      <c r="A6790" s="10" t="str">
        <f>基本属性!$B$14&amp;"|"&amp;基本属性!$C$14</f>
        <v>105|4</v>
      </c>
      <c r="B6790" s="10" t="str">
        <f>参数调整!$J$37</f>
        <v>新增怪物种类2掉落</v>
      </c>
      <c r="C6790" s="8" t="str">
        <f>材料产出!$AT$2</f>
        <v>魔龙之心</v>
      </c>
      <c r="D6790" s="224">
        <f>参数调整!$K$37*怪物掉落配置方案!$D4738</f>
        <v>4.0583486041949771E-5</v>
      </c>
    </row>
    <row r="6791" spans="1:4" ht="16.5" hidden="1" x14ac:dyDescent="0.3">
      <c r="A6791" s="10" t="str">
        <f>基本属性!$B$15&amp;"|"&amp;基本属性!$C$15</f>
        <v>110|5</v>
      </c>
      <c r="B6791" s="10" t="str">
        <f>参数调整!$J$37</f>
        <v>新增怪物种类2掉落</v>
      </c>
      <c r="C6791" s="8" t="str">
        <f>材料产出!$AT$2</f>
        <v>魔龙之心</v>
      </c>
      <c r="D6791" s="224">
        <f>参数调整!$K$37*怪物掉落配置方案!$D4739</f>
        <v>4.9106018110759237E-5</v>
      </c>
    </row>
    <row r="6792" spans="1:4" ht="16.5" hidden="1" x14ac:dyDescent="0.3">
      <c r="A6792" s="10" t="str">
        <f>基本属性!$B$16&amp;"|"&amp;基本属性!$C$16</f>
        <v>120|6</v>
      </c>
      <c r="B6792" s="10" t="str">
        <f>参数调整!$J$37</f>
        <v>新增怪物种类2掉落</v>
      </c>
      <c r="C6792" s="8" t="str">
        <f>材料产出!$AT$2</f>
        <v>魔龙之心</v>
      </c>
      <c r="D6792" s="224">
        <f>参数调整!$K$37*怪物掉落配置方案!$D4740</f>
        <v>6.3411696940546527E-5</v>
      </c>
    </row>
    <row r="6793" spans="1:4" ht="16.5" hidden="1" x14ac:dyDescent="0.3">
      <c r="A6793" s="10" t="str">
        <f>基本属性!$B$17&amp;"|"&amp;基本属性!$C$17</f>
        <v>135|7</v>
      </c>
      <c r="B6793" s="10" t="str">
        <f>参数调整!$J$37</f>
        <v>新增怪物种类2掉落</v>
      </c>
      <c r="C6793" s="8" t="str">
        <f>材料产出!$AT$2</f>
        <v>魔龙之心</v>
      </c>
      <c r="D6793" s="224">
        <f>参数调整!$K$37*怪物掉落配置方案!$D4741</f>
        <v>9.1312843594386982E-5</v>
      </c>
    </row>
    <row r="6794" spans="1:4" ht="16.5" hidden="1" x14ac:dyDescent="0.3">
      <c r="A6794" s="10" t="str">
        <f>基本属性!$B$18&amp;"|"&amp;基本属性!$C$18</f>
        <v>155|8</v>
      </c>
      <c r="B6794" s="10" t="str">
        <f>参数调整!$J$37</f>
        <v>新增怪物种类2掉落</v>
      </c>
      <c r="C6794" s="8" t="str">
        <f>材料产出!$AT$2</f>
        <v>魔龙之心</v>
      </c>
      <c r="D6794" s="224">
        <f>参数调整!$K$37*怪物掉落配置方案!$D4742</f>
        <v>1.242869260034712E-4</v>
      </c>
    </row>
    <row r="6795" spans="1:4" ht="16.5" hidden="1" x14ac:dyDescent="0.3">
      <c r="A6795" s="10" t="str">
        <f>基本属性!$B$19&amp;"|"&amp;基本属性!$C$19</f>
        <v>190|9</v>
      </c>
      <c r="B6795" s="10" t="str">
        <f>参数调整!$J$37</f>
        <v>新增怪物种类2掉落</v>
      </c>
      <c r="C6795" s="8" t="str">
        <f>材料产出!$AT$2</f>
        <v>魔龙之心</v>
      </c>
      <c r="D6795" s="224">
        <f>参数调整!$K$37*怪物掉落配置方案!$D4743</f>
        <v>1.3889698097857309E-4</v>
      </c>
    </row>
    <row r="6796" spans="1:4" ht="16.5" hidden="1" x14ac:dyDescent="0.3">
      <c r="A6796" s="10" t="str">
        <f>基本属性!$B$20&amp;"|"&amp;基本属性!$C$20</f>
        <v>200|10</v>
      </c>
      <c r="B6796" s="10" t="str">
        <f>参数调整!$J$37</f>
        <v>新增怪物种类2掉落</v>
      </c>
      <c r="C6796" s="8" t="str">
        <f>材料产出!$AT$2</f>
        <v>魔龙之心</v>
      </c>
      <c r="D6796" s="224">
        <f>参数调整!$K$37*怪物掉落配置方案!$D4744</f>
        <v>1.6233394416779908E-4</v>
      </c>
    </row>
    <row r="6797" spans="1:4" ht="16.5" hidden="1" x14ac:dyDescent="0.3">
      <c r="A6797" s="10" t="str">
        <f>基本属性!$B$21&amp;"|"&amp;基本属性!$C$21</f>
        <v>200|11</v>
      </c>
      <c r="B6797" s="10" t="str">
        <f>参数调整!$J$37</f>
        <v>新增怪物种类2掉落</v>
      </c>
      <c r="C6797" s="8" t="str">
        <f>材料产出!$AT$2</f>
        <v>魔龙之心</v>
      </c>
      <c r="D6797" s="224">
        <f>参数调整!$K$37*怪物掉落配置方案!$D4745</f>
        <v>1.8759716422891279E-4</v>
      </c>
    </row>
    <row r="6798" spans="1:4" ht="16.5" hidden="1" x14ac:dyDescent="0.3">
      <c r="A6798" s="10" t="str">
        <f>基本属性!$B$22&amp;"|"&amp;基本属性!$C$22</f>
        <v>210|12</v>
      </c>
      <c r="B6798" s="10" t="str">
        <f>参数调整!$J$37</f>
        <v>新增怪物种类2掉落</v>
      </c>
      <c r="C6798" s="8" t="str">
        <f>材料产出!$AT$2</f>
        <v>魔龙之心</v>
      </c>
      <c r="D6798" s="224">
        <f>参数调整!$K$37*怪物掉落配置方案!$D4746</f>
        <v>2.1468664116191426E-4</v>
      </c>
    </row>
    <row r="6799" spans="1:4" ht="16.5" hidden="1" x14ac:dyDescent="0.3">
      <c r="A6799" s="10" t="str">
        <f>基本属性!$B$23&amp;"|"&amp;基本属性!$C$23</f>
        <v>210|13</v>
      </c>
      <c r="B6799" s="10" t="str">
        <f>参数调整!$J$37</f>
        <v>新增怪物种类2掉落</v>
      </c>
      <c r="C6799" s="8" t="str">
        <f>材料产出!$AT$2</f>
        <v>魔龙之心</v>
      </c>
      <c r="D6799" s="224">
        <f>参数调整!$K$37*怪物掉落配置方案!$D4747</f>
        <v>2.4360237496680355E-4</v>
      </c>
    </row>
    <row r="6800" spans="1:4" ht="16.5" hidden="1" x14ac:dyDescent="0.3">
      <c r="A6800" s="10" t="str">
        <f>基本属性!$B$24&amp;"|"&amp;基本属性!$C$24</f>
        <v>220|14</v>
      </c>
      <c r="B6800" s="10" t="str">
        <f>参数调整!$J$37</f>
        <v>新增怪物种类2掉落</v>
      </c>
      <c r="C6800" s="8" t="str">
        <f>材料产出!$AT$2</f>
        <v>魔龙之心</v>
      </c>
      <c r="D6800" s="224">
        <f>参数调整!$K$37*怪物掉落配置方案!$D4748</f>
        <v>2.7434436564358045E-4</v>
      </c>
    </row>
    <row r="6801" spans="1:4" ht="16.5" hidden="1" x14ac:dyDescent="0.3">
      <c r="A6801" s="10" t="str">
        <f>基本属性!$B$25&amp;"|"&amp;基本属性!$C$25</f>
        <v>220|15</v>
      </c>
      <c r="B6801" s="10" t="str">
        <f>参数调整!$J$37</f>
        <v>新增怪物种类2掉落</v>
      </c>
      <c r="C6801" s="8" t="str">
        <f>材料产出!$AT$2</f>
        <v>魔龙之心</v>
      </c>
      <c r="D6801" s="224">
        <f>参数调整!$K$37*怪物掉落配置方案!$D4749</f>
        <v>3.0691261319224509E-4</v>
      </c>
    </row>
    <row r="6802" spans="1:4" ht="16.5" hidden="1" x14ac:dyDescent="0.3">
      <c r="A6802" s="10" t="str">
        <f>基本属性!$B$26&amp;"|"&amp;基本属性!$C$26</f>
        <v>230|16</v>
      </c>
      <c r="B6802" s="10" t="str">
        <f>参数调整!$J$37</f>
        <v>新增怪物种类2掉落</v>
      </c>
      <c r="C6802" s="8" t="str">
        <f>材料产出!$AT$2</f>
        <v>魔龙之心</v>
      </c>
      <c r="D6802" s="224">
        <f>参数调整!$K$37*怪物掉落配置方案!$D4750</f>
        <v>3.4130711761279749E-4</v>
      </c>
    </row>
    <row r="6803" spans="1:4" ht="16.5" hidden="1" x14ac:dyDescent="0.3">
      <c r="A6803" s="10" t="str">
        <f>基本属性!$B$27&amp;"|"&amp;基本属性!$C$27</f>
        <v>230|17</v>
      </c>
      <c r="B6803" s="10" t="str">
        <f>参数调整!$J$37</f>
        <v>新增怪物种类2掉落</v>
      </c>
      <c r="C6803" s="8" t="str">
        <f>材料产出!$AT$2</f>
        <v>魔龙之心</v>
      </c>
      <c r="D6803" s="224">
        <f>参数调整!$K$37*怪物掉落配置方案!$D4751</f>
        <v>3.7752787890523766E-4</v>
      </c>
    </row>
    <row r="6804" spans="1:4" ht="16.5" hidden="1" x14ac:dyDescent="0.3">
      <c r="A6804" s="10" t="str">
        <f>基本属性!$B$28&amp;"|"&amp;基本属性!$C$28</f>
        <v>240|18</v>
      </c>
      <c r="B6804" s="10" t="str">
        <f>参数调整!$J$37</f>
        <v>新增怪物种类2掉落</v>
      </c>
      <c r="C6804" s="8" t="str">
        <f>材料产出!$AT$2</f>
        <v>魔龙之心</v>
      </c>
      <c r="D6804" s="224">
        <f>参数调整!$K$37*怪物掉落配置方案!$D4752</f>
        <v>4.155748970695657E-4</v>
      </c>
    </row>
    <row r="6805" spans="1:4" ht="16.5" hidden="1" x14ac:dyDescent="0.3">
      <c r="A6805" s="10" t="str">
        <f>基本属性!$B$29&amp;"|"&amp;基本属性!$C$29</f>
        <v>240|19</v>
      </c>
      <c r="B6805" s="10" t="str">
        <f>参数调整!$J$37</f>
        <v>新增怪物种类2掉落</v>
      </c>
      <c r="C6805" s="8" t="str">
        <f>材料产出!$AT$2</f>
        <v>魔龙之心</v>
      </c>
      <c r="D6805" s="224">
        <f>参数调整!$K$37*怪物掉落配置方案!$D4753</f>
        <v>4.554481721057814E-4</v>
      </c>
    </row>
    <row r="6806" spans="1:4" ht="16.5" hidden="1" x14ac:dyDescent="0.3">
      <c r="A6806" s="10" t="str">
        <f>基本属性!$B$30&amp;"|"&amp;基本属性!$C$30</f>
        <v>250|20</v>
      </c>
      <c r="B6806" s="10" t="str">
        <f>参数调整!$J$37</f>
        <v>新增怪物种类2掉落</v>
      </c>
      <c r="C6806" s="8" t="str">
        <f>材料产出!$AT$2</f>
        <v>魔龙之心</v>
      </c>
      <c r="D6806" s="224">
        <f>参数调整!$K$37*怪物掉落配置方案!$D4754</f>
        <v>4.971477040138846E-4</v>
      </c>
    </row>
    <row r="6807" spans="1:4" ht="16.5" hidden="1" x14ac:dyDescent="0.3">
      <c r="A6807" s="10" t="str">
        <f>基本属性!$B$4&amp;"|"&amp;基本属性!$C$4</f>
        <v>35|0</v>
      </c>
      <c r="B6807" s="10" t="str">
        <f>参数调整!$J$37</f>
        <v>新增怪物种类2掉落</v>
      </c>
      <c r="C6807" s="8" t="str">
        <f>材料产出!$X$2</f>
        <v>龍の心</v>
      </c>
      <c r="D6807" s="224">
        <f>参数调整!$K$37*怪物掉落配置方案!$D4755</f>
        <v>1.1814868792596499E-3</v>
      </c>
    </row>
    <row r="6808" spans="1:4" ht="16.5" hidden="1" x14ac:dyDescent="0.3">
      <c r="A6808" s="10" t="str">
        <f>基本属性!$B$5&amp;"|"&amp;基本属性!$C$5</f>
        <v>40|0</v>
      </c>
      <c r="B6808" s="10" t="str">
        <f>参数调整!$J$37</f>
        <v>新增怪物种类2掉落</v>
      </c>
      <c r="C6808" s="8" t="str">
        <f>材料产出!$X$2</f>
        <v>龍の心</v>
      </c>
      <c r="D6808" s="224">
        <f>参数调整!$K$37*怪物掉落配置方案!$D4756</f>
        <v>1.4953193315629945E-3</v>
      </c>
    </row>
    <row r="6809" spans="1:4" ht="16.5" hidden="1" x14ac:dyDescent="0.3">
      <c r="A6809" s="10" t="str">
        <f>基本属性!$B$6&amp;"|"&amp;基本属性!$C$6</f>
        <v>50|0</v>
      </c>
      <c r="B6809" s="10" t="str">
        <f>参数调整!$J$37</f>
        <v>新增怪物种类2掉落</v>
      </c>
      <c r="C6809" s="8" t="str">
        <f>材料产出!$X$2</f>
        <v>龍の心</v>
      </c>
      <c r="D6809" s="224">
        <f>参数调整!$K$37*怪物掉落配置方案!$D4757</f>
        <v>1.8460732488432029E-3</v>
      </c>
    </row>
    <row r="6810" spans="1:4" ht="16.5" hidden="1" x14ac:dyDescent="0.3">
      <c r="A6810" s="10" t="str">
        <f>基本属性!$B$7&amp;"|"&amp;基本属性!$C$7</f>
        <v>60|0</v>
      </c>
      <c r="B6810" s="10" t="str">
        <f>参数调整!$J$37</f>
        <v>新增怪物种类2掉落</v>
      </c>
      <c r="C6810" s="8" t="str">
        <f>材料产出!$X$2</f>
        <v>龍の心</v>
      </c>
      <c r="D6810" s="224">
        <f>参数调整!$K$37*怪物掉落配置方案!$D4758</f>
        <v>2.233748631100276E-3</v>
      </c>
    </row>
    <row r="6811" spans="1:4" ht="16.5" hidden="1" x14ac:dyDescent="0.3">
      <c r="A6811" s="10" t="str">
        <f>基本属性!$B$8&amp;"|"&amp;基本属性!$C$8</f>
        <v>65|0</v>
      </c>
      <c r="B6811" s="10" t="str">
        <f>参数调整!$J$37</f>
        <v>新增怪物种类2掉落</v>
      </c>
      <c r="C6811" s="8" t="str">
        <f>材料产出!$X$2</f>
        <v>龍の心</v>
      </c>
      <c r="D6811" s="224">
        <f>参数调整!$K$37*怪物掉落配置方案!$D4759</f>
        <v>2.6583454783342124E-3</v>
      </c>
    </row>
    <row r="6812" spans="1:4" ht="16.5" hidden="1" x14ac:dyDescent="0.3">
      <c r="A6812" s="10" t="str">
        <f>基本属性!$B$9&amp;"|"&amp;基本属性!$C$9</f>
        <v>70|0</v>
      </c>
      <c r="B6812" s="10" t="str">
        <f>参数调整!$J$37</f>
        <v>新增怪物种类2掉落</v>
      </c>
      <c r="C6812" s="8" t="str">
        <f>材料产出!$X$2</f>
        <v>龍の心</v>
      </c>
      <c r="D6812" s="224">
        <f>参数调整!$K$37*怪物掉落配置方案!$D4760</f>
        <v>3.1198637905450132E-3</v>
      </c>
    </row>
    <row r="6813" spans="1:4" ht="16.5" hidden="1" x14ac:dyDescent="0.3">
      <c r="A6813" s="10" t="str">
        <f>基本属性!$B$10&amp;"|"&amp;基本属性!$C$10</f>
        <v>75|0</v>
      </c>
      <c r="B6813" s="10" t="str">
        <f>参数调整!$J$37</f>
        <v>新增怪物种类2掉落</v>
      </c>
      <c r="C6813" s="8" t="str">
        <f>材料产出!$X$2</f>
        <v>龍の心</v>
      </c>
      <c r="D6813" s="224">
        <f>参数调整!$K$37*怪物掉落配置方案!$D4761</f>
        <v>3.6183035677326775E-3</v>
      </c>
    </row>
    <row r="6814" spans="1:4" ht="16.5" hidden="1" x14ac:dyDescent="0.3">
      <c r="A6814" s="10" t="str">
        <f>基本属性!$B$11&amp;"|"&amp;基本属性!$C$11</f>
        <v>80|1</v>
      </c>
      <c r="B6814" s="10" t="str">
        <f>参数调整!$J$37</f>
        <v>新增怪物种类2掉落</v>
      </c>
      <c r="C6814" s="8" t="str">
        <f>材料产出!$X$2</f>
        <v>龍の心</v>
      </c>
      <c r="D6814" s="224">
        <f>参数调整!$K$37*怪物掉落配置方案!$D4762</f>
        <v>4.1536648098972071E-3</v>
      </c>
    </row>
    <row r="6815" spans="1:4" ht="16.5" hidden="1" x14ac:dyDescent="0.3">
      <c r="A6815" s="10" t="str">
        <f>基本属性!$B$12&amp;"|"&amp;基本属性!$C$12</f>
        <v>90|2</v>
      </c>
      <c r="B6815" s="10" t="str">
        <f>参数调整!$J$37</f>
        <v>新增怪物种类2掉落</v>
      </c>
      <c r="C6815" s="8" t="str">
        <f>材料产出!$X$2</f>
        <v>龍の心</v>
      </c>
      <c r="D6815" s="224">
        <f>参数调整!$K$37*怪物掉落配置方案!$D4763</f>
        <v>4.7259475170386006E-3</v>
      </c>
    </row>
    <row r="6816" spans="1:4" ht="16.5" hidden="1" x14ac:dyDescent="0.3">
      <c r="A6816" s="10" t="str">
        <f>基本属性!$B$13&amp;"|"&amp;基本属性!$C$13</f>
        <v>100|3</v>
      </c>
      <c r="B6816" s="10" t="str">
        <f>参数调整!$J$37</f>
        <v>新增怪物种类2掉落</v>
      </c>
      <c r="C6816" s="8" t="str">
        <f>材料产出!$X$2</f>
        <v>龍の心</v>
      </c>
      <c r="D6816" s="224">
        <f>参数调整!$K$37*怪物掉落配置方案!$D4764</f>
        <v>5.9812773262519787E-3</v>
      </c>
    </row>
    <row r="6817" spans="1:4" ht="16.5" hidden="1" x14ac:dyDescent="0.3">
      <c r="A6817" s="10" t="str">
        <f>基本属性!$B$14&amp;"|"&amp;基本属性!$C$14</f>
        <v>105|4</v>
      </c>
      <c r="B6817" s="10" t="str">
        <f>参数调整!$J$37</f>
        <v>新增怪物种类2掉落</v>
      </c>
      <c r="C6817" s="8" t="str">
        <f>材料产出!$X$2</f>
        <v>龍の心</v>
      </c>
      <c r="D6817" s="224">
        <f>参数调整!$K$37*怪物掉落配置方案!$D4765</f>
        <v>7.3842929953728117E-3</v>
      </c>
    </row>
    <row r="6818" spans="1:4" ht="16.5" hidden="1" x14ac:dyDescent="0.3">
      <c r="A6818" s="10" t="str">
        <f>基本属性!$B$15&amp;"|"&amp;基本属性!$C$15</f>
        <v>110|5</v>
      </c>
      <c r="B6818" s="10" t="str">
        <f>参数调整!$J$37</f>
        <v>新增怪物种类2掉落</v>
      </c>
      <c r="C6818" s="8" t="str">
        <f>材料产出!$X$2</f>
        <v>龍の心</v>
      </c>
      <c r="D6818" s="224">
        <f>参数调整!$K$37*怪物掉落配置方案!$D4766</f>
        <v>8.9349945244011041E-3</v>
      </c>
    </row>
    <row r="6819" spans="1:4" ht="16.5" hidden="1" x14ac:dyDescent="0.3">
      <c r="A6819" s="10" t="str">
        <f>基本属性!$B$16&amp;"|"&amp;基本属性!$C$16</f>
        <v>120|6</v>
      </c>
      <c r="B6819" s="10" t="str">
        <f>参数调整!$J$37</f>
        <v>新增怪物种类2掉落</v>
      </c>
      <c r="C6819" s="8" t="str">
        <f>材料产出!$X$2</f>
        <v>龍の心</v>
      </c>
      <c r="D6819" s="224">
        <f>参数调整!$K$37*怪物掉落配置方案!$D4767</f>
        <v>1.1537957805270019E-2</v>
      </c>
    </row>
    <row r="6820" spans="1:4" ht="16.5" hidden="1" x14ac:dyDescent="0.3">
      <c r="A6820" s="10" t="str">
        <f>基本属性!$B$17&amp;"|"&amp;基本属性!$C$17</f>
        <v>135|7</v>
      </c>
      <c r="B6820" s="10" t="str">
        <f>参数调整!$J$37</f>
        <v>新增怪物种类2掉落</v>
      </c>
      <c r="C6820" s="8" t="str">
        <f>材料产出!$X$2</f>
        <v>龍の心</v>
      </c>
      <c r="D6820" s="224">
        <f>参数调整!$K$37*怪物掉落配置方案!$D4768</f>
        <v>1.6614659239588828E-2</v>
      </c>
    </row>
    <row r="6821" spans="1:4" ht="16.5" hidden="1" x14ac:dyDescent="0.3">
      <c r="A6821" s="10" t="str">
        <f>基本属性!$B$18&amp;"|"&amp;基本属性!$C$18</f>
        <v>155|8</v>
      </c>
      <c r="B6821" s="10" t="str">
        <f>参数调整!$J$37</f>
        <v>新增怪物种类2掉落</v>
      </c>
      <c r="C6821" s="8" t="str">
        <f>材料产出!$X$2</f>
        <v>龍の心</v>
      </c>
      <c r="D6821" s="224">
        <f>参数调整!$K$37*怪物掉落配置方案!$D4769</f>
        <v>2.2614397298329241E-2</v>
      </c>
    </row>
    <row r="6822" spans="1:4" ht="16.5" hidden="1" x14ac:dyDescent="0.3">
      <c r="A6822" s="10" t="str">
        <f>基本属性!$B$19&amp;"|"&amp;基本属性!$C$19</f>
        <v>190|9</v>
      </c>
      <c r="B6822" s="10" t="str">
        <f>参数调整!$J$37</f>
        <v>新增怪物种类2掉落</v>
      </c>
      <c r="C6822" s="8" t="str">
        <f>材料产出!$X$2</f>
        <v>龍の心</v>
      </c>
      <c r="D6822" s="224">
        <f>参数调整!$K$37*怪物掉落配置方案!$D4770</f>
        <v>2.5272742776663453E-2</v>
      </c>
    </row>
    <row r="6823" spans="1:4" ht="16.5" hidden="1" x14ac:dyDescent="0.3">
      <c r="A6823" s="10" t="str">
        <f>基本属性!$B$20&amp;"|"&amp;基本属性!$C$20</f>
        <v>200|10</v>
      </c>
      <c r="B6823" s="10" t="str">
        <f>参数调整!$J$37</f>
        <v>新增怪物种类2掉落</v>
      </c>
      <c r="C6823" s="8" t="str">
        <f>材料产出!$X$2</f>
        <v>龍の心</v>
      </c>
      <c r="D6823" s="224">
        <f>参数调整!$K$37*怪物掉落配置方案!$D4771</f>
        <v>2.9537171981491247E-2</v>
      </c>
    </row>
    <row r="6824" spans="1:4" ht="16.5" hidden="1" x14ac:dyDescent="0.3">
      <c r="A6824" s="10" t="str">
        <f>基本属性!$B$21&amp;"|"&amp;基本属性!$C$21</f>
        <v>200|11</v>
      </c>
      <c r="B6824" s="10" t="str">
        <f>参数调整!$J$37</f>
        <v>新增怪物种类2掉落</v>
      </c>
      <c r="C6824" s="8" t="str">
        <f>材料产出!$X$2</f>
        <v>龍の心</v>
      </c>
      <c r="D6824" s="224">
        <f>参数调整!$K$37*怪物掉落配置方案!$D4772</f>
        <v>3.4133894371110814E-2</v>
      </c>
    </row>
    <row r="6825" spans="1:4" ht="16.5" hidden="1" x14ac:dyDescent="0.3">
      <c r="A6825" s="10" t="str">
        <f>基本属性!$B$22&amp;"|"&amp;基本属性!$C$22</f>
        <v>210|12</v>
      </c>
      <c r="B6825" s="10" t="str">
        <f>参数调整!$J$37</f>
        <v>新增怪物种类2掉落</v>
      </c>
      <c r="C6825" s="8" t="str">
        <f>材料产出!$X$2</f>
        <v>龍の心</v>
      </c>
      <c r="D6825" s="224">
        <f>参数调整!$K$37*怪物掉落配置方案!$D4773</f>
        <v>3.9062909945522167E-2</v>
      </c>
    </row>
    <row r="6826" spans="1:4" ht="16.5" hidden="1" x14ac:dyDescent="0.3">
      <c r="A6826" s="10" t="str">
        <f>基本属性!$B$23&amp;"|"&amp;基本属性!$C$23</f>
        <v>210|13</v>
      </c>
      <c r="B6826" s="10" t="str">
        <f>参数调整!$J$37</f>
        <v>新增怪物种类2掉落</v>
      </c>
      <c r="C6826" s="8" t="str">
        <f>材料产出!$X$2</f>
        <v>龍の心</v>
      </c>
      <c r="D6826" s="224">
        <f>参数调整!$K$37*怪物掉落配置方案!$D4774</f>
        <v>4.4324218704725311E-2</v>
      </c>
    </row>
    <row r="6827" spans="1:4" ht="16.5" hidden="1" x14ac:dyDescent="0.3">
      <c r="A6827" s="10" t="str">
        <f>基本属性!$B$24&amp;"|"&amp;基本属性!$C$24</f>
        <v>220|14</v>
      </c>
      <c r="B6827" s="10" t="str">
        <f>参数调整!$J$37</f>
        <v>新增怪物种类2掉落</v>
      </c>
      <c r="C6827" s="8" t="str">
        <f>材料产出!$X$2</f>
        <v>龍の心</v>
      </c>
      <c r="D6827" s="224">
        <f>参数调整!$K$37*怪物掉落配置方案!$D4775</f>
        <v>4.9917820648720211E-2</v>
      </c>
    </row>
    <row r="6828" spans="1:4" ht="16.5" hidden="1" x14ac:dyDescent="0.3">
      <c r="A6828" s="10" t="str">
        <f>基本属性!$B$25&amp;"|"&amp;基本属性!$C$25</f>
        <v>220|15</v>
      </c>
      <c r="B6828" s="10" t="str">
        <f>参数调整!$J$37</f>
        <v>新增怪物种类2掉落</v>
      </c>
      <c r="C6828" s="8" t="str">
        <f>材料产出!$X$2</f>
        <v>龍の心</v>
      </c>
      <c r="D6828" s="224">
        <f>参数调整!$K$37*怪物掉落配置方案!$D4776</f>
        <v>5.5843715777506887E-2</v>
      </c>
    </row>
    <row r="6829" spans="1:4" ht="16.5" hidden="1" x14ac:dyDescent="0.3">
      <c r="A6829" s="10" t="str">
        <f>基本属性!$B$26&amp;"|"&amp;基本属性!$C$26</f>
        <v>230|16</v>
      </c>
      <c r="B6829" s="10" t="str">
        <f>参数调整!$J$37</f>
        <v>新增怪物种类2掉落</v>
      </c>
      <c r="C6829" s="8" t="str">
        <f>材料产出!$X$2</f>
        <v>龍の心</v>
      </c>
      <c r="D6829" s="224">
        <f>参数调整!$K$37*怪物掉落配置方案!$D4777</f>
        <v>6.2101904091085347E-2</v>
      </c>
    </row>
    <row r="6830" spans="1:4" ht="16.5" hidden="1" x14ac:dyDescent="0.3">
      <c r="A6830" s="10" t="str">
        <f>基本属性!$B$27&amp;"|"&amp;基本属性!$C$27</f>
        <v>230|17</v>
      </c>
      <c r="B6830" s="10" t="str">
        <f>参数调整!$J$37</f>
        <v>新增怪物种类2掉落</v>
      </c>
      <c r="C6830" s="8" t="str">
        <f>材料产出!$X$2</f>
        <v>龍の心</v>
      </c>
      <c r="D6830" s="224">
        <f>参数调整!$K$37*怪物掉落配置方案!$D4778</f>
        <v>6.8692385589455576E-2</v>
      </c>
    </row>
    <row r="6831" spans="1:4" ht="16.5" hidden="1" x14ac:dyDescent="0.3">
      <c r="A6831" s="10" t="str">
        <f>基本属性!$B$28&amp;"|"&amp;基本属性!$C$28</f>
        <v>240|18</v>
      </c>
      <c r="B6831" s="10" t="str">
        <f>参数调整!$J$37</f>
        <v>新增怪物种类2掉落</v>
      </c>
      <c r="C6831" s="8" t="str">
        <f>材料产出!$X$2</f>
        <v>龍の心</v>
      </c>
      <c r="D6831" s="224">
        <f>参数调整!$K$37*怪物掉落配置方案!$D4779</f>
        <v>7.561516027261761E-2</v>
      </c>
    </row>
    <row r="6832" spans="1:4" ht="16.5" hidden="1" x14ac:dyDescent="0.3">
      <c r="A6832" s="10" t="str">
        <f>基本属性!$B$29&amp;"|"&amp;基本属性!$C$29</f>
        <v>240|19</v>
      </c>
      <c r="B6832" s="10" t="str">
        <f>参数调整!$J$37</f>
        <v>新增怪物种类2掉落</v>
      </c>
      <c r="C6832" s="8" t="str">
        <f>材料产出!$X$2</f>
        <v>龍の心</v>
      </c>
      <c r="D6832" s="224">
        <f>参数调整!$K$37*怪物掉落配置方案!$D4780</f>
        <v>8.2870228140571392E-2</v>
      </c>
    </row>
    <row r="6833" spans="1:4" ht="16.5" hidden="1" x14ac:dyDescent="0.3">
      <c r="A6833" s="10" t="str">
        <f>基本属性!$B$30&amp;"|"&amp;基本属性!$C$30</f>
        <v>250|20</v>
      </c>
      <c r="B6833" s="10" t="str">
        <f>参数调整!$J$37</f>
        <v>新增怪物种类2掉落</v>
      </c>
      <c r="C6833" s="8" t="str">
        <f>材料产出!$X$2</f>
        <v>龍の心</v>
      </c>
      <c r="D6833" s="224">
        <f>参数调整!$K$37*怪物掉落配置方案!$D4781</f>
        <v>9.0457589193316937E-2</v>
      </c>
    </row>
    <row r="6834" spans="1:4" ht="16.5" hidden="1" x14ac:dyDescent="0.3">
      <c r="A6834" s="10" t="str">
        <f>基本属性!$B$4&amp;"|"&amp;基本属性!$C$4</f>
        <v>35|0</v>
      </c>
      <c r="B6834" s="10" t="str">
        <f>参数调整!$J$37</f>
        <v>新增怪物种类2掉落</v>
      </c>
      <c r="C6834" s="8" t="str">
        <f>材料产出!$V$2</f>
        <v>龍の魄</v>
      </c>
      <c r="D6834" s="224">
        <f>参数调整!$K$37*怪物掉落配置方案!$D4782</f>
        <v>1.1814868792596499E-3</v>
      </c>
    </row>
    <row r="6835" spans="1:4" ht="16.5" hidden="1" x14ac:dyDescent="0.3">
      <c r="A6835" s="10" t="str">
        <f>基本属性!$B$5&amp;"|"&amp;基本属性!$C$5</f>
        <v>40|0</v>
      </c>
      <c r="B6835" s="10" t="str">
        <f>参数调整!$J$37</f>
        <v>新增怪物种类2掉落</v>
      </c>
      <c r="C6835" s="8" t="str">
        <f>材料产出!$V$2</f>
        <v>龍の魄</v>
      </c>
      <c r="D6835" s="224">
        <f>参数调整!$K$37*怪物掉落配置方案!$D4783</f>
        <v>1.4953193315629945E-3</v>
      </c>
    </row>
    <row r="6836" spans="1:4" ht="16.5" hidden="1" x14ac:dyDescent="0.3">
      <c r="A6836" s="10" t="str">
        <f>基本属性!$B$6&amp;"|"&amp;基本属性!$C$6</f>
        <v>50|0</v>
      </c>
      <c r="B6836" s="10" t="str">
        <f>参数调整!$J$37</f>
        <v>新增怪物种类2掉落</v>
      </c>
      <c r="C6836" s="8" t="str">
        <f>材料产出!$V$2</f>
        <v>龍の魄</v>
      </c>
      <c r="D6836" s="224">
        <f>参数调整!$K$37*怪物掉落配置方案!$D4784</f>
        <v>1.8460732488432029E-3</v>
      </c>
    </row>
    <row r="6837" spans="1:4" ht="16.5" hidden="1" x14ac:dyDescent="0.3">
      <c r="A6837" s="10" t="str">
        <f>基本属性!$B$7&amp;"|"&amp;基本属性!$C$7</f>
        <v>60|0</v>
      </c>
      <c r="B6837" s="10" t="str">
        <f>参数调整!$J$37</f>
        <v>新增怪物种类2掉落</v>
      </c>
      <c r="C6837" s="8" t="str">
        <f>材料产出!$V$2</f>
        <v>龍の魄</v>
      </c>
      <c r="D6837" s="224">
        <f>参数调整!$K$37*怪物掉落配置方案!$D4785</f>
        <v>2.233748631100276E-3</v>
      </c>
    </row>
    <row r="6838" spans="1:4" ht="16.5" hidden="1" x14ac:dyDescent="0.3">
      <c r="A6838" s="10" t="str">
        <f>基本属性!$B$8&amp;"|"&amp;基本属性!$C$8</f>
        <v>65|0</v>
      </c>
      <c r="B6838" s="10" t="str">
        <f>参数调整!$J$37</f>
        <v>新增怪物种类2掉落</v>
      </c>
      <c r="C6838" s="8" t="str">
        <f>材料产出!$V$2</f>
        <v>龍の魄</v>
      </c>
      <c r="D6838" s="224">
        <f>参数调整!$K$37*怪物掉落配置方案!$D4786</f>
        <v>2.6583454783342124E-3</v>
      </c>
    </row>
    <row r="6839" spans="1:4" ht="16.5" hidden="1" x14ac:dyDescent="0.3">
      <c r="A6839" s="10" t="str">
        <f>基本属性!$B$9&amp;"|"&amp;基本属性!$C$9</f>
        <v>70|0</v>
      </c>
      <c r="B6839" s="10" t="str">
        <f>参数调整!$J$37</f>
        <v>新增怪物种类2掉落</v>
      </c>
      <c r="C6839" s="8" t="str">
        <f>材料产出!$V$2</f>
        <v>龍の魄</v>
      </c>
      <c r="D6839" s="224">
        <f>参数调整!$K$37*怪物掉落配置方案!$D4787</f>
        <v>3.1198637905450132E-3</v>
      </c>
    </row>
    <row r="6840" spans="1:4" ht="16.5" hidden="1" x14ac:dyDescent="0.3">
      <c r="A6840" s="10" t="str">
        <f>基本属性!$B$10&amp;"|"&amp;基本属性!$C$10</f>
        <v>75|0</v>
      </c>
      <c r="B6840" s="10" t="str">
        <f>参数调整!$J$37</f>
        <v>新增怪物种类2掉落</v>
      </c>
      <c r="C6840" s="8" t="str">
        <f>材料产出!$V$2</f>
        <v>龍の魄</v>
      </c>
      <c r="D6840" s="224">
        <f>参数调整!$K$37*怪物掉落配置方案!$D4788</f>
        <v>3.6183035677326775E-3</v>
      </c>
    </row>
    <row r="6841" spans="1:4" ht="16.5" hidden="1" x14ac:dyDescent="0.3">
      <c r="A6841" s="10" t="str">
        <f>基本属性!$B$11&amp;"|"&amp;基本属性!$C$11</f>
        <v>80|1</v>
      </c>
      <c r="B6841" s="10" t="str">
        <f>参数调整!$J$37</f>
        <v>新增怪物种类2掉落</v>
      </c>
      <c r="C6841" s="8" t="str">
        <f>材料产出!$V$2</f>
        <v>龍の魄</v>
      </c>
      <c r="D6841" s="224">
        <f>参数调整!$K$37*怪物掉落配置方案!$D4789</f>
        <v>4.1536648098972071E-3</v>
      </c>
    </row>
    <row r="6842" spans="1:4" ht="16.5" hidden="1" x14ac:dyDescent="0.3">
      <c r="A6842" s="10" t="str">
        <f>基本属性!$B$12&amp;"|"&amp;基本属性!$C$12</f>
        <v>90|2</v>
      </c>
      <c r="B6842" s="10" t="str">
        <f>参数调整!$J$37</f>
        <v>新增怪物种类2掉落</v>
      </c>
      <c r="C6842" s="8" t="str">
        <f>材料产出!$V$2</f>
        <v>龍の魄</v>
      </c>
      <c r="D6842" s="224">
        <f>参数调整!$K$37*怪物掉落配置方案!$D4790</f>
        <v>4.7259475170386006E-3</v>
      </c>
    </row>
    <row r="6843" spans="1:4" ht="16.5" hidden="1" x14ac:dyDescent="0.3">
      <c r="A6843" s="10" t="str">
        <f>基本属性!$B$13&amp;"|"&amp;基本属性!$C$13</f>
        <v>100|3</v>
      </c>
      <c r="B6843" s="10" t="str">
        <f>参数调整!$J$37</f>
        <v>新增怪物种类2掉落</v>
      </c>
      <c r="C6843" s="8" t="str">
        <f>材料产出!$V$2</f>
        <v>龍の魄</v>
      </c>
      <c r="D6843" s="224">
        <f>参数调整!$K$37*怪物掉落配置方案!$D4791</f>
        <v>5.9812773262519787E-3</v>
      </c>
    </row>
    <row r="6844" spans="1:4" ht="16.5" hidden="1" x14ac:dyDescent="0.3">
      <c r="A6844" s="10" t="str">
        <f>基本属性!$B$14&amp;"|"&amp;基本属性!$C$14</f>
        <v>105|4</v>
      </c>
      <c r="B6844" s="10" t="str">
        <f>参数调整!$J$37</f>
        <v>新增怪物种类2掉落</v>
      </c>
      <c r="C6844" s="8" t="str">
        <f>材料产出!$V$2</f>
        <v>龍の魄</v>
      </c>
      <c r="D6844" s="224">
        <f>参数调整!$K$37*怪物掉落配置方案!$D4792</f>
        <v>7.3842929953728117E-3</v>
      </c>
    </row>
    <row r="6845" spans="1:4" ht="16.5" hidden="1" x14ac:dyDescent="0.3">
      <c r="A6845" s="10" t="str">
        <f>基本属性!$B$15&amp;"|"&amp;基本属性!$C$15</f>
        <v>110|5</v>
      </c>
      <c r="B6845" s="10" t="str">
        <f>参数调整!$J$37</f>
        <v>新增怪物种类2掉落</v>
      </c>
      <c r="C6845" s="8" t="str">
        <f>材料产出!$V$2</f>
        <v>龍の魄</v>
      </c>
      <c r="D6845" s="224">
        <f>参数调整!$K$37*怪物掉落配置方案!$D4793</f>
        <v>8.9349945244011041E-3</v>
      </c>
    </row>
    <row r="6846" spans="1:4" ht="16.5" hidden="1" x14ac:dyDescent="0.3">
      <c r="A6846" s="10" t="str">
        <f>基本属性!$B$16&amp;"|"&amp;基本属性!$C$16</f>
        <v>120|6</v>
      </c>
      <c r="B6846" s="10" t="str">
        <f>参数调整!$J$37</f>
        <v>新增怪物种类2掉落</v>
      </c>
      <c r="C6846" s="8" t="str">
        <f>材料产出!$V$2</f>
        <v>龍の魄</v>
      </c>
      <c r="D6846" s="224">
        <f>参数调整!$K$37*怪物掉落配置方案!$D4794</f>
        <v>1.1537957805270019E-2</v>
      </c>
    </row>
    <row r="6847" spans="1:4" ht="16.5" hidden="1" x14ac:dyDescent="0.3">
      <c r="A6847" s="10" t="str">
        <f>基本属性!$B$17&amp;"|"&amp;基本属性!$C$17</f>
        <v>135|7</v>
      </c>
      <c r="B6847" s="10" t="str">
        <f>参数调整!$J$37</f>
        <v>新增怪物种类2掉落</v>
      </c>
      <c r="C6847" s="8" t="str">
        <f>材料产出!$V$2</f>
        <v>龍の魄</v>
      </c>
      <c r="D6847" s="224">
        <f>参数调整!$K$37*怪物掉落配置方案!$D4795</f>
        <v>1.6614659239588828E-2</v>
      </c>
    </row>
    <row r="6848" spans="1:4" ht="16.5" hidden="1" x14ac:dyDescent="0.3">
      <c r="A6848" s="10" t="str">
        <f>基本属性!$B$18&amp;"|"&amp;基本属性!$C$18</f>
        <v>155|8</v>
      </c>
      <c r="B6848" s="10" t="str">
        <f>参数调整!$J$37</f>
        <v>新增怪物种类2掉落</v>
      </c>
      <c r="C6848" s="8" t="str">
        <f>材料产出!$V$2</f>
        <v>龍の魄</v>
      </c>
      <c r="D6848" s="224">
        <f>参数调整!$K$37*怪物掉落配置方案!$D4796</f>
        <v>2.2614397298329241E-2</v>
      </c>
    </row>
    <row r="6849" spans="1:4" ht="16.5" hidden="1" x14ac:dyDescent="0.3">
      <c r="A6849" s="10" t="str">
        <f>基本属性!$B$19&amp;"|"&amp;基本属性!$C$19</f>
        <v>190|9</v>
      </c>
      <c r="B6849" s="10" t="str">
        <f>参数调整!$J$37</f>
        <v>新增怪物种类2掉落</v>
      </c>
      <c r="C6849" s="8" t="str">
        <f>材料产出!$V$2</f>
        <v>龍の魄</v>
      </c>
      <c r="D6849" s="224">
        <f>参数调整!$K$37*怪物掉落配置方案!$D4797</f>
        <v>2.5272742776663453E-2</v>
      </c>
    </row>
    <row r="6850" spans="1:4" ht="16.5" hidden="1" x14ac:dyDescent="0.3">
      <c r="A6850" s="10" t="str">
        <f>基本属性!$B$20&amp;"|"&amp;基本属性!$C$20</f>
        <v>200|10</v>
      </c>
      <c r="B6850" s="10" t="str">
        <f>参数调整!$J$37</f>
        <v>新增怪物种类2掉落</v>
      </c>
      <c r="C6850" s="8" t="str">
        <f>材料产出!$V$2</f>
        <v>龍の魄</v>
      </c>
      <c r="D6850" s="224">
        <f>参数调整!$K$37*怪物掉落配置方案!$D4798</f>
        <v>2.9537171981491247E-2</v>
      </c>
    </row>
    <row r="6851" spans="1:4" ht="16.5" hidden="1" x14ac:dyDescent="0.3">
      <c r="A6851" s="10" t="str">
        <f>基本属性!$B$21&amp;"|"&amp;基本属性!$C$21</f>
        <v>200|11</v>
      </c>
      <c r="B6851" s="10" t="str">
        <f>参数调整!$J$37</f>
        <v>新增怪物种类2掉落</v>
      </c>
      <c r="C6851" s="8" t="str">
        <f>材料产出!$V$2</f>
        <v>龍の魄</v>
      </c>
      <c r="D6851" s="224">
        <f>参数调整!$K$37*怪物掉落配置方案!$D4799</f>
        <v>3.4133894371110814E-2</v>
      </c>
    </row>
    <row r="6852" spans="1:4" ht="16.5" hidden="1" x14ac:dyDescent="0.3">
      <c r="A6852" s="10" t="str">
        <f>基本属性!$B$22&amp;"|"&amp;基本属性!$C$22</f>
        <v>210|12</v>
      </c>
      <c r="B6852" s="10" t="str">
        <f>参数调整!$J$37</f>
        <v>新增怪物种类2掉落</v>
      </c>
      <c r="C6852" s="8" t="str">
        <f>材料产出!$V$2</f>
        <v>龍の魄</v>
      </c>
      <c r="D6852" s="224">
        <f>参数调整!$K$37*怪物掉落配置方案!$D4800</f>
        <v>3.9062909945522167E-2</v>
      </c>
    </row>
    <row r="6853" spans="1:4" ht="16.5" hidden="1" x14ac:dyDescent="0.3">
      <c r="A6853" s="10" t="str">
        <f>基本属性!$B$23&amp;"|"&amp;基本属性!$C$23</f>
        <v>210|13</v>
      </c>
      <c r="B6853" s="10" t="str">
        <f>参数调整!$J$37</f>
        <v>新增怪物种类2掉落</v>
      </c>
      <c r="C6853" s="8" t="str">
        <f>材料产出!$V$2</f>
        <v>龍の魄</v>
      </c>
      <c r="D6853" s="224">
        <f>参数调整!$K$37*怪物掉落配置方案!$D4801</f>
        <v>4.4324218704725311E-2</v>
      </c>
    </row>
    <row r="6854" spans="1:4" ht="16.5" hidden="1" x14ac:dyDescent="0.3">
      <c r="A6854" s="10" t="str">
        <f>基本属性!$B$24&amp;"|"&amp;基本属性!$C$24</f>
        <v>220|14</v>
      </c>
      <c r="B6854" s="10" t="str">
        <f>参数调整!$J$37</f>
        <v>新增怪物种类2掉落</v>
      </c>
      <c r="C6854" s="8" t="str">
        <f>材料产出!$V$2</f>
        <v>龍の魄</v>
      </c>
      <c r="D6854" s="224">
        <f>参数调整!$K$37*怪物掉落配置方案!$D4802</f>
        <v>4.9917820648720211E-2</v>
      </c>
    </row>
    <row r="6855" spans="1:4" ht="16.5" hidden="1" x14ac:dyDescent="0.3">
      <c r="A6855" s="10" t="str">
        <f>基本属性!$B$25&amp;"|"&amp;基本属性!$C$25</f>
        <v>220|15</v>
      </c>
      <c r="B6855" s="10" t="str">
        <f>参数调整!$J$37</f>
        <v>新增怪物种类2掉落</v>
      </c>
      <c r="C6855" s="8" t="str">
        <f>材料产出!$V$2</f>
        <v>龍の魄</v>
      </c>
      <c r="D6855" s="224">
        <f>参数调整!$K$37*怪物掉落配置方案!$D4803</f>
        <v>5.5843715777506887E-2</v>
      </c>
    </row>
    <row r="6856" spans="1:4" ht="16.5" hidden="1" x14ac:dyDescent="0.3">
      <c r="A6856" s="10" t="str">
        <f>基本属性!$B$26&amp;"|"&amp;基本属性!$C$26</f>
        <v>230|16</v>
      </c>
      <c r="B6856" s="10" t="str">
        <f>参数调整!$J$37</f>
        <v>新增怪物种类2掉落</v>
      </c>
      <c r="C6856" s="8" t="str">
        <f>材料产出!$V$2</f>
        <v>龍の魄</v>
      </c>
      <c r="D6856" s="224">
        <f>参数调整!$K$37*怪物掉落配置方案!$D4804</f>
        <v>6.2101904091085347E-2</v>
      </c>
    </row>
    <row r="6857" spans="1:4" ht="16.5" hidden="1" x14ac:dyDescent="0.3">
      <c r="A6857" s="10" t="str">
        <f>基本属性!$B$27&amp;"|"&amp;基本属性!$C$27</f>
        <v>230|17</v>
      </c>
      <c r="B6857" s="10" t="str">
        <f>参数调整!$J$37</f>
        <v>新增怪物种类2掉落</v>
      </c>
      <c r="C6857" s="8" t="str">
        <f>材料产出!$V$2</f>
        <v>龍の魄</v>
      </c>
      <c r="D6857" s="224">
        <f>参数调整!$K$37*怪物掉落配置方案!$D4805</f>
        <v>6.8692385589455576E-2</v>
      </c>
    </row>
    <row r="6858" spans="1:4" ht="16.5" hidden="1" x14ac:dyDescent="0.3">
      <c r="A6858" s="10" t="str">
        <f>基本属性!$B$28&amp;"|"&amp;基本属性!$C$28</f>
        <v>240|18</v>
      </c>
      <c r="B6858" s="10" t="str">
        <f>参数调整!$J$37</f>
        <v>新增怪物种类2掉落</v>
      </c>
      <c r="C6858" s="8" t="str">
        <f>材料产出!$V$2</f>
        <v>龍の魄</v>
      </c>
      <c r="D6858" s="224">
        <f>参数调整!$K$37*怪物掉落配置方案!$D4806</f>
        <v>7.561516027261761E-2</v>
      </c>
    </row>
    <row r="6859" spans="1:4" ht="16.5" hidden="1" x14ac:dyDescent="0.3">
      <c r="A6859" s="10" t="str">
        <f>基本属性!$B$29&amp;"|"&amp;基本属性!$C$29</f>
        <v>240|19</v>
      </c>
      <c r="B6859" s="10" t="str">
        <f>参数调整!$J$37</f>
        <v>新增怪物种类2掉落</v>
      </c>
      <c r="C6859" s="8" t="str">
        <f>材料产出!$V$2</f>
        <v>龍の魄</v>
      </c>
      <c r="D6859" s="224">
        <f>参数调整!$K$37*怪物掉落配置方案!$D4807</f>
        <v>8.2870228140571392E-2</v>
      </c>
    </row>
    <row r="6860" spans="1:4" ht="16.5" hidden="1" x14ac:dyDescent="0.3">
      <c r="A6860" s="10" t="str">
        <f>基本属性!$B$30&amp;"|"&amp;基本属性!$C$30</f>
        <v>250|20</v>
      </c>
      <c r="B6860" s="10" t="str">
        <f>参数调整!$J$37</f>
        <v>新增怪物种类2掉落</v>
      </c>
      <c r="C6860" s="8" t="str">
        <f>材料产出!$V$2</f>
        <v>龍の魄</v>
      </c>
      <c r="D6860" s="224">
        <f>参数调整!$K$37*怪物掉落配置方案!$D4808</f>
        <v>9.0457589193316937E-2</v>
      </c>
    </row>
    <row r="6861" spans="1:4" ht="16.5" hidden="1" x14ac:dyDescent="0.3">
      <c r="A6861" s="10" t="str">
        <f>基本属性!$B$4&amp;"|"&amp;基本属性!$C$4</f>
        <v>35|0</v>
      </c>
      <c r="B6861" s="10" t="str">
        <f>参数调整!$J$37</f>
        <v>新增怪物种类2掉落</v>
      </c>
      <c r="C6861" s="8" t="str">
        <f>材料产出!$AB$2</f>
        <v>龙晶碎片</v>
      </c>
      <c r="D6861" s="224">
        <f>参数调整!$K$37*怪物掉落配置方案!$D4809</f>
        <v>3.0286264376551655E-2</v>
      </c>
    </row>
    <row r="6862" spans="1:4" ht="16.5" hidden="1" x14ac:dyDescent="0.3">
      <c r="A6862" s="10" t="str">
        <f>基本属性!$B$5&amp;"|"&amp;基本属性!$C$5</f>
        <v>40|0</v>
      </c>
      <c r="B6862" s="10" t="str">
        <f>参数调整!$J$37</f>
        <v>新增怪物种类2掉落</v>
      </c>
      <c r="C6862" s="8" t="str">
        <f>材料产出!$AB$2</f>
        <v>龙晶碎片</v>
      </c>
      <c r="D6862" s="224">
        <f>参数调整!$K$37*怪物掉落配置方案!$D4810</f>
        <v>3.8331053351573191E-2</v>
      </c>
    </row>
    <row r="6863" spans="1:4" ht="16.5" hidden="1" x14ac:dyDescent="0.3">
      <c r="A6863" s="10" t="str">
        <f>基本属性!$B$6&amp;"|"&amp;基本属性!$C$6</f>
        <v>50|0</v>
      </c>
      <c r="B6863" s="10" t="str">
        <f>参数调整!$J$37</f>
        <v>新增怪物种类2掉落</v>
      </c>
      <c r="C6863" s="8" t="str">
        <f>材料产出!$AB$2</f>
        <v>龙晶碎片</v>
      </c>
      <c r="D6863" s="224">
        <f>参数调整!$K$37*怪物掉落配置方案!$D4811</f>
        <v>4.7322288088361961E-2</v>
      </c>
    </row>
    <row r="6864" spans="1:4" ht="16.5" hidden="1" x14ac:dyDescent="0.3">
      <c r="A6864" s="10" t="str">
        <f>基本属性!$B$7&amp;"|"&amp;基本属性!$C$7</f>
        <v>60|0</v>
      </c>
      <c r="B6864" s="10" t="str">
        <f>参数调整!$J$37</f>
        <v>新增怪物种类2掉落</v>
      </c>
      <c r="C6864" s="8" t="str">
        <f>材料产出!$AB$2</f>
        <v>龙晶碎片</v>
      </c>
      <c r="D6864" s="224">
        <f>参数调整!$K$37*怪物掉落配置方案!$D4812</f>
        <v>5.7259968586917981E-2</v>
      </c>
    </row>
    <row r="6865" spans="1:4" ht="16.5" hidden="1" x14ac:dyDescent="0.3">
      <c r="A6865" s="10" t="str">
        <f>基本属性!$B$8&amp;"|"&amp;基本属性!$C$8</f>
        <v>65|0</v>
      </c>
      <c r="B6865" s="10" t="str">
        <f>参数调整!$J$37</f>
        <v>新增怪物种类2掉落</v>
      </c>
      <c r="C6865" s="8" t="str">
        <f>材料产出!$AB$2</f>
        <v>龙晶碎片</v>
      </c>
      <c r="D6865" s="224">
        <f>参数调整!$K$37*怪物掉落配置方案!$D4813</f>
        <v>6.8144094847241224E-2</v>
      </c>
    </row>
    <row r="6866" spans="1:4" ht="16.5" hidden="1" x14ac:dyDescent="0.3">
      <c r="A6866" s="10" t="str">
        <f>基本属性!$B$9&amp;"|"&amp;基本属性!$C$9</f>
        <v>70|0</v>
      </c>
      <c r="B6866" s="10" t="str">
        <f>参数调整!$J$37</f>
        <v>新增怪物种类2掉落</v>
      </c>
      <c r="C6866" s="8" t="str">
        <f>材料产出!$AB$2</f>
        <v>龙晶碎片</v>
      </c>
      <c r="D6866" s="224">
        <f>参数调整!$K$37*怪物掉落配置方案!$D4814</f>
        <v>7.9974666869331704E-2</v>
      </c>
    </row>
    <row r="6867" spans="1:4" ht="16.5" hidden="1" x14ac:dyDescent="0.3">
      <c r="A6867" s="10" t="str">
        <f>基本属性!$B$10&amp;"|"&amp;基本属性!$C$10</f>
        <v>75|0</v>
      </c>
      <c r="B6867" s="10" t="str">
        <f>参数调整!$J$37</f>
        <v>新增怪物种类2掉落</v>
      </c>
      <c r="C6867" s="8" t="str">
        <f>材料产出!$AB$2</f>
        <v>龙晶碎片</v>
      </c>
      <c r="D6867" s="224">
        <f>参数调整!$K$37*怪物掉落配置方案!$D4815</f>
        <v>9.275168465318942E-2</v>
      </c>
    </row>
    <row r="6868" spans="1:4" ht="16.5" hidden="1" x14ac:dyDescent="0.3">
      <c r="A6868" s="10" t="str">
        <f>基本属性!$B$11&amp;"|"&amp;基本属性!$C$11</f>
        <v>80|1</v>
      </c>
      <c r="B6868" s="10" t="str">
        <f>参数调整!$J$37</f>
        <v>新增怪物种类2掉落</v>
      </c>
      <c r="C6868" s="8" t="str">
        <f>材料产出!$AB$2</f>
        <v>龙晶碎片</v>
      </c>
      <c r="D6868" s="224">
        <f>参数调整!$K$37*怪物掉落配置方案!$D4816</f>
        <v>0.1064751481988144</v>
      </c>
    </row>
    <row r="6869" spans="1:4" ht="16.5" hidden="1" x14ac:dyDescent="0.3">
      <c r="A6869" s="10" t="str">
        <f>基本属性!$B$12&amp;"|"&amp;基本属性!$C$12</f>
        <v>90|2</v>
      </c>
      <c r="B6869" s="10" t="str">
        <f>参数调整!$J$37</f>
        <v>新增怪物种类2掉落</v>
      </c>
      <c r="C6869" s="8" t="str">
        <f>材料产出!$AB$2</f>
        <v>龙晶碎片</v>
      </c>
      <c r="D6869" s="224">
        <f>参数调整!$K$37*怪物掉落配置方案!$D4817</f>
        <v>0.12114505750620663</v>
      </c>
    </row>
    <row r="6870" spans="1:4" ht="16.5" hidden="1" x14ac:dyDescent="0.3">
      <c r="A6870" s="10" t="str">
        <f>基本属性!$B$13&amp;"|"&amp;基本属性!$C$13</f>
        <v>100|3</v>
      </c>
      <c r="B6870" s="10" t="str">
        <f>参数调整!$J$37</f>
        <v>新增怪物种类2掉落</v>
      </c>
      <c r="C6870" s="8" t="str">
        <f>材料产出!$AB$2</f>
        <v>龙晶碎片</v>
      </c>
      <c r="D6870" s="224">
        <f>参数调整!$K$37*怪物掉落配置方案!$D4818</f>
        <v>0.15332421340629276</v>
      </c>
    </row>
    <row r="6871" spans="1:4" ht="16.5" hidden="1" x14ac:dyDescent="0.3">
      <c r="A6871" s="10" t="str">
        <f>基本属性!$B$14&amp;"|"&amp;基本属性!$C$14</f>
        <v>105|4</v>
      </c>
      <c r="B6871" s="10" t="str">
        <f>参数调整!$J$37</f>
        <v>新增怪物种类2掉落</v>
      </c>
      <c r="C6871" s="8" t="str">
        <f>材料产出!$AB$2</f>
        <v>龙晶碎片</v>
      </c>
      <c r="D6871" s="224">
        <f>参数调整!$K$37*怪物掉落配置方案!$D4819</f>
        <v>0.18928915235344787</v>
      </c>
    </row>
    <row r="6872" spans="1:4" ht="16.5" hidden="1" x14ac:dyDescent="0.3">
      <c r="A6872" s="10" t="str">
        <f>基本属性!$B$15&amp;"|"&amp;基本属性!$C$15</f>
        <v>110|5</v>
      </c>
      <c r="B6872" s="10" t="str">
        <f>参数调整!$J$37</f>
        <v>新增怪物种类2掉落</v>
      </c>
      <c r="C6872" s="8" t="str">
        <f>材料产出!$AB$2</f>
        <v>龙晶碎片</v>
      </c>
      <c r="D6872" s="224">
        <f>参数调整!$K$37*怪物掉落配置方案!$D4820</f>
        <v>0.22903987434767195</v>
      </c>
    </row>
    <row r="6873" spans="1:4" ht="16.5" hidden="1" x14ac:dyDescent="0.3">
      <c r="A6873" s="10" t="str">
        <f>基本属性!$B$16&amp;"|"&amp;基本属性!$C$16</f>
        <v>120|6</v>
      </c>
      <c r="B6873" s="10" t="str">
        <f>参数调整!$J$37</f>
        <v>新增怪物种类2掉落</v>
      </c>
      <c r="C6873" s="8" t="str">
        <f>材料产出!$AB$2</f>
        <v>龙晶碎片</v>
      </c>
      <c r="D6873" s="224">
        <f>参数调整!$K$37*怪物掉落配置方案!$D4821</f>
        <v>0.29576430055226222</v>
      </c>
    </row>
    <row r="6874" spans="1:4" ht="16.5" hidden="1" x14ac:dyDescent="0.3">
      <c r="A6874" s="10" t="str">
        <f>基本属性!$B$17&amp;"|"&amp;基本属性!$C$17</f>
        <v>135|7</v>
      </c>
      <c r="B6874" s="10" t="str">
        <f>参数调整!$J$37</f>
        <v>新增怪物种类2掉落</v>
      </c>
      <c r="C6874" s="8" t="str">
        <f>材料产出!$AB$2</f>
        <v>龙晶碎片</v>
      </c>
      <c r="D6874" s="224">
        <f>参数调整!$K$37*怪物掉落配置方案!$D4822</f>
        <v>0.4259005927952576</v>
      </c>
    </row>
    <row r="6875" spans="1:4" ht="16.5" hidden="1" x14ac:dyDescent="0.3">
      <c r="A6875" s="10" t="str">
        <f>基本属性!$B$18&amp;"|"&amp;基本属性!$C$18</f>
        <v>155|8</v>
      </c>
      <c r="B6875" s="10" t="str">
        <f>参数调整!$J$37</f>
        <v>新增怪物种类2掉落</v>
      </c>
      <c r="C6875" s="8" t="str">
        <f>材料产出!$AB$2</f>
        <v>龙晶碎片</v>
      </c>
      <c r="D6875" s="224">
        <f>参数调整!$K$37*怪物掉落配置方案!$D4823</f>
        <v>0.57969802908243406</v>
      </c>
    </row>
    <row r="6876" spans="1:4" ht="16.5" hidden="1" x14ac:dyDescent="0.3">
      <c r="A6876" s="10" t="str">
        <f>基本属性!$B$19&amp;"|"&amp;基本属性!$C$19</f>
        <v>190|9</v>
      </c>
      <c r="B6876" s="10" t="str">
        <f>参数调整!$J$37</f>
        <v>新增怪物种类2掉落</v>
      </c>
      <c r="C6876" s="8" t="str">
        <f>材料产出!$AB$2</f>
        <v>龙晶碎片</v>
      </c>
      <c r="D6876" s="224">
        <f>参数调整!$K$37*怪物掉落配置方案!$D4824</f>
        <v>0.64784212392967533</v>
      </c>
    </row>
    <row r="6877" spans="1:4" ht="16.5" hidden="1" x14ac:dyDescent="0.3">
      <c r="A6877" s="10" t="str">
        <f>基本属性!$B$20&amp;"|"&amp;基本属性!$C$20</f>
        <v>200|10</v>
      </c>
      <c r="B6877" s="10" t="str">
        <f>参数调整!$J$37</f>
        <v>新增怪物种类2掉落</v>
      </c>
      <c r="C6877" s="8" t="str">
        <f>材料产出!$AB$2</f>
        <v>龙晶碎片</v>
      </c>
      <c r="D6877" s="224">
        <f>参数调整!$K$37*怪物掉落配置方案!$D4825</f>
        <v>0.75715660941379148</v>
      </c>
    </row>
    <row r="6878" spans="1:4" ht="16.5" hidden="1" x14ac:dyDescent="0.3">
      <c r="A6878" s="10" t="str">
        <f>基本属性!$B$21&amp;"|"&amp;基本属性!$C$21</f>
        <v>200|11</v>
      </c>
      <c r="B6878" s="10" t="str">
        <f>参数调整!$J$37</f>
        <v>新增怪物种类2掉落</v>
      </c>
      <c r="C6878" s="8" t="str">
        <f>材料产出!$AB$2</f>
        <v>龙晶碎片</v>
      </c>
      <c r="D6878" s="224">
        <f>参数调整!$K$37*怪物掉落配置方案!$D4826</f>
        <v>0.87498910675381236</v>
      </c>
    </row>
    <row r="6879" spans="1:4" ht="16.5" hidden="1" x14ac:dyDescent="0.3">
      <c r="A6879" s="10" t="str">
        <f>基本属性!$B$22&amp;"|"&amp;基本属性!$C$22</f>
        <v>210|12</v>
      </c>
      <c r="B6879" s="10" t="str">
        <f>参数调整!$J$37</f>
        <v>新增怪物种类2掉落</v>
      </c>
      <c r="C6879" s="8" t="str">
        <f>材料产出!$AB$2</f>
        <v>龙晶碎片</v>
      </c>
      <c r="D6879" s="224">
        <f>参数调整!$K$37*怪物掉落配置方案!$D4827</f>
        <v>1.001339615949739</v>
      </c>
    </row>
    <row r="6880" spans="1:4" ht="16.5" hidden="1" x14ac:dyDescent="0.3">
      <c r="A6880" s="10" t="str">
        <f>基本属性!$B$23&amp;"|"&amp;基本属性!$C$23</f>
        <v>210|13</v>
      </c>
      <c r="B6880" s="10" t="str">
        <f>参数调整!$J$37</f>
        <v>新增怪物种类2掉落</v>
      </c>
      <c r="C6880" s="8" t="str">
        <f>材料产出!$AB$2</f>
        <v>龙晶碎片</v>
      </c>
      <c r="D6880" s="224">
        <f>参数调整!$K$37*怪物掉落配置方案!$D4828</f>
        <v>1.1362081370015706</v>
      </c>
    </row>
    <row r="6881" spans="1:4" ht="16.5" hidden="1" x14ac:dyDescent="0.3">
      <c r="A6881" s="10" t="str">
        <f>基本属性!$B$24&amp;"|"&amp;基本属性!$C$24</f>
        <v>220|14</v>
      </c>
      <c r="B6881" s="10" t="str">
        <f>参数调整!$J$37</f>
        <v>新增怪物种类2掉落</v>
      </c>
      <c r="C6881" s="8" t="str">
        <f>材料产出!$AB$2</f>
        <v>龙晶碎片</v>
      </c>
      <c r="D6881" s="224">
        <f>参数调整!$K$37*怪物掉落配置方案!$D4829</f>
        <v>1.2795946699093075</v>
      </c>
    </row>
    <row r="6882" spans="1:4" ht="16.5" hidden="1" x14ac:dyDescent="0.3">
      <c r="A6882" s="10" t="str">
        <f>基本属性!$B$25&amp;"|"&amp;基本属性!$C$25</f>
        <v>220|15</v>
      </c>
      <c r="B6882" s="10" t="str">
        <f>参数调整!$J$37</f>
        <v>新增怪物种类2掉落</v>
      </c>
      <c r="C6882" s="8" t="str">
        <f>材料产出!$AB$2</f>
        <v>龙晶碎片</v>
      </c>
      <c r="D6882" s="224">
        <f>参数调整!$K$37*怪物掉落配置方案!$D4830</f>
        <v>1.431499214672949</v>
      </c>
    </row>
    <row r="6883" spans="1:4" ht="16.5" hidden="1" x14ac:dyDescent="0.3">
      <c r="A6883" s="10" t="str">
        <f>基本属性!$B$26&amp;"|"&amp;基本属性!$C$26</f>
        <v>230|16</v>
      </c>
      <c r="B6883" s="10" t="str">
        <f>参数调整!$J$37</f>
        <v>新增怪物种类2掉落</v>
      </c>
      <c r="C6883" s="8" t="str">
        <f>材料产出!$AB$2</f>
        <v>龙晶碎片</v>
      </c>
      <c r="D6883" s="224">
        <f>参数调整!$K$37*怪物掉落配置方案!$D4831</f>
        <v>1.5919217712924962</v>
      </c>
    </row>
    <row r="6884" spans="1:4" ht="16.5" hidden="1" x14ac:dyDescent="0.3">
      <c r="A6884" s="10" t="str">
        <f>基本属性!$B$27&amp;"|"&amp;基本属性!$C$27</f>
        <v>230|17</v>
      </c>
      <c r="B6884" s="10" t="str">
        <f>参数调整!$J$37</f>
        <v>新增怪物种类2掉落</v>
      </c>
      <c r="C6884" s="8" t="str">
        <f>材料产出!$AB$2</f>
        <v>龙晶碎片</v>
      </c>
      <c r="D6884" s="224">
        <f>参数调整!$K$37*怪物掉落配置方案!$D4832</f>
        <v>1.7608623397679484</v>
      </c>
    </row>
    <row r="6885" spans="1:4" ht="16.5" hidden="1" x14ac:dyDescent="0.3">
      <c r="A6885" s="10" t="str">
        <f>基本属性!$B$28&amp;"|"&amp;基本属性!$C$28</f>
        <v>240|18</v>
      </c>
      <c r="B6885" s="10" t="str">
        <f>参数调整!$J$37</f>
        <v>新增怪物种类2掉落</v>
      </c>
      <c r="C6885" s="8" t="str">
        <f>材料产出!$AB$2</f>
        <v>龙晶碎片</v>
      </c>
      <c r="D6885" s="224">
        <f>参数调整!$K$37*怪物掉落配置方案!$D4833</f>
        <v>1.9383209200993061</v>
      </c>
    </row>
    <row r="6886" spans="1:4" ht="16.5" hidden="1" x14ac:dyDescent="0.3">
      <c r="A6886" s="10" t="str">
        <f>基本属性!$B$29&amp;"|"&amp;基本属性!$C$29</f>
        <v>240|19</v>
      </c>
      <c r="B6886" s="10" t="str">
        <f>参数调整!$J$37</f>
        <v>新增怪物种类2掉落</v>
      </c>
      <c r="C6886" s="8" t="str">
        <f>材料产出!$AB$2</f>
        <v>龙晶碎片</v>
      </c>
      <c r="D6886" s="224">
        <f>参数调整!$K$37*怪物掉落配置方案!$D4834</f>
        <v>2.1242975122865686</v>
      </c>
    </row>
    <row r="6887" spans="1:4" ht="16.5" hidden="1" x14ac:dyDescent="0.3">
      <c r="A6887" s="10" t="str">
        <f>基本属性!$B$30&amp;"|"&amp;基本属性!$C$30</f>
        <v>250|20</v>
      </c>
      <c r="B6887" s="10" t="str">
        <f>参数调整!$J$37</f>
        <v>新增怪物种类2掉落</v>
      </c>
      <c r="C6887" s="8" t="str">
        <f>材料产出!$AB$2</f>
        <v>龙晶碎片</v>
      </c>
      <c r="D6887" s="224">
        <f>参数调整!$K$37*怪物掉落配置方案!$D4835</f>
        <v>2.3187921163297354</v>
      </c>
    </row>
    <row r="6888" spans="1:4" ht="16.5" hidden="1" x14ac:dyDescent="0.3">
      <c r="A6888" s="10" t="str">
        <f>基本属性!$B$4&amp;"|"&amp;基本属性!$C$4</f>
        <v>35|0</v>
      </c>
      <c r="B6888" s="10" t="str">
        <f>参数调整!$J$37</f>
        <v>新增怪物种类2掉落</v>
      </c>
      <c r="C6888" s="8" t="str">
        <f>材料产出!$AX$2</f>
        <v>烈焰玄铁</v>
      </c>
      <c r="D6888" s="224">
        <f>参数调整!$K$37*怪物掉落配置方案!$D4836</f>
        <v>1.7856733858457899E-4</v>
      </c>
    </row>
    <row r="6889" spans="1:4" ht="16.5" hidden="1" x14ac:dyDescent="0.3">
      <c r="A6889" s="10" t="str">
        <f>基本属性!$B$5&amp;"|"&amp;基本属性!$C$5</f>
        <v>40|0</v>
      </c>
      <c r="B6889" s="10" t="str">
        <f>参数调整!$J$37</f>
        <v>新增怪物种类2掉落</v>
      </c>
      <c r="C6889" s="8" t="str">
        <f>材料产出!$AX$2</f>
        <v>烈焰玄铁</v>
      </c>
      <c r="D6889" s="224">
        <f>参数调整!$K$37*怪物掉落配置方案!$D4837</f>
        <v>2.2599928789610775E-4</v>
      </c>
    </row>
    <row r="6890" spans="1:4" ht="16.5" hidden="1" x14ac:dyDescent="0.3">
      <c r="A6890" s="10" t="str">
        <f>基本属性!$B$6&amp;"|"&amp;基本属性!$C$6</f>
        <v>50|0</v>
      </c>
      <c r="B6890" s="10" t="str">
        <f>参数调整!$J$37</f>
        <v>新增怪物种类2掉落</v>
      </c>
      <c r="C6890" s="8" t="str">
        <f>材料产出!$AX$2</f>
        <v>烈焰玄铁</v>
      </c>
      <c r="D6890" s="224">
        <f>参数调整!$K$37*怪物掉落配置方案!$D4838</f>
        <v>2.7901146653840466E-4</v>
      </c>
    </row>
    <row r="6891" spans="1:4" ht="16.5" hidden="1" x14ac:dyDescent="0.3">
      <c r="A6891" s="10" t="str">
        <f>基本属性!$B$7&amp;"|"&amp;基本属性!$C$7</f>
        <v>60|0</v>
      </c>
      <c r="B6891" s="10" t="str">
        <f>参数调整!$J$37</f>
        <v>新增怪物种类2掉落</v>
      </c>
      <c r="C6891" s="8" t="str">
        <f>材料产出!$AX$2</f>
        <v>烈焰玄铁</v>
      </c>
      <c r="D6891" s="224">
        <f>参数调整!$K$37*怪物掉落配置方案!$D4839</f>
        <v>3.3760387451146971E-4</v>
      </c>
    </row>
    <row r="6892" spans="1:4" ht="16.5" hidden="1" x14ac:dyDescent="0.3">
      <c r="A6892" s="10" t="str">
        <f>基本属性!$B$8&amp;"|"&amp;基本属性!$C$8</f>
        <v>65|0</v>
      </c>
      <c r="B6892" s="10" t="str">
        <f>参数调整!$J$37</f>
        <v>新增怪物种类2掉落</v>
      </c>
      <c r="C6892" s="8" t="str">
        <f>材料产出!$AX$2</f>
        <v>烈焰玄铁</v>
      </c>
      <c r="D6892" s="224">
        <f>参数调整!$K$37*怪物掉落配置方案!$D4840</f>
        <v>4.0177651181530271E-4</v>
      </c>
    </row>
    <row r="6893" spans="1:4" ht="16.5" hidden="1" x14ac:dyDescent="0.3">
      <c r="A6893" s="10" t="str">
        <f>基本属性!$B$9&amp;"|"&amp;基本属性!$C$9</f>
        <v>70|0</v>
      </c>
      <c r="B6893" s="10" t="str">
        <f>参数调整!$J$37</f>
        <v>新增怪物种类2掉落</v>
      </c>
      <c r="C6893" s="8" t="str">
        <f>材料产出!$AX$2</f>
        <v>烈焰玄铁</v>
      </c>
      <c r="D6893" s="224">
        <f>参数调整!$K$37*怪物掉落配置方案!$D4841</f>
        <v>4.7152937844990395E-4</v>
      </c>
    </row>
    <row r="6894" spans="1:4" ht="16.5" hidden="1" x14ac:dyDescent="0.3">
      <c r="A6894" s="10" t="str">
        <f>基本属性!$B$10&amp;"|"&amp;基本属性!$C$10</f>
        <v>75|0</v>
      </c>
      <c r="B6894" s="10" t="str">
        <f>参数调整!$J$37</f>
        <v>新增怪物种类2掉落</v>
      </c>
      <c r="C6894" s="8" t="str">
        <f>材料产出!$AX$2</f>
        <v>烈焰玄铁</v>
      </c>
      <c r="D6894" s="224">
        <f>参数调整!$K$37*怪物掉落配置方案!$D4842</f>
        <v>5.4686247441527308E-4</v>
      </c>
    </row>
    <row r="6895" spans="1:4" ht="16.5" hidden="1" x14ac:dyDescent="0.3">
      <c r="A6895" s="10" t="str">
        <f>基本属性!$B$11&amp;"|"&amp;基本属性!$C$11</f>
        <v>80|1</v>
      </c>
      <c r="B6895" s="10" t="str">
        <f>参数调整!$J$37</f>
        <v>新增怪物种类2掉落</v>
      </c>
      <c r="C6895" s="8" t="str">
        <f>材料产出!$AX$2</f>
        <v>烈焰玄铁</v>
      </c>
      <c r="D6895" s="224">
        <f>参数调整!$K$37*怪物掉落配置方案!$D4843</f>
        <v>6.277757997114105E-4</v>
      </c>
    </row>
    <row r="6896" spans="1:4" ht="16.5" hidden="1" x14ac:dyDescent="0.3">
      <c r="A6896" s="10" t="str">
        <f>基本属性!$B$12&amp;"|"&amp;基本属性!$C$12</f>
        <v>90|2</v>
      </c>
      <c r="B6896" s="10" t="str">
        <f>参数调整!$J$37</f>
        <v>新增怪物种类2掉落</v>
      </c>
      <c r="C6896" s="8" t="str">
        <f>材料产出!$AX$2</f>
        <v>烈焰玄铁</v>
      </c>
      <c r="D6896" s="224">
        <f>参数调整!$K$37*怪物掉落配置方案!$D4844</f>
        <v>7.1426935433831608E-4</v>
      </c>
    </row>
    <row r="6897" spans="1:4" ht="16.5" hidden="1" x14ac:dyDescent="0.3">
      <c r="A6897" s="10" t="str">
        <f>基本属性!$B$13&amp;"|"&amp;基本属性!$C$13</f>
        <v>100|3</v>
      </c>
      <c r="B6897" s="10" t="str">
        <f>参数调整!$J$37</f>
        <v>新增怪物种类2掉落</v>
      </c>
      <c r="C6897" s="8" t="str">
        <f>材料产出!$AX$2</f>
        <v>烈焰玄铁</v>
      </c>
      <c r="D6897" s="224">
        <f>参数调整!$K$37*怪物掉落配置方案!$D4845</f>
        <v>9.0399715158443123E-4</v>
      </c>
    </row>
    <row r="6898" spans="1:4" ht="16.5" hidden="1" x14ac:dyDescent="0.3">
      <c r="A6898" s="10" t="str">
        <f>基本属性!$B$14&amp;"|"&amp;基本属性!$C$14</f>
        <v>105|4</v>
      </c>
      <c r="B6898" s="10" t="str">
        <f>参数调整!$J$37</f>
        <v>新增怪物种类2掉落</v>
      </c>
      <c r="C6898" s="8" t="str">
        <f>材料产出!$AX$2</f>
        <v>烈焰玄铁</v>
      </c>
      <c r="D6898" s="224">
        <f>参数调整!$K$37*怪物掉落配置方案!$D4846</f>
        <v>1.1160458661536189E-3</v>
      </c>
    </row>
    <row r="6899" spans="1:4" ht="16.5" hidden="1" x14ac:dyDescent="0.3">
      <c r="A6899" s="10" t="str">
        <f>基本属性!$B$15&amp;"|"&amp;基本属性!$C$15</f>
        <v>110|5</v>
      </c>
      <c r="B6899" s="10" t="str">
        <f>参数调整!$J$37</f>
        <v>新增怪物种类2掉落</v>
      </c>
      <c r="C6899" s="8" t="str">
        <f>材料产出!$AX$2</f>
        <v>烈焰玄铁</v>
      </c>
      <c r="D6899" s="224">
        <f>参数调整!$K$37*怪物掉落配置方案!$D4847</f>
        <v>1.3504154980458791E-3</v>
      </c>
    </row>
    <row r="6900" spans="1:4" ht="16.5" hidden="1" x14ac:dyDescent="0.3">
      <c r="A6900" s="10" t="str">
        <f>基本属性!$B$16&amp;"|"&amp;基本属性!$C$16</f>
        <v>120|6</v>
      </c>
      <c r="B6900" s="10" t="str">
        <f>参数调整!$J$37</f>
        <v>新增怪物种类2掉落</v>
      </c>
      <c r="C6900" s="8" t="str">
        <f>材料产出!$AX$2</f>
        <v>烈焰玄铁</v>
      </c>
      <c r="D6900" s="224">
        <f>参数调整!$K$37*怪物掉落配置方案!$D4848</f>
        <v>1.7438216658650291E-3</v>
      </c>
    </row>
    <row r="6901" spans="1:4" ht="16.5" hidden="1" x14ac:dyDescent="0.3">
      <c r="A6901" s="10" t="str">
        <f>基本属性!$B$17&amp;"|"&amp;基本属性!$C$17</f>
        <v>135|7</v>
      </c>
      <c r="B6901" s="10" t="str">
        <f>参数调整!$J$37</f>
        <v>新增怪物种类2掉落</v>
      </c>
      <c r="C6901" s="8" t="str">
        <f>材料产出!$AX$2</f>
        <v>烈焰玄铁</v>
      </c>
      <c r="D6901" s="224">
        <f>参数调整!$K$37*怪物掉落配置方案!$D4849</f>
        <v>2.511103198845642E-3</v>
      </c>
    </row>
    <row r="6902" spans="1:4" ht="16.5" hidden="1" x14ac:dyDescent="0.3">
      <c r="A6902" s="10" t="str">
        <f>基本属性!$B$18&amp;"|"&amp;基本属性!$C$18</f>
        <v>155|8</v>
      </c>
      <c r="B6902" s="10" t="str">
        <f>参数调整!$J$37</f>
        <v>新增怪物种类2掉落</v>
      </c>
      <c r="C6902" s="8" t="str">
        <f>材料产出!$AX$2</f>
        <v>烈焰玄铁</v>
      </c>
      <c r="D6902" s="224">
        <f>参数调整!$K$37*怪物掉落配置方案!$D4850</f>
        <v>3.4178904650954576E-3</v>
      </c>
    </row>
    <row r="6903" spans="1:4" ht="16.5" hidden="1" x14ac:dyDescent="0.3">
      <c r="A6903" s="10" t="str">
        <f>基本属性!$B$19&amp;"|"&amp;基本属性!$C$19</f>
        <v>190|9</v>
      </c>
      <c r="B6903" s="10" t="str">
        <f>参数调整!$J$37</f>
        <v>新增怪物种类2掉落</v>
      </c>
      <c r="C6903" s="8" t="str">
        <f>材料产出!$AX$2</f>
        <v>烈焰玄铁</v>
      </c>
      <c r="D6903" s="224">
        <f>参数调整!$K$37*怪物掉落配置方案!$D4851</f>
        <v>3.8196669769107604E-3</v>
      </c>
    </row>
    <row r="6904" spans="1:4" ht="16.5" hidden="1" x14ac:dyDescent="0.3">
      <c r="A6904" s="10" t="str">
        <f>基本属性!$B$20&amp;"|"&amp;基本属性!$C$20</f>
        <v>200|10</v>
      </c>
      <c r="B6904" s="10" t="str">
        <f>参数调整!$J$37</f>
        <v>新增怪物种类2掉落</v>
      </c>
      <c r="C6904" s="8" t="str">
        <f>材料产出!$AX$2</f>
        <v>烈焰玄铁</v>
      </c>
      <c r="D6904" s="224">
        <f>参数调整!$K$37*怪物掉落配置方案!$D4852</f>
        <v>4.4641834646144754E-3</v>
      </c>
    </row>
    <row r="6905" spans="1:4" ht="16.5" hidden="1" x14ac:dyDescent="0.3">
      <c r="A6905" s="10" t="str">
        <f>基本属性!$B$21&amp;"|"&amp;基本属性!$C$21</f>
        <v>200|11</v>
      </c>
      <c r="B6905" s="10" t="str">
        <f>参数调整!$J$37</f>
        <v>新增怪物种类2掉落</v>
      </c>
      <c r="C6905" s="8" t="str">
        <f>材料产出!$AX$2</f>
        <v>烈焰玄铁</v>
      </c>
      <c r="D6905" s="224">
        <f>参数调整!$K$37*怪物掉落配置方案!$D4853</f>
        <v>5.1589220162951014E-3</v>
      </c>
    </row>
    <row r="6906" spans="1:4" ht="16.5" hidden="1" x14ac:dyDescent="0.3">
      <c r="A6906" s="10" t="str">
        <f>基本属性!$B$22&amp;"|"&amp;基本属性!$C$22</f>
        <v>210|12</v>
      </c>
      <c r="B6906" s="10" t="str">
        <f>参数调整!$J$37</f>
        <v>新增怪物种类2掉落</v>
      </c>
      <c r="C6906" s="8" t="str">
        <f>材料产出!$AX$2</f>
        <v>烈焰玄铁</v>
      </c>
      <c r="D6906" s="224">
        <f>参数调整!$K$37*怪物掉落配置方案!$D4854</f>
        <v>5.9038826319526413E-3</v>
      </c>
    </row>
    <row r="6907" spans="1:4" ht="16.5" hidden="1" x14ac:dyDescent="0.3">
      <c r="A6907" s="10" t="str">
        <f>基本属性!$B$23&amp;"|"&amp;基本属性!$C$23</f>
        <v>210|13</v>
      </c>
      <c r="B6907" s="10" t="str">
        <f>参数调整!$J$37</f>
        <v>新增怪物种类2掉落</v>
      </c>
      <c r="C6907" s="8" t="str">
        <f>材料产出!$AX$2</f>
        <v>烈焰玄铁</v>
      </c>
      <c r="D6907" s="224">
        <f>参数调整!$K$37*怪物掉落配置方案!$D4855</f>
        <v>6.699065311587097E-3</v>
      </c>
    </row>
    <row r="6908" spans="1:4" ht="16.5" hidden="1" x14ac:dyDescent="0.3">
      <c r="A6908" s="10" t="str">
        <f>基本属性!$B$24&amp;"|"&amp;基本属性!$C$24</f>
        <v>220|14</v>
      </c>
      <c r="B6908" s="10" t="str">
        <f>参数调整!$J$37</f>
        <v>新增怪物种类2掉落</v>
      </c>
      <c r="C6908" s="8" t="str">
        <f>材料产出!$AX$2</f>
        <v>烈焰玄铁</v>
      </c>
      <c r="D6908" s="224">
        <f>参数调整!$K$37*怪物掉落配置方案!$D4856</f>
        <v>7.5444700551984623E-3</v>
      </c>
    </row>
    <row r="6909" spans="1:4" ht="16.5" hidden="1" x14ac:dyDescent="0.3">
      <c r="A6909" s="10" t="str">
        <f>基本属性!$B$25&amp;"|"&amp;基本属性!$C$25</f>
        <v>220|15</v>
      </c>
      <c r="B6909" s="10" t="str">
        <f>参数调整!$J$37</f>
        <v>新增怪物种类2掉落</v>
      </c>
      <c r="C6909" s="8" t="str">
        <f>材料产出!$AX$2</f>
        <v>烈焰玄铁</v>
      </c>
      <c r="D6909" s="224">
        <f>参数调整!$K$37*怪物掉落配置方案!$D4857</f>
        <v>8.4400968627867407E-3</v>
      </c>
    </row>
    <row r="6910" spans="1:4" ht="16.5" hidden="1" x14ac:dyDescent="0.3">
      <c r="A6910" s="10" t="str">
        <f>基本属性!$B$26&amp;"|"&amp;基本属性!$C$26</f>
        <v>230|16</v>
      </c>
      <c r="B6910" s="10" t="str">
        <f>参数调整!$J$37</f>
        <v>新增怪物种类2掉落</v>
      </c>
      <c r="C6910" s="8" t="str">
        <f>材料产出!$AX$2</f>
        <v>烈焰玄铁</v>
      </c>
      <c r="D6910" s="224">
        <f>参数调整!$K$37*怪物掉落配置方案!$D4858</f>
        <v>9.3859457343519314E-3</v>
      </c>
    </row>
    <row r="6911" spans="1:4" ht="16.5" hidden="1" x14ac:dyDescent="0.3">
      <c r="A6911" s="10" t="str">
        <f>基本属性!$B$27&amp;"|"&amp;基本属性!$C$27</f>
        <v>230|17</v>
      </c>
      <c r="B6911" s="10" t="str">
        <f>参数调整!$J$37</f>
        <v>新增怪物种类2掉落</v>
      </c>
      <c r="C6911" s="8" t="str">
        <f>材料产出!$AX$2</f>
        <v>烈焰玄铁</v>
      </c>
      <c r="D6911" s="224">
        <f>参数调整!$K$37*怪物掉落配置方案!$D4859</f>
        <v>1.0382016669894035E-2</v>
      </c>
    </row>
    <row r="6912" spans="1:4" ht="16.5" hidden="1" x14ac:dyDescent="0.3">
      <c r="A6912" s="10" t="str">
        <f>基本属性!$B$28&amp;"|"&amp;基本属性!$C$28</f>
        <v>240|18</v>
      </c>
      <c r="B6912" s="10" t="str">
        <f>参数调整!$J$37</f>
        <v>新增怪物种类2掉落</v>
      </c>
      <c r="C6912" s="8" t="str">
        <f>材料产出!$AX$2</f>
        <v>烈焰玄铁</v>
      </c>
      <c r="D6912" s="224">
        <f>参数调整!$K$37*怪物掉落配置方案!$D4860</f>
        <v>1.1428309669413057E-2</v>
      </c>
    </row>
    <row r="6913" spans="1:4" ht="16.5" hidden="1" x14ac:dyDescent="0.3">
      <c r="A6913" s="10" t="str">
        <f>基本属性!$B$29&amp;"|"&amp;基本属性!$C$29</f>
        <v>240|19</v>
      </c>
      <c r="B6913" s="10" t="str">
        <f>参数调整!$J$37</f>
        <v>新增怪物种类2掉落</v>
      </c>
      <c r="C6913" s="8" t="str">
        <f>材料产出!$AX$2</f>
        <v>烈焰玄铁</v>
      </c>
      <c r="D6913" s="224">
        <f>参数调整!$K$37*怪物掉落配置方案!$D4861</f>
        <v>1.2524824732908986E-2</v>
      </c>
    </row>
    <row r="6914" spans="1:4" ht="16.5" hidden="1" x14ac:dyDescent="0.3">
      <c r="A6914" s="10" t="str">
        <f>基本属性!$B$30&amp;"|"&amp;基本属性!$C$30</f>
        <v>250|20</v>
      </c>
      <c r="B6914" s="10" t="str">
        <f>参数调整!$J$37</f>
        <v>新增怪物种类2掉落</v>
      </c>
      <c r="C6914" s="8" t="str">
        <f>材料产出!$AX$2</f>
        <v>烈焰玄铁</v>
      </c>
      <c r="D6914" s="224">
        <f>参数调整!$K$37*怪物掉落配置方案!$D4862</f>
        <v>1.3671561860381827E-2</v>
      </c>
    </row>
    <row r="6915" spans="1:4" ht="16.5" hidden="1" x14ac:dyDescent="0.3">
      <c r="A6915" s="10" t="str">
        <f>基本属性!$B$4&amp;"|"&amp;基本属性!$C$4</f>
        <v>35|0</v>
      </c>
      <c r="B6915" s="10" t="str">
        <f>参数调整!$J$37</f>
        <v>新增怪物种类2掉落</v>
      </c>
      <c r="C6915" s="8" t="str">
        <f>材料产出!$H$2</f>
        <v>经验</v>
      </c>
      <c r="D6915" s="224">
        <f>参数调整!$K$37*怪物掉落配置方案!$D4863</f>
        <v>1666</v>
      </c>
    </row>
    <row r="6916" spans="1:4" ht="16.5" hidden="1" x14ac:dyDescent="0.3">
      <c r="A6916" s="10" t="str">
        <f>基本属性!$B$5&amp;"|"&amp;基本属性!$C$5</f>
        <v>40|0</v>
      </c>
      <c r="B6916" s="10" t="str">
        <f>参数调整!$J$37</f>
        <v>新增怪物种类2掉落</v>
      </c>
      <c r="C6916" s="8" t="str">
        <f>材料产出!$H$2</f>
        <v>经验</v>
      </c>
      <c r="D6916" s="224">
        <f>参数调整!$K$37*怪物掉落配置方案!$D4864</f>
        <v>3194</v>
      </c>
    </row>
    <row r="6917" spans="1:4" ht="16.5" hidden="1" x14ac:dyDescent="0.3">
      <c r="A6917" s="10" t="str">
        <f>基本属性!$B$6&amp;"|"&amp;基本属性!$C$6</f>
        <v>50|0</v>
      </c>
      <c r="B6917" s="10" t="str">
        <f>参数调整!$J$37</f>
        <v>新增怪物种类2掉落</v>
      </c>
      <c r="C6917" s="8" t="str">
        <f>材料产出!$H$2</f>
        <v>经验</v>
      </c>
      <c r="D6917" s="224">
        <f>参数调整!$K$37*怪物掉落配置方案!$D4865</f>
        <v>8666</v>
      </c>
    </row>
    <row r="6918" spans="1:4" ht="16.5" hidden="1" x14ac:dyDescent="0.3">
      <c r="A6918" s="10" t="str">
        <f>基本属性!$B$7&amp;"|"&amp;基本属性!$C$7</f>
        <v>60|0</v>
      </c>
      <c r="B6918" s="10" t="str">
        <f>参数调整!$J$37</f>
        <v>新增怪物种类2掉落</v>
      </c>
      <c r="C6918" s="8" t="str">
        <f>材料产出!$H$2</f>
        <v>经验</v>
      </c>
      <c r="D6918" s="224">
        <f>参数调整!$K$37*怪物掉落配置方案!$D4866</f>
        <v>10834</v>
      </c>
    </row>
    <row r="6919" spans="1:4" ht="16.5" hidden="1" x14ac:dyDescent="0.3">
      <c r="A6919" s="10" t="str">
        <f>基本属性!$B$8&amp;"|"&amp;基本属性!$C$8</f>
        <v>65|0</v>
      </c>
      <c r="B6919" s="10" t="str">
        <f>参数调整!$J$37</f>
        <v>新增怪物种类2掉落</v>
      </c>
      <c r="C6919" s="8" t="str">
        <f>材料产出!$H$2</f>
        <v>经验</v>
      </c>
      <c r="D6919" s="224">
        <f>参数调整!$K$37*怪物掉落配置方案!$D4867</f>
        <v>10888</v>
      </c>
    </row>
    <row r="6920" spans="1:4" ht="16.5" hidden="1" x14ac:dyDescent="0.3">
      <c r="A6920" s="10" t="str">
        <f>基本属性!$B$9&amp;"|"&amp;基本属性!$C$9</f>
        <v>70|0</v>
      </c>
      <c r="B6920" s="10" t="str">
        <f>参数调整!$J$37</f>
        <v>新增怪物种类2掉落</v>
      </c>
      <c r="C6920" s="8" t="str">
        <f>材料产出!$H$2</f>
        <v>经验</v>
      </c>
      <c r="D6920" s="224">
        <f>参数调整!$K$37*怪物掉落配置方案!$D4868</f>
        <v>11148</v>
      </c>
    </row>
    <row r="6921" spans="1:4" ht="16.5" hidden="1" x14ac:dyDescent="0.3">
      <c r="A6921" s="10" t="str">
        <f>基本属性!$B$10&amp;"|"&amp;基本属性!$C$10</f>
        <v>75|0</v>
      </c>
      <c r="B6921" s="10" t="str">
        <f>参数调整!$J$37</f>
        <v>新增怪物种类2掉落</v>
      </c>
      <c r="C6921" s="8" t="str">
        <f>材料产出!$H$2</f>
        <v>经验</v>
      </c>
      <c r="D6921" s="224">
        <f>参数调整!$K$37*怪物掉落配置方案!$D4869</f>
        <v>12582</v>
      </c>
    </row>
    <row r="6922" spans="1:4" ht="16.5" hidden="1" x14ac:dyDescent="0.3">
      <c r="A6922" s="10" t="str">
        <f>基本属性!$B$11&amp;"|"&amp;基本属性!$C$11</f>
        <v>80|1</v>
      </c>
      <c r="B6922" s="10" t="str">
        <f>参数调整!$J$37</f>
        <v>新增怪物种类2掉落</v>
      </c>
      <c r="C6922" s="8" t="str">
        <f>材料产出!$H$2</f>
        <v>经验</v>
      </c>
      <c r="D6922" s="224">
        <f>参数调整!$K$37*怪物掉落配置方案!$D4870</f>
        <v>20162</v>
      </c>
    </row>
    <row r="6923" spans="1:4" ht="16.5" hidden="1" x14ac:dyDescent="0.3">
      <c r="A6923" s="10" t="str">
        <f>基本属性!$B$12&amp;"|"&amp;基本属性!$C$12</f>
        <v>90|2</v>
      </c>
      <c r="B6923" s="10" t="str">
        <f>参数调整!$J$37</f>
        <v>新增怪物种类2掉落</v>
      </c>
      <c r="C6923" s="8" t="str">
        <f>材料产出!$H$2</f>
        <v>经验</v>
      </c>
      <c r="D6923" s="224">
        <f>参数调整!$K$37*怪物掉落配置方案!$D4871</f>
        <v>34670</v>
      </c>
    </row>
    <row r="6924" spans="1:4" ht="16.5" hidden="1" x14ac:dyDescent="0.3">
      <c r="A6924" s="10" t="str">
        <f>基本属性!$B$13&amp;"|"&amp;基本属性!$C$13</f>
        <v>100|3</v>
      </c>
      <c r="B6924" s="10" t="str">
        <f>参数调整!$J$37</f>
        <v>新增怪物种类2掉落</v>
      </c>
      <c r="C6924" s="8" t="str">
        <f>材料产出!$H$2</f>
        <v>经验</v>
      </c>
      <c r="D6924" s="224">
        <f>参数调整!$K$37*怪物掉落配置方案!$D4872</f>
        <v>40794</v>
      </c>
    </row>
    <row r="6925" spans="1:4" ht="16.5" hidden="1" x14ac:dyDescent="0.3">
      <c r="A6925" s="10" t="str">
        <f>基本属性!$B$14&amp;"|"&amp;基本属性!$C$14</f>
        <v>105|4</v>
      </c>
      <c r="B6925" s="10" t="str">
        <f>参数调整!$J$37</f>
        <v>新增怪物种类2掉落</v>
      </c>
      <c r="C6925" s="8" t="str">
        <f>材料产出!$H$2</f>
        <v>经验</v>
      </c>
      <c r="D6925" s="224">
        <f>参数调整!$K$37*怪物掉落配置方案!$D4873</f>
        <v>63000</v>
      </c>
    </row>
    <row r="6926" spans="1:4" ht="16.5" hidden="1" x14ac:dyDescent="0.3">
      <c r="A6926" s="10" t="str">
        <f>基本属性!$B$15&amp;"|"&amp;基本属性!$C$15</f>
        <v>110|5</v>
      </c>
      <c r="B6926" s="10" t="str">
        <f>参数调整!$J$37</f>
        <v>新增怪物种类2掉落</v>
      </c>
      <c r="C6926" s="8" t="str">
        <f>材料产出!$H$2</f>
        <v>经验</v>
      </c>
      <c r="D6926" s="224">
        <f>参数调整!$K$37*怪物掉落配置方案!$D4874</f>
        <v>65112</v>
      </c>
    </row>
    <row r="6927" spans="1:4" ht="16.5" hidden="1" x14ac:dyDescent="0.3">
      <c r="A6927" s="10" t="str">
        <f>基本属性!$B$16&amp;"|"&amp;基本属性!$C$16</f>
        <v>120|6</v>
      </c>
      <c r="B6927" s="10" t="str">
        <f>参数调整!$J$37</f>
        <v>新增怪物种类2掉落</v>
      </c>
      <c r="C6927" s="8" t="str">
        <f>材料产出!$H$2</f>
        <v>经验</v>
      </c>
      <c r="D6927" s="224">
        <f>参数调整!$K$37*怪物掉落配置方案!$D4875</f>
        <v>259628</v>
      </c>
    </row>
    <row r="6928" spans="1:4" ht="16.5" hidden="1" x14ac:dyDescent="0.3">
      <c r="A6928" s="10" t="str">
        <f>基本属性!$B$17&amp;"|"&amp;基本属性!$C$17</f>
        <v>135|7</v>
      </c>
      <c r="B6928" s="10" t="str">
        <f>参数调整!$J$37</f>
        <v>新增怪物种类2掉落</v>
      </c>
      <c r="C6928" s="8" t="str">
        <f>材料产出!$H$2</f>
        <v>经验</v>
      </c>
      <c r="D6928" s="224">
        <f>参数调整!$K$37*怪物掉落配置方案!$D4876</f>
        <v>888834</v>
      </c>
    </row>
    <row r="6929" spans="1:4" ht="16.5" hidden="1" x14ac:dyDescent="0.3">
      <c r="A6929" s="10" t="str">
        <f>基本属性!$B$18&amp;"|"&amp;基本属性!$C$18</f>
        <v>155|8</v>
      </c>
      <c r="B6929" s="10" t="str">
        <f>参数调整!$J$37</f>
        <v>新增怪物种类2掉落</v>
      </c>
      <c r="C6929" s="8" t="str">
        <f>材料产出!$H$2</f>
        <v>经验</v>
      </c>
      <c r="D6929" s="224">
        <f>参数调整!$K$37*怪物掉落配置方案!$D4877</f>
        <v>10736778</v>
      </c>
    </row>
    <row r="6930" spans="1:4" ht="16.5" hidden="1" x14ac:dyDescent="0.3">
      <c r="A6930" s="10" t="str">
        <f>基本属性!$B$19&amp;"|"&amp;基本属性!$C$19</f>
        <v>190|9</v>
      </c>
      <c r="B6930" s="10" t="str">
        <f>参数调整!$J$37</f>
        <v>新增怪物种类2掉落</v>
      </c>
      <c r="C6930" s="8" t="str">
        <f>材料产出!$H$2</f>
        <v>经验</v>
      </c>
      <c r="D6930" s="224">
        <f>参数调整!$K$37*怪物掉落配置方案!$D4878</f>
        <v>9762934</v>
      </c>
    </row>
    <row r="6931" spans="1:4" ht="16.5" hidden="1" x14ac:dyDescent="0.3">
      <c r="A6931" s="10" t="str">
        <f>基本属性!$B$20&amp;"|"&amp;基本属性!$C$20</f>
        <v>200|10</v>
      </c>
      <c r="B6931" s="10" t="str">
        <f>参数调整!$J$37</f>
        <v>新增怪物种类2掉落</v>
      </c>
      <c r="C6931" s="8" t="str">
        <f>材料产出!$H$2</f>
        <v>经验</v>
      </c>
      <c r="D6931" s="224">
        <f>参数调整!$K$37*怪物掉落配置方案!$D4879</f>
        <v>11666666</v>
      </c>
    </row>
    <row r="6932" spans="1:4" ht="16.5" hidden="1" x14ac:dyDescent="0.3">
      <c r="A6932" s="10" t="str">
        <f>基本属性!$B$21&amp;"|"&amp;基本属性!$C$21</f>
        <v>200|11</v>
      </c>
      <c r="B6932" s="10" t="str">
        <f>参数调整!$J$37</f>
        <v>新增怪物种类2掉落</v>
      </c>
      <c r="C6932" s="8" t="str">
        <f>材料产出!$H$2</f>
        <v>经验</v>
      </c>
      <c r="D6932" s="224">
        <f>参数调整!$K$37*怪物掉落配置方案!$D4880</f>
        <v>2333334</v>
      </c>
    </row>
    <row r="6933" spans="1:4" ht="16.5" hidden="1" x14ac:dyDescent="0.3">
      <c r="A6933" s="10" t="str">
        <f>基本属性!$B$22&amp;"|"&amp;基本属性!$C$22</f>
        <v>210|12</v>
      </c>
      <c r="B6933" s="10" t="str">
        <f>参数调整!$J$37</f>
        <v>新增怪物种类2掉落</v>
      </c>
      <c r="C6933" s="8" t="str">
        <f>材料产出!$H$2</f>
        <v>经验</v>
      </c>
      <c r="D6933" s="224">
        <f>参数调整!$K$37*怪物掉落配置方案!$D4881</f>
        <v>2333334</v>
      </c>
    </row>
    <row r="6934" spans="1:4" ht="16.5" hidden="1" x14ac:dyDescent="0.3">
      <c r="A6934" s="10" t="str">
        <f>基本属性!$B$23&amp;"|"&amp;基本属性!$C$23</f>
        <v>210|13</v>
      </c>
      <c r="B6934" s="10" t="str">
        <f>参数调整!$J$37</f>
        <v>新增怪物种类2掉落</v>
      </c>
      <c r="C6934" s="8" t="str">
        <f>材料产出!$H$2</f>
        <v>经验</v>
      </c>
      <c r="D6934" s="224">
        <f>参数调整!$K$37*怪物掉落配置方案!$D4882</f>
        <v>2333334</v>
      </c>
    </row>
    <row r="6935" spans="1:4" ht="16.5" hidden="1" x14ac:dyDescent="0.3">
      <c r="A6935" s="10" t="str">
        <f>基本属性!$B$24&amp;"|"&amp;基本属性!$C$24</f>
        <v>220|14</v>
      </c>
      <c r="B6935" s="10" t="str">
        <f>参数调整!$J$37</f>
        <v>新增怪物种类2掉落</v>
      </c>
      <c r="C6935" s="8" t="str">
        <f>材料产出!$H$2</f>
        <v>经验</v>
      </c>
      <c r="D6935" s="224">
        <f>参数调整!$K$37*怪物掉落配置方案!$D4883</f>
        <v>2333334</v>
      </c>
    </row>
    <row r="6936" spans="1:4" ht="16.5" hidden="1" x14ac:dyDescent="0.3">
      <c r="A6936" s="10" t="str">
        <f>基本属性!$B$25&amp;"|"&amp;基本属性!$C$25</f>
        <v>220|15</v>
      </c>
      <c r="B6936" s="10" t="str">
        <f>参数调整!$J$37</f>
        <v>新增怪物种类2掉落</v>
      </c>
      <c r="C6936" s="8" t="str">
        <f>材料产出!$H$2</f>
        <v>经验</v>
      </c>
      <c r="D6936" s="224">
        <f>参数调整!$K$37*怪物掉落配置方案!$D4884</f>
        <v>2333334</v>
      </c>
    </row>
    <row r="6937" spans="1:4" ht="16.5" hidden="1" x14ac:dyDescent="0.3">
      <c r="A6937" s="10" t="str">
        <f>基本属性!$B$26&amp;"|"&amp;基本属性!$C$26</f>
        <v>230|16</v>
      </c>
      <c r="B6937" s="10" t="str">
        <f>参数调整!$J$37</f>
        <v>新增怪物种类2掉落</v>
      </c>
      <c r="C6937" s="8" t="str">
        <f>材料产出!$H$2</f>
        <v>经验</v>
      </c>
      <c r="D6937" s="224">
        <f>参数调整!$K$37*怪物掉落配置方案!$D4885</f>
        <v>1166666</v>
      </c>
    </row>
    <row r="6938" spans="1:4" ht="16.5" hidden="1" x14ac:dyDescent="0.3">
      <c r="A6938" s="10" t="str">
        <f>基本属性!$B$27&amp;"|"&amp;基本属性!$C$27</f>
        <v>230|17</v>
      </c>
      <c r="B6938" s="10" t="str">
        <f>参数调整!$J$37</f>
        <v>新增怪物种类2掉落</v>
      </c>
      <c r="C6938" s="8" t="str">
        <f>材料产出!$H$2</f>
        <v>经验</v>
      </c>
      <c r="D6938" s="224">
        <f>参数调整!$K$37*怪物掉落配置方案!$D4886</f>
        <v>1166666</v>
      </c>
    </row>
    <row r="6939" spans="1:4" ht="16.5" hidden="1" x14ac:dyDescent="0.3">
      <c r="A6939" s="10" t="str">
        <f>基本属性!$B$28&amp;"|"&amp;基本属性!$C$28</f>
        <v>240|18</v>
      </c>
      <c r="B6939" s="10" t="str">
        <f>参数调整!$J$37</f>
        <v>新增怪物种类2掉落</v>
      </c>
      <c r="C6939" s="8" t="str">
        <f>材料产出!$H$2</f>
        <v>经验</v>
      </c>
      <c r="D6939" s="224">
        <f>参数调整!$K$37*怪物掉落配置方案!$D4887</f>
        <v>1166666</v>
      </c>
    </row>
    <row r="6940" spans="1:4" ht="16.5" hidden="1" x14ac:dyDescent="0.3">
      <c r="A6940" s="10" t="str">
        <f>基本属性!$B$29&amp;"|"&amp;基本属性!$C$29</f>
        <v>240|19</v>
      </c>
      <c r="B6940" s="10" t="str">
        <f>参数调整!$J$37</f>
        <v>新增怪物种类2掉落</v>
      </c>
      <c r="C6940" s="8" t="str">
        <f>材料产出!$H$2</f>
        <v>经验</v>
      </c>
      <c r="D6940" s="224">
        <f>参数调整!$K$37*怪物掉落配置方案!$D4888</f>
        <v>1166666</v>
      </c>
    </row>
    <row r="6941" spans="1:4" ht="16.5" hidden="1" x14ac:dyDescent="0.3">
      <c r="A6941" s="10" t="str">
        <f>基本属性!$B$30&amp;"|"&amp;基本属性!$C$30</f>
        <v>250|20</v>
      </c>
      <c r="B6941" s="10" t="str">
        <f>参数调整!$J$37</f>
        <v>新增怪物种类2掉落</v>
      </c>
      <c r="C6941" s="8" t="str">
        <f>材料产出!$H$2</f>
        <v>经验</v>
      </c>
      <c r="D6941" s="224">
        <f>参数调整!$K$37*怪物掉落配置方案!$D4889</f>
        <v>1166666</v>
      </c>
    </row>
    <row r="6942" spans="1:4" ht="16.5" hidden="1" x14ac:dyDescent="0.3">
      <c r="A6942" s="10" t="str">
        <f>基本属性!$B$4&amp;"|"&amp;基本属性!$C$4</f>
        <v>35|0</v>
      </c>
      <c r="B6942" s="10" t="str">
        <f>参数调整!$J$37</f>
        <v>新增怪物种类2掉落</v>
      </c>
      <c r="C6942" s="8" t="str">
        <f>材料产出!$AN$2</f>
        <v>极品注灵石</v>
      </c>
      <c r="D6942" s="224">
        <f>参数调整!$K$37*怪物掉落配置方案!$D4890</f>
        <v>1.0368820578847133E-3</v>
      </c>
    </row>
    <row r="6943" spans="1:4" ht="16.5" hidden="1" x14ac:dyDescent="0.3">
      <c r="A6943" s="10" t="str">
        <f>基本属性!$B$5&amp;"|"&amp;基本属性!$C$5</f>
        <v>40|0</v>
      </c>
      <c r="B6943" s="10" t="str">
        <f>参数调整!$J$37</f>
        <v>新增怪物种类2掉落</v>
      </c>
      <c r="C6943" s="8" t="str">
        <f>材料产出!$AN$2</f>
        <v>极品注灵石</v>
      </c>
      <c r="D6943" s="224">
        <f>参数调整!$K$37*怪物掉落配置方案!$D4891</f>
        <v>1.3123038545103402E-3</v>
      </c>
    </row>
    <row r="6944" spans="1:4" ht="16.5" hidden="1" x14ac:dyDescent="0.3">
      <c r="A6944" s="10" t="str">
        <f>基本属性!$B$6&amp;"|"&amp;基本属性!$C$6</f>
        <v>50|0</v>
      </c>
      <c r="B6944" s="10" t="str">
        <f>参数调整!$J$37</f>
        <v>新增怪物种类2掉落</v>
      </c>
      <c r="C6944" s="8" t="str">
        <f>材料产出!$AN$2</f>
        <v>极品注灵石</v>
      </c>
      <c r="D6944" s="224">
        <f>参数调整!$K$37*怪物掉落配置方案!$D4892</f>
        <v>1.6201282154448646E-3</v>
      </c>
    </row>
    <row r="6945" spans="1:4" ht="16.5" hidden="1" x14ac:dyDescent="0.3">
      <c r="A6945" s="10" t="str">
        <f>基本属性!$B$7&amp;"|"&amp;基本属性!$C$7</f>
        <v>60|0</v>
      </c>
      <c r="B6945" s="10" t="str">
        <f>参数调整!$J$37</f>
        <v>新增怪物种类2掉落</v>
      </c>
      <c r="C6945" s="8" t="str">
        <f>材料产出!$AN$2</f>
        <v>极品注灵石</v>
      </c>
      <c r="D6945" s="224">
        <f>参数调整!$K$37*怪物掉落配置方案!$D4893</f>
        <v>1.9603551406882865E-3</v>
      </c>
    </row>
    <row r="6946" spans="1:4" ht="16.5" hidden="1" x14ac:dyDescent="0.3">
      <c r="A6946" s="10" t="str">
        <f>基本属性!$B$8&amp;"|"&amp;基本属性!$C$8</f>
        <v>65|0</v>
      </c>
      <c r="B6946" s="10" t="str">
        <f>参数调整!$J$37</f>
        <v>新增怪物种类2掉落</v>
      </c>
      <c r="C6946" s="8" t="str">
        <f>材料产出!$AN$2</f>
        <v>极品注灵石</v>
      </c>
      <c r="D6946" s="224">
        <f>参数调整!$K$37*怪物掉落配置方案!$D4894</f>
        <v>2.3329846302406047E-3</v>
      </c>
    </row>
    <row r="6947" spans="1:4" ht="16.5" hidden="1" x14ac:dyDescent="0.3">
      <c r="A6947" s="10" t="str">
        <f>基本属性!$B$9&amp;"|"&amp;基本属性!$C$9</f>
        <v>70|0</v>
      </c>
      <c r="B6947" s="10" t="str">
        <f>参数调整!$J$37</f>
        <v>新增怪物种类2掉落</v>
      </c>
      <c r="C6947" s="8" t="str">
        <f>材料产出!$AN$2</f>
        <v>极品注灵石</v>
      </c>
      <c r="D6947" s="224">
        <f>参数调整!$K$37*怪物掉落配置方案!$D4895</f>
        <v>2.7380166841018214E-3</v>
      </c>
    </row>
    <row r="6948" spans="1:4" ht="16.5" hidden="1" x14ac:dyDescent="0.3">
      <c r="A6948" s="10" t="str">
        <f>基本属性!$B$10&amp;"|"&amp;基本属性!$C$10</f>
        <v>75|0</v>
      </c>
      <c r="B6948" s="10" t="str">
        <f>参数调整!$J$37</f>
        <v>新增怪物种类2掉落</v>
      </c>
      <c r="C6948" s="8" t="str">
        <f>材料产出!$AN$2</f>
        <v>极品注灵石</v>
      </c>
      <c r="D6948" s="224">
        <f>参数调整!$K$37*怪物掉落配置方案!$D4896</f>
        <v>3.1754513022719338E-3</v>
      </c>
    </row>
    <row r="6949" spans="1:4" ht="16.5" hidden="1" x14ac:dyDescent="0.3">
      <c r="A6949" s="10" t="str">
        <f>基本属性!$B$11&amp;"|"&amp;基本属性!$C$11</f>
        <v>80|1</v>
      </c>
      <c r="B6949" s="10" t="str">
        <f>参数调整!$J$37</f>
        <v>新增怪物种类2掉落</v>
      </c>
      <c r="C6949" s="8" t="str">
        <f>材料产出!$AN$2</f>
        <v>极品注灵石</v>
      </c>
      <c r="D6949" s="224">
        <f>参数调整!$K$37*怪物掉落配置方案!$D4897</f>
        <v>3.6452884847509455E-3</v>
      </c>
    </row>
    <row r="6950" spans="1:4" ht="16.5" hidden="1" x14ac:dyDescent="0.3">
      <c r="A6950" s="10" t="str">
        <f>基本属性!$B$12&amp;"|"&amp;基本属性!$C$12</f>
        <v>90|2</v>
      </c>
      <c r="B6950" s="10" t="str">
        <f>参数调整!$J$37</f>
        <v>新增怪物种类2掉落</v>
      </c>
      <c r="C6950" s="8" t="str">
        <f>材料产出!$AN$2</f>
        <v>极品注灵石</v>
      </c>
      <c r="D6950" s="224">
        <f>参数调整!$K$37*怪物掉落配置方案!$D4898</f>
        <v>4.1475282315388542E-3</v>
      </c>
    </row>
    <row r="6951" spans="1:4" ht="16.5" hidden="1" x14ac:dyDescent="0.3">
      <c r="A6951" s="10" t="str">
        <f>基本属性!$B$13&amp;"|"&amp;基本属性!$C$13</f>
        <v>100|3</v>
      </c>
      <c r="B6951" s="10" t="str">
        <f>参数调整!$J$37</f>
        <v>新增怪物种类2掉落</v>
      </c>
      <c r="C6951" s="8" t="str">
        <f>材料产出!$AN$2</f>
        <v>极品注灵石</v>
      </c>
      <c r="D6951" s="224">
        <f>参数调整!$K$37*怪物掉落配置方案!$D4899</f>
        <v>5.2492154180413617E-3</v>
      </c>
    </row>
    <row r="6952" spans="1:4" ht="16.5" hidden="1" x14ac:dyDescent="0.3">
      <c r="A6952" s="10" t="str">
        <f>基本属性!$B$14&amp;"|"&amp;基本属性!$C$14</f>
        <v>105|4</v>
      </c>
      <c r="B6952" s="10" t="str">
        <f>参数调整!$J$37</f>
        <v>新增怪物种类2掉落</v>
      </c>
      <c r="C6952" s="8" t="str">
        <f>材料产出!$AN$2</f>
        <v>极品注灵石</v>
      </c>
      <c r="D6952" s="224">
        <f>参数调整!$K$37*怪物掉落配置方案!$D4900</f>
        <v>6.4805128617794585E-3</v>
      </c>
    </row>
    <row r="6953" spans="1:4" ht="16.5" hidden="1" x14ac:dyDescent="0.3">
      <c r="A6953" s="10" t="str">
        <f>基本属性!$B$15&amp;"|"&amp;基本属性!$C$15</f>
        <v>110|5</v>
      </c>
      <c r="B6953" s="10" t="str">
        <f>参数调整!$J$37</f>
        <v>新增怪物种类2掉落</v>
      </c>
      <c r="C6953" s="8" t="str">
        <f>材料产出!$AN$2</f>
        <v>极品注灵石</v>
      </c>
      <c r="D6953" s="224">
        <f>参数调整!$K$37*怪物掉落配置方案!$D4901</f>
        <v>7.8414205627531462E-3</v>
      </c>
    </row>
    <row r="6954" spans="1:4" ht="16.5" hidden="1" x14ac:dyDescent="0.3">
      <c r="A6954" s="10" t="str">
        <f>基本属性!$B$16&amp;"|"&amp;基本属性!$C$16</f>
        <v>120|6</v>
      </c>
      <c r="B6954" s="10" t="str">
        <f>参数调整!$J$37</f>
        <v>新增怪物种类2掉落</v>
      </c>
      <c r="C6954" s="8" t="str">
        <f>材料产出!$AN$2</f>
        <v>极品注灵石</v>
      </c>
      <c r="D6954" s="224">
        <f>参数调整!$K$37*怪物掉落配置方案!$D4902</f>
        <v>1.0125801346530404E-2</v>
      </c>
    </row>
    <row r="6955" spans="1:4" ht="16.5" hidden="1" x14ac:dyDescent="0.3">
      <c r="A6955" s="10" t="str">
        <f>基本属性!$B$17&amp;"|"&amp;基本属性!$C$17</f>
        <v>135|7</v>
      </c>
      <c r="B6955" s="10" t="str">
        <f>参数调整!$J$37</f>
        <v>新增怪物种类2掉落</v>
      </c>
      <c r="C6955" s="8" t="str">
        <f>材料产出!$AN$2</f>
        <v>极品注灵石</v>
      </c>
      <c r="D6955" s="224">
        <f>参数调整!$K$37*怪物掉落配置方案!$D4903</f>
        <v>1.458115393900378E-2</v>
      </c>
    </row>
    <row r="6956" spans="1:4" ht="16.5" hidden="1" x14ac:dyDescent="0.3">
      <c r="A6956" s="10" t="str">
        <f>基本属性!$B$18&amp;"|"&amp;基本属性!$C$18</f>
        <v>155|8</v>
      </c>
      <c r="B6956" s="10" t="str">
        <f>参数调整!$J$37</f>
        <v>新增怪物种类2掉落</v>
      </c>
      <c r="C6956" s="8" t="str">
        <f>材料产出!$AN$2</f>
        <v>极品注灵石</v>
      </c>
      <c r="D6956" s="224">
        <f>参数调整!$K$37*怪物掉落配置方案!$D4904</f>
        <v>1.9846570639199593E-2</v>
      </c>
    </row>
    <row r="6957" spans="1:4" ht="16.5" hidden="1" x14ac:dyDescent="0.3">
      <c r="A6957" s="10" t="str">
        <f>基本属性!$B$19&amp;"|"&amp;基本属性!$C$19</f>
        <v>190|9</v>
      </c>
      <c r="B6957" s="10" t="str">
        <f>参数调整!$J$37</f>
        <v>新增怪物种类2掉落</v>
      </c>
      <c r="C6957" s="8" t="str">
        <f>材料产出!$AN$2</f>
        <v>极品注灵石</v>
      </c>
      <c r="D6957" s="224">
        <f>参数调整!$K$37*怪物掉落配置方案!$D4905</f>
        <v>2.2179555269440199E-2</v>
      </c>
    </row>
    <row r="6958" spans="1:4" ht="16.5" hidden="1" x14ac:dyDescent="0.3">
      <c r="A6958" s="10" t="str">
        <f>基本属性!$B$20&amp;"|"&amp;基本属性!$C$20</f>
        <v>200|10</v>
      </c>
      <c r="B6958" s="10" t="str">
        <f>参数调整!$J$37</f>
        <v>新增怪物种类2掉落</v>
      </c>
      <c r="C6958" s="8" t="str">
        <f>材料产出!$AN$2</f>
        <v>极品注灵石</v>
      </c>
      <c r="D6958" s="224">
        <f>参数调整!$K$37*怪物掉落配置方案!$D4906</f>
        <v>2.5922051447117834E-2</v>
      </c>
    </row>
    <row r="6959" spans="1:4" ht="16.5" hidden="1" x14ac:dyDescent="0.3">
      <c r="A6959" s="10" t="str">
        <f>基本属性!$B$21&amp;"|"&amp;基本属性!$C$21</f>
        <v>200|11</v>
      </c>
      <c r="B6959" s="10" t="str">
        <f>参数调整!$J$37</f>
        <v>新增怪物种类2掉落</v>
      </c>
      <c r="C6959" s="8" t="str">
        <f>材料产出!$AN$2</f>
        <v>极品注灵石</v>
      </c>
      <c r="D6959" s="224">
        <f>参数调整!$K$37*怪物掉落配置方案!$D4907</f>
        <v>2.9956170703575539E-2</v>
      </c>
    </row>
    <row r="6960" spans="1:4" ht="16.5" hidden="1" x14ac:dyDescent="0.3">
      <c r="A6960" s="10" t="str">
        <f>基本属性!$B$22&amp;"|"&amp;基本属性!$C$22</f>
        <v>210|12</v>
      </c>
      <c r="B6960" s="10" t="str">
        <f>参数调整!$J$37</f>
        <v>新增怪物种类2掉落</v>
      </c>
      <c r="C6960" s="8" t="str">
        <f>材料产出!$AN$2</f>
        <v>极品注灵石</v>
      </c>
      <c r="D6960" s="224">
        <f>参数调整!$K$37*怪物掉落配置方案!$D4908</f>
        <v>3.4281913038813332E-2</v>
      </c>
    </row>
    <row r="6961" spans="1:4" ht="16.5" hidden="1" x14ac:dyDescent="0.3">
      <c r="A6961" s="10" t="str">
        <f>基本属性!$B$23&amp;"|"&amp;基本属性!$C$23</f>
        <v>210|13</v>
      </c>
      <c r="B6961" s="10" t="str">
        <f>参数调整!$J$37</f>
        <v>新增怪物种类2掉落</v>
      </c>
      <c r="C6961" s="8" t="str">
        <f>材料产出!$AN$2</f>
        <v>极品注灵石</v>
      </c>
      <c r="D6961" s="224">
        <f>参数调整!$K$37*怪物掉落配置方案!$D4909</f>
        <v>3.8899278452831199E-2</v>
      </c>
    </row>
    <row r="6962" spans="1:4" ht="16.5" hidden="1" x14ac:dyDescent="0.3">
      <c r="A6962" s="10" t="str">
        <f>基本属性!$B$24&amp;"|"&amp;基本属性!$C$24</f>
        <v>220|14</v>
      </c>
      <c r="B6962" s="10" t="str">
        <f>参数调整!$J$37</f>
        <v>新增怪物种类2掉落</v>
      </c>
      <c r="C6962" s="8" t="str">
        <f>材料产出!$AN$2</f>
        <v>极品注灵石</v>
      </c>
      <c r="D6962" s="224">
        <f>参数调整!$K$37*怪物掉落配置方案!$D4910</f>
        <v>4.3808266945629143E-2</v>
      </c>
    </row>
    <row r="6963" spans="1:4" ht="16.5" hidden="1" x14ac:dyDescent="0.3">
      <c r="A6963" s="10" t="str">
        <f>基本属性!$B$25&amp;"|"&amp;基本属性!$C$25</f>
        <v>220|15</v>
      </c>
      <c r="B6963" s="10" t="str">
        <f>参数调整!$J$37</f>
        <v>新增怪物种类2掉落</v>
      </c>
      <c r="C6963" s="8" t="str">
        <f>材料产出!$AN$2</f>
        <v>极品注灵石</v>
      </c>
      <c r="D6963" s="224">
        <f>参数调整!$K$37*怪物掉落配置方案!$D4911</f>
        <v>4.9008878517207144E-2</v>
      </c>
    </row>
    <row r="6964" spans="1:4" ht="16.5" hidden="1" x14ac:dyDescent="0.3">
      <c r="A6964" s="10" t="str">
        <f>基本属性!$B$26&amp;"|"&amp;基本属性!$C$26</f>
        <v>230|16</v>
      </c>
      <c r="B6964" s="10" t="str">
        <f>参数调整!$J$37</f>
        <v>新增怪物种类2掉落</v>
      </c>
      <c r="C6964" s="8" t="str">
        <f>材料产出!$AN$2</f>
        <v>极品注灵石</v>
      </c>
      <c r="D6964" s="224">
        <f>参数调整!$K$37*怪物掉落配置方案!$D4912</f>
        <v>5.4501113167565236E-2</v>
      </c>
    </row>
    <row r="6965" spans="1:4" ht="16.5" hidden="1" x14ac:dyDescent="0.3">
      <c r="A6965" s="10" t="str">
        <f>基本属性!$B$27&amp;"|"&amp;基本属性!$C$27</f>
        <v>230|17</v>
      </c>
      <c r="B6965" s="10" t="str">
        <f>参数调整!$J$37</f>
        <v>新增怪物种类2掉落</v>
      </c>
      <c r="C6965" s="8" t="str">
        <f>材料产出!$AN$2</f>
        <v>极品注灵石</v>
      </c>
      <c r="D6965" s="224">
        <f>参数调整!$K$37*怪物掉落配置方案!$D4913</f>
        <v>6.0284970896703399E-2</v>
      </c>
    </row>
    <row r="6966" spans="1:4" ht="16.5" hidden="1" x14ac:dyDescent="0.3">
      <c r="A6966" s="10" t="str">
        <f>基本属性!$B$28&amp;"|"&amp;基本属性!$C$28</f>
        <v>240|18</v>
      </c>
      <c r="B6966" s="10" t="str">
        <f>参数调整!$J$37</f>
        <v>新增怪物种类2掉落</v>
      </c>
      <c r="C6966" s="8" t="str">
        <f>材料产出!$AN$2</f>
        <v>极品注灵石</v>
      </c>
      <c r="D6966" s="224">
        <f>参数调整!$K$37*怪物掉落配置方案!$D4914</f>
        <v>6.6360451704621667E-2</v>
      </c>
    </row>
    <row r="6967" spans="1:4" ht="16.5" hidden="1" x14ac:dyDescent="0.3">
      <c r="A6967" s="10" t="str">
        <f>基本属性!$B$29&amp;"|"&amp;基本属性!$C$29</f>
        <v>240|19</v>
      </c>
      <c r="B6967" s="10" t="str">
        <f>参数调整!$J$37</f>
        <v>新增怪物种类2掉落</v>
      </c>
      <c r="C6967" s="8" t="str">
        <f>材料产出!$AN$2</f>
        <v>极品注灵石</v>
      </c>
      <c r="D6967" s="224">
        <f>参数调整!$K$37*怪物掉落配置方案!$D4915</f>
        <v>7.2727555591319978E-2</v>
      </c>
    </row>
    <row r="6968" spans="1:4" ht="16.5" hidden="1" x14ac:dyDescent="0.3">
      <c r="A6968" s="10" t="str">
        <f>基本属性!$B$30&amp;"|"&amp;基本属性!$C$30</f>
        <v>250|20</v>
      </c>
      <c r="B6968" s="10" t="str">
        <f>参数调整!$J$37</f>
        <v>新增怪物种类2掉落</v>
      </c>
      <c r="C6968" s="8" t="str">
        <f>材料产出!$AN$2</f>
        <v>极品注灵石</v>
      </c>
      <c r="D6968" s="224">
        <f>参数调整!$K$37*怪物掉落配置方案!$D4916</f>
        <v>7.9386282556798346E-2</v>
      </c>
    </row>
    <row r="6969" spans="1:4" ht="16.5" hidden="1" x14ac:dyDescent="0.3">
      <c r="A6969" s="10" t="str">
        <f>基本属性!$B$4&amp;"|"&amp;基本属性!$C$4</f>
        <v>35|0</v>
      </c>
      <c r="B6969" s="10" t="str">
        <f>参数调整!$J$37</f>
        <v>新增怪物种类2掉落</v>
      </c>
      <c r="C6969" s="8" t="str">
        <f>材料产出!$HV$2</f>
        <v>基本装备</v>
      </c>
      <c r="D6969" s="224">
        <f>参数调整!$K$37*怪物掉落配置方案!$D4917</f>
        <v>0</v>
      </c>
    </row>
    <row r="6970" spans="1:4" ht="16.5" hidden="1" x14ac:dyDescent="0.3">
      <c r="A6970" s="10" t="str">
        <f>基本属性!$B$5&amp;"|"&amp;基本属性!$C$5</f>
        <v>40|0</v>
      </c>
      <c r="B6970" s="10" t="str">
        <f>参数调整!$J$37</f>
        <v>新增怪物种类2掉落</v>
      </c>
      <c r="C6970" s="8" t="str">
        <f>材料产出!$HV$2</f>
        <v>基本装备</v>
      </c>
      <c r="D6970" s="224">
        <f>参数调整!$K$37*怪物掉落配置方案!$D4918</f>
        <v>0</v>
      </c>
    </row>
    <row r="6971" spans="1:4" ht="16.5" hidden="1" x14ac:dyDescent="0.3">
      <c r="A6971" s="10" t="str">
        <f>基本属性!$B$6&amp;"|"&amp;基本属性!$C$6</f>
        <v>50|0</v>
      </c>
      <c r="B6971" s="10" t="str">
        <f>参数调整!$J$37</f>
        <v>新增怪物种类2掉落</v>
      </c>
      <c r="C6971" s="8" t="str">
        <f>材料产出!$HV$2</f>
        <v>基本装备</v>
      </c>
      <c r="D6971" s="224">
        <f>参数调整!$K$37*怪物掉落配置方案!$D4919</f>
        <v>0</v>
      </c>
    </row>
    <row r="6972" spans="1:4" ht="16.5" hidden="1" x14ac:dyDescent="0.3">
      <c r="A6972" s="10" t="str">
        <f>基本属性!$B$7&amp;"|"&amp;基本属性!$C$7</f>
        <v>60|0</v>
      </c>
      <c r="B6972" s="10" t="str">
        <f>参数调整!$J$37</f>
        <v>新增怪物种类2掉落</v>
      </c>
      <c r="C6972" s="8" t="str">
        <f>材料产出!$HV$2</f>
        <v>基本装备</v>
      </c>
      <c r="D6972" s="224">
        <f>参数调整!$K$37*怪物掉落配置方案!$D4920</f>
        <v>0</v>
      </c>
    </row>
    <row r="6973" spans="1:4" ht="16.5" hidden="1" x14ac:dyDescent="0.3">
      <c r="A6973" s="10" t="str">
        <f>基本属性!$B$8&amp;"|"&amp;基本属性!$C$8</f>
        <v>65|0</v>
      </c>
      <c r="B6973" s="10" t="str">
        <f>参数调整!$J$37</f>
        <v>新增怪物种类2掉落</v>
      </c>
      <c r="C6973" s="8" t="str">
        <f>材料产出!$HV$2</f>
        <v>基本装备</v>
      </c>
      <c r="D6973" s="224">
        <f>参数调整!$K$37*怪物掉落配置方案!$D4921</f>
        <v>0</v>
      </c>
    </row>
    <row r="6974" spans="1:4" ht="16.5" hidden="1" x14ac:dyDescent="0.3">
      <c r="A6974" s="10" t="str">
        <f>基本属性!$B$9&amp;"|"&amp;基本属性!$C$9</f>
        <v>70|0</v>
      </c>
      <c r="B6974" s="10" t="str">
        <f>参数调整!$J$37</f>
        <v>新增怪物种类2掉落</v>
      </c>
      <c r="C6974" s="8" t="str">
        <f>材料产出!$HV$2</f>
        <v>基本装备</v>
      </c>
      <c r="D6974" s="224">
        <f>参数调整!$K$37*怪物掉落配置方案!$D4922</f>
        <v>0</v>
      </c>
    </row>
    <row r="6975" spans="1:4" ht="16.5" hidden="1" x14ac:dyDescent="0.3">
      <c r="A6975" s="10" t="str">
        <f>基本属性!$B$10&amp;"|"&amp;基本属性!$C$10</f>
        <v>75|0</v>
      </c>
      <c r="B6975" s="10" t="str">
        <f>参数调整!$J$37</f>
        <v>新增怪物种类2掉落</v>
      </c>
      <c r="C6975" s="8" t="str">
        <f>材料产出!$HV$2</f>
        <v>基本装备</v>
      </c>
      <c r="D6975" s="224">
        <f>参数调整!$K$37*怪物掉落配置方案!$D4923</f>
        <v>0</v>
      </c>
    </row>
    <row r="6976" spans="1:4" ht="16.5" hidden="1" x14ac:dyDescent="0.3">
      <c r="A6976" s="10" t="str">
        <f>基本属性!$B$11&amp;"|"&amp;基本属性!$C$11</f>
        <v>80|1</v>
      </c>
      <c r="B6976" s="10" t="str">
        <f>参数调整!$J$37</f>
        <v>新增怪物种类2掉落</v>
      </c>
      <c r="C6976" s="8" t="str">
        <f>材料产出!$HV$2</f>
        <v>基本装备</v>
      </c>
      <c r="D6976" s="224">
        <f>参数调整!$K$37*怪物掉落配置方案!$D4924</f>
        <v>0</v>
      </c>
    </row>
    <row r="6977" spans="1:4" ht="16.5" hidden="1" x14ac:dyDescent="0.3">
      <c r="A6977" s="10" t="str">
        <f>基本属性!$B$12&amp;"|"&amp;基本属性!$C$12</f>
        <v>90|2</v>
      </c>
      <c r="B6977" s="10" t="str">
        <f>参数调整!$J$37</f>
        <v>新增怪物种类2掉落</v>
      </c>
      <c r="C6977" s="8" t="str">
        <f>材料产出!$HV$2</f>
        <v>基本装备</v>
      </c>
      <c r="D6977" s="224">
        <f>参数调整!$K$37*怪物掉落配置方案!$D4925</f>
        <v>0</v>
      </c>
    </row>
    <row r="6978" spans="1:4" ht="16.5" hidden="1" x14ac:dyDescent="0.3">
      <c r="A6978" s="10" t="str">
        <f>基本属性!$B$13&amp;"|"&amp;基本属性!$C$13</f>
        <v>100|3</v>
      </c>
      <c r="B6978" s="10" t="str">
        <f>参数调整!$J$37</f>
        <v>新增怪物种类2掉落</v>
      </c>
      <c r="C6978" s="8" t="str">
        <f>材料产出!$HV$2</f>
        <v>基本装备</v>
      </c>
      <c r="D6978" s="224">
        <f>参数调整!$K$37*怪物掉落配置方案!$D4926</f>
        <v>0</v>
      </c>
    </row>
    <row r="6979" spans="1:4" ht="16.5" hidden="1" x14ac:dyDescent="0.3">
      <c r="A6979" s="10" t="str">
        <f>基本属性!$B$14&amp;"|"&amp;基本属性!$C$14</f>
        <v>105|4</v>
      </c>
      <c r="B6979" s="10" t="str">
        <f>参数调整!$J$37</f>
        <v>新增怪物种类2掉落</v>
      </c>
      <c r="C6979" s="8" t="str">
        <f>材料产出!$HV$2</f>
        <v>基本装备</v>
      </c>
      <c r="D6979" s="224">
        <f>参数调整!$K$37*怪物掉落配置方案!$D4927</f>
        <v>0</v>
      </c>
    </row>
    <row r="6980" spans="1:4" ht="16.5" hidden="1" x14ac:dyDescent="0.3">
      <c r="A6980" s="10" t="str">
        <f>基本属性!$B$15&amp;"|"&amp;基本属性!$C$15</f>
        <v>110|5</v>
      </c>
      <c r="B6980" s="10" t="str">
        <f>参数调整!$J$37</f>
        <v>新增怪物种类2掉落</v>
      </c>
      <c r="C6980" s="8" t="str">
        <f>材料产出!$HV$2</f>
        <v>基本装备</v>
      </c>
      <c r="D6980" s="224">
        <f>参数调整!$K$37*怪物掉落配置方案!$D4928</f>
        <v>0</v>
      </c>
    </row>
    <row r="6981" spans="1:4" ht="16.5" hidden="1" x14ac:dyDescent="0.3">
      <c r="A6981" s="10" t="str">
        <f>基本属性!$B$16&amp;"|"&amp;基本属性!$C$16</f>
        <v>120|6</v>
      </c>
      <c r="B6981" s="10" t="str">
        <f>参数调整!$J$37</f>
        <v>新增怪物种类2掉落</v>
      </c>
      <c r="C6981" s="8" t="str">
        <f>材料产出!$HV$2</f>
        <v>基本装备</v>
      </c>
      <c r="D6981" s="224">
        <f>参数调整!$K$37*怪物掉落配置方案!$D4929</f>
        <v>0</v>
      </c>
    </row>
    <row r="6982" spans="1:4" ht="16.5" hidden="1" x14ac:dyDescent="0.3">
      <c r="A6982" s="10" t="str">
        <f>基本属性!$B$17&amp;"|"&amp;基本属性!$C$17</f>
        <v>135|7</v>
      </c>
      <c r="B6982" s="10" t="str">
        <f>参数调整!$J$37</f>
        <v>新增怪物种类2掉落</v>
      </c>
      <c r="C6982" s="8" t="str">
        <f>材料产出!$HV$2</f>
        <v>基本装备</v>
      </c>
      <c r="D6982" s="224">
        <f>参数调整!$K$37*怪物掉落配置方案!$D4930</f>
        <v>0</v>
      </c>
    </row>
    <row r="6983" spans="1:4" ht="16.5" hidden="1" x14ac:dyDescent="0.3">
      <c r="A6983" s="10" t="str">
        <f>基本属性!$B$18&amp;"|"&amp;基本属性!$C$18</f>
        <v>155|8</v>
      </c>
      <c r="B6983" s="10" t="str">
        <f>参数调整!$J$37</f>
        <v>新增怪物种类2掉落</v>
      </c>
      <c r="C6983" s="8" t="str">
        <f>材料产出!$HV$2</f>
        <v>基本装备</v>
      </c>
      <c r="D6983" s="224">
        <f>参数调整!$K$37*怪物掉落配置方案!$D4931</f>
        <v>0</v>
      </c>
    </row>
    <row r="6984" spans="1:4" ht="16.5" hidden="1" x14ac:dyDescent="0.3">
      <c r="A6984" s="10" t="str">
        <f>基本属性!$B$19&amp;"|"&amp;基本属性!$C$19</f>
        <v>190|9</v>
      </c>
      <c r="B6984" s="10" t="str">
        <f>参数调整!$J$37</f>
        <v>新增怪物种类2掉落</v>
      </c>
      <c r="C6984" s="8" t="str">
        <f>材料产出!$HV$2</f>
        <v>基本装备</v>
      </c>
      <c r="D6984" s="224">
        <f>参数调整!$K$37*怪物掉落配置方案!$D4932</f>
        <v>0</v>
      </c>
    </row>
    <row r="6985" spans="1:4" ht="16.5" hidden="1" x14ac:dyDescent="0.3">
      <c r="A6985" s="10" t="str">
        <f>基本属性!$B$20&amp;"|"&amp;基本属性!$C$20</f>
        <v>200|10</v>
      </c>
      <c r="B6985" s="10" t="str">
        <f>参数调整!$J$37</f>
        <v>新增怪物种类2掉落</v>
      </c>
      <c r="C6985" s="8" t="str">
        <f>材料产出!$HV$2</f>
        <v>基本装备</v>
      </c>
      <c r="D6985" s="224">
        <f>参数调整!$K$37*怪物掉落配置方案!$D4933</f>
        <v>0</v>
      </c>
    </row>
    <row r="6986" spans="1:4" ht="16.5" hidden="1" x14ac:dyDescent="0.3">
      <c r="A6986" s="10" t="str">
        <f>基本属性!$B$21&amp;"|"&amp;基本属性!$C$21</f>
        <v>200|11</v>
      </c>
      <c r="B6986" s="10" t="str">
        <f>参数调整!$J$37</f>
        <v>新增怪物种类2掉落</v>
      </c>
      <c r="C6986" s="8" t="str">
        <f>材料产出!$HV$2</f>
        <v>基本装备</v>
      </c>
      <c r="D6986" s="224">
        <f>参数调整!$K$37*怪物掉落配置方案!$D4934</f>
        <v>0</v>
      </c>
    </row>
    <row r="6987" spans="1:4" ht="16.5" hidden="1" x14ac:dyDescent="0.3">
      <c r="A6987" s="10" t="str">
        <f>基本属性!$B$22&amp;"|"&amp;基本属性!$C$22</f>
        <v>210|12</v>
      </c>
      <c r="B6987" s="10" t="str">
        <f>参数调整!$J$37</f>
        <v>新增怪物种类2掉落</v>
      </c>
      <c r="C6987" s="8" t="str">
        <f>材料产出!$HV$2</f>
        <v>基本装备</v>
      </c>
      <c r="D6987" s="224">
        <f>参数调整!$K$37*怪物掉落配置方案!$D4935</f>
        <v>0</v>
      </c>
    </row>
    <row r="6988" spans="1:4" ht="16.5" hidden="1" x14ac:dyDescent="0.3">
      <c r="A6988" s="10" t="str">
        <f>基本属性!$B$23&amp;"|"&amp;基本属性!$C$23</f>
        <v>210|13</v>
      </c>
      <c r="B6988" s="10" t="str">
        <f>参数调整!$J$37</f>
        <v>新增怪物种类2掉落</v>
      </c>
      <c r="C6988" s="8" t="str">
        <f>材料产出!$HV$2</f>
        <v>基本装备</v>
      </c>
      <c r="D6988" s="224">
        <f>参数调整!$K$37*怪物掉落配置方案!$D4936</f>
        <v>0</v>
      </c>
    </row>
    <row r="6989" spans="1:4" ht="16.5" hidden="1" x14ac:dyDescent="0.3">
      <c r="A6989" s="10" t="str">
        <f>基本属性!$B$24&amp;"|"&amp;基本属性!$C$24</f>
        <v>220|14</v>
      </c>
      <c r="B6989" s="10" t="str">
        <f>参数调整!$J$37</f>
        <v>新增怪物种类2掉落</v>
      </c>
      <c r="C6989" s="8" t="str">
        <f>材料产出!$HV$2</f>
        <v>基本装备</v>
      </c>
      <c r="D6989" s="224">
        <f>参数调整!$K$37*怪物掉落配置方案!$D4937</f>
        <v>0</v>
      </c>
    </row>
    <row r="6990" spans="1:4" ht="16.5" hidden="1" x14ac:dyDescent="0.3">
      <c r="A6990" s="10" t="str">
        <f>基本属性!$B$25&amp;"|"&amp;基本属性!$C$25</f>
        <v>220|15</v>
      </c>
      <c r="B6990" s="10" t="str">
        <f>参数调整!$J$37</f>
        <v>新增怪物种类2掉落</v>
      </c>
      <c r="C6990" s="8" t="str">
        <f>材料产出!$HV$2</f>
        <v>基本装备</v>
      </c>
      <c r="D6990" s="224">
        <f>参数调整!$K$37*怪物掉落配置方案!$D4938</f>
        <v>0</v>
      </c>
    </row>
    <row r="6991" spans="1:4" ht="16.5" hidden="1" x14ac:dyDescent="0.3">
      <c r="A6991" s="10" t="str">
        <f>基本属性!$B$26&amp;"|"&amp;基本属性!$C$26</f>
        <v>230|16</v>
      </c>
      <c r="B6991" s="10" t="str">
        <f>参数调整!$J$37</f>
        <v>新增怪物种类2掉落</v>
      </c>
      <c r="C6991" s="8" t="str">
        <f>材料产出!$HV$2</f>
        <v>基本装备</v>
      </c>
      <c r="D6991" s="224">
        <f>参数调整!$K$37*怪物掉落配置方案!$D4939</f>
        <v>0</v>
      </c>
    </row>
    <row r="6992" spans="1:4" ht="16.5" hidden="1" x14ac:dyDescent="0.3">
      <c r="A6992" s="10" t="str">
        <f>基本属性!$B$27&amp;"|"&amp;基本属性!$C$27</f>
        <v>230|17</v>
      </c>
      <c r="B6992" s="10" t="str">
        <f>参数调整!$J$37</f>
        <v>新增怪物种类2掉落</v>
      </c>
      <c r="C6992" s="8" t="str">
        <f>材料产出!$HV$2</f>
        <v>基本装备</v>
      </c>
      <c r="D6992" s="224">
        <f>参数调整!$K$37*怪物掉落配置方案!$D4940</f>
        <v>0</v>
      </c>
    </row>
    <row r="6993" spans="1:4" ht="16.5" hidden="1" x14ac:dyDescent="0.3">
      <c r="A6993" s="10" t="str">
        <f>基本属性!$B$28&amp;"|"&amp;基本属性!$C$28</f>
        <v>240|18</v>
      </c>
      <c r="B6993" s="10" t="str">
        <f>参数调整!$J$37</f>
        <v>新增怪物种类2掉落</v>
      </c>
      <c r="C6993" s="8" t="str">
        <f>材料产出!$HV$2</f>
        <v>基本装备</v>
      </c>
      <c r="D6993" s="224">
        <f>参数调整!$K$37*怪物掉落配置方案!$D4941</f>
        <v>0</v>
      </c>
    </row>
    <row r="6994" spans="1:4" ht="16.5" hidden="1" x14ac:dyDescent="0.3">
      <c r="A6994" s="10" t="str">
        <f>基本属性!$B$29&amp;"|"&amp;基本属性!$C$29</f>
        <v>240|19</v>
      </c>
      <c r="B6994" s="10" t="str">
        <f>参数调整!$J$37</f>
        <v>新增怪物种类2掉落</v>
      </c>
      <c r="C6994" s="8" t="str">
        <f>材料产出!$HV$2</f>
        <v>基本装备</v>
      </c>
      <c r="D6994" s="224">
        <f>参数调整!$K$37*怪物掉落配置方案!$D4942</f>
        <v>0</v>
      </c>
    </row>
    <row r="6995" spans="1:4" ht="16.5" hidden="1" x14ac:dyDescent="0.3">
      <c r="A6995" s="10" t="str">
        <f>基本属性!$B$30&amp;"|"&amp;基本属性!$C$30</f>
        <v>250|20</v>
      </c>
      <c r="B6995" s="10" t="str">
        <f>参数调整!$J$37</f>
        <v>新增怪物种类2掉落</v>
      </c>
      <c r="C6995" s="8" t="str">
        <f>材料产出!$HV$2</f>
        <v>基本装备</v>
      </c>
      <c r="D6995" s="224">
        <f>参数调整!$K$37*怪物掉落配置方案!$D4943</f>
        <v>0</v>
      </c>
    </row>
    <row r="6996" spans="1:4" ht="16.5" hidden="1" x14ac:dyDescent="0.3">
      <c r="A6996" s="10" t="str">
        <f>基本属性!$B$4&amp;"|"&amp;基本属性!$C$4</f>
        <v>35|0</v>
      </c>
      <c r="B6996" s="10" t="str">
        <f>参数调整!$J$37</f>
        <v>新增怪物种类2掉落</v>
      </c>
      <c r="C6996" s="8" t="str">
        <f>材料产出!$AP$2</f>
        <v>火龙气息</v>
      </c>
      <c r="D6996" s="224">
        <f>参数调整!$K$37*怪物掉落配置方案!$D4944</f>
        <v>4.9193674822591699E-4</v>
      </c>
    </row>
    <row r="6997" spans="1:4" ht="16.5" hidden="1" x14ac:dyDescent="0.3">
      <c r="A6997" s="10" t="str">
        <f>基本属性!$B$5&amp;"|"&amp;基本属性!$C$5</f>
        <v>40|0</v>
      </c>
      <c r="B6997" s="10" t="str">
        <f>参数调整!$J$37</f>
        <v>新增怪物种类2掉落</v>
      </c>
      <c r="C6997" s="8" t="str">
        <f>材料产出!$AP$2</f>
        <v>火龙气息</v>
      </c>
      <c r="D6997" s="224">
        <f>参数调整!$K$37*怪物掉落配置方案!$D4945</f>
        <v>6.2260744697342622E-4</v>
      </c>
    </row>
    <row r="6998" spans="1:4" ht="16.5" hidden="1" x14ac:dyDescent="0.3">
      <c r="A6998" s="10" t="str">
        <f>基本属性!$B$6&amp;"|"&amp;基本属性!$C$6</f>
        <v>50|0</v>
      </c>
      <c r="B6998" s="10" t="str">
        <f>参数调整!$J$37</f>
        <v>新增怪物种类2掉落</v>
      </c>
      <c r="C6998" s="8" t="str">
        <f>材料产出!$AP$2</f>
        <v>火龙气息</v>
      </c>
      <c r="D6998" s="224">
        <f>参数调整!$K$37*怪物掉落配置方案!$D4946</f>
        <v>7.6865116910299536E-4</v>
      </c>
    </row>
    <row r="6999" spans="1:4" ht="16.5" hidden="1" x14ac:dyDescent="0.3">
      <c r="A6999" s="10" t="str">
        <f>基本属性!$B$7&amp;"|"&amp;基本属性!$C$7</f>
        <v>60|0</v>
      </c>
      <c r="B6999" s="10" t="str">
        <f>参数调整!$J$37</f>
        <v>新增怪物种类2掉落</v>
      </c>
      <c r="C6999" s="8" t="str">
        <f>材料产出!$AP$2</f>
        <v>火龙气息</v>
      </c>
      <c r="D6999" s="224">
        <f>参数调整!$K$37*怪物掉落配置方案!$D4947</f>
        <v>9.3006791461462451E-4</v>
      </c>
    </row>
    <row r="7000" spans="1:4" ht="16.5" hidden="1" x14ac:dyDescent="0.3">
      <c r="A7000" s="10" t="str">
        <f>基本属性!$B$8&amp;"|"&amp;基本属性!$C$8</f>
        <v>65|0</v>
      </c>
      <c r="B7000" s="10" t="str">
        <f>参数调整!$J$37</f>
        <v>新增怪物种类2掉落</v>
      </c>
      <c r="C7000" s="8" t="str">
        <f>材料产出!$AP$2</f>
        <v>火龙气息</v>
      </c>
      <c r="D7000" s="224">
        <f>参数调整!$K$37*怪物掉落配置方案!$D4948</f>
        <v>1.1068576835083133E-3</v>
      </c>
    </row>
    <row r="7001" spans="1:4" ht="16.5" hidden="1" x14ac:dyDescent="0.3">
      <c r="A7001" s="10" t="str">
        <f>基本属性!$B$9&amp;"|"&amp;基本属性!$C$9</f>
        <v>70|0</v>
      </c>
      <c r="B7001" s="10" t="str">
        <f>参数调整!$J$37</f>
        <v>新增怪物种类2掉落</v>
      </c>
      <c r="C7001" s="8" t="str">
        <f>材料产出!$AP$2</f>
        <v>火龙气息</v>
      </c>
      <c r="D7001" s="224">
        <f>参数调整!$K$37*怪物掉落配置方案!$D4949</f>
        <v>1.299020475784062E-3</v>
      </c>
    </row>
    <row r="7002" spans="1:4" ht="16.5" hidden="1" x14ac:dyDescent="0.3">
      <c r="A7002" s="10" t="str">
        <f>基本属性!$B$10&amp;"|"&amp;基本属性!$C$10</f>
        <v>75|0</v>
      </c>
      <c r="B7002" s="10" t="str">
        <f>参数调整!$J$37</f>
        <v>新增怪物种类2掉落</v>
      </c>
      <c r="C7002" s="8" t="str">
        <f>材料产出!$AP$2</f>
        <v>火龙气息</v>
      </c>
      <c r="D7002" s="224">
        <f>参数调整!$K$37*怪物掉落配置方案!$D4950</f>
        <v>1.5065562914418705E-3</v>
      </c>
    </row>
    <row r="7003" spans="1:4" ht="16.5" hidden="1" x14ac:dyDescent="0.3">
      <c r="A7003" s="10" t="str">
        <f>基本属性!$B$11&amp;"|"&amp;基本属性!$C$11</f>
        <v>80|1</v>
      </c>
      <c r="B7003" s="10" t="str">
        <f>参数调整!$J$37</f>
        <v>新增怪物种类2掉落</v>
      </c>
      <c r="C7003" s="8" t="str">
        <f>材料产出!$AP$2</f>
        <v>火龙气息</v>
      </c>
      <c r="D7003" s="224">
        <f>参数调整!$K$37*怪物掉落配置方案!$D4951</f>
        <v>1.7294651304817395E-3</v>
      </c>
    </row>
    <row r="7004" spans="1:4" ht="16.5" hidden="1" x14ac:dyDescent="0.3">
      <c r="A7004" s="10" t="str">
        <f>基本属性!$B$12&amp;"|"&amp;基本属性!$C$12</f>
        <v>90|2</v>
      </c>
      <c r="B7004" s="10" t="str">
        <f>参数调整!$J$37</f>
        <v>新增怪物种类2掉落</v>
      </c>
      <c r="C7004" s="8" t="str">
        <f>材料产出!$AP$2</f>
        <v>火龙气息</v>
      </c>
      <c r="D7004" s="224">
        <f>参数调整!$K$37*怪物掉落配置方案!$D4952</f>
        <v>1.967746992903668E-3</v>
      </c>
    </row>
    <row r="7005" spans="1:4" ht="16.5" hidden="1" x14ac:dyDescent="0.3">
      <c r="A7005" s="10" t="str">
        <f>基本属性!$B$13&amp;"|"&amp;基本属性!$C$13</f>
        <v>100|3</v>
      </c>
      <c r="B7005" s="10" t="str">
        <f>参数调整!$J$37</f>
        <v>新增怪物种类2掉落</v>
      </c>
      <c r="C7005" s="8" t="str">
        <f>材料产出!$AP$2</f>
        <v>火龙气息</v>
      </c>
      <c r="D7005" s="224">
        <f>参数调整!$K$37*怪物掉落配置方案!$D4953</f>
        <v>2.4904297878937049E-3</v>
      </c>
    </row>
    <row r="7006" spans="1:4" ht="16.5" hidden="1" x14ac:dyDescent="0.3">
      <c r="A7006" s="10" t="str">
        <f>基本属性!$B$14&amp;"|"&amp;基本属性!$C$14</f>
        <v>105|4</v>
      </c>
      <c r="B7006" s="10" t="str">
        <f>参数调整!$J$37</f>
        <v>新增怪物种类2掉落</v>
      </c>
      <c r="C7006" s="8" t="str">
        <f>材料产出!$AP$2</f>
        <v>火龙气息</v>
      </c>
      <c r="D7006" s="224">
        <f>参数调整!$K$37*怪物掉落配置方案!$D4954</f>
        <v>3.0746046764119814E-3</v>
      </c>
    </row>
    <row r="7007" spans="1:4" ht="16.5" hidden="1" x14ac:dyDescent="0.3">
      <c r="A7007" s="10" t="str">
        <f>基本属性!$B$15&amp;"|"&amp;基本属性!$C$15</f>
        <v>110|5</v>
      </c>
      <c r="B7007" s="10" t="str">
        <f>参数调整!$J$37</f>
        <v>新增怪物种类2掉落</v>
      </c>
      <c r="C7007" s="8" t="str">
        <f>材料产出!$AP$2</f>
        <v>火龙气息</v>
      </c>
      <c r="D7007" s="224">
        <f>参数调整!$K$37*怪物掉落配置方案!$D4955</f>
        <v>3.7202716584584981E-3</v>
      </c>
    </row>
    <row r="7008" spans="1:4" ht="16.5" hidden="1" x14ac:dyDescent="0.3">
      <c r="A7008" s="10" t="str">
        <f>基本属性!$B$16&amp;"|"&amp;基本属性!$C$16</f>
        <v>120|6</v>
      </c>
      <c r="B7008" s="10" t="str">
        <f>参数调整!$J$37</f>
        <v>新增怪物种类2掉落</v>
      </c>
      <c r="C7008" s="8" t="str">
        <f>材料产出!$AP$2</f>
        <v>火龙气息</v>
      </c>
      <c r="D7008" s="224">
        <f>参数调整!$K$37*怪物掉落配置方案!$D4956</f>
        <v>4.8040698068937205E-3</v>
      </c>
    </row>
    <row r="7009" spans="1:4" ht="16.5" hidden="1" x14ac:dyDescent="0.3">
      <c r="A7009" s="10" t="str">
        <f>基本属性!$B$17&amp;"|"&amp;基本属性!$C$17</f>
        <v>135|7</v>
      </c>
      <c r="B7009" s="10" t="str">
        <f>参数调整!$J$37</f>
        <v>新增怪物种类2掉落</v>
      </c>
      <c r="C7009" s="8" t="str">
        <f>材料产出!$AP$2</f>
        <v>火龙气息</v>
      </c>
      <c r="D7009" s="224">
        <f>参数调整!$K$37*怪物掉落配置方案!$D4957</f>
        <v>6.9178605219269579E-3</v>
      </c>
    </row>
    <row r="7010" spans="1:4" ht="16.5" hidden="1" x14ac:dyDescent="0.3">
      <c r="A7010" s="10" t="str">
        <f>基本属性!$B$18&amp;"|"&amp;基本属性!$C$18</f>
        <v>155|8</v>
      </c>
      <c r="B7010" s="10" t="str">
        <f>参数调整!$J$37</f>
        <v>新增怪物种类2掉落</v>
      </c>
      <c r="C7010" s="8" t="str">
        <f>材料产出!$AP$2</f>
        <v>火龙气息</v>
      </c>
      <c r="D7010" s="224">
        <f>参数调整!$K$37*怪物掉落配置方案!$D4958</f>
        <v>9.4159768215116933E-3</v>
      </c>
    </row>
    <row r="7011" spans="1:4" ht="16.5" hidden="1" x14ac:dyDescent="0.3">
      <c r="A7011" s="10" t="str">
        <f>基本属性!$B$19&amp;"|"&amp;基本属性!$C$19</f>
        <v>190|9</v>
      </c>
      <c r="B7011" s="10" t="str">
        <f>参数调整!$J$37</f>
        <v>新增怪物种类2掉落</v>
      </c>
      <c r="C7011" s="8" t="str">
        <f>材料产出!$AP$2</f>
        <v>火龙气息</v>
      </c>
      <c r="D7011" s="224">
        <f>参数调整!$K$37*怪物掉落配置方案!$D4959</f>
        <v>1.0522834505020007E-2</v>
      </c>
    </row>
    <row r="7012" spans="1:4" ht="16.5" hidden="1" x14ac:dyDescent="0.3">
      <c r="A7012" s="10" t="str">
        <f>基本属性!$B$20&amp;"|"&amp;基本属性!$C$20</f>
        <v>200|10</v>
      </c>
      <c r="B7012" s="10" t="str">
        <f>参数调整!$J$37</f>
        <v>新增怪物种类2掉落</v>
      </c>
      <c r="C7012" s="8" t="str">
        <f>材料产出!$AP$2</f>
        <v>火龙气息</v>
      </c>
      <c r="D7012" s="224">
        <f>参数调整!$K$37*怪物掉落配置方案!$D4960</f>
        <v>1.2298418705647926E-2</v>
      </c>
    </row>
    <row r="7013" spans="1:4" ht="16.5" hidden="1" x14ac:dyDescent="0.3">
      <c r="A7013" s="10" t="str">
        <f>基本属性!$B$21&amp;"|"&amp;基本属性!$C$21</f>
        <v>200|11</v>
      </c>
      <c r="B7013" s="10" t="str">
        <f>参数调整!$J$37</f>
        <v>新增怪物种类2掉落</v>
      </c>
      <c r="C7013" s="8" t="str">
        <f>材料产出!$AP$2</f>
        <v>火龙气息</v>
      </c>
      <c r="D7013" s="224">
        <f>参数调整!$K$37*怪物掉落配置方案!$D4961</f>
        <v>1.4212360116714381E-2</v>
      </c>
    </row>
    <row r="7014" spans="1:4" ht="16.5" hidden="1" x14ac:dyDescent="0.3">
      <c r="A7014" s="10" t="str">
        <f>基本属性!$B$22&amp;"|"&amp;基本属性!$C$22</f>
        <v>210|12</v>
      </c>
      <c r="B7014" s="10" t="str">
        <f>参数调整!$J$37</f>
        <v>新增怪物种类2掉落</v>
      </c>
      <c r="C7014" s="8" t="str">
        <f>材料产出!$AP$2</f>
        <v>火龙气息</v>
      </c>
      <c r="D7014" s="224">
        <f>参数调整!$K$37*怪物掉落配置方案!$D4962</f>
        <v>1.6264658738219376E-2</v>
      </c>
    </row>
    <row r="7015" spans="1:4" ht="16.5" hidden="1" x14ac:dyDescent="0.3">
      <c r="A7015" s="10" t="str">
        <f>基本属性!$B$23&amp;"|"&amp;基本属性!$C$23</f>
        <v>210|13</v>
      </c>
      <c r="B7015" s="10" t="str">
        <f>参数调整!$J$37</f>
        <v>新增怪物种类2掉落</v>
      </c>
      <c r="C7015" s="8" t="str">
        <f>材料产出!$AP$2</f>
        <v>火龙气息</v>
      </c>
      <c r="D7015" s="224">
        <f>参数调整!$K$37*怪物掉落配置方案!$D4963</f>
        <v>1.8455314570162921E-2</v>
      </c>
    </row>
    <row r="7016" spans="1:4" ht="16.5" hidden="1" x14ac:dyDescent="0.3">
      <c r="A7016" s="10" t="str">
        <f>基本属性!$B$24&amp;"|"&amp;基本属性!$C$24</f>
        <v>220|14</v>
      </c>
      <c r="B7016" s="10" t="str">
        <f>参数调整!$J$37</f>
        <v>新增怪物种类2掉落</v>
      </c>
      <c r="C7016" s="8" t="str">
        <f>材料产出!$AP$2</f>
        <v>火龙气息</v>
      </c>
      <c r="D7016" s="224">
        <f>参数调整!$K$37*怪物掉落配置方案!$D4964</f>
        <v>2.0784327612544992E-2</v>
      </c>
    </row>
    <row r="7017" spans="1:4" ht="16.5" hidden="1" x14ac:dyDescent="0.3">
      <c r="A7017" s="10" t="str">
        <f>基本属性!$B$25&amp;"|"&amp;基本属性!$C$25</f>
        <v>220|15</v>
      </c>
      <c r="B7017" s="10" t="str">
        <f>参数调整!$J$37</f>
        <v>新增怪物种类2掉落</v>
      </c>
      <c r="C7017" s="8" t="str">
        <f>材料产出!$AP$2</f>
        <v>火龙气息</v>
      </c>
      <c r="D7017" s="224">
        <f>参数调整!$K$37*怪物掉落配置方案!$D4965</f>
        <v>2.3251697865365607E-2</v>
      </c>
    </row>
    <row r="7018" spans="1:4" ht="16.5" hidden="1" x14ac:dyDescent="0.3">
      <c r="A7018" s="10" t="str">
        <f>基本属性!$B$26&amp;"|"&amp;基本属性!$C$26</f>
        <v>230|16</v>
      </c>
      <c r="B7018" s="10" t="str">
        <f>参数调整!$J$37</f>
        <v>新增怪物种类2掉落</v>
      </c>
      <c r="C7018" s="8" t="str">
        <f>材料产出!$AP$2</f>
        <v>火龙气息</v>
      </c>
      <c r="D7018" s="224">
        <f>参数调整!$K$37*怪物掉落配置方案!$D4966</f>
        <v>2.5857425328624759E-2</v>
      </c>
    </row>
    <row r="7019" spans="1:4" ht="16.5" hidden="1" x14ac:dyDescent="0.3">
      <c r="A7019" s="10" t="str">
        <f>基本属性!$B$27&amp;"|"&amp;基本属性!$C$27</f>
        <v>230|17</v>
      </c>
      <c r="B7019" s="10" t="str">
        <f>参数调整!$J$37</f>
        <v>新增怪物种类2掉落</v>
      </c>
      <c r="C7019" s="8" t="str">
        <f>材料产出!$AP$2</f>
        <v>火龙气息</v>
      </c>
      <c r="D7019" s="224">
        <f>参数调整!$K$37*怪物掉落配置方案!$D4967</f>
        <v>2.8601510002322451E-2</v>
      </c>
    </row>
    <row r="7020" spans="1:4" ht="16.5" hidden="1" x14ac:dyDescent="0.3">
      <c r="A7020" s="10" t="str">
        <f>基本属性!$B$28&amp;"|"&amp;基本属性!$C$28</f>
        <v>240|18</v>
      </c>
      <c r="B7020" s="10" t="str">
        <f>参数调整!$J$37</f>
        <v>新增怪物种类2掉落</v>
      </c>
      <c r="C7020" s="8" t="str">
        <f>材料产出!$AP$2</f>
        <v>火龙气息</v>
      </c>
      <c r="D7020" s="224">
        <f>参数调整!$K$37*怪物掉落配置方案!$D4968</f>
        <v>3.1483951886458687E-2</v>
      </c>
    </row>
    <row r="7021" spans="1:4" ht="16.5" hidden="1" x14ac:dyDescent="0.3">
      <c r="A7021" s="10" t="str">
        <f>基本属性!$B$29&amp;"|"&amp;基本属性!$C$29</f>
        <v>240|19</v>
      </c>
      <c r="B7021" s="10" t="str">
        <f>参数调整!$J$37</f>
        <v>新增怪物种类2掉落</v>
      </c>
      <c r="C7021" s="8" t="str">
        <f>材料产出!$AP$2</f>
        <v>火龙气息</v>
      </c>
      <c r="D7021" s="224">
        <f>参数调整!$K$37*怪物掉落配置方案!$D4969</f>
        <v>3.4504750981033463E-2</v>
      </c>
    </row>
    <row r="7022" spans="1:4" ht="16.5" hidden="1" x14ac:dyDescent="0.3">
      <c r="A7022" s="10" t="str">
        <f>基本属性!$B$30&amp;"|"&amp;基本属性!$C$30</f>
        <v>250|20</v>
      </c>
      <c r="B7022" s="10" t="str">
        <f>参数调整!$J$37</f>
        <v>新增怪物种类2掉落</v>
      </c>
      <c r="C7022" s="8" t="str">
        <f>材料产出!$AP$2</f>
        <v>火龙气息</v>
      </c>
      <c r="D7022" s="224">
        <f>参数调整!$K$37*怪物掉落配置方案!$D4970</f>
        <v>3.7663907286046766E-2</v>
      </c>
    </row>
    <row r="7023" spans="1:4" ht="16.5" hidden="1" x14ac:dyDescent="0.3">
      <c r="A7023" s="10" t="str">
        <f>基本属性!$B$4&amp;"|"&amp;基本属性!$C$4</f>
        <v>35|0</v>
      </c>
      <c r="B7023" s="10" t="str">
        <f>参数调整!$J$37</f>
        <v>新增怪物种类2掉落</v>
      </c>
      <c r="C7023" s="8" t="str">
        <f>材料产出!$N$2</f>
        <v>火龙凭证</v>
      </c>
      <c r="D7023" s="224">
        <f>参数调整!$K$37*怪物掉落配置方案!$D4971</f>
        <v>1.2990018746516695E-2</v>
      </c>
    </row>
    <row r="7024" spans="1:4" ht="16.5" hidden="1" x14ac:dyDescent="0.3">
      <c r="A7024" s="10" t="str">
        <f>基本属性!$B$5&amp;"|"&amp;基本属性!$C$5</f>
        <v>40|0</v>
      </c>
      <c r="B7024" s="10" t="str">
        <f>参数调整!$J$37</f>
        <v>新增怪物种类2掉落</v>
      </c>
      <c r="C7024" s="8" t="str">
        <f>材料产出!$N$2</f>
        <v>火龙凭证</v>
      </c>
      <c r="D7024" s="224">
        <f>参数调整!$K$37*怪物掉落配置方案!$D4972</f>
        <v>1.6440492476060192E-2</v>
      </c>
    </row>
    <row r="7025" spans="1:4" ht="16.5" hidden="1" x14ac:dyDescent="0.3">
      <c r="A7025" s="10" t="str">
        <f>基本属性!$B$6&amp;"|"&amp;基本属性!$C$6</f>
        <v>50|0</v>
      </c>
      <c r="B7025" s="10" t="str">
        <f>参数调整!$J$37</f>
        <v>新增怪物种类2掉落</v>
      </c>
      <c r="C7025" s="8" t="str">
        <f>材料产出!$N$2</f>
        <v>火龙凭证</v>
      </c>
      <c r="D7025" s="224">
        <f>参数调整!$K$37*怪物掉落配置方案!$D4973</f>
        <v>2.0296904291432334E-2</v>
      </c>
    </row>
    <row r="7026" spans="1:4" ht="16.5" hidden="1" x14ac:dyDescent="0.3">
      <c r="A7026" s="10" t="str">
        <f>基本属性!$B$7&amp;"|"&amp;基本属性!$C$7</f>
        <v>60|0</v>
      </c>
      <c r="B7026" s="10" t="str">
        <f>参数调整!$J$37</f>
        <v>新增怪物种类2掉落</v>
      </c>
      <c r="C7026" s="8" t="str">
        <f>材料产出!$N$2</f>
        <v>火龙凭证</v>
      </c>
      <c r="D7026" s="224">
        <f>参数调整!$K$37*怪物掉落配置方案!$D4974</f>
        <v>2.4559254192633127E-2</v>
      </c>
    </row>
    <row r="7027" spans="1:4" ht="16.5" hidden="1" x14ac:dyDescent="0.3">
      <c r="A7027" s="10" t="str">
        <f>基本属性!$B$8&amp;"|"&amp;基本属性!$C$8</f>
        <v>65|0</v>
      </c>
      <c r="B7027" s="10" t="str">
        <f>参数调整!$J$37</f>
        <v>新增怪物种类2掉落</v>
      </c>
      <c r="C7027" s="8" t="str">
        <f>材料产出!$N$2</f>
        <v>火龙凭证</v>
      </c>
      <c r="D7027" s="224">
        <f>参数调整!$K$37*怪物掉落配置方案!$D4975</f>
        <v>2.9227542179662561E-2</v>
      </c>
    </row>
    <row r="7028" spans="1:4" ht="16.5" hidden="1" x14ac:dyDescent="0.3">
      <c r="A7028" s="10" t="str">
        <f>基本属性!$B$9&amp;"|"&amp;基本属性!$C$9</f>
        <v>70|0</v>
      </c>
      <c r="B7028" s="10" t="str">
        <f>参数调整!$J$37</f>
        <v>新增怪物种类2掉落</v>
      </c>
      <c r="C7028" s="8" t="str">
        <f>材料产出!$N$2</f>
        <v>火龙凭证</v>
      </c>
      <c r="D7028" s="224">
        <f>参数调整!$K$37*怪物掉落配置方案!$D4976</f>
        <v>3.4301768252520647E-2</v>
      </c>
    </row>
    <row r="7029" spans="1:4" ht="16.5" hidden="1" x14ac:dyDescent="0.3">
      <c r="A7029" s="10" t="str">
        <f>基本属性!$B$10&amp;"|"&amp;基本属性!$C$10</f>
        <v>75|0</v>
      </c>
      <c r="B7029" s="10" t="str">
        <f>参数调整!$J$37</f>
        <v>新增怪物种类2掉落</v>
      </c>
      <c r="C7029" s="8" t="str">
        <f>材料产出!$N$2</f>
        <v>火龙凭证</v>
      </c>
      <c r="D7029" s="224">
        <f>参数调整!$K$37*怪物掉落配置方案!$D4977</f>
        <v>3.9781932411207373E-2</v>
      </c>
    </row>
    <row r="7030" spans="1:4" ht="16.5" hidden="1" x14ac:dyDescent="0.3">
      <c r="A7030" s="10" t="str">
        <f>基本属性!$B$11&amp;"|"&amp;基本属性!$C$11</f>
        <v>80|1</v>
      </c>
      <c r="B7030" s="10" t="str">
        <f>参数调整!$J$37</f>
        <v>新增怪物种类2掉落</v>
      </c>
      <c r="C7030" s="8" t="str">
        <f>材料产出!$N$2</f>
        <v>火龙凭证</v>
      </c>
      <c r="D7030" s="224">
        <f>参数调整!$K$37*怪物掉落配置方案!$D4978</f>
        <v>4.566803465572275E-2</v>
      </c>
    </row>
    <row r="7031" spans="1:4" ht="16.5" hidden="1" x14ac:dyDescent="0.3">
      <c r="A7031" s="10" t="str">
        <f>基本属性!$B$12&amp;"|"&amp;基本属性!$C$12</f>
        <v>90|2</v>
      </c>
      <c r="B7031" s="10" t="str">
        <f>参数调整!$J$37</f>
        <v>新增怪物种类2掉落</v>
      </c>
      <c r="C7031" s="8" t="str">
        <f>材料产出!$N$2</f>
        <v>火龙凭证</v>
      </c>
      <c r="D7031" s="224">
        <f>参数调整!$K$37*怪物掉落配置方案!$D4979</f>
        <v>5.1960074986066786E-2</v>
      </c>
    </row>
    <row r="7032" spans="1:4" ht="16.5" hidden="1" x14ac:dyDescent="0.3">
      <c r="A7032" s="10" t="str">
        <f>基本属性!$B$13&amp;"|"&amp;基本属性!$C$13</f>
        <v>100|3</v>
      </c>
      <c r="B7032" s="10" t="str">
        <f>参数调整!$J$37</f>
        <v>新增怪物种类2掉落</v>
      </c>
      <c r="C7032" s="8" t="str">
        <f>材料产出!$N$2</f>
        <v>火龙凭证</v>
      </c>
      <c r="D7032" s="224">
        <f>参数调整!$K$37*怪物掉落配置方案!$D4980</f>
        <v>6.5761969904240769E-2</v>
      </c>
    </row>
    <row r="7033" spans="1:4" ht="16.5" hidden="1" x14ac:dyDescent="0.3">
      <c r="A7033" s="10" t="str">
        <f>基本属性!$B$14&amp;"|"&amp;基本属性!$C$14</f>
        <v>105|4</v>
      </c>
      <c r="B7033" s="10" t="str">
        <f>参数调整!$J$37</f>
        <v>新增怪物种类2掉落</v>
      </c>
      <c r="C7033" s="8" t="str">
        <f>材料产出!$N$2</f>
        <v>火龙凭证</v>
      </c>
      <c r="D7033" s="224">
        <f>参数调整!$K$37*怪物掉落配置方案!$D4981</f>
        <v>8.118761716572935E-2</v>
      </c>
    </row>
    <row r="7034" spans="1:4" ht="16.5" hidden="1" x14ac:dyDescent="0.3">
      <c r="A7034" s="10" t="str">
        <f>基本属性!$B$15&amp;"|"&amp;基本属性!$C$15</f>
        <v>110|5</v>
      </c>
      <c r="B7034" s="10" t="str">
        <f>参数调整!$J$37</f>
        <v>新增怪物种类2掉落</v>
      </c>
      <c r="C7034" s="8" t="str">
        <f>材料产出!$N$2</f>
        <v>火龙凭证</v>
      </c>
      <c r="D7034" s="224">
        <f>参数调整!$K$37*怪物掉落配置方案!$D4982</f>
        <v>9.8237016770532509E-2</v>
      </c>
    </row>
    <row r="7035" spans="1:4" ht="16.5" hidden="1" x14ac:dyDescent="0.3">
      <c r="A7035" s="10" t="str">
        <f>基本属性!$B$16&amp;"|"&amp;基本属性!$C$16</f>
        <v>120|6</v>
      </c>
      <c r="B7035" s="10" t="str">
        <f>参数调整!$J$37</f>
        <v>新增怪物种类2掉落</v>
      </c>
      <c r="C7035" s="8" t="str">
        <f>材料产出!$N$2</f>
        <v>火龙凭证</v>
      </c>
      <c r="D7035" s="224">
        <f>参数调整!$K$37*怪物掉落配置方案!$D4983</f>
        <v>0.12685565182145209</v>
      </c>
    </row>
    <row r="7036" spans="1:4" ht="16.5" hidden="1" x14ac:dyDescent="0.3">
      <c r="A7036" s="10" t="str">
        <f>基本属性!$B$17&amp;"|"&amp;基本属性!$C$17</f>
        <v>135|7</v>
      </c>
      <c r="B7036" s="10" t="str">
        <f>参数调整!$J$37</f>
        <v>新增怪物种类2掉落</v>
      </c>
      <c r="C7036" s="8" t="str">
        <f>材料产出!$N$2</f>
        <v>火龙凭证</v>
      </c>
      <c r="D7036" s="224">
        <f>参数调整!$K$37*怪物掉落配置方案!$D4984</f>
        <v>0.182672138622891</v>
      </c>
    </row>
    <row r="7037" spans="1:4" ht="16.5" hidden="1" x14ac:dyDescent="0.3">
      <c r="A7037" s="10" t="str">
        <f>基本属性!$B$18&amp;"|"&amp;基本属性!$C$18</f>
        <v>155|8</v>
      </c>
      <c r="B7037" s="10" t="str">
        <f>参数调整!$J$37</f>
        <v>新增怪物种类2掉落</v>
      </c>
      <c r="C7037" s="8" t="str">
        <f>材料产出!$N$2</f>
        <v>火龙凭证</v>
      </c>
      <c r="D7037" s="224">
        <f>参数调整!$K$37*怪物掉落配置方案!$D4985</f>
        <v>0.24863707757004611</v>
      </c>
    </row>
    <row r="7038" spans="1:4" ht="16.5" hidden="1" x14ac:dyDescent="0.3">
      <c r="A7038" s="10" t="str">
        <f>基本属性!$B$19&amp;"|"&amp;基本属性!$C$19</f>
        <v>190|9</v>
      </c>
      <c r="B7038" s="10" t="str">
        <f>参数调整!$J$37</f>
        <v>新增怪物种类2掉落</v>
      </c>
      <c r="C7038" s="8" t="str">
        <f>材料产出!$N$2</f>
        <v>火龙凭证</v>
      </c>
      <c r="D7038" s="224">
        <f>参数调整!$K$37*怪物掉落配置方案!$D4986</f>
        <v>0.27786461974970872</v>
      </c>
    </row>
    <row r="7039" spans="1:4" ht="16.5" hidden="1" x14ac:dyDescent="0.3">
      <c r="A7039" s="10" t="str">
        <f>基本属性!$B$20&amp;"|"&amp;基本属性!$C$20</f>
        <v>200|10</v>
      </c>
      <c r="B7039" s="10" t="str">
        <f>参数调整!$J$37</f>
        <v>新增怪物种类2掉落</v>
      </c>
      <c r="C7039" s="8" t="str">
        <f>材料产出!$N$2</f>
        <v>火龙凭证</v>
      </c>
      <c r="D7039" s="224">
        <f>参数调整!$K$37*怪物掉落配置方案!$D4987</f>
        <v>0.3247504686629174</v>
      </c>
    </row>
    <row r="7040" spans="1:4" ht="16.5" hidden="1" x14ac:dyDescent="0.3">
      <c r="A7040" s="10" t="str">
        <f>基本属性!$B$21&amp;"|"&amp;基本属性!$C$21</f>
        <v>200|11</v>
      </c>
      <c r="B7040" s="10" t="str">
        <f>参数调整!$J$37</f>
        <v>新增怪物种类2掉落</v>
      </c>
      <c r="C7040" s="8" t="str">
        <f>材料产出!$N$2</f>
        <v>火龙凭证</v>
      </c>
      <c r="D7040" s="224">
        <f>参数调整!$K$37*怪物掉落配置方案!$D4988</f>
        <v>0.3752897603485838</v>
      </c>
    </row>
    <row r="7041" spans="1:4" ht="16.5" hidden="1" x14ac:dyDescent="0.3">
      <c r="A7041" s="10" t="str">
        <f>基本属性!$B$22&amp;"|"&amp;基本属性!$C$22</f>
        <v>210|12</v>
      </c>
      <c r="B7041" s="10" t="str">
        <f>参数调整!$J$37</f>
        <v>新增怪物种类2掉落</v>
      </c>
      <c r="C7041" s="8" t="str">
        <f>材料产出!$N$2</f>
        <v>火龙凭证</v>
      </c>
      <c r="D7041" s="224">
        <f>参数调整!$K$37*怪物掉落配置方案!$D4989</f>
        <v>0.42948249480670808</v>
      </c>
    </row>
    <row r="7042" spans="1:4" ht="16.5" hidden="1" x14ac:dyDescent="0.3">
      <c r="A7042" s="10" t="str">
        <f>基本属性!$B$23&amp;"|"&amp;基本属性!$C$23</f>
        <v>210|13</v>
      </c>
      <c r="B7042" s="10" t="str">
        <f>参数调整!$J$37</f>
        <v>新增怪物种类2掉落</v>
      </c>
      <c r="C7042" s="8" t="str">
        <f>材料产出!$N$2</f>
        <v>火龙凭证</v>
      </c>
      <c r="D7042" s="224">
        <f>参数调整!$K$37*怪物掉落配置方案!$D4990</f>
        <v>0.48732867203729047</v>
      </c>
    </row>
    <row r="7043" spans="1:4" ht="16.5" hidden="1" x14ac:dyDescent="0.3">
      <c r="A7043" s="10" t="str">
        <f>基本属性!$B$24&amp;"|"&amp;基本属性!$C$24</f>
        <v>220|14</v>
      </c>
      <c r="B7043" s="10" t="str">
        <f>参数调整!$J$37</f>
        <v>新增怪物种类2掉落</v>
      </c>
      <c r="C7043" s="8" t="str">
        <f>材料产出!$N$2</f>
        <v>火龙凭证</v>
      </c>
      <c r="D7043" s="224">
        <f>参数调整!$K$37*怪物掉落配置方案!$D4991</f>
        <v>0.54882829204033035</v>
      </c>
    </row>
    <row r="7044" spans="1:4" ht="16.5" hidden="1" x14ac:dyDescent="0.3">
      <c r="A7044" s="10" t="str">
        <f>基本属性!$B$25&amp;"|"&amp;基本属性!$C$25</f>
        <v>220|15</v>
      </c>
      <c r="B7044" s="10" t="str">
        <f>参数调整!$J$37</f>
        <v>新增怪物种类2掉落</v>
      </c>
      <c r="C7044" s="8" t="str">
        <f>材料产出!$N$2</f>
        <v>火龙凭证</v>
      </c>
      <c r="D7044" s="224">
        <f>参数调整!$K$37*怪物掉落配置方案!$D4992</f>
        <v>0.61398135481582805</v>
      </c>
    </row>
    <row r="7045" spans="1:4" ht="16.5" hidden="1" x14ac:dyDescent="0.3">
      <c r="A7045" s="10" t="str">
        <f>基本属性!$B$26&amp;"|"&amp;基本属性!$C$26</f>
        <v>230|16</v>
      </c>
      <c r="B7045" s="10" t="str">
        <f>参数调整!$J$37</f>
        <v>新增怪物种类2掉落</v>
      </c>
      <c r="C7045" s="8" t="str">
        <f>材料产出!$N$2</f>
        <v>火龙凭证</v>
      </c>
      <c r="D7045" s="224">
        <f>参数调整!$K$37*怪物掉落配置方案!$D4993</f>
        <v>0.68278786036378381</v>
      </c>
    </row>
    <row r="7046" spans="1:4" ht="16.5" hidden="1" x14ac:dyDescent="0.3">
      <c r="A7046" s="10" t="str">
        <f>基本属性!$B$27&amp;"|"&amp;基本属性!$C$27</f>
        <v>230|17</v>
      </c>
      <c r="B7046" s="10" t="str">
        <f>参数调整!$J$37</f>
        <v>新增怪物种类2掉落</v>
      </c>
      <c r="C7046" s="8" t="str">
        <f>材料产出!$N$2</f>
        <v>火龙凭证</v>
      </c>
      <c r="D7046" s="224">
        <f>参数调整!$K$37*怪物掉落配置方案!$D4994</f>
        <v>0.75524780868419705</v>
      </c>
    </row>
    <row r="7047" spans="1:4" ht="16.5" hidden="1" x14ac:dyDescent="0.3">
      <c r="A7047" s="10" t="str">
        <f>基本属性!$B$28&amp;"|"&amp;基本属性!$C$28</f>
        <v>240|18</v>
      </c>
      <c r="B7047" s="10" t="str">
        <f>参数调整!$J$37</f>
        <v>新增怪物种类2掉落</v>
      </c>
      <c r="C7047" s="8" t="str">
        <f>材料产出!$N$2</f>
        <v>火龙凭证</v>
      </c>
      <c r="D7047" s="224">
        <f>参数调整!$K$37*怪物掉落配置方案!$D4995</f>
        <v>0.83136119977706857</v>
      </c>
    </row>
    <row r="7048" spans="1:4" ht="16.5" hidden="1" x14ac:dyDescent="0.3">
      <c r="A7048" s="10" t="str">
        <f>基本属性!$B$29&amp;"|"&amp;基本属性!$C$29</f>
        <v>240|19</v>
      </c>
      <c r="B7048" s="10" t="str">
        <f>参数调整!$J$37</f>
        <v>新增怪物种类2掉落</v>
      </c>
      <c r="C7048" s="8" t="str">
        <f>材料产出!$N$2</f>
        <v>火龙凭证</v>
      </c>
      <c r="D7048" s="224">
        <f>参数调整!$K$37*怪物掉落配置方案!$D4996</f>
        <v>0.91112803364239758</v>
      </c>
    </row>
    <row r="7049" spans="1:4" ht="16.5" hidden="1" x14ac:dyDescent="0.3">
      <c r="A7049" s="10" t="str">
        <f>基本属性!$B$30&amp;"|"&amp;基本属性!$C$30</f>
        <v>250|20</v>
      </c>
      <c r="B7049" s="10" t="str">
        <f>参数调整!$J$37</f>
        <v>新增怪物种类2掉落</v>
      </c>
      <c r="C7049" s="8" t="str">
        <f>材料产出!$N$2</f>
        <v>火龙凭证</v>
      </c>
      <c r="D7049" s="224">
        <f>参数调整!$K$37*怪物掉落配置方案!$D4997</f>
        <v>0.9945483102801842</v>
      </c>
    </row>
    <row r="7050" spans="1:4" ht="16.5" hidden="1" x14ac:dyDescent="0.3">
      <c r="A7050" s="10" t="str">
        <f>基本属性!$B$4&amp;"|"&amp;基本属性!$C$4</f>
        <v>35|0</v>
      </c>
      <c r="B7050" s="10" t="str">
        <f>参数调整!$J$37</f>
        <v>新增怪物种类2掉落</v>
      </c>
      <c r="C7050" s="8" t="str">
        <f>材料产出!$AR$2</f>
        <v>火龙精魄</v>
      </c>
      <c r="D7050" s="224">
        <f>参数调整!$K$37*怪物掉落配置方案!$D4998</f>
        <v>6.4933577667119641E-6</v>
      </c>
    </row>
    <row r="7051" spans="1:4" ht="16.5" hidden="1" x14ac:dyDescent="0.3">
      <c r="A7051" s="10" t="str">
        <f>基本属性!$B$5&amp;"|"&amp;基本属性!$C$5</f>
        <v>40|0</v>
      </c>
      <c r="B7051" s="10" t="str">
        <f>参数调整!$J$37</f>
        <v>新增怪物种类2掉落</v>
      </c>
      <c r="C7051" s="8" t="str">
        <f>材料产出!$AR$2</f>
        <v>火龙精魄</v>
      </c>
      <c r="D7051" s="224">
        <f>参数调整!$K$37*怪物掉落配置方案!$D4999</f>
        <v>8.2181559234948288E-6</v>
      </c>
    </row>
    <row r="7052" spans="1:4" ht="16.5" hidden="1" x14ac:dyDescent="0.3">
      <c r="A7052" s="10" t="str">
        <f>基本属性!$B$6&amp;"|"&amp;基本属性!$C$6</f>
        <v>50|0</v>
      </c>
      <c r="B7052" s="10" t="str">
        <f>参数调整!$J$37</f>
        <v>新增怪物种类2掉落</v>
      </c>
      <c r="C7052" s="8" t="str">
        <f>材料产出!$AR$2</f>
        <v>火龙精魄</v>
      </c>
      <c r="D7052" s="224">
        <f>参数调整!$K$37*怪物掉落配置方案!$D5000</f>
        <v>1.0145871510487443E-5</v>
      </c>
    </row>
    <row r="7053" spans="1:4" ht="16.5" hidden="1" x14ac:dyDescent="0.3">
      <c r="A7053" s="10" t="str">
        <f>基本属性!$B$7&amp;"|"&amp;基本属性!$C$7</f>
        <v>60|0</v>
      </c>
      <c r="B7053" s="10" t="str">
        <f>参数调整!$J$37</f>
        <v>新增怪物种类2掉落</v>
      </c>
      <c r="C7053" s="8" t="str">
        <f>材料产出!$AR$2</f>
        <v>火龙精魄</v>
      </c>
      <c r="D7053" s="224">
        <f>参数调整!$K$37*怪物掉落配置方案!$D5001</f>
        <v>1.2276504527689809E-5</v>
      </c>
    </row>
    <row r="7054" spans="1:4" ht="16.5" hidden="1" x14ac:dyDescent="0.3">
      <c r="A7054" s="10" t="str">
        <f>基本属性!$B$8&amp;"|"&amp;基本属性!$C$8</f>
        <v>65|0</v>
      </c>
      <c r="B7054" s="10" t="str">
        <f>参数调整!$J$37</f>
        <v>新增怪物种类2掉落</v>
      </c>
      <c r="C7054" s="8" t="str">
        <f>材料产出!$AR$2</f>
        <v>火龙精魄</v>
      </c>
      <c r="D7054" s="224">
        <f>参数调整!$K$37*怪物掉落配置方案!$D5002</f>
        <v>1.4610054975101917E-5</v>
      </c>
    </row>
    <row r="7055" spans="1:4" ht="16.5" hidden="1" x14ac:dyDescent="0.3">
      <c r="A7055" s="10" t="str">
        <f>基本属性!$B$9&amp;"|"&amp;基本属性!$C$9</f>
        <v>70|0</v>
      </c>
      <c r="B7055" s="10" t="str">
        <f>参数调整!$J$37</f>
        <v>新增怪物种类2掉落</v>
      </c>
      <c r="C7055" s="8" t="str">
        <f>材料产出!$AR$2</f>
        <v>火龙精魄</v>
      </c>
      <c r="D7055" s="224">
        <f>参数调整!$K$37*怪物掉落配置方案!$D5003</f>
        <v>1.7146522852723778E-5</v>
      </c>
    </row>
    <row r="7056" spans="1:4" ht="16.5" hidden="1" x14ac:dyDescent="0.3">
      <c r="A7056" s="10" t="str">
        <f>基本属性!$B$10&amp;"|"&amp;基本属性!$C$10</f>
        <v>75|0</v>
      </c>
      <c r="B7056" s="10" t="str">
        <f>参数调整!$J$37</f>
        <v>新增怪物种类2掉落</v>
      </c>
      <c r="C7056" s="8" t="str">
        <f>材料产出!$AR$2</f>
        <v>火龙精魄</v>
      </c>
      <c r="D7056" s="224">
        <f>参数调整!$K$37*怪物掉落配置方案!$D5004</f>
        <v>1.9885908160555384E-5</v>
      </c>
    </row>
    <row r="7057" spans="1:4" ht="16.5" hidden="1" x14ac:dyDescent="0.3">
      <c r="A7057" s="10" t="str">
        <f>基本属性!$B$11&amp;"|"&amp;基本属性!$C$11</f>
        <v>80|1</v>
      </c>
      <c r="B7057" s="10" t="str">
        <f>参数调整!$J$37</f>
        <v>新增怪物种类2掉落</v>
      </c>
      <c r="C7057" s="8" t="str">
        <f>材料产出!$AR$2</f>
        <v>火龙精魄</v>
      </c>
      <c r="D7057" s="224">
        <f>参数调整!$K$37*怪物掉落配置方案!$D5005</f>
        <v>2.2828210898596742E-5</v>
      </c>
    </row>
    <row r="7058" spans="1:4" ht="16.5" hidden="1" x14ac:dyDescent="0.3">
      <c r="A7058" s="10" t="str">
        <f>基本属性!$B$12&amp;"|"&amp;基本属性!$C$12</f>
        <v>90|2</v>
      </c>
      <c r="B7058" s="10" t="str">
        <f>参数调整!$J$37</f>
        <v>新增怪物种类2掉落</v>
      </c>
      <c r="C7058" s="8" t="str">
        <f>材料产出!$AR$2</f>
        <v>火龙精魄</v>
      </c>
      <c r="D7058" s="224">
        <f>参数调整!$K$37*怪物掉落配置方案!$D5006</f>
        <v>2.597343106684786E-5</v>
      </c>
    </row>
    <row r="7059" spans="1:4" ht="16.5" hidden="1" x14ac:dyDescent="0.3">
      <c r="A7059" s="10" t="str">
        <f>基本属性!$B$13&amp;"|"&amp;基本属性!$C$13</f>
        <v>100|3</v>
      </c>
      <c r="B7059" s="10" t="str">
        <f>参数调整!$J$37</f>
        <v>新增怪物种类2掉落</v>
      </c>
      <c r="C7059" s="8" t="str">
        <f>材料产出!$AR$2</f>
        <v>火龙精魄</v>
      </c>
      <c r="D7059" s="224">
        <f>参数调整!$K$37*怪物掉落配置方案!$D5007</f>
        <v>3.2872623693979322E-5</v>
      </c>
    </row>
    <row r="7060" spans="1:4" ht="16.5" hidden="1" x14ac:dyDescent="0.3">
      <c r="A7060" s="10" t="str">
        <f>基本属性!$B$14&amp;"|"&amp;基本属性!$C$14</f>
        <v>105|4</v>
      </c>
      <c r="B7060" s="10" t="str">
        <f>参数调整!$J$37</f>
        <v>新增怪物种类2掉落</v>
      </c>
      <c r="C7060" s="8" t="str">
        <f>材料产出!$AR$2</f>
        <v>火龙精魄</v>
      </c>
      <c r="D7060" s="224">
        <f>参数调整!$K$37*怪物掉落配置方案!$D5008</f>
        <v>4.0583486041949771E-5</v>
      </c>
    </row>
    <row r="7061" spans="1:4" ht="16.5" hidden="1" x14ac:dyDescent="0.3">
      <c r="A7061" s="10" t="str">
        <f>基本属性!$B$15&amp;"|"&amp;基本属性!$C$15</f>
        <v>110|5</v>
      </c>
      <c r="B7061" s="10" t="str">
        <f>参数调整!$J$37</f>
        <v>新增怪物种类2掉落</v>
      </c>
      <c r="C7061" s="8" t="str">
        <f>材料产出!$AR$2</f>
        <v>火龙精魄</v>
      </c>
      <c r="D7061" s="224">
        <f>参数调整!$K$37*怪物掉落配置方案!$D5009</f>
        <v>4.9106018110759237E-5</v>
      </c>
    </row>
    <row r="7062" spans="1:4" ht="16.5" hidden="1" x14ac:dyDescent="0.3">
      <c r="A7062" s="10" t="str">
        <f>基本属性!$B$16&amp;"|"&amp;基本属性!$C$16</f>
        <v>120|6</v>
      </c>
      <c r="B7062" s="10" t="str">
        <f>参数调整!$J$37</f>
        <v>新增怪物种类2掉落</v>
      </c>
      <c r="C7062" s="8" t="str">
        <f>材料产出!$AR$2</f>
        <v>火龙精魄</v>
      </c>
      <c r="D7062" s="224">
        <f>参数调整!$K$37*怪物掉落配置方案!$D5010</f>
        <v>6.3411696940546527E-5</v>
      </c>
    </row>
    <row r="7063" spans="1:4" ht="16.5" hidden="1" x14ac:dyDescent="0.3">
      <c r="A7063" s="10" t="str">
        <f>基本属性!$B$17&amp;"|"&amp;基本属性!$C$17</f>
        <v>135|7</v>
      </c>
      <c r="B7063" s="10" t="str">
        <f>参数调整!$J$37</f>
        <v>新增怪物种类2掉落</v>
      </c>
      <c r="C7063" s="8" t="str">
        <f>材料产出!$AR$2</f>
        <v>火龙精魄</v>
      </c>
      <c r="D7063" s="224">
        <f>参数调整!$K$37*怪物掉落配置方案!$D5011</f>
        <v>9.1312843594386982E-5</v>
      </c>
    </row>
    <row r="7064" spans="1:4" ht="16.5" hidden="1" x14ac:dyDescent="0.3">
      <c r="A7064" s="10" t="str">
        <f>基本属性!$B$18&amp;"|"&amp;基本属性!$C$18</f>
        <v>155|8</v>
      </c>
      <c r="B7064" s="10" t="str">
        <f>参数调整!$J$37</f>
        <v>新增怪物种类2掉落</v>
      </c>
      <c r="C7064" s="8" t="str">
        <f>材料产出!$AR$2</f>
        <v>火龙精魄</v>
      </c>
      <c r="D7064" s="224">
        <f>参数调整!$K$37*怪物掉落配置方案!$D5012</f>
        <v>1.242869260034712E-4</v>
      </c>
    </row>
    <row r="7065" spans="1:4" ht="16.5" hidden="1" x14ac:dyDescent="0.3">
      <c r="A7065" s="10" t="str">
        <f>基本属性!$B$19&amp;"|"&amp;基本属性!$C$19</f>
        <v>190|9</v>
      </c>
      <c r="B7065" s="10" t="str">
        <f>参数调整!$J$37</f>
        <v>新增怪物种类2掉落</v>
      </c>
      <c r="C7065" s="8" t="str">
        <f>材料产出!$AR$2</f>
        <v>火龙精魄</v>
      </c>
      <c r="D7065" s="224">
        <f>参数调整!$K$37*怪物掉落配置方案!$D5013</f>
        <v>1.3889698097857309E-4</v>
      </c>
    </row>
    <row r="7066" spans="1:4" ht="16.5" hidden="1" x14ac:dyDescent="0.3">
      <c r="A7066" s="10" t="str">
        <f>基本属性!$B$20&amp;"|"&amp;基本属性!$C$20</f>
        <v>200|10</v>
      </c>
      <c r="B7066" s="10" t="str">
        <f>参数调整!$J$37</f>
        <v>新增怪物种类2掉落</v>
      </c>
      <c r="C7066" s="8" t="str">
        <f>材料产出!$AR$2</f>
        <v>火龙精魄</v>
      </c>
      <c r="D7066" s="224">
        <f>参数调整!$K$37*怪物掉落配置方案!$D5014</f>
        <v>1.6233394416779908E-4</v>
      </c>
    </row>
    <row r="7067" spans="1:4" ht="16.5" hidden="1" x14ac:dyDescent="0.3">
      <c r="A7067" s="10" t="str">
        <f>基本属性!$B$21&amp;"|"&amp;基本属性!$C$21</f>
        <v>200|11</v>
      </c>
      <c r="B7067" s="10" t="str">
        <f>参数调整!$J$37</f>
        <v>新增怪物种类2掉落</v>
      </c>
      <c r="C7067" s="8" t="str">
        <f>材料产出!$AR$2</f>
        <v>火龙精魄</v>
      </c>
      <c r="D7067" s="224">
        <f>参数调整!$K$37*怪物掉落配置方案!$D5015</f>
        <v>1.8759716422891279E-4</v>
      </c>
    </row>
    <row r="7068" spans="1:4" ht="16.5" hidden="1" x14ac:dyDescent="0.3">
      <c r="A7068" s="10" t="str">
        <f>基本属性!$B$22&amp;"|"&amp;基本属性!$C$22</f>
        <v>210|12</v>
      </c>
      <c r="B7068" s="10" t="str">
        <f>参数调整!$J$37</f>
        <v>新增怪物种类2掉落</v>
      </c>
      <c r="C7068" s="8" t="str">
        <f>材料产出!$AR$2</f>
        <v>火龙精魄</v>
      </c>
      <c r="D7068" s="224">
        <f>参数调整!$K$37*怪物掉落配置方案!$D5016</f>
        <v>2.1468664116191426E-4</v>
      </c>
    </row>
    <row r="7069" spans="1:4" ht="16.5" hidden="1" x14ac:dyDescent="0.3">
      <c r="A7069" s="10" t="str">
        <f>基本属性!$B$23&amp;"|"&amp;基本属性!$C$23</f>
        <v>210|13</v>
      </c>
      <c r="B7069" s="10" t="str">
        <f>参数调整!$J$37</f>
        <v>新增怪物种类2掉落</v>
      </c>
      <c r="C7069" s="8" t="str">
        <f>材料产出!$AR$2</f>
        <v>火龙精魄</v>
      </c>
      <c r="D7069" s="224">
        <f>参数调整!$K$37*怪物掉落配置方案!$D5017</f>
        <v>2.4360237496680355E-4</v>
      </c>
    </row>
    <row r="7070" spans="1:4" ht="16.5" hidden="1" x14ac:dyDescent="0.3">
      <c r="A7070" s="10" t="str">
        <f>基本属性!$B$24&amp;"|"&amp;基本属性!$C$24</f>
        <v>220|14</v>
      </c>
      <c r="B7070" s="10" t="str">
        <f>参数调整!$J$37</f>
        <v>新增怪物种类2掉落</v>
      </c>
      <c r="C7070" s="8" t="str">
        <f>材料产出!$AR$2</f>
        <v>火龙精魄</v>
      </c>
      <c r="D7070" s="224">
        <f>参数调整!$K$37*怪物掉落配置方案!$D5018</f>
        <v>2.7434436564358045E-4</v>
      </c>
    </row>
    <row r="7071" spans="1:4" ht="16.5" hidden="1" x14ac:dyDescent="0.3">
      <c r="A7071" s="10" t="str">
        <f>基本属性!$B$25&amp;"|"&amp;基本属性!$C$25</f>
        <v>220|15</v>
      </c>
      <c r="B7071" s="10" t="str">
        <f>参数调整!$J$37</f>
        <v>新增怪物种类2掉落</v>
      </c>
      <c r="C7071" s="8" t="str">
        <f>材料产出!$AR$2</f>
        <v>火龙精魄</v>
      </c>
      <c r="D7071" s="224">
        <f>参数调整!$K$37*怪物掉落配置方案!$D5019</f>
        <v>3.0691261319224509E-4</v>
      </c>
    </row>
    <row r="7072" spans="1:4" ht="16.5" hidden="1" x14ac:dyDescent="0.3">
      <c r="A7072" s="10" t="str">
        <f>基本属性!$B$26&amp;"|"&amp;基本属性!$C$26</f>
        <v>230|16</v>
      </c>
      <c r="B7072" s="10" t="str">
        <f>参数调整!$J$37</f>
        <v>新增怪物种类2掉落</v>
      </c>
      <c r="C7072" s="8" t="str">
        <f>材料产出!$AR$2</f>
        <v>火龙精魄</v>
      </c>
      <c r="D7072" s="224">
        <f>参数调整!$K$37*怪物掉落配置方案!$D5020</f>
        <v>3.4130711761279749E-4</v>
      </c>
    </row>
    <row r="7073" spans="1:4" ht="16.5" hidden="1" x14ac:dyDescent="0.3">
      <c r="A7073" s="10" t="str">
        <f>基本属性!$B$27&amp;"|"&amp;基本属性!$C$27</f>
        <v>230|17</v>
      </c>
      <c r="B7073" s="10" t="str">
        <f>参数调整!$J$37</f>
        <v>新增怪物种类2掉落</v>
      </c>
      <c r="C7073" s="8" t="str">
        <f>材料产出!$AR$2</f>
        <v>火龙精魄</v>
      </c>
      <c r="D7073" s="224">
        <f>参数调整!$K$37*怪物掉落配置方案!$D5021</f>
        <v>3.7752787890523766E-4</v>
      </c>
    </row>
    <row r="7074" spans="1:4" ht="16.5" hidden="1" x14ac:dyDescent="0.3">
      <c r="A7074" s="10" t="str">
        <f>基本属性!$B$28&amp;"|"&amp;基本属性!$C$28</f>
        <v>240|18</v>
      </c>
      <c r="B7074" s="10" t="str">
        <f>参数调整!$J$37</f>
        <v>新增怪物种类2掉落</v>
      </c>
      <c r="C7074" s="8" t="str">
        <f>材料产出!$AR$2</f>
        <v>火龙精魄</v>
      </c>
      <c r="D7074" s="224">
        <f>参数调整!$K$37*怪物掉落配置方案!$D5022</f>
        <v>4.155748970695657E-4</v>
      </c>
    </row>
    <row r="7075" spans="1:4" ht="16.5" hidden="1" x14ac:dyDescent="0.3">
      <c r="A7075" s="10" t="str">
        <f>基本属性!$B$29&amp;"|"&amp;基本属性!$C$29</f>
        <v>240|19</v>
      </c>
      <c r="B7075" s="10" t="str">
        <f>参数调整!$J$37</f>
        <v>新增怪物种类2掉落</v>
      </c>
      <c r="C7075" s="8" t="str">
        <f>材料产出!$AR$2</f>
        <v>火龙精魄</v>
      </c>
      <c r="D7075" s="224">
        <f>参数调整!$K$37*怪物掉落配置方案!$D5023</f>
        <v>4.554481721057814E-4</v>
      </c>
    </row>
    <row r="7076" spans="1:4" ht="16.5" hidden="1" x14ac:dyDescent="0.3">
      <c r="A7076" s="10" t="str">
        <f>基本属性!$B$30&amp;"|"&amp;基本属性!$C$30</f>
        <v>250|20</v>
      </c>
      <c r="B7076" s="10" t="str">
        <f>参数调整!$J$37</f>
        <v>新增怪物种类2掉落</v>
      </c>
      <c r="C7076" s="8" t="str">
        <f>材料产出!$AR$2</f>
        <v>火龙精魄</v>
      </c>
      <c r="D7076" s="224">
        <f>参数调整!$K$37*怪物掉落配置方案!$D5024</f>
        <v>4.971477040138846E-4</v>
      </c>
    </row>
    <row r="7077" spans="1:4" ht="16.5" hidden="1" x14ac:dyDescent="0.3">
      <c r="A7077" s="10" t="str">
        <f>基本属性!$B$4&amp;"|"&amp;基本属性!$C$4</f>
        <v>35|0</v>
      </c>
      <c r="B7077" s="10" t="str">
        <f>参数调整!$J$37</f>
        <v>新增怪物种类2掉落</v>
      </c>
      <c r="C7077" s="8" t="str">
        <f>材料产出!$L$2</f>
        <v>火龙币</v>
      </c>
      <c r="D7077" s="224">
        <f>参数调整!$K$37*怪物掉落配置方案!$D5025</f>
        <v>1.78567338584579E-3</v>
      </c>
    </row>
    <row r="7078" spans="1:4" ht="16.5" hidden="1" x14ac:dyDescent="0.3">
      <c r="A7078" s="10" t="str">
        <f>基本属性!$B$5&amp;"|"&amp;基本属性!$C$5</f>
        <v>40|0</v>
      </c>
      <c r="B7078" s="10" t="str">
        <f>参数调整!$J$37</f>
        <v>新增怪物种类2掉落</v>
      </c>
      <c r="C7078" s="8" t="str">
        <f>材料产出!$L$2</f>
        <v>火龙币</v>
      </c>
      <c r="D7078" s="224">
        <f>参数调整!$K$37*怪物掉落配置方案!$D5026</f>
        <v>2.2599928789610777E-3</v>
      </c>
    </row>
    <row r="7079" spans="1:4" ht="16.5" hidden="1" x14ac:dyDescent="0.3">
      <c r="A7079" s="10" t="str">
        <f>基本属性!$B$6&amp;"|"&amp;基本属性!$C$6</f>
        <v>50|0</v>
      </c>
      <c r="B7079" s="10" t="str">
        <f>参数调整!$J$37</f>
        <v>新增怪物种类2掉落</v>
      </c>
      <c r="C7079" s="8" t="str">
        <f>材料产出!$L$2</f>
        <v>火龙币</v>
      </c>
      <c r="D7079" s="224">
        <f>参数调整!$K$37*怪物掉落配置方案!$D5027</f>
        <v>2.7901146653840467E-3</v>
      </c>
    </row>
    <row r="7080" spans="1:4" ht="16.5" hidden="1" x14ac:dyDescent="0.3">
      <c r="A7080" s="10" t="str">
        <f>基本属性!$B$7&amp;"|"&amp;基本属性!$C$7</f>
        <v>60|0</v>
      </c>
      <c r="B7080" s="10" t="str">
        <f>参数调整!$J$37</f>
        <v>新增怪物种类2掉落</v>
      </c>
      <c r="C7080" s="8" t="str">
        <f>材料产出!$L$2</f>
        <v>火龙币</v>
      </c>
      <c r="D7080" s="224">
        <f>参数调整!$K$37*怪物掉落配置方案!$D5028</f>
        <v>3.3760387451146965E-3</v>
      </c>
    </row>
    <row r="7081" spans="1:4" ht="16.5" hidden="1" x14ac:dyDescent="0.3">
      <c r="A7081" s="10" t="str">
        <f>基本属性!$B$8&amp;"|"&amp;基本属性!$C$8</f>
        <v>65|0</v>
      </c>
      <c r="B7081" s="10" t="str">
        <f>参数调整!$J$37</f>
        <v>新增怪物种类2掉落</v>
      </c>
      <c r="C7081" s="8" t="str">
        <f>材料产出!$L$2</f>
        <v>火龙币</v>
      </c>
      <c r="D7081" s="224">
        <f>参数调整!$K$37*怪物掉落配置方案!$D5029</f>
        <v>4.0177651181530268E-3</v>
      </c>
    </row>
    <row r="7082" spans="1:4" ht="16.5" hidden="1" x14ac:dyDescent="0.3">
      <c r="A7082" s="10" t="str">
        <f>基本属性!$B$9&amp;"|"&amp;基本属性!$C$9</f>
        <v>70|0</v>
      </c>
      <c r="B7082" s="10" t="str">
        <f>参数调整!$J$37</f>
        <v>新增怪物种类2掉落</v>
      </c>
      <c r="C7082" s="8" t="str">
        <f>材料产出!$L$2</f>
        <v>火龙币</v>
      </c>
      <c r="D7082" s="224">
        <f>参数调整!$K$37*怪物掉落配置方案!$D5030</f>
        <v>4.7152937844990384E-3</v>
      </c>
    </row>
    <row r="7083" spans="1:4" ht="16.5" hidden="1" x14ac:dyDescent="0.3">
      <c r="A7083" s="10" t="str">
        <f>基本属性!$B$10&amp;"|"&amp;基本属性!$C$10</f>
        <v>75|0</v>
      </c>
      <c r="B7083" s="10" t="str">
        <f>参数调整!$J$37</f>
        <v>新增怪物种类2掉落</v>
      </c>
      <c r="C7083" s="8" t="str">
        <f>材料产出!$L$2</f>
        <v>火龙币</v>
      </c>
      <c r="D7083" s="224">
        <f>参数调整!$K$37*怪物掉落配置方案!$D5031</f>
        <v>5.4686247441527299E-3</v>
      </c>
    </row>
    <row r="7084" spans="1:4" ht="16.5" hidden="1" x14ac:dyDescent="0.3">
      <c r="A7084" s="10" t="str">
        <f>基本属性!$B$11&amp;"|"&amp;基本属性!$C$11</f>
        <v>80|1</v>
      </c>
      <c r="B7084" s="10" t="str">
        <f>参数调整!$J$37</f>
        <v>新增怪物种类2掉落</v>
      </c>
      <c r="C7084" s="8" t="str">
        <f>材料产出!$L$2</f>
        <v>火龙币</v>
      </c>
      <c r="D7084" s="224">
        <f>参数调整!$K$37*怪物掉落配置方案!$D5032</f>
        <v>6.2777579971141041E-3</v>
      </c>
    </row>
    <row r="7085" spans="1:4" ht="16.5" hidden="1" x14ac:dyDescent="0.3">
      <c r="A7085" s="10" t="str">
        <f>基本属性!$B$12&amp;"|"&amp;基本属性!$C$12</f>
        <v>90|2</v>
      </c>
      <c r="B7085" s="10" t="str">
        <f>参数调整!$J$37</f>
        <v>新增怪物种类2掉落</v>
      </c>
      <c r="C7085" s="8" t="str">
        <f>材料产出!$L$2</f>
        <v>火龙币</v>
      </c>
      <c r="D7085" s="224">
        <f>参数调整!$K$37*怪物掉落配置方案!$D5033</f>
        <v>7.1426935433831608E-3</v>
      </c>
    </row>
    <row r="7086" spans="1:4" ht="16.5" hidden="1" x14ac:dyDescent="0.3">
      <c r="A7086" s="10" t="str">
        <f>基本属性!$B$13&amp;"|"&amp;基本属性!$C$13</f>
        <v>100|3</v>
      </c>
      <c r="B7086" s="10" t="str">
        <f>参数调整!$J$37</f>
        <v>新增怪物种类2掉落</v>
      </c>
      <c r="C7086" s="8" t="str">
        <f>材料产出!$L$2</f>
        <v>火龙币</v>
      </c>
      <c r="D7086" s="224">
        <f>参数调整!$K$37*怪物掉落配置方案!$D5034</f>
        <v>9.0399715158443125E-3</v>
      </c>
    </row>
    <row r="7087" spans="1:4" ht="16.5" hidden="1" x14ac:dyDescent="0.3">
      <c r="A7087" s="10" t="str">
        <f>基本属性!$B$14&amp;"|"&amp;基本属性!$C$14</f>
        <v>105|4</v>
      </c>
      <c r="B7087" s="10" t="str">
        <f>参数调整!$J$37</f>
        <v>新增怪物种类2掉落</v>
      </c>
      <c r="C7087" s="8" t="str">
        <f>材料产出!$L$2</f>
        <v>火龙币</v>
      </c>
      <c r="D7087" s="224">
        <f>参数调整!$K$37*怪物掉落配置方案!$D5035</f>
        <v>1.1160458661536187E-2</v>
      </c>
    </row>
    <row r="7088" spans="1:4" ht="16.5" hidden="1" x14ac:dyDescent="0.3">
      <c r="A7088" s="10" t="str">
        <f>基本属性!$B$15&amp;"|"&amp;基本属性!$C$15</f>
        <v>110|5</v>
      </c>
      <c r="B7088" s="10" t="str">
        <f>参数调整!$J$37</f>
        <v>新增怪物种类2掉落</v>
      </c>
      <c r="C7088" s="8" t="str">
        <f>材料产出!$L$2</f>
        <v>火龙币</v>
      </c>
      <c r="D7088" s="224">
        <f>参数调整!$K$37*怪物掉落配置方案!$D5036</f>
        <v>1.3504154980458788E-2</v>
      </c>
    </row>
    <row r="7089" spans="1:4" ht="16.5" hidden="1" x14ac:dyDescent="0.3">
      <c r="A7089" s="10" t="str">
        <f>基本属性!$B$16&amp;"|"&amp;基本属性!$C$16</f>
        <v>120|6</v>
      </c>
      <c r="B7089" s="10" t="str">
        <f>参数调整!$J$37</f>
        <v>新增怪物种类2掉落</v>
      </c>
      <c r="C7089" s="8" t="str">
        <f>材料产出!$L$2</f>
        <v>火龙币</v>
      </c>
      <c r="D7089" s="224">
        <f>参数调整!$K$37*怪物掉落配置方案!$D5037</f>
        <v>1.7438216658650293E-2</v>
      </c>
    </row>
    <row r="7090" spans="1:4" ht="16.5" hidden="1" x14ac:dyDescent="0.3">
      <c r="A7090" s="10" t="str">
        <f>基本属性!$B$17&amp;"|"&amp;基本属性!$C$17</f>
        <v>135|7</v>
      </c>
      <c r="B7090" s="10" t="str">
        <f>参数调整!$J$37</f>
        <v>新增怪物种类2掉落</v>
      </c>
      <c r="C7090" s="8" t="str">
        <f>材料产出!$L$2</f>
        <v>火龙币</v>
      </c>
      <c r="D7090" s="224">
        <f>参数调整!$K$37*怪物掉落配置方案!$D5038</f>
        <v>2.5111031988456416E-2</v>
      </c>
    </row>
    <row r="7091" spans="1:4" ht="16.5" hidden="1" x14ac:dyDescent="0.3">
      <c r="A7091" s="10" t="str">
        <f>基本属性!$B$18&amp;"|"&amp;基本属性!$C$18</f>
        <v>155|8</v>
      </c>
      <c r="B7091" s="10" t="str">
        <f>参数调整!$J$37</f>
        <v>新增怪物种类2掉落</v>
      </c>
      <c r="C7091" s="8" t="str">
        <f>材料产出!$L$2</f>
        <v>火龙币</v>
      </c>
      <c r="D7091" s="224">
        <f>参数调整!$K$37*怪物掉落配置方案!$D5039</f>
        <v>3.4178904650954571E-2</v>
      </c>
    </row>
    <row r="7092" spans="1:4" ht="16.5" hidden="1" x14ac:dyDescent="0.3">
      <c r="A7092" s="10" t="str">
        <f>基本属性!$B$19&amp;"|"&amp;基本属性!$C$19</f>
        <v>190|9</v>
      </c>
      <c r="B7092" s="10" t="str">
        <f>参数调整!$J$37</f>
        <v>新增怪物种类2掉落</v>
      </c>
      <c r="C7092" s="8" t="str">
        <f>材料产出!$L$2</f>
        <v>火龙币</v>
      </c>
      <c r="D7092" s="224">
        <f>参数调整!$K$37*怪物掉落配置方案!$D5040</f>
        <v>3.81966697691076E-2</v>
      </c>
    </row>
    <row r="7093" spans="1:4" ht="16.5" hidden="1" x14ac:dyDescent="0.3">
      <c r="A7093" s="10" t="str">
        <f>基本属性!$B$20&amp;"|"&amp;基本属性!$C$20</f>
        <v>200|10</v>
      </c>
      <c r="B7093" s="10" t="str">
        <f>参数调整!$J$37</f>
        <v>新增怪物种类2掉落</v>
      </c>
      <c r="C7093" s="8" t="str">
        <f>材料产出!$L$2</f>
        <v>火龙币</v>
      </c>
      <c r="D7093" s="224">
        <f>参数调整!$K$37*怪物掉落配置方案!$D5041</f>
        <v>4.4641834646144747E-2</v>
      </c>
    </row>
    <row r="7094" spans="1:4" ht="16.5" hidden="1" x14ac:dyDescent="0.3">
      <c r="A7094" s="10" t="str">
        <f>基本属性!$B$21&amp;"|"&amp;基本属性!$C$21</f>
        <v>200|11</v>
      </c>
      <c r="B7094" s="10" t="str">
        <f>参数调整!$J$37</f>
        <v>新增怪物种类2掉落</v>
      </c>
      <c r="C7094" s="8" t="str">
        <f>材料产出!$L$2</f>
        <v>火龙币</v>
      </c>
      <c r="D7094" s="224">
        <f>参数调整!$K$37*怪物掉落配置方案!$D5042</f>
        <v>5.1589220162951012E-2</v>
      </c>
    </row>
    <row r="7095" spans="1:4" ht="16.5" hidden="1" x14ac:dyDescent="0.3">
      <c r="A7095" s="10" t="str">
        <f>基本属性!$B$22&amp;"|"&amp;基本属性!$C$22</f>
        <v>210|12</v>
      </c>
      <c r="B7095" s="10" t="str">
        <f>参数调整!$J$37</f>
        <v>新增怪物种类2掉落</v>
      </c>
      <c r="C7095" s="8" t="str">
        <f>材料产出!$L$2</f>
        <v>火龙币</v>
      </c>
      <c r="D7095" s="224">
        <f>参数调整!$K$37*怪物掉落配置方案!$D5043</f>
        <v>5.9038826319526415E-2</v>
      </c>
    </row>
    <row r="7096" spans="1:4" ht="16.5" hidden="1" x14ac:dyDescent="0.3">
      <c r="A7096" s="10" t="str">
        <f>基本属性!$B$23&amp;"|"&amp;基本属性!$C$23</f>
        <v>210|13</v>
      </c>
      <c r="B7096" s="10" t="str">
        <f>参数调整!$J$37</f>
        <v>新增怪物种类2掉落</v>
      </c>
      <c r="C7096" s="8" t="str">
        <f>材料产出!$L$2</f>
        <v>火龙币</v>
      </c>
      <c r="D7096" s="224">
        <f>参数调整!$K$37*怪物掉落配置方案!$D5044</f>
        <v>6.6990653115870963E-2</v>
      </c>
    </row>
    <row r="7097" spans="1:4" ht="16.5" hidden="1" x14ac:dyDescent="0.3">
      <c r="A7097" s="10" t="str">
        <f>基本属性!$B$24&amp;"|"&amp;基本属性!$C$24</f>
        <v>220|14</v>
      </c>
      <c r="B7097" s="10" t="str">
        <f>参数调整!$J$37</f>
        <v>新增怪物种类2掉落</v>
      </c>
      <c r="C7097" s="8" t="str">
        <f>材料产出!$L$2</f>
        <v>火龙币</v>
      </c>
      <c r="D7097" s="224">
        <f>参数调整!$K$37*怪物掉落配置方案!$D5045</f>
        <v>7.5444700551984628E-2</v>
      </c>
    </row>
    <row r="7098" spans="1:4" ht="16.5" hidden="1" x14ac:dyDescent="0.3">
      <c r="A7098" s="10" t="str">
        <f>基本属性!$B$25&amp;"|"&amp;基本属性!$C$25</f>
        <v>220|15</v>
      </c>
      <c r="B7098" s="10" t="str">
        <f>参数调整!$J$37</f>
        <v>新增怪物种类2掉落</v>
      </c>
      <c r="C7098" s="8" t="str">
        <f>材料产出!$L$2</f>
        <v>火龙币</v>
      </c>
      <c r="D7098" s="224">
        <f>参数调整!$K$37*怪物掉落配置方案!$D5046</f>
        <v>8.4400968627867404E-2</v>
      </c>
    </row>
    <row r="7099" spans="1:4" ht="16.5" hidden="1" x14ac:dyDescent="0.3">
      <c r="A7099" s="10" t="str">
        <f>基本属性!$B$26&amp;"|"&amp;基本属性!$C$26</f>
        <v>230|16</v>
      </c>
      <c r="B7099" s="10" t="str">
        <f>参数调整!$J$37</f>
        <v>新增怪物种类2掉落</v>
      </c>
      <c r="C7099" s="8" t="str">
        <f>材料产出!$L$2</f>
        <v>火龙币</v>
      </c>
      <c r="D7099" s="224">
        <f>参数调整!$K$37*怪物掉落配置方案!$D5047</f>
        <v>9.3859457343519317E-2</v>
      </c>
    </row>
    <row r="7100" spans="1:4" ht="16.5" hidden="1" x14ac:dyDescent="0.3">
      <c r="A7100" s="10" t="str">
        <f>基本属性!$B$27&amp;"|"&amp;基本属性!$C$27</f>
        <v>230|17</v>
      </c>
      <c r="B7100" s="10" t="str">
        <f>参数调整!$J$37</f>
        <v>新增怪物种类2掉落</v>
      </c>
      <c r="C7100" s="8" t="str">
        <f>材料产出!$L$2</f>
        <v>火龙币</v>
      </c>
      <c r="D7100" s="224">
        <f>参数调整!$K$37*怪物掉落配置方案!$D5048</f>
        <v>0.10382016669894036</v>
      </c>
    </row>
    <row r="7101" spans="1:4" ht="16.5" hidden="1" x14ac:dyDescent="0.3">
      <c r="A7101" s="10" t="str">
        <f>基本属性!$B$28&amp;"|"&amp;基本属性!$C$28</f>
        <v>240|18</v>
      </c>
      <c r="B7101" s="10" t="str">
        <f>参数调整!$J$37</f>
        <v>新增怪物种类2掉落</v>
      </c>
      <c r="C7101" s="8" t="str">
        <f>材料产出!$L$2</f>
        <v>火龙币</v>
      </c>
      <c r="D7101" s="224">
        <f>参数调整!$K$37*怪物掉落配置方案!$D5049</f>
        <v>0.11428309669413056</v>
      </c>
    </row>
    <row r="7102" spans="1:4" ht="16.5" hidden="1" x14ac:dyDescent="0.3">
      <c r="A7102" s="10" t="str">
        <f>基本属性!$B$29&amp;"|"&amp;基本属性!$C$29</f>
        <v>240|19</v>
      </c>
      <c r="B7102" s="10" t="str">
        <f>参数调整!$J$37</f>
        <v>新增怪物种类2掉落</v>
      </c>
      <c r="C7102" s="8" t="str">
        <f>材料产出!$L$2</f>
        <v>火龙币</v>
      </c>
      <c r="D7102" s="224">
        <f>参数调整!$K$37*怪物掉落配置方案!$D5050</f>
        <v>0.12524824732908985</v>
      </c>
    </row>
    <row r="7103" spans="1:4" ht="16.5" hidden="1" x14ac:dyDescent="0.3">
      <c r="A7103" s="10" t="str">
        <f>基本属性!$B$30&amp;"|"&amp;基本属性!$C$30</f>
        <v>250|20</v>
      </c>
      <c r="B7103" s="10" t="str">
        <f>参数调整!$J$37</f>
        <v>新增怪物种类2掉落</v>
      </c>
      <c r="C7103" s="8" t="str">
        <f>材料产出!$L$2</f>
        <v>火龙币</v>
      </c>
      <c r="D7103" s="224">
        <f>参数调整!$K$37*怪物掉落配置方案!$D5051</f>
        <v>0.13671561860381826</v>
      </c>
    </row>
    <row r="7104" spans="1:4" ht="16.5" hidden="1" x14ac:dyDescent="0.3">
      <c r="A7104" s="10" t="str">
        <f>基本属性!$B$4&amp;"|"&amp;基本属性!$C$4</f>
        <v>35|0</v>
      </c>
      <c r="B7104" s="10" t="str">
        <f>参数调整!$J$37</f>
        <v>新增怪物种类2掉落</v>
      </c>
      <c r="C7104" s="8" t="str">
        <f>材料产出!$BD$2</f>
        <v>防具碎片</v>
      </c>
      <c r="D7104" s="224">
        <f>参数调整!$K$37*怪物掉落配置方案!$D5052</f>
        <v>6.4933577667119634E-5</v>
      </c>
    </row>
    <row r="7105" spans="1:4" ht="16.5" hidden="1" x14ac:dyDescent="0.3">
      <c r="A7105" s="10" t="str">
        <f>基本属性!$B$5&amp;"|"&amp;基本属性!$C$5</f>
        <v>40|0</v>
      </c>
      <c r="B7105" s="10" t="str">
        <f>参数调整!$J$37</f>
        <v>新增怪物种类2掉落</v>
      </c>
      <c r="C7105" s="8" t="str">
        <f>材料产出!$BD$2</f>
        <v>防具碎片</v>
      </c>
      <c r="D7105" s="224">
        <f>参数调整!$K$37*怪物掉落配置方案!$D5053</f>
        <v>8.2181559234948285E-5</v>
      </c>
    </row>
    <row r="7106" spans="1:4" ht="16.5" hidden="1" x14ac:dyDescent="0.3">
      <c r="A7106" s="10" t="str">
        <f>基本属性!$B$6&amp;"|"&amp;基本属性!$C$6</f>
        <v>50|0</v>
      </c>
      <c r="B7106" s="10" t="str">
        <f>参数调整!$J$37</f>
        <v>新增怪物种类2掉落</v>
      </c>
      <c r="C7106" s="8" t="str">
        <f>材料产出!$BD$2</f>
        <v>防具碎片</v>
      </c>
      <c r="D7106" s="224">
        <f>参数调整!$K$37*怪物掉落配置方案!$D5054</f>
        <v>1.0145871510487443E-4</v>
      </c>
    </row>
    <row r="7107" spans="1:4" ht="16.5" hidden="1" x14ac:dyDescent="0.3">
      <c r="A7107" s="10" t="str">
        <f>基本属性!$B$7&amp;"|"&amp;基本属性!$C$7</f>
        <v>60|0</v>
      </c>
      <c r="B7107" s="10" t="str">
        <f>参数调整!$J$37</f>
        <v>新增怪物种类2掉落</v>
      </c>
      <c r="C7107" s="8" t="str">
        <f>材料产出!$BD$2</f>
        <v>防具碎片</v>
      </c>
      <c r="D7107" s="224">
        <f>参数调整!$K$37*怪物掉落配置方案!$D5055</f>
        <v>1.2276504527689806E-4</v>
      </c>
    </row>
    <row r="7108" spans="1:4" ht="16.5" hidden="1" x14ac:dyDescent="0.3">
      <c r="A7108" s="10" t="str">
        <f>基本属性!$B$8&amp;"|"&amp;基本属性!$C$8</f>
        <v>65|0</v>
      </c>
      <c r="B7108" s="10" t="str">
        <f>参数调整!$J$37</f>
        <v>新增怪物种类2掉落</v>
      </c>
      <c r="C7108" s="8" t="str">
        <f>材料产出!$BD$2</f>
        <v>防具碎片</v>
      </c>
      <c r="D7108" s="224">
        <f>参数调整!$K$37*怪物掉落配置方案!$D5056</f>
        <v>1.4610054975101918E-4</v>
      </c>
    </row>
    <row r="7109" spans="1:4" ht="16.5" hidden="1" x14ac:dyDescent="0.3">
      <c r="A7109" s="10" t="str">
        <f>基本属性!$B$9&amp;"|"&amp;基本属性!$C$9</f>
        <v>70|0</v>
      </c>
      <c r="B7109" s="10" t="str">
        <f>参数调整!$J$37</f>
        <v>新增怪物种类2掉落</v>
      </c>
      <c r="C7109" s="8" t="str">
        <f>材料产出!$BD$2</f>
        <v>防具碎片</v>
      </c>
      <c r="D7109" s="224">
        <f>参数调整!$K$37*怪物掉落配置方案!$D5057</f>
        <v>1.7146522852723778E-4</v>
      </c>
    </row>
    <row r="7110" spans="1:4" ht="16.5" hidden="1" x14ac:dyDescent="0.3">
      <c r="A7110" s="10" t="str">
        <f>基本属性!$B$10&amp;"|"&amp;基本属性!$C$10</f>
        <v>75|0</v>
      </c>
      <c r="B7110" s="10" t="str">
        <f>参数调整!$J$37</f>
        <v>新增怪物种类2掉落</v>
      </c>
      <c r="C7110" s="8" t="str">
        <f>材料产出!$BD$2</f>
        <v>防具碎片</v>
      </c>
      <c r="D7110" s="224">
        <f>参数调整!$K$37*怪物掉落配置方案!$D5058</f>
        <v>1.9885908160555385E-4</v>
      </c>
    </row>
    <row r="7111" spans="1:4" ht="16.5" hidden="1" x14ac:dyDescent="0.3">
      <c r="A7111" s="10" t="str">
        <f>基本属性!$B$11&amp;"|"&amp;基本属性!$C$11</f>
        <v>80|1</v>
      </c>
      <c r="B7111" s="10" t="str">
        <f>参数调整!$J$37</f>
        <v>新增怪物种类2掉落</v>
      </c>
      <c r="C7111" s="8" t="str">
        <f>材料产出!$BD$2</f>
        <v>防具碎片</v>
      </c>
      <c r="D7111" s="224">
        <f>参数调整!$K$37*怪物掉落配置方案!$D5059</f>
        <v>2.2828210898596745E-4</v>
      </c>
    </row>
    <row r="7112" spans="1:4" ht="16.5" hidden="1" x14ac:dyDescent="0.3">
      <c r="A7112" s="10" t="str">
        <f>基本属性!$B$12&amp;"|"&amp;基本属性!$C$12</f>
        <v>90|2</v>
      </c>
      <c r="B7112" s="10" t="str">
        <f>参数调整!$J$37</f>
        <v>新增怪物种类2掉落</v>
      </c>
      <c r="C7112" s="8" t="str">
        <f>材料产出!$BD$2</f>
        <v>防具碎片</v>
      </c>
      <c r="D7112" s="224">
        <f>参数调整!$K$37*怪物掉落配置方案!$D5060</f>
        <v>2.5973431066847859E-4</v>
      </c>
    </row>
    <row r="7113" spans="1:4" ht="16.5" hidden="1" x14ac:dyDescent="0.3">
      <c r="A7113" s="10" t="str">
        <f>基本属性!$B$13&amp;"|"&amp;基本属性!$C$13</f>
        <v>100|3</v>
      </c>
      <c r="B7113" s="10" t="str">
        <f>参数调整!$J$37</f>
        <v>新增怪物种类2掉落</v>
      </c>
      <c r="C7113" s="8" t="str">
        <f>材料产出!$BD$2</f>
        <v>防具碎片</v>
      </c>
      <c r="D7113" s="224">
        <f>参数调整!$K$37*怪物掉落配置方案!$D5061</f>
        <v>3.2872623693979319E-4</v>
      </c>
    </row>
    <row r="7114" spans="1:4" ht="16.5" hidden="1" x14ac:dyDescent="0.3">
      <c r="A7114" s="10" t="str">
        <f>基本属性!$B$14&amp;"|"&amp;基本属性!$C$14</f>
        <v>105|4</v>
      </c>
      <c r="B7114" s="10" t="str">
        <f>参数调整!$J$37</f>
        <v>新增怪物种类2掉落</v>
      </c>
      <c r="C7114" s="8" t="str">
        <f>材料产出!$BD$2</f>
        <v>防具碎片</v>
      </c>
      <c r="D7114" s="224">
        <f>参数调整!$K$37*怪物掉落配置方案!$D5062</f>
        <v>4.0583486041949774E-4</v>
      </c>
    </row>
    <row r="7115" spans="1:4" ht="16.5" hidden="1" x14ac:dyDescent="0.3">
      <c r="A7115" s="10" t="str">
        <f>基本属性!$B$15&amp;"|"&amp;基本属性!$C$15</f>
        <v>110|5</v>
      </c>
      <c r="B7115" s="10" t="str">
        <f>参数调整!$J$37</f>
        <v>新增怪物种类2掉落</v>
      </c>
      <c r="C7115" s="8" t="str">
        <f>材料产出!$BD$2</f>
        <v>防具碎片</v>
      </c>
      <c r="D7115" s="224">
        <f>参数调整!$K$37*怪物掉落配置方案!$D5063</f>
        <v>4.9106018110759233E-4</v>
      </c>
    </row>
    <row r="7116" spans="1:4" ht="16.5" hidden="1" x14ac:dyDescent="0.3">
      <c r="A7116" s="10" t="str">
        <f>基本属性!$B$16&amp;"|"&amp;基本属性!$C$16</f>
        <v>120|6</v>
      </c>
      <c r="B7116" s="10" t="str">
        <f>参数调整!$J$37</f>
        <v>新增怪物种类2掉落</v>
      </c>
      <c r="C7116" s="8" t="str">
        <f>材料产出!$BD$2</f>
        <v>防具碎片</v>
      </c>
      <c r="D7116" s="224">
        <f>参数调整!$K$37*怪物掉落配置方案!$D5064</f>
        <v>6.341169694054653E-4</v>
      </c>
    </row>
    <row r="7117" spans="1:4" ht="16.5" hidden="1" x14ac:dyDescent="0.3">
      <c r="A7117" s="10" t="str">
        <f>基本属性!$B$17&amp;"|"&amp;基本属性!$C$17</f>
        <v>135|7</v>
      </c>
      <c r="B7117" s="10" t="str">
        <f>参数调整!$J$37</f>
        <v>新增怪物种类2掉落</v>
      </c>
      <c r="C7117" s="8" t="str">
        <f>材料产出!$BD$2</f>
        <v>防具碎片</v>
      </c>
      <c r="D7117" s="224">
        <f>参数调整!$K$37*怪物掉落配置方案!$D5065</f>
        <v>9.1312843594386979E-4</v>
      </c>
    </row>
    <row r="7118" spans="1:4" ht="16.5" hidden="1" x14ac:dyDescent="0.3">
      <c r="A7118" s="10" t="str">
        <f>基本属性!$B$18&amp;"|"&amp;基本属性!$C$18</f>
        <v>155|8</v>
      </c>
      <c r="B7118" s="10" t="str">
        <f>参数调整!$J$37</f>
        <v>新增怪物种类2掉落</v>
      </c>
      <c r="C7118" s="8" t="str">
        <f>材料产出!$BD$2</f>
        <v>防具碎片</v>
      </c>
      <c r="D7118" s="224">
        <f>参数调整!$K$37*怪物掉落配置方案!$D5066</f>
        <v>1.2428692600347118E-3</v>
      </c>
    </row>
    <row r="7119" spans="1:4" ht="16.5" hidden="1" x14ac:dyDescent="0.3">
      <c r="A7119" s="10" t="str">
        <f>基本属性!$B$19&amp;"|"&amp;基本属性!$C$19</f>
        <v>190|9</v>
      </c>
      <c r="B7119" s="10" t="str">
        <f>参数调整!$J$37</f>
        <v>新增怪物种类2掉落</v>
      </c>
      <c r="C7119" s="8" t="str">
        <f>材料产出!$BD$2</f>
        <v>防具碎片</v>
      </c>
      <c r="D7119" s="224">
        <f>参数调整!$K$37*怪物掉落配置方案!$D5067</f>
        <v>1.388969809785731E-3</v>
      </c>
    </row>
    <row r="7120" spans="1:4" ht="16.5" hidden="1" x14ac:dyDescent="0.3">
      <c r="A7120" s="10" t="str">
        <f>基本属性!$B$20&amp;"|"&amp;基本属性!$C$20</f>
        <v>200|10</v>
      </c>
      <c r="B7120" s="10" t="str">
        <f>参数调整!$J$37</f>
        <v>新增怪物种类2掉落</v>
      </c>
      <c r="C7120" s="8" t="str">
        <f>材料产出!$BD$2</f>
        <v>防具碎片</v>
      </c>
      <c r="D7120" s="224">
        <f>参数调整!$K$37*怪物掉落配置方案!$D5068</f>
        <v>1.623339441677991E-3</v>
      </c>
    </row>
    <row r="7121" spans="1:4" ht="16.5" hidden="1" x14ac:dyDescent="0.3">
      <c r="A7121" s="10" t="str">
        <f>基本属性!$B$21&amp;"|"&amp;基本属性!$C$21</f>
        <v>200|11</v>
      </c>
      <c r="B7121" s="10" t="str">
        <f>参数调整!$J$37</f>
        <v>新增怪物种类2掉落</v>
      </c>
      <c r="C7121" s="8" t="str">
        <f>材料产出!$BD$2</f>
        <v>防具碎片</v>
      </c>
      <c r="D7121" s="224">
        <f>参数调整!$K$37*怪物掉落配置方案!$D5069</f>
        <v>1.8759716422891276E-3</v>
      </c>
    </row>
    <row r="7122" spans="1:4" ht="16.5" hidden="1" x14ac:dyDescent="0.3">
      <c r="A7122" s="10" t="str">
        <f>基本属性!$B$22&amp;"|"&amp;基本属性!$C$22</f>
        <v>210|12</v>
      </c>
      <c r="B7122" s="10" t="str">
        <f>参数调整!$J$37</f>
        <v>新增怪物种类2掉落</v>
      </c>
      <c r="C7122" s="8" t="str">
        <f>材料产出!$BD$2</f>
        <v>防具碎片</v>
      </c>
      <c r="D7122" s="224">
        <f>参数调整!$K$37*怪物掉落配置方案!$D5070</f>
        <v>2.1468664116191423E-3</v>
      </c>
    </row>
    <row r="7123" spans="1:4" ht="16.5" hidden="1" x14ac:dyDescent="0.3">
      <c r="A7123" s="10" t="str">
        <f>基本属性!$B$23&amp;"|"&amp;基本属性!$C$23</f>
        <v>210|13</v>
      </c>
      <c r="B7123" s="10" t="str">
        <f>参数调整!$J$37</f>
        <v>新增怪物种类2掉落</v>
      </c>
      <c r="C7123" s="8" t="str">
        <f>材料产出!$BD$2</f>
        <v>防具碎片</v>
      </c>
      <c r="D7123" s="224">
        <f>参数调整!$K$37*怪物掉落配置方案!$D5071</f>
        <v>2.4360237496680354E-3</v>
      </c>
    </row>
    <row r="7124" spans="1:4" ht="16.5" hidden="1" x14ac:dyDescent="0.3">
      <c r="A7124" s="10" t="str">
        <f>基本属性!$B$24&amp;"|"&amp;基本属性!$C$24</f>
        <v>220|14</v>
      </c>
      <c r="B7124" s="10" t="str">
        <f>参数调整!$J$37</f>
        <v>新增怪物种类2掉落</v>
      </c>
      <c r="C7124" s="8" t="str">
        <f>材料产出!$BD$2</f>
        <v>防具碎片</v>
      </c>
      <c r="D7124" s="224">
        <f>参数调整!$K$37*怪物掉落配置方案!$D5072</f>
        <v>2.7434436564358045E-3</v>
      </c>
    </row>
    <row r="7125" spans="1:4" ht="16.5" hidden="1" x14ac:dyDescent="0.3">
      <c r="A7125" s="10" t="str">
        <f>基本属性!$B$25&amp;"|"&amp;基本属性!$C$25</f>
        <v>220|15</v>
      </c>
      <c r="B7125" s="10" t="str">
        <f>参数调整!$J$37</f>
        <v>新增怪物种类2掉落</v>
      </c>
      <c r="C7125" s="8" t="str">
        <f>材料产出!$BD$2</f>
        <v>防具碎片</v>
      </c>
      <c r="D7125" s="224">
        <f>参数调整!$K$37*怪物掉落配置方案!$D5073</f>
        <v>3.0691261319224505E-3</v>
      </c>
    </row>
    <row r="7126" spans="1:4" ht="16.5" hidden="1" x14ac:dyDescent="0.3">
      <c r="A7126" s="10" t="str">
        <f>基本属性!$B$26&amp;"|"&amp;基本属性!$C$26</f>
        <v>230|16</v>
      </c>
      <c r="B7126" s="10" t="str">
        <f>参数调整!$J$37</f>
        <v>新增怪物种类2掉落</v>
      </c>
      <c r="C7126" s="8" t="str">
        <f>材料产出!$BD$2</f>
        <v>防具碎片</v>
      </c>
      <c r="D7126" s="224">
        <f>参数调整!$K$37*怪物掉落配置方案!$D5074</f>
        <v>3.4130711761279752E-3</v>
      </c>
    </row>
    <row r="7127" spans="1:4" ht="16.5" hidden="1" x14ac:dyDescent="0.3">
      <c r="A7127" s="10" t="str">
        <f>基本属性!$B$27&amp;"|"&amp;基本属性!$C$27</f>
        <v>230|17</v>
      </c>
      <c r="B7127" s="10" t="str">
        <f>参数调整!$J$37</f>
        <v>新增怪物种类2掉落</v>
      </c>
      <c r="C7127" s="8" t="str">
        <f>材料产出!$BD$2</f>
        <v>防具碎片</v>
      </c>
      <c r="D7127" s="224">
        <f>参数调整!$K$37*怪物掉落配置方案!$D5075</f>
        <v>3.7752787890523768E-3</v>
      </c>
    </row>
    <row r="7128" spans="1:4" ht="16.5" hidden="1" x14ac:dyDescent="0.3">
      <c r="A7128" s="10" t="str">
        <f>基本属性!$B$28&amp;"|"&amp;基本属性!$C$28</f>
        <v>240|18</v>
      </c>
      <c r="B7128" s="10" t="str">
        <f>参数调整!$J$37</f>
        <v>新增怪物种类2掉落</v>
      </c>
      <c r="C7128" s="8" t="str">
        <f>材料产出!$BD$2</f>
        <v>防具碎片</v>
      </c>
      <c r="D7128" s="224">
        <f>参数调整!$K$37*怪物掉落配置方案!$D5076</f>
        <v>4.1557489706956566E-3</v>
      </c>
    </row>
    <row r="7129" spans="1:4" ht="16.5" hidden="1" x14ac:dyDescent="0.3">
      <c r="A7129" s="10" t="str">
        <f>基本属性!$B$29&amp;"|"&amp;基本属性!$C$29</f>
        <v>240|19</v>
      </c>
      <c r="B7129" s="10" t="str">
        <f>参数调整!$J$37</f>
        <v>新增怪物种类2掉落</v>
      </c>
      <c r="C7129" s="8" t="str">
        <f>材料产出!$BD$2</f>
        <v>防具碎片</v>
      </c>
      <c r="D7129" s="224">
        <f>参数调整!$K$37*怪物掉落配置方案!$D5077</f>
        <v>4.5544817210578133E-3</v>
      </c>
    </row>
    <row r="7130" spans="1:4" ht="16.5" hidden="1" x14ac:dyDescent="0.3">
      <c r="A7130" s="10" t="str">
        <f>基本属性!$B$30&amp;"|"&amp;基本属性!$C$30</f>
        <v>250|20</v>
      </c>
      <c r="B7130" s="10" t="str">
        <f>参数调整!$J$37</f>
        <v>新增怪物种类2掉落</v>
      </c>
      <c r="C7130" s="8" t="str">
        <f>材料产出!$BD$2</f>
        <v>防具碎片</v>
      </c>
      <c r="D7130" s="224">
        <f>参数调整!$K$37*怪物掉落配置方案!$D5078</f>
        <v>4.9714770401388456E-3</v>
      </c>
    </row>
    <row r="7131" spans="1:4" ht="16.5" hidden="1" x14ac:dyDescent="0.3">
      <c r="A7131" s="10" t="str">
        <f>基本属性!$B$4&amp;"|"&amp;基本属性!$C$4</f>
        <v>35|0</v>
      </c>
      <c r="B7131" s="10" t="str">
        <f>参数调整!$J$37</f>
        <v>新增怪物种类2掉落</v>
      </c>
      <c r="C7131" s="8" t="str">
        <f>材料产出!$AD$2</f>
        <v>凡品升星石</v>
      </c>
      <c r="D7131" s="224">
        <f>参数调整!$K$37*怪物掉落配置方案!$D5079</f>
        <v>9.0730085236241185E-3</v>
      </c>
    </row>
    <row r="7132" spans="1:4" ht="16.5" hidden="1" x14ac:dyDescent="0.3">
      <c r="A7132" s="10" t="str">
        <f>基本属性!$B$5&amp;"|"&amp;基本属性!$C$5</f>
        <v>40|0</v>
      </c>
      <c r="B7132" s="10" t="str">
        <f>参数调整!$J$37</f>
        <v>新增怪物种类2掉落</v>
      </c>
      <c r="C7132" s="8" t="str">
        <f>材料产出!$AD$2</f>
        <v>凡品升星石</v>
      </c>
      <c r="D7132" s="224">
        <f>参数调整!$K$37*怪物掉落配置方案!$D5080</f>
        <v>1.1483026412711778E-2</v>
      </c>
    </row>
    <row r="7133" spans="1:4" ht="16.5" hidden="1" x14ac:dyDescent="0.3">
      <c r="A7133" s="10" t="str">
        <f>基本属性!$B$6&amp;"|"&amp;基本属性!$C$6</f>
        <v>50|0</v>
      </c>
      <c r="B7133" s="10" t="str">
        <f>参数调整!$J$37</f>
        <v>新增怪物种类2掉落</v>
      </c>
      <c r="C7133" s="8" t="str">
        <f>材料产出!$AD$2</f>
        <v>凡品升星石</v>
      </c>
      <c r="D7133" s="224">
        <f>参数调整!$K$37*怪物掉落配置方案!$D5081</f>
        <v>1.4176575818162687E-2</v>
      </c>
    </row>
    <row r="7134" spans="1:4" ht="16.5" hidden="1" x14ac:dyDescent="0.3">
      <c r="A7134" s="10" t="str">
        <f>基本属性!$B$7&amp;"|"&amp;基本属性!$C$7</f>
        <v>60|0</v>
      </c>
      <c r="B7134" s="10" t="str">
        <f>参数调整!$J$37</f>
        <v>新增怪物种类2掉落</v>
      </c>
      <c r="C7134" s="8" t="str">
        <f>材料产出!$AD$2</f>
        <v>凡品升星石</v>
      </c>
      <c r="D7134" s="224">
        <f>参数调整!$K$37*怪物掉落配置方案!$D5082</f>
        <v>1.715365673997685E-2</v>
      </c>
    </row>
    <row r="7135" spans="1:4" ht="16.5" hidden="1" x14ac:dyDescent="0.3">
      <c r="A7135" s="10" t="str">
        <f>基本属性!$B$8&amp;"|"&amp;基本属性!$C$8</f>
        <v>65|0</v>
      </c>
      <c r="B7135" s="10" t="str">
        <f>参数调整!$J$37</f>
        <v>新增怪物种类2掉落</v>
      </c>
      <c r="C7135" s="8" t="str">
        <f>材料产出!$AD$2</f>
        <v>凡品升星石</v>
      </c>
      <c r="D7135" s="224">
        <f>参数调整!$K$37*怪物掉落配置方案!$D5083</f>
        <v>2.0414269178154268E-2</v>
      </c>
    </row>
    <row r="7136" spans="1:4" ht="16.5" hidden="1" x14ac:dyDescent="0.3">
      <c r="A7136" s="10" t="str">
        <f>基本属性!$B$9&amp;"|"&amp;基本属性!$C$9</f>
        <v>70|0</v>
      </c>
      <c r="B7136" s="10" t="str">
        <f>参数调整!$J$37</f>
        <v>新增怪物种类2掉落</v>
      </c>
      <c r="C7136" s="8" t="str">
        <f>材料产出!$AD$2</f>
        <v>凡品升星石</v>
      </c>
      <c r="D7136" s="224">
        <f>参数调整!$K$37*怪物掉落配置方案!$D5084</f>
        <v>2.395841313269494E-2</v>
      </c>
    </row>
    <row r="7137" spans="1:4" ht="16.5" hidden="1" x14ac:dyDescent="0.3">
      <c r="A7137" s="10" t="str">
        <f>基本属性!$B$10&amp;"|"&amp;基本属性!$C$10</f>
        <v>75|0</v>
      </c>
      <c r="B7137" s="10" t="str">
        <f>参数调整!$J$37</f>
        <v>新增怪物种类2掉落</v>
      </c>
      <c r="C7137" s="8" t="str">
        <f>材料产出!$AD$2</f>
        <v>凡品升星石</v>
      </c>
      <c r="D7137" s="224">
        <f>参数调整!$K$37*怪物掉落配置方案!$D5085</f>
        <v>2.7786088603598862E-2</v>
      </c>
    </row>
    <row r="7138" spans="1:4" ht="16.5" hidden="1" x14ac:dyDescent="0.3">
      <c r="A7138" s="10" t="str">
        <f>基本属性!$B$11&amp;"|"&amp;基本属性!$C$11</f>
        <v>80|1</v>
      </c>
      <c r="B7138" s="10" t="str">
        <f>参数调整!$J$37</f>
        <v>新增怪物种类2掉落</v>
      </c>
      <c r="C7138" s="8" t="str">
        <f>材料产出!$AD$2</f>
        <v>凡品升星石</v>
      </c>
      <c r="D7138" s="224">
        <f>参数调整!$K$37*怪物掉落配置方案!$D5086</f>
        <v>3.1897295590866043E-2</v>
      </c>
    </row>
    <row r="7139" spans="1:4" ht="16.5" hidden="1" x14ac:dyDescent="0.3">
      <c r="A7139" s="10" t="str">
        <f>基本属性!$B$12&amp;"|"&amp;基本属性!$C$12</f>
        <v>90|2</v>
      </c>
      <c r="B7139" s="10" t="str">
        <f>参数调整!$J$37</f>
        <v>新增怪物种类2掉落</v>
      </c>
      <c r="C7139" s="8" t="str">
        <f>材料产出!$AD$2</f>
        <v>凡品升星石</v>
      </c>
      <c r="D7139" s="224">
        <f>参数调整!$K$37*怪物掉落配置方案!$D5087</f>
        <v>3.6292034094496488E-2</v>
      </c>
    </row>
    <row r="7140" spans="1:4" ht="16.5" hidden="1" x14ac:dyDescent="0.3">
      <c r="A7140" s="10" t="str">
        <f>基本属性!$B$13&amp;"|"&amp;基本属性!$C$13</f>
        <v>100|3</v>
      </c>
      <c r="B7140" s="10" t="str">
        <f>参数调整!$J$37</f>
        <v>新增怪物种类2掉落</v>
      </c>
      <c r="C7140" s="8" t="str">
        <f>材料产出!$AD$2</f>
        <v>凡品升星石</v>
      </c>
      <c r="D7140" s="224">
        <f>参数调整!$K$37*怪物掉落配置方案!$D5088</f>
        <v>4.5932105650847113E-2</v>
      </c>
    </row>
    <row r="7141" spans="1:4" ht="16.5" hidden="1" x14ac:dyDescent="0.3">
      <c r="A7141" s="10" t="str">
        <f>基本属性!$B$14&amp;"|"&amp;基本属性!$C$14</f>
        <v>105|4</v>
      </c>
      <c r="B7141" s="10" t="str">
        <f>参数调整!$J$37</f>
        <v>新增怪物种类2掉落</v>
      </c>
      <c r="C7141" s="8" t="str">
        <f>材料产出!$AD$2</f>
        <v>凡品升星石</v>
      </c>
      <c r="D7141" s="224">
        <f>参数调整!$K$37*怪物掉落配置方案!$D5089</f>
        <v>5.6706303272650742E-2</v>
      </c>
    </row>
    <row r="7142" spans="1:4" ht="16.5" hidden="1" x14ac:dyDescent="0.3">
      <c r="A7142" s="10" t="str">
        <f>基本属性!$B$15&amp;"|"&amp;基本属性!$C$15</f>
        <v>110|5</v>
      </c>
      <c r="B7142" s="10" t="str">
        <f>参数调整!$J$37</f>
        <v>新增怪物种类2掉落</v>
      </c>
      <c r="C7142" s="8" t="str">
        <f>材料产出!$AD$2</f>
        <v>凡品升星石</v>
      </c>
      <c r="D7142" s="224">
        <f>参数调整!$K$37*怪物掉落配置方案!$D5090</f>
        <v>6.8614626959907402E-2</v>
      </c>
    </row>
    <row r="7143" spans="1:4" ht="16.5" hidden="1" x14ac:dyDescent="0.3">
      <c r="A7143" s="10" t="str">
        <f>基本属性!$B$16&amp;"|"&amp;基本属性!$C$16</f>
        <v>120|6</v>
      </c>
      <c r="B7143" s="10" t="str">
        <f>参数调整!$J$37</f>
        <v>新增怪物种类2掉落</v>
      </c>
      <c r="C7143" s="8" t="str">
        <f>材料产出!$AD$2</f>
        <v>凡品升星石</v>
      </c>
      <c r="D7143" s="224">
        <f>参数调整!$K$37*怪物掉落配置方案!$D5091</f>
        <v>8.8603598863516791E-2</v>
      </c>
    </row>
    <row r="7144" spans="1:4" ht="16.5" hidden="1" x14ac:dyDescent="0.3">
      <c r="A7144" s="10" t="str">
        <f>基本属性!$B$17&amp;"|"&amp;基本属性!$C$17</f>
        <v>135|7</v>
      </c>
      <c r="B7144" s="10" t="str">
        <f>参数调整!$J$37</f>
        <v>新增怪物种类2掉落</v>
      </c>
      <c r="C7144" s="8" t="str">
        <f>材料产出!$AD$2</f>
        <v>凡品升星石</v>
      </c>
      <c r="D7144" s="224">
        <f>参数调整!$K$37*怪物掉落配置方案!$D5092</f>
        <v>0.12758918236346417</v>
      </c>
    </row>
    <row r="7145" spans="1:4" ht="16.5" hidden="1" x14ac:dyDescent="0.3">
      <c r="A7145" s="10" t="str">
        <f>基本属性!$B$18&amp;"|"&amp;基本属性!$C$18</f>
        <v>155|8</v>
      </c>
      <c r="B7145" s="10" t="str">
        <f>参数调整!$J$37</f>
        <v>新增怪物种类2掉落</v>
      </c>
      <c r="C7145" s="8" t="str">
        <f>材料产出!$AD$2</f>
        <v>凡品升星石</v>
      </c>
      <c r="D7145" s="224">
        <f>参数调整!$K$37*怪物掉落配置方案!$D5093</f>
        <v>0.17366305377249294</v>
      </c>
    </row>
    <row r="7146" spans="1:4" ht="16.5" hidden="1" x14ac:dyDescent="0.3">
      <c r="A7146" s="10" t="str">
        <f>基本属性!$B$19&amp;"|"&amp;基本属性!$C$19</f>
        <v>190|9</v>
      </c>
      <c r="B7146" s="10" t="str">
        <f>参数调整!$J$37</f>
        <v>新增怪物种类2掉落</v>
      </c>
      <c r="C7146" s="8" t="str">
        <f>材料产出!$AD$2</f>
        <v>凡品升星石</v>
      </c>
      <c r="D7146" s="224">
        <f>参数调整!$K$37*怪物掉落配置方案!$D5094</f>
        <v>0.19407732295064722</v>
      </c>
    </row>
    <row r="7147" spans="1:4" ht="16.5" hidden="1" x14ac:dyDescent="0.3">
      <c r="A7147" s="10" t="str">
        <f>基本属性!$B$20&amp;"|"&amp;基本属性!$C$20</f>
        <v>200|10</v>
      </c>
      <c r="B7147" s="10" t="str">
        <f>参数调整!$J$37</f>
        <v>新增怪物种类2掉落</v>
      </c>
      <c r="C7147" s="8" t="str">
        <f>材料产出!$AD$2</f>
        <v>凡品升星石</v>
      </c>
      <c r="D7147" s="224">
        <f>参数调整!$K$37*怪物掉落配置方案!$D5095</f>
        <v>0.22682521309060297</v>
      </c>
    </row>
    <row r="7148" spans="1:4" ht="16.5" hidden="1" x14ac:dyDescent="0.3">
      <c r="A7148" s="10" t="str">
        <f>基本属性!$B$21&amp;"|"&amp;基本属性!$C$21</f>
        <v>200|11</v>
      </c>
      <c r="B7148" s="10" t="str">
        <f>参数调整!$J$37</f>
        <v>新增怪物种类2掉落</v>
      </c>
      <c r="C7148" s="8" t="str">
        <f>材料产出!$AD$2</f>
        <v>凡品升星石</v>
      </c>
      <c r="D7148" s="224">
        <f>参数调整!$K$37*怪物掉落配置方案!$D5096</f>
        <v>0.26212488687782803</v>
      </c>
    </row>
    <row r="7149" spans="1:4" ht="16.5" hidden="1" x14ac:dyDescent="0.3">
      <c r="A7149" s="10" t="str">
        <f>基本属性!$B$22&amp;"|"&amp;基本属性!$C$22</f>
        <v>210|12</v>
      </c>
      <c r="B7149" s="10" t="str">
        <f>参数调整!$J$37</f>
        <v>新增怪物种类2掉落</v>
      </c>
      <c r="C7149" s="8" t="str">
        <f>材料产出!$AD$2</f>
        <v>凡品升星石</v>
      </c>
      <c r="D7149" s="224">
        <f>参数调整!$K$37*怪物掉落配置方案!$D5097</f>
        <v>0.2999763443123224</v>
      </c>
    </row>
    <row r="7150" spans="1:4" ht="16.5" hidden="1" x14ac:dyDescent="0.3">
      <c r="A7150" s="10" t="str">
        <f>基本属性!$B$23&amp;"|"&amp;基本属性!$C$23</f>
        <v>210|13</v>
      </c>
      <c r="B7150" s="10" t="str">
        <f>参数调整!$J$37</f>
        <v>新增怪物种类2掉落</v>
      </c>
      <c r="C7150" s="8" t="str">
        <f>材料产出!$AD$2</f>
        <v>凡品升星石</v>
      </c>
      <c r="D7150" s="224">
        <f>参数调整!$K$37*怪物掉落配置方案!$D5098</f>
        <v>0.34037958539408608</v>
      </c>
    </row>
    <row r="7151" spans="1:4" ht="16.5" hidden="1" x14ac:dyDescent="0.3">
      <c r="A7151" s="10" t="str">
        <f>基本属性!$B$24&amp;"|"&amp;基本属性!$C$24</f>
        <v>220|14</v>
      </c>
      <c r="B7151" s="10" t="str">
        <f>参数调整!$J$37</f>
        <v>新增怪物种类2掉落</v>
      </c>
      <c r="C7151" s="8" t="str">
        <f>材料产出!$AD$2</f>
        <v>凡品升星石</v>
      </c>
      <c r="D7151" s="224">
        <f>参数调整!$K$37*怪物掉落配置方案!$D5099</f>
        <v>0.38333461012311909</v>
      </c>
    </row>
    <row r="7152" spans="1:4" ht="16.5" hidden="1" x14ac:dyDescent="0.3">
      <c r="A7152" s="10" t="str">
        <f>基本属性!$B$25&amp;"|"&amp;基本属性!$C$25</f>
        <v>220|15</v>
      </c>
      <c r="B7152" s="10" t="str">
        <f>参数调整!$J$37</f>
        <v>新增怪物种类2掉落</v>
      </c>
      <c r="C7152" s="8" t="str">
        <f>材料产出!$AD$2</f>
        <v>凡品升星石</v>
      </c>
      <c r="D7152" s="224">
        <f>参数调整!$K$37*怪物掉落配置方案!$D5100</f>
        <v>0.42884141849942115</v>
      </c>
    </row>
    <row r="7153" spans="1:4" ht="16.5" hidden="1" x14ac:dyDescent="0.3">
      <c r="A7153" s="10" t="str">
        <f>基本属性!$B$26&amp;"|"&amp;基本属性!$C$26</f>
        <v>230|16</v>
      </c>
      <c r="B7153" s="10" t="str">
        <f>参数调整!$J$37</f>
        <v>新增怪物种类2掉落</v>
      </c>
      <c r="C7153" s="8" t="str">
        <f>材料产出!$AD$2</f>
        <v>凡品升星石</v>
      </c>
      <c r="D7153" s="224">
        <f>参数调整!$K$37*怪物掉落配置方案!$D5101</f>
        <v>0.47690001052299275</v>
      </c>
    </row>
    <row r="7154" spans="1:4" ht="16.5" hidden="1" x14ac:dyDescent="0.3">
      <c r="A7154" s="10" t="str">
        <f>基本属性!$B$27&amp;"|"&amp;基本属性!$C$27</f>
        <v>230|17</v>
      </c>
      <c r="B7154" s="10" t="str">
        <f>参数调整!$J$37</f>
        <v>新增怪物种类2掉落</v>
      </c>
      <c r="C7154" s="8" t="str">
        <f>材料产出!$AD$2</f>
        <v>凡品升星石</v>
      </c>
      <c r="D7154" s="224">
        <f>参数调整!$K$37*怪物掉落配置方案!$D5102</f>
        <v>0.5275103861938335</v>
      </c>
    </row>
    <row r="7155" spans="1:4" ht="16.5" hidden="1" x14ac:dyDescent="0.3">
      <c r="A7155" s="10" t="str">
        <f>基本属性!$B$28&amp;"|"&amp;基本属性!$C$28</f>
        <v>240|18</v>
      </c>
      <c r="B7155" s="10" t="str">
        <f>参数调整!$J$37</f>
        <v>新增怪物种类2掉落</v>
      </c>
      <c r="C7155" s="8" t="str">
        <f>材料产出!$AD$2</f>
        <v>凡品升星石</v>
      </c>
      <c r="D7155" s="224">
        <f>参数调整!$K$37*怪物掉落配置方案!$D5103</f>
        <v>0.58067254551194369</v>
      </c>
    </row>
    <row r="7156" spans="1:4" ht="16.5" hidden="1" x14ac:dyDescent="0.3">
      <c r="A7156" s="10" t="str">
        <f>基本属性!$B$29&amp;"|"&amp;基本属性!$C$29</f>
        <v>240|19</v>
      </c>
      <c r="B7156" s="10" t="str">
        <f>参数调整!$J$37</f>
        <v>新增怪物种类2掉落</v>
      </c>
      <c r="C7156" s="8" t="str">
        <f>材料产出!$AD$2</f>
        <v>凡品升星石</v>
      </c>
      <c r="D7156" s="224">
        <f>参数调整!$K$37*怪物掉落配置方案!$D5104</f>
        <v>0.63638648847732304</v>
      </c>
    </row>
    <row r="7157" spans="1:4" ht="16.5" hidden="1" x14ac:dyDescent="0.3">
      <c r="A7157" s="10" t="str">
        <f>基本属性!$B$30&amp;"|"&amp;基本属性!$C$30</f>
        <v>250|20</v>
      </c>
      <c r="B7157" s="10" t="str">
        <f>参数调整!$J$37</f>
        <v>新增怪物种类2掉落</v>
      </c>
      <c r="C7157" s="8" t="str">
        <f>材料产出!$AD$2</f>
        <v>凡品升星石</v>
      </c>
      <c r="D7157" s="224">
        <f>参数调整!$K$37*怪物掉落配置方案!$D5105</f>
        <v>0.69465221508997155</v>
      </c>
    </row>
    <row r="7158" spans="1:4" ht="16.5" hidden="1" x14ac:dyDescent="0.3">
      <c r="A7158" s="10" t="str">
        <f>基本属性!$B$4&amp;"|"&amp;基本属性!$C$4</f>
        <v>35|0</v>
      </c>
      <c r="B7158" s="10" t="str">
        <f>参数调整!$J$37</f>
        <v>新增怪物种类2掉落</v>
      </c>
      <c r="C7158" s="8" t="str">
        <f>材料产出!$Z$2</f>
        <v>恶魔头颅</v>
      </c>
      <c r="D7158" s="224">
        <f>参数调整!$K$37*怪物掉落配置方案!$D5106</f>
        <v>1.1814868792596499E-3</v>
      </c>
    </row>
    <row r="7159" spans="1:4" ht="16.5" hidden="1" x14ac:dyDescent="0.3">
      <c r="A7159" s="10" t="str">
        <f>基本属性!$B$5&amp;"|"&amp;基本属性!$C$5</f>
        <v>40|0</v>
      </c>
      <c r="B7159" s="10" t="str">
        <f>参数调整!$J$37</f>
        <v>新增怪物种类2掉落</v>
      </c>
      <c r="C7159" s="8" t="str">
        <f>材料产出!$Z$2</f>
        <v>恶魔头颅</v>
      </c>
      <c r="D7159" s="224">
        <f>参数调整!$K$37*怪物掉落配置方案!$D5107</f>
        <v>1.4953193315629945E-3</v>
      </c>
    </row>
    <row r="7160" spans="1:4" ht="16.5" hidden="1" x14ac:dyDescent="0.3">
      <c r="A7160" s="10" t="str">
        <f>基本属性!$B$6&amp;"|"&amp;基本属性!$C$6</f>
        <v>50|0</v>
      </c>
      <c r="B7160" s="10" t="str">
        <f>参数调整!$J$37</f>
        <v>新增怪物种类2掉落</v>
      </c>
      <c r="C7160" s="8" t="str">
        <f>材料产出!$Z$2</f>
        <v>恶魔头颅</v>
      </c>
      <c r="D7160" s="224">
        <f>参数调整!$K$37*怪物掉落配置方案!$D5108</f>
        <v>1.8460732488432029E-3</v>
      </c>
    </row>
    <row r="7161" spans="1:4" ht="16.5" hidden="1" x14ac:dyDescent="0.3">
      <c r="A7161" s="10" t="str">
        <f>基本属性!$B$7&amp;"|"&amp;基本属性!$C$7</f>
        <v>60|0</v>
      </c>
      <c r="B7161" s="10" t="str">
        <f>参数调整!$J$37</f>
        <v>新增怪物种类2掉落</v>
      </c>
      <c r="C7161" s="8" t="str">
        <f>材料产出!$Z$2</f>
        <v>恶魔头颅</v>
      </c>
      <c r="D7161" s="224">
        <f>参数调整!$K$37*怪物掉落配置方案!$D5109</f>
        <v>2.233748631100276E-3</v>
      </c>
    </row>
    <row r="7162" spans="1:4" ht="16.5" hidden="1" x14ac:dyDescent="0.3">
      <c r="A7162" s="10" t="str">
        <f>基本属性!$B$8&amp;"|"&amp;基本属性!$C$8</f>
        <v>65|0</v>
      </c>
      <c r="B7162" s="10" t="str">
        <f>参数调整!$J$37</f>
        <v>新增怪物种类2掉落</v>
      </c>
      <c r="C7162" s="8" t="str">
        <f>材料产出!$Z$2</f>
        <v>恶魔头颅</v>
      </c>
      <c r="D7162" s="224">
        <f>参数调整!$K$37*怪物掉落配置方案!$D5110</f>
        <v>2.6583454783342124E-3</v>
      </c>
    </row>
    <row r="7163" spans="1:4" ht="16.5" hidden="1" x14ac:dyDescent="0.3">
      <c r="A7163" s="10" t="str">
        <f>基本属性!$B$9&amp;"|"&amp;基本属性!$C$9</f>
        <v>70|0</v>
      </c>
      <c r="B7163" s="10" t="str">
        <f>参数调整!$J$37</f>
        <v>新增怪物种类2掉落</v>
      </c>
      <c r="C7163" s="8" t="str">
        <f>材料产出!$Z$2</f>
        <v>恶魔头颅</v>
      </c>
      <c r="D7163" s="224">
        <f>参数调整!$K$37*怪物掉落配置方案!$D5111</f>
        <v>3.1198637905450132E-3</v>
      </c>
    </row>
    <row r="7164" spans="1:4" ht="16.5" hidden="1" x14ac:dyDescent="0.3">
      <c r="A7164" s="10" t="str">
        <f>基本属性!$B$10&amp;"|"&amp;基本属性!$C$10</f>
        <v>75|0</v>
      </c>
      <c r="B7164" s="10" t="str">
        <f>参数调整!$J$37</f>
        <v>新增怪物种类2掉落</v>
      </c>
      <c r="C7164" s="8" t="str">
        <f>材料产出!$Z$2</f>
        <v>恶魔头颅</v>
      </c>
      <c r="D7164" s="224">
        <f>参数调整!$K$37*怪物掉落配置方案!$D5112</f>
        <v>3.6183035677326775E-3</v>
      </c>
    </row>
    <row r="7165" spans="1:4" ht="16.5" hidden="1" x14ac:dyDescent="0.3">
      <c r="A7165" s="10" t="str">
        <f>基本属性!$B$11&amp;"|"&amp;基本属性!$C$11</f>
        <v>80|1</v>
      </c>
      <c r="B7165" s="10" t="str">
        <f>参数调整!$J$37</f>
        <v>新增怪物种类2掉落</v>
      </c>
      <c r="C7165" s="8" t="str">
        <f>材料产出!$Z$2</f>
        <v>恶魔头颅</v>
      </c>
      <c r="D7165" s="224">
        <f>参数调整!$K$37*怪物掉落配置方案!$D5113</f>
        <v>4.1536648098972071E-3</v>
      </c>
    </row>
    <row r="7166" spans="1:4" ht="16.5" hidden="1" x14ac:dyDescent="0.3">
      <c r="A7166" s="10" t="str">
        <f>基本属性!$B$12&amp;"|"&amp;基本属性!$C$12</f>
        <v>90|2</v>
      </c>
      <c r="B7166" s="10" t="str">
        <f>参数调整!$J$37</f>
        <v>新增怪物种类2掉落</v>
      </c>
      <c r="C7166" s="8" t="str">
        <f>材料产出!$Z$2</f>
        <v>恶魔头颅</v>
      </c>
      <c r="D7166" s="224">
        <f>参数调整!$K$37*怪物掉落配置方案!$D5114</f>
        <v>4.7259475170386006E-3</v>
      </c>
    </row>
    <row r="7167" spans="1:4" ht="16.5" hidden="1" x14ac:dyDescent="0.3">
      <c r="A7167" s="10" t="str">
        <f>基本属性!$B$13&amp;"|"&amp;基本属性!$C$13</f>
        <v>100|3</v>
      </c>
      <c r="B7167" s="10" t="str">
        <f>参数调整!$J$37</f>
        <v>新增怪物种类2掉落</v>
      </c>
      <c r="C7167" s="8" t="str">
        <f>材料产出!$Z$2</f>
        <v>恶魔头颅</v>
      </c>
      <c r="D7167" s="224">
        <f>参数调整!$K$37*怪物掉落配置方案!$D5115</f>
        <v>5.9812773262519787E-3</v>
      </c>
    </row>
    <row r="7168" spans="1:4" ht="16.5" hidden="1" x14ac:dyDescent="0.3">
      <c r="A7168" s="10" t="str">
        <f>基本属性!$B$14&amp;"|"&amp;基本属性!$C$14</f>
        <v>105|4</v>
      </c>
      <c r="B7168" s="10" t="str">
        <f>参数调整!$J$37</f>
        <v>新增怪物种类2掉落</v>
      </c>
      <c r="C7168" s="8" t="str">
        <f>材料产出!$Z$2</f>
        <v>恶魔头颅</v>
      </c>
      <c r="D7168" s="224">
        <f>参数调整!$K$37*怪物掉落配置方案!$D5116</f>
        <v>7.3842929953728117E-3</v>
      </c>
    </row>
    <row r="7169" spans="1:4" ht="16.5" hidden="1" x14ac:dyDescent="0.3">
      <c r="A7169" s="10" t="str">
        <f>基本属性!$B$15&amp;"|"&amp;基本属性!$C$15</f>
        <v>110|5</v>
      </c>
      <c r="B7169" s="10" t="str">
        <f>参数调整!$J$37</f>
        <v>新增怪物种类2掉落</v>
      </c>
      <c r="C7169" s="8" t="str">
        <f>材料产出!$Z$2</f>
        <v>恶魔头颅</v>
      </c>
      <c r="D7169" s="224">
        <f>参数调整!$K$37*怪物掉落配置方案!$D5117</f>
        <v>8.9349945244011041E-3</v>
      </c>
    </row>
    <row r="7170" spans="1:4" ht="16.5" hidden="1" x14ac:dyDescent="0.3">
      <c r="A7170" s="10" t="str">
        <f>基本属性!$B$16&amp;"|"&amp;基本属性!$C$16</f>
        <v>120|6</v>
      </c>
      <c r="B7170" s="10" t="str">
        <f>参数调整!$J$37</f>
        <v>新增怪物种类2掉落</v>
      </c>
      <c r="C7170" s="8" t="str">
        <f>材料产出!$Z$2</f>
        <v>恶魔头颅</v>
      </c>
      <c r="D7170" s="224">
        <f>参数调整!$K$37*怪物掉落配置方案!$D5118</f>
        <v>1.1537957805270019E-2</v>
      </c>
    </row>
    <row r="7171" spans="1:4" ht="16.5" hidden="1" x14ac:dyDescent="0.3">
      <c r="A7171" s="10" t="str">
        <f>基本属性!$B$17&amp;"|"&amp;基本属性!$C$17</f>
        <v>135|7</v>
      </c>
      <c r="B7171" s="10" t="str">
        <f>参数调整!$J$37</f>
        <v>新增怪物种类2掉落</v>
      </c>
      <c r="C7171" s="8" t="str">
        <f>材料产出!$Z$2</f>
        <v>恶魔头颅</v>
      </c>
      <c r="D7171" s="224">
        <f>参数调整!$K$37*怪物掉落配置方案!$D5119</f>
        <v>1.6614659239588828E-2</v>
      </c>
    </row>
    <row r="7172" spans="1:4" ht="16.5" hidden="1" x14ac:dyDescent="0.3">
      <c r="A7172" s="10" t="str">
        <f>基本属性!$B$18&amp;"|"&amp;基本属性!$C$18</f>
        <v>155|8</v>
      </c>
      <c r="B7172" s="10" t="str">
        <f>参数调整!$J$37</f>
        <v>新增怪物种类2掉落</v>
      </c>
      <c r="C7172" s="8" t="str">
        <f>材料产出!$Z$2</f>
        <v>恶魔头颅</v>
      </c>
      <c r="D7172" s="224">
        <f>参数调整!$K$37*怪物掉落配置方案!$D5120</f>
        <v>2.2614397298329241E-2</v>
      </c>
    </row>
    <row r="7173" spans="1:4" ht="16.5" hidden="1" x14ac:dyDescent="0.3">
      <c r="A7173" s="10" t="str">
        <f>基本属性!$B$19&amp;"|"&amp;基本属性!$C$19</f>
        <v>190|9</v>
      </c>
      <c r="B7173" s="10" t="str">
        <f>参数调整!$J$37</f>
        <v>新增怪物种类2掉落</v>
      </c>
      <c r="C7173" s="8" t="str">
        <f>材料产出!$Z$2</f>
        <v>恶魔头颅</v>
      </c>
      <c r="D7173" s="224">
        <f>参数调整!$K$37*怪物掉落配置方案!$D5121</f>
        <v>2.5272742776663453E-2</v>
      </c>
    </row>
    <row r="7174" spans="1:4" ht="16.5" hidden="1" x14ac:dyDescent="0.3">
      <c r="A7174" s="10" t="str">
        <f>基本属性!$B$20&amp;"|"&amp;基本属性!$C$20</f>
        <v>200|10</v>
      </c>
      <c r="B7174" s="10" t="str">
        <f>参数调整!$J$37</f>
        <v>新增怪物种类2掉落</v>
      </c>
      <c r="C7174" s="8" t="str">
        <f>材料产出!$Z$2</f>
        <v>恶魔头颅</v>
      </c>
      <c r="D7174" s="224">
        <f>参数调整!$K$37*怪物掉落配置方案!$D5122</f>
        <v>2.9537171981491247E-2</v>
      </c>
    </row>
    <row r="7175" spans="1:4" ht="16.5" hidden="1" x14ac:dyDescent="0.3">
      <c r="A7175" s="10" t="str">
        <f>基本属性!$B$21&amp;"|"&amp;基本属性!$C$21</f>
        <v>200|11</v>
      </c>
      <c r="B7175" s="10" t="str">
        <f>参数调整!$J$37</f>
        <v>新增怪物种类2掉落</v>
      </c>
      <c r="C7175" s="8" t="str">
        <f>材料产出!$Z$2</f>
        <v>恶魔头颅</v>
      </c>
      <c r="D7175" s="224">
        <f>参数调整!$K$37*怪物掉落配置方案!$D5123</f>
        <v>3.4133894371110814E-2</v>
      </c>
    </row>
    <row r="7176" spans="1:4" ht="16.5" hidden="1" x14ac:dyDescent="0.3">
      <c r="A7176" s="10" t="str">
        <f>基本属性!$B$22&amp;"|"&amp;基本属性!$C$22</f>
        <v>210|12</v>
      </c>
      <c r="B7176" s="10" t="str">
        <f>参数调整!$J$37</f>
        <v>新增怪物种类2掉落</v>
      </c>
      <c r="C7176" s="8" t="str">
        <f>材料产出!$Z$2</f>
        <v>恶魔头颅</v>
      </c>
      <c r="D7176" s="224">
        <f>参数调整!$K$37*怪物掉落配置方案!$D5124</f>
        <v>3.9062909945522167E-2</v>
      </c>
    </row>
    <row r="7177" spans="1:4" ht="16.5" hidden="1" x14ac:dyDescent="0.3">
      <c r="A7177" s="10" t="str">
        <f>基本属性!$B$23&amp;"|"&amp;基本属性!$C$23</f>
        <v>210|13</v>
      </c>
      <c r="B7177" s="10" t="str">
        <f>参数调整!$J$37</f>
        <v>新增怪物种类2掉落</v>
      </c>
      <c r="C7177" s="8" t="str">
        <f>材料产出!$Z$2</f>
        <v>恶魔头颅</v>
      </c>
      <c r="D7177" s="224">
        <f>参数调整!$K$37*怪物掉落配置方案!$D5125</f>
        <v>4.4324218704725311E-2</v>
      </c>
    </row>
    <row r="7178" spans="1:4" ht="16.5" hidden="1" x14ac:dyDescent="0.3">
      <c r="A7178" s="10" t="str">
        <f>基本属性!$B$24&amp;"|"&amp;基本属性!$C$24</f>
        <v>220|14</v>
      </c>
      <c r="B7178" s="10" t="str">
        <f>参数调整!$J$37</f>
        <v>新增怪物种类2掉落</v>
      </c>
      <c r="C7178" s="8" t="str">
        <f>材料产出!$Z$2</f>
        <v>恶魔头颅</v>
      </c>
      <c r="D7178" s="224">
        <f>参数调整!$K$37*怪物掉落配置方案!$D5126</f>
        <v>4.9917820648720211E-2</v>
      </c>
    </row>
    <row r="7179" spans="1:4" ht="16.5" hidden="1" x14ac:dyDescent="0.3">
      <c r="A7179" s="10" t="str">
        <f>基本属性!$B$25&amp;"|"&amp;基本属性!$C$25</f>
        <v>220|15</v>
      </c>
      <c r="B7179" s="10" t="str">
        <f>参数调整!$J$37</f>
        <v>新增怪物种类2掉落</v>
      </c>
      <c r="C7179" s="8" t="str">
        <f>材料产出!$Z$2</f>
        <v>恶魔头颅</v>
      </c>
      <c r="D7179" s="224">
        <f>参数调整!$K$37*怪物掉落配置方案!$D5127</f>
        <v>5.5843715777506887E-2</v>
      </c>
    </row>
    <row r="7180" spans="1:4" ht="16.5" hidden="1" x14ac:dyDescent="0.3">
      <c r="A7180" s="10" t="str">
        <f>基本属性!$B$26&amp;"|"&amp;基本属性!$C$26</f>
        <v>230|16</v>
      </c>
      <c r="B7180" s="10" t="str">
        <f>参数调整!$J$37</f>
        <v>新增怪物种类2掉落</v>
      </c>
      <c r="C7180" s="8" t="str">
        <f>材料产出!$Z$2</f>
        <v>恶魔头颅</v>
      </c>
      <c r="D7180" s="224">
        <f>参数调整!$K$37*怪物掉落配置方案!$D5128</f>
        <v>6.2101904091085347E-2</v>
      </c>
    </row>
    <row r="7181" spans="1:4" ht="16.5" hidden="1" x14ac:dyDescent="0.3">
      <c r="A7181" s="10" t="str">
        <f>基本属性!$B$27&amp;"|"&amp;基本属性!$C$27</f>
        <v>230|17</v>
      </c>
      <c r="B7181" s="10" t="str">
        <f>参数调整!$J$37</f>
        <v>新增怪物种类2掉落</v>
      </c>
      <c r="C7181" s="8" t="str">
        <f>材料产出!$Z$2</f>
        <v>恶魔头颅</v>
      </c>
      <c r="D7181" s="224">
        <f>参数调整!$K$37*怪物掉落配置方案!$D5129</f>
        <v>6.8692385589455576E-2</v>
      </c>
    </row>
    <row r="7182" spans="1:4" ht="16.5" hidden="1" x14ac:dyDescent="0.3">
      <c r="A7182" s="10" t="str">
        <f>基本属性!$B$28&amp;"|"&amp;基本属性!$C$28</f>
        <v>240|18</v>
      </c>
      <c r="B7182" s="10" t="str">
        <f>参数调整!$J$37</f>
        <v>新增怪物种类2掉落</v>
      </c>
      <c r="C7182" s="8" t="str">
        <f>材料产出!$Z$2</f>
        <v>恶魔头颅</v>
      </c>
      <c r="D7182" s="224">
        <f>参数调整!$K$37*怪物掉落配置方案!$D5130</f>
        <v>7.561516027261761E-2</v>
      </c>
    </row>
    <row r="7183" spans="1:4" ht="16.5" hidden="1" x14ac:dyDescent="0.3">
      <c r="A7183" s="10" t="str">
        <f>基本属性!$B$29&amp;"|"&amp;基本属性!$C$29</f>
        <v>240|19</v>
      </c>
      <c r="B7183" s="10" t="str">
        <f>参数调整!$J$37</f>
        <v>新增怪物种类2掉落</v>
      </c>
      <c r="C7183" s="8" t="str">
        <f>材料产出!$Z$2</f>
        <v>恶魔头颅</v>
      </c>
      <c r="D7183" s="224">
        <f>参数调整!$K$37*怪物掉落配置方案!$D5131</f>
        <v>8.2870228140571392E-2</v>
      </c>
    </row>
    <row r="7184" spans="1:4" ht="16.5" hidden="1" x14ac:dyDescent="0.3">
      <c r="A7184" s="10" t="str">
        <f>基本属性!$B$30&amp;"|"&amp;基本属性!$C$30</f>
        <v>250|20</v>
      </c>
      <c r="B7184" s="10" t="str">
        <f>参数调整!$J$37</f>
        <v>新增怪物种类2掉落</v>
      </c>
      <c r="C7184" s="8" t="str">
        <f>材料产出!$Z$2</f>
        <v>恶魔头颅</v>
      </c>
      <c r="D7184" s="224">
        <f>参数调整!$K$37*怪物掉落配置方案!$D5132</f>
        <v>9.0457589193316937E-2</v>
      </c>
    </row>
    <row r="7185" spans="1:4" ht="16.5" hidden="1" x14ac:dyDescent="0.3">
      <c r="A7185" s="10" t="str">
        <f>基本属性!$B$4&amp;"|"&amp;基本属性!$C$4</f>
        <v>35|0</v>
      </c>
      <c r="B7185" s="10" t="str">
        <f>参数调整!$J$38</f>
        <v>新增怪物种类3掉落</v>
      </c>
      <c r="C7185" s="8" t="str">
        <f>材料产出!$R$2</f>
        <v>转生精华</v>
      </c>
      <c r="D7185" s="224">
        <f>参数调整!$K$38*怪物掉落配置方案!$D4107</f>
        <v>1.1868065055479558E-3</v>
      </c>
    </row>
    <row r="7186" spans="1:4" ht="16.5" hidden="1" x14ac:dyDescent="0.3">
      <c r="A7186" s="10" t="str">
        <f>基本属性!$B$5&amp;"|"&amp;基本属性!$C$5</f>
        <v>40|0</v>
      </c>
      <c r="B7186" s="10" t="str">
        <f>参数调整!$J$38</f>
        <v>新增怪物种类3掉落</v>
      </c>
      <c r="C7186" s="8" t="str">
        <f>材料产出!$R$2</f>
        <v>转生精华</v>
      </c>
      <c r="D7186" s="224">
        <f>参数调整!$K$38*怪物掉落配置方案!$D4108</f>
        <v>1.5020519835841311E-3</v>
      </c>
    </row>
    <row r="7187" spans="1:4" ht="16.5" hidden="1" x14ac:dyDescent="0.3">
      <c r="A7187" s="10" t="str">
        <f>基本属性!$B$6&amp;"|"&amp;基本属性!$C$6</f>
        <v>50|0</v>
      </c>
      <c r="B7187" s="10" t="str">
        <f>参数调整!$J$38</f>
        <v>新增怪物种类3掉落</v>
      </c>
      <c r="C7187" s="8" t="str">
        <f>材料产出!$R$2</f>
        <v>转生精华</v>
      </c>
      <c r="D7187" s="224">
        <f>参数调整!$K$38*怪物掉落配置方案!$D4109</f>
        <v>1.8543851649186808E-3</v>
      </c>
    </row>
    <row r="7188" spans="1:4" ht="16.5" hidden="1" x14ac:dyDescent="0.3">
      <c r="A7188" s="10" t="str">
        <f>基本属性!$B$7&amp;"|"&amp;基本属性!$C$7</f>
        <v>60|0</v>
      </c>
      <c r="B7188" s="10" t="str">
        <f>参数调整!$J$38</f>
        <v>新增怪物种类3掉落</v>
      </c>
      <c r="C7188" s="8" t="str">
        <f>材料产出!$R$2</f>
        <v>转生精华</v>
      </c>
      <c r="D7188" s="224">
        <f>参数调整!$K$38*怪物掉落配置方案!$D4110</f>
        <v>2.2438060495516038E-3</v>
      </c>
    </row>
    <row r="7189" spans="1:4" ht="16.5" hidden="1" x14ac:dyDescent="0.3">
      <c r="A7189" s="10" t="str">
        <f>基本属性!$B$8&amp;"|"&amp;基本属性!$C$8</f>
        <v>65|0</v>
      </c>
      <c r="B7189" s="10" t="str">
        <f>参数调整!$J$38</f>
        <v>新增怪物种类3掉落</v>
      </c>
      <c r="C7189" s="8" t="str">
        <f>材料产出!$R$2</f>
        <v>转生精华</v>
      </c>
      <c r="D7189" s="224">
        <f>参数调整!$K$38*怪物掉落配置方案!$D4111</f>
        <v>2.6703146374828998E-3</v>
      </c>
    </row>
    <row r="7190" spans="1:4" ht="16.5" hidden="1" x14ac:dyDescent="0.3">
      <c r="A7190" s="10" t="str">
        <f>基本属性!$B$9&amp;"|"&amp;基本属性!$C$9</f>
        <v>70|0</v>
      </c>
      <c r="B7190" s="10" t="str">
        <f>参数调整!$J$38</f>
        <v>新增怪物种类3掉落</v>
      </c>
      <c r="C7190" s="8" t="str">
        <f>材料产出!$R$2</f>
        <v>转生精华</v>
      </c>
      <c r="D7190" s="224">
        <f>参数调整!$K$38*怪物掉落配置方案!$D4112</f>
        <v>3.1339109287125701E-3</v>
      </c>
    </row>
    <row r="7191" spans="1:4" ht="16.5" hidden="1" x14ac:dyDescent="0.3">
      <c r="A7191" s="10" t="str">
        <f>基本属性!$B$10&amp;"|"&amp;基本属性!$C$10</f>
        <v>75|0</v>
      </c>
      <c r="B7191" s="10" t="str">
        <f>参数调整!$J$38</f>
        <v>新增怪物种类3掉落</v>
      </c>
      <c r="C7191" s="8" t="str">
        <f>材料产出!$R$2</f>
        <v>转生精华</v>
      </c>
      <c r="D7191" s="224">
        <f>参数调整!$K$38*怪物掉落配置方案!$D4113</f>
        <v>3.634594923240613E-3</v>
      </c>
    </row>
    <row r="7192" spans="1:4" ht="16.5" hidden="1" x14ac:dyDescent="0.3">
      <c r="A7192" s="10" t="str">
        <f>基本属性!$B$11&amp;"|"&amp;基本属性!$C$11</f>
        <v>80|1</v>
      </c>
      <c r="B7192" s="10" t="str">
        <f>参数调整!$J$38</f>
        <v>新增怪物种类3掉落</v>
      </c>
      <c r="C7192" s="8" t="str">
        <f>材料产出!$R$2</f>
        <v>转生精华</v>
      </c>
      <c r="D7192" s="224">
        <f>参数调整!$K$38*怪物掉落配置方案!$D4114</f>
        <v>4.1723666210670314E-3</v>
      </c>
    </row>
    <row r="7193" spans="1:4" ht="16.5" hidden="1" x14ac:dyDescent="0.3">
      <c r="A7193" s="10" t="str">
        <f>基本属性!$B$12&amp;"|"&amp;基本属性!$C$12</f>
        <v>90|2</v>
      </c>
      <c r="B7193" s="10" t="str">
        <f>参数调整!$J$38</f>
        <v>新增怪物种类3掉落</v>
      </c>
      <c r="C7193" s="8" t="str">
        <f>材料产出!$R$2</f>
        <v>转生精华</v>
      </c>
      <c r="D7193" s="224">
        <f>参数调整!$K$38*怪物掉落配置方案!$D4115</f>
        <v>4.7472260221918241E-3</v>
      </c>
    </row>
    <row r="7194" spans="1:4" ht="16.5" hidden="1" x14ac:dyDescent="0.3">
      <c r="A7194" s="10" t="str">
        <f>基本属性!$B$13&amp;"|"&amp;基本属性!$C$13</f>
        <v>100|3</v>
      </c>
      <c r="B7194" s="10" t="str">
        <f>参数调整!$J$38</f>
        <v>新增怪物种类3掉落</v>
      </c>
      <c r="C7194" s="8" t="str">
        <f>材料产出!$R$2</f>
        <v>转生精华</v>
      </c>
      <c r="D7194" s="224">
        <f>参数调整!$K$38*怪物掉落配置方案!$D4116</f>
        <v>6.0082079343365263E-3</v>
      </c>
    </row>
    <row r="7195" spans="1:4" ht="16.5" hidden="1" x14ac:dyDescent="0.3">
      <c r="A7195" s="10" t="str">
        <f>基本属性!$B$14&amp;"|"&amp;基本属性!$C$14</f>
        <v>105|4</v>
      </c>
      <c r="B7195" s="10" t="str">
        <f>参数调整!$J$38</f>
        <v>新增怪物种类3掉落</v>
      </c>
      <c r="C7195" s="8" t="str">
        <f>材料产出!$R$2</f>
        <v>转生精华</v>
      </c>
      <c r="D7195" s="224">
        <f>参数调整!$K$38*怪物掉落配置方案!$D4117</f>
        <v>7.4175406596747231E-3</v>
      </c>
    </row>
    <row r="7196" spans="1:4" ht="16.5" hidden="1" x14ac:dyDescent="0.3">
      <c r="A7196" s="10" t="str">
        <f>基本属性!$B$15&amp;"|"&amp;基本属性!$C$15</f>
        <v>110|5</v>
      </c>
      <c r="B7196" s="10" t="str">
        <f>参数调整!$J$38</f>
        <v>新增怪物种类3掉落</v>
      </c>
      <c r="C7196" s="8" t="str">
        <f>材料产出!$R$2</f>
        <v>转生精华</v>
      </c>
      <c r="D7196" s="224">
        <f>参数调整!$K$38*怪物掉落配置方案!$D4118</f>
        <v>8.975224198206417E-3</v>
      </c>
    </row>
    <row r="7197" spans="1:4" ht="16.5" hidden="1" x14ac:dyDescent="0.3">
      <c r="A7197" s="10" t="str">
        <f>基本属性!$B$16&amp;"|"&amp;基本属性!$C$16</f>
        <v>120|6</v>
      </c>
      <c r="B7197" s="10" t="str">
        <f>参数调整!$J$38</f>
        <v>新增怪物种类3掉落</v>
      </c>
      <c r="C7197" s="8" t="str">
        <f>材料产出!$R$2</f>
        <v>转生精华</v>
      </c>
      <c r="D7197" s="224">
        <f>参数调整!$K$38*怪物掉落配置方案!$D4119</f>
        <v>1.1589907280741754E-2</v>
      </c>
    </row>
    <row r="7198" spans="1:4" ht="16.5" hidden="1" x14ac:dyDescent="0.3">
      <c r="A7198" s="10" t="str">
        <f>基本属性!$B$17&amp;"|"&amp;基本属性!$C$17</f>
        <v>135|7</v>
      </c>
      <c r="B7198" s="10" t="str">
        <f>参数调整!$J$38</f>
        <v>新增怪物种类3掉落</v>
      </c>
      <c r="C7198" s="8" t="str">
        <f>材料产出!$R$2</f>
        <v>转生精华</v>
      </c>
      <c r="D7198" s="224">
        <f>参数调整!$K$38*怪物掉落配置方案!$D4120</f>
        <v>1.6689466484268126E-2</v>
      </c>
    </row>
    <row r="7199" spans="1:4" ht="16.5" hidden="1" x14ac:dyDescent="0.3">
      <c r="A7199" s="10" t="str">
        <f>基本属性!$B$18&amp;"|"&amp;基本属性!$C$18</f>
        <v>155|8</v>
      </c>
      <c r="B7199" s="10" t="str">
        <f>参数调整!$J$38</f>
        <v>新增怪物种类3掉落</v>
      </c>
      <c r="C7199" s="8" t="str">
        <f>材料产出!$R$2</f>
        <v>转生精华</v>
      </c>
      <c r="D7199" s="224">
        <f>参数调整!$K$38*怪物掉落配置方案!$D4121</f>
        <v>2.2716218270253843E-2</v>
      </c>
    </row>
    <row r="7200" spans="1:4" ht="16.5" hidden="1" x14ac:dyDescent="0.3">
      <c r="A7200" s="10" t="str">
        <f>基本属性!$B$19&amp;"|"&amp;基本属性!$C$19</f>
        <v>190|9</v>
      </c>
      <c r="B7200" s="10" t="str">
        <f>参数调整!$J$38</f>
        <v>新增怪物种类3掉落</v>
      </c>
      <c r="C7200" s="8" t="str">
        <f>材料产出!$R$2</f>
        <v>转生精华</v>
      </c>
      <c r="D7200" s="224">
        <f>参数调整!$K$38*怪物掉落配置方案!$D4122</f>
        <v>2.5386532907736736E-2</v>
      </c>
    </row>
    <row r="7201" spans="1:4" ht="16.5" hidden="1" x14ac:dyDescent="0.3">
      <c r="A7201" s="10" t="str">
        <f>基本属性!$B$20&amp;"|"&amp;基本属性!$C$20</f>
        <v>200|10</v>
      </c>
      <c r="B7201" s="10" t="str">
        <f>参数调整!$J$38</f>
        <v>新增怪物种类3掉落</v>
      </c>
      <c r="C7201" s="8" t="str">
        <f>材料产出!$R$2</f>
        <v>转生精华</v>
      </c>
      <c r="D7201" s="224">
        <f>参数调整!$K$38*怪物掉落配置方案!$D4123</f>
        <v>2.9670162638698892E-2</v>
      </c>
    </row>
    <row r="7202" spans="1:4" ht="16.5" hidden="1" x14ac:dyDescent="0.3">
      <c r="A7202" s="10" t="str">
        <f>基本属性!$B$21&amp;"|"&amp;基本属性!$C$21</f>
        <v>200|11</v>
      </c>
      <c r="B7202" s="10" t="str">
        <f>参数调整!$J$38</f>
        <v>新增怪物种类3掉落</v>
      </c>
      <c r="C7202" s="8" t="str">
        <f>材料产出!$R$2</f>
        <v>转生精华</v>
      </c>
      <c r="D7202" s="224">
        <f>参数调整!$K$38*怪物掉落配置方案!$D4124</f>
        <v>3.4287581699346398E-2</v>
      </c>
    </row>
    <row r="7203" spans="1:4" ht="16.5" hidden="1" x14ac:dyDescent="0.3">
      <c r="A7203" s="10" t="str">
        <f>基本属性!$B$22&amp;"|"&amp;基本属性!$C$22</f>
        <v>210|12</v>
      </c>
      <c r="B7203" s="10" t="str">
        <f>参数调整!$J$38</f>
        <v>新增怪物种类3掉落</v>
      </c>
      <c r="C7203" s="8" t="str">
        <f>材料产出!$R$2</f>
        <v>转生精华</v>
      </c>
      <c r="D7203" s="224">
        <f>参数调整!$K$38*怪物掉落配置方案!$D4125</f>
        <v>3.9238790089679274E-2</v>
      </c>
    </row>
    <row r="7204" spans="1:4" ht="16.5" hidden="1" x14ac:dyDescent="0.3">
      <c r="A7204" s="10" t="str">
        <f>基本属性!$B$23&amp;"|"&amp;基本属性!$C$23</f>
        <v>210|13</v>
      </c>
      <c r="B7204" s="10" t="str">
        <f>参数调整!$J$38</f>
        <v>新增怪物种类3掉落</v>
      </c>
      <c r="C7204" s="8" t="str">
        <f>材料产出!$R$2</f>
        <v>转生精华</v>
      </c>
      <c r="D7204" s="224">
        <f>参数调整!$K$38*怪物掉落配置方案!$D4126</f>
        <v>4.4523787809697526E-2</v>
      </c>
    </row>
    <row r="7205" spans="1:4" ht="16.5" hidden="1" x14ac:dyDescent="0.3">
      <c r="A7205" s="10" t="str">
        <f>基本属性!$B$24&amp;"|"&amp;基本属性!$C$24</f>
        <v>220|14</v>
      </c>
      <c r="B7205" s="10" t="str">
        <f>参数调整!$J$38</f>
        <v>新增怪物种类3掉落</v>
      </c>
      <c r="C7205" s="8" t="str">
        <f>材料产出!$R$2</f>
        <v>转生精华</v>
      </c>
      <c r="D7205" s="224">
        <f>参数调整!$K$38*怪物掉落配置方案!$D4127</f>
        <v>5.0142574859401129E-2</v>
      </c>
    </row>
    <row r="7206" spans="1:4" ht="16.5" hidden="1" x14ac:dyDescent="0.3">
      <c r="A7206" s="10" t="str">
        <f>基本属性!$B$25&amp;"|"&amp;基本属性!$C$25</f>
        <v>220|15</v>
      </c>
      <c r="B7206" s="10" t="str">
        <f>参数调整!$J$38</f>
        <v>新增怪物种类3掉落</v>
      </c>
      <c r="C7206" s="8" t="str">
        <f>材料产出!$R$2</f>
        <v>转生精华</v>
      </c>
      <c r="D7206" s="224">
        <f>参数调整!$K$38*怪物掉落配置方案!$D4128</f>
        <v>5.6095151238790088E-2</v>
      </c>
    </row>
    <row r="7207" spans="1:4" ht="16.5" hidden="1" x14ac:dyDescent="0.3">
      <c r="A7207" s="10" t="str">
        <f>基本属性!$B$26&amp;"|"&amp;基本属性!$C$26</f>
        <v>230|16</v>
      </c>
      <c r="B7207" s="10" t="str">
        <f>参数调整!$J$38</f>
        <v>新增怪物种类3掉落</v>
      </c>
      <c r="C7207" s="8" t="str">
        <f>材料产出!$R$2</f>
        <v>转生精华</v>
      </c>
      <c r="D7207" s="224">
        <f>参数调整!$K$38*怪物掉落配置方案!$D4129</f>
        <v>6.2381516947864417E-2</v>
      </c>
    </row>
    <row r="7208" spans="1:4" ht="16.5" hidden="1" x14ac:dyDescent="0.3">
      <c r="A7208" s="10" t="str">
        <f>基本属性!$B$27&amp;"|"&amp;基本属性!$C$27</f>
        <v>230|17</v>
      </c>
      <c r="B7208" s="10" t="str">
        <f>参数调整!$J$38</f>
        <v>新增怪物种类3掉落</v>
      </c>
      <c r="C7208" s="8" t="str">
        <f>材料产出!$R$2</f>
        <v>转生精华</v>
      </c>
      <c r="D7208" s="224">
        <f>参数调整!$K$38*怪物掉落配置方案!$D4130</f>
        <v>6.9001671986624102E-2</v>
      </c>
    </row>
    <row r="7209" spans="1:4" ht="16.5" hidden="1" x14ac:dyDescent="0.3">
      <c r="A7209" s="10" t="str">
        <f>基本属性!$B$28&amp;"|"&amp;基本属性!$C$28</f>
        <v>240|18</v>
      </c>
      <c r="B7209" s="10" t="str">
        <f>参数调整!$J$38</f>
        <v>新增怪物种类3掉落</v>
      </c>
      <c r="C7209" s="8" t="str">
        <f>材料产出!$R$2</f>
        <v>转生精华</v>
      </c>
      <c r="D7209" s="224">
        <f>参数调整!$K$38*怪物掉落配置方案!$D4131</f>
        <v>7.5955616355069172E-2</v>
      </c>
    </row>
    <row r="7210" spans="1:4" ht="16.5" hidden="1" x14ac:dyDescent="0.3">
      <c r="A7210" s="10" t="str">
        <f>基本属性!$B$29&amp;"|"&amp;基本属性!$C$29</f>
        <v>240|19</v>
      </c>
      <c r="B7210" s="10" t="str">
        <f>参数调整!$J$38</f>
        <v>新增怪物种类3掉落</v>
      </c>
      <c r="C7210" s="8" t="str">
        <f>材料产出!$R$2</f>
        <v>转生精华</v>
      </c>
      <c r="D7210" s="224">
        <f>参数调整!$K$38*怪物掉落配置方案!$D4132</f>
        <v>8.3243350053199577E-2</v>
      </c>
    </row>
    <row r="7211" spans="1:4" ht="16.5" hidden="1" x14ac:dyDescent="0.3">
      <c r="A7211" s="10" t="str">
        <f>基本属性!$B$30&amp;"|"&amp;基本属性!$C$30</f>
        <v>250|20</v>
      </c>
      <c r="B7211" s="10" t="str">
        <f>参数调整!$J$38</f>
        <v>新增怪物种类3掉落</v>
      </c>
      <c r="C7211" s="8" t="str">
        <f>材料产出!$R$2</f>
        <v>转生精华</v>
      </c>
      <c r="D7211" s="224">
        <f>参数调整!$K$38*怪物掉落配置方案!$D4133</f>
        <v>9.0864873081015318E-2</v>
      </c>
    </row>
    <row r="7212" spans="1:4" ht="16.5" hidden="1" x14ac:dyDescent="0.3">
      <c r="A7212" s="10" t="str">
        <f>基本属性!$B$4&amp;"|"&amp;基本属性!$C$4</f>
        <v>35|0</v>
      </c>
      <c r="B7212" s="10" t="str">
        <f>参数调整!$J$38</f>
        <v>新增怪物种类3掉落</v>
      </c>
      <c r="C7212" s="8" t="str">
        <f>材料产出!$AJ$2</f>
        <v>中品注灵石</v>
      </c>
      <c r="D7212" s="224">
        <f>参数调整!$K$38*怪物掉落配置方案!$D4134</f>
        <v>1.55532308682707E-2</v>
      </c>
    </row>
    <row r="7213" spans="1:4" ht="16.5" hidden="1" x14ac:dyDescent="0.3">
      <c r="A7213" s="10" t="str">
        <f>基本属性!$B$5&amp;"|"&amp;基本属性!$C$5</f>
        <v>40|0</v>
      </c>
      <c r="B7213" s="10" t="str">
        <f>参数调整!$J$38</f>
        <v>新增怪物种类3掉落</v>
      </c>
      <c r="C7213" s="8" t="str">
        <f>材料产出!$AJ$2</f>
        <v>中品注灵石</v>
      </c>
      <c r="D7213" s="224">
        <f>参数调整!$K$38*怪物掉落配置方案!$D4135</f>
        <v>1.9684557817655105E-2</v>
      </c>
    </row>
    <row r="7214" spans="1:4" ht="16.5" hidden="1" x14ac:dyDescent="0.3">
      <c r="A7214" s="10" t="str">
        <f>基本属性!$B$6&amp;"|"&amp;基本属性!$C$6</f>
        <v>50|0</v>
      </c>
      <c r="B7214" s="10" t="str">
        <f>参数调整!$J$38</f>
        <v>新增怪物种类3掉落</v>
      </c>
      <c r="C7214" s="8" t="str">
        <f>材料产出!$AJ$2</f>
        <v>中品注灵石</v>
      </c>
      <c r="D7214" s="224">
        <f>参数调整!$K$38*怪物掉落配置方案!$D4136</f>
        <v>2.4301923231672969E-2</v>
      </c>
    </row>
    <row r="7215" spans="1:4" ht="16.5" hidden="1" x14ac:dyDescent="0.3">
      <c r="A7215" s="10" t="str">
        <f>基本属性!$B$7&amp;"|"&amp;基本属性!$C$7</f>
        <v>60|0</v>
      </c>
      <c r="B7215" s="10" t="str">
        <f>参数调整!$J$38</f>
        <v>新增怪物种类3掉落</v>
      </c>
      <c r="C7215" s="8" t="str">
        <f>材料产出!$AJ$2</f>
        <v>中品注灵石</v>
      </c>
      <c r="D7215" s="224">
        <f>参数调整!$K$38*怪物掉落配置方案!$D4137</f>
        <v>2.9405327110324297E-2</v>
      </c>
    </row>
    <row r="7216" spans="1:4" ht="16.5" hidden="1" x14ac:dyDescent="0.3">
      <c r="A7216" s="10" t="str">
        <f>基本属性!$B$8&amp;"|"&amp;基本属性!$C$8</f>
        <v>65|0</v>
      </c>
      <c r="B7216" s="10" t="str">
        <f>参数调整!$J$38</f>
        <v>新增怪物种类3掉落</v>
      </c>
      <c r="C7216" s="8" t="str">
        <f>材料产出!$AJ$2</f>
        <v>中品注灵石</v>
      </c>
      <c r="D7216" s="224">
        <f>参数调整!$K$38*怪物掉落配置方案!$D4138</f>
        <v>3.4994769453609069E-2</v>
      </c>
    </row>
    <row r="7217" spans="1:4" ht="16.5" hidden="1" x14ac:dyDescent="0.3">
      <c r="A7217" s="10" t="str">
        <f>基本属性!$B$9&amp;"|"&amp;基本属性!$C$9</f>
        <v>70|0</v>
      </c>
      <c r="B7217" s="10" t="str">
        <f>参数调整!$J$38</f>
        <v>新增怪物种类3掉落</v>
      </c>
      <c r="C7217" s="8" t="str">
        <f>材料产出!$AJ$2</f>
        <v>中品注灵石</v>
      </c>
      <c r="D7217" s="224">
        <f>参数调整!$K$38*怪物掉落配置方案!$D4139</f>
        <v>4.1070250261527316E-2</v>
      </c>
    </row>
    <row r="7218" spans="1:4" ht="16.5" hidden="1" x14ac:dyDescent="0.3">
      <c r="A7218" s="10" t="str">
        <f>基本属性!$B$10&amp;"|"&amp;基本属性!$C$10</f>
        <v>75|0</v>
      </c>
      <c r="B7218" s="10" t="str">
        <f>参数调整!$J$38</f>
        <v>新增怪物种类3掉落</v>
      </c>
      <c r="C7218" s="8" t="str">
        <f>材料产出!$AJ$2</f>
        <v>中品注灵石</v>
      </c>
      <c r="D7218" s="224">
        <f>参数调整!$K$38*怪物掉落配置方案!$D4140</f>
        <v>4.7631769534079008E-2</v>
      </c>
    </row>
    <row r="7219" spans="1:4" ht="16.5" hidden="1" x14ac:dyDescent="0.3">
      <c r="A7219" s="10" t="str">
        <f>基本属性!$B$11&amp;"|"&amp;基本属性!$C$11</f>
        <v>80|1</v>
      </c>
      <c r="B7219" s="10" t="str">
        <f>参数调整!$J$38</f>
        <v>新增怪物种类3掉落</v>
      </c>
      <c r="C7219" s="8" t="str">
        <f>材料产出!$AJ$2</f>
        <v>中品注灵石</v>
      </c>
      <c r="D7219" s="224">
        <f>参数调整!$K$38*怪物掉落配置方案!$D4141</f>
        <v>5.4679327271264185E-2</v>
      </c>
    </row>
    <row r="7220" spans="1:4" ht="16.5" hidden="1" x14ac:dyDescent="0.3">
      <c r="A7220" s="10" t="str">
        <f>基本属性!$B$12&amp;"|"&amp;基本属性!$C$12</f>
        <v>90|2</v>
      </c>
      <c r="B7220" s="10" t="str">
        <f>参数调整!$J$38</f>
        <v>新增怪物种类3掉落</v>
      </c>
      <c r="C7220" s="8" t="str">
        <f>材料产出!$AJ$2</f>
        <v>中品注灵石</v>
      </c>
      <c r="D7220" s="224">
        <f>参数调整!$K$38*怪物掉落配置方案!$D4142</f>
        <v>6.2212923473082805E-2</v>
      </c>
    </row>
    <row r="7221" spans="1:4" ht="16.5" hidden="1" x14ac:dyDescent="0.3">
      <c r="A7221" s="10" t="str">
        <f>基本属性!$B$13&amp;"|"&amp;基本属性!$C$13</f>
        <v>100|3</v>
      </c>
      <c r="B7221" s="10" t="str">
        <f>参数调整!$J$38</f>
        <v>新增怪物种类3掉落</v>
      </c>
      <c r="C7221" s="8" t="str">
        <f>材料产出!$AJ$2</f>
        <v>中品注灵石</v>
      </c>
      <c r="D7221" s="224">
        <f>参数调整!$K$38*怪物掉落配置方案!$D4143</f>
        <v>7.8738231270620421E-2</v>
      </c>
    </row>
    <row r="7222" spans="1:4" ht="16.5" hidden="1" x14ac:dyDescent="0.3">
      <c r="A7222" s="10" t="str">
        <f>基本属性!$B$14&amp;"|"&amp;基本属性!$C$14</f>
        <v>105|4</v>
      </c>
      <c r="B7222" s="10" t="str">
        <f>参数调整!$J$38</f>
        <v>新增怪物种类3掉落</v>
      </c>
      <c r="C7222" s="8" t="str">
        <f>材料产出!$AJ$2</f>
        <v>中品注灵石</v>
      </c>
      <c r="D7222" s="224">
        <f>参数调整!$K$38*怪物掉落配置方案!$D4144</f>
        <v>9.7207692926691874E-2</v>
      </c>
    </row>
    <row r="7223" spans="1:4" ht="16.5" hidden="1" x14ac:dyDescent="0.3">
      <c r="A7223" s="10" t="str">
        <f>基本属性!$B$15&amp;"|"&amp;基本属性!$C$15</f>
        <v>110|5</v>
      </c>
      <c r="B7223" s="10" t="str">
        <f>参数调整!$J$38</f>
        <v>新增怪物种类3掉落</v>
      </c>
      <c r="C7223" s="8" t="str">
        <f>材料产出!$AJ$2</f>
        <v>中品注灵石</v>
      </c>
      <c r="D7223" s="224">
        <f>参数调整!$K$38*怪物掉落配置方案!$D4145</f>
        <v>0.11762130844129719</v>
      </c>
    </row>
    <row r="7224" spans="1:4" ht="16.5" hidden="1" x14ac:dyDescent="0.3">
      <c r="A7224" s="10" t="str">
        <f>基本属性!$B$16&amp;"|"&amp;基本属性!$C$16</f>
        <v>120|6</v>
      </c>
      <c r="B7224" s="10" t="str">
        <f>参数调整!$J$38</f>
        <v>新增怪物种类3掉落</v>
      </c>
      <c r="C7224" s="8" t="str">
        <f>材料产出!$AJ$2</f>
        <v>中品注灵石</v>
      </c>
      <c r="D7224" s="224">
        <f>参数调整!$K$38*怪物掉落配置方案!$D4146</f>
        <v>0.15188702019795605</v>
      </c>
    </row>
    <row r="7225" spans="1:4" ht="16.5" hidden="1" x14ac:dyDescent="0.3">
      <c r="A7225" s="10" t="str">
        <f>基本属性!$B$17&amp;"|"&amp;基本属性!$C$17</f>
        <v>135|7</v>
      </c>
      <c r="B7225" s="10" t="str">
        <f>参数调整!$J$38</f>
        <v>新增怪物种类3掉落</v>
      </c>
      <c r="C7225" s="8" t="str">
        <f>材料产出!$AJ$2</f>
        <v>中品注灵石</v>
      </c>
      <c r="D7225" s="224">
        <f>参数调整!$K$38*怪物掉落配置方案!$D4147</f>
        <v>0.21871730908505674</v>
      </c>
    </row>
    <row r="7226" spans="1:4" ht="16.5" hidden="1" x14ac:dyDescent="0.3">
      <c r="A7226" s="10" t="str">
        <f>基本属性!$B$18&amp;"|"&amp;基本属性!$C$18</f>
        <v>155|8</v>
      </c>
      <c r="B7226" s="10" t="str">
        <f>参数调整!$J$38</f>
        <v>新增怪物种类3掉落</v>
      </c>
      <c r="C7226" s="8" t="str">
        <f>材料产出!$AJ$2</f>
        <v>中品注灵石</v>
      </c>
      <c r="D7226" s="224">
        <f>参数调整!$K$38*怪物掉落配置方案!$D4148</f>
        <v>0.29769855958799385</v>
      </c>
    </row>
    <row r="7227" spans="1:4" ht="16.5" hidden="1" x14ac:dyDescent="0.3">
      <c r="A7227" s="10" t="str">
        <f>基本属性!$B$19&amp;"|"&amp;基本属性!$C$19</f>
        <v>190|9</v>
      </c>
      <c r="B7227" s="10" t="str">
        <f>参数调整!$J$38</f>
        <v>新增怪物种类3掉落</v>
      </c>
      <c r="C7227" s="8" t="str">
        <f>材料产出!$AJ$2</f>
        <v>中品注灵石</v>
      </c>
      <c r="D7227" s="224">
        <f>参数调整!$K$38*怪物掉落配置方案!$D4149</f>
        <v>0.33269332904160298</v>
      </c>
    </row>
    <row r="7228" spans="1:4" ht="16.5" hidden="1" x14ac:dyDescent="0.3">
      <c r="A7228" s="10" t="str">
        <f>基本属性!$B$20&amp;"|"&amp;基本属性!$C$20</f>
        <v>200|10</v>
      </c>
      <c r="B7228" s="10" t="str">
        <f>参数调整!$J$38</f>
        <v>新增怪物种类3掉落</v>
      </c>
      <c r="C7228" s="8" t="str">
        <f>材料产出!$AJ$2</f>
        <v>中品注灵石</v>
      </c>
      <c r="D7228" s="224">
        <f>参数调整!$K$38*怪物掉落配置方案!$D4150</f>
        <v>0.3888307717067675</v>
      </c>
    </row>
    <row r="7229" spans="1:4" ht="16.5" hidden="1" x14ac:dyDescent="0.3">
      <c r="A7229" s="10" t="str">
        <f>基本属性!$B$21&amp;"|"&amp;基本属性!$C$21</f>
        <v>200|11</v>
      </c>
      <c r="B7229" s="10" t="str">
        <f>参数调整!$J$38</f>
        <v>新增怪物种类3掉落</v>
      </c>
      <c r="C7229" s="8" t="str">
        <f>材料产出!$AJ$2</f>
        <v>中品注灵石</v>
      </c>
      <c r="D7229" s="224">
        <f>参数调整!$K$38*怪物掉落配置方案!$D4151</f>
        <v>0.44934256055363309</v>
      </c>
    </row>
    <row r="7230" spans="1:4" ht="16.5" hidden="1" x14ac:dyDescent="0.3">
      <c r="A7230" s="10" t="str">
        <f>基本属性!$B$22&amp;"|"&amp;基本属性!$C$22</f>
        <v>210|12</v>
      </c>
      <c r="B7230" s="10" t="str">
        <f>参数调整!$J$38</f>
        <v>新增怪物种类3掉落</v>
      </c>
      <c r="C7230" s="8" t="str">
        <f>材料产出!$AJ$2</f>
        <v>中品注灵石</v>
      </c>
      <c r="D7230" s="224">
        <f>参数调整!$K$38*怪物掉落配置方案!$D4152</f>
        <v>0.51422869558219986</v>
      </c>
    </row>
    <row r="7231" spans="1:4" ht="16.5" hidden="1" x14ac:dyDescent="0.3">
      <c r="A7231" s="10" t="str">
        <f>基本属性!$B$23&amp;"|"&amp;基本属性!$C$23</f>
        <v>210|13</v>
      </c>
      <c r="B7231" s="10" t="str">
        <f>参数调整!$J$38</f>
        <v>新增怪物种类3掉落</v>
      </c>
      <c r="C7231" s="8" t="str">
        <f>材料产出!$AJ$2</f>
        <v>中品注灵石</v>
      </c>
      <c r="D7231" s="224">
        <f>参数调整!$K$38*怪物掉落配置方案!$D4153</f>
        <v>0.58348917679246792</v>
      </c>
    </row>
    <row r="7232" spans="1:4" ht="16.5" hidden="1" x14ac:dyDescent="0.3">
      <c r="A7232" s="10" t="str">
        <f>基本属性!$B$24&amp;"|"&amp;基本属性!$C$24</f>
        <v>220|14</v>
      </c>
      <c r="B7232" s="10" t="str">
        <f>参数调整!$J$38</f>
        <v>新增怪物种类3掉落</v>
      </c>
      <c r="C7232" s="8" t="str">
        <f>材料产出!$AJ$2</f>
        <v>中品注灵石</v>
      </c>
      <c r="D7232" s="224">
        <f>参数调整!$K$38*怪物掉落配置方案!$D4154</f>
        <v>0.65712400418443706</v>
      </c>
    </row>
    <row r="7233" spans="1:4" ht="16.5" hidden="1" x14ac:dyDescent="0.3">
      <c r="A7233" s="10" t="str">
        <f>基本属性!$B$25&amp;"|"&amp;基本属性!$C$25</f>
        <v>220|15</v>
      </c>
      <c r="B7233" s="10" t="str">
        <f>参数调整!$J$38</f>
        <v>新增怪物种类3掉落</v>
      </c>
      <c r="C7233" s="8" t="str">
        <f>材料产出!$AJ$2</f>
        <v>中品注灵石</v>
      </c>
      <c r="D7233" s="224">
        <f>参数调整!$K$38*怪物掉落配置方案!$D4155</f>
        <v>0.73513317775810727</v>
      </c>
    </row>
    <row r="7234" spans="1:4" ht="16.5" hidden="1" x14ac:dyDescent="0.3">
      <c r="A7234" s="10" t="str">
        <f>基本属性!$B$26&amp;"|"&amp;基本属性!$C$26</f>
        <v>230|16</v>
      </c>
      <c r="B7234" s="10" t="str">
        <f>参数调整!$J$38</f>
        <v>新增怪物种类3掉落</v>
      </c>
      <c r="C7234" s="8" t="str">
        <f>材料产出!$AJ$2</f>
        <v>中品注灵石</v>
      </c>
      <c r="D7234" s="224">
        <f>参数调整!$K$38*怪物掉落配置方案!$D4156</f>
        <v>0.81751669751347844</v>
      </c>
    </row>
    <row r="7235" spans="1:4" ht="16.5" hidden="1" x14ac:dyDescent="0.3">
      <c r="A7235" s="10" t="str">
        <f>基本属性!$B$27&amp;"|"&amp;基本属性!$C$27</f>
        <v>230|17</v>
      </c>
      <c r="B7235" s="10" t="str">
        <f>参数调整!$J$38</f>
        <v>新增怪物种类3掉落</v>
      </c>
      <c r="C7235" s="8" t="str">
        <f>材料产出!$AJ$2</f>
        <v>中品注灵石</v>
      </c>
      <c r="D7235" s="224">
        <f>参数调整!$K$38*怪物掉落配置方案!$D4157</f>
        <v>0.90427456345055113</v>
      </c>
    </row>
    <row r="7236" spans="1:4" ht="16.5" hidden="1" x14ac:dyDescent="0.3">
      <c r="A7236" s="10" t="str">
        <f>基本属性!$B$28&amp;"|"&amp;基本属性!$C$28</f>
        <v>240|18</v>
      </c>
      <c r="B7236" s="10" t="str">
        <f>参数调整!$J$38</f>
        <v>新增怪物种类3掉落</v>
      </c>
      <c r="C7236" s="8" t="str">
        <f>材料产出!$AJ$2</f>
        <v>中品注灵石</v>
      </c>
      <c r="D7236" s="224">
        <f>参数调整!$K$38*怪物掉落配置方案!$D4158</f>
        <v>0.99540677556932489</v>
      </c>
    </row>
    <row r="7237" spans="1:4" ht="16.5" hidden="1" x14ac:dyDescent="0.3">
      <c r="A7237" s="10" t="str">
        <f>基本属性!$B$29&amp;"|"&amp;基本属性!$C$29</f>
        <v>240|19</v>
      </c>
      <c r="B7237" s="10" t="str">
        <f>参数调整!$J$38</f>
        <v>新增怪物种类3掉落</v>
      </c>
      <c r="C7237" s="8" t="str">
        <f>材料产出!$AJ$2</f>
        <v>中品注灵石</v>
      </c>
      <c r="D7237" s="224">
        <f>参数调整!$K$38*怪物掉落配置方案!$D4159</f>
        <v>1.0909133338697996</v>
      </c>
    </row>
    <row r="7238" spans="1:4" ht="16.5" hidden="1" x14ac:dyDescent="0.3">
      <c r="A7238" s="10" t="str">
        <f>基本属性!$B$30&amp;"|"&amp;基本属性!$C$30</f>
        <v>250|20</v>
      </c>
      <c r="B7238" s="10" t="str">
        <f>参数调整!$J$38</f>
        <v>新增怪物种类3掉落</v>
      </c>
      <c r="C7238" s="8" t="str">
        <f>材料产出!$AJ$2</f>
        <v>中品注灵石</v>
      </c>
      <c r="D7238" s="224">
        <f>参数调整!$K$38*怪物掉落配置方案!$D4160</f>
        <v>1.1907942383519754</v>
      </c>
    </row>
    <row r="7239" spans="1:4" ht="16.5" hidden="1" x14ac:dyDescent="0.3">
      <c r="A7239" s="10" t="str">
        <f>基本属性!$B$4&amp;"|"&amp;基本属性!$C$4</f>
        <v>35|0</v>
      </c>
      <c r="B7239" s="10" t="str">
        <f>参数调整!$J$38</f>
        <v>新增怪物种类3掉落</v>
      </c>
      <c r="C7239" s="8" t="str">
        <f>材料产出!$J$2</f>
        <v>元宝</v>
      </c>
      <c r="D7239" s="224">
        <f>参数调整!$K$38*怪物掉落配置方案!$D4161</f>
        <v>201</v>
      </c>
    </row>
    <row r="7240" spans="1:4" ht="16.5" hidden="1" x14ac:dyDescent="0.3">
      <c r="A7240" s="10" t="str">
        <f>基本属性!$B$5&amp;"|"&amp;基本属性!$C$5</f>
        <v>40|0</v>
      </c>
      <c r="B7240" s="10" t="str">
        <f>参数调整!$J$38</f>
        <v>新增怪物种类3掉落</v>
      </c>
      <c r="C7240" s="8" t="str">
        <f>材料产出!$J$2</f>
        <v>元宝</v>
      </c>
      <c r="D7240" s="224">
        <f>参数调整!$K$38*怪物掉落配置方案!$D4162</f>
        <v>255</v>
      </c>
    </row>
    <row r="7241" spans="1:4" ht="16.5" hidden="1" x14ac:dyDescent="0.3">
      <c r="A7241" s="10" t="str">
        <f>基本属性!$B$6&amp;"|"&amp;基本属性!$C$6</f>
        <v>50|0</v>
      </c>
      <c r="B7241" s="10" t="str">
        <f>参数调整!$J$38</f>
        <v>新增怪物种类3掉落</v>
      </c>
      <c r="C7241" s="8" t="str">
        <f>材料产出!$J$2</f>
        <v>元宝</v>
      </c>
      <c r="D7241" s="224">
        <f>参数调整!$K$38*怪物掉落配置方案!$D4163</f>
        <v>315</v>
      </c>
    </row>
    <row r="7242" spans="1:4" ht="16.5" hidden="1" x14ac:dyDescent="0.3">
      <c r="A7242" s="10" t="str">
        <f>基本属性!$B$7&amp;"|"&amp;基本属性!$C$7</f>
        <v>60|0</v>
      </c>
      <c r="B7242" s="10" t="str">
        <f>参数调整!$J$38</f>
        <v>新增怪物种类3掉落</v>
      </c>
      <c r="C7242" s="8" t="str">
        <f>材料产出!$J$2</f>
        <v>元宝</v>
      </c>
      <c r="D7242" s="224">
        <f>参数调整!$K$38*怪物掉落配置方案!$D4164</f>
        <v>381</v>
      </c>
    </row>
    <row r="7243" spans="1:4" ht="16.5" hidden="1" x14ac:dyDescent="0.3">
      <c r="A7243" s="10" t="str">
        <f>基本属性!$B$8&amp;"|"&amp;基本属性!$C$8</f>
        <v>65|0</v>
      </c>
      <c r="B7243" s="10" t="str">
        <f>参数调整!$J$38</f>
        <v>新增怪物种类3掉落</v>
      </c>
      <c r="C7243" s="8" t="str">
        <f>材料产出!$J$2</f>
        <v>元宝</v>
      </c>
      <c r="D7243" s="224">
        <f>参数调整!$K$38*怪物掉落配置方案!$D4165</f>
        <v>453</v>
      </c>
    </row>
    <row r="7244" spans="1:4" ht="16.5" hidden="1" x14ac:dyDescent="0.3">
      <c r="A7244" s="10" t="str">
        <f>基本属性!$B$9&amp;"|"&amp;基本属性!$C$9</f>
        <v>70|0</v>
      </c>
      <c r="B7244" s="10" t="str">
        <f>参数调整!$J$38</f>
        <v>新增怪物种类3掉落</v>
      </c>
      <c r="C7244" s="8" t="str">
        <f>材料产出!$J$2</f>
        <v>元宝</v>
      </c>
      <c r="D7244" s="224">
        <f>参数调整!$K$38*怪物掉落配置方案!$D4166</f>
        <v>531</v>
      </c>
    </row>
    <row r="7245" spans="1:4" ht="16.5" hidden="1" x14ac:dyDescent="0.3">
      <c r="A7245" s="10" t="str">
        <f>基本属性!$B$10&amp;"|"&amp;基本属性!$C$10</f>
        <v>75|0</v>
      </c>
      <c r="B7245" s="10" t="str">
        <f>参数调整!$J$38</f>
        <v>新增怪物种类3掉落</v>
      </c>
      <c r="C7245" s="8" t="str">
        <f>材料产出!$J$2</f>
        <v>元宝</v>
      </c>
      <c r="D7245" s="224">
        <f>参数调整!$K$38*怪物掉落配置方案!$D4167</f>
        <v>615</v>
      </c>
    </row>
    <row r="7246" spans="1:4" ht="16.5" hidden="1" x14ac:dyDescent="0.3">
      <c r="A7246" s="10" t="str">
        <f>基本属性!$B$11&amp;"|"&amp;基本属性!$C$11</f>
        <v>80|1</v>
      </c>
      <c r="B7246" s="10" t="str">
        <f>参数调整!$J$38</f>
        <v>新增怪物种类3掉落</v>
      </c>
      <c r="C7246" s="8" t="str">
        <f>材料产出!$J$2</f>
        <v>元宝</v>
      </c>
      <c r="D7246" s="224">
        <f>参数调整!$K$38*怪物掉落配置方案!$D4168</f>
        <v>708</v>
      </c>
    </row>
    <row r="7247" spans="1:4" ht="16.5" hidden="1" x14ac:dyDescent="0.3">
      <c r="A7247" s="10" t="str">
        <f>基本属性!$B$12&amp;"|"&amp;基本属性!$C$12</f>
        <v>90|2</v>
      </c>
      <c r="B7247" s="10" t="str">
        <f>参数调整!$J$38</f>
        <v>新增怪物种类3掉落</v>
      </c>
      <c r="C7247" s="8" t="str">
        <f>材料产出!$J$2</f>
        <v>元宝</v>
      </c>
      <c r="D7247" s="224">
        <f>参数调整!$K$38*怪物掉落配置方案!$D4169</f>
        <v>804</v>
      </c>
    </row>
    <row r="7248" spans="1:4" ht="16.5" hidden="1" x14ac:dyDescent="0.3">
      <c r="A7248" s="10" t="str">
        <f>基本属性!$B$13&amp;"|"&amp;基本属性!$C$13</f>
        <v>100|3</v>
      </c>
      <c r="B7248" s="10" t="str">
        <f>参数调整!$J$38</f>
        <v>新增怪物种类3掉落</v>
      </c>
      <c r="C7248" s="8" t="str">
        <f>材料产出!$J$2</f>
        <v>元宝</v>
      </c>
      <c r="D7248" s="224">
        <f>参数调整!$K$38*怪物掉落配置方案!$D4170</f>
        <v>1017</v>
      </c>
    </row>
    <row r="7249" spans="1:4" ht="16.5" hidden="1" x14ac:dyDescent="0.3">
      <c r="A7249" s="10" t="str">
        <f>基本属性!$B$14&amp;"|"&amp;基本属性!$C$14</f>
        <v>105|4</v>
      </c>
      <c r="B7249" s="10" t="str">
        <f>参数调整!$J$38</f>
        <v>新增怪物种类3掉落</v>
      </c>
      <c r="C7249" s="8" t="str">
        <f>材料产出!$J$2</f>
        <v>元宝</v>
      </c>
      <c r="D7249" s="224">
        <f>参数调整!$K$38*怪物掉落配置方案!$D4171</f>
        <v>1257</v>
      </c>
    </row>
    <row r="7250" spans="1:4" ht="16.5" hidden="1" x14ac:dyDescent="0.3">
      <c r="A7250" s="10" t="str">
        <f>基本属性!$B$15&amp;"|"&amp;基本属性!$C$15</f>
        <v>110|5</v>
      </c>
      <c r="B7250" s="10" t="str">
        <f>参数调整!$J$38</f>
        <v>新增怪物种类3掉落</v>
      </c>
      <c r="C7250" s="8" t="str">
        <f>材料产出!$J$2</f>
        <v>元宝</v>
      </c>
      <c r="D7250" s="224">
        <f>参数调整!$K$38*怪物掉落配置方案!$D4172</f>
        <v>1521</v>
      </c>
    </row>
    <row r="7251" spans="1:4" ht="16.5" hidden="1" x14ac:dyDescent="0.3">
      <c r="A7251" s="10" t="str">
        <f>基本属性!$B$16&amp;"|"&amp;基本属性!$C$16</f>
        <v>120|6</v>
      </c>
      <c r="B7251" s="10" t="str">
        <f>参数调整!$J$38</f>
        <v>新增怪物种类3掉落</v>
      </c>
      <c r="C7251" s="8" t="str">
        <f>材料产出!$J$2</f>
        <v>元宝</v>
      </c>
      <c r="D7251" s="224">
        <f>参数调整!$K$38*怪物掉落配置方案!$D4173</f>
        <v>1965</v>
      </c>
    </row>
    <row r="7252" spans="1:4" ht="16.5" hidden="1" x14ac:dyDescent="0.3">
      <c r="A7252" s="10" t="str">
        <f>基本属性!$B$17&amp;"|"&amp;基本属性!$C$17</f>
        <v>135|7</v>
      </c>
      <c r="B7252" s="10" t="str">
        <f>参数调整!$J$38</f>
        <v>新增怪物种类3掉落</v>
      </c>
      <c r="C7252" s="8" t="str">
        <f>材料产出!$J$2</f>
        <v>元宝</v>
      </c>
      <c r="D7252" s="224">
        <f>参数调整!$K$38*怪物掉落配置方案!$D4174</f>
        <v>2829</v>
      </c>
    </row>
    <row r="7253" spans="1:4" ht="16.5" hidden="1" x14ac:dyDescent="0.3">
      <c r="A7253" s="10" t="str">
        <f>基本属性!$B$18&amp;"|"&amp;基本属性!$C$18</f>
        <v>155|8</v>
      </c>
      <c r="B7253" s="10" t="str">
        <f>参数调整!$J$38</f>
        <v>新增怪物种类3掉落</v>
      </c>
      <c r="C7253" s="8" t="str">
        <f>材料产出!$J$2</f>
        <v>元宝</v>
      </c>
      <c r="D7253" s="224">
        <f>参数调整!$K$38*怪物掉落配置方案!$D4175</f>
        <v>3852</v>
      </c>
    </row>
    <row r="7254" spans="1:4" ht="16.5" hidden="1" x14ac:dyDescent="0.3">
      <c r="A7254" s="10" t="str">
        <f>基本属性!$B$19&amp;"|"&amp;基本属性!$C$19</f>
        <v>190|9</v>
      </c>
      <c r="B7254" s="10" t="str">
        <f>参数调整!$J$38</f>
        <v>新增怪物种类3掉落</v>
      </c>
      <c r="C7254" s="8" t="str">
        <f>材料产出!$J$2</f>
        <v>元宝</v>
      </c>
      <c r="D7254" s="224">
        <f>参数调整!$K$38*怪物掉落配置方案!$D4176</f>
        <v>4302</v>
      </c>
    </row>
    <row r="7255" spans="1:4" ht="16.5" hidden="1" x14ac:dyDescent="0.3">
      <c r="A7255" s="10" t="str">
        <f>基本属性!$B$20&amp;"|"&amp;基本属性!$C$20</f>
        <v>200|10</v>
      </c>
      <c r="B7255" s="10" t="str">
        <f>参数调整!$J$38</f>
        <v>新增怪物种类3掉落</v>
      </c>
      <c r="C7255" s="8" t="str">
        <f>材料产出!$J$2</f>
        <v>元宝</v>
      </c>
      <c r="D7255" s="224">
        <f>参数调整!$K$38*怪物掉落配置方案!$D4177</f>
        <v>5031</v>
      </c>
    </row>
    <row r="7256" spans="1:4" ht="16.5" hidden="1" x14ac:dyDescent="0.3">
      <c r="A7256" s="10" t="str">
        <f>基本属性!$B$21&amp;"|"&amp;基本属性!$C$21</f>
        <v>200|11</v>
      </c>
      <c r="B7256" s="10" t="str">
        <f>参数调整!$J$38</f>
        <v>新增怪物种类3掉落</v>
      </c>
      <c r="C7256" s="8" t="str">
        <f>材料产出!$J$2</f>
        <v>元宝</v>
      </c>
      <c r="D7256" s="224">
        <f>参数调整!$K$38*怪物掉落配置方案!$D4178</f>
        <v>5811</v>
      </c>
    </row>
    <row r="7257" spans="1:4" ht="16.5" hidden="1" x14ac:dyDescent="0.3">
      <c r="A7257" s="10" t="str">
        <f>基本属性!$B$22&amp;"|"&amp;基本属性!$C$22</f>
        <v>210|12</v>
      </c>
      <c r="B7257" s="10" t="str">
        <f>参数调整!$J$38</f>
        <v>新增怪物种类3掉落</v>
      </c>
      <c r="C7257" s="8" t="str">
        <f>材料产出!$J$2</f>
        <v>元宝</v>
      </c>
      <c r="D7257" s="224">
        <f>参数调整!$K$38*怪物掉落配置方案!$D4179</f>
        <v>6651</v>
      </c>
    </row>
    <row r="7258" spans="1:4" ht="16.5" hidden="1" x14ac:dyDescent="0.3">
      <c r="A7258" s="10" t="str">
        <f>基本属性!$B$23&amp;"|"&amp;基本属性!$C$23</f>
        <v>210|13</v>
      </c>
      <c r="B7258" s="10" t="str">
        <f>参数调整!$J$38</f>
        <v>新增怪物种类3掉落</v>
      </c>
      <c r="C7258" s="8" t="str">
        <f>材料产出!$J$2</f>
        <v>元宝</v>
      </c>
      <c r="D7258" s="224">
        <f>参数调整!$K$38*怪物掉落配置方案!$D4180</f>
        <v>7548</v>
      </c>
    </row>
    <row r="7259" spans="1:4" ht="16.5" hidden="1" x14ac:dyDescent="0.3">
      <c r="A7259" s="10" t="str">
        <f>基本属性!$B$24&amp;"|"&amp;基本属性!$C$24</f>
        <v>220|14</v>
      </c>
      <c r="B7259" s="10" t="str">
        <f>参数调整!$J$38</f>
        <v>新增怪物种类3掉落</v>
      </c>
      <c r="C7259" s="8" t="str">
        <f>材料产出!$J$2</f>
        <v>元宝</v>
      </c>
      <c r="D7259" s="224">
        <f>参数调整!$K$38*怪物掉落配置方案!$D4181</f>
        <v>8499</v>
      </c>
    </row>
    <row r="7260" spans="1:4" ht="16.5" hidden="1" x14ac:dyDescent="0.3">
      <c r="A7260" s="10" t="str">
        <f>基本属性!$B$25&amp;"|"&amp;基本属性!$C$25</f>
        <v>220|15</v>
      </c>
      <c r="B7260" s="10" t="str">
        <f>参数调整!$J$38</f>
        <v>新增怪物种类3掉落</v>
      </c>
      <c r="C7260" s="8" t="str">
        <f>材料产出!$J$2</f>
        <v>元宝</v>
      </c>
      <c r="D7260" s="224">
        <f>参数调整!$K$38*怪物掉落配置方案!$D4182</f>
        <v>9510</v>
      </c>
    </row>
    <row r="7261" spans="1:4" ht="16.5" hidden="1" x14ac:dyDescent="0.3">
      <c r="A7261" s="10" t="str">
        <f>基本属性!$B$26&amp;"|"&amp;基本属性!$C$26</f>
        <v>230|16</v>
      </c>
      <c r="B7261" s="10" t="str">
        <f>参数调整!$J$38</f>
        <v>新增怪物种类3掉落</v>
      </c>
      <c r="C7261" s="8" t="str">
        <f>材料产出!$J$2</f>
        <v>元宝</v>
      </c>
      <c r="D7261" s="224">
        <f>参数调整!$K$38*怪物掉落配置方案!$D4183</f>
        <v>10575</v>
      </c>
    </row>
    <row r="7262" spans="1:4" ht="16.5" hidden="1" x14ac:dyDescent="0.3">
      <c r="A7262" s="10" t="str">
        <f>基本属性!$B$27&amp;"|"&amp;基本属性!$C$27</f>
        <v>230|17</v>
      </c>
      <c r="B7262" s="10" t="str">
        <f>参数调整!$J$38</f>
        <v>新增怪物种类3掉落</v>
      </c>
      <c r="C7262" s="8" t="str">
        <f>材料产出!$J$2</f>
        <v>元宝</v>
      </c>
      <c r="D7262" s="224">
        <f>参数调整!$K$38*怪物掉落配置方案!$D4184</f>
        <v>11697</v>
      </c>
    </row>
    <row r="7263" spans="1:4" ht="16.5" hidden="1" x14ac:dyDescent="0.3">
      <c r="A7263" s="10" t="str">
        <f>基本属性!$B$28&amp;"|"&amp;基本属性!$C$28</f>
        <v>240|18</v>
      </c>
      <c r="B7263" s="10" t="str">
        <f>参数调整!$J$38</f>
        <v>新增怪物种类3掉落</v>
      </c>
      <c r="C7263" s="8" t="str">
        <f>材料产出!$J$2</f>
        <v>元宝</v>
      </c>
      <c r="D7263" s="224">
        <f>参数调整!$K$38*怪物掉落配置方案!$D4185</f>
        <v>12876</v>
      </c>
    </row>
    <row r="7264" spans="1:4" ht="16.5" hidden="1" x14ac:dyDescent="0.3">
      <c r="A7264" s="10" t="str">
        <f>基本属性!$B$29&amp;"|"&amp;基本属性!$C$29</f>
        <v>240|19</v>
      </c>
      <c r="B7264" s="10" t="str">
        <f>参数调整!$J$38</f>
        <v>新增怪物种类3掉落</v>
      </c>
      <c r="C7264" s="8" t="str">
        <f>材料产出!$J$2</f>
        <v>元宝</v>
      </c>
      <c r="D7264" s="224">
        <f>参数调整!$K$38*怪物掉落配置方案!$D4186</f>
        <v>14112</v>
      </c>
    </row>
    <row r="7265" spans="1:4" ht="16.5" hidden="1" x14ac:dyDescent="0.3">
      <c r="A7265" s="10" t="str">
        <f>基本属性!$B$30&amp;"|"&amp;基本属性!$C$30</f>
        <v>250|20</v>
      </c>
      <c r="B7265" s="10" t="str">
        <f>参数调整!$J$38</f>
        <v>新增怪物种类3掉落</v>
      </c>
      <c r="C7265" s="8" t="str">
        <f>材料产出!$J$2</f>
        <v>元宝</v>
      </c>
      <c r="D7265" s="224">
        <f>参数调整!$K$38*怪物掉落配置方案!$D4187</f>
        <v>15402</v>
      </c>
    </row>
    <row r="7266" spans="1:4" ht="16.5" hidden="1" x14ac:dyDescent="0.3">
      <c r="A7266" s="10" t="str">
        <f>基本属性!$B$4&amp;"|"&amp;基本属性!$C$4</f>
        <v>35|0</v>
      </c>
      <c r="B7266" s="10" t="str">
        <f>参数调整!$J$38</f>
        <v>新增怪物种类3掉落</v>
      </c>
      <c r="C7266" s="8" t="str">
        <f>材料产出!$BB$2</f>
        <v>衣服碎片</v>
      </c>
      <c r="D7266" s="224">
        <f>参数调整!$K$38*怪物掉落配置方案!$D4188</f>
        <v>2.4350091625169863E-5</v>
      </c>
    </row>
    <row r="7267" spans="1:4" ht="16.5" hidden="1" x14ac:dyDescent="0.3">
      <c r="A7267" s="10" t="str">
        <f>基本属性!$B$5&amp;"|"&amp;基本属性!$C$5</f>
        <v>40|0</v>
      </c>
      <c r="B7267" s="10" t="str">
        <f>参数调整!$J$38</f>
        <v>新增怪物种类3掉落</v>
      </c>
      <c r="C7267" s="8" t="str">
        <f>材料产出!$BB$2</f>
        <v>衣服碎片</v>
      </c>
      <c r="D7267" s="224">
        <f>参数调整!$K$38*怪物掉落配置方案!$D4189</f>
        <v>3.0818084713105605E-5</v>
      </c>
    </row>
    <row r="7268" spans="1:4" ht="16.5" hidden="1" x14ac:dyDescent="0.3">
      <c r="A7268" s="10" t="str">
        <f>基本属性!$B$6&amp;"|"&amp;基本属性!$C$6</f>
        <v>50|0</v>
      </c>
      <c r="B7268" s="10" t="str">
        <f>参数调整!$J$38</f>
        <v>新增怪物种类3掉落</v>
      </c>
      <c r="C7268" s="8" t="str">
        <f>材料产出!$BB$2</f>
        <v>衣服碎片</v>
      </c>
      <c r="D7268" s="224">
        <f>参数调整!$K$38*怪物掉落配置方案!$D4190</f>
        <v>3.8047018164327915E-5</v>
      </c>
    </row>
    <row r="7269" spans="1:4" ht="16.5" hidden="1" x14ac:dyDescent="0.3">
      <c r="A7269" s="10" t="str">
        <f>基本属性!$B$7&amp;"|"&amp;基本属性!$C$7</f>
        <v>60|0</v>
      </c>
      <c r="B7269" s="10" t="str">
        <f>参数调整!$J$38</f>
        <v>新增怪物种类3掉落</v>
      </c>
      <c r="C7269" s="8" t="str">
        <f>材料产出!$BB$2</f>
        <v>衣服碎片</v>
      </c>
      <c r="D7269" s="224">
        <f>参数调整!$K$38*怪物掉落配置方案!$D4191</f>
        <v>4.6036891978836771E-5</v>
      </c>
    </row>
    <row r="7270" spans="1:4" ht="16.5" hidden="1" x14ac:dyDescent="0.3">
      <c r="A7270" s="10" t="str">
        <f>基本属性!$B$8&amp;"|"&amp;基本属性!$C$8</f>
        <v>65|0</v>
      </c>
      <c r="B7270" s="10" t="str">
        <f>参数调整!$J$38</f>
        <v>新增怪物种类3掉落</v>
      </c>
      <c r="C7270" s="8" t="str">
        <f>材料产出!$BB$2</f>
        <v>衣服碎片</v>
      </c>
      <c r="D7270" s="224">
        <f>参数调整!$K$38*怪物掉落配置方案!$D4192</f>
        <v>5.4787706156632195E-5</v>
      </c>
    </row>
    <row r="7271" spans="1:4" ht="16.5" hidden="1" x14ac:dyDescent="0.3">
      <c r="A7271" s="10" t="str">
        <f>基本属性!$B$9&amp;"|"&amp;基本属性!$C$9</f>
        <v>70|0</v>
      </c>
      <c r="B7271" s="10" t="str">
        <f>参数调整!$J$38</f>
        <v>新增怪物种类3掉落</v>
      </c>
      <c r="C7271" s="8" t="str">
        <f>材料产出!$BB$2</f>
        <v>衣服碎片</v>
      </c>
      <c r="D7271" s="224">
        <f>参数调整!$K$38*怪物掉落配置方案!$D4193</f>
        <v>6.4299460697714165E-5</v>
      </c>
    </row>
    <row r="7272" spans="1:4" ht="16.5" hidden="1" x14ac:dyDescent="0.3">
      <c r="A7272" s="10" t="str">
        <f>基本属性!$B$10&amp;"|"&amp;基本属性!$C$10</f>
        <v>75|0</v>
      </c>
      <c r="B7272" s="10" t="str">
        <f>参数调整!$J$38</f>
        <v>新增怪物种类3掉落</v>
      </c>
      <c r="C7272" s="8" t="str">
        <f>材料产出!$BB$2</f>
        <v>衣服碎片</v>
      </c>
      <c r="D7272" s="224">
        <f>参数调整!$K$38*怪物掉落配置方案!$D4194</f>
        <v>7.4572155602082695E-5</v>
      </c>
    </row>
    <row r="7273" spans="1:4" ht="16.5" hidden="1" x14ac:dyDescent="0.3">
      <c r="A7273" s="10" t="str">
        <f>基本属性!$B$11&amp;"|"&amp;基本属性!$C$11</f>
        <v>80|1</v>
      </c>
      <c r="B7273" s="10" t="str">
        <f>参数调整!$J$38</f>
        <v>新增怪物种类3掉落</v>
      </c>
      <c r="C7273" s="8" t="str">
        <f>材料产出!$BB$2</f>
        <v>衣服碎片</v>
      </c>
      <c r="D7273" s="224">
        <f>参数调整!$K$38*怪物掉落配置方案!$D4195</f>
        <v>8.56057908697378E-5</v>
      </c>
    </row>
    <row r="7274" spans="1:4" ht="16.5" hidden="1" x14ac:dyDescent="0.3">
      <c r="A7274" s="10" t="str">
        <f>基本属性!$B$12&amp;"|"&amp;基本属性!$C$12</f>
        <v>90|2</v>
      </c>
      <c r="B7274" s="10" t="str">
        <f>参数调整!$J$38</f>
        <v>新增怪物种类3掉落</v>
      </c>
      <c r="C7274" s="8" t="str">
        <f>材料产出!$BB$2</f>
        <v>衣服碎片</v>
      </c>
      <c r="D7274" s="224">
        <f>参数调整!$K$38*怪物掉落配置方案!$D4196</f>
        <v>9.7400366500679478E-5</v>
      </c>
    </row>
    <row r="7275" spans="1:4" ht="16.5" hidden="1" x14ac:dyDescent="0.3">
      <c r="A7275" s="10" t="str">
        <f>基本属性!$B$13&amp;"|"&amp;基本属性!$C$13</f>
        <v>100|3</v>
      </c>
      <c r="B7275" s="10" t="str">
        <f>参数调整!$J$38</f>
        <v>新增怪物种类3掉落</v>
      </c>
      <c r="C7275" s="8" t="str">
        <f>材料产出!$BB$2</f>
        <v>衣服碎片</v>
      </c>
      <c r="D7275" s="224">
        <f>参数调整!$K$38*怪物掉落配置方案!$D4197</f>
        <v>1.2327233885242245E-4</v>
      </c>
    </row>
    <row r="7276" spans="1:4" ht="16.5" hidden="1" x14ac:dyDescent="0.3">
      <c r="A7276" s="10" t="str">
        <f>基本属性!$B$14&amp;"|"&amp;基本属性!$C$14</f>
        <v>105|4</v>
      </c>
      <c r="B7276" s="10" t="str">
        <f>参数调整!$J$38</f>
        <v>新增怪物种类3掉落</v>
      </c>
      <c r="C7276" s="8" t="str">
        <f>材料产出!$BB$2</f>
        <v>衣服碎片</v>
      </c>
      <c r="D7276" s="224">
        <f>参数调整!$K$38*怪物掉落配置方案!$D4198</f>
        <v>1.5218807265731166E-4</v>
      </c>
    </row>
    <row r="7277" spans="1:4" ht="16.5" hidden="1" x14ac:dyDescent="0.3">
      <c r="A7277" s="10" t="str">
        <f>基本属性!$B$15&amp;"|"&amp;基本属性!$C$15</f>
        <v>110|5</v>
      </c>
      <c r="B7277" s="10" t="str">
        <f>参数调整!$J$38</f>
        <v>新增怪物种类3掉落</v>
      </c>
      <c r="C7277" s="8" t="str">
        <f>材料产出!$BB$2</f>
        <v>衣服碎片</v>
      </c>
      <c r="D7277" s="224">
        <f>参数调整!$K$38*怪物掉落配置方案!$D4199</f>
        <v>1.8414756791534714E-4</v>
      </c>
    </row>
    <row r="7278" spans="1:4" ht="16.5" hidden="1" x14ac:dyDescent="0.3">
      <c r="A7278" s="10" t="str">
        <f>基本属性!$B$16&amp;"|"&amp;基本属性!$C$16</f>
        <v>120|6</v>
      </c>
      <c r="B7278" s="10" t="str">
        <f>参数调整!$J$38</f>
        <v>新增怪物种类3掉落</v>
      </c>
      <c r="C7278" s="8" t="str">
        <f>材料产出!$BB$2</f>
        <v>衣服碎片</v>
      </c>
      <c r="D7278" s="224">
        <f>参数调整!$K$38*怪物掉落配置方案!$D4200</f>
        <v>2.3779386352704949E-4</v>
      </c>
    </row>
    <row r="7279" spans="1:4" ht="16.5" hidden="1" x14ac:dyDescent="0.3">
      <c r="A7279" s="10" t="str">
        <f>基本属性!$B$17&amp;"|"&amp;基本属性!$C$17</f>
        <v>135|7</v>
      </c>
      <c r="B7279" s="10" t="str">
        <f>参数调整!$J$38</f>
        <v>新增怪物种类3掉落</v>
      </c>
      <c r="C7279" s="8" t="str">
        <f>材料产出!$BB$2</f>
        <v>衣服碎片</v>
      </c>
      <c r="D7279" s="224">
        <f>参数调整!$K$38*怪物掉落配置方案!$D4201</f>
        <v>3.424231634789512E-4</v>
      </c>
    </row>
    <row r="7280" spans="1:4" ht="16.5" hidden="1" x14ac:dyDescent="0.3">
      <c r="A7280" s="10" t="str">
        <f>基本属性!$B$18&amp;"|"&amp;基本属性!$C$18</f>
        <v>155|8</v>
      </c>
      <c r="B7280" s="10" t="str">
        <f>参数调整!$J$38</f>
        <v>新增怪物种类3掉落</v>
      </c>
      <c r="C7280" s="8" t="str">
        <f>材料产出!$BB$2</f>
        <v>衣服碎片</v>
      </c>
      <c r="D7280" s="224">
        <f>参数调整!$K$38*怪物掉落配置方案!$D4202</f>
        <v>4.6607597251301693E-4</v>
      </c>
    </row>
    <row r="7281" spans="1:4" ht="16.5" hidden="1" x14ac:dyDescent="0.3">
      <c r="A7281" s="10" t="str">
        <f>基本属性!$B$19&amp;"|"&amp;基本属性!$C$19</f>
        <v>190|9</v>
      </c>
      <c r="B7281" s="10" t="str">
        <f>参数调整!$J$38</f>
        <v>新增怪物种类3掉落</v>
      </c>
      <c r="C7281" s="8" t="str">
        <f>材料产出!$BB$2</f>
        <v>衣服碎片</v>
      </c>
      <c r="D7281" s="224">
        <f>参数调整!$K$38*怪物掉落配置方案!$D4203</f>
        <v>5.2086367866964911E-4</v>
      </c>
    </row>
    <row r="7282" spans="1:4" ht="16.5" hidden="1" x14ac:dyDescent="0.3">
      <c r="A7282" s="10" t="str">
        <f>基本属性!$B$20&amp;"|"&amp;基本属性!$C$20</f>
        <v>200|10</v>
      </c>
      <c r="B7282" s="10" t="str">
        <f>参数调整!$J$38</f>
        <v>新增怪物种类3掉落</v>
      </c>
      <c r="C7282" s="8" t="str">
        <f>材料产出!$BB$2</f>
        <v>衣服碎片</v>
      </c>
      <c r="D7282" s="224">
        <f>参数调整!$K$38*怪物掉落配置方案!$D4204</f>
        <v>6.0875229062924664E-4</v>
      </c>
    </row>
    <row r="7283" spans="1:4" ht="16.5" hidden="1" x14ac:dyDescent="0.3">
      <c r="A7283" s="10" t="str">
        <f>基本属性!$B$21&amp;"|"&amp;基本属性!$C$21</f>
        <v>200|11</v>
      </c>
      <c r="B7283" s="10" t="str">
        <f>参数调整!$J$38</f>
        <v>新增怪物种类3掉落</v>
      </c>
      <c r="C7283" s="8" t="str">
        <f>材料产出!$BB$2</f>
        <v>衣服碎片</v>
      </c>
      <c r="D7283" s="224">
        <f>参数调整!$K$38*怪物掉落配置方案!$D4205</f>
        <v>7.0348936585842283E-4</v>
      </c>
    </row>
    <row r="7284" spans="1:4" ht="16.5" hidden="1" x14ac:dyDescent="0.3">
      <c r="A7284" s="10" t="str">
        <f>基本属性!$B$22&amp;"|"&amp;基本属性!$C$22</f>
        <v>210|12</v>
      </c>
      <c r="B7284" s="10" t="str">
        <f>参数调整!$J$38</f>
        <v>新增怪物种类3掉落</v>
      </c>
      <c r="C7284" s="8" t="str">
        <f>材料产出!$BB$2</f>
        <v>衣服碎片</v>
      </c>
      <c r="D7284" s="224">
        <f>参数调整!$K$38*怪物掉落配置方案!$D4206</f>
        <v>8.0507490435717836E-4</v>
      </c>
    </row>
    <row r="7285" spans="1:4" ht="16.5" hidden="1" x14ac:dyDescent="0.3">
      <c r="A7285" s="10" t="str">
        <f>基本属性!$B$23&amp;"|"&amp;基本属性!$C$23</f>
        <v>210|13</v>
      </c>
      <c r="B7285" s="10" t="str">
        <f>参数调整!$J$38</f>
        <v>新增怪物种类3掉落</v>
      </c>
      <c r="C7285" s="8" t="str">
        <f>材料产出!$BB$2</f>
        <v>衣服碎片</v>
      </c>
      <c r="D7285" s="224">
        <f>参数调整!$K$38*怪物掉落配置方案!$D4207</f>
        <v>9.1350890612551332E-4</v>
      </c>
    </row>
    <row r="7286" spans="1:4" ht="16.5" hidden="1" x14ac:dyDescent="0.3">
      <c r="A7286" s="10" t="str">
        <f>基本属性!$B$24&amp;"|"&amp;基本属性!$C$24</f>
        <v>220|14</v>
      </c>
      <c r="B7286" s="10" t="str">
        <f>参数调整!$J$38</f>
        <v>新增怪物种类3掉落</v>
      </c>
      <c r="C7286" s="8" t="str">
        <f>材料产出!$BB$2</f>
        <v>衣服碎片</v>
      </c>
      <c r="D7286" s="224">
        <f>参数调整!$K$38*怪物掉落配置方案!$D4208</f>
        <v>1.0287913711634266E-3</v>
      </c>
    </row>
    <row r="7287" spans="1:4" ht="16.5" hidden="1" x14ac:dyDescent="0.3">
      <c r="A7287" s="10" t="str">
        <f>基本属性!$B$25&amp;"|"&amp;基本属性!$C$25</f>
        <v>220|15</v>
      </c>
      <c r="B7287" s="10" t="str">
        <f>参数调整!$J$38</f>
        <v>新增怪物种类3掉落</v>
      </c>
      <c r="C7287" s="8" t="str">
        <f>材料产出!$BB$2</f>
        <v>衣服碎片</v>
      </c>
      <c r="D7287" s="224">
        <f>参数调整!$K$38*怪物掉落配置方案!$D4209</f>
        <v>1.150922299470919E-3</v>
      </c>
    </row>
    <row r="7288" spans="1:4" ht="16.5" hidden="1" x14ac:dyDescent="0.3">
      <c r="A7288" s="10" t="str">
        <f>基本属性!$B$26&amp;"|"&amp;基本属性!$C$26</f>
        <v>230|16</v>
      </c>
      <c r="B7288" s="10" t="str">
        <f>参数调整!$J$38</f>
        <v>新增怪物种类3掉落</v>
      </c>
      <c r="C7288" s="8" t="str">
        <f>材料产出!$BB$2</f>
        <v>衣服碎片</v>
      </c>
      <c r="D7288" s="224">
        <f>参数调整!$K$38*怪物掉落配置方案!$D4210</f>
        <v>1.2799016910479907E-3</v>
      </c>
    </row>
    <row r="7289" spans="1:4" ht="16.5" hidden="1" x14ac:dyDescent="0.3">
      <c r="A7289" s="10" t="str">
        <f>基本属性!$B$27&amp;"|"&amp;基本属性!$C$27</f>
        <v>230|17</v>
      </c>
      <c r="B7289" s="10" t="str">
        <f>参数调整!$J$38</f>
        <v>新增怪物种类3掉落</v>
      </c>
      <c r="C7289" s="8" t="str">
        <f>材料产出!$BB$2</f>
        <v>衣服碎片</v>
      </c>
      <c r="D7289" s="224">
        <f>参数调整!$K$38*怪物掉落配置方案!$D4211</f>
        <v>1.4157295458946412E-3</v>
      </c>
    </row>
    <row r="7290" spans="1:4" ht="16.5" hidden="1" x14ac:dyDescent="0.3">
      <c r="A7290" s="10" t="str">
        <f>基本属性!$B$28&amp;"|"&amp;基本属性!$C$28</f>
        <v>240|18</v>
      </c>
      <c r="B7290" s="10" t="str">
        <f>参数调整!$J$38</f>
        <v>新增怪物种类3掉落</v>
      </c>
      <c r="C7290" s="8" t="str">
        <f>材料产出!$BB$2</f>
        <v>衣服碎片</v>
      </c>
      <c r="D7290" s="224">
        <f>参数调整!$K$38*怪物掉落配置方案!$D4212</f>
        <v>1.5584058640108712E-3</v>
      </c>
    </row>
    <row r="7291" spans="1:4" ht="16.5" hidden="1" x14ac:dyDescent="0.3">
      <c r="A7291" s="10" t="str">
        <f>基本属性!$B$29&amp;"|"&amp;基本属性!$C$29</f>
        <v>240|19</v>
      </c>
      <c r="B7291" s="10" t="str">
        <f>参数调整!$J$38</f>
        <v>新增怪物种类3掉落</v>
      </c>
      <c r="C7291" s="8" t="str">
        <f>材料产出!$BB$2</f>
        <v>衣服碎片</v>
      </c>
      <c r="D7291" s="224">
        <f>参数调整!$K$38*怪物掉落配置方案!$D4213</f>
        <v>1.70793064539668E-3</v>
      </c>
    </row>
    <row r="7292" spans="1:4" ht="16.5" hidden="1" x14ac:dyDescent="0.3">
      <c r="A7292" s="10" t="str">
        <f>基本属性!$B$30&amp;"|"&amp;基本属性!$C$30</f>
        <v>250|20</v>
      </c>
      <c r="B7292" s="10" t="str">
        <f>参数调整!$J$38</f>
        <v>新增怪物种类3掉落</v>
      </c>
      <c r="C7292" s="8" t="str">
        <f>材料产出!$BB$2</f>
        <v>衣服碎片</v>
      </c>
      <c r="D7292" s="224">
        <f>参数调整!$K$38*怪物掉落配置方案!$D4214</f>
        <v>1.8643038900520671E-3</v>
      </c>
    </row>
    <row r="7293" spans="1:4" ht="16.5" hidden="1" x14ac:dyDescent="0.3">
      <c r="A7293" s="10" t="str">
        <f>基本属性!$B$4&amp;"|"&amp;基本属性!$C$4</f>
        <v>35|0</v>
      </c>
      <c r="B7293" s="10" t="str">
        <f>参数调整!$J$38</f>
        <v>新增怪物种类3掉落</v>
      </c>
      <c r="C7293" s="8" t="str">
        <f>材料产出!$HX$2</f>
        <v>星座装备</v>
      </c>
      <c r="D7293" s="224">
        <f>参数调整!$K$38*怪物掉落配置方案!$D4215</f>
        <v>0</v>
      </c>
    </row>
    <row r="7294" spans="1:4" ht="16.5" hidden="1" x14ac:dyDescent="0.3">
      <c r="A7294" s="10" t="str">
        <f>基本属性!$B$5&amp;"|"&amp;基本属性!$C$5</f>
        <v>40|0</v>
      </c>
      <c r="B7294" s="10" t="str">
        <f>参数调整!$J$38</f>
        <v>新增怪物种类3掉落</v>
      </c>
      <c r="C7294" s="8" t="str">
        <f>材料产出!$HX$2</f>
        <v>星座装备</v>
      </c>
      <c r="D7294" s="224">
        <f>参数调整!$K$38*怪物掉落配置方案!$D4216</f>
        <v>0</v>
      </c>
    </row>
    <row r="7295" spans="1:4" ht="16.5" hidden="1" x14ac:dyDescent="0.3">
      <c r="A7295" s="10" t="str">
        <f>基本属性!$B$6&amp;"|"&amp;基本属性!$C$6</f>
        <v>50|0</v>
      </c>
      <c r="B7295" s="10" t="str">
        <f>参数调整!$J$38</f>
        <v>新增怪物种类3掉落</v>
      </c>
      <c r="C7295" s="8" t="str">
        <f>材料产出!$HX$2</f>
        <v>星座装备</v>
      </c>
      <c r="D7295" s="224">
        <f>参数调整!$K$38*怪物掉落配置方案!$D4217</f>
        <v>0</v>
      </c>
    </row>
    <row r="7296" spans="1:4" ht="16.5" hidden="1" x14ac:dyDescent="0.3">
      <c r="A7296" s="10" t="str">
        <f>基本属性!$B$7&amp;"|"&amp;基本属性!$C$7</f>
        <v>60|0</v>
      </c>
      <c r="B7296" s="10" t="str">
        <f>参数调整!$J$38</f>
        <v>新增怪物种类3掉落</v>
      </c>
      <c r="C7296" s="8" t="str">
        <f>材料产出!$HX$2</f>
        <v>星座装备</v>
      </c>
      <c r="D7296" s="224">
        <f>参数调整!$K$38*怪物掉落配置方案!$D4218</f>
        <v>0</v>
      </c>
    </row>
    <row r="7297" spans="1:4" ht="16.5" hidden="1" x14ac:dyDescent="0.3">
      <c r="A7297" s="10" t="str">
        <f>基本属性!$B$8&amp;"|"&amp;基本属性!$C$8</f>
        <v>65|0</v>
      </c>
      <c r="B7297" s="10" t="str">
        <f>参数调整!$J$38</f>
        <v>新增怪物种类3掉落</v>
      </c>
      <c r="C7297" s="8" t="str">
        <f>材料产出!$HX$2</f>
        <v>星座装备</v>
      </c>
      <c r="D7297" s="224">
        <f>参数调整!$K$38*怪物掉落配置方案!$D4219</f>
        <v>0</v>
      </c>
    </row>
    <row r="7298" spans="1:4" ht="16.5" hidden="1" x14ac:dyDescent="0.3">
      <c r="A7298" s="10" t="str">
        <f>基本属性!$B$9&amp;"|"&amp;基本属性!$C$9</f>
        <v>70|0</v>
      </c>
      <c r="B7298" s="10" t="str">
        <f>参数调整!$J$38</f>
        <v>新增怪物种类3掉落</v>
      </c>
      <c r="C7298" s="8" t="str">
        <f>材料产出!$HX$2</f>
        <v>星座装备</v>
      </c>
      <c r="D7298" s="224">
        <f>参数调整!$K$38*怪物掉落配置方案!$D4220</f>
        <v>0</v>
      </c>
    </row>
    <row r="7299" spans="1:4" ht="16.5" hidden="1" x14ac:dyDescent="0.3">
      <c r="A7299" s="10" t="str">
        <f>基本属性!$B$10&amp;"|"&amp;基本属性!$C$10</f>
        <v>75|0</v>
      </c>
      <c r="B7299" s="10" t="str">
        <f>参数调整!$J$38</f>
        <v>新增怪物种类3掉落</v>
      </c>
      <c r="C7299" s="8" t="str">
        <f>材料产出!$HX$2</f>
        <v>星座装备</v>
      </c>
      <c r="D7299" s="224">
        <f>参数调整!$K$38*怪物掉落配置方案!$D4221</f>
        <v>0</v>
      </c>
    </row>
    <row r="7300" spans="1:4" ht="16.5" hidden="1" x14ac:dyDescent="0.3">
      <c r="A7300" s="10" t="str">
        <f>基本属性!$B$11&amp;"|"&amp;基本属性!$C$11</f>
        <v>80|1</v>
      </c>
      <c r="B7300" s="10" t="str">
        <f>参数调整!$J$38</f>
        <v>新增怪物种类3掉落</v>
      </c>
      <c r="C7300" s="8" t="str">
        <f>材料产出!$HX$2</f>
        <v>星座装备</v>
      </c>
      <c r="D7300" s="224">
        <f>参数调整!$K$38*怪物掉落配置方案!$D4222</f>
        <v>0</v>
      </c>
    </row>
    <row r="7301" spans="1:4" ht="16.5" hidden="1" x14ac:dyDescent="0.3">
      <c r="A7301" s="10" t="str">
        <f>基本属性!$B$12&amp;"|"&amp;基本属性!$C$12</f>
        <v>90|2</v>
      </c>
      <c r="B7301" s="10" t="str">
        <f>参数调整!$J$38</f>
        <v>新增怪物种类3掉落</v>
      </c>
      <c r="C7301" s="8" t="str">
        <f>材料产出!$HX$2</f>
        <v>星座装备</v>
      </c>
      <c r="D7301" s="224">
        <f>参数调整!$K$38*怪物掉落配置方案!$D4223</f>
        <v>0</v>
      </c>
    </row>
    <row r="7302" spans="1:4" ht="16.5" hidden="1" x14ac:dyDescent="0.3">
      <c r="A7302" s="10" t="str">
        <f>基本属性!$B$13&amp;"|"&amp;基本属性!$C$13</f>
        <v>100|3</v>
      </c>
      <c r="B7302" s="10" t="str">
        <f>参数调整!$J$38</f>
        <v>新增怪物种类3掉落</v>
      </c>
      <c r="C7302" s="8" t="str">
        <f>材料产出!$HX$2</f>
        <v>星座装备</v>
      </c>
      <c r="D7302" s="224">
        <f>参数调整!$K$38*怪物掉落配置方案!$D4224</f>
        <v>0</v>
      </c>
    </row>
    <row r="7303" spans="1:4" ht="16.5" hidden="1" x14ac:dyDescent="0.3">
      <c r="A7303" s="10" t="str">
        <f>基本属性!$B$14&amp;"|"&amp;基本属性!$C$14</f>
        <v>105|4</v>
      </c>
      <c r="B7303" s="10" t="str">
        <f>参数调整!$J$38</f>
        <v>新增怪物种类3掉落</v>
      </c>
      <c r="C7303" s="8" t="str">
        <f>材料产出!$HX$2</f>
        <v>星座装备</v>
      </c>
      <c r="D7303" s="224">
        <f>参数调整!$K$38*怪物掉落配置方案!$D4225</f>
        <v>0</v>
      </c>
    </row>
    <row r="7304" spans="1:4" ht="16.5" hidden="1" x14ac:dyDescent="0.3">
      <c r="A7304" s="10" t="str">
        <f>基本属性!$B$15&amp;"|"&amp;基本属性!$C$15</f>
        <v>110|5</v>
      </c>
      <c r="B7304" s="10" t="str">
        <f>参数调整!$J$38</f>
        <v>新增怪物种类3掉落</v>
      </c>
      <c r="C7304" s="8" t="str">
        <f>材料产出!$HX$2</f>
        <v>星座装备</v>
      </c>
      <c r="D7304" s="224">
        <f>参数调整!$K$38*怪物掉落配置方案!$D4226</f>
        <v>0</v>
      </c>
    </row>
    <row r="7305" spans="1:4" ht="16.5" hidden="1" x14ac:dyDescent="0.3">
      <c r="A7305" s="10" t="str">
        <f>基本属性!$B$16&amp;"|"&amp;基本属性!$C$16</f>
        <v>120|6</v>
      </c>
      <c r="B7305" s="10" t="str">
        <f>参数调整!$J$38</f>
        <v>新增怪物种类3掉落</v>
      </c>
      <c r="C7305" s="8" t="str">
        <f>材料产出!$HX$2</f>
        <v>星座装备</v>
      </c>
      <c r="D7305" s="224">
        <f>参数调整!$K$38*怪物掉落配置方案!$D4227</f>
        <v>0</v>
      </c>
    </row>
    <row r="7306" spans="1:4" ht="16.5" hidden="1" x14ac:dyDescent="0.3">
      <c r="A7306" s="10" t="str">
        <f>基本属性!$B$17&amp;"|"&amp;基本属性!$C$17</f>
        <v>135|7</v>
      </c>
      <c r="B7306" s="10" t="str">
        <f>参数调整!$J$38</f>
        <v>新增怪物种类3掉落</v>
      </c>
      <c r="C7306" s="8" t="str">
        <f>材料产出!$HX$2</f>
        <v>星座装备</v>
      </c>
      <c r="D7306" s="224">
        <f>参数调整!$K$38*怪物掉落配置方案!$D4228</f>
        <v>0</v>
      </c>
    </row>
    <row r="7307" spans="1:4" ht="16.5" hidden="1" x14ac:dyDescent="0.3">
      <c r="A7307" s="10" t="str">
        <f>基本属性!$B$18&amp;"|"&amp;基本属性!$C$18</f>
        <v>155|8</v>
      </c>
      <c r="B7307" s="10" t="str">
        <f>参数调整!$J$38</f>
        <v>新增怪物种类3掉落</v>
      </c>
      <c r="C7307" s="8" t="str">
        <f>材料产出!$HX$2</f>
        <v>星座装备</v>
      </c>
      <c r="D7307" s="224">
        <f>参数调整!$K$38*怪物掉落配置方案!$D4229</f>
        <v>0</v>
      </c>
    </row>
    <row r="7308" spans="1:4" ht="16.5" hidden="1" x14ac:dyDescent="0.3">
      <c r="A7308" s="10" t="str">
        <f>基本属性!$B$19&amp;"|"&amp;基本属性!$C$19</f>
        <v>190|9</v>
      </c>
      <c r="B7308" s="10" t="str">
        <f>参数调整!$J$38</f>
        <v>新增怪物种类3掉落</v>
      </c>
      <c r="C7308" s="8" t="str">
        <f>材料产出!$HX$2</f>
        <v>星座装备</v>
      </c>
      <c r="D7308" s="224">
        <f>参数调整!$K$38*怪物掉落配置方案!$D4230</f>
        <v>0</v>
      </c>
    </row>
    <row r="7309" spans="1:4" ht="16.5" hidden="1" x14ac:dyDescent="0.3">
      <c r="A7309" s="10" t="str">
        <f>基本属性!$B$20&amp;"|"&amp;基本属性!$C$20</f>
        <v>200|10</v>
      </c>
      <c r="B7309" s="10" t="str">
        <f>参数调整!$J$38</f>
        <v>新增怪物种类3掉落</v>
      </c>
      <c r="C7309" s="8" t="str">
        <f>材料产出!$HX$2</f>
        <v>星座装备</v>
      </c>
      <c r="D7309" s="224">
        <f>参数调整!$K$38*怪物掉落配置方案!$D4231</f>
        <v>0</v>
      </c>
    </row>
    <row r="7310" spans="1:4" ht="16.5" hidden="1" x14ac:dyDescent="0.3">
      <c r="A7310" s="10" t="str">
        <f>基本属性!$B$21&amp;"|"&amp;基本属性!$C$21</f>
        <v>200|11</v>
      </c>
      <c r="B7310" s="10" t="str">
        <f>参数调整!$J$38</f>
        <v>新增怪物种类3掉落</v>
      </c>
      <c r="C7310" s="8" t="str">
        <f>材料产出!$HX$2</f>
        <v>星座装备</v>
      </c>
      <c r="D7310" s="224">
        <f>参数调整!$K$38*怪物掉落配置方案!$D4232</f>
        <v>0</v>
      </c>
    </row>
    <row r="7311" spans="1:4" ht="16.5" hidden="1" x14ac:dyDescent="0.3">
      <c r="A7311" s="10" t="str">
        <f>基本属性!$B$22&amp;"|"&amp;基本属性!$C$22</f>
        <v>210|12</v>
      </c>
      <c r="B7311" s="10" t="str">
        <f>参数调整!$J$38</f>
        <v>新增怪物种类3掉落</v>
      </c>
      <c r="C7311" s="8" t="str">
        <f>材料产出!$HX$2</f>
        <v>星座装备</v>
      </c>
      <c r="D7311" s="224">
        <f>参数调整!$K$38*怪物掉落配置方案!$D4233</f>
        <v>0</v>
      </c>
    </row>
    <row r="7312" spans="1:4" ht="16.5" hidden="1" x14ac:dyDescent="0.3">
      <c r="A7312" s="10" t="str">
        <f>基本属性!$B$23&amp;"|"&amp;基本属性!$C$23</f>
        <v>210|13</v>
      </c>
      <c r="B7312" s="10" t="str">
        <f>参数调整!$J$38</f>
        <v>新增怪物种类3掉落</v>
      </c>
      <c r="C7312" s="8" t="str">
        <f>材料产出!$HX$2</f>
        <v>星座装备</v>
      </c>
      <c r="D7312" s="224">
        <f>参数调整!$K$38*怪物掉落配置方案!$D4234</f>
        <v>0</v>
      </c>
    </row>
    <row r="7313" spans="1:4" ht="16.5" hidden="1" x14ac:dyDescent="0.3">
      <c r="A7313" s="10" t="str">
        <f>基本属性!$B$24&amp;"|"&amp;基本属性!$C$24</f>
        <v>220|14</v>
      </c>
      <c r="B7313" s="10" t="str">
        <f>参数调整!$J$38</f>
        <v>新增怪物种类3掉落</v>
      </c>
      <c r="C7313" s="8" t="str">
        <f>材料产出!$HX$2</f>
        <v>星座装备</v>
      </c>
      <c r="D7313" s="224">
        <f>参数调整!$K$38*怪物掉落配置方案!$D4235</f>
        <v>0</v>
      </c>
    </row>
    <row r="7314" spans="1:4" ht="16.5" hidden="1" x14ac:dyDescent="0.3">
      <c r="A7314" s="10" t="str">
        <f>基本属性!$B$25&amp;"|"&amp;基本属性!$C$25</f>
        <v>220|15</v>
      </c>
      <c r="B7314" s="10" t="str">
        <f>参数调整!$J$38</f>
        <v>新增怪物种类3掉落</v>
      </c>
      <c r="C7314" s="8" t="str">
        <f>材料产出!$HX$2</f>
        <v>星座装备</v>
      </c>
      <c r="D7314" s="224">
        <f>参数调整!$K$38*怪物掉落配置方案!$D4236</f>
        <v>0</v>
      </c>
    </row>
    <row r="7315" spans="1:4" ht="16.5" hidden="1" x14ac:dyDescent="0.3">
      <c r="A7315" s="10" t="str">
        <f>基本属性!$B$26&amp;"|"&amp;基本属性!$C$26</f>
        <v>230|16</v>
      </c>
      <c r="B7315" s="10" t="str">
        <f>参数调整!$J$38</f>
        <v>新增怪物种类3掉落</v>
      </c>
      <c r="C7315" s="8" t="str">
        <f>材料产出!$HX$2</f>
        <v>星座装备</v>
      </c>
      <c r="D7315" s="224">
        <f>参数调整!$K$38*怪物掉落配置方案!$D4237</f>
        <v>0</v>
      </c>
    </row>
    <row r="7316" spans="1:4" ht="16.5" hidden="1" x14ac:dyDescent="0.3">
      <c r="A7316" s="10" t="str">
        <f>基本属性!$B$27&amp;"|"&amp;基本属性!$C$27</f>
        <v>230|17</v>
      </c>
      <c r="B7316" s="10" t="str">
        <f>参数调整!$J$38</f>
        <v>新增怪物种类3掉落</v>
      </c>
      <c r="C7316" s="8" t="str">
        <f>材料产出!$HX$2</f>
        <v>星座装备</v>
      </c>
      <c r="D7316" s="224">
        <f>参数调整!$K$38*怪物掉落配置方案!$D4238</f>
        <v>0</v>
      </c>
    </row>
    <row r="7317" spans="1:4" ht="16.5" hidden="1" x14ac:dyDescent="0.3">
      <c r="A7317" s="10" t="str">
        <f>基本属性!$B$28&amp;"|"&amp;基本属性!$C$28</f>
        <v>240|18</v>
      </c>
      <c r="B7317" s="10" t="str">
        <f>参数调整!$J$38</f>
        <v>新增怪物种类3掉落</v>
      </c>
      <c r="C7317" s="8" t="str">
        <f>材料产出!$HX$2</f>
        <v>星座装备</v>
      </c>
      <c r="D7317" s="224">
        <f>参数调整!$K$38*怪物掉落配置方案!$D4239</f>
        <v>0</v>
      </c>
    </row>
    <row r="7318" spans="1:4" ht="16.5" hidden="1" x14ac:dyDescent="0.3">
      <c r="A7318" s="10" t="str">
        <f>基本属性!$B$29&amp;"|"&amp;基本属性!$C$29</f>
        <v>240|19</v>
      </c>
      <c r="B7318" s="10" t="str">
        <f>参数调整!$J$38</f>
        <v>新增怪物种类3掉落</v>
      </c>
      <c r="C7318" s="8" t="str">
        <f>材料产出!$HX$2</f>
        <v>星座装备</v>
      </c>
      <c r="D7318" s="224">
        <f>参数调整!$K$38*怪物掉落配置方案!$D4240</f>
        <v>0</v>
      </c>
    </row>
    <row r="7319" spans="1:4" ht="16.5" hidden="1" x14ac:dyDescent="0.3">
      <c r="A7319" s="10" t="str">
        <f>基本属性!$B$30&amp;"|"&amp;基本属性!$C$30</f>
        <v>250|20</v>
      </c>
      <c r="B7319" s="10" t="str">
        <f>参数调整!$J$38</f>
        <v>新增怪物种类3掉落</v>
      </c>
      <c r="C7319" s="8" t="str">
        <f>材料产出!$HX$2</f>
        <v>星座装备</v>
      </c>
      <c r="D7319" s="224">
        <f>参数调整!$K$38*怪物掉落配置方案!$D4241</f>
        <v>0</v>
      </c>
    </row>
    <row r="7320" spans="1:4" ht="16.5" hidden="1" x14ac:dyDescent="0.3">
      <c r="A7320" s="10" t="str">
        <f>基本属性!$B$4&amp;"|"&amp;基本属性!$C$4</f>
        <v>35|0</v>
      </c>
      <c r="B7320" s="10" t="str">
        <f>参数调整!$J$38</f>
        <v>新增怪物种类3掉落</v>
      </c>
      <c r="C7320" s="8" t="str">
        <f>材料产出!$BX$2</f>
        <v>新增材料9</v>
      </c>
      <c r="D7320" s="224">
        <f>参数调整!$K$38*怪物掉落配置方案!$D4242</f>
        <v>0</v>
      </c>
    </row>
    <row r="7321" spans="1:4" ht="16.5" hidden="1" x14ac:dyDescent="0.3">
      <c r="A7321" s="10" t="str">
        <f>基本属性!$B$5&amp;"|"&amp;基本属性!$C$5</f>
        <v>40|0</v>
      </c>
      <c r="B7321" s="10" t="str">
        <f>参数调整!$J$38</f>
        <v>新增怪物种类3掉落</v>
      </c>
      <c r="C7321" s="8" t="str">
        <f>材料产出!$BX$2</f>
        <v>新增材料9</v>
      </c>
      <c r="D7321" s="224">
        <f>参数调整!$K$38*怪物掉落配置方案!$D4243</f>
        <v>0</v>
      </c>
    </row>
    <row r="7322" spans="1:4" ht="16.5" hidden="1" x14ac:dyDescent="0.3">
      <c r="A7322" s="10" t="str">
        <f>基本属性!$B$6&amp;"|"&amp;基本属性!$C$6</f>
        <v>50|0</v>
      </c>
      <c r="B7322" s="10" t="str">
        <f>参数调整!$J$38</f>
        <v>新增怪物种类3掉落</v>
      </c>
      <c r="C7322" s="8" t="str">
        <f>材料产出!$BX$2</f>
        <v>新增材料9</v>
      </c>
      <c r="D7322" s="224">
        <f>参数调整!$K$38*怪物掉落配置方案!$D4244</f>
        <v>0</v>
      </c>
    </row>
    <row r="7323" spans="1:4" ht="16.5" hidden="1" x14ac:dyDescent="0.3">
      <c r="A7323" s="10" t="str">
        <f>基本属性!$B$7&amp;"|"&amp;基本属性!$C$7</f>
        <v>60|0</v>
      </c>
      <c r="B7323" s="10" t="str">
        <f>参数调整!$J$38</f>
        <v>新增怪物种类3掉落</v>
      </c>
      <c r="C7323" s="8" t="str">
        <f>材料产出!$BX$2</f>
        <v>新增材料9</v>
      </c>
      <c r="D7323" s="224">
        <f>参数调整!$K$38*怪物掉落配置方案!$D4245</f>
        <v>0</v>
      </c>
    </row>
    <row r="7324" spans="1:4" ht="16.5" hidden="1" x14ac:dyDescent="0.3">
      <c r="A7324" s="10" t="str">
        <f>基本属性!$B$8&amp;"|"&amp;基本属性!$C$8</f>
        <v>65|0</v>
      </c>
      <c r="B7324" s="10" t="str">
        <f>参数调整!$J$38</f>
        <v>新增怪物种类3掉落</v>
      </c>
      <c r="C7324" s="8" t="str">
        <f>材料产出!$BX$2</f>
        <v>新增材料9</v>
      </c>
      <c r="D7324" s="224">
        <f>参数调整!$K$38*怪物掉落配置方案!$D4246</f>
        <v>0</v>
      </c>
    </row>
    <row r="7325" spans="1:4" ht="16.5" hidden="1" x14ac:dyDescent="0.3">
      <c r="A7325" s="10" t="str">
        <f>基本属性!$B$9&amp;"|"&amp;基本属性!$C$9</f>
        <v>70|0</v>
      </c>
      <c r="B7325" s="10" t="str">
        <f>参数调整!$J$38</f>
        <v>新增怪物种类3掉落</v>
      </c>
      <c r="C7325" s="8" t="str">
        <f>材料产出!$BX$2</f>
        <v>新增材料9</v>
      </c>
      <c r="D7325" s="224">
        <f>参数调整!$K$38*怪物掉落配置方案!$D4247</f>
        <v>0</v>
      </c>
    </row>
    <row r="7326" spans="1:4" ht="16.5" hidden="1" x14ac:dyDescent="0.3">
      <c r="A7326" s="10" t="str">
        <f>基本属性!$B$10&amp;"|"&amp;基本属性!$C$10</f>
        <v>75|0</v>
      </c>
      <c r="B7326" s="10" t="str">
        <f>参数调整!$J$38</f>
        <v>新增怪物种类3掉落</v>
      </c>
      <c r="C7326" s="8" t="str">
        <f>材料产出!$BX$2</f>
        <v>新增材料9</v>
      </c>
      <c r="D7326" s="224">
        <f>参数调整!$K$38*怪物掉落配置方案!$D4248</f>
        <v>0</v>
      </c>
    </row>
    <row r="7327" spans="1:4" ht="16.5" hidden="1" x14ac:dyDescent="0.3">
      <c r="A7327" s="10" t="str">
        <f>基本属性!$B$11&amp;"|"&amp;基本属性!$C$11</f>
        <v>80|1</v>
      </c>
      <c r="B7327" s="10" t="str">
        <f>参数调整!$J$38</f>
        <v>新增怪物种类3掉落</v>
      </c>
      <c r="C7327" s="8" t="str">
        <f>材料产出!$BX$2</f>
        <v>新增材料9</v>
      </c>
      <c r="D7327" s="224">
        <f>参数调整!$K$38*怪物掉落配置方案!$D4249</f>
        <v>0</v>
      </c>
    </row>
    <row r="7328" spans="1:4" ht="16.5" hidden="1" x14ac:dyDescent="0.3">
      <c r="A7328" s="10" t="str">
        <f>基本属性!$B$12&amp;"|"&amp;基本属性!$C$12</f>
        <v>90|2</v>
      </c>
      <c r="B7328" s="10" t="str">
        <f>参数调整!$J$38</f>
        <v>新增怪物种类3掉落</v>
      </c>
      <c r="C7328" s="8" t="str">
        <f>材料产出!$BX$2</f>
        <v>新增材料9</v>
      </c>
      <c r="D7328" s="224">
        <f>参数调整!$K$38*怪物掉落配置方案!$D4250</f>
        <v>0</v>
      </c>
    </row>
    <row r="7329" spans="1:4" ht="16.5" hidden="1" x14ac:dyDescent="0.3">
      <c r="A7329" s="10" t="str">
        <f>基本属性!$B$13&amp;"|"&amp;基本属性!$C$13</f>
        <v>100|3</v>
      </c>
      <c r="B7329" s="10" t="str">
        <f>参数调整!$J$38</f>
        <v>新增怪物种类3掉落</v>
      </c>
      <c r="C7329" s="8" t="str">
        <f>材料产出!$BX$2</f>
        <v>新增材料9</v>
      </c>
      <c r="D7329" s="224">
        <f>参数调整!$K$38*怪物掉落配置方案!$D4251</f>
        <v>0</v>
      </c>
    </row>
    <row r="7330" spans="1:4" ht="16.5" hidden="1" x14ac:dyDescent="0.3">
      <c r="A7330" s="10" t="str">
        <f>基本属性!$B$14&amp;"|"&amp;基本属性!$C$14</f>
        <v>105|4</v>
      </c>
      <c r="B7330" s="10" t="str">
        <f>参数调整!$J$38</f>
        <v>新增怪物种类3掉落</v>
      </c>
      <c r="C7330" s="8" t="str">
        <f>材料产出!$BX$2</f>
        <v>新增材料9</v>
      </c>
      <c r="D7330" s="224">
        <f>参数调整!$K$38*怪物掉落配置方案!$D4252</f>
        <v>0</v>
      </c>
    </row>
    <row r="7331" spans="1:4" ht="16.5" hidden="1" x14ac:dyDescent="0.3">
      <c r="A7331" s="10" t="str">
        <f>基本属性!$B$15&amp;"|"&amp;基本属性!$C$15</f>
        <v>110|5</v>
      </c>
      <c r="B7331" s="10" t="str">
        <f>参数调整!$J$38</f>
        <v>新增怪物种类3掉落</v>
      </c>
      <c r="C7331" s="8" t="str">
        <f>材料产出!$BX$2</f>
        <v>新增材料9</v>
      </c>
      <c r="D7331" s="224">
        <f>参数调整!$K$38*怪物掉落配置方案!$D4253</f>
        <v>0</v>
      </c>
    </row>
    <row r="7332" spans="1:4" ht="16.5" hidden="1" x14ac:dyDescent="0.3">
      <c r="A7332" s="10" t="str">
        <f>基本属性!$B$16&amp;"|"&amp;基本属性!$C$16</f>
        <v>120|6</v>
      </c>
      <c r="B7332" s="10" t="str">
        <f>参数调整!$J$38</f>
        <v>新增怪物种类3掉落</v>
      </c>
      <c r="C7332" s="8" t="str">
        <f>材料产出!$BX$2</f>
        <v>新增材料9</v>
      </c>
      <c r="D7332" s="224">
        <f>参数调整!$K$38*怪物掉落配置方案!$D4254</f>
        <v>0</v>
      </c>
    </row>
    <row r="7333" spans="1:4" ht="16.5" hidden="1" x14ac:dyDescent="0.3">
      <c r="A7333" s="10" t="str">
        <f>基本属性!$B$17&amp;"|"&amp;基本属性!$C$17</f>
        <v>135|7</v>
      </c>
      <c r="B7333" s="10" t="str">
        <f>参数调整!$J$38</f>
        <v>新增怪物种类3掉落</v>
      </c>
      <c r="C7333" s="8" t="str">
        <f>材料产出!$BX$2</f>
        <v>新增材料9</v>
      </c>
      <c r="D7333" s="224">
        <f>参数调整!$K$38*怪物掉落配置方案!$D4255</f>
        <v>0</v>
      </c>
    </row>
    <row r="7334" spans="1:4" ht="16.5" hidden="1" x14ac:dyDescent="0.3">
      <c r="A7334" s="10" t="str">
        <f>基本属性!$B$18&amp;"|"&amp;基本属性!$C$18</f>
        <v>155|8</v>
      </c>
      <c r="B7334" s="10" t="str">
        <f>参数调整!$J$38</f>
        <v>新增怪物种类3掉落</v>
      </c>
      <c r="C7334" s="8" t="str">
        <f>材料产出!$BX$2</f>
        <v>新增材料9</v>
      </c>
      <c r="D7334" s="224">
        <f>参数调整!$K$38*怪物掉落配置方案!$D4256</f>
        <v>0</v>
      </c>
    </row>
    <row r="7335" spans="1:4" ht="16.5" hidden="1" x14ac:dyDescent="0.3">
      <c r="A7335" s="10" t="str">
        <f>基本属性!$B$19&amp;"|"&amp;基本属性!$C$19</f>
        <v>190|9</v>
      </c>
      <c r="B7335" s="10" t="str">
        <f>参数调整!$J$38</f>
        <v>新增怪物种类3掉落</v>
      </c>
      <c r="C7335" s="8" t="str">
        <f>材料产出!$BX$2</f>
        <v>新增材料9</v>
      </c>
      <c r="D7335" s="224">
        <f>参数调整!$K$38*怪物掉落配置方案!$D4257</f>
        <v>0</v>
      </c>
    </row>
    <row r="7336" spans="1:4" ht="16.5" hidden="1" x14ac:dyDescent="0.3">
      <c r="A7336" s="10" t="str">
        <f>基本属性!$B$20&amp;"|"&amp;基本属性!$C$20</f>
        <v>200|10</v>
      </c>
      <c r="B7336" s="10" t="str">
        <f>参数调整!$J$38</f>
        <v>新增怪物种类3掉落</v>
      </c>
      <c r="C7336" s="8" t="str">
        <f>材料产出!$BX$2</f>
        <v>新增材料9</v>
      </c>
      <c r="D7336" s="224">
        <f>参数调整!$K$38*怪物掉落配置方案!$D4258</f>
        <v>0</v>
      </c>
    </row>
    <row r="7337" spans="1:4" ht="16.5" hidden="1" x14ac:dyDescent="0.3">
      <c r="A7337" s="10" t="str">
        <f>基本属性!$B$21&amp;"|"&amp;基本属性!$C$21</f>
        <v>200|11</v>
      </c>
      <c r="B7337" s="10" t="str">
        <f>参数调整!$J$38</f>
        <v>新增怪物种类3掉落</v>
      </c>
      <c r="C7337" s="8" t="str">
        <f>材料产出!$BX$2</f>
        <v>新增材料9</v>
      </c>
      <c r="D7337" s="224">
        <f>参数调整!$K$38*怪物掉落配置方案!$D4259</f>
        <v>0</v>
      </c>
    </row>
    <row r="7338" spans="1:4" ht="16.5" hidden="1" x14ac:dyDescent="0.3">
      <c r="A7338" s="10" t="str">
        <f>基本属性!$B$22&amp;"|"&amp;基本属性!$C$22</f>
        <v>210|12</v>
      </c>
      <c r="B7338" s="10" t="str">
        <f>参数调整!$J$38</f>
        <v>新增怪物种类3掉落</v>
      </c>
      <c r="C7338" s="8" t="str">
        <f>材料产出!$BX$2</f>
        <v>新增材料9</v>
      </c>
      <c r="D7338" s="224">
        <f>参数调整!$K$38*怪物掉落配置方案!$D4260</f>
        <v>0</v>
      </c>
    </row>
    <row r="7339" spans="1:4" ht="16.5" hidden="1" x14ac:dyDescent="0.3">
      <c r="A7339" s="10" t="str">
        <f>基本属性!$B$23&amp;"|"&amp;基本属性!$C$23</f>
        <v>210|13</v>
      </c>
      <c r="B7339" s="10" t="str">
        <f>参数调整!$J$38</f>
        <v>新增怪物种类3掉落</v>
      </c>
      <c r="C7339" s="8" t="str">
        <f>材料产出!$BX$2</f>
        <v>新增材料9</v>
      </c>
      <c r="D7339" s="224">
        <f>参数调整!$K$38*怪物掉落配置方案!$D4261</f>
        <v>0</v>
      </c>
    </row>
    <row r="7340" spans="1:4" ht="16.5" hidden="1" x14ac:dyDescent="0.3">
      <c r="A7340" s="10" t="str">
        <f>基本属性!$B$24&amp;"|"&amp;基本属性!$C$24</f>
        <v>220|14</v>
      </c>
      <c r="B7340" s="10" t="str">
        <f>参数调整!$J$38</f>
        <v>新增怪物种类3掉落</v>
      </c>
      <c r="C7340" s="8" t="str">
        <f>材料产出!$BX$2</f>
        <v>新增材料9</v>
      </c>
      <c r="D7340" s="224">
        <f>参数调整!$K$38*怪物掉落配置方案!$D4262</f>
        <v>0</v>
      </c>
    </row>
    <row r="7341" spans="1:4" ht="16.5" hidden="1" x14ac:dyDescent="0.3">
      <c r="A7341" s="10" t="str">
        <f>基本属性!$B$25&amp;"|"&amp;基本属性!$C$25</f>
        <v>220|15</v>
      </c>
      <c r="B7341" s="10" t="str">
        <f>参数调整!$J$38</f>
        <v>新增怪物种类3掉落</v>
      </c>
      <c r="C7341" s="8" t="str">
        <f>材料产出!$BX$2</f>
        <v>新增材料9</v>
      </c>
      <c r="D7341" s="224">
        <f>参数调整!$K$38*怪物掉落配置方案!$D4263</f>
        <v>0</v>
      </c>
    </row>
    <row r="7342" spans="1:4" ht="16.5" hidden="1" x14ac:dyDescent="0.3">
      <c r="A7342" s="10" t="str">
        <f>基本属性!$B$26&amp;"|"&amp;基本属性!$C$26</f>
        <v>230|16</v>
      </c>
      <c r="B7342" s="10" t="str">
        <f>参数调整!$J$38</f>
        <v>新增怪物种类3掉落</v>
      </c>
      <c r="C7342" s="8" t="str">
        <f>材料产出!$BX$2</f>
        <v>新增材料9</v>
      </c>
      <c r="D7342" s="224">
        <f>参数调整!$K$38*怪物掉落配置方案!$D4264</f>
        <v>0</v>
      </c>
    </row>
    <row r="7343" spans="1:4" ht="16.5" hidden="1" x14ac:dyDescent="0.3">
      <c r="A7343" s="10" t="str">
        <f>基本属性!$B$27&amp;"|"&amp;基本属性!$C$27</f>
        <v>230|17</v>
      </c>
      <c r="B7343" s="10" t="str">
        <f>参数调整!$J$38</f>
        <v>新增怪物种类3掉落</v>
      </c>
      <c r="C7343" s="8" t="str">
        <f>材料产出!$BX$2</f>
        <v>新增材料9</v>
      </c>
      <c r="D7343" s="224">
        <f>参数调整!$K$38*怪物掉落配置方案!$D4265</f>
        <v>0</v>
      </c>
    </row>
    <row r="7344" spans="1:4" ht="16.5" hidden="1" x14ac:dyDescent="0.3">
      <c r="A7344" s="10" t="str">
        <f>基本属性!$B$28&amp;"|"&amp;基本属性!$C$28</f>
        <v>240|18</v>
      </c>
      <c r="B7344" s="10" t="str">
        <f>参数调整!$J$38</f>
        <v>新增怪物种类3掉落</v>
      </c>
      <c r="C7344" s="8" t="str">
        <f>材料产出!$BX$2</f>
        <v>新增材料9</v>
      </c>
      <c r="D7344" s="224">
        <f>参数调整!$K$38*怪物掉落配置方案!$D4266</f>
        <v>0</v>
      </c>
    </row>
    <row r="7345" spans="1:4" ht="16.5" hidden="1" x14ac:dyDescent="0.3">
      <c r="A7345" s="10" t="str">
        <f>基本属性!$B$29&amp;"|"&amp;基本属性!$C$29</f>
        <v>240|19</v>
      </c>
      <c r="B7345" s="10" t="str">
        <f>参数调整!$J$38</f>
        <v>新增怪物种类3掉落</v>
      </c>
      <c r="C7345" s="8" t="str">
        <f>材料产出!$BX$2</f>
        <v>新增材料9</v>
      </c>
      <c r="D7345" s="224">
        <f>参数调整!$K$38*怪物掉落配置方案!$D4267</f>
        <v>0</v>
      </c>
    </row>
    <row r="7346" spans="1:4" ht="16.5" hidden="1" x14ac:dyDescent="0.3">
      <c r="A7346" s="10" t="str">
        <f>基本属性!$B$30&amp;"|"&amp;基本属性!$C$30</f>
        <v>250|20</v>
      </c>
      <c r="B7346" s="10" t="str">
        <f>参数调整!$J$38</f>
        <v>新增怪物种类3掉落</v>
      </c>
      <c r="C7346" s="8" t="str">
        <f>材料产出!$BX$2</f>
        <v>新增材料9</v>
      </c>
      <c r="D7346" s="224">
        <f>参数调整!$K$38*怪物掉落配置方案!$D4268</f>
        <v>0</v>
      </c>
    </row>
    <row r="7347" spans="1:4" ht="16.5" hidden="1" x14ac:dyDescent="0.3">
      <c r="A7347" s="10" t="str">
        <f>基本属性!$B$4&amp;"|"&amp;基本属性!$C$4</f>
        <v>35|0</v>
      </c>
      <c r="B7347" s="10" t="str">
        <f>参数调整!$J$38</f>
        <v>新增怪物种类3掉落</v>
      </c>
      <c r="C7347" s="8" t="str">
        <f>材料产出!$BV$2</f>
        <v>新增材料8</v>
      </c>
      <c r="D7347" s="224">
        <f>参数调整!$K$38*怪物掉落配置方案!$D4269</f>
        <v>0</v>
      </c>
    </row>
    <row r="7348" spans="1:4" ht="16.5" hidden="1" x14ac:dyDescent="0.3">
      <c r="A7348" s="10" t="str">
        <f>基本属性!$B$5&amp;"|"&amp;基本属性!$C$5</f>
        <v>40|0</v>
      </c>
      <c r="B7348" s="10" t="str">
        <f>参数调整!$J$38</f>
        <v>新增怪物种类3掉落</v>
      </c>
      <c r="C7348" s="8" t="str">
        <f>材料产出!$BV$2</f>
        <v>新增材料8</v>
      </c>
      <c r="D7348" s="224">
        <f>参数调整!$K$38*怪物掉落配置方案!$D4270</f>
        <v>0</v>
      </c>
    </row>
    <row r="7349" spans="1:4" ht="16.5" hidden="1" x14ac:dyDescent="0.3">
      <c r="A7349" s="10" t="str">
        <f>基本属性!$B$6&amp;"|"&amp;基本属性!$C$6</f>
        <v>50|0</v>
      </c>
      <c r="B7349" s="10" t="str">
        <f>参数调整!$J$38</f>
        <v>新增怪物种类3掉落</v>
      </c>
      <c r="C7349" s="8" t="str">
        <f>材料产出!$BV$2</f>
        <v>新增材料8</v>
      </c>
      <c r="D7349" s="224">
        <f>参数调整!$K$38*怪物掉落配置方案!$D4271</f>
        <v>0</v>
      </c>
    </row>
    <row r="7350" spans="1:4" ht="16.5" hidden="1" x14ac:dyDescent="0.3">
      <c r="A7350" s="10" t="str">
        <f>基本属性!$B$7&amp;"|"&amp;基本属性!$C$7</f>
        <v>60|0</v>
      </c>
      <c r="B7350" s="10" t="str">
        <f>参数调整!$J$38</f>
        <v>新增怪物种类3掉落</v>
      </c>
      <c r="C7350" s="8" t="str">
        <f>材料产出!$BV$2</f>
        <v>新增材料8</v>
      </c>
      <c r="D7350" s="224">
        <f>参数调整!$K$38*怪物掉落配置方案!$D4272</f>
        <v>0</v>
      </c>
    </row>
    <row r="7351" spans="1:4" ht="16.5" hidden="1" x14ac:dyDescent="0.3">
      <c r="A7351" s="10" t="str">
        <f>基本属性!$B$8&amp;"|"&amp;基本属性!$C$8</f>
        <v>65|0</v>
      </c>
      <c r="B7351" s="10" t="str">
        <f>参数调整!$J$38</f>
        <v>新增怪物种类3掉落</v>
      </c>
      <c r="C7351" s="8" t="str">
        <f>材料产出!$BV$2</f>
        <v>新增材料8</v>
      </c>
      <c r="D7351" s="224">
        <f>参数调整!$K$38*怪物掉落配置方案!$D4273</f>
        <v>0</v>
      </c>
    </row>
    <row r="7352" spans="1:4" ht="16.5" hidden="1" x14ac:dyDescent="0.3">
      <c r="A7352" s="10" t="str">
        <f>基本属性!$B$9&amp;"|"&amp;基本属性!$C$9</f>
        <v>70|0</v>
      </c>
      <c r="B7352" s="10" t="str">
        <f>参数调整!$J$38</f>
        <v>新增怪物种类3掉落</v>
      </c>
      <c r="C7352" s="8" t="str">
        <f>材料产出!$BV$2</f>
        <v>新增材料8</v>
      </c>
      <c r="D7352" s="224">
        <f>参数调整!$K$38*怪物掉落配置方案!$D4274</f>
        <v>0</v>
      </c>
    </row>
    <row r="7353" spans="1:4" ht="16.5" hidden="1" x14ac:dyDescent="0.3">
      <c r="A7353" s="10" t="str">
        <f>基本属性!$B$10&amp;"|"&amp;基本属性!$C$10</f>
        <v>75|0</v>
      </c>
      <c r="B7353" s="10" t="str">
        <f>参数调整!$J$38</f>
        <v>新增怪物种类3掉落</v>
      </c>
      <c r="C7353" s="8" t="str">
        <f>材料产出!$BV$2</f>
        <v>新增材料8</v>
      </c>
      <c r="D7353" s="224">
        <f>参数调整!$K$38*怪物掉落配置方案!$D4275</f>
        <v>0</v>
      </c>
    </row>
    <row r="7354" spans="1:4" ht="16.5" hidden="1" x14ac:dyDescent="0.3">
      <c r="A7354" s="10" t="str">
        <f>基本属性!$B$11&amp;"|"&amp;基本属性!$C$11</f>
        <v>80|1</v>
      </c>
      <c r="B7354" s="10" t="str">
        <f>参数调整!$J$38</f>
        <v>新增怪物种类3掉落</v>
      </c>
      <c r="C7354" s="8" t="str">
        <f>材料产出!$BV$2</f>
        <v>新增材料8</v>
      </c>
      <c r="D7354" s="224">
        <f>参数调整!$K$38*怪物掉落配置方案!$D4276</f>
        <v>0</v>
      </c>
    </row>
    <row r="7355" spans="1:4" ht="16.5" hidden="1" x14ac:dyDescent="0.3">
      <c r="A7355" s="10" t="str">
        <f>基本属性!$B$12&amp;"|"&amp;基本属性!$C$12</f>
        <v>90|2</v>
      </c>
      <c r="B7355" s="10" t="str">
        <f>参数调整!$J$38</f>
        <v>新增怪物种类3掉落</v>
      </c>
      <c r="C7355" s="8" t="str">
        <f>材料产出!$BV$2</f>
        <v>新增材料8</v>
      </c>
      <c r="D7355" s="224">
        <f>参数调整!$K$38*怪物掉落配置方案!$D4277</f>
        <v>0</v>
      </c>
    </row>
    <row r="7356" spans="1:4" ht="16.5" hidden="1" x14ac:dyDescent="0.3">
      <c r="A7356" s="10" t="str">
        <f>基本属性!$B$13&amp;"|"&amp;基本属性!$C$13</f>
        <v>100|3</v>
      </c>
      <c r="B7356" s="10" t="str">
        <f>参数调整!$J$38</f>
        <v>新增怪物种类3掉落</v>
      </c>
      <c r="C7356" s="8" t="str">
        <f>材料产出!$BV$2</f>
        <v>新增材料8</v>
      </c>
      <c r="D7356" s="224">
        <f>参数调整!$K$38*怪物掉落配置方案!$D4278</f>
        <v>0</v>
      </c>
    </row>
    <row r="7357" spans="1:4" ht="16.5" hidden="1" x14ac:dyDescent="0.3">
      <c r="A7357" s="10" t="str">
        <f>基本属性!$B$14&amp;"|"&amp;基本属性!$C$14</f>
        <v>105|4</v>
      </c>
      <c r="B7357" s="10" t="str">
        <f>参数调整!$J$38</f>
        <v>新增怪物种类3掉落</v>
      </c>
      <c r="C7357" s="8" t="str">
        <f>材料产出!$BV$2</f>
        <v>新增材料8</v>
      </c>
      <c r="D7357" s="224">
        <f>参数调整!$K$38*怪物掉落配置方案!$D4279</f>
        <v>0</v>
      </c>
    </row>
    <row r="7358" spans="1:4" ht="16.5" hidden="1" x14ac:dyDescent="0.3">
      <c r="A7358" s="10" t="str">
        <f>基本属性!$B$15&amp;"|"&amp;基本属性!$C$15</f>
        <v>110|5</v>
      </c>
      <c r="B7358" s="10" t="str">
        <f>参数调整!$J$38</f>
        <v>新增怪物种类3掉落</v>
      </c>
      <c r="C7358" s="8" t="str">
        <f>材料产出!$BV$2</f>
        <v>新增材料8</v>
      </c>
      <c r="D7358" s="224">
        <f>参数调整!$K$38*怪物掉落配置方案!$D4280</f>
        <v>0</v>
      </c>
    </row>
    <row r="7359" spans="1:4" ht="16.5" hidden="1" x14ac:dyDescent="0.3">
      <c r="A7359" s="10" t="str">
        <f>基本属性!$B$16&amp;"|"&amp;基本属性!$C$16</f>
        <v>120|6</v>
      </c>
      <c r="B7359" s="10" t="str">
        <f>参数调整!$J$38</f>
        <v>新增怪物种类3掉落</v>
      </c>
      <c r="C7359" s="8" t="str">
        <f>材料产出!$BV$2</f>
        <v>新增材料8</v>
      </c>
      <c r="D7359" s="224">
        <f>参数调整!$K$38*怪物掉落配置方案!$D4281</f>
        <v>0</v>
      </c>
    </row>
    <row r="7360" spans="1:4" ht="16.5" hidden="1" x14ac:dyDescent="0.3">
      <c r="A7360" s="10" t="str">
        <f>基本属性!$B$17&amp;"|"&amp;基本属性!$C$17</f>
        <v>135|7</v>
      </c>
      <c r="B7360" s="10" t="str">
        <f>参数调整!$J$38</f>
        <v>新增怪物种类3掉落</v>
      </c>
      <c r="C7360" s="8" t="str">
        <f>材料产出!$BV$2</f>
        <v>新增材料8</v>
      </c>
      <c r="D7360" s="224">
        <f>参数调整!$K$38*怪物掉落配置方案!$D4282</f>
        <v>0</v>
      </c>
    </row>
    <row r="7361" spans="1:4" ht="16.5" hidden="1" x14ac:dyDescent="0.3">
      <c r="A7361" s="10" t="str">
        <f>基本属性!$B$18&amp;"|"&amp;基本属性!$C$18</f>
        <v>155|8</v>
      </c>
      <c r="B7361" s="10" t="str">
        <f>参数调整!$J$38</f>
        <v>新增怪物种类3掉落</v>
      </c>
      <c r="C7361" s="8" t="str">
        <f>材料产出!$BV$2</f>
        <v>新增材料8</v>
      </c>
      <c r="D7361" s="224">
        <f>参数调整!$K$38*怪物掉落配置方案!$D4283</f>
        <v>0</v>
      </c>
    </row>
    <row r="7362" spans="1:4" ht="16.5" hidden="1" x14ac:dyDescent="0.3">
      <c r="A7362" s="10" t="str">
        <f>基本属性!$B$19&amp;"|"&amp;基本属性!$C$19</f>
        <v>190|9</v>
      </c>
      <c r="B7362" s="10" t="str">
        <f>参数调整!$J$38</f>
        <v>新增怪物种类3掉落</v>
      </c>
      <c r="C7362" s="8" t="str">
        <f>材料产出!$BV$2</f>
        <v>新增材料8</v>
      </c>
      <c r="D7362" s="224">
        <f>参数调整!$K$38*怪物掉落配置方案!$D4284</f>
        <v>0</v>
      </c>
    </row>
    <row r="7363" spans="1:4" ht="16.5" hidden="1" x14ac:dyDescent="0.3">
      <c r="A7363" s="10" t="str">
        <f>基本属性!$B$20&amp;"|"&amp;基本属性!$C$20</f>
        <v>200|10</v>
      </c>
      <c r="B7363" s="10" t="str">
        <f>参数调整!$J$38</f>
        <v>新增怪物种类3掉落</v>
      </c>
      <c r="C7363" s="8" t="str">
        <f>材料产出!$BV$2</f>
        <v>新增材料8</v>
      </c>
      <c r="D7363" s="224">
        <f>参数调整!$K$38*怪物掉落配置方案!$D4285</f>
        <v>0</v>
      </c>
    </row>
    <row r="7364" spans="1:4" ht="16.5" hidden="1" x14ac:dyDescent="0.3">
      <c r="A7364" s="10" t="str">
        <f>基本属性!$B$21&amp;"|"&amp;基本属性!$C$21</f>
        <v>200|11</v>
      </c>
      <c r="B7364" s="10" t="str">
        <f>参数调整!$J$38</f>
        <v>新增怪物种类3掉落</v>
      </c>
      <c r="C7364" s="8" t="str">
        <f>材料产出!$BV$2</f>
        <v>新增材料8</v>
      </c>
      <c r="D7364" s="224">
        <f>参数调整!$K$38*怪物掉落配置方案!$D4286</f>
        <v>0</v>
      </c>
    </row>
    <row r="7365" spans="1:4" ht="16.5" hidden="1" x14ac:dyDescent="0.3">
      <c r="A7365" s="10" t="str">
        <f>基本属性!$B$22&amp;"|"&amp;基本属性!$C$22</f>
        <v>210|12</v>
      </c>
      <c r="B7365" s="10" t="str">
        <f>参数调整!$J$38</f>
        <v>新增怪物种类3掉落</v>
      </c>
      <c r="C7365" s="8" t="str">
        <f>材料产出!$BV$2</f>
        <v>新增材料8</v>
      </c>
      <c r="D7365" s="224">
        <f>参数调整!$K$38*怪物掉落配置方案!$D4287</f>
        <v>0</v>
      </c>
    </row>
    <row r="7366" spans="1:4" ht="16.5" hidden="1" x14ac:dyDescent="0.3">
      <c r="A7366" s="10" t="str">
        <f>基本属性!$B$23&amp;"|"&amp;基本属性!$C$23</f>
        <v>210|13</v>
      </c>
      <c r="B7366" s="10" t="str">
        <f>参数调整!$J$38</f>
        <v>新增怪物种类3掉落</v>
      </c>
      <c r="C7366" s="8" t="str">
        <f>材料产出!$BV$2</f>
        <v>新增材料8</v>
      </c>
      <c r="D7366" s="224">
        <f>参数调整!$K$38*怪物掉落配置方案!$D4288</f>
        <v>0</v>
      </c>
    </row>
    <row r="7367" spans="1:4" ht="16.5" hidden="1" x14ac:dyDescent="0.3">
      <c r="A7367" s="10" t="str">
        <f>基本属性!$B$24&amp;"|"&amp;基本属性!$C$24</f>
        <v>220|14</v>
      </c>
      <c r="B7367" s="10" t="str">
        <f>参数调整!$J$38</f>
        <v>新增怪物种类3掉落</v>
      </c>
      <c r="C7367" s="8" t="str">
        <f>材料产出!$BV$2</f>
        <v>新增材料8</v>
      </c>
      <c r="D7367" s="224">
        <f>参数调整!$K$38*怪物掉落配置方案!$D4289</f>
        <v>0</v>
      </c>
    </row>
    <row r="7368" spans="1:4" ht="16.5" hidden="1" x14ac:dyDescent="0.3">
      <c r="A7368" s="10" t="str">
        <f>基本属性!$B$25&amp;"|"&amp;基本属性!$C$25</f>
        <v>220|15</v>
      </c>
      <c r="B7368" s="10" t="str">
        <f>参数调整!$J$38</f>
        <v>新增怪物种类3掉落</v>
      </c>
      <c r="C7368" s="8" t="str">
        <f>材料产出!$BV$2</f>
        <v>新增材料8</v>
      </c>
      <c r="D7368" s="224">
        <f>参数调整!$K$38*怪物掉落配置方案!$D4290</f>
        <v>0</v>
      </c>
    </row>
    <row r="7369" spans="1:4" ht="16.5" hidden="1" x14ac:dyDescent="0.3">
      <c r="A7369" s="10" t="str">
        <f>基本属性!$B$26&amp;"|"&amp;基本属性!$C$26</f>
        <v>230|16</v>
      </c>
      <c r="B7369" s="10" t="str">
        <f>参数调整!$J$38</f>
        <v>新增怪物种类3掉落</v>
      </c>
      <c r="C7369" s="8" t="str">
        <f>材料产出!$BV$2</f>
        <v>新增材料8</v>
      </c>
      <c r="D7369" s="224">
        <f>参数调整!$K$38*怪物掉落配置方案!$D4291</f>
        <v>0</v>
      </c>
    </row>
    <row r="7370" spans="1:4" ht="16.5" hidden="1" x14ac:dyDescent="0.3">
      <c r="A7370" s="10" t="str">
        <f>基本属性!$B$27&amp;"|"&amp;基本属性!$C$27</f>
        <v>230|17</v>
      </c>
      <c r="B7370" s="10" t="str">
        <f>参数调整!$J$38</f>
        <v>新增怪物种类3掉落</v>
      </c>
      <c r="C7370" s="8" t="str">
        <f>材料产出!$BV$2</f>
        <v>新增材料8</v>
      </c>
      <c r="D7370" s="224">
        <f>参数调整!$K$38*怪物掉落配置方案!$D4292</f>
        <v>0</v>
      </c>
    </row>
    <row r="7371" spans="1:4" ht="16.5" hidden="1" x14ac:dyDescent="0.3">
      <c r="A7371" s="10" t="str">
        <f>基本属性!$B$28&amp;"|"&amp;基本属性!$C$28</f>
        <v>240|18</v>
      </c>
      <c r="B7371" s="10" t="str">
        <f>参数调整!$J$38</f>
        <v>新增怪物种类3掉落</v>
      </c>
      <c r="C7371" s="8" t="str">
        <f>材料产出!$BV$2</f>
        <v>新增材料8</v>
      </c>
      <c r="D7371" s="224">
        <f>参数调整!$K$38*怪物掉落配置方案!$D4293</f>
        <v>0</v>
      </c>
    </row>
    <row r="7372" spans="1:4" ht="16.5" hidden="1" x14ac:dyDescent="0.3">
      <c r="A7372" s="10" t="str">
        <f>基本属性!$B$29&amp;"|"&amp;基本属性!$C$29</f>
        <v>240|19</v>
      </c>
      <c r="B7372" s="10" t="str">
        <f>参数调整!$J$38</f>
        <v>新增怪物种类3掉落</v>
      </c>
      <c r="C7372" s="8" t="str">
        <f>材料产出!$BV$2</f>
        <v>新增材料8</v>
      </c>
      <c r="D7372" s="224">
        <f>参数调整!$K$38*怪物掉落配置方案!$D4294</f>
        <v>0</v>
      </c>
    </row>
    <row r="7373" spans="1:4" ht="16.5" hidden="1" x14ac:dyDescent="0.3">
      <c r="A7373" s="10" t="str">
        <f>基本属性!$B$30&amp;"|"&amp;基本属性!$C$30</f>
        <v>250|20</v>
      </c>
      <c r="B7373" s="10" t="str">
        <f>参数调整!$J$38</f>
        <v>新增怪物种类3掉落</v>
      </c>
      <c r="C7373" s="8" t="str">
        <f>材料产出!$BV$2</f>
        <v>新增材料8</v>
      </c>
      <c r="D7373" s="224">
        <f>参数调整!$K$38*怪物掉落配置方案!$D4295</f>
        <v>0</v>
      </c>
    </row>
    <row r="7374" spans="1:4" ht="16.5" hidden="1" x14ac:dyDescent="0.3">
      <c r="A7374" s="10" t="str">
        <f>基本属性!$B$4&amp;"|"&amp;基本属性!$C$4</f>
        <v>35|0</v>
      </c>
      <c r="B7374" s="10" t="str">
        <f>参数调整!$J$38</f>
        <v>新增怪物种类3掉落</v>
      </c>
      <c r="C7374" s="8" t="str">
        <f>材料产出!$BT$2</f>
        <v>新增材料7</v>
      </c>
      <c r="D7374" s="224">
        <f>参数调整!$K$38*怪物掉落配置方案!$D4296</f>
        <v>0</v>
      </c>
    </row>
    <row r="7375" spans="1:4" ht="16.5" hidden="1" x14ac:dyDescent="0.3">
      <c r="A7375" s="10" t="str">
        <f>基本属性!$B$5&amp;"|"&amp;基本属性!$C$5</f>
        <v>40|0</v>
      </c>
      <c r="B7375" s="10" t="str">
        <f>参数调整!$J$38</f>
        <v>新增怪物种类3掉落</v>
      </c>
      <c r="C7375" s="8" t="str">
        <f>材料产出!$BT$2</f>
        <v>新增材料7</v>
      </c>
      <c r="D7375" s="224">
        <f>参数调整!$K$38*怪物掉落配置方案!$D4297</f>
        <v>0</v>
      </c>
    </row>
    <row r="7376" spans="1:4" ht="16.5" hidden="1" x14ac:dyDescent="0.3">
      <c r="A7376" s="10" t="str">
        <f>基本属性!$B$6&amp;"|"&amp;基本属性!$C$6</f>
        <v>50|0</v>
      </c>
      <c r="B7376" s="10" t="str">
        <f>参数调整!$J$38</f>
        <v>新增怪物种类3掉落</v>
      </c>
      <c r="C7376" s="8" t="str">
        <f>材料产出!$BT$2</f>
        <v>新增材料7</v>
      </c>
      <c r="D7376" s="224">
        <f>参数调整!$K$38*怪物掉落配置方案!$D4298</f>
        <v>0</v>
      </c>
    </row>
    <row r="7377" spans="1:4" ht="16.5" hidden="1" x14ac:dyDescent="0.3">
      <c r="A7377" s="10" t="str">
        <f>基本属性!$B$7&amp;"|"&amp;基本属性!$C$7</f>
        <v>60|0</v>
      </c>
      <c r="B7377" s="10" t="str">
        <f>参数调整!$J$38</f>
        <v>新增怪物种类3掉落</v>
      </c>
      <c r="C7377" s="8" t="str">
        <f>材料产出!$BT$2</f>
        <v>新增材料7</v>
      </c>
      <c r="D7377" s="224">
        <f>参数调整!$K$38*怪物掉落配置方案!$D4299</f>
        <v>0</v>
      </c>
    </row>
    <row r="7378" spans="1:4" ht="16.5" hidden="1" x14ac:dyDescent="0.3">
      <c r="A7378" s="10" t="str">
        <f>基本属性!$B$8&amp;"|"&amp;基本属性!$C$8</f>
        <v>65|0</v>
      </c>
      <c r="B7378" s="10" t="str">
        <f>参数调整!$J$38</f>
        <v>新增怪物种类3掉落</v>
      </c>
      <c r="C7378" s="8" t="str">
        <f>材料产出!$BT$2</f>
        <v>新增材料7</v>
      </c>
      <c r="D7378" s="224">
        <f>参数调整!$K$38*怪物掉落配置方案!$D4300</f>
        <v>0</v>
      </c>
    </row>
    <row r="7379" spans="1:4" ht="16.5" hidden="1" x14ac:dyDescent="0.3">
      <c r="A7379" s="10" t="str">
        <f>基本属性!$B$9&amp;"|"&amp;基本属性!$C$9</f>
        <v>70|0</v>
      </c>
      <c r="B7379" s="10" t="str">
        <f>参数调整!$J$38</f>
        <v>新增怪物种类3掉落</v>
      </c>
      <c r="C7379" s="8" t="str">
        <f>材料产出!$BT$2</f>
        <v>新增材料7</v>
      </c>
      <c r="D7379" s="224">
        <f>参数调整!$K$38*怪物掉落配置方案!$D4301</f>
        <v>0</v>
      </c>
    </row>
    <row r="7380" spans="1:4" ht="16.5" hidden="1" x14ac:dyDescent="0.3">
      <c r="A7380" s="10" t="str">
        <f>基本属性!$B$10&amp;"|"&amp;基本属性!$C$10</f>
        <v>75|0</v>
      </c>
      <c r="B7380" s="10" t="str">
        <f>参数调整!$J$38</f>
        <v>新增怪物种类3掉落</v>
      </c>
      <c r="C7380" s="8" t="str">
        <f>材料产出!$BT$2</f>
        <v>新增材料7</v>
      </c>
      <c r="D7380" s="224">
        <f>参数调整!$K$38*怪物掉落配置方案!$D4302</f>
        <v>0</v>
      </c>
    </row>
    <row r="7381" spans="1:4" ht="16.5" hidden="1" x14ac:dyDescent="0.3">
      <c r="A7381" s="10" t="str">
        <f>基本属性!$B$11&amp;"|"&amp;基本属性!$C$11</f>
        <v>80|1</v>
      </c>
      <c r="B7381" s="10" t="str">
        <f>参数调整!$J$38</f>
        <v>新增怪物种类3掉落</v>
      </c>
      <c r="C7381" s="8" t="str">
        <f>材料产出!$BT$2</f>
        <v>新增材料7</v>
      </c>
      <c r="D7381" s="224">
        <f>参数调整!$K$38*怪物掉落配置方案!$D4303</f>
        <v>0</v>
      </c>
    </row>
    <row r="7382" spans="1:4" ht="16.5" hidden="1" x14ac:dyDescent="0.3">
      <c r="A7382" s="10" t="str">
        <f>基本属性!$B$12&amp;"|"&amp;基本属性!$C$12</f>
        <v>90|2</v>
      </c>
      <c r="B7382" s="10" t="str">
        <f>参数调整!$J$38</f>
        <v>新增怪物种类3掉落</v>
      </c>
      <c r="C7382" s="8" t="str">
        <f>材料产出!$BT$2</f>
        <v>新增材料7</v>
      </c>
      <c r="D7382" s="224">
        <f>参数调整!$K$38*怪物掉落配置方案!$D4304</f>
        <v>0</v>
      </c>
    </row>
    <row r="7383" spans="1:4" ht="16.5" hidden="1" x14ac:dyDescent="0.3">
      <c r="A7383" s="10" t="str">
        <f>基本属性!$B$13&amp;"|"&amp;基本属性!$C$13</f>
        <v>100|3</v>
      </c>
      <c r="B7383" s="10" t="str">
        <f>参数调整!$J$38</f>
        <v>新增怪物种类3掉落</v>
      </c>
      <c r="C7383" s="8" t="str">
        <f>材料产出!$BT$2</f>
        <v>新增材料7</v>
      </c>
      <c r="D7383" s="224">
        <f>参数调整!$K$38*怪物掉落配置方案!$D4305</f>
        <v>0</v>
      </c>
    </row>
    <row r="7384" spans="1:4" ht="16.5" hidden="1" x14ac:dyDescent="0.3">
      <c r="A7384" s="10" t="str">
        <f>基本属性!$B$14&amp;"|"&amp;基本属性!$C$14</f>
        <v>105|4</v>
      </c>
      <c r="B7384" s="10" t="str">
        <f>参数调整!$J$38</f>
        <v>新增怪物种类3掉落</v>
      </c>
      <c r="C7384" s="8" t="str">
        <f>材料产出!$BT$2</f>
        <v>新增材料7</v>
      </c>
      <c r="D7384" s="224">
        <f>参数调整!$K$38*怪物掉落配置方案!$D4306</f>
        <v>0</v>
      </c>
    </row>
    <row r="7385" spans="1:4" ht="16.5" hidden="1" x14ac:dyDescent="0.3">
      <c r="A7385" s="10" t="str">
        <f>基本属性!$B$15&amp;"|"&amp;基本属性!$C$15</f>
        <v>110|5</v>
      </c>
      <c r="B7385" s="10" t="str">
        <f>参数调整!$J$38</f>
        <v>新增怪物种类3掉落</v>
      </c>
      <c r="C7385" s="8" t="str">
        <f>材料产出!$BT$2</f>
        <v>新增材料7</v>
      </c>
      <c r="D7385" s="224">
        <f>参数调整!$K$38*怪物掉落配置方案!$D4307</f>
        <v>0</v>
      </c>
    </row>
    <row r="7386" spans="1:4" ht="16.5" hidden="1" x14ac:dyDescent="0.3">
      <c r="A7386" s="10" t="str">
        <f>基本属性!$B$16&amp;"|"&amp;基本属性!$C$16</f>
        <v>120|6</v>
      </c>
      <c r="B7386" s="10" t="str">
        <f>参数调整!$J$38</f>
        <v>新增怪物种类3掉落</v>
      </c>
      <c r="C7386" s="8" t="str">
        <f>材料产出!$BT$2</f>
        <v>新增材料7</v>
      </c>
      <c r="D7386" s="224">
        <f>参数调整!$K$38*怪物掉落配置方案!$D4308</f>
        <v>0</v>
      </c>
    </row>
    <row r="7387" spans="1:4" ht="16.5" hidden="1" x14ac:dyDescent="0.3">
      <c r="A7387" s="10" t="str">
        <f>基本属性!$B$17&amp;"|"&amp;基本属性!$C$17</f>
        <v>135|7</v>
      </c>
      <c r="B7387" s="10" t="str">
        <f>参数调整!$J$38</f>
        <v>新增怪物种类3掉落</v>
      </c>
      <c r="C7387" s="8" t="str">
        <f>材料产出!$BT$2</f>
        <v>新增材料7</v>
      </c>
      <c r="D7387" s="224">
        <f>参数调整!$K$38*怪物掉落配置方案!$D4309</f>
        <v>0</v>
      </c>
    </row>
    <row r="7388" spans="1:4" ht="16.5" hidden="1" x14ac:dyDescent="0.3">
      <c r="A7388" s="10" t="str">
        <f>基本属性!$B$18&amp;"|"&amp;基本属性!$C$18</f>
        <v>155|8</v>
      </c>
      <c r="B7388" s="10" t="str">
        <f>参数调整!$J$38</f>
        <v>新增怪物种类3掉落</v>
      </c>
      <c r="C7388" s="8" t="str">
        <f>材料产出!$BT$2</f>
        <v>新增材料7</v>
      </c>
      <c r="D7388" s="224">
        <f>参数调整!$K$38*怪物掉落配置方案!$D4310</f>
        <v>0</v>
      </c>
    </row>
    <row r="7389" spans="1:4" ht="16.5" hidden="1" x14ac:dyDescent="0.3">
      <c r="A7389" s="10" t="str">
        <f>基本属性!$B$19&amp;"|"&amp;基本属性!$C$19</f>
        <v>190|9</v>
      </c>
      <c r="B7389" s="10" t="str">
        <f>参数调整!$J$38</f>
        <v>新增怪物种类3掉落</v>
      </c>
      <c r="C7389" s="8" t="str">
        <f>材料产出!$BT$2</f>
        <v>新增材料7</v>
      </c>
      <c r="D7389" s="224">
        <f>参数调整!$K$38*怪物掉落配置方案!$D4311</f>
        <v>0</v>
      </c>
    </row>
    <row r="7390" spans="1:4" ht="16.5" hidden="1" x14ac:dyDescent="0.3">
      <c r="A7390" s="10" t="str">
        <f>基本属性!$B$20&amp;"|"&amp;基本属性!$C$20</f>
        <v>200|10</v>
      </c>
      <c r="B7390" s="10" t="str">
        <f>参数调整!$J$38</f>
        <v>新增怪物种类3掉落</v>
      </c>
      <c r="C7390" s="8" t="str">
        <f>材料产出!$BT$2</f>
        <v>新增材料7</v>
      </c>
      <c r="D7390" s="224">
        <f>参数调整!$K$38*怪物掉落配置方案!$D4312</f>
        <v>0</v>
      </c>
    </row>
    <row r="7391" spans="1:4" ht="16.5" hidden="1" x14ac:dyDescent="0.3">
      <c r="A7391" s="10" t="str">
        <f>基本属性!$B$21&amp;"|"&amp;基本属性!$C$21</f>
        <v>200|11</v>
      </c>
      <c r="B7391" s="10" t="str">
        <f>参数调整!$J$38</f>
        <v>新增怪物种类3掉落</v>
      </c>
      <c r="C7391" s="8" t="str">
        <f>材料产出!$BT$2</f>
        <v>新增材料7</v>
      </c>
      <c r="D7391" s="224">
        <f>参数调整!$K$38*怪物掉落配置方案!$D4313</f>
        <v>0</v>
      </c>
    </row>
    <row r="7392" spans="1:4" ht="16.5" hidden="1" x14ac:dyDescent="0.3">
      <c r="A7392" s="10" t="str">
        <f>基本属性!$B$22&amp;"|"&amp;基本属性!$C$22</f>
        <v>210|12</v>
      </c>
      <c r="B7392" s="10" t="str">
        <f>参数调整!$J$38</f>
        <v>新增怪物种类3掉落</v>
      </c>
      <c r="C7392" s="8" t="str">
        <f>材料产出!$BT$2</f>
        <v>新增材料7</v>
      </c>
      <c r="D7392" s="224">
        <f>参数调整!$K$38*怪物掉落配置方案!$D4314</f>
        <v>0</v>
      </c>
    </row>
    <row r="7393" spans="1:4" ht="16.5" hidden="1" x14ac:dyDescent="0.3">
      <c r="A7393" s="10" t="str">
        <f>基本属性!$B$23&amp;"|"&amp;基本属性!$C$23</f>
        <v>210|13</v>
      </c>
      <c r="B7393" s="10" t="str">
        <f>参数调整!$J$38</f>
        <v>新增怪物种类3掉落</v>
      </c>
      <c r="C7393" s="8" t="str">
        <f>材料产出!$BT$2</f>
        <v>新增材料7</v>
      </c>
      <c r="D7393" s="224">
        <f>参数调整!$K$38*怪物掉落配置方案!$D4315</f>
        <v>0</v>
      </c>
    </row>
    <row r="7394" spans="1:4" ht="16.5" hidden="1" x14ac:dyDescent="0.3">
      <c r="A7394" s="10" t="str">
        <f>基本属性!$B$24&amp;"|"&amp;基本属性!$C$24</f>
        <v>220|14</v>
      </c>
      <c r="B7394" s="10" t="str">
        <f>参数调整!$J$38</f>
        <v>新增怪物种类3掉落</v>
      </c>
      <c r="C7394" s="8" t="str">
        <f>材料产出!$BT$2</f>
        <v>新增材料7</v>
      </c>
      <c r="D7394" s="224">
        <f>参数调整!$K$38*怪物掉落配置方案!$D4316</f>
        <v>0</v>
      </c>
    </row>
    <row r="7395" spans="1:4" ht="16.5" hidden="1" x14ac:dyDescent="0.3">
      <c r="A7395" s="10" t="str">
        <f>基本属性!$B$25&amp;"|"&amp;基本属性!$C$25</f>
        <v>220|15</v>
      </c>
      <c r="B7395" s="10" t="str">
        <f>参数调整!$J$38</f>
        <v>新增怪物种类3掉落</v>
      </c>
      <c r="C7395" s="8" t="str">
        <f>材料产出!$BT$2</f>
        <v>新增材料7</v>
      </c>
      <c r="D7395" s="224">
        <f>参数调整!$K$38*怪物掉落配置方案!$D4317</f>
        <v>0</v>
      </c>
    </row>
    <row r="7396" spans="1:4" ht="16.5" hidden="1" x14ac:dyDescent="0.3">
      <c r="A7396" s="10" t="str">
        <f>基本属性!$B$26&amp;"|"&amp;基本属性!$C$26</f>
        <v>230|16</v>
      </c>
      <c r="B7396" s="10" t="str">
        <f>参数调整!$J$38</f>
        <v>新增怪物种类3掉落</v>
      </c>
      <c r="C7396" s="8" t="str">
        <f>材料产出!$BT$2</f>
        <v>新增材料7</v>
      </c>
      <c r="D7396" s="224">
        <f>参数调整!$K$38*怪物掉落配置方案!$D4318</f>
        <v>0</v>
      </c>
    </row>
    <row r="7397" spans="1:4" ht="16.5" hidden="1" x14ac:dyDescent="0.3">
      <c r="A7397" s="10" t="str">
        <f>基本属性!$B$27&amp;"|"&amp;基本属性!$C$27</f>
        <v>230|17</v>
      </c>
      <c r="B7397" s="10" t="str">
        <f>参数调整!$J$38</f>
        <v>新增怪物种类3掉落</v>
      </c>
      <c r="C7397" s="8" t="str">
        <f>材料产出!$BT$2</f>
        <v>新增材料7</v>
      </c>
      <c r="D7397" s="224">
        <f>参数调整!$K$38*怪物掉落配置方案!$D4319</f>
        <v>0</v>
      </c>
    </row>
    <row r="7398" spans="1:4" ht="16.5" hidden="1" x14ac:dyDescent="0.3">
      <c r="A7398" s="10" t="str">
        <f>基本属性!$B$28&amp;"|"&amp;基本属性!$C$28</f>
        <v>240|18</v>
      </c>
      <c r="B7398" s="10" t="str">
        <f>参数调整!$J$38</f>
        <v>新增怪物种类3掉落</v>
      </c>
      <c r="C7398" s="8" t="str">
        <f>材料产出!$BT$2</f>
        <v>新增材料7</v>
      </c>
      <c r="D7398" s="224">
        <f>参数调整!$K$38*怪物掉落配置方案!$D4320</f>
        <v>0</v>
      </c>
    </row>
    <row r="7399" spans="1:4" ht="16.5" hidden="1" x14ac:dyDescent="0.3">
      <c r="A7399" s="10" t="str">
        <f>基本属性!$B$29&amp;"|"&amp;基本属性!$C$29</f>
        <v>240|19</v>
      </c>
      <c r="B7399" s="10" t="str">
        <f>参数调整!$J$38</f>
        <v>新增怪物种类3掉落</v>
      </c>
      <c r="C7399" s="8" t="str">
        <f>材料产出!$BT$2</f>
        <v>新增材料7</v>
      </c>
      <c r="D7399" s="224">
        <f>参数调整!$K$38*怪物掉落配置方案!$D4321</f>
        <v>0</v>
      </c>
    </row>
    <row r="7400" spans="1:4" ht="16.5" hidden="1" x14ac:dyDescent="0.3">
      <c r="A7400" s="10" t="str">
        <f>基本属性!$B$30&amp;"|"&amp;基本属性!$C$30</f>
        <v>250|20</v>
      </c>
      <c r="B7400" s="10" t="str">
        <f>参数调整!$J$38</f>
        <v>新增怪物种类3掉落</v>
      </c>
      <c r="C7400" s="8" t="str">
        <f>材料产出!$BT$2</f>
        <v>新增材料7</v>
      </c>
      <c r="D7400" s="224">
        <f>参数调整!$K$38*怪物掉落配置方案!$D4322</f>
        <v>0</v>
      </c>
    </row>
    <row r="7401" spans="1:4" ht="16.5" hidden="1" x14ac:dyDescent="0.3">
      <c r="A7401" s="10" t="str">
        <f>基本属性!$B$4&amp;"|"&amp;基本属性!$C$4</f>
        <v>35|0</v>
      </c>
      <c r="B7401" s="10" t="str">
        <f>参数调整!$J$38</f>
        <v>新增怪物种类3掉落</v>
      </c>
      <c r="C7401" s="8" t="str">
        <f>材料产出!$BR$2</f>
        <v>新增材料6</v>
      </c>
      <c r="D7401" s="224">
        <f>参数调整!$K$38*怪物掉落配置方案!$D4323</f>
        <v>0</v>
      </c>
    </row>
    <row r="7402" spans="1:4" ht="16.5" hidden="1" x14ac:dyDescent="0.3">
      <c r="A7402" s="10" t="str">
        <f>基本属性!$B$5&amp;"|"&amp;基本属性!$C$5</f>
        <v>40|0</v>
      </c>
      <c r="B7402" s="10" t="str">
        <f>参数调整!$J$38</f>
        <v>新增怪物种类3掉落</v>
      </c>
      <c r="C7402" s="8" t="str">
        <f>材料产出!$BR$2</f>
        <v>新增材料6</v>
      </c>
      <c r="D7402" s="224">
        <f>参数调整!$K$38*怪物掉落配置方案!$D4324</f>
        <v>0</v>
      </c>
    </row>
    <row r="7403" spans="1:4" ht="16.5" hidden="1" x14ac:dyDescent="0.3">
      <c r="A7403" s="10" t="str">
        <f>基本属性!$B$6&amp;"|"&amp;基本属性!$C$6</f>
        <v>50|0</v>
      </c>
      <c r="B7403" s="10" t="str">
        <f>参数调整!$J$38</f>
        <v>新增怪物种类3掉落</v>
      </c>
      <c r="C7403" s="8" t="str">
        <f>材料产出!$BR$2</f>
        <v>新增材料6</v>
      </c>
      <c r="D7403" s="224">
        <f>参数调整!$K$38*怪物掉落配置方案!$D4325</f>
        <v>0</v>
      </c>
    </row>
    <row r="7404" spans="1:4" ht="16.5" hidden="1" x14ac:dyDescent="0.3">
      <c r="A7404" s="10" t="str">
        <f>基本属性!$B$7&amp;"|"&amp;基本属性!$C$7</f>
        <v>60|0</v>
      </c>
      <c r="B7404" s="10" t="str">
        <f>参数调整!$J$38</f>
        <v>新增怪物种类3掉落</v>
      </c>
      <c r="C7404" s="8" t="str">
        <f>材料产出!$BR$2</f>
        <v>新增材料6</v>
      </c>
      <c r="D7404" s="224">
        <f>参数调整!$K$38*怪物掉落配置方案!$D4326</f>
        <v>0</v>
      </c>
    </row>
    <row r="7405" spans="1:4" ht="16.5" hidden="1" x14ac:dyDescent="0.3">
      <c r="A7405" s="10" t="str">
        <f>基本属性!$B$8&amp;"|"&amp;基本属性!$C$8</f>
        <v>65|0</v>
      </c>
      <c r="B7405" s="10" t="str">
        <f>参数调整!$J$38</f>
        <v>新增怪物种类3掉落</v>
      </c>
      <c r="C7405" s="8" t="str">
        <f>材料产出!$BR$2</f>
        <v>新增材料6</v>
      </c>
      <c r="D7405" s="224">
        <f>参数调整!$K$38*怪物掉落配置方案!$D4327</f>
        <v>0</v>
      </c>
    </row>
    <row r="7406" spans="1:4" ht="16.5" hidden="1" x14ac:dyDescent="0.3">
      <c r="A7406" s="10" t="str">
        <f>基本属性!$B$9&amp;"|"&amp;基本属性!$C$9</f>
        <v>70|0</v>
      </c>
      <c r="B7406" s="10" t="str">
        <f>参数调整!$J$38</f>
        <v>新增怪物种类3掉落</v>
      </c>
      <c r="C7406" s="8" t="str">
        <f>材料产出!$BR$2</f>
        <v>新增材料6</v>
      </c>
      <c r="D7406" s="224">
        <f>参数调整!$K$38*怪物掉落配置方案!$D4328</f>
        <v>0</v>
      </c>
    </row>
    <row r="7407" spans="1:4" ht="16.5" hidden="1" x14ac:dyDescent="0.3">
      <c r="A7407" s="10" t="str">
        <f>基本属性!$B$10&amp;"|"&amp;基本属性!$C$10</f>
        <v>75|0</v>
      </c>
      <c r="B7407" s="10" t="str">
        <f>参数调整!$J$38</f>
        <v>新增怪物种类3掉落</v>
      </c>
      <c r="C7407" s="8" t="str">
        <f>材料产出!$BR$2</f>
        <v>新增材料6</v>
      </c>
      <c r="D7407" s="224">
        <f>参数调整!$K$38*怪物掉落配置方案!$D4329</f>
        <v>0</v>
      </c>
    </row>
    <row r="7408" spans="1:4" ht="16.5" hidden="1" x14ac:dyDescent="0.3">
      <c r="A7408" s="10" t="str">
        <f>基本属性!$B$11&amp;"|"&amp;基本属性!$C$11</f>
        <v>80|1</v>
      </c>
      <c r="B7408" s="10" t="str">
        <f>参数调整!$J$38</f>
        <v>新增怪物种类3掉落</v>
      </c>
      <c r="C7408" s="8" t="str">
        <f>材料产出!$BR$2</f>
        <v>新增材料6</v>
      </c>
      <c r="D7408" s="224">
        <f>参数调整!$K$38*怪物掉落配置方案!$D4330</f>
        <v>0</v>
      </c>
    </row>
    <row r="7409" spans="1:4" ht="16.5" hidden="1" x14ac:dyDescent="0.3">
      <c r="A7409" s="10" t="str">
        <f>基本属性!$B$12&amp;"|"&amp;基本属性!$C$12</f>
        <v>90|2</v>
      </c>
      <c r="B7409" s="10" t="str">
        <f>参数调整!$J$38</f>
        <v>新增怪物种类3掉落</v>
      </c>
      <c r="C7409" s="8" t="str">
        <f>材料产出!$BR$2</f>
        <v>新增材料6</v>
      </c>
      <c r="D7409" s="224">
        <f>参数调整!$K$38*怪物掉落配置方案!$D4331</f>
        <v>0</v>
      </c>
    </row>
    <row r="7410" spans="1:4" ht="16.5" hidden="1" x14ac:dyDescent="0.3">
      <c r="A7410" s="10" t="str">
        <f>基本属性!$B$13&amp;"|"&amp;基本属性!$C$13</f>
        <v>100|3</v>
      </c>
      <c r="B7410" s="10" t="str">
        <f>参数调整!$J$38</f>
        <v>新增怪物种类3掉落</v>
      </c>
      <c r="C7410" s="8" t="str">
        <f>材料产出!$BR$2</f>
        <v>新增材料6</v>
      </c>
      <c r="D7410" s="224">
        <f>参数调整!$K$38*怪物掉落配置方案!$D4332</f>
        <v>0</v>
      </c>
    </row>
    <row r="7411" spans="1:4" ht="16.5" hidden="1" x14ac:dyDescent="0.3">
      <c r="A7411" s="10" t="str">
        <f>基本属性!$B$14&amp;"|"&amp;基本属性!$C$14</f>
        <v>105|4</v>
      </c>
      <c r="B7411" s="10" t="str">
        <f>参数调整!$J$38</f>
        <v>新增怪物种类3掉落</v>
      </c>
      <c r="C7411" s="8" t="str">
        <f>材料产出!$BR$2</f>
        <v>新增材料6</v>
      </c>
      <c r="D7411" s="224">
        <f>参数调整!$K$38*怪物掉落配置方案!$D4333</f>
        <v>0</v>
      </c>
    </row>
    <row r="7412" spans="1:4" ht="16.5" hidden="1" x14ac:dyDescent="0.3">
      <c r="A7412" s="10" t="str">
        <f>基本属性!$B$15&amp;"|"&amp;基本属性!$C$15</f>
        <v>110|5</v>
      </c>
      <c r="B7412" s="10" t="str">
        <f>参数调整!$J$38</f>
        <v>新增怪物种类3掉落</v>
      </c>
      <c r="C7412" s="8" t="str">
        <f>材料产出!$BR$2</f>
        <v>新增材料6</v>
      </c>
      <c r="D7412" s="224">
        <f>参数调整!$K$38*怪物掉落配置方案!$D4334</f>
        <v>0</v>
      </c>
    </row>
    <row r="7413" spans="1:4" ht="16.5" hidden="1" x14ac:dyDescent="0.3">
      <c r="A7413" s="10" t="str">
        <f>基本属性!$B$16&amp;"|"&amp;基本属性!$C$16</f>
        <v>120|6</v>
      </c>
      <c r="B7413" s="10" t="str">
        <f>参数调整!$J$38</f>
        <v>新增怪物种类3掉落</v>
      </c>
      <c r="C7413" s="8" t="str">
        <f>材料产出!$BR$2</f>
        <v>新增材料6</v>
      </c>
      <c r="D7413" s="224">
        <f>参数调整!$K$38*怪物掉落配置方案!$D4335</f>
        <v>0</v>
      </c>
    </row>
    <row r="7414" spans="1:4" ht="16.5" hidden="1" x14ac:dyDescent="0.3">
      <c r="A7414" s="10" t="str">
        <f>基本属性!$B$17&amp;"|"&amp;基本属性!$C$17</f>
        <v>135|7</v>
      </c>
      <c r="B7414" s="10" t="str">
        <f>参数调整!$J$38</f>
        <v>新增怪物种类3掉落</v>
      </c>
      <c r="C7414" s="8" t="str">
        <f>材料产出!$BR$2</f>
        <v>新增材料6</v>
      </c>
      <c r="D7414" s="224">
        <f>参数调整!$K$38*怪物掉落配置方案!$D4336</f>
        <v>0</v>
      </c>
    </row>
    <row r="7415" spans="1:4" ht="16.5" hidden="1" x14ac:dyDescent="0.3">
      <c r="A7415" s="10" t="str">
        <f>基本属性!$B$18&amp;"|"&amp;基本属性!$C$18</f>
        <v>155|8</v>
      </c>
      <c r="B7415" s="10" t="str">
        <f>参数调整!$J$38</f>
        <v>新增怪物种类3掉落</v>
      </c>
      <c r="C7415" s="8" t="str">
        <f>材料产出!$BR$2</f>
        <v>新增材料6</v>
      </c>
      <c r="D7415" s="224">
        <f>参数调整!$K$38*怪物掉落配置方案!$D4337</f>
        <v>0</v>
      </c>
    </row>
    <row r="7416" spans="1:4" ht="16.5" hidden="1" x14ac:dyDescent="0.3">
      <c r="A7416" s="10" t="str">
        <f>基本属性!$B$19&amp;"|"&amp;基本属性!$C$19</f>
        <v>190|9</v>
      </c>
      <c r="B7416" s="10" t="str">
        <f>参数调整!$J$38</f>
        <v>新增怪物种类3掉落</v>
      </c>
      <c r="C7416" s="8" t="str">
        <f>材料产出!$BR$2</f>
        <v>新增材料6</v>
      </c>
      <c r="D7416" s="224">
        <f>参数调整!$K$38*怪物掉落配置方案!$D4338</f>
        <v>0</v>
      </c>
    </row>
    <row r="7417" spans="1:4" ht="16.5" hidden="1" x14ac:dyDescent="0.3">
      <c r="A7417" s="10" t="str">
        <f>基本属性!$B$20&amp;"|"&amp;基本属性!$C$20</f>
        <v>200|10</v>
      </c>
      <c r="B7417" s="10" t="str">
        <f>参数调整!$J$38</f>
        <v>新增怪物种类3掉落</v>
      </c>
      <c r="C7417" s="8" t="str">
        <f>材料产出!$BR$2</f>
        <v>新增材料6</v>
      </c>
      <c r="D7417" s="224">
        <f>参数调整!$K$38*怪物掉落配置方案!$D4339</f>
        <v>0</v>
      </c>
    </row>
    <row r="7418" spans="1:4" ht="16.5" hidden="1" x14ac:dyDescent="0.3">
      <c r="A7418" s="10" t="str">
        <f>基本属性!$B$21&amp;"|"&amp;基本属性!$C$21</f>
        <v>200|11</v>
      </c>
      <c r="B7418" s="10" t="str">
        <f>参数调整!$J$38</f>
        <v>新增怪物种类3掉落</v>
      </c>
      <c r="C7418" s="8" t="str">
        <f>材料产出!$BR$2</f>
        <v>新增材料6</v>
      </c>
      <c r="D7418" s="224">
        <f>参数调整!$K$38*怪物掉落配置方案!$D4340</f>
        <v>0</v>
      </c>
    </row>
    <row r="7419" spans="1:4" ht="16.5" hidden="1" x14ac:dyDescent="0.3">
      <c r="A7419" s="10" t="str">
        <f>基本属性!$B$22&amp;"|"&amp;基本属性!$C$22</f>
        <v>210|12</v>
      </c>
      <c r="B7419" s="10" t="str">
        <f>参数调整!$J$38</f>
        <v>新增怪物种类3掉落</v>
      </c>
      <c r="C7419" s="8" t="str">
        <f>材料产出!$BR$2</f>
        <v>新增材料6</v>
      </c>
      <c r="D7419" s="224">
        <f>参数调整!$K$38*怪物掉落配置方案!$D4341</f>
        <v>0</v>
      </c>
    </row>
    <row r="7420" spans="1:4" ht="16.5" hidden="1" x14ac:dyDescent="0.3">
      <c r="A7420" s="10" t="str">
        <f>基本属性!$B$23&amp;"|"&amp;基本属性!$C$23</f>
        <v>210|13</v>
      </c>
      <c r="B7420" s="10" t="str">
        <f>参数调整!$J$38</f>
        <v>新增怪物种类3掉落</v>
      </c>
      <c r="C7420" s="8" t="str">
        <f>材料产出!$BR$2</f>
        <v>新增材料6</v>
      </c>
      <c r="D7420" s="224">
        <f>参数调整!$K$38*怪物掉落配置方案!$D4342</f>
        <v>0</v>
      </c>
    </row>
    <row r="7421" spans="1:4" ht="16.5" hidden="1" x14ac:dyDescent="0.3">
      <c r="A7421" s="10" t="str">
        <f>基本属性!$B$24&amp;"|"&amp;基本属性!$C$24</f>
        <v>220|14</v>
      </c>
      <c r="B7421" s="10" t="str">
        <f>参数调整!$J$38</f>
        <v>新增怪物种类3掉落</v>
      </c>
      <c r="C7421" s="8" t="str">
        <f>材料产出!$BR$2</f>
        <v>新增材料6</v>
      </c>
      <c r="D7421" s="224">
        <f>参数调整!$K$38*怪物掉落配置方案!$D4343</f>
        <v>0</v>
      </c>
    </row>
    <row r="7422" spans="1:4" ht="16.5" hidden="1" x14ac:dyDescent="0.3">
      <c r="A7422" s="10" t="str">
        <f>基本属性!$B$25&amp;"|"&amp;基本属性!$C$25</f>
        <v>220|15</v>
      </c>
      <c r="B7422" s="10" t="str">
        <f>参数调整!$J$38</f>
        <v>新增怪物种类3掉落</v>
      </c>
      <c r="C7422" s="8" t="str">
        <f>材料产出!$BR$2</f>
        <v>新增材料6</v>
      </c>
      <c r="D7422" s="224">
        <f>参数调整!$K$38*怪物掉落配置方案!$D4344</f>
        <v>0</v>
      </c>
    </row>
    <row r="7423" spans="1:4" ht="16.5" hidden="1" x14ac:dyDescent="0.3">
      <c r="A7423" s="10" t="str">
        <f>基本属性!$B$26&amp;"|"&amp;基本属性!$C$26</f>
        <v>230|16</v>
      </c>
      <c r="B7423" s="10" t="str">
        <f>参数调整!$J$38</f>
        <v>新增怪物种类3掉落</v>
      </c>
      <c r="C7423" s="8" t="str">
        <f>材料产出!$BR$2</f>
        <v>新增材料6</v>
      </c>
      <c r="D7423" s="224">
        <f>参数调整!$K$38*怪物掉落配置方案!$D4345</f>
        <v>0</v>
      </c>
    </row>
    <row r="7424" spans="1:4" ht="16.5" hidden="1" x14ac:dyDescent="0.3">
      <c r="A7424" s="10" t="str">
        <f>基本属性!$B$27&amp;"|"&amp;基本属性!$C$27</f>
        <v>230|17</v>
      </c>
      <c r="B7424" s="10" t="str">
        <f>参数调整!$J$38</f>
        <v>新增怪物种类3掉落</v>
      </c>
      <c r="C7424" s="8" t="str">
        <f>材料产出!$BR$2</f>
        <v>新增材料6</v>
      </c>
      <c r="D7424" s="224">
        <f>参数调整!$K$38*怪物掉落配置方案!$D4346</f>
        <v>0</v>
      </c>
    </row>
    <row r="7425" spans="1:4" ht="16.5" hidden="1" x14ac:dyDescent="0.3">
      <c r="A7425" s="10" t="str">
        <f>基本属性!$B$28&amp;"|"&amp;基本属性!$C$28</f>
        <v>240|18</v>
      </c>
      <c r="B7425" s="10" t="str">
        <f>参数调整!$J$38</f>
        <v>新增怪物种类3掉落</v>
      </c>
      <c r="C7425" s="8" t="str">
        <f>材料产出!$BR$2</f>
        <v>新增材料6</v>
      </c>
      <c r="D7425" s="224">
        <f>参数调整!$K$38*怪物掉落配置方案!$D4347</f>
        <v>0</v>
      </c>
    </row>
    <row r="7426" spans="1:4" ht="16.5" hidden="1" x14ac:dyDescent="0.3">
      <c r="A7426" s="10" t="str">
        <f>基本属性!$B$29&amp;"|"&amp;基本属性!$C$29</f>
        <v>240|19</v>
      </c>
      <c r="B7426" s="10" t="str">
        <f>参数调整!$J$38</f>
        <v>新增怪物种类3掉落</v>
      </c>
      <c r="C7426" s="8" t="str">
        <f>材料产出!$BR$2</f>
        <v>新增材料6</v>
      </c>
      <c r="D7426" s="224">
        <f>参数调整!$K$38*怪物掉落配置方案!$D4348</f>
        <v>0</v>
      </c>
    </row>
    <row r="7427" spans="1:4" ht="16.5" hidden="1" x14ac:dyDescent="0.3">
      <c r="A7427" s="10" t="str">
        <f>基本属性!$B$30&amp;"|"&amp;基本属性!$C$30</f>
        <v>250|20</v>
      </c>
      <c r="B7427" s="10" t="str">
        <f>参数调整!$J$38</f>
        <v>新增怪物种类3掉落</v>
      </c>
      <c r="C7427" s="8" t="str">
        <f>材料产出!$BR$2</f>
        <v>新增材料6</v>
      </c>
      <c r="D7427" s="224">
        <f>参数调整!$K$38*怪物掉落配置方案!$D4349</f>
        <v>0</v>
      </c>
    </row>
    <row r="7428" spans="1:4" ht="16.5" hidden="1" x14ac:dyDescent="0.3">
      <c r="A7428" s="10" t="str">
        <f>基本属性!$B$4&amp;"|"&amp;基本属性!$C$4</f>
        <v>35|0</v>
      </c>
      <c r="B7428" s="10" t="str">
        <f>参数调整!$J$38</f>
        <v>新增怪物种类3掉落</v>
      </c>
      <c r="C7428" s="8" t="str">
        <f>材料产出!$BP$2</f>
        <v>新增材料5</v>
      </c>
      <c r="D7428" s="224">
        <f>参数调整!$K$38*怪物掉落配置方案!$D4350</f>
        <v>0</v>
      </c>
    </row>
    <row r="7429" spans="1:4" ht="16.5" hidden="1" x14ac:dyDescent="0.3">
      <c r="A7429" s="10" t="str">
        <f>基本属性!$B$5&amp;"|"&amp;基本属性!$C$5</f>
        <v>40|0</v>
      </c>
      <c r="B7429" s="10" t="str">
        <f>参数调整!$J$38</f>
        <v>新增怪物种类3掉落</v>
      </c>
      <c r="C7429" s="8" t="str">
        <f>材料产出!$BP$2</f>
        <v>新增材料5</v>
      </c>
      <c r="D7429" s="224">
        <f>参数调整!$K$38*怪物掉落配置方案!$D4351</f>
        <v>0</v>
      </c>
    </row>
    <row r="7430" spans="1:4" ht="16.5" hidden="1" x14ac:dyDescent="0.3">
      <c r="A7430" s="10" t="str">
        <f>基本属性!$B$6&amp;"|"&amp;基本属性!$C$6</f>
        <v>50|0</v>
      </c>
      <c r="B7430" s="10" t="str">
        <f>参数调整!$J$38</f>
        <v>新增怪物种类3掉落</v>
      </c>
      <c r="C7430" s="8" t="str">
        <f>材料产出!$BP$2</f>
        <v>新增材料5</v>
      </c>
      <c r="D7430" s="224">
        <f>参数调整!$K$38*怪物掉落配置方案!$D4352</f>
        <v>0</v>
      </c>
    </row>
    <row r="7431" spans="1:4" ht="16.5" hidden="1" x14ac:dyDescent="0.3">
      <c r="A7431" s="10" t="str">
        <f>基本属性!$B$7&amp;"|"&amp;基本属性!$C$7</f>
        <v>60|0</v>
      </c>
      <c r="B7431" s="10" t="str">
        <f>参数调整!$J$38</f>
        <v>新增怪物种类3掉落</v>
      </c>
      <c r="C7431" s="8" t="str">
        <f>材料产出!$BP$2</f>
        <v>新增材料5</v>
      </c>
      <c r="D7431" s="224">
        <f>参数调整!$K$38*怪物掉落配置方案!$D4353</f>
        <v>0</v>
      </c>
    </row>
    <row r="7432" spans="1:4" ht="16.5" hidden="1" x14ac:dyDescent="0.3">
      <c r="A7432" s="10" t="str">
        <f>基本属性!$B$8&amp;"|"&amp;基本属性!$C$8</f>
        <v>65|0</v>
      </c>
      <c r="B7432" s="10" t="str">
        <f>参数调整!$J$38</f>
        <v>新增怪物种类3掉落</v>
      </c>
      <c r="C7432" s="8" t="str">
        <f>材料产出!$BP$2</f>
        <v>新增材料5</v>
      </c>
      <c r="D7432" s="224">
        <f>参数调整!$K$38*怪物掉落配置方案!$D4354</f>
        <v>0</v>
      </c>
    </row>
    <row r="7433" spans="1:4" ht="16.5" hidden="1" x14ac:dyDescent="0.3">
      <c r="A7433" s="10" t="str">
        <f>基本属性!$B$9&amp;"|"&amp;基本属性!$C$9</f>
        <v>70|0</v>
      </c>
      <c r="B7433" s="10" t="str">
        <f>参数调整!$J$38</f>
        <v>新增怪物种类3掉落</v>
      </c>
      <c r="C7433" s="8" t="str">
        <f>材料产出!$BP$2</f>
        <v>新增材料5</v>
      </c>
      <c r="D7433" s="224">
        <f>参数调整!$K$38*怪物掉落配置方案!$D4355</f>
        <v>0</v>
      </c>
    </row>
    <row r="7434" spans="1:4" ht="16.5" hidden="1" x14ac:dyDescent="0.3">
      <c r="A7434" s="10" t="str">
        <f>基本属性!$B$10&amp;"|"&amp;基本属性!$C$10</f>
        <v>75|0</v>
      </c>
      <c r="B7434" s="10" t="str">
        <f>参数调整!$J$38</f>
        <v>新增怪物种类3掉落</v>
      </c>
      <c r="C7434" s="8" t="str">
        <f>材料产出!$BP$2</f>
        <v>新增材料5</v>
      </c>
      <c r="D7434" s="224">
        <f>参数调整!$K$38*怪物掉落配置方案!$D4356</f>
        <v>0</v>
      </c>
    </row>
    <row r="7435" spans="1:4" ht="16.5" hidden="1" x14ac:dyDescent="0.3">
      <c r="A7435" s="10" t="str">
        <f>基本属性!$B$11&amp;"|"&amp;基本属性!$C$11</f>
        <v>80|1</v>
      </c>
      <c r="B7435" s="10" t="str">
        <f>参数调整!$J$38</f>
        <v>新增怪物种类3掉落</v>
      </c>
      <c r="C7435" s="8" t="str">
        <f>材料产出!$BP$2</f>
        <v>新增材料5</v>
      </c>
      <c r="D7435" s="224">
        <f>参数调整!$K$38*怪物掉落配置方案!$D4357</f>
        <v>0</v>
      </c>
    </row>
    <row r="7436" spans="1:4" ht="16.5" hidden="1" x14ac:dyDescent="0.3">
      <c r="A7436" s="10" t="str">
        <f>基本属性!$B$12&amp;"|"&amp;基本属性!$C$12</f>
        <v>90|2</v>
      </c>
      <c r="B7436" s="10" t="str">
        <f>参数调整!$J$38</f>
        <v>新增怪物种类3掉落</v>
      </c>
      <c r="C7436" s="8" t="str">
        <f>材料产出!$BP$2</f>
        <v>新增材料5</v>
      </c>
      <c r="D7436" s="224">
        <f>参数调整!$K$38*怪物掉落配置方案!$D4358</f>
        <v>0</v>
      </c>
    </row>
    <row r="7437" spans="1:4" ht="16.5" hidden="1" x14ac:dyDescent="0.3">
      <c r="A7437" s="10" t="str">
        <f>基本属性!$B$13&amp;"|"&amp;基本属性!$C$13</f>
        <v>100|3</v>
      </c>
      <c r="B7437" s="10" t="str">
        <f>参数调整!$J$38</f>
        <v>新增怪物种类3掉落</v>
      </c>
      <c r="C7437" s="8" t="str">
        <f>材料产出!$BP$2</f>
        <v>新增材料5</v>
      </c>
      <c r="D7437" s="224">
        <f>参数调整!$K$38*怪物掉落配置方案!$D4359</f>
        <v>0</v>
      </c>
    </row>
    <row r="7438" spans="1:4" ht="16.5" hidden="1" x14ac:dyDescent="0.3">
      <c r="A7438" s="10" t="str">
        <f>基本属性!$B$14&amp;"|"&amp;基本属性!$C$14</f>
        <v>105|4</v>
      </c>
      <c r="B7438" s="10" t="str">
        <f>参数调整!$J$38</f>
        <v>新增怪物种类3掉落</v>
      </c>
      <c r="C7438" s="8" t="str">
        <f>材料产出!$BP$2</f>
        <v>新增材料5</v>
      </c>
      <c r="D7438" s="224">
        <f>参数调整!$K$38*怪物掉落配置方案!$D4360</f>
        <v>0</v>
      </c>
    </row>
    <row r="7439" spans="1:4" ht="16.5" hidden="1" x14ac:dyDescent="0.3">
      <c r="A7439" s="10" t="str">
        <f>基本属性!$B$15&amp;"|"&amp;基本属性!$C$15</f>
        <v>110|5</v>
      </c>
      <c r="B7439" s="10" t="str">
        <f>参数调整!$J$38</f>
        <v>新增怪物种类3掉落</v>
      </c>
      <c r="C7439" s="8" t="str">
        <f>材料产出!$BP$2</f>
        <v>新增材料5</v>
      </c>
      <c r="D7439" s="224">
        <f>参数调整!$K$38*怪物掉落配置方案!$D4361</f>
        <v>0</v>
      </c>
    </row>
    <row r="7440" spans="1:4" ht="16.5" hidden="1" x14ac:dyDescent="0.3">
      <c r="A7440" s="10" t="str">
        <f>基本属性!$B$16&amp;"|"&amp;基本属性!$C$16</f>
        <v>120|6</v>
      </c>
      <c r="B7440" s="10" t="str">
        <f>参数调整!$J$38</f>
        <v>新增怪物种类3掉落</v>
      </c>
      <c r="C7440" s="8" t="str">
        <f>材料产出!$BP$2</f>
        <v>新增材料5</v>
      </c>
      <c r="D7440" s="224">
        <f>参数调整!$K$38*怪物掉落配置方案!$D4362</f>
        <v>0</v>
      </c>
    </row>
    <row r="7441" spans="1:4" ht="16.5" hidden="1" x14ac:dyDescent="0.3">
      <c r="A7441" s="10" t="str">
        <f>基本属性!$B$17&amp;"|"&amp;基本属性!$C$17</f>
        <v>135|7</v>
      </c>
      <c r="B7441" s="10" t="str">
        <f>参数调整!$J$38</f>
        <v>新增怪物种类3掉落</v>
      </c>
      <c r="C7441" s="8" t="str">
        <f>材料产出!$BP$2</f>
        <v>新增材料5</v>
      </c>
      <c r="D7441" s="224">
        <f>参数调整!$K$38*怪物掉落配置方案!$D4363</f>
        <v>0</v>
      </c>
    </row>
    <row r="7442" spans="1:4" ht="16.5" hidden="1" x14ac:dyDescent="0.3">
      <c r="A7442" s="10" t="str">
        <f>基本属性!$B$18&amp;"|"&amp;基本属性!$C$18</f>
        <v>155|8</v>
      </c>
      <c r="B7442" s="10" t="str">
        <f>参数调整!$J$38</f>
        <v>新增怪物种类3掉落</v>
      </c>
      <c r="C7442" s="8" t="str">
        <f>材料产出!$BP$2</f>
        <v>新增材料5</v>
      </c>
      <c r="D7442" s="224">
        <f>参数调整!$K$38*怪物掉落配置方案!$D4364</f>
        <v>0</v>
      </c>
    </row>
    <row r="7443" spans="1:4" ht="16.5" hidden="1" x14ac:dyDescent="0.3">
      <c r="A7443" s="10" t="str">
        <f>基本属性!$B$19&amp;"|"&amp;基本属性!$C$19</f>
        <v>190|9</v>
      </c>
      <c r="B7443" s="10" t="str">
        <f>参数调整!$J$38</f>
        <v>新增怪物种类3掉落</v>
      </c>
      <c r="C7443" s="8" t="str">
        <f>材料产出!$BP$2</f>
        <v>新增材料5</v>
      </c>
      <c r="D7443" s="224">
        <f>参数调整!$K$38*怪物掉落配置方案!$D4365</f>
        <v>0</v>
      </c>
    </row>
    <row r="7444" spans="1:4" ht="16.5" hidden="1" x14ac:dyDescent="0.3">
      <c r="A7444" s="10" t="str">
        <f>基本属性!$B$20&amp;"|"&amp;基本属性!$C$20</f>
        <v>200|10</v>
      </c>
      <c r="B7444" s="10" t="str">
        <f>参数调整!$J$38</f>
        <v>新增怪物种类3掉落</v>
      </c>
      <c r="C7444" s="8" t="str">
        <f>材料产出!$BP$2</f>
        <v>新增材料5</v>
      </c>
      <c r="D7444" s="224">
        <f>参数调整!$K$38*怪物掉落配置方案!$D4366</f>
        <v>0</v>
      </c>
    </row>
    <row r="7445" spans="1:4" ht="16.5" hidden="1" x14ac:dyDescent="0.3">
      <c r="A7445" s="10" t="str">
        <f>基本属性!$B$21&amp;"|"&amp;基本属性!$C$21</f>
        <v>200|11</v>
      </c>
      <c r="B7445" s="10" t="str">
        <f>参数调整!$J$38</f>
        <v>新增怪物种类3掉落</v>
      </c>
      <c r="C7445" s="8" t="str">
        <f>材料产出!$BP$2</f>
        <v>新增材料5</v>
      </c>
      <c r="D7445" s="224">
        <f>参数调整!$K$38*怪物掉落配置方案!$D4367</f>
        <v>0</v>
      </c>
    </row>
    <row r="7446" spans="1:4" ht="16.5" hidden="1" x14ac:dyDescent="0.3">
      <c r="A7446" s="10" t="str">
        <f>基本属性!$B$22&amp;"|"&amp;基本属性!$C$22</f>
        <v>210|12</v>
      </c>
      <c r="B7446" s="10" t="str">
        <f>参数调整!$J$38</f>
        <v>新增怪物种类3掉落</v>
      </c>
      <c r="C7446" s="8" t="str">
        <f>材料产出!$BP$2</f>
        <v>新增材料5</v>
      </c>
      <c r="D7446" s="224">
        <f>参数调整!$K$38*怪物掉落配置方案!$D4368</f>
        <v>0</v>
      </c>
    </row>
    <row r="7447" spans="1:4" ht="16.5" hidden="1" x14ac:dyDescent="0.3">
      <c r="A7447" s="10" t="str">
        <f>基本属性!$B$23&amp;"|"&amp;基本属性!$C$23</f>
        <v>210|13</v>
      </c>
      <c r="B7447" s="10" t="str">
        <f>参数调整!$J$38</f>
        <v>新增怪物种类3掉落</v>
      </c>
      <c r="C7447" s="8" t="str">
        <f>材料产出!$BP$2</f>
        <v>新增材料5</v>
      </c>
      <c r="D7447" s="224">
        <f>参数调整!$K$38*怪物掉落配置方案!$D4369</f>
        <v>0</v>
      </c>
    </row>
    <row r="7448" spans="1:4" ht="16.5" hidden="1" x14ac:dyDescent="0.3">
      <c r="A7448" s="10" t="str">
        <f>基本属性!$B$24&amp;"|"&amp;基本属性!$C$24</f>
        <v>220|14</v>
      </c>
      <c r="B7448" s="10" t="str">
        <f>参数调整!$J$38</f>
        <v>新增怪物种类3掉落</v>
      </c>
      <c r="C7448" s="8" t="str">
        <f>材料产出!$BP$2</f>
        <v>新增材料5</v>
      </c>
      <c r="D7448" s="224">
        <f>参数调整!$K$38*怪物掉落配置方案!$D4370</f>
        <v>0</v>
      </c>
    </row>
    <row r="7449" spans="1:4" ht="16.5" hidden="1" x14ac:dyDescent="0.3">
      <c r="A7449" s="10" t="str">
        <f>基本属性!$B$25&amp;"|"&amp;基本属性!$C$25</f>
        <v>220|15</v>
      </c>
      <c r="B7449" s="10" t="str">
        <f>参数调整!$J$38</f>
        <v>新增怪物种类3掉落</v>
      </c>
      <c r="C7449" s="8" t="str">
        <f>材料产出!$BP$2</f>
        <v>新增材料5</v>
      </c>
      <c r="D7449" s="224">
        <f>参数调整!$K$38*怪物掉落配置方案!$D4371</f>
        <v>0</v>
      </c>
    </row>
    <row r="7450" spans="1:4" ht="16.5" hidden="1" x14ac:dyDescent="0.3">
      <c r="A7450" s="10" t="str">
        <f>基本属性!$B$26&amp;"|"&amp;基本属性!$C$26</f>
        <v>230|16</v>
      </c>
      <c r="B7450" s="10" t="str">
        <f>参数调整!$J$38</f>
        <v>新增怪物种类3掉落</v>
      </c>
      <c r="C7450" s="8" t="str">
        <f>材料产出!$BP$2</f>
        <v>新增材料5</v>
      </c>
      <c r="D7450" s="224">
        <f>参数调整!$K$38*怪物掉落配置方案!$D4372</f>
        <v>0</v>
      </c>
    </row>
    <row r="7451" spans="1:4" ht="16.5" hidden="1" x14ac:dyDescent="0.3">
      <c r="A7451" s="10" t="str">
        <f>基本属性!$B$27&amp;"|"&amp;基本属性!$C$27</f>
        <v>230|17</v>
      </c>
      <c r="B7451" s="10" t="str">
        <f>参数调整!$J$38</f>
        <v>新增怪物种类3掉落</v>
      </c>
      <c r="C7451" s="8" t="str">
        <f>材料产出!$BP$2</f>
        <v>新增材料5</v>
      </c>
      <c r="D7451" s="224">
        <f>参数调整!$K$38*怪物掉落配置方案!$D4373</f>
        <v>0</v>
      </c>
    </row>
    <row r="7452" spans="1:4" ht="16.5" hidden="1" x14ac:dyDescent="0.3">
      <c r="A7452" s="10" t="str">
        <f>基本属性!$B$28&amp;"|"&amp;基本属性!$C$28</f>
        <v>240|18</v>
      </c>
      <c r="B7452" s="10" t="str">
        <f>参数调整!$J$38</f>
        <v>新增怪物种类3掉落</v>
      </c>
      <c r="C7452" s="8" t="str">
        <f>材料产出!$BP$2</f>
        <v>新增材料5</v>
      </c>
      <c r="D7452" s="224">
        <f>参数调整!$K$38*怪物掉落配置方案!$D4374</f>
        <v>0</v>
      </c>
    </row>
    <row r="7453" spans="1:4" ht="16.5" hidden="1" x14ac:dyDescent="0.3">
      <c r="A7453" s="10" t="str">
        <f>基本属性!$B$29&amp;"|"&amp;基本属性!$C$29</f>
        <v>240|19</v>
      </c>
      <c r="B7453" s="10" t="str">
        <f>参数调整!$J$38</f>
        <v>新增怪物种类3掉落</v>
      </c>
      <c r="C7453" s="8" t="str">
        <f>材料产出!$BP$2</f>
        <v>新增材料5</v>
      </c>
      <c r="D7453" s="224">
        <f>参数调整!$K$38*怪物掉落配置方案!$D4375</f>
        <v>0</v>
      </c>
    </row>
    <row r="7454" spans="1:4" ht="16.5" hidden="1" x14ac:dyDescent="0.3">
      <c r="A7454" s="10" t="str">
        <f>基本属性!$B$30&amp;"|"&amp;基本属性!$C$30</f>
        <v>250|20</v>
      </c>
      <c r="B7454" s="10" t="str">
        <f>参数调整!$J$38</f>
        <v>新增怪物种类3掉落</v>
      </c>
      <c r="C7454" s="8" t="str">
        <f>材料产出!$BP$2</f>
        <v>新增材料5</v>
      </c>
      <c r="D7454" s="224">
        <f>参数调整!$K$38*怪物掉落配置方案!$D4376</f>
        <v>0</v>
      </c>
    </row>
    <row r="7455" spans="1:4" ht="16.5" hidden="1" x14ac:dyDescent="0.3">
      <c r="A7455" s="10" t="str">
        <f>基本属性!$B$4&amp;"|"&amp;基本属性!$C$4</f>
        <v>35|0</v>
      </c>
      <c r="B7455" s="10" t="str">
        <f>参数调整!$J$38</f>
        <v>新增怪物种类3掉落</v>
      </c>
      <c r="C7455" s="8" t="str">
        <f>材料产出!$BN$2</f>
        <v>新增材料4</v>
      </c>
      <c r="D7455" s="224">
        <f>参数调整!$K$38*怪物掉落配置方案!$D4377</f>
        <v>0</v>
      </c>
    </row>
    <row r="7456" spans="1:4" ht="16.5" hidden="1" x14ac:dyDescent="0.3">
      <c r="A7456" s="10" t="str">
        <f>基本属性!$B$5&amp;"|"&amp;基本属性!$C$5</f>
        <v>40|0</v>
      </c>
      <c r="B7456" s="10" t="str">
        <f>参数调整!$J$38</f>
        <v>新增怪物种类3掉落</v>
      </c>
      <c r="C7456" s="8" t="str">
        <f>材料产出!$BN$2</f>
        <v>新增材料4</v>
      </c>
      <c r="D7456" s="224">
        <f>参数调整!$K$38*怪物掉落配置方案!$D4378</f>
        <v>0</v>
      </c>
    </row>
    <row r="7457" spans="1:4" ht="16.5" hidden="1" x14ac:dyDescent="0.3">
      <c r="A7457" s="10" t="str">
        <f>基本属性!$B$6&amp;"|"&amp;基本属性!$C$6</f>
        <v>50|0</v>
      </c>
      <c r="B7457" s="10" t="str">
        <f>参数调整!$J$38</f>
        <v>新增怪物种类3掉落</v>
      </c>
      <c r="C7457" s="8" t="str">
        <f>材料产出!$BN$2</f>
        <v>新增材料4</v>
      </c>
      <c r="D7457" s="224">
        <f>参数调整!$K$38*怪物掉落配置方案!$D4379</f>
        <v>0</v>
      </c>
    </row>
    <row r="7458" spans="1:4" ht="16.5" hidden="1" x14ac:dyDescent="0.3">
      <c r="A7458" s="10" t="str">
        <f>基本属性!$B$7&amp;"|"&amp;基本属性!$C$7</f>
        <v>60|0</v>
      </c>
      <c r="B7458" s="10" t="str">
        <f>参数调整!$J$38</f>
        <v>新增怪物种类3掉落</v>
      </c>
      <c r="C7458" s="8" t="str">
        <f>材料产出!$BN$2</f>
        <v>新增材料4</v>
      </c>
      <c r="D7458" s="224">
        <f>参数调整!$K$38*怪物掉落配置方案!$D4380</f>
        <v>0</v>
      </c>
    </row>
    <row r="7459" spans="1:4" ht="16.5" hidden="1" x14ac:dyDescent="0.3">
      <c r="A7459" s="10" t="str">
        <f>基本属性!$B$8&amp;"|"&amp;基本属性!$C$8</f>
        <v>65|0</v>
      </c>
      <c r="B7459" s="10" t="str">
        <f>参数调整!$J$38</f>
        <v>新增怪物种类3掉落</v>
      </c>
      <c r="C7459" s="8" t="str">
        <f>材料产出!$BN$2</f>
        <v>新增材料4</v>
      </c>
      <c r="D7459" s="224">
        <f>参数调整!$K$38*怪物掉落配置方案!$D4381</f>
        <v>0</v>
      </c>
    </row>
    <row r="7460" spans="1:4" ht="16.5" hidden="1" x14ac:dyDescent="0.3">
      <c r="A7460" s="10" t="str">
        <f>基本属性!$B$9&amp;"|"&amp;基本属性!$C$9</f>
        <v>70|0</v>
      </c>
      <c r="B7460" s="10" t="str">
        <f>参数调整!$J$38</f>
        <v>新增怪物种类3掉落</v>
      </c>
      <c r="C7460" s="8" t="str">
        <f>材料产出!$BN$2</f>
        <v>新增材料4</v>
      </c>
      <c r="D7460" s="224">
        <f>参数调整!$K$38*怪物掉落配置方案!$D4382</f>
        <v>0</v>
      </c>
    </row>
    <row r="7461" spans="1:4" ht="16.5" hidden="1" x14ac:dyDescent="0.3">
      <c r="A7461" s="10" t="str">
        <f>基本属性!$B$10&amp;"|"&amp;基本属性!$C$10</f>
        <v>75|0</v>
      </c>
      <c r="B7461" s="10" t="str">
        <f>参数调整!$J$38</f>
        <v>新增怪物种类3掉落</v>
      </c>
      <c r="C7461" s="8" t="str">
        <f>材料产出!$BN$2</f>
        <v>新增材料4</v>
      </c>
      <c r="D7461" s="224">
        <f>参数调整!$K$38*怪物掉落配置方案!$D4383</f>
        <v>0</v>
      </c>
    </row>
    <row r="7462" spans="1:4" ht="16.5" hidden="1" x14ac:dyDescent="0.3">
      <c r="A7462" s="10" t="str">
        <f>基本属性!$B$11&amp;"|"&amp;基本属性!$C$11</f>
        <v>80|1</v>
      </c>
      <c r="B7462" s="10" t="str">
        <f>参数调整!$J$38</f>
        <v>新增怪物种类3掉落</v>
      </c>
      <c r="C7462" s="8" t="str">
        <f>材料产出!$BN$2</f>
        <v>新增材料4</v>
      </c>
      <c r="D7462" s="224">
        <f>参数调整!$K$38*怪物掉落配置方案!$D4384</f>
        <v>0</v>
      </c>
    </row>
    <row r="7463" spans="1:4" ht="16.5" hidden="1" x14ac:dyDescent="0.3">
      <c r="A7463" s="10" t="str">
        <f>基本属性!$B$12&amp;"|"&amp;基本属性!$C$12</f>
        <v>90|2</v>
      </c>
      <c r="B7463" s="10" t="str">
        <f>参数调整!$J$38</f>
        <v>新增怪物种类3掉落</v>
      </c>
      <c r="C7463" s="8" t="str">
        <f>材料产出!$BN$2</f>
        <v>新增材料4</v>
      </c>
      <c r="D7463" s="224">
        <f>参数调整!$K$38*怪物掉落配置方案!$D4385</f>
        <v>0</v>
      </c>
    </row>
    <row r="7464" spans="1:4" ht="16.5" hidden="1" x14ac:dyDescent="0.3">
      <c r="A7464" s="10" t="str">
        <f>基本属性!$B$13&amp;"|"&amp;基本属性!$C$13</f>
        <v>100|3</v>
      </c>
      <c r="B7464" s="10" t="str">
        <f>参数调整!$J$38</f>
        <v>新增怪物种类3掉落</v>
      </c>
      <c r="C7464" s="8" t="str">
        <f>材料产出!$BN$2</f>
        <v>新增材料4</v>
      </c>
      <c r="D7464" s="224">
        <f>参数调整!$K$38*怪物掉落配置方案!$D4386</f>
        <v>0</v>
      </c>
    </row>
    <row r="7465" spans="1:4" ht="16.5" hidden="1" x14ac:dyDescent="0.3">
      <c r="A7465" s="10" t="str">
        <f>基本属性!$B$14&amp;"|"&amp;基本属性!$C$14</f>
        <v>105|4</v>
      </c>
      <c r="B7465" s="10" t="str">
        <f>参数调整!$J$38</f>
        <v>新增怪物种类3掉落</v>
      </c>
      <c r="C7465" s="8" t="str">
        <f>材料产出!$BN$2</f>
        <v>新增材料4</v>
      </c>
      <c r="D7465" s="224">
        <f>参数调整!$K$38*怪物掉落配置方案!$D4387</f>
        <v>0</v>
      </c>
    </row>
    <row r="7466" spans="1:4" ht="16.5" hidden="1" x14ac:dyDescent="0.3">
      <c r="A7466" s="10" t="str">
        <f>基本属性!$B$15&amp;"|"&amp;基本属性!$C$15</f>
        <v>110|5</v>
      </c>
      <c r="B7466" s="10" t="str">
        <f>参数调整!$J$38</f>
        <v>新增怪物种类3掉落</v>
      </c>
      <c r="C7466" s="8" t="str">
        <f>材料产出!$BN$2</f>
        <v>新增材料4</v>
      </c>
      <c r="D7466" s="224">
        <f>参数调整!$K$38*怪物掉落配置方案!$D4388</f>
        <v>0</v>
      </c>
    </row>
    <row r="7467" spans="1:4" ht="16.5" hidden="1" x14ac:dyDescent="0.3">
      <c r="A7467" s="10" t="str">
        <f>基本属性!$B$16&amp;"|"&amp;基本属性!$C$16</f>
        <v>120|6</v>
      </c>
      <c r="B7467" s="10" t="str">
        <f>参数调整!$J$38</f>
        <v>新增怪物种类3掉落</v>
      </c>
      <c r="C7467" s="8" t="str">
        <f>材料产出!$BN$2</f>
        <v>新增材料4</v>
      </c>
      <c r="D7467" s="224">
        <f>参数调整!$K$38*怪物掉落配置方案!$D4389</f>
        <v>0</v>
      </c>
    </row>
    <row r="7468" spans="1:4" ht="16.5" hidden="1" x14ac:dyDescent="0.3">
      <c r="A7468" s="10" t="str">
        <f>基本属性!$B$17&amp;"|"&amp;基本属性!$C$17</f>
        <v>135|7</v>
      </c>
      <c r="B7468" s="10" t="str">
        <f>参数调整!$J$38</f>
        <v>新增怪物种类3掉落</v>
      </c>
      <c r="C7468" s="8" t="str">
        <f>材料产出!$BN$2</f>
        <v>新增材料4</v>
      </c>
      <c r="D7468" s="224">
        <f>参数调整!$K$38*怪物掉落配置方案!$D4390</f>
        <v>0</v>
      </c>
    </row>
    <row r="7469" spans="1:4" ht="16.5" hidden="1" x14ac:dyDescent="0.3">
      <c r="A7469" s="10" t="str">
        <f>基本属性!$B$18&amp;"|"&amp;基本属性!$C$18</f>
        <v>155|8</v>
      </c>
      <c r="B7469" s="10" t="str">
        <f>参数调整!$J$38</f>
        <v>新增怪物种类3掉落</v>
      </c>
      <c r="C7469" s="8" t="str">
        <f>材料产出!$BN$2</f>
        <v>新增材料4</v>
      </c>
      <c r="D7469" s="224">
        <f>参数调整!$K$38*怪物掉落配置方案!$D4391</f>
        <v>0</v>
      </c>
    </row>
    <row r="7470" spans="1:4" ht="16.5" hidden="1" x14ac:dyDescent="0.3">
      <c r="A7470" s="10" t="str">
        <f>基本属性!$B$19&amp;"|"&amp;基本属性!$C$19</f>
        <v>190|9</v>
      </c>
      <c r="B7470" s="10" t="str">
        <f>参数调整!$J$38</f>
        <v>新增怪物种类3掉落</v>
      </c>
      <c r="C7470" s="8" t="str">
        <f>材料产出!$BN$2</f>
        <v>新增材料4</v>
      </c>
      <c r="D7470" s="224">
        <f>参数调整!$K$38*怪物掉落配置方案!$D4392</f>
        <v>0</v>
      </c>
    </row>
    <row r="7471" spans="1:4" ht="16.5" hidden="1" x14ac:dyDescent="0.3">
      <c r="A7471" s="10" t="str">
        <f>基本属性!$B$20&amp;"|"&amp;基本属性!$C$20</f>
        <v>200|10</v>
      </c>
      <c r="B7471" s="10" t="str">
        <f>参数调整!$J$38</f>
        <v>新增怪物种类3掉落</v>
      </c>
      <c r="C7471" s="8" t="str">
        <f>材料产出!$BN$2</f>
        <v>新增材料4</v>
      </c>
      <c r="D7471" s="224">
        <f>参数调整!$K$38*怪物掉落配置方案!$D4393</f>
        <v>0</v>
      </c>
    </row>
    <row r="7472" spans="1:4" ht="16.5" hidden="1" x14ac:dyDescent="0.3">
      <c r="A7472" s="10" t="str">
        <f>基本属性!$B$21&amp;"|"&amp;基本属性!$C$21</f>
        <v>200|11</v>
      </c>
      <c r="B7472" s="10" t="str">
        <f>参数调整!$J$38</f>
        <v>新增怪物种类3掉落</v>
      </c>
      <c r="C7472" s="8" t="str">
        <f>材料产出!$BN$2</f>
        <v>新增材料4</v>
      </c>
      <c r="D7472" s="224">
        <f>参数调整!$K$38*怪物掉落配置方案!$D4394</f>
        <v>0</v>
      </c>
    </row>
    <row r="7473" spans="1:4" ht="16.5" hidden="1" x14ac:dyDescent="0.3">
      <c r="A7473" s="10" t="str">
        <f>基本属性!$B$22&amp;"|"&amp;基本属性!$C$22</f>
        <v>210|12</v>
      </c>
      <c r="B7473" s="10" t="str">
        <f>参数调整!$J$38</f>
        <v>新增怪物种类3掉落</v>
      </c>
      <c r="C7473" s="8" t="str">
        <f>材料产出!$BN$2</f>
        <v>新增材料4</v>
      </c>
      <c r="D7473" s="224">
        <f>参数调整!$K$38*怪物掉落配置方案!$D4395</f>
        <v>0</v>
      </c>
    </row>
    <row r="7474" spans="1:4" ht="16.5" hidden="1" x14ac:dyDescent="0.3">
      <c r="A7474" s="10" t="str">
        <f>基本属性!$B$23&amp;"|"&amp;基本属性!$C$23</f>
        <v>210|13</v>
      </c>
      <c r="B7474" s="10" t="str">
        <f>参数调整!$J$38</f>
        <v>新增怪物种类3掉落</v>
      </c>
      <c r="C7474" s="8" t="str">
        <f>材料产出!$BN$2</f>
        <v>新增材料4</v>
      </c>
      <c r="D7474" s="224">
        <f>参数调整!$K$38*怪物掉落配置方案!$D4396</f>
        <v>0</v>
      </c>
    </row>
    <row r="7475" spans="1:4" ht="16.5" hidden="1" x14ac:dyDescent="0.3">
      <c r="A7475" s="10" t="str">
        <f>基本属性!$B$24&amp;"|"&amp;基本属性!$C$24</f>
        <v>220|14</v>
      </c>
      <c r="B7475" s="10" t="str">
        <f>参数调整!$J$38</f>
        <v>新增怪物种类3掉落</v>
      </c>
      <c r="C7475" s="8" t="str">
        <f>材料产出!$BN$2</f>
        <v>新增材料4</v>
      </c>
      <c r="D7475" s="224">
        <f>参数调整!$K$38*怪物掉落配置方案!$D4397</f>
        <v>0</v>
      </c>
    </row>
    <row r="7476" spans="1:4" ht="16.5" hidden="1" x14ac:dyDescent="0.3">
      <c r="A7476" s="10" t="str">
        <f>基本属性!$B$25&amp;"|"&amp;基本属性!$C$25</f>
        <v>220|15</v>
      </c>
      <c r="B7476" s="10" t="str">
        <f>参数调整!$J$38</f>
        <v>新增怪物种类3掉落</v>
      </c>
      <c r="C7476" s="8" t="str">
        <f>材料产出!$BN$2</f>
        <v>新增材料4</v>
      </c>
      <c r="D7476" s="224">
        <f>参数调整!$K$38*怪物掉落配置方案!$D4398</f>
        <v>0</v>
      </c>
    </row>
    <row r="7477" spans="1:4" ht="16.5" hidden="1" x14ac:dyDescent="0.3">
      <c r="A7477" s="10" t="str">
        <f>基本属性!$B$26&amp;"|"&amp;基本属性!$C$26</f>
        <v>230|16</v>
      </c>
      <c r="B7477" s="10" t="str">
        <f>参数调整!$J$38</f>
        <v>新增怪物种类3掉落</v>
      </c>
      <c r="C7477" s="8" t="str">
        <f>材料产出!$BN$2</f>
        <v>新增材料4</v>
      </c>
      <c r="D7477" s="224">
        <f>参数调整!$K$38*怪物掉落配置方案!$D4399</f>
        <v>0</v>
      </c>
    </row>
    <row r="7478" spans="1:4" ht="16.5" hidden="1" x14ac:dyDescent="0.3">
      <c r="A7478" s="10" t="str">
        <f>基本属性!$B$27&amp;"|"&amp;基本属性!$C$27</f>
        <v>230|17</v>
      </c>
      <c r="B7478" s="10" t="str">
        <f>参数调整!$J$38</f>
        <v>新增怪物种类3掉落</v>
      </c>
      <c r="C7478" s="8" t="str">
        <f>材料产出!$BN$2</f>
        <v>新增材料4</v>
      </c>
      <c r="D7478" s="224">
        <f>参数调整!$K$38*怪物掉落配置方案!$D4400</f>
        <v>0</v>
      </c>
    </row>
    <row r="7479" spans="1:4" ht="16.5" hidden="1" x14ac:dyDescent="0.3">
      <c r="A7479" s="10" t="str">
        <f>基本属性!$B$28&amp;"|"&amp;基本属性!$C$28</f>
        <v>240|18</v>
      </c>
      <c r="B7479" s="10" t="str">
        <f>参数调整!$J$38</f>
        <v>新增怪物种类3掉落</v>
      </c>
      <c r="C7479" s="8" t="str">
        <f>材料产出!$BN$2</f>
        <v>新增材料4</v>
      </c>
      <c r="D7479" s="224">
        <f>参数调整!$K$38*怪物掉落配置方案!$D4401</f>
        <v>0</v>
      </c>
    </row>
    <row r="7480" spans="1:4" ht="16.5" hidden="1" x14ac:dyDescent="0.3">
      <c r="A7480" s="10" t="str">
        <f>基本属性!$B$29&amp;"|"&amp;基本属性!$C$29</f>
        <v>240|19</v>
      </c>
      <c r="B7480" s="10" t="str">
        <f>参数调整!$J$38</f>
        <v>新增怪物种类3掉落</v>
      </c>
      <c r="C7480" s="8" t="str">
        <f>材料产出!$BN$2</f>
        <v>新增材料4</v>
      </c>
      <c r="D7480" s="224">
        <f>参数调整!$K$38*怪物掉落配置方案!$D4402</f>
        <v>0</v>
      </c>
    </row>
    <row r="7481" spans="1:4" ht="16.5" hidden="1" x14ac:dyDescent="0.3">
      <c r="A7481" s="10" t="str">
        <f>基本属性!$B$30&amp;"|"&amp;基本属性!$C$30</f>
        <v>250|20</v>
      </c>
      <c r="B7481" s="10" t="str">
        <f>参数调整!$J$38</f>
        <v>新增怪物种类3掉落</v>
      </c>
      <c r="C7481" s="8" t="str">
        <f>材料产出!$BN$2</f>
        <v>新增材料4</v>
      </c>
      <c r="D7481" s="224">
        <f>参数调整!$K$38*怪物掉落配置方案!$D4403</f>
        <v>0</v>
      </c>
    </row>
    <row r="7482" spans="1:4" ht="16.5" hidden="1" x14ac:dyDescent="0.3">
      <c r="A7482" s="10" t="str">
        <f>基本属性!$B$4&amp;"|"&amp;基本属性!$C$4</f>
        <v>35|0</v>
      </c>
      <c r="B7482" s="10" t="str">
        <f>参数调整!$J$38</f>
        <v>新增怪物种类3掉落</v>
      </c>
      <c r="C7482" s="8" t="str">
        <f>材料产出!$BL$2</f>
        <v>新增材料3</v>
      </c>
      <c r="D7482" s="224">
        <f>参数调整!$K$38*怪物掉落配置方案!$D4404</f>
        <v>0</v>
      </c>
    </row>
    <row r="7483" spans="1:4" ht="16.5" hidden="1" x14ac:dyDescent="0.3">
      <c r="A7483" s="10" t="str">
        <f>基本属性!$B$5&amp;"|"&amp;基本属性!$C$5</f>
        <v>40|0</v>
      </c>
      <c r="B7483" s="10" t="str">
        <f>参数调整!$J$38</f>
        <v>新增怪物种类3掉落</v>
      </c>
      <c r="C7483" s="8" t="str">
        <f>材料产出!$BL$2</f>
        <v>新增材料3</v>
      </c>
      <c r="D7483" s="224">
        <f>参数调整!$K$38*怪物掉落配置方案!$D4405</f>
        <v>0</v>
      </c>
    </row>
    <row r="7484" spans="1:4" ht="16.5" hidden="1" x14ac:dyDescent="0.3">
      <c r="A7484" s="10" t="str">
        <f>基本属性!$B$6&amp;"|"&amp;基本属性!$C$6</f>
        <v>50|0</v>
      </c>
      <c r="B7484" s="10" t="str">
        <f>参数调整!$J$38</f>
        <v>新增怪物种类3掉落</v>
      </c>
      <c r="C7484" s="8" t="str">
        <f>材料产出!$BL$2</f>
        <v>新增材料3</v>
      </c>
      <c r="D7484" s="224">
        <f>参数调整!$K$38*怪物掉落配置方案!$D4406</f>
        <v>0</v>
      </c>
    </row>
    <row r="7485" spans="1:4" ht="16.5" hidden="1" x14ac:dyDescent="0.3">
      <c r="A7485" s="10" t="str">
        <f>基本属性!$B$7&amp;"|"&amp;基本属性!$C$7</f>
        <v>60|0</v>
      </c>
      <c r="B7485" s="10" t="str">
        <f>参数调整!$J$38</f>
        <v>新增怪物种类3掉落</v>
      </c>
      <c r="C7485" s="8" t="str">
        <f>材料产出!$BL$2</f>
        <v>新增材料3</v>
      </c>
      <c r="D7485" s="224">
        <f>参数调整!$K$38*怪物掉落配置方案!$D4407</f>
        <v>0</v>
      </c>
    </row>
    <row r="7486" spans="1:4" ht="16.5" hidden="1" x14ac:dyDescent="0.3">
      <c r="A7486" s="10" t="str">
        <f>基本属性!$B$8&amp;"|"&amp;基本属性!$C$8</f>
        <v>65|0</v>
      </c>
      <c r="B7486" s="10" t="str">
        <f>参数调整!$J$38</f>
        <v>新增怪物种类3掉落</v>
      </c>
      <c r="C7486" s="8" t="str">
        <f>材料产出!$BL$2</f>
        <v>新增材料3</v>
      </c>
      <c r="D7486" s="224">
        <f>参数调整!$K$38*怪物掉落配置方案!$D4408</f>
        <v>0</v>
      </c>
    </row>
    <row r="7487" spans="1:4" ht="16.5" hidden="1" x14ac:dyDescent="0.3">
      <c r="A7487" s="10" t="str">
        <f>基本属性!$B$9&amp;"|"&amp;基本属性!$C$9</f>
        <v>70|0</v>
      </c>
      <c r="B7487" s="10" t="str">
        <f>参数调整!$J$38</f>
        <v>新增怪物种类3掉落</v>
      </c>
      <c r="C7487" s="8" t="str">
        <f>材料产出!$BL$2</f>
        <v>新增材料3</v>
      </c>
      <c r="D7487" s="224">
        <f>参数调整!$K$38*怪物掉落配置方案!$D4409</f>
        <v>0</v>
      </c>
    </row>
    <row r="7488" spans="1:4" ht="16.5" hidden="1" x14ac:dyDescent="0.3">
      <c r="A7488" s="10" t="str">
        <f>基本属性!$B$10&amp;"|"&amp;基本属性!$C$10</f>
        <v>75|0</v>
      </c>
      <c r="B7488" s="10" t="str">
        <f>参数调整!$J$38</f>
        <v>新增怪物种类3掉落</v>
      </c>
      <c r="C7488" s="8" t="str">
        <f>材料产出!$BL$2</f>
        <v>新增材料3</v>
      </c>
      <c r="D7488" s="224">
        <f>参数调整!$K$38*怪物掉落配置方案!$D4410</f>
        <v>0</v>
      </c>
    </row>
    <row r="7489" spans="1:4" ht="16.5" hidden="1" x14ac:dyDescent="0.3">
      <c r="A7489" s="10" t="str">
        <f>基本属性!$B$11&amp;"|"&amp;基本属性!$C$11</f>
        <v>80|1</v>
      </c>
      <c r="B7489" s="10" t="str">
        <f>参数调整!$J$38</f>
        <v>新增怪物种类3掉落</v>
      </c>
      <c r="C7489" s="8" t="str">
        <f>材料产出!$BL$2</f>
        <v>新增材料3</v>
      </c>
      <c r="D7489" s="224">
        <f>参数调整!$K$38*怪物掉落配置方案!$D4411</f>
        <v>0</v>
      </c>
    </row>
    <row r="7490" spans="1:4" ht="16.5" hidden="1" x14ac:dyDescent="0.3">
      <c r="A7490" s="10" t="str">
        <f>基本属性!$B$12&amp;"|"&amp;基本属性!$C$12</f>
        <v>90|2</v>
      </c>
      <c r="B7490" s="10" t="str">
        <f>参数调整!$J$38</f>
        <v>新增怪物种类3掉落</v>
      </c>
      <c r="C7490" s="8" t="str">
        <f>材料产出!$BL$2</f>
        <v>新增材料3</v>
      </c>
      <c r="D7490" s="224">
        <f>参数调整!$K$38*怪物掉落配置方案!$D4412</f>
        <v>0</v>
      </c>
    </row>
    <row r="7491" spans="1:4" ht="16.5" hidden="1" x14ac:dyDescent="0.3">
      <c r="A7491" s="10" t="str">
        <f>基本属性!$B$13&amp;"|"&amp;基本属性!$C$13</f>
        <v>100|3</v>
      </c>
      <c r="B7491" s="10" t="str">
        <f>参数调整!$J$38</f>
        <v>新增怪物种类3掉落</v>
      </c>
      <c r="C7491" s="8" t="str">
        <f>材料产出!$BL$2</f>
        <v>新增材料3</v>
      </c>
      <c r="D7491" s="224">
        <f>参数调整!$K$38*怪物掉落配置方案!$D4413</f>
        <v>0</v>
      </c>
    </row>
    <row r="7492" spans="1:4" ht="16.5" hidden="1" x14ac:dyDescent="0.3">
      <c r="A7492" s="10" t="str">
        <f>基本属性!$B$14&amp;"|"&amp;基本属性!$C$14</f>
        <v>105|4</v>
      </c>
      <c r="B7492" s="10" t="str">
        <f>参数调整!$J$38</f>
        <v>新增怪物种类3掉落</v>
      </c>
      <c r="C7492" s="8" t="str">
        <f>材料产出!$BL$2</f>
        <v>新增材料3</v>
      </c>
      <c r="D7492" s="224">
        <f>参数调整!$K$38*怪物掉落配置方案!$D4414</f>
        <v>0</v>
      </c>
    </row>
    <row r="7493" spans="1:4" ht="16.5" hidden="1" x14ac:dyDescent="0.3">
      <c r="A7493" s="10" t="str">
        <f>基本属性!$B$15&amp;"|"&amp;基本属性!$C$15</f>
        <v>110|5</v>
      </c>
      <c r="B7493" s="10" t="str">
        <f>参数调整!$J$38</f>
        <v>新增怪物种类3掉落</v>
      </c>
      <c r="C7493" s="8" t="str">
        <f>材料产出!$BL$2</f>
        <v>新增材料3</v>
      </c>
      <c r="D7493" s="224">
        <f>参数调整!$K$38*怪物掉落配置方案!$D4415</f>
        <v>0</v>
      </c>
    </row>
    <row r="7494" spans="1:4" ht="16.5" hidden="1" x14ac:dyDescent="0.3">
      <c r="A7494" s="10" t="str">
        <f>基本属性!$B$16&amp;"|"&amp;基本属性!$C$16</f>
        <v>120|6</v>
      </c>
      <c r="B7494" s="10" t="str">
        <f>参数调整!$J$38</f>
        <v>新增怪物种类3掉落</v>
      </c>
      <c r="C7494" s="8" t="str">
        <f>材料产出!$BL$2</f>
        <v>新增材料3</v>
      </c>
      <c r="D7494" s="224">
        <f>参数调整!$K$38*怪物掉落配置方案!$D4416</f>
        <v>0</v>
      </c>
    </row>
    <row r="7495" spans="1:4" ht="16.5" hidden="1" x14ac:dyDescent="0.3">
      <c r="A7495" s="10" t="str">
        <f>基本属性!$B$17&amp;"|"&amp;基本属性!$C$17</f>
        <v>135|7</v>
      </c>
      <c r="B7495" s="10" t="str">
        <f>参数调整!$J$38</f>
        <v>新增怪物种类3掉落</v>
      </c>
      <c r="C7495" s="8" t="str">
        <f>材料产出!$BL$2</f>
        <v>新增材料3</v>
      </c>
      <c r="D7495" s="224">
        <f>参数调整!$K$38*怪物掉落配置方案!$D4417</f>
        <v>0</v>
      </c>
    </row>
    <row r="7496" spans="1:4" ht="16.5" hidden="1" x14ac:dyDescent="0.3">
      <c r="A7496" s="10" t="str">
        <f>基本属性!$B$18&amp;"|"&amp;基本属性!$C$18</f>
        <v>155|8</v>
      </c>
      <c r="B7496" s="10" t="str">
        <f>参数调整!$J$38</f>
        <v>新增怪物种类3掉落</v>
      </c>
      <c r="C7496" s="8" t="str">
        <f>材料产出!$BL$2</f>
        <v>新增材料3</v>
      </c>
      <c r="D7496" s="224">
        <f>参数调整!$K$38*怪物掉落配置方案!$D4418</f>
        <v>0</v>
      </c>
    </row>
    <row r="7497" spans="1:4" ht="16.5" hidden="1" x14ac:dyDescent="0.3">
      <c r="A7497" s="10" t="str">
        <f>基本属性!$B$19&amp;"|"&amp;基本属性!$C$19</f>
        <v>190|9</v>
      </c>
      <c r="B7497" s="10" t="str">
        <f>参数调整!$J$38</f>
        <v>新增怪物种类3掉落</v>
      </c>
      <c r="C7497" s="8" t="str">
        <f>材料产出!$BL$2</f>
        <v>新增材料3</v>
      </c>
      <c r="D7497" s="224">
        <f>参数调整!$K$38*怪物掉落配置方案!$D4419</f>
        <v>0</v>
      </c>
    </row>
    <row r="7498" spans="1:4" ht="16.5" hidden="1" x14ac:dyDescent="0.3">
      <c r="A7498" s="10" t="str">
        <f>基本属性!$B$20&amp;"|"&amp;基本属性!$C$20</f>
        <v>200|10</v>
      </c>
      <c r="B7498" s="10" t="str">
        <f>参数调整!$J$38</f>
        <v>新增怪物种类3掉落</v>
      </c>
      <c r="C7498" s="8" t="str">
        <f>材料产出!$BL$2</f>
        <v>新增材料3</v>
      </c>
      <c r="D7498" s="224">
        <f>参数调整!$K$38*怪物掉落配置方案!$D4420</f>
        <v>0</v>
      </c>
    </row>
    <row r="7499" spans="1:4" ht="16.5" hidden="1" x14ac:dyDescent="0.3">
      <c r="A7499" s="10" t="str">
        <f>基本属性!$B$21&amp;"|"&amp;基本属性!$C$21</f>
        <v>200|11</v>
      </c>
      <c r="B7499" s="10" t="str">
        <f>参数调整!$J$38</f>
        <v>新增怪物种类3掉落</v>
      </c>
      <c r="C7499" s="8" t="str">
        <f>材料产出!$BL$2</f>
        <v>新增材料3</v>
      </c>
      <c r="D7499" s="224">
        <f>参数调整!$K$38*怪物掉落配置方案!$D4421</f>
        <v>0</v>
      </c>
    </row>
    <row r="7500" spans="1:4" ht="16.5" hidden="1" x14ac:dyDescent="0.3">
      <c r="A7500" s="10" t="str">
        <f>基本属性!$B$22&amp;"|"&amp;基本属性!$C$22</f>
        <v>210|12</v>
      </c>
      <c r="B7500" s="10" t="str">
        <f>参数调整!$J$38</f>
        <v>新增怪物种类3掉落</v>
      </c>
      <c r="C7500" s="8" t="str">
        <f>材料产出!$BL$2</f>
        <v>新增材料3</v>
      </c>
      <c r="D7500" s="224">
        <f>参数调整!$K$38*怪物掉落配置方案!$D4422</f>
        <v>0</v>
      </c>
    </row>
    <row r="7501" spans="1:4" ht="16.5" hidden="1" x14ac:dyDescent="0.3">
      <c r="A7501" s="10" t="str">
        <f>基本属性!$B$23&amp;"|"&amp;基本属性!$C$23</f>
        <v>210|13</v>
      </c>
      <c r="B7501" s="10" t="str">
        <f>参数调整!$J$38</f>
        <v>新增怪物种类3掉落</v>
      </c>
      <c r="C7501" s="8" t="str">
        <f>材料产出!$BL$2</f>
        <v>新增材料3</v>
      </c>
      <c r="D7501" s="224">
        <f>参数调整!$K$38*怪物掉落配置方案!$D4423</f>
        <v>0</v>
      </c>
    </row>
    <row r="7502" spans="1:4" ht="16.5" hidden="1" x14ac:dyDescent="0.3">
      <c r="A7502" s="10" t="str">
        <f>基本属性!$B$24&amp;"|"&amp;基本属性!$C$24</f>
        <v>220|14</v>
      </c>
      <c r="B7502" s="10" t="str">
        <f>参数调整!$J$38</f>
        <v>新增怪物种类3掉落</v>
      </c>
      <c r="C7502" s="8" t="str">
        <f>材料产出!$BL$2</f>
        <v>新增材料3</v>
      </c>
      <c r="D7502" s="224">
        <f>参数调整!$K$38*怪物掉落配置方案!$D4424</f>
        <v>0</v>
      </c>
    </row>
    <row r="7503" spans="1:4" ht="16.5" hidden="1" x14ac:dyDescent="0.3">
      <c r="A7503" s="10" t="str">
        <f>基本属性!$B$25&amp;"|"&amp;基本属性!$C$25</f>
        <v>220|15</v>
      </c>
      <c r="B7503" s="10" t="str">
        <f>参数调整!$J$38</f>
        <v>新增怪物种类3掉落</v>
      </c>
      <c r="C7503" s="8" t="str">
        <f>材料产出!$BL$2</f>
        <v>新增材料3</v>
      </c>
      <c r="D7503" s="224">
        <f>参数调整!$K$38*怪物掉落配置方案!$D4425</f>
        <v>0</v>
      </c>
    </row>
    <row r="7504" spans="1:4" ht="16.5" hidden="1" x14ac:dyDescent="0.3">
      <c r="A7504" s="10" t="str">
        <f>基本属性!$B$26&amp;"|"&amp;基本属性!$C$26</f>
        <v>230|16</v>
      </c>
      <c r="B7504" s="10" t="str">
        <f>参数调整!$J$38</f>
        <v>新增怪物种类3掉落</v>
      </c>
      <c r="C7504" s="8" t="str">
        <f>材料产出!$BL$2</f>
        <v>新增材料3</v>
      </c>
      <c r="D7504" s="224">
        <f>参数调整!$K$38*怪物掉落配置方案!$D4426</f>
        <v>0</v>
      </c>
    </row>
    <row r="7505" spans="1:4" ht="16.5" hidden="1" x14ac:dyDescent="0.3">
      <c r="A7505" s="10" t="str">
        <f>基本属性!$B$27&amp;"|"&amp;基本属性!$C$27</f>
        <v>230|17</v>
      </c>
      <c r="B7505" s="10" t="str">
        <f>参数调整!$J$38</f>
        <v>新增怪物种类3掉落</v>
      </c>
      <c r="C7505" s="8" t="str">
        <f>材料产出!$BL$2</f>
        <v>新增材料3</v>
      </c>
      <c r="D7505" s="224">
        <f>参数调整!$K$38*怪物掉落配置方案!$D4427</f>
        <v>0</v>
      </c>
    </row>
    <row r="7506" spans="1:4" ht="16.5" hidden="1" x14ac:dyDescent="0.3">
      <c r="A7506" s="10" t="str">
        <f>基本属性!$B$28&amp;"|"&amp;基本属性!$C$28</f>
        <v>240|18</v>
      </c>
      <c r="B7506" s="10" t="str">
        <f>参数调整!$J$38</f>
        <v>新增怪物种类3掉落</v>
      </c>
      <c r="C7506" s="8" t="str">
        <f>材料产出!$BL$2</f>
        <v>新增材料3</v>
      </c>
      <c r="D7506" s="224">
        <f>参数调整!$K$38*怪物掉落配置方案!$D4428</f>
        <v>0</v>
      </c>
    </row>
    <row r="7507" spans="1:4" ht="16.5" hidden="1" x14ac:dyDescent="0.3">
      <c r="A7507" s="10" t="str">
        <f>基本属性!$B$29&amp;"|"&amp;基本属性!$C$29</f>
        <v>240|19</v>
      </c>
      <c r="B7507" s="10" t="str">
        <f>参数调整!$J$38</f>
        <v>新增怪物种类3掉落</v>
      </c>
      <c r="C7507" s="8" t="str">
        <f>材料产出!$BL$2</f>
        <v>新增材料3</v>
      </c>
      <c r="D7507" s="224">
        <f>参数调整!$K$38*怪物掉落配置方案!$D4429</f>
        <v>0</v>
      </c>
    </row>
    <row r="7508" spans="1:4" ht="16.5" hidden="1" x14ac:dyDescent="0.3">
      <c r="A7508" s="10" t="str">
        <f>基本属性!$B$30&amp;"|"&amp;基本属性!$C$30</f>
        <v>250|20</v>
      </c>
      <c r="B7508" s="10" t="str">
        <f>参数调整!$J$38</f>
        <v>新增怪物种类3掉落</v>
      </c>
      <c r="C7508" s="8" t="str">
        <f>材料产出!$BL$2</f>
        <v>新增材料3</v>
      </c>
      <c r="D7508" s="224">
        <f>参数调整!$K$38*怪物掉落配置方案!$D4430</f>
        <v>0</v>
      </c>
    </row>
    <row r="7509" spans="1:4" ht="16.5" hidden="1" x14ac:dyDescent="0.3">
      <c r="A7509" s="10" t="str">
        <f>基本属性!$B$4&amp;"|"&amp;基本属性!$C$4</f>
        <v>35|0</v>
      </c>
      <c r="B7509" s="10" t="str">
        <f>参数调整!$J$38</f>
        <v>新增怪物种类3掉落</v>
      </c>
      <c r="C7509" s="8" t="str">
        <f>材料产出!$BJ$2</f>
        <v>新增材料2</v>
      </c>
      <c r="D7509" s="224">
        <f>参数调整!$K$38*怪物掉落配置方案!$D4431</f>
        <v>0</v>
      </c>
    </row>
    <row r="7510" spans="1:4" ht="16.5" hidden="1" x14ac:dyDescent="0.3">
      <c r="A7510" s="10" t="str">
        <f>基本属性!$B$5&amp;"|"&amp;基本属性!$C$5</f>
        <v>40|0</v>
      </c>
      <c r="B7510" s="10" t="str">
        <f>参数调整!$J$38</f>
        <v>新增怪物种类3掉落</v>
      </c>
      <c r="C7510" s="8" t="str">
        <f>材料产出!$BJ$2</f>
        <v>新增材料2</v>
      </c>
      <c r="D7510" s="224">
        <f>参数调整!$K$38*怪物掉落配置方案!$D4432</f>
        <v>0</v>
      </c>
    </row>
    <row r="7511" spans="1:4" ht="16.5" hidden="1" x14ac:dyDescent="0.3">
      <c r="A7511" s="10" t="str">
        <f>基本属性!$B$6&amp;"|"&amp;基本属性!$C$6</f>
        <v>50|0</v>
      </c>
      <c r="B7511" s="10" t="str">
        <f>参数调整!$J$38</f>
        <v>新增怪物种类3掉落</v>
      </c>
      <c r="C7511" s="8" t="str">
        <f>材料产出!$BJ$2</f>
        <v>新增材料2</v>
      </c>
      <c r="D7511" s="224">
        <f>参数调整!$K$38*怪物掉落配置方案!$D4433</f>
        <v>0</v>
      </c>
    </row>
    <row r="7512" spans="1:4" ht="16.5" hidden="1" x14ac:dyDescent="0.3">
      <c r="A7512" s="10" t="str">
        <f>基本属性!$B$7&amp;"|"&amp;基本属性!$C$7</f>
        <v>60|0</v>
      </c>
      <c r="B7512" s="10" t="str">
        <f>参数调整!$J$38</f>
        <v>新增怪物种类3掉落</v>
      </c>
      <c r="C7512" s="8" t="str">
        <f>材料产出!$BJ$2</f>
        <v>新增材料2</v>
      </c>
      <c r="D7512" s="224">
        <f>参数调整!$K$38*怪物掉落配置方案!$D4434</f>
        <v>0</v>
      </c>
    </row>
    <row r="7513" spans="1:4" ht="16.5" hidden="1" x14ac:dyDescent="0.3">
      <c r="A7513" s="10" t="str">
        <f>基本属性!$B$8&amp;"|"&amp;基本属性!$C$8</f>
        <v>65|0</v>
      </c>
      <c r="B7513" s="10" t="str">
        <f>参数调整!$J$38</f>
        <v>新增怪物种类3掉落</v>
      </c>
      <c r="C7513" s="8" t="str">
        <f>材料产出!$BJ$2</f>
        <v>新增材料2</v>
      </c>
      <c r="D7513" s="224">
        <f>参数调整!$K$38*怪物掉落配置方案!$D4435</f>
        <v>0</v>
      </c>
    </row>
    <row r="7514" spans="1:4" ht="16.5" hidden="1" x14ac:dyDescent="0.3">
      <c r="A7514" s="10" t="str">
        <f>基本属性!$B$9&amp;"|"&amp;基本属性!$C$9</f>
        <v>70|0</v>
      </c>
      <c r="B7514" s="10" t="str">
        <f>参数调整!$J$38</f>
        <v>新增怪物种类3掉落</v>
      </c>
      <c r="C7514" s="8" t="str">
        <f>材料产出!$BJ$2</f>
        <v>新增材料2</v>
      </c>
      <c r="D7514" s="224">
        <f>参数调整!$K$38*怪物掉落配置方案!$D4436</f>
        <v>0</v>
      </c>
    </row>
    <row r="7515" spans="1:4" ht="16.5" hidden="1" x14ac:dyDescent="0.3">
      <c r="A7515" s="10" t="str">
        <f>基本属性!$B$10&amp;"|"&amp;基本属性!$C$10</f>
        <v>75|0</v>
      </c>
      <c r="B7515" s="10" t="str">
        <f>参数调整!$J$38</f>
        <v>新增怪物种类3掉落</v>
      </c>
      <c r="C7515" s="8" t="str">
        <f>材料产出!$BJ$2</f>
        <v>新增材料2</v>
      </c>
      <c r="D7515" s="224">
        <f>参数调整!$K$38*怪物掉落配置方案!$D4437</f>
        <v>0</v>
      </c>
    </row>
    <row r="7516" spans="1:4" ht="16.5" hidden="1" x14ac:dyDescent="0.3">
      <c r="A7516" s="10" t="str">
        <f>基本属性!$B$11&amp;"|"&amp;基本属性!$C$11</f>
        <v>80|1</v>
      </c>
      <c r="B7516" s="10" t="str">
        <f>参数调整!$J$38</f>
        <v>新增怪物种类3掉落</v>
      </c>
      <c r="C7516" s="8" t="str">
        <f>材料产出!$BJ$2</f>
        <v>新增材料2</v>
      </c>
      <c r="D7516" s="224">
        <f>参数调整!$K$38*怪物掉落配置方案!$D4438</f>
        <v>0</v>
      </c>
    </row>
    <row r="7517" spans="1:4" ht="16.5" hidden="1" x14ac:dyDescent="0.3">
      <c r="A7517" s="10" t="str">
        <f>基本属性!$B$12&amp;"|"&amp;基本属性!$C$12</f>
        <v>90|2</v>
      </c>
      <c r="B7517" s="10" t="str">
        <f>参数调整!$J$38</f>
        <v>新增怪物种类3掉落</v>
      </c>
      <c r="C7517" s="8" t="str">
        <f>材料产出!$BJ$2</f>
        <v>新增材料2</v>
      </c>
      <c r="D7517" s="224">
        <f>参数调整!$K$38*怪物掉落配置方案!$D4439</f>
        <v>0</v>
      </c>
    </row>
    <row r="7518" spans="1:4" ht="16.5" hidden="1" x14ac:dyDescent="0.3">
      <c r="A7518" s="10" t="str">
        <f>基本属性!$B$13&amp;"|"&amp;基本属性!$C$13</f>
        <v>100|3</v>
      </c>
      <c r="B7518" s="10" t="str">
        <f>参数调整!$J$38</f>
        <v>新增怪物种类3掉落</v>
      </c>
      <c r="C7518" s="8" t="str">
        <f>材料产出!$BJ$2</f>
        <v>新增材料2</v>
      </c>
      <c r="D7518" s="224">
        <f>参数调整!$K$38*怪物掉落配置方案!$D4440</f>
        <v>0</v>
      </c>
    </row>
    <row r="7519" spans="1:4" ht="16.5" hidden="1" x14ac:dyDescent="0.3">
      <c r="A7519" s="10" t="str">
        <f>基本属性!$B$14&amp;"|"&amp;基本属性!$C$14</f>
        <v>105|4</v>
      </c>
      <c r="B7519" s="10" t="str">
        <f>参数调整!$J$38</f>
        <v>新增怪物种类3掉落</v>
      </c>
      <c r="C7519" s="8" t="str">
        <f>材料产出!$BJ$2</f>
        <v>新增材料2</v>
      </c>
      <c r="D7519" s="224">
        <f>参数调整!$K$38*怪物掉落配置方案!$D4441</f>
        <v>0</v>
      </c>
    </row>
    <row r="7520" spans="1:4" ht="16.5" hidden="1" x14ac:dyDescent="0.3">
      <c r="A7520" s="10" t="str">
        <f>基本属性!$B$15&amp;"|"&amp;基本属性!$C$15</f>
        <v>110|5</v>
      </c>
      <c r="B7520" s="10" t="str">
        <f>参数调整!$J$38</f>
        <v>新增怪物种类3掉落</v>
      </c>
      <c r="C7520" s="8" t="str">
        <f>材料产出!$BJ$2</f>
        <v>新增材料2</v>
      </c>
      <c r="D7520" s="224">
        <f>参数调整!$K$38*怪物掉落配置方案!$D4442</f>
        <v>0</v>
      </c>
    </row>
    <row r="7521" spans="1:4" ht="16.5" hidden="1" x14ac:dyDescent="0.3">
      <c r="A7521" s="10" t="str">
        <f>基本属性!$B$16&amp;"|"&amp;基本属性!$C$16</f>
        <v>120|6</v>
      </c>
      <c r="B7521" s="10" t="str">
        <f>参数调整!$J$38</f>
        <v>新增怪物种类3掉落</v>
      </c>
      <c r="C7521" s="8" t="str">
        <f>材料产出!$BJ$2</f>
        <v>新增材料2</v>
      </c>
      <c r="D7521" s="224">
        <f>参数调整!$K$38*怪物掉落配置方案!$D4443</f>
        <v>0</v>
      </c>
    </row>
    <row r="7522" spans="1:4" ht="16.5" hidden="1" x14ac:dyDescent="0.3">
      <c r="A7522" s="10" t="str">
        <f>基本属性!$B$17&amp;"|"&amp;基本属性!$C$17</f>
        <v>135|7</v>
      </c>
      <c r="B7522" s="10" t="str">
        <f>参数调整!$J$38</f>
        <v>新增怪物种类3掉落</v>
      </c>
      <c r="C7522" s="8" t="str">
        <f>材料产出!$BJ$2</f>
        <v>新增材料2</v>
      </c>
      <c r="D7522" s="224">
        <f>参数调整!$K$38*怪物掉落配置方案!$D4444</f>
        <v>0</v>
      </c>
    </row>
    <row r="7523" spans="1:4" ht="16.5" hidden="1" x14ac:dyDescent="0.3">
      <c r="A7523" s="10" t="str">
        <f>基本属性!$B$18&amp;"|"&amp;基本属性!$C$18</f>
        <v>155|8</v>
      </c>
      <c r="B7523" s="10" t="str">
        <f>参数调整!$J$38</f>
        <v>新增怪物种类3掉落</v>
      </c>
      <c r="C7523" s="8" t="str">
        <f>材料产出!$BJ$2</f>
        <v>新增材料2</v>
      </c>
      <c r="D7523" s="224">
        <f>参数调整!$K$38*怪物掉落配置方案!$D4445</f>
        <v>0</v>
      </c>
    </row>
    <row r="7524" spans="1:4" ht="16.5" hidden="1" x14ac:dyDescent="0.3">
      <c r="A7524" s="10" t="str">
        <f>基本属性!$B$19&amp;"|"&amp;基本属性!$C$19</f>
        <v>190|9</v>
      </c>
      <c r="B7524" s="10" t="str">
        <f>参数调整!$J$38</f>
        <v>新增怪物种类3掉落</v>
      </c>
      <c r="C7524" s="8" t="str">
        <f>材料产出!$BJ$2</f>
        <v>新增材料2</v>
      </c>
      <c r="D7524" s="224">
        <f>参数调整!$K$38*怪物掉落配置方案!$D4446</f>
        <v>0</v>
      </c>
    </row>
    <row r="7525" spans="1:4" ht="16.5" hidden="1" x14ac:dyDescent="0.3">
      <c r="A7525" s="10" t="str">
        <f>基本属性!$B$20&amp;"|"&amp;基本属性!$C$20</f>
        <v>200|10</v>
      </c>
      <c r="B7525" s="10" t="str">
        <f>参数调整!$J$38</f>
        <v>新增怪物种类3掉落</v>
      </c>
      <c r="C7525" s="8" t="str">
        <f>材料产出!$BJ$2</f>
        <v>新增材料2</v>
      </c>
      <c r="D7525" s="224">
        <f>参数调整!$K$38*怪物掉落配置方案!$D4447</f>
        <v>0</v>
      </c>
    </row>
    <row r="7526" spans="1:4" ht="16.5" hidden="1" x14ac:dyDescent="0.3">
      <c r="A7526" s="10" t="str">
        <f>基本属性!$B$21&amp;"|"&amp;基本属性!$C$21</f>
        <v>200|11</v>
      </c>
      <c r="B7526" s="10" t="str">
        <f>参数调整!$J$38</f>
        <v>新增怪物种类3掉落</v>
      </c>
      <c r="C7526" s="8" t="str">
        <f>材料产出!$BJ$2</f>
        <v>新增材料2</v>
      </c>
      <c r="D7526" s="224">
        <f>参数调整!$K$38*怪物掉落配置方案!$D4448</f>
        <v>0</v>
      </c>
    </row>
    <row r="7527" spans="1:4" ht="16.5" hidden="1" x14ac:dyDescent="0.3">
      <c r="A7527" s="10" t="str">
        <f>基本属性!$B$22&amp;"|"&amp;基本属性!$C$22</f>
        <v>210|12</v>
      </c>
      <c r="B7527" s="10" t="str">
        <f>参数调整!$J$38</f>
        <v>新增怪物种类3掉落</v>
      </c>
      <c r="C7527" s="8" t="str">
        <f>材料产出!$BJ$2</f>
        <v>新增材料2</v>
      </c>
      <c r="D7527" s="224">
        <f>参数调整!$K$38*怪物掉落配置方案!$D4449</f>
        <v>0</v>
      </c>
    </row>
    <row r="7528" spans="1:4" ht="16.5" hidden="1" x14ac:dyDescent="0.3">
      <c r="A7528" s="10" t="str">
        <f>基本属性!$B$23&amp;"|"&amp;基本属性!$C$23</f>
        <v>210|13</v>
      </c>
      <c r="B7528" s="10" t="str">
        <f>参数调整!$J$38</f>
        <v>新增怪物种类3掉落</v>
      </c>
      <c r="C7528" s="8" t="str">
        <f>材料产出!$BJ$2</f>
        <v>新增材料2</v>
      </c>
      <c r="D7528" s="224">
        <f>参数调整!$K$38*怪物掉落配置方案!$D4450</f>
        <v>0</v>
      </c>
    </row>
    <row r="7529" spans="1:4" ht="16.5" hidden="1" x14ac:dyDescent="0.3">
      <c r="A7529" s="10" t="str">
        <f>基本属性!$B$24&amp;"|"&amp;基本属性!$C$24</f>
        <v>220|14</v>
      </c>
      <c r="B7529" s="10" t="str">
        <f>参数调整!$J$38</f>
        <v>新增怪物种类3掉落</v>
      </c>
      <c r="C7529" s="8" t="str">
        <f>材料产出!$BJ$2</f>
        <v>新增材料2</v>
      </c>
      <c r="D7529" s="224">
        <f>参数调整!$K$38*怪物掉落配置方案!$D4451</f>
        <v>0</v>
      </c>
    </row>
    <row r="7530" spans="1:4" ht="16.5" hidden="1" x14ac:dyDescent="0.3">
      <c r="A7530" s="10" t="str">
        <f>基本属性!$B$25&amp;"|"&amp;基本属性!$C$25</f>
        <v>220|15</v>
      </c>
      <c r="B7530" s="10" t="str">
        <f>参数调整!$J$38</f>
        <v>新增怪物种类3掉落</v>
      </c>
      <c r="C7530" s="8" t="str">
        <f>材料产出!$BJ$2</f>
        <v>新增材料2</v>
      </c>
      <c r="D7530" s="224">
        <f>参数调整!$K$38*怪物掉落配置方案!$D4452</f>
        <v>0</v>
      </c>
    </row>
    <row r="7531" spans="1:4" ht="16.5" hidden="1" x14ac:dyDescent="0.3">
      <c r="A7531" s="10" t="str">
        <f>基本属性!$B$26&amp;"|"&amp;基本属性!$C$26</f>
        <v>230|16</v>
      </c>
      <c r="B7531" s="10" t="str">
        <f>参数调整!$J$38</f>
        <v>新增怪物种类3掉落</v>
      </c>
      <c r="C7531" s="8" t="str">
        <f>材料产出!$BJ$2</f>
        <v>新增材料2</v>
      </c>
      <c r="D7531" s="224">
        <f>参数调整!$K$38*怪物掉落配置方案!$D4453</f>
        <v>0</v>
      </c>
    </row>
    <row r="7532" spans="1:4" ht="16.5" hidden="1" x14ac:dyDescent="0.3">
      <c r="A7532" s="10" t="str">
        <f>基本属性!$B$27&amp;"|"&amp;基本属性!$C$27</f>
        <v>230|17</v>
      </c>
      <c r="B7532" s="10" t="str">
        <f>参数调整!$J$38</f>
        <v>新增怪物种类3掉落</v>
      </c>
      <c r="C7532" s="8" t="str">
        <f>材料产出!$BJ$2</f>
        <v>新增材料2</v>
      </c>
      <c r="D7532" s="224">
        <f>参数调整!$K$38*怪物掉落配置方案!$D4454</f>
        <v>0</v>
      </c>
    </row>
    <row r="7533" spans="1:4" ht="16.5" hidden="1" x14ac:dyDescent="0.3">
      <c r="A7533" s="10" t="str">
        <f>基本属性!$B$28&amp;"|"&amp;基本属性!$C$28</f>
        <v>240|18</v>
      </c>
      <c r="B7533" s="10" t="str">
        <f>参数调整!$J$38</f>
        <v>新增怪物种类3掉落</v>
      </c>
      <c r="C7533" s="8" t="str">
        <f>材料产出!$BJ$2</f>
        <v>新增材料2</v>
      </c>
      <c r="D7533" s="224">
        <f>参数调整!$K$38*怪物掉落配置方案!$D4455</f>
        <v>0</v>
      </c>
    </row>
    <row r="7534" spans="1:4" ht="16.5" hidden="1" x14ac:dyDescent="0.3">
      <c r="A7534" s="10" t="str">
        <f>基本属性!$B$29&amp;"|"&amp;基本属性!$C$29</f>
        <v>240|19</v>
      </c>
      <c r="B7534" s="10" t="str">
        <f>参数调整!$J$38</f>
        <v>新增怪物种类3掉落</v>
      </c>
      <c r="C7534" s="8" t="str">
        <f>材料产出!$BJ$2</f>
        <v>新增材料2</v>
      </c>
      <c r="D7534" s="224">
        <f>参数调整!$K$38*怪物掉落配置方案!$D4456</f>
        <v>0</v>
      </c>
    </row>
    <row r="7535" spans="1:4" ht="16.5" hidden="1" x14ac:dyDescent="0.3">
      <c r="A7535" s="10" t="str">
        <f>基本属性!$B$30&amp;"|"&amp;基本属性!$C$30</f>
        <v>250|20</v>
      </c>
      <c r="B7535" s="10" t="str">
        <f>参数调整!$J$38</f>
        <v>新增怪物种类3掉落</v>
      </c>
      <c r="C7535" s="8" t="str">
        <f>材料产出!$BJ$2</f>
        <v>新增材料2</v>
      </c>
      <c r="D7535" s="224">
        <f>参数调整!$K$38*怪物掉落配置方案!$D4457</f>
        <v>0</v>
      </c>
    </row>
    <row r="7536" spans="1:4" ht="16.5" hidden="1" x14ac:dyDescent="0.3">
      <c r="A7536" s="10" t="str">
        <f>基本属性!$B$4&amp;"|"&amp;基本属性!$C$4</f>
        <v>35|0</v>
      </c>
      <c r="B7536" s="10" t="str">
        <f>参数调整!$J$38</f>
        <v>新增怪物种类3掉落</v>
      </c>
      <c r="C7536" s="8" t="str">
        <f>材料产出!$BH$2</f>
        <v>新增材料1</v>
      </c>
      <c r="D7536" s="224">
        <f>参数调整!$K$38*怪物掉落配置方案!$D4458</f>
        <v>0</v>
      </c>
    </row>
    <row r="7537" spans="1:4" ht="16.5" hidden="1" x14ac:dyDescent="0.3">
      <c r="A7537" s="10" t="str">
        <f>基本属性!$B$5&amp;"|"&amp;基本属性!$C$5</f>
        <v>40|0</v>
      </c>
      <c r="B7537" s="10" t="str">
        <f>参数调整!$J$38</f>
        <v>新增怪物种类3掉落</v>
      </c>
      <c r="C7537" s="8" t="str">
        <f>材料产出!$BH$2</f>
        <v>新增材料1</v>
      </c>
      <c r="D7537" s="224">
        <f>参数调整!$K$38*怪物掉落配置方案!$D4459</f>
        <v>0</v>
      </c>
    </row>
    <row r="7538" spans="1:4" ht="16.5" hidden="1" x14ac:dyDescent="0.3">
      <c r="A7538" s="10" t="str">
        <f>基本属性!$B$6&amp;"|"&amp;基本属性!$C$6</f>
        <v>50|0</v>
      </c>
      <c r="B7538" s="10" t="str">
        <f>参数调整!$J$38</f>
        <v>新增怪物种类3掉落</v>
      </c>
      <c r="C7538" s="8" t="str">
        <f>材料产出!$BH$2</f>
        <v>新增材料1</v>
      </c>
      <c r="D7538" s="224">
        <f>参数调整!$K$38*怪物掉落配置方案!$D4460</f>
        <v>0</v>
      </c>
    </row>
    <row r="7539" spans="1:4" ht="16.5" hidden="1" x14ac:dyDescent="0.3">
      <c r="A7539" s="10" t="str">
        <f>基本属性!$B$7&amp;"|"&amp;基本属性!$C$7</f>
        <v>60|0</v>
      </c>
      <c r="B7539" s="10" t="str">
        <f>参数调整!$J$38</f>
        <v>新增怪物种类3掉落</v>
      </c>
      <c r="C7539" s="8" t="str">
        <f>材料产出!$BH$2</f>
        <v>新增材料1</v>
      </c>
      <c r="D7539" s="224">
        <f>参数调整!$K$38*怪物掉落配置方案!$D4461</f>
        <v>0</v>
      </c>
    </row>
    <row r="7540" spans="1:4" ht="16.5" hidden="1" x14ac:dyDescent="0.3">
      <c r="A7540" s="10" t="str">
        <f>基本属性!$B$8&amp;"|"&amp;基本属性!$C$8</f>
        <v>65|0</v>
      </c>
      <c r="B7540" s="10" t="str">
        <f>参数调整!$J$38</f>
        <v>新增怪物种类3掉落</v>
      </c>
      <c r="C7540" s="8" t="str">
        <f>材料产出!$BH$2</f>
        <v>新增材料1</v>
      </c>
      <c r="D7540" s="224">
        <f>参数调整!$K$38*怪物掉落配置方案!$D4462</f>
        <v>0</v>
      </c>
    </row>
    <row r="7541" spans="1:4" ht="16.5" hidden="1" x14ac:dyDescent="0.3">
      <c r="A7541" s="10" t="str">
        <f>基本属性!$B$9&amp;"|"&amp;基本属性!$C$9</f>
        <v>70|0</v>
      </c>
      <c r="B7541" s="10" t="str">
        <f>参数调整!$J$38</f>
        <v>新增怪物种类3掉落</v>
      </c>
      <c r="C7541" s="8" t="str">
        <f>材料产出!$BH$2</f>
        <v>新增材料1</v>
      </c>
      <c r="D7541" s="224">
        <f>参数调整!$K$38*怪物掉落配置方案!$D4463</f>
        <v>0</v>
      </c>
    </row>
    <row r="7542" spans="1:4" ht="16.5" hidden="1" x14ac:dyDescent="0.3">
      <c r="A7542" s="10" t="str">
        <f>基本属性!$B$10&amp;"|"&amp;基本属性!$C$10</f>
        <v>75|0</v>
      </c>
      <c r="B7542" s="10" t="str">
        <f>参数调整!$J$38</f>
        <v>新增怪物种类3掉落</v>
      </c>
      <c r="C7542" s="8" t="str">
        <f>材料产出!$BH$2</f>
        <v>新增材料1</v>
      </c>
      <c r="D7542" s="224">
        <f>参数调整!$K$38*怪物掉落配置方案!$D4464</f>
        <v>0</v>
      </c>
    </row>
    <row r="7543" spans="1:4" ht="16.5" hidden="1" x14ac:dyDescent="0.3">
      <c r="A7543" s="10" t="str">
        <f>基本属性!$B$11&amp;"|"&amp;基本属性!$C$11</f>
        <v>80|1</v>
      </c>
      <c r="B7543" s="10" t="str">
        <f>参数调整!$J$38</f>
        <v>新增怪物种类3掉落</v>
      </c>
      <c r="C7543" s="8" t="str">
        <f>材料产出!$BH$2</f>
        <v>新增材料1</v>
      </c>
      <c r="D7543" s="224">
        <f>参数调整!$K$38*怪物掉落配置方案!$D4465</f>
        <v>0</v>
      </c>
    </row>
    <row r="7544" spans="1:4" ht="16.5" hidden="1" x14ac:dyDescent="0.3">
      <c r="A7544" s="10" t="str">
        <f>基本属性!$B$12&amp;"|"&amp;基本属性!$C$12</f>
        <v>90|2</v>
      </c>
      <c r="B7544" s="10" t="str">
        <f>参数调整!$J$38</f>
        <v>新增怪物种类3掉落</v>
      </c>
      <c r="C7544" s="8" t="str">
        <f>材料产出!$BH$2</f>
        <v>新增材料1</v>
      </c>
      <c r="D7544" s="224">
        <f>参数调整!$K$38*怪物掉落配置方案!$D4466</f>
        <v>0</v>
      </c>
    </row>
    <row r="7545" spans="1:4" ht="16.5" hidden="1" x14ac:dyDescent="0.3">
      <c r="A7545" s="10" t="str">
        <f>基本属性!$B$13&amp;"|"&amp;基本属性!$C$13</f>
        <v>100|3</v>
      </c>
      <c r="B7545" s="10" t="str">
        <f>参数调整!$J$38</f>
        <v>新增怪物种类3掉落</v>
      </c>
      <c r="C7545" s="8" t="str">
        <f>材料产出!$BH$2</f>
        <v>新增材料1</v>
      </c>
      <c r="D7545" s="224">
        <f>参数调整!$K$38*怪物掉落配置方案!$D4467</f>
        <v>0</v>
      </c>
    </row>
    <row r="7546" spans="1:4" ht="16.5" hidden="1" x14ac:dyDescent="0.3">
      <c r="A7546" s="10" t="str">
        <f>基本属性!$B$14&amp;"|"&amp;基本属性!$C$14</f>
        <v>105|4</v>
      </c>
      <c r="B7546" s="10" t="str">
        <f>参数调整!$J$38</f>
        <v>新增怪物种类3掉落</v>
      </c>
      <c r="C7546" s="8" t="str">
        <f>材料产出!$BH$2</f>
        <v>新增材料1</v>
      </c>
      <c r="D7546" s="224">
        <f>参数调整!$K$38*怪物掉落配置方案!$D4468</f>
        <v>0</v>
      </c>
    </row>
    <row r="7547" spans="1:4" ht="16.5" hidden="1" x14ac:dyDescent="0.3">
      <c r="A7547" s="10" t="str">
        <f>基本属性!$B$15&amp;"|"&amp;基本属性!$C$15</f>
        <v>110|5</v>
      </c>
      <c r="B7547" s="10" t="str">
        <f>参数调整!$J$38</f>
        <v>新增怪物种类3掉落</v>
      </c>
      <c r="C7547" s="8" t="str">
        <f>材料产出!$BH$2</f>
        <v>新增材料1</v>
      </c>
      <c r="D7547" s="224">
        <f>参数调整!$K$38*怪物掉落配置方案!$D4469</f>
        <v>0</v>
      </c>
    </row>
    <row r="7548" spans="1:4" ht="16.5" hidden="1" x14ac:dyDescent="0.3">
      <c r="A7548" s="10" t="str">
        <f>基本属性!$B$16&amp;"|"&amp;基本属性!$C$16</f>
        <v>120|6</v>
      </c>
      <c r="B7548" s="10" t="str">
        <f>参数调整!$J$38</f>
        <v>新增怪物种类3掉落</v>
      </c>
      <c r="C7548" s="8" t="str">
        <f>材料产出!$BH$2</f>
        <v>新增材料1</v>
      </c>
      <c r="D7548" s="224">
        <f>参数调整!$K$38*怪物掉落配置方案!$D4470</f>
        <v>0</v>
      </c>
    </row>
    <row r="7549" spans="1:4" ht="16.5" hidden="1" x14ac:dyDescent="0.3">
      <c r="A7549" s="10" t="str">
        <f>基本属性!$B$17&amp;"|"&amp;基本属性!$C$17</f>
        <v>135|7</v>
      </c>
      <c r="B7549" s="10" t="str">
        <f>参数调整!$J$38</f>
        <v>新增怪物种类3掉落</v>
      </c>
      <c r="C7549" s="8" t="str">
        <f>材料产出!$BH$2</f>
        <v>新增材料1</v>
      </c>
      <c r="D7549" s="224">
        <f>参数调整!$K$38*怪物掉落配置方案!$D4471</f>
        <v>0</v>
      </c>
    </row>
    <row r="7550" spans="1:4" ht="16.5" hidden="1" x14ac:dyDescent="0.3">
      <c r="A7550" s="10" t="str">
        <f>基本属性!$B$18&amp;"|"&amp;基本属性!$C$18</f>
        <v>155|8</v>
      </c>
      <c r="B7550" s="10" t="str">
        <f>参数调整!$J$38</f>
        <v>新增怪物种类3掉落</v>
      </c>
      <c r="C7550" s="8" t="str">
        <f>材料产出!$BH$2</f>
        <v>新增材料1</v>
      </c>
      <c r="D7550" s="224">
        <f>参数调整!$K$38*怪物掉落配置方案!$D4472</f>
        <v>0</v>
      </c>
    </row>
    <row r="7551" spans="1:4" ht="16.5" hidden="1" x14ac:dyDescent="0.3">
      <c r="A7551" s="10" t="str">
        <f>基本属性!$B$19&amp;"|"&amp;基本属性!$C$19</f>
        <v>190|9</v>
      </c>
      <c r="B7551" s="10" t="str">
        <f>参数调整!$J$38</f>
        <v>新增怪物种类3掉落</v>
      </c>
      <c r="C7551" s="8" t="str">
        <f>材料产出!$BH$2</f>
        <v>新增材料1</v>
      </c>
      <c r="D7551" s="224">
        <f>参数调整!$K$38*怪物掉落配置方案!$D4473</f>
        <v>0</v>
      </c>
    </row>
    <row r="7552" spans="1:4" ht="16.5" hidden="1" x14ac:dyDescent="0.3">
      <c r="A7552" s="10" t="str">
        <f>基本属性!$B$20&amp;"|"&amp;基本属性!$C$20</f>
        <v>200|10</v>
      </c>
      <c r="B7552" s="10" t="str">
        <f>参数调整!$J$38</f>
        <v>新增怪物种类3掉落</v>
      </c>
      <c r="C7552" s="8" t="str">
        <f>材料产出!$BH$2</f>
        <v>新增材料1</v>
      </c>
      <c r="D7552" s="224">
        <f>参数调整!$K$38*怪物掉落配置方案!$D4474</f>
        <v>0</v>
      </c>
    </row>
    <row r="7553" spans="1:4" ht="16.5" hidden="1" x14ac:dyDescent="0.3">
      <c r="A7553" s="10" t="str">
        <f>基本属性!$B$21&amp;"|"&amp;基本属性!$C$21</f>
        <v>200|11</v>
      </c>
      <c r="B7553" s="10" t="str">
        <f>参数调整!$J$38</f>
        <v>新增怪物种类3掉落</v>
      </c>
      <c r="C7553" s="8" t="str">
        <f>材料产出!$BH$2</f>
        <v>新增材料1</v>
      </c>
      <c r="D7553" s="224">
        <f>参数调整!$K$38*怪物掉落配置方案!$D4475</f>
        <v>0</v>
      </c>
    </row>
    <row r="7554" spans="1:4" ht="16.5" hidden="1" x14ac:dyDescent="0.3">
      <c r="A7554" s="10" t="str">
        <f>基本属性!$B$22&amp;"|"&amp;基本属性!$C$22</f>
        <v>210|12</v>
      </c>
      <c r="B7554" s="10" t="str">
        <f>参数调整!$J$38</f>
        <v>新增怪物种类3掉落</v>
      </c>
      <c r="C7554" s="8" t="str">
        <f>材料产出!$BH$2</f>
        <v>新增材料1</v>
      </c>
      <c r="D7554" s="224">
        <f>参数调整!$K$38*怪物掉落配置方案!$D4476</f>
        <v>0</v>
      </c>
    </row>
    <row r="7555" spans="1:4" ht="16.5" hidden="1" x14ac:dyDescent="0.3">
      <c r="A7555" s="10" t="str">
        <f>基本属性!$B$23&amp;"|"&amp;基本属性!$C$23</f>
        <v>210|13</v>
      </c>
      <c r="B7555" s="10" t="str">
        <f>参数调整!$J$38</f>
        <v>新增怪物种类3掉落</v>
      </c>
      <c r="C7555" s="8" t="str">
        <f>材料产出!$BH$2</f>
        <v>新增材料1</v>
      </c>
      <c r="D7555" s="224">
        <f>参数调整!$K$38*怪物掉落配置方案!$D4477</f>
        <v>0</v>
      </c>
    </row>
    <row r="7556" spans="1:4" ht="16.5" hidden="1" x14ac:dyDescent="0.3">
      <c r="A7556" s="10" t="str">
        <f>基本属性!$B$24&amp;"|"&amp;基本属性!$C$24</f>
        <v>220|14</v>
      </c>
      <c r="B7556" s="10" t="str">
        <f>参数调整!$J$38</f>
        <v>新增怪物种类3掉落</v>
      </c>
      <c r="C7556" s="8" t="str">
        <f>材料产出!$BH$2</f>
        <v>新增材料1</v>
      </c>
      <c r="D7556" s="224">
        <f>参数调整!$K$38*怪物掉落配置方案!$D4478</f>
        <v>0</v>
      </c>
    </row>
    <row r="7557" spans="1:4" ht="16.5" hidden="1" x14ac:dyDescent="0.3">
      <c r="A7557" s="10" t="str">
        <f>基本属性!$B$25&amp;"|"&amp;基本属性!$C$25</f>
        <v>220|15</v>
      </c>
      <c r="B7557" s="10" t="str">
        <f>参数调整!$J$38</f>
        <v>新增怪物种类3掉落</v>
      </c>
      <c r="C7557" s="8" t="str">
        <f>材料产出!$BH$2</f>
        <v>新增材料1</v>
      </c>
      <c r="D7557" s="224">
        <f>参数调整!$K$38*怪物掉落配置方案!$D4479</f>
        <v>0</v>
      </c>
    </row>
    <row r="7558" spans="1:4" ht="16.5" hidden="1" x14ac:dyDescent="0.3">
      <c r="A7558" s="10" t="str">
        <f>基本属性!$B$26&amp;"|"&amp;基本属性!$C$26</f>
        <v>230|16</v>
      </c>
      <c r="B7558" s="10" t="str">
        <f>参数调整!$J$38</f>
        <v>新增怪物种类3掉落</v>
      </c>
      <c r="C7558" s="8" t="str">
        <f>材料产出!$BH$2</f>
        <v>新增材料1</v>
      </c>
      <c r="D7558" s="224">
        <f>参数调整!$K$38*怪物掉落配置方案!$D4480</f>
        <v>0</v>
      </c>
    </row>
    <row r="7559" spans="1:4" ht="16.5" hidden="1" x14ac:dyDescent="0.3">
      <c r="A7559" s="10" t="str">
        <f>基本属性!$B$27&amp;"|"&amp;基本属性!$C$27</f>
        <v>230|17</v>
      </c>
      <c r="B7559" s="10" t="str">
        <f>参数调整!$J$38</f>
        <v>新增怪物种类3掉落</v>
      </c>
      <c r="C7559" s="8" t="str">
        <f>材料产出!$BH$2</f>
        <v>新增材料1</v>
      </c>
      <c r="D7559" s="224">
        <f>参数调整!$K$38*怪物掉落配置方案!$D4481</f>
        <v>0</v>
      </c>
    </row>
    <row r="7560" spans="1:4" ht="16.5" hidden="1" x14ac:dyDescent="0.3">
      <c r="A7560" s="10" t="str">
        <f>基本属性!$B$28&amp;"|"&amp;基本属性!$C$28</f>
        <v>240|18</v>
      </c>
      <c r="B7560" s="10" t="str">
        <f>参数调整!$J$38</f>
        <v>新增怪物种类3掉落</v>
      </c>
      <c r="C7560" s="8" t="str">
        <f>材料产出!$BH$2</f>
        <v>新增材料1</v>
      </c>
      <c r="D7560" s="224">
        <f>参数调整!$K$38*怪物掉落配置方案!$D4482</f>
        <v>0</v>
      </c>
    </row>
    <row r="7561" spans="1:4" ht="16.5" hidden="1" x14ac:dyDescent="0.3">
      <c r="A7561" s="10" t="str">
        <f>基本属性!$B$29&amp;"|"&amp;基本属性!$C$29</f>
        <v>240|19</v>
      </c>
      <c r="B7561" s="10" t="str">
        <f>参数调整!$J$38</f>
        <v>新增怪物种类3掉落</v>
      </c>
      <c r="C7561" s="8" t="str">
        <f>材料产出!$BH$2</f>
        <v>新增材料1</v>
      </c>
      <c r="D7561" s="224">
        <f>参数调整!$K$38*怪物掉落配置方案!$D4483</f>
        <v>0</v>
      </c>
    </row>
    <row r="7562" spans="1:4" ht="16.5" hidden="1" x14ac:dyDescent="0.3">
      <c r="A7562" s="10" t="str">
        <f>基本属性!$B$30&amp;"|"&amp;基本属性!$C$30</f>
        <v>250|20</v>
      </c>
      <c r="B7562" s="10" t="str">
        <f>参数调整!$J$38</f>
        <v>新增怪物种类3掉落</v>
      </c>
      <c r="C7562" s="8" t="str">
        <f>材料产出!$BH$2</f>
        <v>新增材料1</v>
      </c>
      <c r="D7562" s="224">
        <f>参数调整!$K$38*怪物掉落配置方案!$D4484</f>
        <v>0</v>
      </c>
    </row>
    <row r="7563" spans="1:4" ht="16.5" hidden="1" x14ac:dyDescent="0.3">
      <c r="A7563" s="10" t="str">
        <f>基本属性!$B$4&amp;"|"&amp;基本属性!$C$4</f>
        <v>35|0</v>
      </c>
      <c r="B7563" s="10" t="str">
        <f>参数调整!$J$38</f>
        <v>新增怪物种类3掉落</v>
      </c>
      <c r="C7563" s="8" t="str">
        <f>材料产出!$AF$2</f>
        <v>仙品升星石</v>
      </c>
      <c r="D7563" s="224">
        <f>参数调整!$K$38*怪物掉落配置方案!$D4485</f>
        <v>6.8047563927180893E-3</v>
      </c>
    </row>
    <row r="7564" spans="1:4" ht="16.5" hidden="1" x14ac:dyDescent="0.3">
      <c r="A7564" s="10" t="str">
        <f>基本属性!$B$5&amp;"|"&amp;基本属性!$C$5</f>
        <v>40|0</v>
      </c>
      <c r="B7564" s="10" t="str">
        <f>参数调整!$J$38</f>
        <v>新增怪物种类3掉落</v>
      </c>
      <c r="C7564" s="8" t="str">
        <f>材料产出!$AF$2</f>
        <v>仙品升星石</v>
      </c>
      <c r="D7564" s="224">
        <f>参数调整!$K$38*怪物掉落配置方案!$D4486</f>
        <v>8.6122698095338346E-3</v>
      </c>
    </row>
    <row r="7565" spans="1:4" ht="16.5" hidden="1" x14ac:dyDescent="0.3">
      <c r="A7565" s="10" t="str">
        <f>基本属性!$B$6&amp;"|"&amp;基本属性!$C$6</f>
        <v>50|0</v>
      </c>
      <c r="B7565" s="10" t="str">
        <f>参数调整!$J$38</f>
        <v>新增怪物种类3掉落</v>
      </c>
      <c r="C7565" s="8" t="str">
        <f>材料产出!$AF$2</f>
        <v>仙品升星石</v>
      </c>
      <c r="D7565" s="224">
        <f>参数调整!$K$38*怪物掉落配置方案!$D4487</f>
        <v>1.0632431863622015E-2</v>
      </c>
    </row>
    <row r="7566" spans="1:4" ht="16.5" hidden="1" x14ac:dyDescent="0.3">
      <c r="A7566" s="10" t="str">
        <f>基本属性!$B$7&amp;"|"&amp;基本属性!$C$7</f>
        <v>60|0</v>
      </c>
      <c r="B7566" s="10" t="str">
        <f>参数调整!$J$38</f>
        <v>新增怪物种类3掉落</v>
      </c>
      <c r="C7566" s="8" t="str">
        <f>材料产出!$AF$2</f>
        <v>仙品升星石</v>
      </c>
      <c r="D7566" s="224">
        <f>参数调整!$K$38*怪物掉落配置方案!$D4488</f>
        <v>1.2865242554982639E-2</v>
      </c>
    </row>
    <row r="7567" spans="1:4" ht="16.5" hidden="1" x14ac:dyDescent="0.3">
      <c r="A7567" s="10" t="str">
        <f>基本属性!$B$8&amp;"|"&amp;基本属性!$C$8</f>
        <v>65|0</v>
      </c>
      <c r="B7567" s="10" t="str">
        <f>参数调整!$J$38</f>
        <v>新增怪物种类3掉落</v>
      </c>
      <c r="C7567" s="8" t="str">
        <f>材料产出!$AF$2</f>
        <v>仙品升星石</v>
      </c>
      <c r="D7567" s="224">
        <f>参数调整!$K$38*怪物掉落配置方案!$D4489</f>
        <v>1.5310701883615701E-2</v>
      </c>
    </row>
    <row r="7568" spans="1:4" ht="16.5" hidden="1" x14ac:dyDescent="0.3">
      <c r="A7568" s="10" t="str">
        <f>基本属性!$B$9&amp;"|"&amp;基本属性!$C$9</f>
        <v>70|0</v>
      </c>
      <c r="B7568" s="10" t="str">
        <f>参数调整!$J$38</f>
        <v>新增怪物种类3掉落</v>
      </c>
      <c r="C7568" s="8" t="str">
        <f>材料产出!$AF$2</f>
        <v>仙品升星石</v>
      </c>
      <c r="D7568" s="224">
        <f>参数调整!$K$38*怪物掉落配置方案!$D4490</f>
        <v>1.7968809849521206E-2</v>
      </c>
    </row>
    <row r="7569" spans="1:4" ht="16.5" hidden="1" x14ac:dyDescent="0.3">
      <c r="A7569" s="10" t="str">
        <f>基本属性!$B$10&amp;"|"&amp;基本属性!$C$10</f>
        <v>75|0</v>
      </c>
      <c r="B7569" s="10" t="str">
        <f>参数调整!$J$38</f>
        <v>新增怪物种类3掉落</v>
      </c>
      <c r="C7569" s="8" t="str">
        <f>材料产出!$AF$2</f>
        <v>仙品升星石</v>
      </c>
      <c r="D7569" s="224">
        <f>参数调整!$K$38*怪物掉落配置方案!$D4491</f>
        <v>2.0839566452699146E-2</v>
      </c>
    </row>
    <row r="7570" spans="1:4" ht="16.5" hidden="1" x14ac:dyDescent="0.3">
      <c r="A7570" s="10" t="str">
        <f>基本属性!$B$11&amp;"|"&amp;基本属性!$C$11</f>
        <v>80|1</v>
      </c>
      <c r="B7570" s="10" t="str">
        <f>参数调整!$J$38</f>
        <v>新增怪物种类3掉落</v>
      </c>
      <c r="C7570" s="8" t="str">
        <f>材料产出!$AF$2</f>
        <v>仙品升星石</v>
      </c>
      <c r="D7570" s="224">
        <f>参数调整!$K$38*怪物掉落配置方案!$D4492</f>
        <v>2.3922971693149532E-2</v>
      </c>
    </row>
    <row r="7571" spans="1:4" ht="16.5" hidden="1" x14ac:dyDescent="0.3">
      <c r="A7571" s="10" t="str">
        <f>基本属性!$B$12&amp;"|"&amp;基本属性!$C$12</f>
        <v>90|2</v>
      </c>
      <c r="B7571" s="10" t="str">
        <f>参数调整!$J$38</f>
        <v>新增怪物种类3掉落</v>
      </c>
      <c r="C7571" s="8" t="str">
        <f>材料产出!$AF$2</f>
        <v>仙品升星石</v>
      </c>
      <c r="D7571" s="224">
        <f>参数调整!$K$38*怪物掉落配置方案!$D4493</f>
        <v>2.7219025570872364E-2</v>
      </c>
    </row>
    <row r="7572" spans="1:4" ht="16.5" hidden="1" x14ac:dyDescent="0.3">
      <c r="A7572" s="10" t="str">
        <f>基本属性!$B$13&amp;"|"&amp;基本属性!$C$13</f>
        <v>100|3</v>
      </c>
      <c r="B7572" s="10" t="str">
        <f>参数调整!$J$38</f>
        <v>新增怪物种类3掉落</v>
      </c>
      <c r="C7572" s="8" t="str">
        <f>材料产出!$AF$2</f>
        <v>仙品升星石</v>
      </c>
      <c r="D7572" s="224">
        <f>参数调整!$K$38*怪物掉落配置方案!$D4494</f>
        <v>3.4449079238135338E-2</v>
      </c>
    </row>
    <row r="7573" spans="1:4" ht="16.5" hidden="1" x14ac:dyDescent="0.3">
      <c r="A7573" s="10" t="str">
        <f>基本属性!$B$14&amp;"|"&amp;基本属性!$C$14</f>
        <v>105|4</v>
      </c>
      <c r="B7573" s="10" t="str">
        <f>参数调整!$J$38</f>
        <v>新增怪物种类3掉落</v>
      </c>
      <c r="C7573" s="8" t="str">
        <f>材料产出!$AF$2</f>
        <v>仙品升星石</v>
      </c>
      <c r="D7573" s="224">
        <f>参数调整!$K$38*怪物掉落配置方案!$D4495</f>
        <v>4.2529727454488055E-2</v>
      </c>
    </row>
    <row r="7574" spans="1:4" ht="16.5" hidden="1" x14ac:dyDescent="0.3">
      <c r="A7574" s="10" t="str">
        <f>基本属性!$B$15&amp;"|"&amp;基本属性!$C$15</f>
        <v>110|5</v>
      </c>
      <c r="B7574" s="10" t="str">
        <f>参数调整!$J$38</f>
        <v>新增怪物种类3掉落</v>
      </c>
      <c r="C7574" s="8" t="str">
        <f>材料产出!$AF$2</f>
        <v>仙品升星石</v>
      </c>
      <c r="D7574" s="224">
        <f>参数调整!$K$38*怪物掉落配置方案!$D4496</f>
        <v>5.1460970219930555E-2</v>
      </c>
    </row>
    <row r="7575" spans="1:4" ht="16.5" hidden="1" x14ac:dyDescent="0.3">
      <c r="A7575" s="10" t="str">
        <f>基本属性!$B$16&amp;"|"&amp;基本属性!$C$16</f>
        <v>120|6</v>
      </c>
      <c r="B7575" s="10" t="str">
        <f>参数调整!$J$38</f>
        <v>新增怪物种类3掉落</v>
      </c>
      <c r="C7575" s="8" t="str">
        <f>材料产出!$AF$2</f>
        <v>仙品升星石</v>
      </c>
      <c r="D7575" s="224">
        <f>参数调整!$K$38*怪物掉落配置方案!$D4497</f>
        <v>6.6452699147637601E-2</v>
      </c>
    </row>
    <row r="7576" spans="1:4" ht="16.5" hidden="1" x14ac:dyDescent="0.3">
      <c r="A7576" s="10" t="str">
        <f>基本属性!$B$17&amp;"|"&amp;基本属性!$C$17</f>
        <v>135|7</v>
      </c>
      <c r="B7576" s="10" t="str">
        <f>参数调整!$J$38</f>
        <v>新增怪物种类3掉落</v>
      </c>
      <c r="C7576" s="8" t="str">
        <f>材料产出!$AF$2</f>
        <v>仙品升星石</v>
      </c>
      <c r="D7576" s="224">
        <f>参数调整!$K$38*怪物掉落配置方案!$D4498</f>
        <v>9.5691886772598128E-2</v>
      </c>
    </row>
    <row r="7577" spans="1:4" ht="16.5" hidden="1" x14ac:dyDescent="0.3">
      <c r="A7577" s="10" t="str">
        <f>基本属性!$B$18&amp;"|"&amp;基本属性!$C$18</f>
        <v>155|8</v>
      </c>
      <c r="B7577" s="10" t="str">
        <f>参数调整!$J$38</f>
        <v>新增怪物种类3掉落</v>
      </c>
      <c r="C7577" s="8" t="str">
        <f>材料产出!$AF$2</f>
        <v>仙品升星石</v>
      </c>
      <c r="D7577" s="224">
        <f>参数调整!$K$38*怪物掉落配置方案!$D4499</f>
        <v>0.13024729032936971</v>
      </c>
    </row>
    <row r="7578" spans="1:4" ht="16.5" hidden="1" x14ac:dyDescent="0.3">
      <c r="A7578" s="10" t="str">
        <f>基本属性!$B$19&amp;"|"&amp;基本属性!$C$19</f>
        <v>190|9</v>
      </c>
      <c r="B7578" s="10" t="str">
        <f>参数调整!$J$38</f>
        <v>新增怪物种类3掉落</v>
      </c>
      <c r="C7578" s="8" t="str">
        <f>材料产出!$AF$2</f>
        <v>仙品升星石</v>
      </c>
      <c r="D7578" s="224">
        <f>参数调整!$K$38*怪物掉落配置方案!$D4500</f>
        <v>0.14555799221298543</v>
      </c>
    </row>
    <row r="7579" spans="1:4" ht="16.5" hidden="1" x14ac:dyDescent="0.3">
      <c r="A7579" s="10" t="str">
        <f>基本属性!$B$20&amp;"|"&amp;基本属性!$C$20</f>
        <v>200|10</v>
      </c>
      <c r="B7579" s="10" t="str">
        <f>参数调整!$J$38</f>
        <v>新增怪物种类3掉落</v>
      </c>
      <c r="C7579" s="8" t="str">
        <f>材料产出!$AF$2</f>
        <v>仙品升星石</v>
      </c>
      <c r="D7579" s="224">
        <f>参数调整!$K$38*怪物掉落配置方案!$D4501</f>
        <v>0.17011890981795222</v>
      </c>
    </row>
    <row r="7580" spans="1:4" ht="16.5" hidden="1" x14ac:dyDescent="0.3">
      <c r="A7580" s="10" t="str">
        <f>基本属性!$B$21&amp;"|"&amp;基本属性!$C$21</f>
        <v>200|11</v>
      </c>
      <c r="B7580" s="10" t="str">
        <f>参数调整!$J$38</f>
        <v>新增怪物种类3掉落</v>
      </c>
      <c r="C7580" s="8" t="str">
        <f>材料产出!$AF$2</f>
        <v>仙品升星石</v>
      </c>
      <c r="D7580" s="224">
        <f>参数调整!$K$38*怪物掉落配置方案!$D4502</f>
        <v>0.19659366515837101</v>
      </c>
    </row>
    <row r="7581" spans="1:4" ht="16.5" hidden="1" x14ac:dyDescent="0.3">
      <c r="A7581" s="10" t="str">
        <f>基本属性!$B$22&amp;"|"&amp;基本属性!$C$22</f>
        <v>210|12</v>
      </c>
      <c r="B7581" s="10" t="str">
        <f>参数调整!$J$38</f>
        <v>新增怪物种类3掉落</v>
      </c>
      <c r="C7581" s="8" t="str">
        <f>材料产出!$AF$2</f>
        <v>仙品升星石</v>
      </c>
      <c r="D7581" s="224">
        <f>参数调整!$K$38*怪物掉落配置方案!$D4503</f>
        <v>0.22498225823424178</v>
      </c>
    </row>
    <row r="7582" spans="1:4" ht="16.5" hidden="1" x14ac:dyDescent="0.3">
      <c r="A7582" s="10" t="str">
        <f>基本属性!$B$23&amp;"|"&amp;基本属性!$C$23</f>
        <v>210|13</v>
      </c>
      <c r="B7582" s="10" t="str">
        <f>参数调整!$J$38</f>
        <v>新增怪物种类3掉落</v>
      </c>
      <c r="C7582" s="8" t="str">
        <f>材料产出!$AF$2</f>
        <v>仙品升星石</v>
      </c>
      <c r="D7582" s="224">
        <f>参数调整!$K$38*怪物掉落配置方案!$D4504</f>
        <v>0.25528468904556456</v>
      </c>
    </row>
    <row r="7583" spans="1:4" ht="16.5" hidden="1" x14ac:dyDescent="0.3">
      <c r="A7583" s="10" t="str">
        <f>基本属性!$B$24&amp;"|"&amp;基本属性!$C$24</f>
        <v>220|14</v>
      </c>
      <c r="B7583" s="10" t="str">
        <f>参数调整!$J$38</f>
        <v>新增怪物种类3掉落</v>
      </c>
      <c r="C7583" s="8" t="str">
        <f>材料产出!$AF$2</f>
        <v>仙品升星石</v>
      </c>
      <c r="D7583" s="224">
        <f>参数调整!$K$38*怪物掉落配置方案!$D4505</f>
        <v>0.28750095759233929</v>
      </c>
    </row>
    <row r="7584" spans="1:4" ht="16.5" hidden="1" x14ac:dyDescent="0.3">
      <c r="A7584" s="10" t="str">
        <f>基本属性!$B$25&amp;"|"&amp;基本属性!$C$25</f>
        <v>220|15</v>
      </c>
      <c r="B7584" s="10" t="str">
        <f>参数调整!$J$38</f>
        <v>新增怪物种类3掉落</v>
      </c>
      <c r="C7584" s="8" t="str">
        <f>材料产出!$AF$2</f>
        <v>仙品升星石</v>
      </c>
      <c r="D7584" s="224">
        <f>参数调整!$K$38*怪物掉落配置方案!$D4506</f>
        <v>0.32163106387456586</v>
      </c>
    </row>
    <row r="7585" spans="1:4" ht="16.5" hidden="1" x14ac:dyDescent="0.3">
      <c r="A7585" s="10" t="str">
        <f>基本属性!$B$26&amp;"|"&amp;基本属性!$C$26</f>
        <v>230|16</v>
      </c>
      <c r="B7585" s="10" t="str">
        <f>参数调整!$J$38</f>
        <v>新增怪物种类3掉落</v>
      </c>
      <c r="C7585" s="8" t="str">
        <f>材料产出!$AF$2</f>
        <v>仙品升星石</v>
      </c>
      <c r="D7585" s="224">
        <f>参数调整!$K$38*怪物掉落配置方案!$D4507</f>
        <v>0.35767500789224455</v>
      </c>
    </row>
    <row r="7586" spans="1:4" ht="16.5" hidden="1" x14ac:dyDescent="0.3">
      <c r="A7586" s="10" t="str">
        <f>基本属性!$B$27&amp;"|"&amp;基本属性!$C$27</f>
        <v>230|17</v>
      </c>
      <c r="B7586" s="10" t="str">
        <f>参数调整!$J$38</f>
        <v>新增怪物种类3掉落</v>
      </c>
      <c r="C7586" s="8" t="str">
        <f>材料产出!$AF$2</f>
        <v>仙品升星石</v>
      </c>
      <c r="D7586" s="224">
        <f>参数调整!$K$38*怪物掉落配置方案!$D4508</f>
        <v>0.39563278964537513</v>
      </c>
    </row>
    <row r="7587" spans="1:4" ht="16.5" hidden="1" x14ac:dyDescent="0.3">
      <c r="A7587" s="10" t="str">
        <f>基本属性!$B$28&amp;"|"&amp;基本属性!$C$28</f>
        <v>240|18</v>
      </c>
      <c r="B7587" s="10" t="str">
        <f>参数调整!$J$38</f>
        <v>新增怪物种类3掉落</v>
      </c>
      <c r="C7587" s="8" t="str">
        <f>材料产出!$AF$2</f>
        <v>仙品升星石</v>
      </c>
      <c r="D7587" s="224">
        <f>参数调整!$K$38*怪物掉落配置方案!$D4509</f>
        <v>0.43550440913395777</v>
      </c>
    </row>
    <row r="7588" spans="1:4" ht="16.5" hidden="1" x14ac:dyDescent="0.3">
      <c r="A7588" s="10" t="str">
        <f>基本属性!$B$29&amp;"|"&amp;基本属性!$C$29</f>
        <v>240|19</v>
      </c>
      <c r="B7588" s="10" t="str">
        <f>参数调整!$J$38</f>
        <v>新增怪物种类3掉落</v>
      </c>
      <c r="C7588" s="8" t="str">
        <f>材料产出!$AF$2</f>
        <v>仙品升星石</v>
      </c>
      <c r="D7588" s="224">
        <f>参数调整!$K$38*怪物掉落配置方案!$D4510</f>
        <v>0.47728986635799231</v>
      </c>
    </row>
    <row r="7589" spans="1:4" ht="16.5" hidden="1" x14ac:dyDescent="0.3">
      <c r="A7589" s="10" t="str">
        <f>基本属性!$B$30&amp;"|"&amp;基本属性!$C$30</f>
        <v>250|20</v>
      </c>
      <c r="B7589" s="10" t="str">
        <f>参数调整!$J$38</f>
        <v>新增怪物种类3掉落</v>
      </c>
      <c r="C7589" s="8" t="str">
        <f>材料产出!$AF$2</f>
        <v>仙品升星石</v>
      </c>
      <c r="D7589" s="224">
        <f>参数调整!$K$38*怪物掉落配置方案!$D4511</f>
        <v>0.52098916131747863</v>
      </c>
    </row>
    <row r="7590" spans="1:4" ht="16.5" hidden="1" x14ac:dyDescent="0.3">
      <c r="A7590" s="10" t="str">
        <f>基本属性!$B$4&amp;"|"&amp;基本属性!$C$4</f>
        <v>35|0</v>
      </c>
      <c r="B7590" s="10" t="str">
        <f>参数调整!$J$38</f>
        <v>新增怪物种类3掉落</v>
      </c>
      <c r="C7590" s="8" t="str">
        <f>材料产出!$T$2</f>
        <v>洗髓丹</v>
      </c>
      <c r="D7590" s="224">
        <f>参数调整!$K$38*怪物掉落配置方案!$D4512</f>
        <v>1.7722303188894748E-3</v>
      </c>
    </row>
    <row r="7591" spans="1:4" ht="16.5" hidden="1" x14ac:dyDescent="0.3">
      <c r="A7591" s="10" t="str">
        <f>基本属性!$B$5&amp;"|"&amp;基本属性!$C$5</f>
        <v>40|0</v>
      </c>
      <c r="B7591" s="10" t="str">
        <f>参数调整!$J$38</f>
        <v>新增怪物种类3掉落</v>
      </c>
      <c r="C7591" s="8" t="str">
        <f>材料产出!$T$2</f>
        <v>洗髓丹</v>
      </c>
      <c r="D7591" s="224">
        <f>参数调整!$K$38*怪物掉落配置方案!$D4513</f>
        <v>2.2429789973444918E-3</v>
      </c>
    </row>
    <row r="7592" spans="1:4" ht="16.5" hidden="1" x14ac:dyDescent="0.3">
      <c r="A7592" s="10" t="str">
        <f>基本属性!$B$6&amp;"|"&amp;基本属性!$C$6</f>
        <v>50|0</v>
      </c>
      <c r="B7592" s="10" t="str">
        <f>参数调整!$J$38</f>
        <v>新增怪物种类3掉落</v>
      </c>
      <c r="C7592" s="8" t="str">
        <f>材料产出!$T$2</f>
        <v>洗髓丹</v>
      </c>
      <c r="D7592" s="224">
        <f>参数调整!$K$38*怪物掉落配置方案!$D4514</f>
        <v>2.7691098732648043E-3</v>
      </c>
    </row>
    <row r="7593" spans="1:4" ht="16.5" hidden="1" x14ac:dyDescent="0.3">
      <c r="A7593" s="10" t="str">
        <f>基本属性!$B$7&amp;"|"&amp;基本属性!$C$7</f>
        <v>60|0</v>
      </c>
      <c r="B7593" s="10" t="str">
        <f>参数调整!$J$38</f>
        <v>新增怪物种类3掉落</v>
      </c>
      <c r="C7593" s="8" t="str">
        <f>材料产出!$T$2</f>
        <v>洗髓丹</v>
      </c>
      <c r="D7593" s="224">
        <f>参数调整!$K$38*怪物掉落配置方案!$D4515</f>
        <v>3.350622946650414E-3</v>
      </c>
    </row>
    <row r="7594" spans="1:4" ht="16.5" hidden="1" x14ac:dyDescent="0.3">
      <c r="A7594" s="10" t="str">
        <f>基本属性!$B$8&amp;"|"&amp;基本属性!$C$8</f>
        <v>65|0</v>
      </c>
      <c r="B7594" s="10" t="str">
        <f>参数调整!$J$38</f>
        <v>新增怪物种类3掉落</v>
      </c>
      <c r="C7594" s="8" t="str">
        <f>材料产出!$T$2</f>
        <v>洗髓丹</v>
      </c>
      <c r="D7594" s="224">
        <f>参数调整!$K$38*怪物掉落配置方案!$D4516</f>
        <v>3.9875182175013188E-3</v>
      </c>
    </row>
    <row r="7595" spans="1:4" ht="16.5" hidden="1" x14ac:dyDescent="0.3">
      <c r="A7595" s="10" t="str">
        <f>基本属性!$B$9&amp;"|"&amp;基本属性!$C$9</f>
        <v>70|0</v>
      </c>
      <c r="B7595" s="10" t="str">
        <f>参数调整!$J$38</f>
        <v>新增怪物种类3掉落</v>
      </c>
      <c r="C7595" s="8" t="str">
        <f>材料产出!$T$2</f>
        <v>洗髓丹</v>
      </c>
      <c r="D7595" s="224">
        <f>参数调整!$K$38*怪物掉落配置方案!$D4517</f>
        <v>4.6797956858175196E-3</v>
      </c>
    </row>
    <row r="7596" spans="1:4" ht="16.5" hidden="1" x14ac:dyDescent="0.3">
      <c r="A7596" s="10" t="str">
        <f>基本属性!$B$10&amp;"|"&amp;基本属性!$C$10</f>
        <v>75|0</v>
      </c>
      <c r="B7596" s="10" t="str">
        <f>参数调整!$J$38</f>
        <v>新增怪物种类3掉落</v>
      </c>
      <c r="C7596" s="8" t="str">
        <f>材料产出!$T$2</f>
        <v>洗髓丹</v>
      </c>
      <c r="D7596" s="224">
        <f>参数调整!$K$38*怪物掉落配置方案!$D4518</f>
        <v>5.4274553515990167E-3</v>
      </c>
    </row>
    <row r="7597" spans="1:4" ht="16.5" hidden="1" x14ac:dyDescent="0.3">
      <c r="A7597" s="10" t="str">
        <f>基本属性!$B$11&amp;"|"&amp;基本属性!$C$11</f>
        <v>80|1</v>
      </c>
      <c r="B7597" s="10" t="str">
        <f>参数调整!$J$38</f>
        <v>新增怪物种类3掉落</v>
      </c>
      <c r="C7597" s="8" t="str">
        <f>材料产出!$T$2</f>
        <v>洗髓丹</v>
      </c>
      <c r="D7597" s="224">
        <f>参数调整!$K$38*怪物掉落配置方案!$D4519</f>
        <v>6.2304972148458111E-3</v>
      </c>
    </row>
    <row r="7598" spans="1:4" ht="16.5" hidden="1" x14ac:dyDescent="0.3">
      <c r="A7598" s="10" t="str">
        <f>基本属性!$B$12&amp;"|"&amp;基本属性!$C$12</f>
        <v>90|2</v>
      </c>
      <c r="B7598" s="10" t="str">
        <f>参数调整!$J$38</f>
        <v>新增怪物种类3掉落</v>
      </c>
      <c r="C7598" s="8" t="str">
        <f>材料产出!$T$2</f>
        <v>洗髓丹</v>
      </c>
      <c r="D7598" s="224">
        <f>参数调整!$K$38*怪物掉落配置方案!$D4520</f>
        <v>7.0889212755579009E-3</v>
      </c>
    </row>
    <row r="7599" spans="1:4" ht="16.5" hidden="1" x14ac:dyDescent="0.3">
      <c r="A7599" s="10" t="str">
        <f>基本属性!$B$13&amp;"|"&amp;基本属性!$C$13</f>
        <v>100|3</v>
      </c>
      <c r="B7599" s="10" t="str">
        <f>参数调整!$J$38</f>
        <v>新增怪物种类3掉落</v>
      </c>
      <c r="C7599" s="8" t="str">
        <f>材料产出!$T$2</f>
        <v>洗髓丹</v>
      </c>
      <c r="D7599" s="224">
        <f>参数调整!$K$38*怪物掉落配置方案!$D4521</f>
        <v>8.9719159893779689E-3</v>
      </c>
    </row>
    <row r="7600" spans="1:4" ht="16.5" hidden="1" x14ac:dyDescent="0.3">
      <c r="A7600" s="10" t="str">
        <f>基本属性!$B$14&amp;"|"&amp;基本属性!$C$14</f>
        <v>105|4</v>
      </c>
      <c r="B7600" s="10" t="str">
        <f>参数调整!$J$38</f>
        <v>新增怪物种类3掉落</v>
      </c>
      <c r="C7600" s="8" t="str">
        <f>材料产出!$T$2</f>
        <v>洗髓丹</v>
      </c>
      <c r="D7600" s="224">
        <f>参数调整!$K$38*怪物掉落配置方案!$D4522</f>
        <v>1.1076439493059217E-2</v>
      </c>
    </row>
    <row r="7601" spans="1:4" ht="16.5" hidden="1" x14ac:dyDescent="0.3">
      <c r="A7601" s="10" t="str">
        <f>基本属性!$B$15&amp;"|"&amp;基本属性!$C$15</f>
        <v>110|5</v>
      </c>
      <c r="B7601" s="10" t="str">
        <f>参数调整!$J$38</f>
        <v>新增怪物种类3掉落</v>
      </c>
      <c r="C7601" s="8" t="str">
        <f>材料产出!$T$2</f>
        <v>洗髓丹</v>
      </c>
      <c r="D7601" s="224">
        <f>参数调整!$K$38*怪物掉落配置方案!$D4523</f>
        <v>1.3402491786601656E-2</v>
      </c>
    </row>
    <row r="7602" spans="1:4" ht="16.5" hidden="1" x14ac:dyDescent="0.3">
      <c r="A7602" s="10" t="str">
        <f>基本属性!$B$16&amp;"|"&amp;基本属性!$C$16</f>
        <v>120|6</v>
      </c>
      <c r="B7602" s="10" t="str">
        <f>参数调整!$J$38</f>
        <v>新增怪物种类3掉落</v>
      </c>
      <c r="C7602" s="8" t="str">
        <f>材料产出!$T$2</f>
        <v>洗髓丹</v>
      </c>
      <c r="D7602" s="224">
        <f>参数调整!$K$38*怪物掉落配置方案!$D4524</f>
        <v>1.7306936707905028E-2</v>
      </c>
    </row>
    <row r="7603" spans="1:4" ht="16.5" hidden="1" x14ac:dyDescent="0.3">
      <c r="A7603" s="10" t="str">
        <f>基本属性!$B$17&amp;"|"&amp;基本属性!$C$17</f>
        <v>135|7</v>
      </c>
      <c r="B7603" s="10" t="str">
        <f>参数调整!$J$38</f>
        <v>新增怪物种类3掉落</v>
      </c>
      <c r="C7603" s="8" t="str">
        <f>材料产出!$T$2</f>
        <v>洗髓丹</v>
      </c>
      <c r="D7603" s="224">
        <f>参数调整!$K$38*怪物掉落配置方案!$D4525</f>
        <v>2.4921988859383244E-2</v>
      </c>
    </row>
    <row r="7604" spans="1:4" ht="16.5" hidden="1" x14ac:dyDescent="0.3">
      <c r="A7604" s="10" t="str">
        <f>基本属性!$B$18&amp;"|"&amp;基本属性!$C$18</f>
        <v>155|8</v>
      </c>
      <c r="B7604" s="10" t="str">
        <f>参数调整!$J$38</f>
        <v>新增怪物种类3掉落</v>
      </c>
      <c r="C7604" s="8" t="str">
        <f>材料产出!$T$2</f>
        <v>洗髓丹</v>
      </c>
      <c r="D7604" s="224">
        <f>参数调整!$K$38*怪物掉落配置方案!$D4526</f>
        <v>3.392159594749386E-2</v>
      </c>
    </row>
    <row r="7605" spans="1:4" ht="16.5" hidden="1" x14ac:dyDescent="0.3">
      <c r="A7605" s="10" t="str">
        <f>基本属性!$B$19&amp;"|"&amp;基本属性!$C$19</f>
        <v>190|9</v>
      </c>
      <c r="B7605" s="10" t="str">
        <f>参数调整!$J$38</f>
        <v>新增怪物种类3掉落</v>
      </c>
      <c r="C7605" s="8" t="str">
        <f>材料产出!$T$2</f>
        <v>洗髓丹</v>
      </c>
      <c r="D7605" s="224">
        <f>参数调整!$K$38*怪物掉落配置方案!$D4527</f>
        <v>3.7909114164995178E-2</v>
      </c>
    </row>
    <row r="7606" spans="1:4" ht="16.5" hidden="1" x14ac:dyDescent="0.3">
      <c r="A7606" s="10" t="str">
        <f>基本属性!$B$20&amp;"|"&amp;基本属性!$C$20</f>
        <v>200|10</v>
      </c>
      <c r="B7606" s="10" t="str">
        <f>参数调整!$J$38</f>
        <v>新增怪物种类3掉落</v>
      </c>
      <c r="C7606" s="8" t="str">
        <f>材料产出!$T$2</f>
        <v>洗髓丹</v>
      </c>
      <c r="D7606" s="224">
        <f>参数调整!$K$38*怪物掉落配置方案!$D4528</f>
        <v>4.4305757972236869E-2</v>
      </c>
    </row>
    <row r="7607" spans="1:4" ht="16.5" hidden="1" x14ac:dyDescent="0.3">
      <c r="A7607" s="10" t="str">
        <f>基本属性!$B$21&amp;"|"&amp;基本属性!$C$21</f>
        <v>200|11</v>
      </c>
      <c r="B7607" s="10" t="str">
        <f>参数调整!$J$38</f>
        <v>新增怪物种类3掉落</v>
      </c>
      <c r="C7607" s="8" t="str">
        <f>材料产出!$T$2</f>
        <v>洗髓丹</v>
      </c>
      <c r="D7607" s="224">
        <f>参数调整!$K$38*怪物掉落配置方案!$D4529</f>
        <v>5.1200841556666224E-2</v>
      </c>
    </row>
    <row r="7608" spans="1:4" ht="16.5" hidden="1" x14ac:dyDescent="0.3">
      <c r="A7608" s="10" t="str">
        <f>基本属性!$B$22&amp;"|"&amp;基本属性!$C$22</f>
        <v>210|12</v>
      </c>
      <c r="B7608" s="10" t="str">
        <f>参数调整!$J$38</f>
        <v>新增怪物种类3掉落</v>
      </c>
      <c r="C7608" s="8" t="str">
        <f>材料产出!$T$2</f>
        <v>洗髓丹</v>
      </c>
      <c r="D7608" s="224">
        <f>参数调整!$K$38*怪物掉落配置方案!$D4530</f>
        <v>5.8594364918283251E-2</v>
      </c>
    </row>
    <row r="7609" spans="1:4" ht="16.5" hidden="1" x14ac:dyDescent="0.3">
      <c r="A7609" s="10" t="str">
        <f>基本属性!$B$23&amp;"|"&amp;基本属性!$C$23</f>
        <v>210|13</v>
      </c>
      <c r="B7609" s="10" t="str">
        <f>参数调整!$J$38</f>
        <v>新增怪物种类3掉落</v>
      </c>
      <c r="C7609" s="8" t="str">
        <f>材料产出!$T$2</f>
        <v>洗髓丹</v>
      </c>
      <c r="D7609" s="224">
        <f>参数调整!$K$38*怪物掉落配置方案!$D4531</f>
        <v>6.6486328057087971E-2</v>
      </c>
    </row>
    <row r="7610" spans="1:4" ht="16.5" hidden="1" x14ac:dyDescent="0.3">
      <c r="A7610" s="10" t="str">
        <f>基本属性!$B$24&amp;"|"&amp;基本属性!$C$24</f>
        <v>220|14</v>
      </c>
      <c r="B7610" s="10" t="str">
        <f>参数调整!$J$38</f>
        <v>新增怪物种类3掉落</v>
      </c>
      <c r="C7610" s="8" t="str">
        <f>材料产出!$T$2</f>
        <v>洗髓丹</v>
      </c>
      <c r="D7610" s="224">
        <f>参数调整!$K$38*怪物掉落配置方案!$D4532</f>
        <v>7.4876730973080313E-2</v>
      </c>
    </row>
    <row r="7611" spans="1:4" ht="16.5" hidden="1" x14ac:dyDescent="0.3">
      <c r="A7611" s="10" t="str">
        <f>基本属性!$B$25&amp;"|"&amp;基本属性!$C$25</f>
        <v>220|15</v>
      </c>
      <c r="B7611" s="10" t="str">
        <f>参数调整!$J$38</f>
        <v>新增怪物种类3掉落</v>
      </c>
      <c r="C7611" s="8" t="str">
        <f>材料产出!$T$2</f>
        <v>洗髓丹</v>
      </c>
      <c r="D7611" s="224">
        <f>参数调整!$K$38*怪物掉落配置方案!$D4533</f>
        <v>8.3765573666260335E-2</v>
      </c>
    </row>
    <row r="7612" spans="1:4" ht="16.5" hidden="1" x14ac:dyDescent="0.3">
      <c r="A7612" s="10" t="str">
        <f>基本属性!$B$26&amp;"|"&amp;基本属性!$C$26</f>
        <v>230|16</v>
      </c>
      <c r="B7612" s="10" t="str">
        <f>参数调整!$J$38</f>
        <v>新增怪物种类3掉落</v>
      </c>
      <c r="C7612" s="8" t="str">
        <f>材料产出!$T$2</f>
        <v>洗髓丹</v>
      </c>
      <c r="D7612" s="224">
        <f>参数调整!$K$38*怪物掉落配置方案!$D4534</f>
        <v>9.3152856136628021E-2</v>
      </c>
    </row>
    <row r="7613" spans="1:4" ht="16.5" hidden="1" x14ac:dyDescent="0.3">
      <c r="A7613" s="10" t="str">
        <f>基本属性!$B$27&amp;"|"&amp;基本属性!$C$27</f>
        <v>230|17</v>
      </c>
      <c r="B7613" s="10" t="str">
        <f>参数调整!$J$38</f>
        <v>新增怪物种类3掉落</v>
      </c>
      <c r="C7613" s="8" t="str">
        <f>材料产出!$T$2</f>
        <v>洗髓丹</v>
      </c>
      <c r="D7613" s="224">
        <f>参数调整!$K$38*怪物掉落配置方案!$D4535</f>
        <v>0.10303857838418337</v>
      </c>
    </row>
    <row r="7614" spans="1:4" ht="16.5" hidden="1" x14ac:dyDescent="0.3">
      <c r="A7614" s="10" t="str">
        <f>基本属性!$B$28&amp;"|"&amp;基本属性!$C$28</f>
        <v>240|18</v>
      </c>
      <c r="B7614" s="10" t="str">
        <f>参数调整!$J$38</f>
        <v>新增怪物种类3掉落</v>
      </c>
      <c r="C7614" s="8" t="str">
        <f>材料产出!$T$2</f>
        <v>洗髓丹</v>
      </c>
      <c r="D7614" s="224">
        <f>参数调整!$K$38*怪物掉落配置方案!$D4536</f>
        <v>0.11342274040892641</v>
      </c>
    </row>
    <row r="7615" spans="1:4" ht="16.5" hidden="1" x14ac:dyDescent="0.3">
      <c r="A7615" s="10" t="str">
        <f>基本属性!$B$29&amp;"|"&amp;基本属性!$C$29</f>
        <v>240|19</v>
      </c>
      <c r="B7615" s="10" t="str">
        <f>参数调整!$J$38</f>
        <v>新增怪物种类3掉落</v>
      </c>
      <c r="C7615" s="8" t="str">
        <f>材料产出!$T$2</f>
        <v>洗髓丹</v>
      </c>
      <c r="D7615" s="224">
        <f>参数调整!$K$38*怪物掉落配置方案!$D4537</f>
        <v>0.12430534221085709</v>
      </c>
    </row>
    <row r="7616" spans="1:4" ht="16.5" hidden="1" x14ac:dyDescent="0.3">
      <c r="A7616" s="10" t="str">
        <f>基本属性!$B$30&amp;"|"&amp;基本属性!$C$30</f>
        <v>250|20</v>
      </c>
      <c r="B7616" s="10" t="str">
        <f>参数调整!$J$38</f>
        <v>新增怪物种类3掉落</v>
      </c>
      <c r="C7616" s="8" t="str">
        <f>材料产出!$T$2</f>
        <v>洗髓丹</v>
      </c>
      <c r="D7616" s="224">
        <f>参数调整!$K$38*怪物掉落配置方案!$D4538</f>
        <v>0.13568638378997541</v>
      </c>
    </row>
    <row r="7617" spans="1:4" ht="16.5" hidden="1" x14ac:dyDescent="0.3">
      <c r="A7617" s="10" t="str">
        <f>基本属性!$B$4&amp;"|"&amp;基本属性!$C$4</f>
        <v>35|0</v>
      </c>
      <c r="B7617" s="10" t="str">
        <f>参数调整!$J$38</f>
        <v>新增怪物种类3掉落</v>
      </c>
      <c r="C7617" s="8" t="str">
        <f>材料产出!$AZ$2</f>
        <v>武器碎片</v>
      </c>
      <c r="D7617" s="224">
        <f>参数调整!$K$38*怪物掉落配置方案!$D4539</f>
        <v>2.4350091625169863E-5</v>
      </c>
    </row>
    <row r="7618" spans="1:4" ht="16.5" hidden="1" x14ac:dyDescent="0.3">
      <c r="A7618" s="10" t="str">
        <f>基本属性!$B$5&amp;"|"&amp;基本属性!$C$5</f>
        <v>40|0</v>
      </c>
      <c r="B7618" s="10" t="str">
        <f>参数调整!$J$38</f>
        <v>新增怪物种类3掉落</v>
      </c>
      <c r="C7618" s="8" t="str">
        <f>材料产出!$AZ$2</f>
        <v>武器碎片</v>
      </c>
      <c r="D7618" s="224">
        <f>参数调整!$K$38*怪物掉落配置方案!$D4540</f>
        <v>3.0818084713105605E-5</v>
      </c>
    </row>
    <row r="7619" spans="1:4" ht="16.5" hidden="1" x14ac:dyDescent="0.3">
      <c r="A7619" s="10" t="str">
        <f>基本属性!$B$6&amp;"|"&amp;基本属性!$C$6</f>
        <v>50|0</v>
      </c>
      <c r="B7619" s="10" t="str">
        <f>参数调整!$J$38</f>
        <v>新增怪物种类3掉落</v>
      </c>
      <c r="C7619" s="8" t="str">
        <f>材料产出!$AZ$2</f>
        <v>武器碎片</v>
      </c>
      <c r="D7619" s="224">
        <f>参数调整!$K$38*怪物掉落配置方案!$D4541</f>
        <v>3.8047018164327915E-5</v>
      </c>
    </row>
    <row r="7620" spans="1:4" ht="16.5" hidden="1" x14ac:dyDescent="0.3">
      <c r="A7620" s="10" t="str">
        <f>基本属性!$B$7&amp;"|"&amp;基本属性!$C$7</f>
        <v>60|0</v>
      </c>
      <c r="B7620" s="10" t="str">
        <f>参数调整!$J$38</f>
        <v>新增怪物种类3掉落</v>
      </c>
      <c r="C7620" s="8" t="str">
        <f>材料产出!$AZ$2</f>
        <v>武器碎片</v>
      </c>
      <c r="D7620" s="224">
        <f>参数调整!$K$38*怪物掉落配置方案!$D4542</f>
        <v>4.6036891978836771E-5</v>
      </c>
    </row>
    <row r="7621" spans="1:4" ht="16.5" hidden="1" x14ac:dyDescent="0.3">
      <c r="A7621" s="10" t="str">
        <f>基本属性!$B$8&amp;"|"&amp;基本属性!$C$8</f>
        <v>65|0</v>
      </c>
      <c r="B7621" s="10" t="str">
        <f>参数调整!$J$38</f>
        <v>新增怪物种类3掉落</v>
      </c>
      <c r="C7621" s="8" t="str">
        <f>材料产出!$AZ$2</f>
        <v>武器碎片</v>
      </c>
      <c r="D7621" s="224">
        <f>参数调整!$K$38*怪物掉落配置方案!$D4543</f>
        <v>5.4787706156632195E-5</v>
      </c>
    </row>
    <row r="7622" spans="1:4" ht="16.5" hidden="1" x14ac:dyDescent="0.3">
      <c r="A7622" s="10" t="str">
        <f>基本属性!$B$9&amp;"|"&amp;基本属性!$C$9</f>
        <v>70|0</v>
      </c>
      <c r="B7622" s="10" t="str">
        <f>参数调整!$J$38</f>
        <v>新增怪物种类3掉落</v>
      </c>
      <c r="C7622" s="8" t="str">
        <f>材料产出!$AZ$2</f>
        <v>武器碎片</v>
      </c>
      <c r="D7622" s="224">
        <f>参数调整!$K$38*怪物掉落配置方案!$D4544</f>
        <v>6.4299460697714165E-5</v>
      </c>
    </row>
    <row r="7623" spans="1:4" ht="16.5" hidden="1" x14ac:dyDescent="0.3">
      <c r="A7623" s="10" t="str">
        <f>基本属性!$B$10&amp;"|"&amp;基本属性!$C$10</f>
        <v>75|0</v>
      </c>
      <c r="B7623" s="10" t="str">
        <f>参数调整!$J$38</f>
        <v>新增怪物种类3掉落</v>
      </c>
      <c r="C7623" s="8" t="str">
        <f>材料产出!$AZ$2</f>
        <v>武器碎片</v>
      </c>
      <c r="D7623" s="224">
        <f>参数调整!$K$38*怪物掉落配置方案!$D4545</f>
        <v>7.4572155602082695E-5</v>
      </c>
    </row>
    <row r="7624" spans="1:4" ht="16.5" hidden="1" x14ac:dyDescent="0.3">
      <c r="A7624" s="10" t="str">
        <f>基本属性!$B$11&amp;"|"&amp;基本属性!$C$11</f>
        <v>80|1</v>
      </c>
      <c r="B7624" s="10" t="str">
        <f>参数调整!$J$38</f>
        <v>新增怪物种类3掉落</v>
      </c>
      <c r="C7624" s="8" t="str">
        <f>材料产出!$AZ$2</f>
        <v>武器碎片</v>
      </c>
      <c r="D7624" s="224">
        <f>参数调整!$K$38*怪物掉落配置方案!$D4546</f>
        <v>8.56057908697378E-5</v>
      </c>
    </row>
    <row r="7625" spans="1:4" ht="16.5" hidden="1" x14ac:dyDescent="0.3">
      <c r="A7625" s="10" t="str">
        <f>基本属性!$B$12&amp;"|"&amp;基本属性!$C$12</f>
        <v>90|2</v>
      </c>
      <c r="B7625" s="10" t="str">
        <f>参数调整!$J$38</f>
        <v>新增怪物种类3掉落</v>
      </c>
      <c r="C7625" s="8" t="str">
        <f>材料产出!$AZ$2</f>
        <v>武器碎片</v>
      </c>
      <c r="D7625" s="224">
        <f>参数调整!$K$38*怪物掉落配置方案!$D4547</f>
        <v>9.7400366500679478E-5</v>
      </c>
    </row>
    <row r="7626" spans="1:4" ht="16.5" hidden="1" x14ac:dyDescent="0.3">
      <c r="A7626" s="10" t="str">
        <f>基本属性!$B$13&amp;"|"&amp;基本属性!$C$13</f>
        <v>100|3</v>
      </c>
      <c r="B7626" s="10" t="str">
        <f>参数调整!$J$38</f>
        <v>新增怪物种类3掉落</v>
      </c>
      <c r="C7626" s="8" t="str">
        <f>材料产出!$AZ$2</f>
        <v>武器碎片</v>
      </c>
      <c r="D7626" s="224">
        <f>参数调整!$K$38*怪物掉落配置方案!$D4548</f>
        <v>1.2327233885242245E-4</v>
      </c>
    </row>
    <row r="7627" spans="1:4" ht="16.5" hidden="1" x14ac:dyDescent="0.3">
      <c r="A7627" s="10" t="str">
        <f>基本属性!$B$14&amp;"|"&amp;基本属性!$C$14</f>
        <v>105|4</v>
      </c>
      <c r="B7627" s="10" t="str">
        <f>参数调整!$J$38</f>
        <v>新增怪物种类3掉落</v>
      </c>
      <c r="C7627" s="8" t="str">
        <f>材料产出!$AZ$2</f>
        <v>武器碎片</v>
      </c>
      <c r="D7627" s="224">
        <f>参数调整!$K$38*怪物掉落配置方案!$D4549</f>
        <v>1.5218807265731166E-4</v>
      </c>
    </row>
    <row r="7628" spans="1:4" ht="16.5" hidden="1" x14ac:dyDescent="0.3">
      <c r="A7628" s="10" t="str">
        <f>基本属性!$B$15&amp;"|"&amp;基本属性!$C$15</f>
        <v>110|5</v>
      </c>
      <c r="B7628" s="10" t="str">
        <f>参数调整!$J$38</f>
        <v>新增怪物种类3掉落</v>
      </c>
      <c r="C7628" s="8" t="str">
        <f>材料产出!$AZ$2</f>
        <v>武器碎片</v>
      </c>
      <c r="D7628" s="224">
        <f>参数调整!$K$38*怪物掉落配置方案!$D4550</f>
        <v>1.8414756791534714E-4</v>
      </c>
    </row>
    <row r="7629" spans="1:4" ht="16.5" hidden="1" x14ac:dyDescent="0.3">
      <c r="A7629" s="10" t="str">
        <f>基本属性!$B$16&amp;"|"&amp;基本属性!$C$16</f>
        <v>120|6</v>
      </c>
      <c r="B7629" s="10" t="str">
        <f>参数调整!$J$38</f>
        <v>新增怪物种类3掉落</v>
      </c>
      <c r="C7629" s="8" t="str">
        <f>材料产出!$AZ$2</f>
        <v>武器碎片</v>
      </c>
      <c r="D7629" s="224">
        <f>参数调整!$K$38*怪物掉落配置方案!$D4551</f>
        <v>2.3779386352704949E-4</v>
      </c>
    </row>
    <row r="7630" spans="1:4" ht="16.5" hidden="1" x14ac:dyDescent="0.3">
      <c r="A7630" s="10" t="str">
        <f>基本属性!$B$17&amp;"|"&amp;基本属性!$C$17</f>
        <v>135|7</v>
      </c>
      <c r="B7630" s="10" t="str">
        <f>参数调整!$J$38</f>
        <v>新增怪物种类3掉落</v>
      </c>
      <c r="C7630" s="8" t="str">
        <f>材料产出!$AZ$2</f>
        <v>武器碎片</v>
      </c>
      <c r="D7630" s="224">
        <f>参数调整!$K$38*怪物掉落配置方案!$D4552</f>
        <v>3.424231634789512E-4</v>
      </c>
    </row>
    <row r="7631" spans="1:4" ht="16.5" hidden="1" x14ac:dyDescent="0.3">
      <c r="A7631" s="10" t="str">
        <f>基本属性!$B$18&amp;"|"&amp;基本属性!$C$18</f>
        <v>155|8</v>
      </c>
      <c r="B7631" s="10" t="str">
        <f>参数调整!$J$38</f>
        <v>新增怪物种类3掉落</v>
      </c>
      <c r="C7631" s="8" t="str">
        <f>材料产出!$AZ$2</f>
        <v>武器碎片</v>
      </c>
      <c r="D7631" s="224">
        <f>参数调整!$K$38*怪物掉落配置方案!$D4553</f>
        <v>4.6607597251301693E-4</v>
      </c>
    </row>
    <row r="7632" spans="1:4" ht="16.5" hidden="1" x14ac:dyDescent="0.3">
      <c r="A7632" s="10" t="str">
        <f>基本属性!$B$19&amp;"|"&amp;基本属性!$C$19</f>
        <v>190|9</v>
      </c>
      <c r="B7632" s="10" t="str">
        <f>参数调整!$J$38</f>
        <v>新增怪物种类3掉落</v>
      </c>
      <c r="C7632" s="8" t="str">
        <f>材料产出!$AZ$2</f>
        <v>武器碎片</v>
      </c>
      <c r="D7632" s="224">
        <f>参数调整!$K$38*怪物掉落配置方案!$D4554</f>
        <v>5.2086367866964911E-4</v>
      </c>
    </row>
    <row r="7633" spans="1:4" ht="16.5" hidden="1" x14ac:dyDescent="0.3">
      <c r="A7633" s="10" t="str">
        <f>基本属性!$B$20&amp;"|"&amp;基本属性!$C$20</f>
        <v>200|10</v>
      </c>
      <c r="B7633" s="10" t="str">
        <f>参数调整!$J$38</f>
        <v>新增怪物种类3掉落</v>
      </c>
      <c r="C7633" s="8" t="str">
        <f>材料产出!$AZ$2</f>
        <v>武器碎片</v>
      </c>
      <c r="D7633" s="224">
        <f>参数调整!$K$38*怪物掉落配置方案!$D4555</f>
        <v>6.0875229062924664E-4</v>
      </c>
    </row>
    <row r="7634" spans="1:4" ht="16.5" hidden="1" x14ac:dyDescent="0.3">
      <c r="A7634" s="10" t="str">
        <f>基本属性!$B$21&amp;"|"&amp;基本属性!$C$21</f>
        <v>200|11</v>
      </c>
      <c r="B7634" s="10" t="str">
        <f>参数调整!$J$38</f>
        <v>新增怪物种类3掉落</v>
      </c>
      <c r="C7634" s="8" t="str">
        <f>材料产出!$AZ$2</f>
        <v>武器碎片</v>
      </c>
      <c r="D7634" s="224">
        <f>参数调整!$K$38*怪物掉落配置方案!$D4556</f>
        <v>7.0348936585842283E-4</v>
      </c>
    </row>
    <row r="7635" spans="1:4" ht="16.5" hidden="1" x14ac:dyDescent="0.3">
      <c r="A7635" s="10" t="str">
        <f>基本属性!$B$22&amp;"|"&amp;基本属性!$C$22</f>
        <v>210|12</v>
      </c>
      <c r="B7635" s="10" t="str">
        <f>参数调整!$J$38</f>
        <v>新增怪物种类3掉落</v>
      </c>
      <c r="C7635" s="8" t="str">
        <f>材料产出!$AZ$2</f>
        <v>武器碎片</v>
      </c>
      <c r="D7635" s="224">
        <f>参数调整!$K$38*怪物掉落配置方案!$D4557</f>
        <v>8.0507490435717836E-4</v>
      </c>
    </row>
    <row r="7636" spans="1:4" ht="16.5" hidden="1" x14ac:dyDescent="0.3">
      <c r="A7636" s="10" t="str">
        <f>基本属性!$B$23&amp;"|"&amp;基本属性!$C$23</f>
        <v>210|13</v>
      </c>
      <c r="B7636" s="10" t="str">
        <f>参数调整!$J$38</f>
        <v>新增怪物种类3掉落</v>
      </c>
      <c r="C7636" s="8" t="str">
        <f>材料产出!$AZ$2</f>
        <v>武器碎片</v>
      </c>
      <c r="D7636" s="224">
        <f>参数调整!$K$38*怪物掉落配置方案!$D4558</f>
        <v>9.1350890612551332E-4</v>
      </c>
    </row>
    <row r="7637" spans="1:4" ht="16.5" hidden="1" x14ac:dyDescent="0.3">
      <c r="A7637" s="10" t="str">
        <f>基本属性!$B$24&amp;"|"&amp;基本属性!$C$24</f>
        <v>220|14</v>
      </c>
      <c r="B7637" s="10" t="str">
        <f>参数调整!$J$38</f>
        <v>新增怪物种类3掉落</v>
      </c>
      <c r="C7637" s="8" t="str">
        <f>材料产出!$AZ$2</f>
        <v>武器碎片</v>
      </c>
      <c r="D7637" s="224">
        <f>参数调整!$K$38*怪物掉落配置方案!$D4559</f>
        <v>1.0287913711634266E-3</v>
      </c>
    </row>
    <row r="7638" spans="1:4" ht="16.5" hidden="1" x14ac:dyDescent="0.3">
      <c r="A7638" s="10" t="str">
        <f>基本属性!$B$25&amp;"|"&amp;基本属性!$C$25</f>
        <v>220|15</v>
      </c>
      <c r="B7638" s="10" t="str">
        <f>参数调整!$J$38</f>
        <v>新增怪物种类3掉落</v>
      </c>
      <c r="C7638" s="8" t="str">
        <f>材料产出!$AZ$2</f>
        <v>武器碎片</v>
      </c>
      <c r="D7638" s="224">
        <f>参数调整!$K$38*怪物掉落配置方案!$D4560</f>
        <v>1.150922299470919E-3</v>
      </c>
    </row>
    <row r="7639" spans="1:4" ht="16.5" hidden="1" x14ac:dyDescent="0.3">
      <c r="A7639" s="10" t="str">
        <f>基本属性!$B$26&amp;"|"&amp;基本属性!$C$26</f>
        <v>230|16</v>
      </c>
      <c r="B7639" s="10" t="str">
        <f>参数调整!$J$38</f>
        <v>新增怪物种类3掉落</v>
      </c>
      <c r="C7639" s="8" t="str">
        <f>材料产出!$AZ$2</f>
        <v>武器碎片</v>
      </c>
      <c r="D7639" s="224">
        <f>参数调整!$K$38*怪物掉落配置方案!$D4561</f>
        <v>1.2799016910479907E-3</v>
      </c>
    </row>
    <row r="7640" spans="1:4" ht="16.5" hidden="1" x14ac:dyDescent="0.3">
      <c r="A7640" s="10" t="str">
        <f>基本属性!$B$27&amp;"|"&amp;基本属性!$C$27</f>
        <v>230|17</v>
      </c>
      <c r="B7640" s="10" t="str">
        <f>参数调整!$J$38</f>
        <v>新增怪物种类3掉落</v>
      </c>
      <c r="C7640" s="8" t="str">
        <f>材料产出!$AZ$2</f>
        <v>武器碎片</v>
      </c>
      <c r="D7640" s="224">
        <f>参数调整!$K$38*怪物掉落配置方案!$D4562</f>
        <v>1.4157295458946412E-3</v>
      </c>
    </row>
    <row r="7641" spans="1:4" ht="16.5" hidden="1" x14ac:dyDescent="0.3">
      <c r="A7641" s="10" t="str">
        <f>基本属性!$B$28&amp;"|"&amp;基本属性!$C$28</f>
        <v>240|18</v>
      </c>
      <c r="B7641" s="10" t="str">
        <f>参数调整!$J$38</f>
        <v>新增怪物种类3掉落</v>
      </c>
      <c r="C7641" s="8" t="str">
        <f>材料产出!$AZ$2</f>
        <v>武器碎片</v>
      </c>
      <c r="D7641" s="224">
        <f>参数调整!$K$38*怪物掉落配置方案!$D4563</f>
        <v>1.5584058640108712E-3</v>
      </c>
    </row>
    <row r="7642" spans="1:4" ht="16.5" hidden="1" x14ac:dyDescent="0.3">
      <c r="A7642" s="10" t="str">
        <f>基本属性!$B$29&amp;"|"&amp;基本属性!$C$29</f>
        <v>240|19</v>
      </c>
      <c r="B7642" s="10" t="str">
        <f>参数调整!$J$38</f>
        <v>新增怪物种类3掉落</v>
      </c>
      <c r="C7642" s="8" t="str">
        <f>材料产出!$AZ$2</f>
        <v>武器碎片</v>
      </c>
      <c r="D7642" s="224">
        <f>参数调整!$K$38*怪物掉落配置方案!$D4564</f>
        <v>1.70793064539668E-3</v>
      </c>
    </row>
    <row r="7643" spans="1:4" ht="16.5" hidden="1" x14ac:dyDescent="0.3">
      <c r="A7643" s="10" t="str">
        <f>基本属性!$B$30&amp;"|"&amp;基本属性!$C$30</f>
        <v>250|20</v>
      </c>
      <c r="B7643" s="10" t="str">
        <f>参数调整!$J$38</f>
        <v>新增怪物种类3掉落</v>
      </c>
      <c r="C7643" s="8" t="str">
        <f>材料产出!$AZ$2</f>
        <v>武器碎片</v>
      </c>
      <c r="D7643" s="224">
        <f>参数调整!$K$38*怪物掉落配置方案!$D4565</f>
        <v>1.8643038900520671E-3</v>
      </c>
    </row>
    <row r="7644" spans="1:4" ht="16.5" hidden="1" x14ac:dyDescent="0.3">
      <c r="A7644" s="10" t="str">
        <f>基本属性!$B$4&amp;"|"&amp;基本属性!$C$4</f>
        <v>35|0</v>
      </c>
      <c r="B7644" s="10" t="str">
        <f>参数调整!$J$38</f>
        <v>新增怪物种类3掉落</v>
      </c>
      <c r="C7644" s="8" t="str">
        <f>材料产出!$HW$2</f>
        <v>特戒装备</v>
      </c>
      <c r="D7644" s="224">
        <f>参数调整!$K$38*怪物掉落配置方案!$D4566</f>
        <v>0</v>
      </c>
    </row>
    <row r="7645" spans="1:4" ht="16.5" hidden="1" x14ac:dyDescent="0.3">
      <c r="A7645" s="10" t="str">
        <f>基本属性!$B$5&amp;"|"&amp;基本属性!$C$5</f>
        <v>40|0</v>
      </c>
      <c r="B7645" s="10" t="str">
        <f>参数调整!$J$38</f>
        <v>新增怪物种类3掉落</v>
      </c>
      <c r="C7645" s="8" t="str">
        <f>材料产出!$HW$2</f>
        <v>特戒装备</v>
      </c>
      <c r="D7645" s="224">
        <f>参数调整!$K$38*怪物掉落配置方案!$D4567</f>
        <v>0</v>
      </c>
    </row>
    <row r="7646" spans="1:4" ht="16.5" hidden="1" x14ac:dyDescent="0.3">
      <c r="A7646" s="10" t="str">
        <f>基本属性!$B$6&amp;"|"&amp;基本属性!$C$6</f>
        <v>50|0</v>
      </c>
      <c r="B7646" s="10" t="str">
        <f>参数调整!$J$38</f>
        <v>新增怪物种类3掉落</v>
      </c>
      <c r="C7646" s="8" t="str">
        <f>材料产出!$HW$2</f>
        <v>特戒装备</v>
      </c>
      <c r="D7646" s="224">
        <f>参数调整!$K$38*怪物掉落配置方案!$D4568</f>
        <v>0</v>
      </c>
    </row>
    <row r="7647" spans="1:4" ht="16.5" hidden="1" x14ac:dyDescent="0.3">
      <c r="A7647" s="10" t="str">
        <f>基本属性!$B$7&amp;"|"&amp;基本属性!$C$7</f>
        <v>60|0</v>
      </c>
      <c r="B7647" s="10" t="str">
        <f>参数调整!$J$38</f>
        <v>新增怪物种类3掉落</v>
      </c>
      <c r="C7647" s="8" t="str">
        <f>材料产出!$HW$2</f>
        <v>特戒装备</v>
      </c>
      <c r="D7647" s="224">
        <f>参数调整!$K$38*怪物掉落配置方案!$D4569</f>
        <v>0</v>
      </c>
    </row>
    <row r="7648" spans="1:4" ht="16.5" hidden="1" x14ac:dyDescent="0.3">
      <c r="A7648" s="10" t="str">
        <f>基本属性!$B$8&amp;"|"&amp;基本属性!$C$8</f>
        <v>65|0</v>
      </c>
      <c r="B7648" s="10" t="str">
        <f>参数调整!$J$38</f>
        <v>新增怪物种类3掉落</v>
      </c>
      <c r="C7648" s="8" t="str">
        <f>材料产出!$HW$2</f>
        <v>特戒装备</v>
      </c>
      <c r="D7648" s="224">
        <f>参数调整!$K$38*怪物掉落配置方案!$D4570</f>
        <v>0</v>
      </c>
    </row>
    <row r="7649" spans="1:4" ht="16.5" hidden="1" x14ac:dyDescent="0.3">
      <c r="A7649" s="10" t="str">
        <f>基本属性!$B$9&amp;"|"&amp;基本属性!$C$9</f>
        <v>70|0</v>
      </c>
      <c r="B7649" s="10" t="str">
        <f>参数调整!$J$38</f>
        <v>新增怪物种类3掉落</v>
      </c>
      <c r="C7649" s="8" t="str">
        <f>材料产出!$HW$2</f>
        <v>特戒装备</v>
      </c>
      <c r="D7649" s="224">
        <f>参数调整!$K$38*怪物掉落配置方案!$D4571</f>
        <v>0</v>
      </c>
    </row>
    <row r="7650" spans="1:4" ht="16.5" hidden="1" x14ac:dyDescent="0.3">
      <c r="A7650" s="10" t="str">
        <f>基本属性!$B$10&amp;"|"&amp;基本属性!$C$10</f>
        <v>75|0</v>
      </c>
      <c r="B7650" s="10" t="str">
        <f>参数调整!$J$38</f>
        <v>新增怪物种类3掉落</v>
      </c>
      <c r="C7650" s="8" t="str">
        <f>材料产出!$HW$2</f>
        <v>特戒装备</v>
      </c>
      <c r="D7650" s="224">
        <f>参数调整!$K$38*怪物掉落配置方案!$D4572</f>
        <v>0</v>
      </c>
    </row>
    <row r="7651" spans="1:4" ht="16.5" hidden="1" x14ac:dyDescent="0.3">
      <c r="A7651" s="10" t="str">
        <f>基本属性!$B$11&amp;"|"&amp;基本属性!$C$11</f>
        <v>80|1</v>
      </c>
      <c r="B7651" s="10" t="str">
        <f>参数调整!$J$38</f>
        <v>新增怪物种类3掉落</v>
      </c>
      <c r="C7651" s="8" t="str">
        <f>材料产出!$HW$2</f>
        <v>特戒装备</v>
      </c>
      <c r="D7651" s="224">
        <f>参数调整!$K$38*怪物掉落配置方案!$D4573</f>
        <v>0</v>
      </c>
    </row>
    <row r="7652" spans="1:4" ht="16.5" hidden="1" x14ac:dyDescent="0.3">
      <c r="A7652" s="10" t="str">
        <f>基本属性!$B$12&amp;"|"&amp;基本属性!$C$12</f>
        <v>90|2</v>
      </c>
      <c r="B7652" s="10" t="str">
        <f>参数调整!$J$38</f>
        <v>新增怪物种类3掉落</v>
      </c>
      <c r="C7652" s="8" t="str">
        <f>材料产出!$HW$2</f>
        <v>特戒装备</v>
      </c>
      <c r="D7652" s="224">
        <f>参数调整!$K$38*怪物掉落配置方案!$D4574</f>
        <v>0</v>
      </c>
    </row>
    <row r="7653" spans="1:4" ht="16.5" hidden="1" x14ac:dyDescent="0.3">
      <c r="A7653" s="10" t="str">
        <f>基本属性!$B$13&amp;"|"&amp;基本属性!$C$13</f>
        <v>100|3</v>
      </c>
      <c r="B7653" s="10" t="str">
        <f>参数调整!$J$38</f>
        <v>新增怪物种类3掉落</v>
      </c>
      <c r="C7653" s="8" t="str">
        <f>材料产出!$HW$2</f>
        <v>特戒装备</v>
      </c>
      <c r="D7653" s="224">
        <f>参数调整!$K$38*怪物掉落配置方案!$D4575</f>
        <v>0</v>
      </c>
    </row>
    <row r="7654" spans="1:4" ht="16.5" hidden="1" x14ac:dyDescent="0.3">
      <c r="A7654" s="10" t="str">
        <f>基本属性!$B$14&amp;"|"&amp;基本属性!$C$14</f>
        <v>105|4</v>
      </c>
      <c r="B7654" s="10" t="str">
        <f>参数调整!$J$38</f>
        <v>新增怪物种类3掉落</v>
      </c>
      <c r="C7654" s="8" t="str">
        <f>材料产出!$HW$2</f>
        <v>特戒装备</v>
      </c>
      <c r="D7654" s="224">
        <f>参数调整!$K$38*怪物掉落配置方案!$D4576</f>
        <v>0</v>
      </c>
    </row>
    <row r="7655" spans="1:4" ht="16.5" hidden="1" x14ac:dyDescent="0.3">
      <c r="A7655" s="10" t="str">
        <f>基本属性!$B$15&amp;"|"&amp;基本属性!$C$15</f>
        <v>110|5</v>
      </c>
      <c r="B7655" s="10" t="str">
        <f>参数调整!$J$38</f>
        <v>新增怪物种类3掉落</v>
      </c>
      <c r="C7655" s="8" t="str">
        <f>材料产出!$HW$2</f>
        <v>特戒装备</v>
      </c>
      <c r="D7655" s="224">
        <f>参数调整!$K$38*怪物掉落配置方案!$D4577</f>
        <v>0</v>
      </c>
    </row>
    <row r="7656" spans="1:4" ht="16.5" hidden="1" x14ac:dyDescent="0.3">
      <c r="A7656" s="10" t="str">
        <f>基本属性!$B$16&amp;"|"&amp;基本属性!$C$16</f>
        <v>120|6</v>
      </c>
      <c r="B7656" s="10" t="str">
        <f>参数调整!$J$38</f>
        <v>新增怪物种类3掉落</v>
      </c>
      <c r="C7656" s="8" t="str">
        <f>材料产出!$HW$2</f>
        <v>特戒装备</v>
      </c>
      <c r="D7656" s="224">
        <f>参数调整!$K$38*怪物掉落配置方案!$D4578</f>
        <v>0</v>
      </c>
    </row>
    <row r="7657" spans="1:4" ht="16.5" hidden="1" x14ac:dyDescent="0.3">
      <c r="A7657" s="10" t="str">
        <f>基本属性!$B$17&amp;"|"&amp;基本属性!$C$17</f>
        <v>135|7</v>
      </c>
      <c r="B7657" s="10" t="str">
        <f>参数调整!$J$38</f>
        <v>新增怪物种类3掉落</v>
      </c>
      <c r="C7657" s="8" t="str">
        <f>材料产出!$HW$2</f>
        <v>特戒装备</v>
      </c>
      <c r="D7657" s="224">
        <f>参数调整!$K$38*怪物掉落配置方案!$D4579</f>
        <v>0</v>
      </c>
    </row>
    <row r="7658" spans="1:4" ht="16.5" hidden="1" x14ac:dyDescent="0.3">
      <c r="A7658" s="10" t="str">
        <f>基本属性!$B$18&amp;"|"&amp;基本属性!$C$18</f>
        <v>155|8</v>
      </c>
      <c r="B7658" s="10" t="str">
        <f>参数调整!$J$38</f>
        <v>新增怪物种类3掉落</v>
      </c>
      <c r="C7658" s="8" t="str">
        <f>材料产出!$HW$2</f>
        <v>特戒装备</v>
      </c>
      <c r="D7658" s="224">
        <f>参数调整!$K$38*怪物掉落配置方案!$D4580</f>
        <v>0</v>
      </c>
    </row>
    <row r="7659" spans="1:4" ht="16.5" hidden="1" x14ac:dyDescent="0.3">
      <c r="A7659" s="10" t="str">
        <f>基本属性!$B$19&amp;"|"&amp;基本属性!$C$19</f>
        <v>190|9</v>
      </c>
      <c r="B7659" s="10" t="str">
        <f>参数调整!$J$38</f>
        <v>新增怪物种类3掉落</v>
      </c>
      <c r="C7659" s="8" t="str">
        <f>材料产出!$HW$2</f>
        <v>特戒装备</v>
      </c>
      <c r="D7659" s="224">
        <f>参数调整!$K$38*怪物掉落配置方案!$D4581</f>
        <v>0</v>
      </c>
    </row>
    <row r="7660" spans="1:4" ht="16.5" hidden="1" x14ac:dyDescent="0.3">
      <c r="A7660" s="10" t="str">
        <f>基本属性!$B$20&amp;"|"&amp;基本属性!$C$20</f>
        <v>200|10</v>
      </c>
      <c r="B7660" s="10" t="str">
        <f>参数调整!$J$38</f>
        <v>新增怪物种类3掉落</v>
      </c>
      <c r="C7660" s="8" t="str">
        <f>材料产出!$HW$2</f>
        <v>特戒装备</v>
      </c>
      <c r="D7660" s="224">
        <f>参数调整!$K$38*怪物掉落配置方案!$D4582</f>
        <v>0</v>
      </c>
    </row>
    <row r="7661" spans="1:4" ht="16.5" hidden="1" x14ac:dyDescent="0.3">
      <c r="A7661" s="10" t="str">
        <f>基本属性!$B$21&amp;"|"&amp;基本属性!$C$21</f>
        <v>200|11</v>
      </c>
      <c r="B7661" s="10" t="str">
        <f>参数调整!$J$38</f>
        <v>新增怪物种类3掉落</v>
      </c>
      <c r="C7661" s="8" t="str">
        <f>材料产出!$HW$2</f>
        <v>特戒装备</v>
      </c>
      <c r="D7661" s="224">
        <f>参数调整!$K$38*怪物掉落配置方案!$D4583</f>
        <v>0</v>
      </c>
    </row>
    <row r="7662" spans="1:4" ht="16.5" hidden="1" x14ac:dyDescent="0.3">
      <c r="A7662" s="10" t="str">
        <f>基本属性!$B$22&amp;"|"&amp;基本属性!$C$22</f>
        <v>210|12</v>
      </c>
      <c r="B7662" s="10" t="str">
        <f>参数调整!$J$38</f>
        <v>新增怪物种类3掉落</v>
      </c>
      <c r="C7662" s="8" t="str">
        <f>材料产出!$HW$2</f>
        <v>特戒装备</v>
      </c>
      <c r="D7662" s="224">
        <f>参数调整!$K$38*怪物掉落配置方案!$D4584</f>
        <v>0</v>
      </c>
    </row>
    <row r="7663" spans="1:4" ht="16.5" hidden="1" x14ac:dyDescent="0.3">
      <c r="A7663" s="10" t="str">
        <f>基本属性!$B$23&amp;"|"&amp;基本属性!$C$23</f>
        <v>210|13</v>
      </c>
      <c r="B7663" s="10" t="str">
        <f>参数调整!$J$38</f>
        <v>新增怪物种类3掉落</v>
      </c>
      <c r="C7663" s="8" t="str">
        <f>材料产出!$HW$2</f>
        <v>特戒装备</v>
      </c>
      <c r="D7663" s="224">
        <f>参数调整!$K$38*怪物掉落配置方案!$D4585</f>
        <v>0</v>
      </c>
    </row>
    <row r="7664" spans="1:4" ht="16.5" hidden="1" x14ac:dyDescent="0.3">
      <c r="A7664" s="10" t="str">
        <f>基本属性!$B$24&amp;"|"&amp;基本属性!$C$24</f>
        <v>220|14</v>
      </c>
      <c r="B7664" s="10" t="str">
        <f>参数调整!$J$38</f>
        <v>新增怪物种类3掉落</v>
      </c>
      <c r="C7664" s="8" t="str">
        <f>材料产出!$HW$2</f>
        <v>特戒装备</v>
      </c>
      <c r="D7664" s="224">
        <f>参数调整!$K$38*怪物掉落配置方案!$D4586</f>
        <v>0</v>
      </c>
    </row>
    <row r="7665" spans="1:4" ht="16.5" hidden="1" x14ac:dyDescent="0.3">
      <c r="A7665" s="10" t="str">
        <f>基本属性!$B$25&amp;"|"&amp;基本属性!$C$25</f>
        <v>220|15</v>
      </c>
      <c r="B7665" s="10" t="str">
        <f>参数调整!$J$38</f>
        <v>新增怪物种类3掉落</v>
      </c>
      <c r="C7665" s="8" t="str">
        <f>材料产出!$HW$2</f>
        <v>特戒装备</v>
      </c>
      <c r="D7665" s="224">
        <f>参数调整!$K$38*怪物掉落配置方案!$D4587</f>
        <v>0</v>
      </c>
    </row>
    <row r="7666" spans="1:4" ht="16.5" hidden="1" x14ac:dyDescent="0.3">
      <c r="A7666" s="10" t="str">
        <f>基本属性!$B$26&amp;"|"&amp;基本属性!$C$26</f>
        <v>230|16</v>
      </c>
      <c r="B7666" s="10" t="str">
        <f>参数调整!$J$38</f>
        <v>新增怪物种类3掉落</v>
      </c>
      <c r="C7666" s="8" t="str">
        <f>材料产出!$HW$2</f>
        <v>特戒装备</v>
      </c>
      <c r="D7666" s="224">
        <f>参数调整!$K$38*怪物掉落配置方案!$D4588</f>
        <v>0</v>
      </c>
    </row>
    <row r="7667" spans="1:4" ht="16.5" hidden="1" x14ac:dyDescent="0.3">
      <c r="A7667" s="10" t="str">
        <f>基本属性!$B$27&amp;"|"&amp;基本属性!$C$27</f>
        <v>230|17</v>
      </c>
      <c r="B7667" s="10" t="str">
        <f>参数调整!$J$38</f>
        <v>新增怪物种类3掉落</v>
      </c>
      <c r="C7667" s="8" t="str">
        <f>材料产出!$HW$2</f>
        <v>特戒装备</v>
      </c>
      <c r="D7667" s="224">
        <f>参数调整!$K$38*怪物掉落配置方案!$D4589</f>
        <v>0</v>
      </c>
    </row>
    <row r="7668" spans="1:4" ht="16.5" hidden="1" x14ac:dyDescent="0.3">
      <c r="A7668" s="10" t="str">
        <f>基本属性!$B$28&amp;"|"&amp;基本属性!$C$28</f>
        <v>240|18</v>
      </c>
      <c r="B7668" s="10" t="str">
        <f>参数调整!$J$38</f>
        <v>新增怪物种类3掉落</v>
      </c>
      <c r="C7668" s="8" t="str">
        <f>材料产出!$HW$2</f>
        <v>特戒装备</v>
      </c>
      <c r="D7668" s="224">
        <f>参数调整!$K$38*怪物掉落配置方案!$D4590</f>
        <v>0</v>
      </c>
    </row>
    <row r="7669" spans="1:4" ht="16.5" hidden="1" x14ac:dyDescent="0.3">
      <c r="A7669" s="10" t="str">
        <f>基本属性!$B$29&amp;"|"&amp;基本属性!$C$29</f>
        <v>240|19</v>
      </c>
      <c r="B7669" s="10" t="str">
        <f>参数调整!$J$38</f>
        <v>新增怪物种类3掉落</v>
      </c>
      <c r="C7669" s="8" t="str">
        <f>材料产出!$HW$2</f>
        <v>特戒装备</v>
      </c>
      <c r="D7669" s="224">
        <f>参数调整!$K$38*怪物掉落配置方案!$D4591</f>
        <v>0</v>
      </c>
    </row>
    <row r="7670" spans="1:4" ht="16.5" hidden="1" x14ac:dyDescent="0.3">
      <c r="A7670" s="10" t="str">
        <f>基本属性!$B$30&amp;"|"&amp;基本属性!$C$30</f>
        <v>250|20</v>
      </c>
      <c r="B7670" s="10" t="str">
        <f>参数调整!$J$38</f>
        <v>新增怪物种类3掉落</v>
      </c>
      <c r="C7670" s="8" t="str">
        <f>材料产出!$HW$2</f>
        <v>特戒装备</v>
      </c>
      <c r="D7670" s="224">
        <f>参数调整!$K$38*怪物掉落配置方案!$D4592</f>
        <v>0</v>
      </c>
    </row>
    <row r="7671" spans="1:4" ht="16.5" hidden="1" x14ac:dyDescent="0.3">
      <c r="A7671" s="10" t="str">
        <f>基本属性!$B$4&amp;"|"&amp;基本属性!$C$4</f>
        <v>35|0</v>
      </c>
      <c r="B7671" s="10" t="str">
        <f>参数调整!$J$38</f>
        <v>新增怪物种类3掉落</v>
      </c>
      <c r="C7671" s="8" t="str">
        <f>材料产出!$BF$2</f>
        <v>首饰碎片</v>
      </c>
      <c r="D7671" s="224">
        <f>参数调整!$K$38*怪物掉落配置方案!$D4593</f>
        <v>1.2175045812584931E-4</v>
      </c>
    </row>
    <row r="7672" spans="1:4" ht="16.5" hidden="1" x14ac:dyDescent="0.3">
      <c r="A7672" s="10" t="str">
        <f>基本属性!$B$5&amp;"|"&amp;基本属性!$C$5</f>
        <v>40|0</v>
      </c>
      <c r="B7672" s="10" t="str">
        <f>参数调整!$J$38</f>
        <v>新增怪物种类3掉落</v>
      </c>
      <c r="C7672" s="8" t="str">
        <f>材料产出!$BF$2</f>
        <v>首饰碎片</v>
      </c>
      <c r="D7672" s="224">
        <f>参数调整!$K$38*怪物掉落配置方案!$D4594</f>
        <v>1.5409042356552804E-4</v>
      </c>
    </row>
    <row r="7673" spans="1:4" ht="16.5" hidden="1" x14ac:dyDescent="0.3">
      <c r="A7673" s="10" t="str">
        <f>基本属性!$B$6&amp;"|"&amp;基本属性!$C$6</f>
        <v>50|0</v>
      </c>
      <c r="B7673" s="10" t="str">
        <f>参数调整!$J$38</f>
        <v>新增怪物种类3掉落</v>
      </c>
      <c r="C7673" s="8" t="str">
        <f>材料产出!$BF$2</f>
        <v>首饰碎片</v>
      </c>
      <c r="D7673" s="224">
        <f>参数调整!$K$38*怪物掉落配置方案!$D4595</f>
        <v>1.9023509082163954E-4</v>
      </c>
    </row>
    <row r="7674" spans="1:4" ht="16.5" hidden="1" x14ac:dyDescent="0.3">
      <c r="A7674" s="10" t="str">
        <f>基本属性!$B$7&amp;"|"&amp;基本属性!$C$7</f>
        <v>60|0</v>
      </c>
      <c r="B7674" s="10" t="str">
        <f>参数调整!$J$38</f>
        <v>新增怪物种类3掉落</v>
      </c>
      <c r="C7674" s="8" t="str">
        <f>材料产出!$BF$2</f>
        <v>首饰碎片</v>
      </c>
      <c r="D7674" s="224">
        <f>参数调整!$K$38*怪物掉落配置方案!$D4596</f>
        <v>2.3018445989418391E-4</v>
      </c>
    </row>
    <row r="7675" spans="1:4" ht="16.5" hidden="1" x14ac:dyDescent="0.3">
      <c r="A7675" s="10" t="str">
        <f>基本属性!$B$8&amp;"|"&amp;基本属性!$C$8</f>
        <v>65|0</v>
      </c>
      <c r="B7675" s="10" t="str">
        <f>参数调整!$J$38</f>
        <v>新增怪物种类3掉落</v>
      </c>
      <c r="C7675" s="8" t="str">
        <f>材料产出!$BF$2</f>
        <v>首饰碎片</v>
      </c>
      <c r="D7675" s="224">
        <f>参数调整!$K$38*怪物掉落配置方案!$D4597</f>
        <v>2.7393853078316096E-4</v>
      </c>
    </row>
    <row r="7676" spans="1:4" ht="16.5" hidden="1" x14ac:dyDescent="0.3">
      <c r="A7676" s="10" t="str">
        <f>基本属性!$B$9&amp;"|"&amp;基本属性!$C$9</f>
        <v>70|0</v>
      </c>
      <c r="B7676" s="10" t="str">
        <f>参数调整!$J$38</f>
        <v>新增怪物种类3掉落</v>
      </c>
      <c r="C7676" s="8" t="str">
        <f>材料产出!$BF$2</f>
        <v>首饰碎片</v>
      </c>
      <c r="D7676" s="224">
        <f>参数调整!$K$38*怪物掉落配置方案!$D4598</f>
        <v>3.2149730348857088E-4</v>
      </c>
    </row>
    <row r="7677" spans="1:4" ht="16.5" hidden="1" x14ac:dyDescent="0.3">
      <c r="A7677" s="10" t="str">
        <f>基本属性!$B$10&amp;"|"&amp;基本属性!$C$10</f>
        <v>75|0</v>
      </c>
      <c r="B7677" s="10" t="str">
        <f>参数调整!$J$38</f>
        <v>新增怪物种类3掉落</v>
      </c>
      <c r="C7677" s="8" t="str">
        <f>材料产出!$BF$2</f>
        <v>首饰碎片</v>
      </c>
      <c r="D7677" s="224">
        <f>参数调整!$K$38*怪物掉落配置方案!$D4599</f>
        <v>3.7286077801041345E-4</v>
      </c>
    </row>
    <row r="7678" spans="1:4" ht="16.5" hidden="1" x14ac:dyDescent="0.3">
      <c r="A7678" s="10" t="str">
        <f>基本属性!$B$11&amp;"|"&amp;基本属性!$C$11</f>
        <v>80|1</v>
      </c>
      <c r="B7678" s="10" t="str">
        <f>参数调整!$J$38</f>
        <v>新增怪物种类3掉落</v>
      </c>
      <c r="C7678" s="8" t="str">
        <f>材料产出!$BF$2</f>
        <v>首饰碎片</v>
      </c>
      <c r="D7678" s="224">
        <f>参数调整!$K$38*怪物掉落配置方案!$D4600</f>
        <v>4.2802895434868905E-4</v>
      </c>
    </row>
    <row r="7679" spans="1:4" ht="16.5" hidden="1" x14ac:dyDescent="0.3">
      <c r="A7679" s="10" t="str">
        <f>基本属性!$B$12&amp;"|"&amp;基本属性!$C$12</f>
        <v>90|2</v>
      </c>
      <c r="B7679" s="10" t="str">
        <f>参数调整!$J$38</f>
        <v>新增怪物种类3掉落</v>
      </c>
      <c r="C7679" s="8" t="str">
        <f>材料产出!$BF$2</f>
        <v>首饰碎片</v>
      </c>
      <c r="D7679" s="224">
        <f>参数调整!$K$38*怪物掉落配置方案!$D4601</f>
        <v>4.8700183250339742E-4</v>
      </c>
    </row>
    <row r="7680" spans="1:4" ht="16.5" hidden="1" x14ac:dyDescent="0.3">
      <c r="A7680" s="10" t="str">
        <f>基本属性!$B$13&amp;"|"&amp;基本属性!$C$13</f>
        <v>100|3</v>
      </c>
      <c r="B7680" s="10" t="str">
        <f>参数调整!$J$38</f>
        <v>新增怪物种类3掉落</v>
      </c>
      <c r="C7680" s="8" t="str">
        <f>材料产出!$BF$2</f>
        <v>首饰碎片</v>
      </c>
      <c r="D7680" s="224">
        <f>参数调整!$K$38*怪物掉落配置方案!$D4602</f>
        <v>6.1636169426211227E-4</v>
      </c>
    </row>
    <row r="7681" spans="1:4" ht="16.5" hidden="1" x14ac:dyDescent="0.3">
      <c r="A7681" s="10" t="str">
        <f>基本属性!$B$14&amp;"|"&amp;基本属性!$C$14</f>
        <v>105|4</v>
      </c>
      <c r="B7681" s="10" t="str">
        <f>参数调整!$J$38</f>
        <v>新增怪物种类3掉落</v>
      </c>
      <c r="C7681" s="8" t="str">
        <f>材料产出!$BF$2</f>
        <v>首饰碎片</v>
      </c>
      <c r="D7681" s="224">
        <f>参数调整!$K$38*怪物掉落配置方案!$D4603</f>
        <v>7.6094036328655827E-4</v>
      </c>
    </row>
    <row r="7682" spans="1:4" ht="16.5" hidden="1" x14ac:dyDescent="0.3">
      <c r="A7682" s="10" t="str">
        <f>基本属性!$B$15&amp;"|"&amp;基本属性!$C$15</f>
        <v>110|5</v>
      </c>
      <c r="B7682" s="10" t="str">
        <f>参数调整!$J$38</f>
        <v>新增怪物种类3掉落</v>
      </c>
      <c r="C7682" s="8" t="str">
        <f>材料产出!$BF$2</f>
        <v>首饰碎片</v>
      </c>
      <c r="D7682" s="224">
        <f>参数调整!$K$38*怪物掉落配置方案!$D4604</f>
        <v>9.2073783957673564E-4</v>
      </c>
    </row>
    <row r="7683" spans="1:4" ht="16.5" hidden="1" x14ac:dyDescent="0.3">
      <c r="A7683" s="10" t="str">
        <f>基本属性!$B$16&amp;"|"&amp;基本属性!$C$16</f>
        <v>120|6</v>
      </c>
      <c r="B7683" s="10" t="str">
        <f>参数调整!$J$38</f>
        <v>新增怪物种类3掉落</v>
      </c>
      <c r="C7683" s="8" t="str">
        <f>材料产出!$BF$2</f>
        <v>首饰碎片</v>
      </c>
      <c r="D7683" s="224">
        <f>参数调整!$K$38*怪物掉落配置方案!$D4605</f>
        <v>1.1889693176352473E-3</v>
      </c>
    </row>
    <row r="7684" spans="1:4" ht="16.5" hidden="1" x14ac:dyDescent="0.3">
      <c r="A7684" s="10" t="str">
        <f>基本属性!$B$17&amp;"|"&amp;基本属性!$C$17</f>
        <v>135|7</v>
      </c>
      <c r="B7684" s="10" t="str">
        <f>参数调整!$J$38</f>
        <v>新增怪物种类3掉落</v>
      </c>
      <c r="C7684" s="8" t="str">
        <f>材料产出!$BF$2</f>
        <v>首饰碎片</v>
      </c>
      <c r="D7684" s="224">
        <f>参数调整!$K$38*怪物掉落配置方案!$D4606</f>
        <v>1.7121158173947558E-3</v>
      </c>
    </row>
    <row r="7685" spans="1:4" ht="16.5" hidden="1" x14ac:dyDescent="0.3">
      <c r="A7685" s="10" t="str">
        <f>基本属性!$B$18&amp;"|"&amp;基本属性!$C$18</f>
        <v>155|8</v>
      </c>
      <c r="B7685" s="10" t="str">
        <f>参数调整!$J$38</f>
        <v>新增怪物种类3掉落</v>
      </c>
      <c r="C7685" s="8" t="str">
        <f>材料产出!$BF$2</f>
        <v>首饰碎片</v>
      </c>
      <c r="D7685" s="224">
        <f>参数调整!$K$38*怪物掉落配置方案!$D4607</f>
        <v>2.3303798625650849E-3</v>
      </c>
    </row>
    <row r="7686" spans="1:4" ht="16.5" hidden="1" x14ac:dyDescent="0.3">
      <c r="A7686" s="10" t="str">
        <f>基本属性!$B$19&amp;"|"&amp;基本属性!$C$19</f>
        <v>190|9</v>
      </c>
      <c r="B7686" s="10" t="str">
        <f>参数调整!$J$38</f>
        <v>新增怪物种类3掉落</v>
      </c>
      <c r="C7686" s="8" t="str">
        <f>材料产出!$BF$2</f>
        <v>首饰碎片</v>
      </c>
      <c r="D7686" s="224">
        <f>参数调整!$K$38*怪物掉落配置方案!$D4608</f>
        <v>2.6043183933482455E-3</v>
      </c>
    </row>
    <row r="7687" spans="1:4" ht="16.5" hidden="1" x14ac:dyDescent="0.3">
      <c r="A7687" s="10" t="str">
        <f>基本属性!$B$20&amp;"|"&amp;基本属性!$C$20</f>
        <v>200|10</v>
      </c>
      <c r="B7687" s="10" t="str">
        <f>参数调整!$J$38</f>
        <v>新增怪物种类3掉落</v>
      </c>
      <c r="C7687" s="8" t="str">
        <f>材料产出!$BF$2</f>
        <v>首饰碎片</v>
      </c>
      <c r="D7687" s="224">
        <f>参数调整!$K$38*怪物掉落配置方案!$D4609</f>
        <v>3.0437614531462331E-3</v>
      </c>
    </row>
    <row r="7688" spans="1:4" ht="16.5" hidden="1" x14ac:dyDescent="0.3">
      <c r="A7688" s="10" t="str">
        <f>基本属性!$B$21&amp;"|"&amp;基本属性!$C$21</f>
        <v>200|11</v>
      </c>
      <c r="B7688" s="10" t="str">
        <f>参数调整!$J$38</f>
        <v>新增怪物种类3掉落</v>
      </c>
      <c r="C7688" s="8" t="str">
        <f>材料产出!$BF$2</f>
        <v>首饰碎片</v>
      </c>
      <c r="D7688" s="224">
        <f>参数调整!$K$38*怪物掉落配置方案!$D4610</f>
        <v>3.5174468292921146E-3</v>
      </c>
    </row>
    <row r="7689" spans="1:4" ht="16.5" hidden="1" x14ac:dyDescent="0.3">
      <c r="A7689" s="10" t="str">
        <f>基本属性!$B$22&amp;"|"&amp;基本属性!$C$22</f>
        <v>210|12</v>
      </c>
      <c r="B7689" s="10" t="str">
        <f>参数调整!$J$38</f>
        <v>新增怪物种类3掉落</v>
      </c>
      <c r="C7689" s="8" t="str">
        <f>材料产出!$BF$2</f>
        <v>首饰碎片</v>
      </c>
      <c r="D7689" s="224">
        <f>参数调整!$K$38*怪物掉落配置方案!$D4611</f>
        <v>4.0253745217858922E-3</v>
      </c>
    </row>
    <row r="7690" spans="1:4" ht="16.5" hidden="1" x14ac:dyDescent="0.3">
      <c r="A7690" s="10" t="str">
        <f>基本属性!$B$23&amp;"|"&amp;基本属性!$C$23</f>
        <v>210|13</v>
      </c>
      <c r="B7690" s="10" t="str">
        <f>参数调整!$J$38</f>
        <v>新增怪物种类3掉落</v>
      </c>
      <c r="C7690" s="8" t="str">
        <f>材料产出!$BF$2</f>
        <v>首饰碎片</v>
      </c>
      <c r="D7690" s="224">
        <f>参数调整!$K$38*怪物掉落配置方案!$D4612</f>
        <v>4.567544530627566E-3</v>
      </c>
    </row>
    <row r="7691" spans="1:4" ht="16.5" hidden="1" x14ac:dyDescent="0.3">
      <c r="A7691" s="10" t="str">
        <f>基本属性!$B$24&amp;"|"&amp;基本属性!$C$24</f>
        <v>220|14</v>
      </c>
      <c r="B7691" s="10" t="str">
        <f>参数调整!$J$38</f>
        <v>新增怪物种类3掉落</v>
      </c>
      <c r="C7691" s="8" t="str">
        <f>材料产出!$BF$2</f>
        <v>首饰碎片</v>
      </c>
      <c r="D7691" s="224">
        <f>参数调整!$K$38*怪物掉落配置方案!$D4613</f>
        <v>5.143956855817134E-3</v>
      </c>
    </row>
    <row r="7692" spans="1:4" ht="16.5" hidden="1" x14ac:dyDescent="0.3">
      <c r="A7692" s="10" t="str">
        <f>基本属性!$B$25&amp;"|"&amp;基本属性!$C$25</f>
        <v>220|15</v>
      </c>
      <c r="B7692" s="10" t="str">
        <f>参数调整!$J$38</f>
        <v>新增怪物种类3掉落</v>
      </c>
      <c r="C7692" s="8" t="str">
        <f>材料产出!$BF$2</f>
        <v>首饰碎片</v>
      </c>
      <c r="D7692" s="224">
        <f>参数调整!$K$38*怪物掉落配置方案!$D4614</f>
        <v>5.7546114973545956E-3</v>
      </c>
    </row>
    <row r="7693" spans="1:4" ht="16.5" hidden="1" x14ac:dyDescent="0.3">
      <c r="A7693" s="10" t="str">
        <f>基本属性!$B$26&amp;"|"&amp;基本属性!$C$26</f>
        <v>230|16</v>
      </c>
      <c r="B7693" s="10" t="str">
        <f>参数调整!$J$38</f>
        <v>新增怪物种类3掉落</v>
      </c>
      <c r="C7693" s="8" t="str">
        <f>材料产出!$BF$2</f>
        <v>首饰碎片</v>
      </c>
      <c r="D7693" s="224">
        <f>参数调整!$K$38*怪物掉落配置方案!$D4615</f>
        <v>6.3995084552399533E-3</v>
      </c>
    </row>
    <row r="7694" spans="1:4" ht="16.5" hidden="1" x14ac:dyDescent="0.3">
      <c r="A7694" s="10" t="str">
        <f>基本属性!$B$27&amp;"|"&amp;基本属性!$C$27</f>
        <v>230|17</v>
      </c>
      <c r="B7694" s="10" t="str">
        <f>参数调整!$J$38</f>
        <v>新增怪物种类3掉落</v>
      </c>
      <c r="C7694" s="8" t="str">
        <f>材料产出!$BF$2</f>
        <v>首饰碎片</v>
      </c>
      <c r="D7694" s="224">
        <f>参数调整!$K$38*怪物掉落配置方案!$D4616</f>
        <v>7.0786477294732062E-3</v>
      </c>
    </row>
    <row r="7695" spans="1:4" ht="16.5" hidden="1" x14ac:dyDescent="0.3">
      <c r="A7695" s="10" t="str">
        <f>基本属性!$B$28&amp;"|"&amp;基本属性!$C$28</f>
        <v>240|18</v>
      </c>
      <c r="B7695" s="10" t="str">
        <f>参数调整!$J$38</f>
        <v>新增怪物种类3掉落</v>
      </c>
      <c r="C7695" s="8" t="str">
        <f>材料产出!$BF$2</f>
        <v>首饰碎片</v>
      </c>
      <c r="D7695" s="224">
        <f>参数调整!$K$38*怪物掉落配置方案!$D4617</f>
        <v>7.7920293200543569E-3</v>
      </c>
    </row>
    <row r="7696" spans="1:4" ht="16.5" hidden="1" x14ac:dyDescent="0.3">
      <c r="A7696" s="10" t="str">
        <f>基本属性!$B$29&amp;"|"&amp;基本属性!$C$29</f>
        <v>240|19</v>
      </c>
      <c r="B7696" s="10" t="str">
        <f>参数调整!$J$38</f>
        <v>新增怪物种类3掉落</v>
      </c>
      <c r="C7696" s="8" t="str">
        <f>材料产出!$BF$2</f>
        <v>首饰碎片</v>
      </c>
      <c r="D7696" s="224">
        <f>参数调整!$K$38*怪物掉落配置方案!$D4618</f>
        <v>8.5396532269834003E-3</v>
      </c>
    </row>
    <row r="7697" spans="1:4" ht="16.5" hidden="1" x14ac:dyDescent="0.3">
      <c r="A7697" s="10" t="str">
        <f>基本属性!$B$30&amp;"|"&amp;基本属性!$C$30</f>
        <v>250|20</v>
      </c>
      <c r="B7697" s="10" t="str">
        <f>参数调整!$J$38</f>
        <v>新增怪物种类3掉落</v>
      </c>
      <c r="C7697" s="8" t="str">
        <f>材料产出!$BF$2</f>
        <v>首饰碎片</v>
      </c>
      <c r="D7697" s="224">
        <f>参数调整!$K$38*怪物掉落配置方案!$D4619</f>
        <v>9.3215194502603363E-3</v>
      </c>
    </row>
    <row r="7698" spans="1:4" ht="16.5" hidden="1" x14ac:dyDescent="0.3">
      <c r="A7698" s="10" t="str">
        <f>基本属性!$B$4&amp;"|"&amp;基本属性!$C$4</f>
        <v>35|0</v>
      </c>
      <c r="B7698" s="10" t="str">
        <f>参数调整!$J$38</f>
        <v>新增怪物种类3掉落</v>
      </c>
      <c r="C7698" s="8" t="str">
        <f>材料产出!$P$2</f>
        <v>声望</v>
      </c>
      <c r="D7698" s="224">
        <f>参数调整!$K$38*怪物掉落配置方案!$D4620</f>
        <v>1.9485028119775042E-2</v>
      </c>
    </row>
    <row r="7699" spans="1:4" ht="16.5" hidden="1" x14ac:dyDescent="0.3">
      <c r="A7699" s="10" t="str">
        <f>基本属性!$B$5&amp;"|"&amp;基本属性!$C$5</f>
        <v>40|0</v>
      </c>
      <c r="B7699" s="10" t="str">
        <f>参数调整!$J$38</f>
        <v>新增怪物种类3掉落</v>
      </c>
      <c r="C7699" s="8" t="str">
        <f>材料产出!$P$2</f>
        <v>声望</v>
      </c>
      <c r="D7699" s="224">
        <f>参数调整!$K$38*怪物掉落配置方案!$D4621</f>
        <v>2.4660738714090288E-2</v>
      </c>
    </row>
    <row r="7700" spans="1:4" ht="16.5" hidden="1" x14ac:dyDescent="0.3">
      <c r="A7700" s="10" t="str">
        <f>基本属性!$B$6&amp;"|"&amp;基本属性!$C$6</f>
        <v>50|0</v>
      </c>
      <c r="B7700" s="10" t="str">
        <f>参数调整!$J$38</f>
        <v>新增怪物种类3掉落</v>
      </c>
      <c r="C7700" s="8" t="str">
        <f>材料产出!$P$2</f>
        <v>声望</v>
      </c>
      <c r="D7700" s="224">
        <f>参数调整!$K$38*怪物掉落配置方案!$D4622</f>
        <v>3.0445356437148501E-2</v>
      </c>
    </row>
    <row r="7701" spans="1:4" ht="16.5" hidden="1" x14ac:dyDescent="0.3">
      <c r="A7701" s="10" t="str">
        <f>基本属性!$B$7&amp;"|"&amp;基本属性!$C$7</f>
        <v>60|0</v>
      </c>
      <c r="B7701" s="10" t="str">
        <f>参数调整!$J$38</f>
        <v>新增怪物种类3掉落</v>
      </c>
      <c r="C7701" s="8" t="str">
        <f>材料产出!$P$2</f>
        <v>声望</v>
      </c>
      <c r="D7701" s="224">
        <f>参数调整!$K$38*怪物掉落配置方案!$D4623</f>
        <v>3.6838881288949687E-2</v>
      </c>
    </row>
    <row r="7702" spans="1:4" ht="16.5" hidden="1" x14ac:dyDescent="0.3">
      <c r="A7702" s="10" t="str">
        <f>基本属性!$B$8&amp;"|"&amp;基本属性!$C$8</f>
        <v>65|0</v>
      </c>
      <c r="B7702" s="10" t="str">
        <f>参数调整!$J$38</f>
        <v>新增怪物种类3掉落</v>
      </c>
      <c r="C7702" s="8" t="str">
        <f>材料产出!$P$2</f>
        <v>声望</v>
      </c>
      <c r="D7702" s="224">
        <f>参数调整!$K$38*怪物掉落配置方案!$D4624</f>
        <v>4.3841313269493844E-2</v>
      </c>
    </row>
    <row r="7703" spans="1:4" ht="16.5" hidden="1" x14ac:dyDescent="0.3">
      <c r="A7703" s="10" t="str">
        <f>基本属性!$B$9&amp;"|"&amp;基本属性!$C$9</f>
        <v>70|0</v>
      </c>
      <c r="B7703" s="10" t="str">
        <f>参数调整!$J$38</f>
        <v>新增怪物种类3掉落</v>
      </c>
      <c r="C7703" s="8" t="str">
        <f>材料产出!$P$2</f>
        <v>声望</v>
      </c>
      <c r="D7703" s="224">
        <f>参数调整!$K$38*怪物掉落配置方案!$D4625</f>
        <v>5.1452652378780966E-2</v>
      </c>
    </row>
    <row r="7704" spans="1:4" ht="16.5" hidden="1" x14ac:dyDescent="0.3">
      <c r="A7704" s="10" t="str">
        <f>基本属性!$B$10&amp;"|"&amp;基本属性!$C$10</f>
        <v>75|0</v>
      </c>
      <c r="B7704" s="10" t="str">
        <f>参数调整!$J$38</f>
        <v>新增怪物种类3掉落</v>
      </c>
      <c r="C7704" s="8" t="str">
        <f>材料产出!$P$2</f>
        <v>声望</v>
      </c>
      <c r="D7704" s="224">
        <f>参数调整!$K$38*怪物掉落配置方案!$D4626</f>
        <v>5.9672898616811063E-2</v>
      </c>
    </row>
    <row r="7705" spans="1:4" ht="16.5" hidden="1" x14ac:dyDescent="0.3">
      <c r="A7705" s="10" t="str">
        <f>基本属性!$B$11&amp;"|"&amp;基本属性!$C$11</f>
        <v>80|1</v>
      </c>
      <c r="B7705" s="10" t="str">
        <f>参数调整!$J$38</f>
        <v>新增怪物种类3掉落</v>
      </c>
      <c r="C7705" s="8" t="str">
        <f>材料产出!$P$2</f>
        <v>声望</v>
      </c>
      <c r="D7705" s="224">
        <f>参数调整!$K$38*怪物掉落配置方案!$D4627</f>
        <v>6.8502051983584125E-2</v>
      </c>
    </row>
    <row r="7706" spans="1:4" ht="16.5" hidden="1" x14ac:dyDescent="0.3">
      <c r="A7706" s="10" t="str">
        <f>基本属性!$B$12&amp;"|"&amp;基本属性!$C$12</f>
        <v>90|2</v>
      </c>
      <c r="B7706" s="10" t="str">
        <f>参数调整!$J$38</f>
        <v>新增怪物种类3掉落</v>
      </c>
      <c r="C7706" s="8" t="str">
        <f>材料产出!$P$2</f>
        <v>声望</v>
      </c>
      <c r="D7706" s="224">
        <f>参数调整!$K$38*怪物掉落配置方案!$D4628</f>
        <v>7.7940112479100182E-2</v>
      </c>
    </row>
    <row r="7707" spans="1:4" ht="16.5" hidden="1" x14ac:dyDescent="0.3">
      <c r="A7707" s="10" t="str">
        <f>基本属性!$B$13&amp;"|"&amp;基本属性!$C$13</f>
        <v>100|3</v>
      </c>
      <c r="B7707" s="10" t="str">
        <f>参数调整!$J$38</f>
        <v>新增怪物种类3掉落</v>
      </c>
      <c r="C7707" s="8" t="str">
        <f>材料产出!$P$2</f>
        <v>声望</v>
      </c>
      <c r="D7707" s="224">
        <f>参数调整!$K$38*怪物掉落配置方案!$D4629</f>
        <v>9.8642954856361154E-2</v>
      </c>
    </row>
    <row r="7708" spans="1:4" ht="16.5" hidden="1" x14ac:dyDescent="0.3">
      <c r="A7708" s="10" t="str">
        <f>基本属性!$B$14&amp;"|"&amp;基本属性!$C$14</f>
        <v>105|4</v>
      </c>
      <c r="B7708" s="10" t="str">
        <f>参数调整!$J$38</f>
        <v>新增怪物种类3掉落</v>
      </c>
      <c r="C7708" s="8" t="str">
        <f>材料产出!$P$2</f>
        <v>声望</v>
      </c>
      <c r="D7708" s="224">
        <f>参数调整!$K$38*怪物掉落配置方案!$D4630</f>
        <v>0.12178142574859402</v>
      </c>
    </row>
    <row r="7709" spans="1:4" ht="16.5" hidden="1" x14ac:dyDescent="0.3">
      <c r="A7709" s="10" t="str">
        <f>基本属性!$B$15&amp;"|"&amp;基本属性!$C$15</f>
        <v>110|5</v>
      </c>
      <c r="B7709" s="10" t="str">
        <f>参数调整!$J$38</f>
        <v>新增怪物种类3掉落</v>
      </c>
      <c r="C7709" s="8" t="str">
        <f>材料产出!$P$2</f>
        <v>声望</v>
      </c>
      <c r="D7709" s="224">
        <f>参数调整!$K$38*怪物掉落配置方案!$D4631</f>
        <v>0.14735552515579875</v>
      </c>
    </row>
    <row r="7710" spans="1:4" ht="16.5" hidden="1" x14ac:dyDescent="0.3">
      <c r="A7710" s="10" t="str">
        <f>基本属性!$B$16&amp;"|"&amp;基本属性!$C$16</f>
        <v>120|6</v>
      </c>
      <c r="B7710" s="10" t="str">
        <f>参数调整!$J$38</f>
        <v>新增怪物种类3掉落</v>
      </c>
      <c r="C7710" s="8" t="str">
        <f>材料产出!$P$2</f>
        <v>声望</v>
      </c>
      <c r="D7710" s="224">
        <f>参数调整!$K$38*怪物掉落配置方案!$D4632</f>
        <v>0.19028347773217813</v>
      </c>
    </row>
    <row r="7711" spans="1:4" ht="16.5" hidden="1" x14ac:dyDescent="0.3">
      <c r="A7711" s="10" t="str">
        <f>基本属性!$B$17&amp;"|"&amp;基本属性!$C$17</f>
        <v>135|7</v>
      </c>
      <c r="B7711" s="10" t="str">
        <f>参数调整!$J$38</f>
        <v>新增怪物种类3掉落</v>
      </c>
      <c r="C7711" s="8" t="str">
        <f>材料产出!$P$2</f>
        <v>声望</v>
      </c>
      <c r="D7711" s="224">
        <f>参数调整!$K$38*怪物掉落配置方案!$D4633</f>
        <v>0.2740082079343365</v>
      </c>
    </row>
    <row r="7712" spans="1:4" ht="16.5" hidden="1" x14ac:dyDescent="0.3">
      <c r="A7712" s="10" t="str">
        <f>基本属性!$B$18&amp;"|"&amp;基本属性!$C$18</f>
        <v>155|8</v>
      </c>
      <c r="B7712" s="10" t="str">
        <f>参数调整!$J$38</f>
        <v>新增怪物种类3掉落</v>
      </c>
      <c r="C7712" s="8" t="str">
        <f>材料产出!$P$2</f>
        <v>声望</v>
      </c>
      <c r="D7712" s="224">
        <f>参数调整!$K$38*怪物掉落配置方案!$D4634</f>
        <v>0.37295561635506913</v>
      </c>
    </row>
    <row r="7713" spans="1:4" ht="16.5" hidden="1" x14ac:dyDescent="0.3">
      <c r="A7713" s="10" t="str">
        <f>基本属性!$B$19&amp;"|"&amp;基本属性!$C$19</f>
        <v>190|9</v>
      </c>
      <c r="B7713" s="10" t="str">
        <f>参数调整!$J$38</f>
        <v>新增怪物种类3掉落</v>
      </c>
      <c r="C7713" s="8" t="str">
        <f>材料产出!$P$2</f>
        <v>声望</v>
      </c>
      <c r="D7713" s="224">
        <f>参数调整!$K$38*怪物掉落配置方案!$D4635</f>
        <v>0.41679692962456305</v>
      </c>
    </row>
    <row r="7714" spans="1:4" ht="16.5" hidden="1" x14ac:dyDescent="0.3">
      <c r="A7714" s="10" t="str">
        <f>基本属性!$B$20&amp;"|"&amp;基本属性!$C$20</f>
        <v>200|10</v>
      </c>
      <c r="B7714" s="10" t="str">
        <f>参数调整!$J$38</f>
        <v>新增怪物种类3掉落</v>
      </c>
      <c r="C7714" s="8" t="str">
        <f>材料产出!$P$2</f>
        <v>声望</v>
      </c>
      <c r="D7714" s="224">
        <f>参数调整!$K$38*怪物掉落配置方案!$D4636</f>
        <v>0.48712570299437608</v>
      </c>
    </row>
    <row r="7715" spans="1:4" ht="16.5" hidden="1" x14ac:dyDescent="0.3">
      <c r="A7715" s="10" t="str">
        <f>基本属性!$B$21&amp;"|"&amp;基本属性!$C$21</f>
        <v>200|11</v>
      </c>
      <c r="B7715" s="10" t="str">
        <f>参数调整!$J$38</f>
        <v>新增怪物种类3掉落</v>
      </c>
      <c r="C7715" s="8" t="str">
        <f>材料产出!$P$2</f>
        <v>声望</v>
      </c>
      <c r="D7715" s="224">
        <f>参数调整!$K$38*怪物掉落配置方案!$D4637</f>
        <v>0.56293464052287567</v>
      </c>
    </row>
    <row r="7716" spans="1:4" ht="16.5" hidden="1" x14ac:dyDescent="0.3">
      <c r="A7716" s="10" t="str">
        <f>基本属性!$B$22&amp;"|"&amp;基本属性!$C$22</f>
        <v>210|12</v>
      </c>
      <c r="B7716" s="10" t="str">
        <f>参数调整!$J$38</f>
        <v>新增怪物种类3掉落</v>
      </c>
      <c r="C7716" s="8" t="str">
        <f>材料产出!$P$2</f>
        <v>声望</v>
      </c>
      <c r="D7716" s="224">
        <f>参数调整!$K$38*怪物掉落配置方案!$D4638</f>
        <v>0.64422374221006207</v>
      </c>
    </row>
    <row r="7717" spans="1:4" ht="16.5" hidden="1" x14ac:dyDescent="0.3">
      <c r="A7717" s="10" t="str">
        <f>基本属性!$B$23&amp;"|"&amp;基本属性!$C$23</f>
        <v>210|13</v>
      </c>
      <c r="B7717" s="10" t="str">
        <f>参数调整!$J$38</f>
        <v>新增怪物种类3掉落</v>
      </c>
      <c r="C7717" s="8" t="str">
        <f>材料产出!$P$2</f>
        <v>声望</v>
      </c>
      <c r="D7717" s="224">
        <f>参数调整!$K$38*怪物掉落配置方案!$D4639</f>
        <v>0.7309930080559357</v>
      </c>
    </row>
    <row r="7718" spans="1:4" ht="16.5" hidden="1" x14ac:dyDescent="0.3">
      <c r="A7718" s="10" t="str">
        <f>基本属性!$B$24&amp;"|"&amp;基本属性!$C$24</f>
        <v>220|14</v>
      </c>
      <c r="B7718" s="10" t="str">
        <f>参数调整!$J$38</f>
        <v>新增怪物种类3掉落</v>
      </c>
      <c r="C7718" s="8" t="str">
        <f>材料产出!$P$2</f>
        <v>声望</v>
      </c>
      <c r="D7718" s="224">
        <f>参数调整!$K$38*怪物掉落配置方案!$D4640</f>
        <v>0.82324243806049546</v>
      </c>
    </row>
    <row r="7719" spans="1:4" ht="16.5" hidden="1" x14ac:dyDescent="0.3">
      <c r="A7719" s="10" t="str">
        <f>基本属性!$B$25&amp;"|"&amp;基本属性!$C$25</f>
        <v>220|15</v>
      </c>
      <c r="B7719" s="10" t="str">
        <f>参数调整!$J$38</f>
        <v>新增怪物种类3掉落</v>
      </c>
      <c r="C7719" s="8" t="str">
        <f>材料产出!$P$2</f>
        <v>声望</v>
      </c>
      <c r="D7719" s="224">
        <f>参数调整!$K$38*怪物掉落配置方案!$D4641</f>
        <v>0.92097203222374202</v>
      </c>
    </row>
    <row r="7720" spans="1:4" ht="16.5" hidden="1" x14ac:dyDescent="0.3">
      <c r="A7720" s="10" t="str">
        <f>基本属性!$B$26&amp;"|"&amp;基本属性!$C$26</f>
        <v>230|16</v>
      </c>
      <c r="B7720" s="10" t="str">
        <f>参数调整!$J$38</f>
        <v>新增怪物种类3掉落</v>
      </c>
      <c r="C7720" s="8" t="str">
        <f>材料产出!$P$2</f>
        <v>声望</v>
      </c>
      <c r="D7720" s="224">
        <f>参数调整!$K$38*怪物掉落配置方案!$D4642</f>
        <v>1.0241817905456756</v>
      </c>
    </row>
    <row r="7721" spans="1:4" ht="16.5" hidden="1" x14ac:dyDescent="0.3">
      <c r="A7721" s="10" t="str">
        <f>基本属性!$B$27&amp;"|"&amp;基本属性!$C$27</f>
        <v>230|17</v>
      </c>
      <c r="B7721" s="10" t="str">
        <f>参数调整!$J$38</f>
        <v>新增怪物种类3掉落</v>
      </c>
      <c r="C7721" s="8" t="str">
        <f>材料产出!$P$2</f>
        <v>声望</v>
      </c>
      <c r="D7721" s="224">
        <f>参数调整!$K$38*怪物掉落配置方案!$D4643</f>
        <v>1.1328717130262955</v>
      </c>
    </row>
    <row r="7722" spans="1:4" ht="16.5" hidden="1" x14ac:dyDescent="0.3">
      <c r="A7722" s="10" t="str">
        <f>基本属性!$B$28&amp;"|"&amp;基本属性!$C$28</f>
        <v>240|18</v>
      </c>
      <c r="B7722" s="10" t="str">
        <f>参数调整!$J$38</f>
        <v>新增怪物种类3掉落</v>
      </c>
      <c r="C7722" s="8" t="str">
        <f>材料产出!$P$2</f>
        <v>声望</v>
      </c>
      <c r="D7722" s="224">
        <f>参数调整!$K$38*怪物掉落配置方案!$D4644</f>
        <v>1.2470417996656029</v>
      </c>
    </row>
    <row r="7723" spans="1:4" ht="16.5" hidden="1" x14ac:dyDescent="0.3">
      <c r="A7723" s="10" t="str">
        <f>基本属性!$B$29&amp;"|"&amp;基本属性!$C$29</f>
        <v>240|19</v>
      </c>
      <c r="B7723" s="10" t="str">
        <f>参数调整!$J$38</f>
        <v>新增怪物种类3掉落</v>
      </c>
      <c r="C7723" s="8" t="str">
        <f>材料产出!$P$2</f>
        <v>声望</v>
      </c>
      <c r="D7723" s="224">
        <f>参数调整!$K$38*怪物掉落配置方案!$D4645</f>
        <v>1.3666920504635964</v>
      </c>
    </row>
    <row r="7724" spans="1:4" ht="16.5" hidden="1" x14ac:dyDescent="0.3">
      <c r="A7724" s="10" t="str">
        <f>基本属性!$B$30&amp;"|"&amp;基本属性!$C$30</f>
        <v>250|20</v>
      </c>
      <c r="B7724" s="10" t="str">
        <f>参数调整!$J$38</f>
        <v>新增怪物种类3掉落</v>
      </c>
      <c r="C7724" s="8" t="str">
        <f>材料产出!$P$2</f>
        <v>声望</v>
      </c>
      <c r="D7724" s="224">
        <f>参数调整!$K$38*怪物掉落配置方案!$D4646</f>
        <v>1.4918224654202763</v>
      </c>
    </row>
    <row r="7725" spans="1:4" ht="16.5" hidden="1" x14ac:dyDescent="0.3">
      <c r="A7725" s="10" t="str">
        <f>基本属性!$B$4&amp;"|"&amp;基本属性!$C$4</f>
        <v>35|0</v>
      </c>
      <c r="B7725" s="10" t="str">
        <f>参数调整!$J$38</f>
        <v>新增怪物种类3掉落</v>
      </c>
      <c r="C7725" s="8" t="str">
        <f>材料产出!$AV$2</f>
        <v>神器图纸</v>
      </c>
      <c r="D7725" s="224">
        <f>参数调整!$K$38*怪物掉落配置方案!$D4647</f>
        <v>8.766032985061149E-5</v>
      </c>
    </row>
    <row r="7726" spans="1:4" ht="16.5" hidden="1" x14ac:dyDescent="0.3">
      <c r="A7726" s="10" t="str">
        <f>基本属性!$B$5&amp;"|"&amp;基本属性!$C$5</f>
        <v>40|0</v>
      </c>
      <c r="B7726" s="10" t="str">
        <f>参数调整!$J$38</f>
        <v>新增怪物种类3掉落</v>
      </c>
      <c r="C7726" s="8" t="str">
        <f>材料产出!$AV$2</f>
        <v>神器图纸</v>
      </c>
      <c r="D7726" s="224">
        <f>参数调整!$K$38*怪物掉落配置方案!$D4648</f>
        <v>1.1094510496718017E-4</v>
      </c>
    </row>
    <row r="7727" spans="1:4" ht="16.5" hidden="1" x14ac:dyDescent="0.3">
      <c r="A7727" s="10" t="str">
        <f>基本属性!$B$6&amp;"|"&amp;基本属性!$C$6</f>
        <v>50|0</v>
      </c>
      <c r="B7727" s="10" t="str">
        <f>参数调整!$J$38</f>
        <v>新增怪物种类3掉落</v>
      </c>
      <c r="C7727" s="8" t="str">
        <f>材料产出!$AV$2</f>
        <v>神器图纸</v>
      </c>
      <c r="D7727" s="224">
        <f>参数调整!$K$38*怪物掉落配置方案!$D4649</f>
        <v>1.3696926539158045E-4</v>
      </c>
    </row>
    <row r="7728" spans="1:4" ht="16.5" hidden="1" x14ac:dyDescent="0.3">
      <c r="A7728" s="10" t="str">
        <f>基本属性!$B$7&amp;"|"&amp;基本属性!$C$7</f>
        <v>60|0</v>
      </c>
      <c r="B7728" s="10" t="str">
        <f>参数调整!$J$38</f>
        <v>新增怪物种类3掉落</v>
      </c>
      <c r="C7728" s="8" t="str">
        <f>材料产出!$AV$2</f>
        <v>神器图纸</v>
      </c>
      <c r="D7728" s="224">
        <f>参数调整!$K$38*怪物掉落配置方案!$D4650</f>
        <v>1.6573281112381238E-4</v>
      </c>
    </row>
    <row r="7729" spans="1:4" ht="16.5" hidden="1" x14ac:dyDescent="0.3">
      <c r="A7729" s="10" t="str">
        <f>基本属性!$B$8&amp;"|"&amp;基本属性!$C$8</f>
        <v>65|0</v>
      </c>
      <c r="B7729" s="10" t="str">
        <f>参数调整!$J$38</f>
        <v>新增怪物种类3掉落</v>
      </c>
      <c r="C7729" s="8" t="str">
        <f>材料产出!$AV$2</f>
        <v>神器图纸</v>
      </c>
      <c r="D7729" s="224">
        <f>参数调整!$K$38*怪物掉落配置方案!$D4651</f>
        <v>1.9723574216387585E-4</v>
      </c>
    </row>
    <row r="7730" spans="1:4" ht="16.5" hidden="1" x14ac:dyDescent="0.3">
      <c r="A7730" s="10" t="str">
        <f>基本属性!$B$9&amp;"|"&amp;基本属性!$C$9</f>
        <v>70|0</v>
      </c>
      <c r="B7730" s="10" t="str">
        <f>参数调整!$J$38</f>
        <v>新增怪物种类3掉落</v>
      </c>
      <c r="C7730" s="8" t="str">
        <f>材料产出!$AV$2</f>
        <v>神器图纸</v>
      </c>
      <c r="D7730" s="224">
        <f>参数调整!$K$38*怪物掉落配置方案!$D4652</f>
        <v>2.3147805851177097E-4</v>
      </c>
    </row>
    <row r="7731" spans="1:4" ht="16.5" hidden="1" x14ac:dyDescent="0.3">
      <c r="A7731" s="10" t="str">
        <f>基本属性!$B$10&amp;"|"&amp;基本属性!$C$10</f>
        <v>75|0</v>
      </c>
      <c r="B7731" s="10" t="str">
        <f>参数调整!$J$38</f>
        <v>新增怪物种类3掉落</v>
      </c>
      <c r="C7731" s="8" t="str">
        <f>材料产出!$AV$2</f>
        <v>神器图纸</v>
      </c>
      <c r="D7731" s="224">
        <f>参数调整!$K$38*怪物掉落配置方案!$D4653</f>
        <v>2.6845976016749771E-4</v>
      </c>
    </row>
    <row r="7732" spans="1:4" ht="16.5" hidden="1" x14ac:dyDescent="0.3">
      <c r="A7732" s="10" t="str">
        <f>基本属性!$B$11&amp;"|"&amp;基本属性!$C$11</f>
        <v>80|1</v>
      </c>
      <c r="B7732" s="10" t="str">
        <f>参数调整!$J$38</f>
        <v>新增怪物种类3掉落</v>
      </c>
      <c r="C7732" s="8" t="str">
        <f>材料产出!$AV$2</f>
        <v>神器图纸</v>
      </c>
      <c r="D7732" s="224">
        <f>参数调整!$K$38*怪物掉落配置方案!$D4654</f>
        <v>3.0818084713105597E-4</v>
      </c>
    </row>
    <row r="7733" spans="1:4" ht="16.5" hidden="1" x14ac:dyDescent="0.3">
      <c r="A7733" s="10" t="str">
        <f>基本属性!$B$12&amp;"|"&amp;基本属性!$C$12</f>
        <v>90|2</v>
      </c>
      <c r="B7733" s="10" t="str">
        <f>参数调整!$J$38</f>
        <v>新增怪物种类3掉落</v>
      </c>
      <c r="C7733" s="8" t="str">
        <f>材料产出!$AV$2</f>
        <v>神器图纸</v>
      </c>
      <c r="D7733" s="224">
        <f>参数调整!$K$38*怪物掉落配置方案!$D4655</f>
        <v>3.5064131940244607E-4</v>
      </c>
    </row>
    <row r="7734" spans="1:4" ht="16.5" hidden="1" x14ac:dyDescent="0.3">
      <c r="A7734" s="10" t="str">
        <f>基本属性!$B$13&amp;"|"&amp;基本属性!$C$13</f>
        <v>100|3</v>
      </c>
      <c r="B7734" s="10" t="str">
        <f>参数调整!$J$38</f>
        <v>新增怪物种类3掉落</v>
      </c>
      <c r="C7734" s="8" t="str">
        <f>材料产出!$AV$2</f>
        <v>神器图纸</v>
      </c>
      <c r="D7734" s="224">
        <f>参数调整!$K$38*怪物掉落配置方案!$D4656</f>
        <v>4.4378041986872075E-4</v>
      </c>
    </row>
    <row r="7735" spans="1:4" ht="16.5" hidden="1" x14ac:dyDescent="0.3">
      <c r="A7735" s="10" t="str">
        <f>基本属性!$B$14&amp;"|"&amp;基本属性!$C$14</f>
        <v>105|4</v>
      </c>
      <c r="B7735" s="10" t="str">
        <f>参数调整!$J$38</f>
        <v>新增怪物种类3掉落</v>
      </c>
      <c r="C7735" s="8" t="str">
        <f>材料产出!$AV$2</f>
        <v>神器图纸</v>
      </c>
      <c r="D7735" s="224">
        <f>参数调整!$K$38*怪物掉落配置方案!$D4657</f>
        <v>5.4787706156632192E-4</v>
      </c>
    </row>
    <row r="7736" spans="1:4" ht="16.5" hidden="1" x14ac:dyDescent="0.3">
      <c r="A7736" s="10" t="str">
        <f>基本属性!$B$15&amp;"|"&amp;基本属性!$C$15</f>
        <v>110|5</v>
      </c>
      <c r="B7736" s="10" t="str">
        <f>参数调整!$J$38</f>
        <v>新增怪物种类3掉落</v>
      </c>
      <c r="C7736" s="8" t="str">
        <f>材料产出!$AV$2</f>
        <v>神器图纸</v>
      </c>
      <c r="D7736" s="224">
        <f>参数调整!$K$38*怪物掉落配置方案!$D4658</f>
        <v>6.6293124449524953E-4</v>
      </c>
    </row>
    <row r="7737" spans="1:4" ht="16.5" hidden="1" x14ac:dyDescent="0.3">
      <c r="A7737" s="10" t="str">
        <f>基本属性!$B$16&amp;"|"&amp;基本属性!$C$16</f>
        <v>120|6</v>
      </c>
      <c r="B7737" s="10" t="str">
        <f>参数调整!$J$38</f>
        <v>新增怪物种类3掉落</v>
      </c>
      <c r="C7737" s="8" t="str">
        <f>材料产出!$AV$2</f>
        <v>神器图纸</v>
      </c>
      <c r="D7737" s="224">
        <f>参数调整!$K$38*怪物掉落配置方案!$D4659</f>
        <v>8.5605790869737789E-4</v>
      </c>
    </row>
    <row r="7738" spans="1:4" ht="16.5" hidden="1" x14ac:dyDescent="0.3">
      <c r="A7738" s="10" t="str">
        <f>基本属性!$B$17&amp;"|"&amp;基本属性!$C$17</f>
        <v>135|7</v>
      </c>
      <c r="B7738" s="10" t="str">
        <f>参数调整!$J$38</f>
        <v>新增怪物种类3掉落</v>
      </c>
      <c r="C7738" s="8" t="str">
        <f>材料产出!$AV$2</f>
        <v>神器图纸</v>
      </c>
      <c r="D7738" s="224">
        <f>参数调整!$K$38*怪物掉落配置方案!$D4660</f>
        <v>1.2327233885242239E-3</v>
      </c>
    </row>
    <row r="7739" spans="1:4" ht="16.5" hidden="1" x14ac:dyDescent="0.3">
      <c r="A7739" s="10" t="str">
        <f>基本属性!$B$18&amp;"|"&amp;基本属性!$C$18</f>
        <v>155|8</v>
      </c>
      <c r="B7739" s="10" t="str">
        <f>参数调整!$J$38</f>
        <v>新增怪物种类3掉落</v>
      </c>
      <c r="C7739" s="8" t="str">
        <f>材料产出!$AV$2</f>
        <v>神器图纸</v>
      </c>
      <c r="D7739" s="224">
        <f>参数调整!$K$38*怪物掉落配置方案!$D4661</f>
        <v>1.6778735010468608E-3</v>
      </c>
    </row>
    <row r="7740" spans="1:4" ht="16.5" hidden="1" x14ac:dyDescent="0.3">
      <c r="A7740" s="10" t="str">
        <f>基本属性!$B$19&amp;"|"&amp;基本属性!$C$19</f>
        <v>190|9</v>
      </c>
      <c r="B7740" s="10" t="str">
        <f>参数调整!$J$38</f>
        <v>新增怪物种类3掉落</v>
      </c>
      <c r="C7740" s="8" t="str">
        <f>材料产出!$AV$2</f>
        <v>神器图纸</v>
      </c>
      <c r="D7740" s="224">
        <f>参数调整!$K$38*怪物掉落配置方案!$D4662</f>
        <v>1.8751092432107365E-3</v>
      </c>
    </row>
    <row r="7741" spans="1:4" ht="16.5" hidden="1" x14ac:dyDescent="0.3">
      <c r="A7741" s="10" t="str">
        <f>基本属性!$B$20&amp;"|"&amp;基本属性!$C$20</f>
        <v>200|10</v>
      </c>
      <c r="B7741" s="10" t="str">
        <f>参数调整!$J$38</f>
        <v>新增怪物种类3掉落</v>
      </c>
      <c r="C7741" s="8" t="str">
        <f>材料产出!$AV$2</f>
        <v>神器图纸</v>
      </c>
      <c r="D7741" s="224">
        <f>参数调整!$K$38*怪物掉落配置方案!$D4663</f>
        <v>2.1915082462652877E-3</v>
      </c>
    </row>
    <row r="7742" spans="1:4" ht="16.5" hidden="1" x14ac:dyDescent="0.3">
      <c r="A7742" s="10" t="str">
        <f>基本属性!$B$21&amp;"|"&amp;基本属性!$C$21</f>
        <v>200|11</v>
      </c>
      <c r="B7742" s="10" t="str">
        <f>参数调整!$J$38</f>
        <v>新增怪物种类3掉落</v>
      </c>
      <c r="C7742" s="8" t="str">
        <f>材料产出!$AV$2</f>
        <v>神器图纸</v>
      </c>
      <c r="D7742" s="224">
        <f>参数调整!$K$38*怪物掉落配置方案!$D4664</f>
        <v>2.532561717090322E-3</v>
      </c>
    </row>
    <row r="7743" spans="1:4" ht="16.5" hidden="1" x14ac:dyDescent="0.3">
      <c r="A7743" s="10" t="str">
        <f>基本属性!$B$22&amp;"|"&amp;基本属性!$C$22</f>
        <v>210|12</v>
      </c>
      <c r="B7743" s="10" t="str">
        <f>参数调整!$J$38</f>
        <v>新增怪物种类3掉落</v>
      </c>
      <c r="C7743" s="8" t="str">
        <f>材料产出!$AV$2</f>
        <v>神器图纸</v>
      </c>
      <c r="D7743" s="224">
        <f>参数调整!$K$38*怪物掉落配置方案!$D4665</f>
        <v>2.8982696556858418E-3</v>
      </c>
    </row>
    <row r="7744" spans="1:4" ht="16.5" hidden="1" x14ac:dyDescent="0.3">
      <c r="A7744" s="10" t="str">
        <f>基本属性!$B$23&amp;"|"&amp;基本属性!$C$23</f>
        <v>210|13</v>
      </c>
      <c r="B7744" s="10" t="str">
        <f>参数调整!$J$38</f>
        <v>新增怪物种类3掉落</v>
      </c>
      <c r="C7744" s="8" t="str">
        <f>材料产出!$AV$2</f>
        <v>神器图纸</v>
      </c>
      <c r="D7744" s="224">
        <f>参数调整!$K$38*怪物掉落配置方案!$D4666</f>
        <v>3.2886320620518477E-3</v>
      </c>
    </row>
    <row r="7745" spans="1:4" ht="16.5" hidden="1" x14ac:dyDescent="0.3">
      <c r="A7745" s="10" t="str">
        <f>基本属性!$B$24&amp;"|"&amp;基本属性!$C$24</f>
        <v>220|14</v>
      </c>
      <c r="B7745" s="10" t="str">
        <f>参数调整!$J$38</f>
        <v>新增怪物种类3掉落</v>
      </c>
      <c r="C7745" s="8" t="str">
        <f>材料产出!$AV$2</f>
        <v>神器图纸</v>
      </c>
      <c r="D7745" s="224">
        <f>参数调整!$K$38*怪物掉落配置方案!$D4667</f>
        <v>3.7036489361883355E-3</v>
      </c>
    </row>
    <row r="7746" spans="1:4" ht="16.5" hidden="1" x14ac:dyDescent="0.3">
      <c r="A7746" s="10" t="str">
        <f>基本属性!$B$25&amp;"|"&amp;基本属性!$C$25</f>
        <v>220|15</v>
      </c>
      <c r="B7746" s="10" t="str">
        <f>参数调整!$J$38</f>
        <v>新增怪物种类3掉落</v>
      </c>
      <c r="C7746" s="8" t="str">
        <f>材料产出!$AV$2</f>
        <v>神器图纸</v>
      </c>
      <c r="D7746" s="224">
        <f>参数调整!$K$38*怪物掉落配置方案!$D4668</f>
        <v>4.1433202780953079E-3</v>
      </c>
    </row>
    <row r="7747" spans="1:4" ht="16.5" hidden="1" x14ac:dyDescent="0.3">
      <c r="A7747" s="10" t="str">
        <f>基本属性!$B$26&amp;"|"&amp;基本属性!$C$26</f>
        <v>230|16</v>
      </c>
      <c r="B7747" s="10" t="str">
        <f>参数调整!$J$38</f>
        <v>新增怪物种类3掉落</v>
      </c>
      <c r="C7747" s="8" t="str">
        <f>材料产出!$AV$2</f>
        <v>神器图纸</v>
      </c>
      <c r="D7747" s="224">
        <f>参数调整!$K$38*怪物掉落配置方案!$D4669</f>
        <v>4.6076460877727664E-3</v>
      </c>
    </row>
    <row r="7748" spans="1:4" ht="16.5" hidden="1" x14ac:dyDescent="0.3">
      <c r="A7748" s="10" t="str">
        <f>基本属性!$B$27&amp;"|"&amp;基本属性!$C$27</f>
        <v>230|17</v>
      </c>
      <c r="B7748" s="10" t="str">
        <f>参数调整!$J$38</f>
        <v>新增怪物种类3掉落</v>
      </c>
      <c r="C7748" s="8" t="str">
        <f>材料产出!$AV$2</f>
        <v>神器图纸</v>
      </c>
      <c r="D7748" s="224">
        <f>参数调整!$K$38*怪物掉落配置方案!$D4670</f>
        <v>5.0966263652207078E-3</v>
      </c>
    </row>
    <row r="7749" spans="1:4" ht="16.5" hidden="1" x14ac:dyDescent="0.3">
      <c r="A7749" s="10" t="str">
        <f>基本属性!$B$28&amp;"|"&amp;基本属性!$C$28</f>
        <v>240|18</v>
      </c>
      <c r="B7749" s="10" t="str">
        <f>参数调整!$J$38</f>
        <v>新增怪物种类3掉落</v>
      </c>
      <c r="C7749" s="8" t="str">
        <f>材料产出!$AV$2</f>
        <v>神器图纸</v>
      </c>
      <c r="D7749" s="224">
        <f>参数调整!$K$38*怪物掉落配置方案!$D4671</f>
        <v>5.6102611104391371E-3</v>
      </c>
    </row>
    <row r="7750" spans="1:4" ht="16.5" hidden="1" x14ac:dyDescent="0.3">
      <c r="A7750" s="10" t="str">
        <f>基本属性!$B$29&amp;"|"&amp;基本属性!$C$29</f>
        <v>240|19</v>
      </c>
      <c r="B7750" s="10" t="str">
        <f>参数调整!$J$38</f>
        <v>新增怪物种类3掉落</v>
      </c>
      <c r="C7750" s="8" t="str">
        <f>材料产出!$AV$2</f>
        <v>神器图纸</v>
      </c>
      <c r="D7750" s="224">
        <f>参数调整!$K$38*怪物掉落配置方案!$D4672</f>
        <v>6.1485503234280474E-3</v>
      </c>
    </row>
    <row r="7751" spans="1:4" ht="16.5" hidden="1" x14ac:dyDescent="0.3">
      <c r="A7751" s="10" t="str">
        <f>基本属性!$B$30&amp;"|"&amp;基本属性!$C$30</f>
        <v>250|20</v>
      </c>
      <c r="B7751" s="10" t="str">
        <f>参数调整!$J$38</f>
        <v>新增怪物种类3掉落</v>
      </c>
      <c r="C7751" s="8" t="str">
        <f>材料产出!$AV$2</f>
        <v>神器图纸</v>
      </c>
      <c r="D7751" s="224">
        <f>参数调整!$K$38*怪物掉落配置方案!$D4673</f>
        <v>6.7114940041874422E-3</v>
      </c>
    </row>
    <row r="7752" spans="1:4" ht="16.5" hidden="1" x14ac:dyDescent="0.3">
      <c r="A7752" s="10" t="str">
        <f>基本属性!$B$4&amp;"|"&amp;基本属性!$C$4</f>
        <v>35|0</v>
      </c>
      <c r="B7752" s="10" t="str">
        <f>参数调整!$J$38</f>
        <v>新增怪物种类3掉落</v>
      </c>
      <c r="C7752" s="8" t="str">
        <f>材料产出!$AH$2</f>
        <v>神品升星石</v>
      </c>
      <c r="D7752" s="224">
        <f>参数调整!$K$38*怪物掉落配置方案!$D4674</f>
        <v>1.3609512785436179E-3</v>
      </c>
    </row>
    <row r="7753" spans="1:4" ht="16.5" hidden="1" x14ac:dyDescent="0.3">
      <c r="A7753" s="10" t="str">
        <f>基本属性!$B$5&amp;"|"&amp;基本属性!$C$5</f>
        <v>40|0</v>
      </c>
      <c r="B7753" s="10" t="str">
        <f>参数调整!$J$38</f>
        <v>新增怪物种类3掉落</v>
      </c>
      <c r="C7753" s="8" t="str">
        <f>材料产出!$AH$2</f>
        <v>神品升星石</v>
      </c>
      <c r="D7753" s="224">
        <f>参数调整!$K$38*怪物掉落配置方案!$D4675</f>
        <v>1.7224539619067664E-3</v>
      </c>
    </row>
    <row r="7754" spans="1:4" ht="16.5" hidden="1" x14ac:dyDescent="0.3">
      <c r="A7754" s="10" t="str">
        <f>基本属性!$B$6&amp;"|"&amp;基本属性!$C$6</f>
        <v>50|0</v>
      </c>
      <c r="B7754" s="10" t="str">
        <f>参数调整!$J$38</f>
        <v>新增怪物种类3掉落</v>
      </c>
      <c r="C7754" s="8" t="str">
        <f>材料产出!$AH$2</f>
        <v>神品升星石</v>
      </c>
      <c r="D7754" s="224">
        <f>参数调整!$K$38*怪物掉落配置方案!$D4676</f>
        <v>2.1264863727244029E-3</v>
      </c>
    </row>
    <row r="7755" spans="1:4" ht="16.5" hidden="1" x14ac:dyDescent="0.3">
      <c r="A7755" s="10" t="str">
        <f>基本属性!$B$7&amp;"|"&amp;基本属性!$C$7</f>
        <v>60|0</v>
      </c>
      <c r="B7755" s="10" t="str">
        <f>参数调整!$J$38</f>
        <v>新增怪物种类3掉落</v>
      </c>
      <c r="C7755" s="8" t="str">
        <f>材料产出!$AH$2</f>
        <v>神品升星石</v>
      </c>
      <c r="D7755" s="224">
        <f>参数调整!$K$38*怪物掉落配置方案!$D4677</f>
        <v>2.5730485109965277E-3</v>
      </c>
    </row>
    <row r="7756" spans="1:4" ht="16.5" hidden="1" x14ac:dyDescent="0.3">
      <c r="A7756" s="10" t="str">
        <f>基本属性!$B$8&amp;"|"&amp;基本属性!$C$8</f>
        <v>65|0</v>
      </c>
      <c r="B7756" s="10" t="str">
        <f>参数调整!$J$38</f>
        <v>新增怪物种类3掉落</v>
      </c>
      <c r="C7756" s="8" t="str">
        <f>材料产出!$AH$2</f>
        <v>神品升星石</v>
      </c>
      <c r="D7756" s="224">
        <f>参数调整!$K$38*怪物掉落配置方案!$D4678</f>
        <v>3.0621403767231402E-3</v>
      </c>
    </row>
    <row r="7757" spans="1:4" ht="16.5" hidden="1" x14ac:dyDescent="0.3">
      <c r="A7757" s="10" t="str">
        <f>基本属性!$B$9&amp;"|"&amp;基本属性!$C$9</f>
        <v>70|0</v>
      </c>
      <c r="B7757" s="10" t="str">
        <f>参数调整!$J$38</f>
        <v>新增怪物种类3掉落</v>
      </c>
      <c r="C7757" s="8" t="str">
        <f>材料产出!$AH$2</f>
        <v>神品升星石</v>
      </c>
      <c r="D7757" s="224">
        <f>参数调整!$K$38*怪物掉落配置方案!$D4679</f>
        <v>3.5937619699042411E-3</v>
      </c>
    </row>
    <row r="7758" spans="1:4" ht="16.5" hidden="1" x14ac:dyDescent="0.3">
      <c r="A7758" s="10" t="str">
        <f>基本属性!$B$10&amp;"|"&amp;基本属性!$C$10</f>
        <v>75|0</v>
      </c>
      <c r="B7758" s="10" t="str">
        <f>参数调整!$J$38</f>
        <v>新增怪物种类3掉落</v>
      </c>
      <c r="C7758" s="8" t="str">
        <f>材料产出!$AH$2</f>
        <v>神品升星石</v>
      </c>
      <c r="D7758" s="224">
        <f>参数调整!$K$38*怪物掉落配置方案!$D4680</f>
        <v>4.1679132905398288E-3</v>
      </c>
    </row>
    <row r="7759" spans="1:4" ht="16.5" hidden="1" x14ac:dyDescent="0.3">
      <c r="A7759" s="10" t="str">
        <f>基本属性!$B$11&amp;"|"&amp;基本属性!$C$11</f>
        <v>80|1</v>
      </c>
      <c r="B7759" s="10" t="str">
        <f>参数调整!$J$38</f>
        <v>新增怪物种类3掉落</v>
      </c>
      <c r="C7759" s="8" t="str">
        <f>材料产出!$AH$2</f>
        <v>神品升星石</v>
      </c>
      <c r="D7759" s="224">
        <f>参数调整!$K$38*怪物掉落配置方案!$D4681</f>
        <v>4.7845943386299068E-3</v>
      </c>
    </row>
    <row r="7760" spans="1:4" ht="16.5" hidden="1" x14ac:dyDescent="0.3">
      <c r="A7760" s="10" t="str">
        <f>基本属性!$B$12&amp;"|"&amp;基本属性!$C$12</f>
        <v>90|2</v>
      </c>
      <c r="B7760" s="10" t="str">
        <f>参数调整!$J$38</f>
        <v>新增怪物种类3掉落</v>
      </c>
      <c r="C7760" s="8" t="str">
        <f>材料产出!$AH$2</f>
        <v>神品升星石</v>
      </c>
      <c r="D7760" s="224">
        <f>参数调整!$K$38*怪物掉落配置方案!$D4682</f>
        <v>5.4438051141744723E-3</v>
      </c>
    </row>
    <row r="7761" spans="1:4" ht="16.5" hidden="1" x14ac:dyDescent="0.3">
      <c r="A7761" s="10" t="str">
        <f>基本属性!$B$13&amp;"|"&amp;基本属性!$C$13</f>
        <v>100|3</v>
      </c>
      <c r="B7761" s="10" t="str">
        <f>参数调整!$J$38</f>
        <v>新增怪物种类3掉落</v>
      </c>
      <c r="C7761" s="8" t="str">
        <f>材料产出!$AH$2</f>
        <v>神品升星石</v>
      </c>
      <c r="D7761" s="224">
        <f>参数调整!$K$38*怪物掉落配置方案!$D4683</f>
        <v>6.8898158476270663E-3</v>
      </c>
    </row>
    <row r="7762" spans="1:4" ht="16.5" hidden="1" x14ac:dyDescent="0.3">
      <c r="A7762" s="10" t="str">
        <f>基本属性!$B$14&amp;"|"&amp;基本属性!$C$14</f>
        <v>105|4</v>
      </c>
      <c r="B7762" s="10" t="str">
        <f>参数调整!$J$38</f>
        <v>新增怪物种类3掉落</v>
      </c>
      <c r="C7762" s="8" t="str">
        <f>材料产出!$AH$2</f>
        <v>神品升星石</v>
      </c>
      <c r="D7762" s="224">
        <f>参数调整!$K$38*怪物掉落配置方案!$D4684</f>
        <v>8.5059454908976116E-3</v>
      </c>
    </row>
    <row r="7763" spans="1:4" ht="16.5" hidden="1" x14ac:dyDescent="0.3">
      <c r="A7763" s="10" t="str">
        <f>基本属性!$B$15&amp;"|"&amp;基本属性!$C$15</f>
        <v>110|5</v>
      </c>
      <c r="B7763" s="10" t="str">
        <f>参数调整!$J$38</f>
        <v>新增怪物种类3掉落</v>
      </c>
      <c r="C7763" s="8" t="str">
        <f>材料产出!$AH$2</f>
        <v>神品升星石</v>
      </c>
      <c r="D7763" s="224">
        <f>参数调整!$K$38*怪物掉落配置方案!$D4685</f>
        <v>1.0292194043986111E-2</v>
      </c>
    </row>
    <row r="7764" spans="1:4" ht="16.5" hidden="1" x14ac:dyDescent="0.3">
      <c r="A7764" s="10" t="str">
        <f>基本属性!$B$16&amp;"|"&amp;基本属性!$C$16</f>
        <v>120|6</v>
      </c>
      <c r="B7764" s="10" t="str">
        <f>参数调整!$J$38</f>
        <v>新增怪物种类3掉落</v>
      </c>
      <c r="C7764" s="8" t="str">
        <f>材料产出!$AH$2</f>
        <v>神品升星石</v>
      </c>
      <c r="D7764" s="224">
        <f>参数调整!$K$38*怪物掉落配置方案!$D4686</f>
        <v>1.3290539829527522E-2</v>
      </c>
    </row>
    <row r="7765" spans="1:4" ht="16.5" hidden="1" x14ac:dyDescent="0.3">
      <c r="A7765" s="10" t="str">
        <f>基本属性!$B$17&amp;"|"&amp;基本属性!$C$17</f>
        <v>135|7</v>
      </c>
      <c r="B7765" s="10" t="str">
        <f>参数调整!$J$38</f>
        <v>新增怪物种类3掉落</v>
      </c>
      <c r="C7765" s="8" t="str">
        <f>材料产出!$AH$2</f>
        <v>神品升星石</v>
      </c>
      <c r="D7765" s="224">
        <f>参数调整!$K$38*怪物掉落配置方案!$D4687</f>
        <v>1.9138377354519627E-2</v>
      </c>
    </row>
    <row r="7766" spans="1:4" ht="16.5" hidden="1" x14ac:dyDescent="0.3">
      <c r="A7766" s="10" t="str">
        <f>基本属性!$B$18&amp;"|"&amp;基本属性!$C$18</f>
        <v>155|8</v>
      </c>
      <c r="B7766" s="10" t="str">
        <f>参数调整!$J$38</f>
        <v>新增怪物种类3掉落</v>
      </c>
      <c r="C7766" s="8" t="str">
        <f>材料产出!$AH$2</f>
        <v>神品升星石</v>
      </c>
      <c r="D7766" s="224">
        <f>参数调整!$K$38*怪物掉落配置方案!$D4688</f>
        <v>2.6049458065873939E-2</v>
      </c>
    </row>
    <row r="7767" spans="1:4" ht="16.5" hidden="1" x14ac:dyDescent="0.3">
      <c r="A7767" s="10" t="str">
        <f>基本属性!$B$19&amp;"|"&amp;基本属性!$C$19</f>
        <v>190|9</v>
      </c>
      <c r="B7767" s="10" t="str">
        <f>参数调整!$J$38</f>
        <v>新增怪物种类3掉落</v>
      </c>
      <c r="C7767" s="8" t="str">
        <f>材料产出!$AH$2</f>
        <v>神品升星石</v>
      </c>
      <c r="D7767" s="224">
        <f>参数调整!$K$38*怪物掉落配置方案!$D4689</f>
        <v>2.9111598442597079E-2</v>
      </c>
    </row>
    <row r="7768" spans="1:4" ht="16.5" hidden="1" x14ac:dyDescent="0.3">
      <c r="A7768" s="10" t="str">
        <f>基本属性!$B$20&amp;"|"&amp;基本属性!$C$20</f>
        <v>200|10</v>
      </c>
      <c r="B7768" s="10" t="str">
        <f>参数调整!$J$38</f>
        <v>新增怪物种类3掉落</v>
      </c>
      <c r="C7768" s="8" t="str">
        <f>材料产出!$AH$2</f>
        <v>神品升星石</v>
      </c>
      <c r="D7768" s="224">
        <f>参数调整!$K$38*怪物掉落配置方案!$D4690</f>
        <v>3.4023781963590446E-2</v>
      </c>
    </row>
    <row r="7769" spans="1:4" ht="16.5" hidden="1" x14ac:dyDescent="0.3">
      <c r="A7769" s="10" t="str">
        <f>基本属性!$B$21&amp;"|"&amp;基本属性!$C$21</f>
        <v>200|11</v>
      </c>
      <c r="B7769" s="10" t="str">
        <f>参数调整!$J$38</f>
        <v>新增怪物种类3掉落</v>
      </c>
      <c r="C7769" s="8" t="str">
        <f>材料产出!$AH$2</f>
        <v>神品升星石</v>
      </c>
      <c r="D7769" s="224">
        <f>参数调整!$K$38*怪物掉落配置方案!$D4691</f>
        <v>3.93187330316742E-2</v>
      </c>
    </row>
    <row r="7770" spans="1:4" ht="16.5" hidden="1" x14ac:dyDescent="0.3">
      <c r="A7770" s="10" t="str">
        <f>基本属性!$B$22&amp;"|"&amp;基本属性!$C$22</f>
        <v>210|12</v>
      </c>
      <c r="B7770" s="10" t="str">
        <f>参数调整!$J$38</f>
        <v>新增怪物种类3掉落</v>
      </c>
      <c r="C7770" s="8" t="str">
        <f>材料产出!$AH$2</f>
        <v>神品升星石</v>
      </c>
      <c r="D7770" s="224">
        <f>参数调整!$K$38*怪物掉落配置方案!$D4692</f>
        <v>4.4996451646848352E-2</v>
      </c>
    </row>
    <row r="7771" spans="1:4" ht="16.5" hidden="1" x14ac:dyDescent="0.3">
      <c r="A7771" s="10" t="str">
        <f>基本属性!$B$23&amp;"|"&amp;基本属性!$C$23</f>
        <v>210|13</v>
      </c>
      <c r="B7771" s="10" t="str">
        <f>参数调整!$J$38</f>
        <v>新增怪物种类3掉落</v>
      </c>
      <c r="C7771" s="8" t="str">
        <f>材料产出!$AH$2</f>
        <v>神品升星石</v>
      </c>
      <c r="D7771" s="224">
        <f>参数调整!$K$38*怪物掉落配置方案!$D4693</f>
        <v>5.1056937809112926E-2</v>
      </c>
    </row>
    <row r="7772" spans="1:4" ht="16.5" hidden="1" x14ac:dyDescent="0.3">
      <c r="A7772" s="10" t="str">
        <f>基本属性!$B$24&amp;"|"&amp;基本属性!$C$24</f>
        <v>220|14</v>
      </c>
      <c r="B7772" s="10" t="str">
        <f>参数调整!$J$38</f>
        <v>新增怪物种类3掉落</v>
      </c>
      <c r="C7772" s="8" t="str">
        <f>材料产出!$AH$2</f>
        <v>神品升星石</v>
      </c>
      <c r="D7772" s="224">
        <f>参数调整!$K$38*怪物掉落配置方案!$D4694</f>
        <v>5.7500191518467858E-2</v>
      </c>
    </row>
    <row r="7773" spans="1:4" ht="16.5" hidden="1" x14ac:dyDescent="0.3">
      <c r="A7773" s="10" t="str">
        <f>基本属性!$B$25&amp;"|"&amp;基本属性!$C$25</f>
        <v>220|15</v>
      </c>
      <c r="B7773" s="10" t="str">
        <f>参数调整!$J$38</f>
        <v>新增怪物种类3掉落</v>
      </c>
      <c r="C7773" s="8" t="str">
        <f>材料产出!$AH$2</f>
        <v>神品升星石</v>
      </c>
      <c r="D7773" s="224">
        <f>参数调整!$K$38*怪物掉落配置方案!$D4695</f>
        <v>6.4326212774913183E-2</v>
      </c>
    </row>
    <row r="7774" spans="1:4" ht="16.5" hidden="1" x14ac:dyDescent="0.3">
      <c r="A7774" s="10" t="str">
        <f>基本属性!$B$26&amp;"|"&amp;基本属性!$C$26</f>
        <v>230|16</v>
      </c>
      <c r="B7774" s="10" t="str">
        <f>参数调整!$J$38</f>
        <v>新增怪物种类3掉落</v>
      </c>
      <c r="C7774" s="8" t="str">
        <f>材料产出!$AH$2</f>
        <v>神品升星石</v>
      </c>
      <c r="D7774" s="224">
        <f>参数调整!$K$38*怪物掉落配置方案!$D4696</f>
        <v>7.1535001578448915E-2</v>
      </c>
    </row>
    <row r="7775" spans="1:4" ht="16.5" hidden="1" x14ac:dyDescent="0.3">
      <c r="A7775" s="10" t="str">
        <f>基本属性!$B$27&amp;"|"&amp;基本属性!$C$27</f>
        <v>230|17</v>
      </c>
      <c r="B7775" s="10" t="str">
        <f>参数调整!$J$38</f>
        <v>新增怪物种类3掉落</v>
      </c>
      <c r="C7775" s="8" t="str">
        <f>材料产出!$AH$2</f>
        <v>神品升星石</v>
      </c>
      <c r="D7775" s="224">
        <f>参数调整!$K$38*怪物掉落配置方案!$D4697</f>
        <v>7.9126557929075025E-2</v>
      </c>
    </row>
    <row r="7776" spans="1:4" ht="16.5" hidden="1" x14ac:dyDescent="0.3">
      <c r="A7776" s="10" t="str">
        <f>基本属性!$B$28&amp;"|"&amp;基本属性!$C$28</f>
        <v>240|18</v>
      </c>
      <c r="B7776" s="10" t="str">
        <f>参数调整!$J$38</f>
        <v>新增怪物种类3掉落</v>
      </c>
      <c r="C7776" s="8" t="str">
        <f>材料产出!$AH$2</f>
        <v>神品升星石</v>
      </c>
      <c r="D7776" s="224">
        <f>参数调整!$K$38*怪物掉落配置方案!$D4698</f>
        <v>8.7100881826791543E-2</v>
      </c>
    </row>
    <row r="7777" spans="1:4" ht="16.5" hidden="1" x14ac:dyDescent="0.3">
      <c r="A7777" s="10" t="str">
        <f>基本属性!$B$29&amp;"|"&amp;基本属性!$C$29</f>
        <v>240|19</v>
      </c>
      <c r="B7777" s="10" t="str">
        <f>参数调整!$J$38</f>
        <v>新增怪物种类3掉落</v>
      </c>
      <c r="C7777" s="8" t="str">
        <f>材料产出!$AH$2</f>
        <v>神品升星石</v>
      </c>
      <c r="D7777" s="224">
        <f>参数调整!$K$38*怪物掉落配置方案!$D4699</f>
        <v>9.5457973271598467E-2</v>
      </c>
    </row>
    <row r="7778" spans="1:4" ht="16.5" hidden="1" x14ac:dyDescent="0.3">
      <c r="A7778" s="10" t="str">
        <f>基本属性!$B$30&amp;"|"&amp;基本属性!$C$30</f>
        <v>250|20</v>
      </c>
      <c r="B7778" s="10" t="str">
        <f>参数调整!$J$38</f>
        <v>新增怪物种类3掉落</v>
      </c>
      <c r="C7778" s="8" t="str">
        <f>材料产出!$AH$2</f>
        <v>神品升星石</v>
      </c>
      <c r="D7778" s="224">
        <f>参数调整!$K$38*怪物掉落配置方案!$D4700</f>
        <v>0.10419783226349572</v>
      </c>
    </row>
    <row r="7779" spans="1:4" ht="16.5" hidden="1" x14ac:dyDescent="0.3">
      <c r="A7779" s="10" t="str">
        <f>基本属性!$B$4&amp;"|"&amp;基本属性!$C$4</f>
        <v>35|0</v>
      </c>
      <c r="B7779" s="10" t="str">
        <f>参数调整!$J$38</f>
        <v>新增怪物种类3掉落</v>
      </c>
      <c r="C7779" s="8" t="str">
        <f>材料产出!$AL$2</f>
        <v>上品注灵石</v>
      </c>
      <c r="D7779" s="224">
        <f>参数调整!$K$38*怪物掉落配置方案!$D4701</f>
        <v>7.7766154341353498E-3</v>
      </c>
    </row>
    <row r="7780" spans="1:4" ht="16.5" hidden="1" x14ac:dyDescent="0.3">
      <c r="A7780" s="10" t="str">
        <f>基本属性!$B$5&amp;"|"&amp;基本属性!$C$5</f>
        <v>40|0</v>
      </c>
      <c r="B7780" s="10" t="str">
        <f>参数调整!$J$38</f>
        <v>新增怪物种类3掉落</v>
      </c>
      <c r="C7780" s="8" t="str">
        <f>材料产出!$AL$2</f>
        <v>上品注灵石</v>
      </c>
      <c r="D7780" s="224">
        <f>参数调整!$K$38*怪物掉落配置方案!$D4702</f>
        <v>9.8422789088275526E-3</v>
      </c>
    </row>
    <row r="7781" spans="1:4" ht="16.5" hidden="1" x14ac:dyDescent="0.3">
      <c r="A7781" s="10" t="str">
        <f>基本属性!$B$6&amp;"|"&amp;基本属性!$C$6</f>
        <v>50|0</v>
      </c>
      <c r="B7781" s="10" t="str">
        <f>参数调整!$J$38</f>
        <v>新增怪物种类3掉落</v>
      </c>
      <c r="C7781" s="8" t="str">
        <f>材料产出!$AL$2</f>
        <v>上品注灵石</v>
      </c>
      <c r="D7781" s="224">
        <f>参数调整!$K$38*怪物掉落配置方案!$D4703</f>
        <v>1.2150961615836484E-2</v>
      </c>
    </row>
    <row r="7782" spans="1:4" ht="16.5" hidden="1" x14ac:dyDescent="0.3">
      <c r="A7782" s="10" t="str">
        <f>基本属性!$B$7&amp;"|"&amp;基本属性!$C$7</f>
        <v>60|0</v>
      </c>
      <c r="B7782" s="10" t="str">
        <f>参数调整!$J$38</f>
        <v>新增怪物种类3掉落</v>
      </c>
      <c r="C7782" s="8" t="str">
        <f>材料产出!$AL$2</f>
        <v>上品注灵石</v>
      </c>
      <c r="D7782" s="224">
        <f>参数调整!$K$38*怪物掉落配置方案!$D4704</f>
        <v>1.4702663555162148E-2</v>
      </c>
    </row>
    <row r="7783" spans="1:4" ht="16.5" hidden="1" x14ac:dyDescent="0.3">
      <c r="A7783" s="10" t="str">
        <f>基本属性!$B$8&amp;"|"&amp;基本属性!$C$8</f>
        <v>65|0</v>
      </c>
      <c r="B7783" s="10" t="str">
        <f>参数调整!$J$38</f>
        <v>新增怪物种类3掉落</v>
      </c>
      <c r="C7783" s="8" t="str">
        <f>材料产出!$AL$2</f>
        <v>上品注灵石</v>
      </c>
      <c r="D7783" s="224">
        <f>参数调整!$K$38*怪物掉落配置方案!$D4705</f>
        <v>1.7497384726804534E-2</v>
      </c>
    </row>
    <row r="7784" spans="1:4" ht="16.5" hidden="1" x14ac:dyDescent="0.3">
      <c r="A7784" s="10" t="str">
        <f>基本属性!$B$9&amp;"|"&amp;基本属性!$C$9</f>
        <v>70|0</v>
      </c>
      <c r="B7784" s="10" t="str">
        <f>参数调整!$J$38</f>
        <v>新增怪物种类3掉落</v>
      </c>
      <c r="C7784" s="8" t="str">
        <f>材料产出!$AL$2</f>
        <v>上品注灵石</v>
      </c>
      <c r="D7784" s="224">
        <f>参数调整!$K$38*怪物掉落配置方案!$D4706</f>
        <v>2.0535125130763658E-2</v>
      </c>
    </row>
    <row r="7785" spans="1:4" ht="16.5" hidden="1" x14ac:dyDescent="0.3">
      <c r="A7785" s="10" t="str">
        <f>基本属性!$B$10&amp;"|"&amp;基本属性!$C$10</f>
        <v>75|0</v>
      </c>
      <c r="B7785" s="10" t="str">
        <f>参数调整!$J$38</f>
        <v>新增怪物种类3掉落</v>
      </c>
      <c r="C7785" s="8" t="str">
        <f>材料产出!$AL$2</f>
        <v>上品注灵石</v>
      </c>
      <c r="D7785" s="224">
        <f>参数调整!$K$38*怪物掉落配置方案!$D4707</f>
        <v>2.3815884767039504E-2</v>
      </c>
    </row>
    <row r="7786" spans="1:4" ht="16.5" hidden="1" x14ac:dyDescent="0.3">
      <c r="A7786" s="10" t="str">
        <f>基本属性!$B$11&amp;"|"&amp;基本属性!$C$11</f>
        <v>80|1</v>
      </c>
      <c r="B7786" s="10" t="str">
        <f>参数调整!$J$38</f>
        <v>新增怪物种类3掉落</v>
      </c>
      <c r="C7786" s="8" t="str">
        <f>材料产出!$AL$2</f>
        <v>上品注灵石</v>
      </c>
      <c r="D7786" s="224">
        <f>参数调整!$K$38*怪物掉落配置方案!$D4708</f>
        <v>2.7339663635632092E-2</v>
      </c>
    </row>
    <row r="7787" spans="1:4" ht="16.5" hidden="1" x14ac:dyDescent="0.3">
      <c r="A7787" s="10" t="str">
        <f>基本属性!$B$12&amp;"|"&amp;基本属性!$C$12</f>
        <v>90|2</v>
      </c>
      <c r="B7787" s="10" t="str">
        <f>参数调整!$J$38</f>
        <v>新增怪物种类3掉落</v>
      </c>
      <c r="C7787" s="8" t="str">
        <f>材料产出!$AL$2</f>
        <v>上品注灵石</v>
      </c>
      <c r="D7787" s="224">
        <f>参数调整!$K$38*怪物掉落配置方案!$D4709</f>
        <v>3.1106461736541403E-2</v>
      </c>
    </row>
    <row r="7788" spans="1:4" ht="16.5" hidden="1" x14ac:dyDescent="0.3">
      <c r="A7788" s="10" t="str">
        <f>基本属性!$B$13&amp;"|"&amp;基本属性!$C$13</f>
        <v>100|3</v>
      </c>
      <c r="B7788" s="10" t="str">
        <f>参数调整!$J$38</f>
        <v>新增怪物种类3掉落</v>
      </c>
      <c r="C7788" s="8" t="str">
        <f>材料产出!$AL$2</f>
        <v>上品注灵石</v>
      </c>
      <c r="D7788" s="224">
        <f>参数调整!$K$38*怪物掉落配置方案!$D4710</f>
        <v>3.936911563531021E-2</v>
      </c>
    </row>
    <row r="7789" spans="1:4" ht="16.5" hidden="1" x14ac:dyDescent="0.3">
      <c r="A7789" s="10" t="str">
        <f>基本属性!$B$14&amp;"|"&amp;基本属性!$C$14</f>
        <v>105|4</v>
      </c>
      <c r="B7789" s="10" t="str">
        <f>参数调整!$J$38</f>
        <v>新增怪物种类3掉落</v>
      </c>
      <c r="C7789" s="8" t="str">
        <f>材料产出!$AL$2</f>
        <v>上品注灵石</v>
      </c>
      <c r="D7789" s="224">
        <f>参数调整!$K$38*怪物掉落配置方案!$D4711</f>
        <v>4.8603846463345937E-2</v>
      </c>
    </row>
    <row r="7790" spans="1:4" ht="16.5" hidden="1" x14ac:dyDescent="0.3">
      <c r="A7790" s="10" t="str">
        <f>基本属性!$B$15&amp;"|"&amp;基本属性!$C$15</f>
        <v>110|5</v>
      </c>
      <c r="B7790" s="10" t="str">
        <f>参数调整!$J$38</f>
        <v>新增怪物种类3掉落</v>
      </c>
      <c r="C7790" s="8" t="str">
        <f>材料产出!$AL$2</f>
        <v>上品注灵石</v>
      </c>
      <c r="D7790" s="224">
        <f>参数调整!$K$38*怪物掉落配置方案!$D4712</f>
        <v>5.8810654220648594E-2</v>
      </c>
    </row>
    <row r="7791" spans="1:4" ht="16.5" hidden="1" x14ac:dyDescent="0.3">
      <c r="A7791" s="10" t="str">
        <f>基本属性!$B$16&amp;"|"&amp;基本属性!$C$16</f>
        <v>120|6</v>
      </c>
      <c r="B7791" s="10" t="str">
        <f>参数调整!$J$38</f>
        <v>新增怪物种类3掉落</v>
      </c>
      <c r="C7791" s="8" t="str">
        <f>材料产出!$AL$2</f>
        <v>上品注灵石</v>
      </c>
      <c r="D7791" s="224">
        <f>参数调整!$K$38*怪物掉落配置方案!$D4713</f>
        <v>7.5943510098978026E-2</v>
      </c>
    </row>
    <row r="7792" spans="1:4" ht="16.5" hidden="1" x14ac:dyDescent="0.3">
      <c r="A7792" s="10" t="str">
        <f>基本属性!$B$17&amp;"|"&amp;基本属性!$C$17</f>
        <v>135|7</v>
      </c>
      <c r="B7792" s="10" t="str">
        <f>参数调整!$J$38</f>
        <v>新增怪物种类3掉落</v>
      </c>
      <c r="C7792" s="8" t="str">
        <f>材料产出!$AL$2</f>
        <v>上品注灵石</v>
      </c>
      <c r="D7792" s="224">
        <f>参数调整!$K$38*怪物掉落配置方案!$D4714</f>
        <v>0.10935865454252837</v>
      </c>
    </row>
    <row r="7793" spans="1:4" ht="16.5" hidden="1" x14ac:dyDescent="0.3">
      <c r="A7793" s="10" t="str">
        <f>基本属性!$B$18&amp;"|"&amp;基本属性!$C$18</f>
        <v>155|8</v>
      </c>
      <c r="B7793" s="10" t="str">
        <f>参数调整!$J$38</f>
        <v>新增怪物种类3掉落</v>
      </c>
      <c r="C7793" s="8" t="str">
        <f>材料产出!$AL$2</f>
        <v>上品注灵石</v>
      </c>
      <c r="D7793" s="224">
        <f>参数调整!$K$38*怪物掉落配置方案!$D4715</f>
        <v>0.14884927979399692</v>
      </c>
    </row>
    <row r="7794" spans="1:4" ht="16.5" hidden="1" x14ac:dyDescent="0.3">
      <c r="A7794" s="10" t="str">
        <f>基本属性!$B$19&amp;"|"&amp;基本属性!$C$19</f>
        <v>190|9</v>
      </c>
      <c r="B7794" s="10" t="str">
        <f>参数调整!$J$38</f>
        <v>新增怪物种类3掉落</v>
      </c>
      <c r="C7794" s="8" t="str">
        <f>材料产出!$AL$2</f>
        <v>上品注灵石</v>
      </c>
      <c r="D7794" s="224">
        <f>参数调整!$K$38*怪物掉落配置方案!$D4716</f>
        <v>0.16634666452080149</v>
      </c>
    </row>
    <row r="7795" spans="1:4" ht="16.5" hidden="1" x14ac:dyDescent="0.3">
      <c r="A7795" s="10" t="str">
        <f>基本属性!$B$20&amp;"|"&amp;基本属性!$C$20</f>
        <v>200|10</v>
      </c>
      <c r="B7795" s="10" t="str">
        <f>参数调整!$J$38</f>
        <v>新增怪物种类3掉落</v>
      </c>
      <c r="C7795" s="8" t="str">
        <f>材料产出!$AL$2</f>
        <v>上品注灵石</v>
      </c>
      <c r="D7795" s="224">
        <f>参数调整!$K$38*怪物掉落配置方案!$D4717</f>
        <v>0.19441538585338375</v>
      </c>
    </row>
    <row r="7796" spans="1:4" ht="16.5" hidden="1" x14ac:dyDescent="0.3">
      <c r="A7796" s="10" t="str">
        <f>基本属性!$B$21&amp;"|"&amp;基本属性!$C$21</f>
        <v>200|11</v>
      </c>
      <c r="B7796" s="10" t="str">
        <f>参数调整!$J$38</f>
        <v>新增怪物种类3掉落</v>
      </c>
      <c r="C7796" s="8" t="str">
        <f>材料产出!$AL$2</f>
        <v>上品注灵石</v>
      </c>
      <c r="D7796" s="224">
        <f>参数调整!$K$38*怪物掉落配置方案!$D4718</f>
        <v>0.22467128027681654</v>
      </c>
    </row>
    <row r="7797" spans="1:4" ht="16.5" hidden="1" x14ac:dyDescent="0.3">
      <c r="A7797" s="10" t="str">
        <f>基本属性!$B$22&amp;"|"&amp;基本属性!$C$22</f>
        <v>210|12</v>
      </c>
      <c r="B7797" s="10" t="str">
        <f>参数调整!$J$38</f>
        <v>新增怪物种类3掉落</v>
      </c>
      <c r="C7797" s="8" t="str">
        <f>材料产出!$AL$2</f>
        <v>上品注灵石</v>
      </c>
      <c r="D7797" s="224">
        <f>参数调整!$K$38*怪物掉落配置方案!$D4719</f>
        <v>0.25711434779109993</v>
      </c>
    </row>
    <row r="7798" spans="1:4" ht="16.5" hidden="1" x14ac:dyDescent="0.3">
      <c r="A7798" s="10" t="str">
        <f>基本属性!$B$23&amp;"|"&amp;基本属性!$C$23</f>
        <v>210|13</v>
      </c>
      <c r="B7798" s="10" t="str">
        <f>参数调整!$J$38</f>
        <v>新增怪物种类3掉落</v>
      </c>
      <c r="C7798" s="8" t="str">
        <f>材料产出!$AL$2</f>
        <v>上品注灵石</v>
      </c>
      <c r="D7798" s="224">
        <f>参数调整!$K$38*怪物掉落配置方案!$D4720</f>
        <v>0.29174458839623396</v>
      </c>
    </row>
    <row r="7799" spans="1:4" ht="16.5" hidden="1" x14ac:dyDescent="0.3">
      <c r="A7799" s="10" t="str">
        <f>基本属性!$B$24&amp;"|"&amp;基本属性!$C$24</f>
        <v>220|14</v>
      </c>
      <c r="B7799" s="10" t="str">
        <f>参数调整!$J$38</f>
        <v>新增怪物种类3掉落</v>
      </c>
      <c r="C7799" s="8" t="str">
        <f>材料产出!$AL$2</f>
        <v>上品注灵石</v>
      </c>
      <c r="D7799" s="224">
        <f>参数调整!$K$38*怪物掉落配置方案!$D4721</f>
        <v>0.32856200209221853</v>
      </c>
    </row>
    <row r="7800" spans="1:4" ht="16.5" hidden="1" x14ac:dyDescent="0.3">
      <c r="A7800" s="10" t="str">
        <f>基本属性!$B$25&amp;"|"&amp;基本属性!$C$25</f>
        <v>220|15</v>
      </c>
      <c r="B7800" s="10" t="str">
        <f>参数调整!$J$38</f>
        <v>新增怪物种类3掉落</v>
      </c>
      <c r="C7800" s="8" t="str">
        <f>材料产出!$AL$2</f>
        <v>上品注灵石</v>
      </c>
      <c r="D7800" s="224">
        <f>参数调整!$K$38*怪物掉落配置方案!$D4722</f>
        <v>0.36756658887905364</v>
      </c>
    </row>
    <row r="7801" spans="1:4" ht="16.5" hidden="1" x14ac:dyDescent="0.3">
      <c r="A7801" s="10" t="str">
        <f>基本属性!$B$26&amp;"|"&amp;基本属性!$C$26</f>
        <v>230|16</v>
      </c>
      <c r="B7801" s="10" t="str">
        <f>参数调整!$J$38</f>
        <v>新增怪物种类3掉落</v>
      </c>
      <c r="C7801" s="8" t="str">
        <f>材料产出!$AL$2</f>
        <v>上品注灵石</v>
      </c>
      <c r="D7801" s="224">
        <f>参数调整!$K$38*怪物掉落配置方案!$D4723</f>
        <v>0.40875834875673922</v>
      </c>
    </row>
    <row r="7802" spans="1:4" ht="16.5" hidden="1" x14ac:dyDescent="0.3">
      <c r="A7802" s="10" t="str">
        <f>基本属性!$B$27&amp;"|"&amp;基本属性!$C$27</f>
        <v>230|17</v>
      </c>
      <c r="B7802" s="10" t="str">
        <f>参数调整!$J$38</f>
        <v>新增怪物种类3掉落</v>
      </c>
      <c r="C7802" s="8" t="str">
        <f>材料产出!$AL$2</f>
        <v>上品注灵石</v>
      </c>
      <c r="D7802" s="224">
        <f>参数调整!$K$38*怪物掉落配置方案!$D4724</f>
        <v>0.45213728172527556</v>
      </c>
    </row>
    <row r="7803" spans="1:4" ht="16.5" hidden="1" x14ac:dyDescent="0.3">
      <c r="A7803" s="10" t="str">
        <f>基本属性!$B$28&amp;"|"&amp;基本属性!$C$28</f>
        <v>240|18</v>
      </c>
      <c r="B7803" s="10" t="str">
        <f>参数调整!$J$38</f>
        <v>新增怪物种类3掉落</v>
      </c>
      <c r="C7803" s="8" t="str">
        <f>材料产出!$AL$2</f>
        <v>上品注灵石</v>
      </c>
      <c r="D7803" s="224">
        <f>参数调整!$K$38*怪物掉落配置方案!$D4725</f>
        <v>0.49770338778466244</v>
      </c>
    </row>
    <row r="7804" spans="1:4" ht="16.5" hidden="1" x14ac:dyDescent="0.3">
      <c r="A7804" s="10" t="str">
        <f>基本属性!$B$29&amp;"|"&amp;基本属性!$C$29</f>
        <v>240|19</v>
      </c>
      <c r="B7804" s="10" t="str">
        <f>参数调整!$J$38</f>
        <v>新增怪物种类3掉落</v>
      </c>
      <c r="C7804" s="8" t="str">
        <f>材料产出!$AL$2</f>
        <v>上品注灵石</v>
      </c>
      <c r="D7804" s="224">
        <f>参数调整!$K$38*怪物掉落配置方案!$D4726</f>
        <v>0.5454566669348998</v>
      </c>
    </row>
    <row r="7805" spans="1:4" ht="16.5" hidden="1" x14ac:dyDescent="0.3">
      <c r="A7805" s="10" t="str">
        <f>基本属性!$B$30&amp;"|"&amp;基本属性!$C$30</f>
        <v>250|20</v>
      </c>
      <c r="B7805" s="10" t="str">
        <f>参数调整!$J$38</f>
        <v>新增怪物种类3掉落</v>
      </c>
      <c r="C7805" s="8" t="str">
        <f>材料产出!$AL$2</f>
        <v>上品注灵石</v>
      </c>
      <c r="D7805" s="224">
        <f>参数调整!$K$38*怪物掉落配置方案!$D4727</f>
        <v>0.5953971191759877</v>
      </c>
    </row>
    <row r="7806" spans="1:4" ht="16.5" hidden="1" x14ac:dyDescent="0.3">
      <c r="A7806" s="10" t="str">
        <f>基本属性!$B$4&amp;"|"&amp;基本属性!$C$4</f>
        <v>35|0</v>
      </c>
      <c r="B7806" s="10" t="str">
        <f>参数调整!$J$38</f>
        <v>新增怪物种类3掉落</v>
      </c>
      <c r="C7806" s="8" t="str">
        <f>材料产出!$AT$2</f>
        <v>魔龙之心</v>
      </c>
      <c r="D7806" s="224">
        <f>参数调整!$K$38*怪物掉落配置方案!$D4728</f>
        <v>9.7400366500679461E-6</v>
      </c>
    </row>
    <row r="7807" spans="1:4" ht="16.5" hidden="1" x14ac:dyDescent="0.3">
      <c r="A7807" s="10" t="str">
        <f>基本属性!$B$5&amp;"|"&amp;基本属性!$C$5</f>
        <v>40|0</v>
      </c>
      <c r="B7807" s="10" t="str">
        <f>参数调整!$J$38</f>
        <v>新增怪物种类3掉落</v>
      </c>
      <c r="C7807" s="8" t="str">
        <f>材料产出!$AT$2</f>
        <v>魔龙之心</v>
      </c>
      <c r="D7807" s="224">
        <f>参数调整!$K$38*怪物掉落配置方案!$D4729</f>
        <v>1.2327233885242244E-5</v>
      </c>
    </row>
    <row r="7808" spans="1:4" ht="16.5" hidden="1" x14ac:dyDescent="0.3">
      <c r="A7808" s="10" t="str">
        <f>基本属性!$B$6&amp;"|"&amp;基本属性!$C$6</f>
        <v>50|0</v>
      </c>
      <c r="B7808" s="10" t="str">
        <f>参数调整!$J$38</f>
        <v>新增怪物种类3掉落</v>
      </c>
      <c r="C7808" s="8" t="str">
        <f>材料产出!$AT$2</f>
        <v>魔龙之心</v>
      </c>
      <c r="D7808" s="224">
        <f>参数调整!$K$38*怪物掉落配置方案!$D4730</f>
        <v>1.5218807265731164E-5</v>
      </c>
    </row>
    <row r="7809" spans="1:4" ht="16.5" hidden="1" x14ac:dyDescent="0.3">
      <c r="A7809" s="10" t="str">
        <f>基本属性!$B$7&amp;"|"&amp;基本属性!$C$7</f>
        <v>60|0</v>
      </c>
      <c r="B7809" s="10" t="str">
        <f>参数调整!$J$38</f>
        <v>新增怪物种类3掉落</v>
      </c>
      <c r="C7809" s="8" t="str">
        <f>材料产出!$AT$2</f>
        <v>魔龙之心</v>
      </c>
      <c r="D7809" s="224">
        <f>参数调整!$K$38*怪物掉落配置方案!$D4731</f>
        <v>1.8414756791534713E-5</v>
      </c>
    </row>
    <row r="7810" spans="1:4" ht="16.5" hidden="1" x14ac:dyDescent="0.3">
      <c r="A7810" s="10" t="str">
        <f>基本属性!$B$8&amp;"|"&amp;基本属性!$C$8</f>
        <v>65|0</v>
      </c>
      <c r="B7810" s="10" t="str">
        <f>参数调整!$J$38</f>
        <v>新增怪物种类3掉落</v>
      </c>
      <c r="C7810" s="8" t="str">
        <f>材料产出!$AT$2</f>
        <v>魔龙之心</v>
      </c>
      <c r="D7810" s="224">
        <f>参数调整!$K$38*怪物掉落配置方案!$D4732</f>
        <v>2.1915082462652876E-5</v>
      </c>
    </row>
    <row r="7811" spans="1:4" ht="16.5" hidden="1" x14ac:dyDescent="0.3">
      <c r="A7811" s="10" t="str">
        <f>基本属性!$B$9&amp;"|"&amp;基本属性!$C$9</f>
        <v>70|0</v>
      </c>
      <c r="B7811" s="10" t="str">
        <f>参数调整!$J$38</f>
        <v>新增怪物种类3掉落</v>
      </c>
      <c r="C7811" s="8" t="str">
        <f>材料产出!$AT$2</f>
        <v>魔龙之心</v>
      </c>
      <c r="D7811" s="224">
        <f>参数调整!$K$38*怪物掉落配置方案!$D4733</f>
        <v>2.5719784279085667E-5</v>
      </c>
    </row>
    <row r="7812" spans="1:4" ht="16.5" hidden="1" x14ac:dyDescent="0.3">
      <c r="A7812" s="10" t="str">
        <f>基本属性!$B$10&amp;"|"&amp;基本属性!$C$10</f>
        <v>75|0</v>
      </c>
      <c r="B7812" s="10" t="str">
        <f>参数调整!$J$38</f>
        <v>新增怪物种类3掉落</v>
      </c>
      <c r="C7812" s="8" t="str">
        <f>材料产出!$AT$2</f>
        <v>魔龙之心</v>
      </c>
      <c r="D7812" s="224">
        <f>参数调整!$K$38*怪物掉落配置方案!$D4734</f>
        <v>2.9828862240833074E-5</v>
      </c>
    </row>
    <row r="7813" spans="1:4" ht="16.5" hidden="1" x14ac:dyDescent="0.3">
      <c r="A7813" s="10" t="str">
        <f>基本属性!$B$11&amp;"|"&amp;基本属性!$C$11</f>
        <v>80|1</v>
      </c>
      <c r="B7813" s="10" t="str">
        <f>参数调整!$J$38</f>
        <v>新增怪物种类3掉落</v>
      </c>
      <c r="C7813" s="8" t="str">
        <f>材料产出!$AT$2</f>
        <v>魔龙之心</v>
      </c>
      <c r="D7813" s="224">
        <f>参数调整!$K$38*怪物掉落配置方案!$D4735</f>
        <v>3.4242316347895113E-5</v>
      </c>
    </row>
    <row r="7814" spans="1:4" ht="16.5" hidden="1" x14ac:dyDescent="0.3">
      <c r="A7814" s="10" t="str">
        <f>基本属性!$B$12&amp;"|"&amp;基本属性!$C$12</f>
        <v>90|2</v>
      </c>
      <c r="B7814" s="10" t="str">
        <f>参数调整!$J$38</f>
        <v>新增怪物种类3掉落</v>
      </c>
      <c r="C7814" s="8" t="str">
        <f>材料产出!$AT$2</f>
        <v>魔龙之心</v>
      </c>
      <c r="D7814" s="224">
        <f>参数调整!$K$38*怪物掉落配置方案!$D4736</f>
        <v>3.8960146600271791E-5</v>
      </c>
    </row>
    <row r="7815" spans="1:4" ht="16.5" hidden="1" x14ac:dyDescent="0.3">
      <c r="A7815" s="10" t="str">
        <f>基本属性!$B$13&amp;"|"&amp;基本属性!$C$13</f>
        <v>100|3</v>
      </c>
      <c r="B7815" s="10" t="str">
        <f>参数调整!$J$38</f>
        <v>新增怪物种类3掉落</v>
      </c>
      <c r="C7815" s="8" t="str">
        <f>材料产出!$AT$2</f>
        <v>魔龙之心</v>
      </c>
      <c r="D7815" s="224">
        <f>参数调整!$K$38*怪物掉落配置方案!$D4737</f>
        <v>4.9308935540968983E-5</v>
      </c>
    </row>
    <row r="7816" spans="1:4" ht="16.5" hidden="1" x14ac:dyDescent="0.3">
      <c r="A7816" s="10" t="str">
        <f>基本属性!$B$14&amp;"|"&amp;基本属性!$C$14</f>
        <v>105|4</v>
      </c>
      <c r="B7816" s="10" t="str">
        <f>参数调整!$J$38</f>
        <v>新增怪物种类3掉落</v>
      </c>
      <c r="C7816" s="8" t="str">
        <f>材料产出!$AT$2</f>
        <v>魔龙之心</v>
      </c>
      <c r="D7816" s="224">
        <f>参数调整!$K$38*怪物掉落配置方案!$D4738</f>
        <v>6.0875229062924657E-5</v>
      </c>
    </row>
    <row r="7817" spans="1:4" ht="16.5" hidden="1" x14ac:dyDescent="0.3">
      <c r="A7817" s="10" t="str">
        <f>基本属性!$B$15&amp;"|"&amp;基本属性!$C$15</f>
        <v>110|5</v>
      </c>
      <c r="B7817" s="10" t="str">
        <f>参数调整!$J$38</f>
        <v>新增怪物种类3掉落</v>
      </c>
      <c r="C7817" s="8" t="str">
        <f>材料产出!$AT$2</f>
        <v>魔龙之心</v>
      </c>
      <c r="D7817" s="224">
        <f>参数调整!$K$38*怪物掉落配置方案!$D4739</f>
        <v>7.3659027166138853E-5</v>
      </c>
    </row>
    <row r="7818" spans="1:4" ht="16.5" hidden="1" x14ac:dyDescent="0.3">
      <c r="A7818" s="10" t="str">
        <f>基本属性!$B$16&amp;"|"&amp;基本属性!$C$16</f>
        <v>120|6</v>
      </c>
      <c r="B7818" s="10" t="str">
        <f>参数调整!$J$38</f>
        <v>新增怪物种类3掉落</v>
      </c>
      <c r="C7818" s="8" t="str">
        <f>材料产出!$AT$2</f>
        <v>魔龙之心</v>
      </c>
      <c r="D7818" s="224">
        <f>参数调整!$K$38*怪物掉落配置方案!$D4740</f>
        <v>9.5117545410819784E-5</v>
      </c>
    </row>
    <row r="7819" spans="1:4" ht="16.5" hidden="1" x14ac:dyDescent="0.3">
      <c r="A7819" s="10" t="str">
        <f>基本属性!$B$17&amp;"|"&amp;基本属性!$C$17</f>
        <v>135|7</v>
      </c>
      <c r="B7819" s="10" t="str">
        <f>参数调整!$J$38</f>
        <v>新增怪物种类3掉落</v>
      </c>
      <c r="C7819" s="8" t="str">
        <f>材料产出!$AT$2</f>
        <v>魔龙之心</v>
      </c>
      <c r="D7819" s="224">
        <f>参数调整!$K$38*怪物掉落配置方案!$D4741</f>
        <v>1.3696926539158048E-4</v>
      </c>
    </row>
    <row r="7820" spans="1:4" ht="16.5" hidden="1" x14ac:dyDescent="0.3">
      <c r="A7820" s="10" t="str">
        <f>基本属性!$B$18&amp;"|"&amp;基本属性!$C$18</f>
        <v>155|8</v>
      </c>
      <c r="B7820" s="10" t="str">
        <f>参数调整!$J$38</f>
        <v>新增怪物种类3掉落</v>
      </c>
      <c r="C7820" s="8" t="str">
        <f>材料产出!$AT$2</f>
        <v>魔龙之心</v>
      </c>
      <c r="D7820" s="224">
        <f>参数调整!$K$38*怪物掉落配置方案!$D4742</f>
        <v>1.8643038900520681E-4</v>
      </c>
    </row>
    <row r="7821" spans="1:4" ht="16.5" hidden="1" x14ac:dyDescent="0.3">
      <c r="A7821" s="10" t="str">
        <f>基本属性!$B$19&amp;"|"&amp;基本属性!$C$19</f>
        <v>190|9</v>
      </c>
      <c r="B7821" s="10" t="str">
        <f>参数调整!$J$38</f>
        <v>新增怪物种类3掉落</v>
      </c>
      <c r="C7821" s="8" t="str">
        <f>材料产出!$AT$2</f>
        <v>魔龙之心</v>
      </c>
      <c r="D7821" s="224">
        <f>参数调整!$K$38*怪物掉落配置方案!$D4743</f>
        <v>2.0834547146785962E-4</v>
      </c>
    </row>
    <row r="7822" spans="1:4" ht="16.5" hidden="1" x14ac:dyDescent="0.3">
      <c r="A7822" s="10" t="str">
        <f>基本属性!$B$20&amp;"|"&amp;基本属性!$C$20</f>
        <v>200|10</v>
      </c>
      <c r="B7822" s="10" t="str">
        <f>参数调整!$J$38</f>
        <v>新增怪物种类3掉落</v>
      </c>
      <c r="C7822" s="8" t="str">
        <f>材料产出!$AT$2</f>
        <v>魔龙之心</v>
      </c>
      <c r="D7822" s="224">
        <f>参数调整!$K$38*怪物掉落配置方案!$D4744</f>
        <v>2.4350091625169863E-4</v>
      </c>
    </row>
    <row r="7823" spans="1:4" ht="16.5" hidden="1" x14ac:dyDescent="0.3">
      <c r="A7823" s="10" t="str">
        <f>基本属性!$B$21&amp;"|"&amp;基本属性!$C$21</f>
        <v>200|11</v>
      </c>
      <c r="B7823" s="10" t="str">
        <f>参数调整!$J$38</f>
        <v>新增怪物种类3掉落</v>
      </c>
      <c r="C7823" s="8" t="str">
        <f>材料产出!$AT$2</f>
        <v>魔龙之心</v>
      </c>
      <c r="D7823" s="224">
        <f>参数调整!$K$38*怪物掉落配置方案!$D4745</f>
        <v>2.813957463433692E-4</v>
      </c>
    </row>
    <row r="7824" spans="1:4" ht="16.5" hidden="1" x14ac:dyDescent="0.3">
      <c r="A7824" s="10" t="str">
        <f>基本属性!$B$22&amp;"|"&amp;基本属性!$C$22</f>
        <v>210|12</v>
      </c>
      <c r="B7824" s="10" t="str">
        <f>参数调整!$J$38</f>
        <v>新增怪物种类3掉落</v>
      </c>
      <c r="C7824" s="8" t="str">
        <f>材料产出!$AT$2</f>
        <v>魔龙之心</v>
      </c>
      <c r="D7824" s="224">
        <f>参数调整!$K$38*怪物掉落配置方案!$D4746</f>
        <v>3.2202996174287137E-4</v>
      </c>
    </row>
    <row r="7825" spans="1:4" ht="16.5" hidden="1" x14ac:dyDescent="0.3">
      <c r="A7825" s="10" t="str">
        <f>基本属性!$B$23&amp;"|"&amp;基本属性!$C$23</f>
        <v>210|13</v>
      </c>
      <c r="B7825" s="10" t="str">
        <f>参数调整!$J$38</f>
        <v>新增怪物种类3掉落</v>
      </c>
      <c r="C7825" s="8" t="str">
        <f>材料产出!$AT$2</f>
        <v>魔龙之心</v>
      </c>
      <c r="D7825" s="224">
        <f>参数调整!$K$38*怪物掉落配置方案!$D4747</f>
        <v>3.6540356245020532E-4</v>
      </c>
    </row>
    <row r="7826" spans="1:4" ht="16.5" hidden="1" x14ac:dyDescent="0.3">
      <c r="A7826" s="10" t="str">
        <f>基本属性!$B$24&amp;"|"&amp;基本属性!$C$24</f>
        <v>220|14</v>
      </c>
      <c r="B7826" s="10" t="str">
        <f>参数调整!$J$38</f>
        <v>新增怪物种类3掉落</v>
      </c>
      <c r="C7826" s="8" t="str">
        <f>材料产出!$AT$2</f>
        <v>魔龙之心</v>
      </c>
      <c r="D7826" s="224">
        <f>参数调整!$K$38*怪物掉落配置方案!$D4748</f>
        <v>4.1151654846537068E-4</v>
      </c>
    </row>
    <row r="7827" spans="1:4" ht="16.5" hidden="1" x14ac:dyDescent="0.3">
      <c r="A7827" s="10" t="str">
        <f>基本属性!$B$25&amp;"|"&amp;基本属性!$C$25</f>
        <v>220|15</v>
      </c>
      <c r="B7827" s="10" t="str">
        <f>参数调整!$J$38</f>
        <v>新增怪物种类3掉落</v>
      </c>
      <c r="C7827" s="8" t="str">
        <f>材料产出!$AT$2</f>
        <v>魔龙之心</v>
      </c>
      <c r="D7827" s="224">
        <f>参数调整!$K$38*怪物掉落配置方案!$D4749</f>
        <v>4.603689197883676E-4</v>
      </c>
    </row>
    <row r="7828" spans="1:4" ht="16.5" hidden="1" x14ac:dyDescent="0.3">
      <c r="A7828" s="10" t="str">
        <f>基本属性!$B$26&amp;"|"&amp;基本属性!$C$26</f>
        <v>230|16</v>
      </c>
      <c r="B7828" s="10" t="str">
        <f>参数调整!$J$38</f>
        <v>新增怪物种类3掉落</v>
      </c>
      <c r="C7828" s="8" t="str">
        <f>材料产出!$AT$2</f>
        <v>魔龙之心</v>
      </c>
      <c r="D7828" s="224">
        <f>参数调整!$K$38*怪物掉落配置方案!$D4750</f>
        <v>5.1196067641919626E-4</v>
      </c>
    </row>
    <row r="7829" spans="1:4" ht="16.5" hidden="1" x14ac:dyDescent="0.3">
      <c r="A7829" s="10" t="str">
        <f>基本属性!$B$27&amp;"|"&amp;基本属性!$C$27</f>
        <v>230|17</v>
      </c>
      <c r="B7829" s="10" t="str">
        <f>参数调整!$J$38</f>
        <v>新增怪物种类3掉落</v>
      </c>
      <c r="C7829" s="8" t="str">
        <f>材料产出!$AT$2</f>
        <v>魔龙之心</v>
      </c>
      <c r="D7829" s="224">
        <f>参数调整!$K$38*怪物掉落配置方案!$D4751</f>
        <v>5.6629181835785654E-4</v>
      </c>
    </row>
    <row r="7830" spans="1:4" ht="16.5" hidden="1" x14ac:dyDescent="0.3">
      <c r="A7830" s="10" t="str">
        <f>基本属性!$B$28&amp;"|"&amp;基本属性!$C$28</f>
        <v>240|18</v>
      </c>
      <c r="B7830" s="10" t="str">
        <f>参数调整!$J$38</f>
        <v>新增怪物种类3掉落</v>
      </c>
      <c r="C7830" s="8" t="str">
        <f>材料产出!$AT$2</f>
        <v>魔龙之心</v>
      </c>
      <c r="D7830" s="224">
        <f>参数调整!$K$38*怪物掉落配置方案!$D4752</f>
        <v>6.2336234560434855E-4</v>
      </c>
    </row>
    <row r="7831" spans="1:4" ht="16.5" hidden="1" x14ac:dyDescent="0.3">
      <c r="A7831" s="10" t="str">
        <f>基本属性!$B$29&amp;"|"&amp;基本属性!$C$29</f>
        <v>240|19</v>
      </c>
      <c r="B7831" s="10" t="str">
        <f>参数调整!$J$38</f>
        <v>新增怪物种类3掉落</v>
      </c>
      <c r="C7831" s="8" t="str">
        <f>材料产出!$AT$2</f>
        <v>魔龙之心</v>
      </c>
      <c r="D7831" s="224">
        <f>参数调整!$K$38*怪物掉落配置方案!$D4753</f>
        <v>6.8317225815867208E-4</v>
      </c>
    </row>
    <row r="7832" spans="1:4" ht="16.5" hidden="1" x14ac:dyDescent="0.3">
      <c r="A7832" s="10" t="str">
        <f>基本属性!$B$30&amp;"|"&amp;基本属性!$C$30</f>
        <v>250|20</v>
      </c>
      <c r="B7832" s="10" t="str">
        <f>参数调整!$J$38</f>
        <v>新增怪物种类3掉落</v>
      </c>
      <c r="C7832" s="8" t="str">
        <f>材料产出!$AT$2</f>
        <v>魔龙之心</v>
      </c>
      <c r="D7832" s="224">
        <f>参数调整!$K$38*怪物掉落配置方案!$D4754</f>
        <v>7.457215560208269E-4</v>
      </c>
    </row>
    <row r="7833" spans="1:4" ht="16.5" hidden="1" x14ac:dyDescent="0.3">
      <c r="A7833" s="10" t="str">
        <f>基本属性!$B$4&amp;"|"&amp;基本属性!$C$4</f>
        <v>35|0</v>
      </c>
      <c r="B7833" s="10" t="str">
        <f>参数调整!$J$38</f>
        <v>新增怪物种类3掉落</v>
      </c>
      <c r="C7833" s="8" t="str">
        <f>材料产出!$X$2</f>
        <v>龍の心</v>
      </c>
      <c r="D7833" s="224">
        <f>参数调整!$K$38*怪物掉落配置方案!$D4755</f>
        <v>1.7722303188894748E-3</v>
      </c>
    </row>
    <row r="7834" spans="1:4" ht="16.5" hidden="1" x14ac:dyDescent="0.3">
      <c r="A7834" s="10" t="str">
        <f>基本属性!$B$5&amp;"|"&amp;基本属性!$C$5</f>
        <v>40|0</v>
      </c>
      <c r="B7834" s="10" t="str">
        <f>参数调整!$J$38</f>
        <v>新增怪物种类3掉落</v>
      </c>
      <c r="C7834" s="8" t="str">
        <f>材料产出!$X$2</f>
        <v>龍の心</v>
      </c>
      <c r="D7834" s="224">
        <f>参数调整!$K$38*怪物掉落配置方案!$D4756</f>
        <v>2.2429789973444918E-3</v>
      </c>
    </row>
    <row r="7835" spans="1:4" ht="16.5" hidden="1" x14ac:dyDescent="0.3">
      <c r="A7835" s="10" t="str">
        <f>基本属性!$B$6&amp;"|"&amp;基本属性!$C$6</f>
        <v>50|0</v>
      </c>
      <c r="B7835" s="10" t="str">
        <f>参数调整!$J$38</f>
        <v>新增怪物种类3掉落</v>
      </c>
      <c r="C7835" s="8" t="str">
        <f>材料产出!$X$2</f>
        <v>龍の心</v>
      </c>
      <c r="D7835" s="224">
        <f>参数调整!$K$38*怪物掉落配置方案!$D4757</f>
        <v>2.7691098732648043E-3</v>
      </c>
    </row>
    <row r="7836" spans="1:4" ht="16.5" hidden="1" x14ac:dyDescent="0.3">
      <c r="A7836" s="10" t="str">
        <f>基本属性!$B$7&amp;"|"&amp;基本属性!$C$7</f>
        <v>60|0</v>
      </c>
      <c r="B7836" s="10" t="str">
        <f>参数调整!$J$38</f>
        <v>新增怪物种类3掉落</v>
      </c>
      <c r="C7836" s="8" t="str">
        <f>材料产出!$X$2</f>
        <v>龍の心</v>
      </c>
      <c r="D7836" s="224">
        <f>参数调整!$K$38*怪物掉落配置方案!$D4758</f>
        <v>3.350622946650414E-3</v>
      </c>
    </row>
    <row r="7837" spans="1:4" ht="16.5" hidden="1" x14ac:dyDescent="0.3">
      <c r="A7837" s="10" t="str">
        <f>基本属性!$B$8&amp;"|"&amp;基本属性!$C$8</f>
        <v>65|0</v>
      </c>
      <c r="B7837" s="10" t="str">
        <f>参数调整!$J$38</f>
        <v>新增怪物种类3掉落</v>
      </c>
      <c r="C7837" s="8" t="str">
        <f>材料产出!$X$2</f>
        <v>龍の心</v>
      </c>
      <c r="D7837" s="224">
        <f>参数调整!$K$38*怪物掉落配置方案!$D4759</f>
        <v>3.9875182175013188E-3</v>
      </c>
    </row>
    <row r="7838" spans="1:4" ht="16.5" hidden="1" x14ac:dyDescent="0.3">
      <c r="A7838" s="10" t="str">
        <f>基本属性!$B$9&amp;"|"&amp;基本属性!$C$9</f>
        <v>70|0</v>
      </c>
      <c r="B7838" s="10" t="str">
        <f>参数调整!$J$38</f>
        <v>新增怪物种类3掉落</v>
      </c>
      <c r="C7838" s="8" t="str">
        <f>材料产出!$X$2</f>
        <v>龍の心</v>
      </c>
      <c r="D7838" s="224">
        <f>参数调整!$K$38*怪物掉落配置方案!$D4760</f>
        <v>4.6797956858175196E-3</v>
      </c>
    </row>
    <row r="7839" spans="1:4" ht="16.5" hidden="1" x14ac:dyDescent="0.3">
      <c r="A7839" s="10" t="str">
        <f>基本属性!$B$10&amp;"|"&amp;基本属性!$C$10</f>
        <v>75|0</v>
      </c>
      <c r="B7839" s="10" t="str">
        <f>参数调整!$J$38</f>
        <v>新增怪物种类3掉落</v>
      </c>
      <c r="C7839" s="8" t="str">
        <f>材料产出!$X$2</f>
        <v>龍の心</v>
      </c>
      <c r="D7839" s="224">
        <f>参数调整!$K$38*怪物掉落配置方案!$D4761</f>
        <v>5.4274553515990167E-3</v>
      </c>
    </row>
    <row r="7840" spans="1:4" ht="16.5" hidden="1" x14ac:dyDescent="0.3">
      <c r="A7840" s="10" t="str">
        <f>基本属性!$B$11&amp;"|"&amp;基本属性!$C$11</f>
        <v>80|1</v>
      </c>
      <c r="B7840" s="10" t="str">
        <f>参数调整!$J$38</f>
        <v>新增怪物种类3掉落</v>
      </c>
      <c r="C7840" s="8" t="str">
        <f>材料产出!$X$2</f>
        <v>龍の心</v>
      </c>
      <c r="D7840" s="224">
        <f>参数调整!$K$38*怪物掉落配置方案!$D4762</f>
        <v>6.2304972148458111E-3</v>
      </c>
    </row>
    <row r="7841" spans="1:4" ht="16.5" hidden="1" x14ac:dyDescent="0.3">
      <c r="A7841" s="10" t="str">
        <f>基本属性!$B$12&amp;"|"&amp;基本属性!$C$12</f>
        <v>90|2</v>
      </c>
      <c r="B7841" s="10" t="str">
        <f>参数调整!$J$38</f>
        <v>新增怪物种类3掉落</v>
      </c>
      <c r="C7841" s="8" t="str">
        <f>材料产出!$X$2</f>
        <v>龍の心</v>
      </c>
      <c r="D7841" s="224">
        <f>参数调整!$K$38*怪物掉落配置方案!$D4763</f>
        <v>7.0889212755579009E-3</v>
      </c>
    </row>
    <row r="7842" spans="1:4" ht="16.5" hidden="1" x14ac:dyDescent="0.3">
      <c r="A7842" s="10" t="str">
        <f>基本属性!$B$13&amp;"|"&amp;基本属性!$C$13</f>
        <v>100|3</v>
      </c>
      <c r="B7842" s="10" t="str">
        <f>参数调整!$J$38</f>
        <v>新增怪物种类3掉落</v>
      </c>
      <c r="C7842" s="8" t="str">
        <f>材料产出!$X$2</f>
        <v>龍の心</v>
      </c>
      <c r="D7842" s="224">
        <f>参数调整!$K$38*怪物掉落配置方案!$D4764</f>
        <v>8.9719159893779689E-3</v>
      </c>
    </row>
    <row r="7843" spans="1:4" ht="16.5" hidden="1" x14ac:dyDescent="0.3">
      <c r="A7843" s="10" t="str">
        <f>基本属性!$B$14&amp;"|"&amp;基本属性!$C$14</f>
        <v>105|4</v>
      </c>
      <c r="B7843" s="10" t="str">
        <f>参数调整!$J$38</f>
        <v>新增怪物种类3掉落</v>
      </c>
      <c r="C7843" s="8" t="str">
        <f>材料产出!$X$2</f>
        <v>龍の心</v>
      </c>
      <c r="D7843" s="224">
        <f>参数调整!$K$38*怪物掉落配置方案!$D4765</f>
        <v>1.1076439493059217E-2</v>
      </c>
    </row>
    <row r="7844" spans="1:4" ht="16.5" hidden="1" x14ac:dyDescent="0.3">
      <c r="A7844" s="10" t="str">
        <f>基本属性!$B$15&amp;"|"&amp;基本属性!$C$15</f>
        <v>110|5</v>
      </c>
      <c r="B7844" s="10" t="str">
        <f>参数调整!$J$38</f>
        <v>新增怪物种类3掉落</v>
      </c>
      <c r="C7844" s="8" t="str">
        <f>材料产出!$X$2</f>
        <v>龍の心</v>
      </c>
      <c r="D7844" s="224">
        <f>参数调整!$K$38*怪物掉落配置方案!$D4766</f>
        <v>1.3402491786601656E-2</v>
      </c>
    </row>
    <row r="7845" spans="1:4" ht="16.5" hidden="1" x14ac:dyDescent="0.3">
      <c r="A7845" s="10" t="str">
        <f>基本属性!$B$16&amp;"|"&amp;基本属性!$C$16</f>
        <v>120|6</v>
      </c>
      <c r="B7845" s="10" t="str">
        <f>参数调整!$J$38</f>
        <v>新增怪物种类3掉落</v>
      </c>
      <c r="C7845" s="8" t="str">
        <f>材料产出!$X$2</f>
        <v>龍の心</v>
      </c>
      <c r="D7845" s="224">
        <f>参数调整!$K$38*怪物掉落配置方案!$D4767</f>
        <v>1.7306936707905028E-2</v>
      </c>
    </row>
    <row r="7846" spans="1:4" ht="16.5" hidden="1" x14ac:dyDescent="0.3">
      <c r="A7846" s="10" t="str">
        <f>基本属性!$B$17&amp;"|"&amp;基本属性!$C$17</f>
        <v>135|7</v>
      </c>
      <c r="B7846" s="10" t="str">
        <f>参数调整!$J$38</f>
        <v>新增怪物种类3掉落</v>
      </c>
      <c r="C7846" s="8" t="str">
        <f>材料产出!$X$2</f>
        <v>龍の心</v>
      </c>
      <c r="D7846" s="224">
        <f>参数调整!$K$38*怪物掉落配置方案!$D4768</f>
        <v>2.4921988859383244E-2</v>
      </c>
    </row>
    <row r="7847" spans="1:4" ht="16.5" hidden="1" x14ac:dyDescent="0.3">
      <c r="A7847" s="10" t="str">
        <f>基本属性!$B$18&amp;"|"&amp;基本属性!$C$18</f>
        <v>155|8</v>
      </c>
      <c r="B7847" s="10" t="str">
        <f>参数调整!$J$38</f>
        <v>新增怪物种类3掉落</v>
      </c>
      <c r="C7847" s="8" t="str">
        <f>材料产出!$X$2</f>
        <v>龍の心</v>
      </c>
      <c r="D7847" s="224">
        <f>参数调整!$K$38*怪物掉落配置方案!$D4769</f>
        <v>3.392159594749386E-2</v>
      </c>
    </row>
    <row r="7848" spans="1:4" ht="16.5" hidden="1" x14ac:dyDescent="0.3">
      <c r="A7848" s="10" t="str">
        <f>基本属性!$B$19&amp;"|"&amp;基本属性!$C$19</f>
        <v>190|9</v>
      </c>
      <c r="B7848" s="10" t="str">
        <f>参数调整!$J$38</f>
        <v>新增怪物种类3掉落</v>
      </c>
      <c r="C7848" s="8" t="str">
        <f>材料产出!$X$2</f>
        <v>龍の心</v>
      </c>
      <c r="D7848" s="224">
        <f>参数调整!$K$38*怪物掉落配置方案!$D4770</f>
        <v>3.7909114164995178E-2</v>
      </c>
    </row>
    <row r="7849" spans="1:4" ht="16.5" hidden="1" x14ac:dyDescent="0.3">
      <c r="A7849" s="10" t="str">
        <f>基本属性!$B$20&amp;"|"&amp;基本属性!$C$20</f>
        <v>200|10</v>
      </c>
      <c r="B7849" s="10" t="str">
        <f>参数调整!$J$38</f>
        <v>新增怪物种类3掉落</v>
      </c>
      <c r="C7849" s="8" t="str">
        <f>材料产出!$X$2</f>
        <v>龍の心</v>
      </c>
      <c r="D7849" s="224">
        <f>参数调整!$K$38*怪物掉落配置方案!$D4771</f>
        <v>4.4305757972236869E-2</v>
      </c>
    </row>
    <row r="7850" spans="1:4" ht="16.5" hidden="1" x14ac:dyDescent="0.3">
      <c r="A7850" s="10" t="str">
        <f>基本属性!$B$21&amp;"|"&amp;基本属性!$C$21</f>
        <v>200|11</v>
      </c>
      <c r="B7850" s="10" t="str">
        <f>参数调整!$J$38</f>
        <v>新增怪物种类3掉落</v>
      </c>
      <c r="C7850" s="8" t="str">
        <f>材料产出!$X$2</f>
        <v>龍の心</v>
      </c>
      <c r="D7850" s="224">
        <f>参数调整!$K$38*怪物掉落配置方案!$D4772</f>
        <v>5.1200841556666224E-2</v>
      </c>
    </row>
    <row r="7851" spans="1:4" ht="16.5" hidden="1" x14ac:dyDescent="0.3">
      <c r="A7851" s="10" t="str">
        <f>基本属性!$B$22&amp;"|"&amp;基本属性!$C$22</f>
        <v>210|12</v>
      </c>
      <c r="B7851" s="10" t="str">
        <f>参数调整!$J$38</f>
        <v>新增怪物种类3掉落</v>
      </c>
      <c r="C7851" s="8" t="str">
        <f>材料产出!$X$2</f>
        <v>龍の心</v>
      </c>
      <c r="D7851" s="224">
        <f>参数调整!$K$38*怪物掉落配置方案!$D4773</f>
        <v>5.8594364918283251E-2</v>
      </c>
    </row>
    <row r="7852" spans="1:4" ht="16.5" hidden="1" x14ac:dyDescent="0.3">
      <c r="A7852" s="10" t="str">
        <f>基本属性!$B$23&amp;"|"&amp;基本属性!$C$23</f>
        <v>210|13</v>
      </c>
      <c r="B7852" s="10" t="str">
        <f>参数调整!$J$38</f>
        <v>新增怪物种类3掉落</v>
      </c>
      <c r="C7852" s="8" t="str">
        <f>材料产出!$X$2</f>
        <v>龍の心</v>
      </c>
      <c r="D7852" s="224">
        <f>参数调整!$K$38*怪物掉落配置方案!$D4774</f>
        <v>6.6486328057087971E-2</v>
      </c>
    </row>
    <row r="7853" spans="1:4" ht="16.5" hidden="1" x14ac:dyDescent="0.3">
      <c r="A7853" s="10" t="str">
        <f>基本属性!$B$24&amp;"|"&amp;基本属性!$C$24</f>
        <v>220|14</v>
      </c>
      <c r="B7853" s="10" t="str">
        <f>参数调整!$J$38</f>
        <v>新增怪物种类3掉落</v>
      </c>
      <c r="C7853" s="8" t="str">
        <f>材料产出!$X$2</f>
        <v>龍の心</v>
      </c>
      <c r="D7853" s="224">
        <f>参数调整!$K$38*怪物掉落配置方案!$D4775</f>
        <v>7.4876730973080313E-2</v>
      </c>
    </row>
    <row r="7854" spans="1:4" ht="16.5" hidden="1" x14ac:dyDescent="0.3">
      <c r="A7854" s="10" t="str">
        <f>基本属性!$B$25&amp;"|"&amp;基本属性!$C$25</f>
        <v>220|15</v>
      </c>
      <c r="B7854" s="10" t="str">
        <f>参数调整!$J$38</f>
        <v>新增怪物种类3掉落</v>
      </c>
      <c r="C7854" s="8" t="str">
        <f>材料产出!$X$2</f>
        <v>龍の心</v>
      </c>
      <c r="D7854" s="224">
        <f>参数调整!$K$38*怪物掉落配置方案!$D4776</f>
        <v>8.3765573666260335E-2</v>
      </c>
    </row>
    <row r="7855" spans="1:4" ht="16.5" hidden="1" x14ac:dyDescent="0.3">
      <c r="A7855" s="10" t="str">
        <f>基本属性!$B$26&amp;"|"&amp;基本属性!$C$26</f>
        <v>230|16</v>
      </c>
      <c r="B7855" s="10" t="str">
        <f>参数调整!$J$38</f>
        <v>新增怪物种类3掉落</v>
      </c>
      <c r="C7855" s="8" t="str">
        <f>材料产出!$X$2</f>
        <v>龍の心</v>
      </c>
      <c r="D7855" s="224">
        <f>参数调整!$K$38*怪物掉落配置方案!$D4777</f>
        <v>9.3152856136628021E-2</v>
      </c>
    </row>
    <row r="7856" spans="1:4" ht="16.5" hidden="1" x14ac:dyDescent="0.3">
      <c r="A7856" s="10" t="str">
        <f>基本属性!$B$27&amp;"|"&amp;基本属性!$C$27</f>
        <v>230|17</v>
      </c>
      <c r="B7856" s="10" t="str">
        <f>参数调整!$J$38</f>
        <v>新增怪物种类3掉落</v>
      </c>
      <c r="C7856" s="8" t="str">
        <f>材料产出!$X$2</f>
        <v>龍の心</v>
      </c>
      <c r="D7856" s="224">
        <f>参数调整!$K$38*怪物掉落配置方案!$D4778</f>
        <v>0.10303857838418337</v>
      </c>
    </row>
    <row r="7857" spans="1:4" ht="16.5" hidden="1" x14ac:dyDescent="0.3">
      <c r="A7857" s="10" t="str">
        <f>基本属性!$B$28&amp;"|"&amp;基本属性!$C$28</f>
        <v>240|18</v>
      </c>
      <c r="B7857" s="10" t="str">
        <f>参数调整!$J$38</f>
        <v>新增怪物种类3掉落</v>
      </c>
      <c r="C7857" s="8" t="str">
        <f>材料产出!$X$2</f>
        <v>龍の心</v>
      </c>
      <c r="D7857" s="224">
        <f>参数调整!$K$38*怪物掉落配置方案!$D4779</f>
        <v>0.11342274040892641</v>
      </c>
    </row>
    <row r="7858" spans="1:4" ht="16.5" hidden="1" x14ac:dyDescent="0.3">
      <c r="A7858" s="10" t="str">
        <f>基本属性!$B$29&amp;"|"&amp;基本属性!$C$29</f>
        <v>240|19</v>
      </c>
      <c r="B7858" s="10" t="str">
        <f>参数调整!$J$38</f>
        <v>新增怪物种类3掉落</v>
      </c>
      <c r="C7858" s="8" t="str">
        <f>材料产出!$X$2</f>
        <v>龍の心</v>
      </c>
      <c r="D7858" s="224">
        <f>参数调整!$K$38*怪物掉落配置方案!$D4780</f>
        <v>0.12430534221085709</v>
      </c>
    </row>
    <row r="7859" spans="1:4" ht="16.5" hidden="1" x14ac:dyDescent="0.3">
      <c r="A7859" s="10" t="str">
        <f>基本属性!$B$30&amp;"|"&amp;基本属性!$C$30</f>
        <v>250|20</v>
      </c>
      <c r="B7859" s="10" t="str">
        <f>参数调整!$J$38</f>
        <v>新增怪物种类3掉落</v>
      </c>
      <c r="C7859" s="8" t="str">
        <f>材料产出!$X$2</f>
        <v>龍の心</v>
      </c>
      <c r="D7859" s="224">
        <f>参数调整!$K$38*怪物掉落配置方案!$D4781</f>
        <v>0.13568638378997541</v>
      </c>
    </row>
    <row r="7860" spans="1:4" ht="16.5" hidden="1" x14ac:dyDescent="0.3">
      <c r="A7860" s="10" t="str">
        <f>基本属性!$B$4&amp;"|"&amp;基本属性!$C$4</f>
        <v>35|0</v>
      </c>
      <c r="B7860" s="10" t="str">
        <f>参数调整!$J$38</f>
        <v>新增怪物种类3掉落</v>
      </c>
      <c r="C7860" s="8" t="str">
        <f>材料产出!$V$2</f>
        <v>龍の魄</v>
      </c>
      <c r="D7860" s="224">
        <f>参数调整!$K$38*怪物掉落配置方案!$D4782</f>
        <v>1.7722303188894748E-3</v>
      </c>
    </row>
    <row r="7861" spans="1:4" ht="16.5" hidden="1" x14ac:dyDescent="0.3">
      <c r="A7861" s="10" t="str">
        <f>基本属性!$B$5&amp;"|"&amp;基本属性!$C$5</f>
        <v>40|0</v>
      </c>
      <c r="B7861" s="10" t="str">
        <f>参数调整!$J$38</f>
        <v>新增怪物种类3掉落</v>
      </c>
      <c r="C7861" s="8" t="str">
        <f>材料产出!$V$2</f>
        <v>龍の魄</v>
      </c>
      <c r="D7861" s="224">
        <f>参数调整!$K$38*怪物掉落配置方案!$D4783</f>
        <v>2.2429789973444918E-3</v>
      </c>
    </row>
    <row r="7862" spans="1:4" ht="16.5" hidden="1" x14ac:dyDescent="0.3">
      <c r="A7862" s="10" t="str">
        <f>基本属性!$B$6&amp;"|"&amp;基本属性!$C$6</f>
        <v>50|0</v>
      </c>
      <c r="B7862" s="10" t="str">
        <f>参数调整!$J$38</f>
        <v>新增怪物种类3掉落</v>
      </c>
      <c r="C7862" s="8" t="str">
        <f>材料产出!$V$2</f>
        <v>龍の魄</v>
      </c>
      <c r="D7862" s="224">
        <f>参数调整!$K$38*怪物掉落配置方案!$D4784</f>
        <v>2.7691098732648043E-3</v>
      </c>
    </row>
    <row r="7863" spans="1:4" ht="16.5" hidden="1" x14ac:dyDescent="0.3">
      <c r="A7863" s="10" t="str">
        <f>基本属性!$B$7&amp;"|"&amp;基本属性!$C$7</f>
        <v>60|0</v>
      </c>
      <c r="B7863" s="10" t="str">
        <f>参数调整!$J$38</f>
        <v>新增怪物种类3掉落</v>
      </c>
      <c r="C7863" s="8" t="str">
        <f>材料产出!$V$2</f>
        <v>龍の魄</v>
      </c>
      <c r="D7863" s="224">
        <f>参数调整!$K$38*怪物掉落配置方案!$D4785</f>
        <v>3.350622946650414E-3</v>
      </c>
    </row>
    <row r="7864" spans="1:4" ht="16.5" hidden="1" x14ac:dyDescent="0.3">
      <c r="A7864" s="10" t="str">
        <f>基本属性!$B$8&amp;"|"&amp;基本属性!$C$8</f>
        <v>65|0</v>
      </c>
      <c r="B7864" s="10" t="str">
        <f>参数调整!$J$38</f>
        <v>新增怪物种类3掉落</v>
      </c>
      <c r="C7864" s="8" t="str">
        <f>材料产出!$V$2</f>
        <v>龍の魄</v>
      </c>
      <c r="D7864" s="224">
        <f>参数调整!$K$38*怪物掉落配置方案!$D4786</f>
        <v>3.9875182175013188E-3</v>
      </c>
    </row>
    <row r="7865" spans="1:4" ht="16.5" hidden="1" x14ac:dyDescent="0.3">
      <c r="A7865" s="10" t="str">
        <f>基本属性!$B$9&amp;"|"&amp;基本属性!$C$9</f>
        <v>70|0</v>
      </c>
      <c r="B7865" s="10" t="str">
        <f>参数调整!$J$38</f>
        <v>新增怪物种类3掉落</v>
      </c>
      <c r="C7865" s="8" t="str">
        <f>材料产出!$V$2</f>
        <v>龍の魄</v>
      </c>
      <c r="D7865" s="224">
        <f>参数调整!$K$38*怪物掉落配置方案!$D4787</f>
        <v>4.6797956858175196E-3</v>
      </c>
    </row>
    <row r="7866" spans="1:4" ht="16.5" hidden="1" x14ac:dyDescent="0.3">
      <c r="A7866" s="10" t="str">
        <f>基本属性!$B$10&amp;"|"&amp;基本属性!$C$10</f>
        <v>75|0</v>
      </c>
      <c r="B7866" s="10" t="str">
        <f>参数调整!$J$38</f>
        <v>新增怪物种类3掉落</v>
      </c>
      <c r="C7866" s="8" t="str">
        <f>材料产出!$V$2</f>
        <v>龍の魄</v>
      </c>
      <c r="D7866" s="224">
        <f>参数调整!$K$38*怪物掉落配置方案!$D4788</f>
        <v>5.4274553515990167E-3</v>
      </c>
    </row>
    <row r="7867" spans="1:4" ht="16.5" hidden="1" x14ac:dyDescent="0.3">
      <c r="A7867" s="10" t="str">
        <f>基本属性!$B$11&amp;"|"&amp;基本属性!$C$11</f>
        <v>80|1</v>
      </c>
      <c r="B7867" s="10" t="str">
        <f>参数调整!$J$38</f>
        <v>新增怪物种类3掉落</v>
      </c>
      <c r="C7867" s="8" t="str">
        <f>材料产出!$V$2</f>
        <v>龍の魄</v>
      </c>
      <c r="D7867" s="224">
        <f>参数调整!$K$38*怪物掉落配置方案!$D4789</f>
        <v>6.2304972148458111E-3</v>
      </c>
    </row>
    <row r="7868" spans="1:4" ht="16.5" hidden="1" x14ac:dyDescent="0.3">
      <c r="A7868" s="10" t="str">
        <f>基本属性!$B$12&amp;"|"&amp;基本属性!$C$12</f>
        <v>90|2</v>
      </c>
      <c r="B7868" s="10" t="str">
        <f>参数调整!$J$38</f>
        <v>新增怪物种类3掉落</v>
      </c>
      <c r="C7868" s="8" t="str">
        <f>材料产出!$V$2</f>
        <v>龍の魄</v>
      </c>
      <c r="D7868" s="224">
        <f>参数调整!$K$38*怪物掉落配置方案!$D4790</f>
        <v>7.0889212755579009E-3</v>
      </c>
    </row>
    <row r="7869" spans="1:4" ht="16.5" hidden="1" x14ac:dyDescent="0.3">
      <c r="A7869" s="10" t="str">
        <f>基本属性!$B$13&amp;"|"&amp;基本属性!$C$13</f>
        <v>100|3</v>
      </c>
      <c r="B7869" s="10" t="str">
        <f>参数调整!$J$38</f>
        <v>新增怪物种类3掉落</v>
      </c>
      <c r="C7869" s="8" t="str">
        <f>材料产出!$V$2</f>
        <v>龍の魄</v>
      </c>
      <c r="D7869" s="224">
        <f>参数调整!$K$38*怪物掉落配置方案!$D4791</f>
        <v>8.9719159893779689E-3</v>
      </c>
    </row>
    <row r="7870" spans="1:4" ht="16.5" hidden="1" x14ac:dyDescent="0.3">
      <c r="A7870" s="10" t="str">
        <f>基本属性!$B$14&amp;"|"&amp;基本属性!$C$14</f>
        <v>105|4</v>
      </c>
      <c r="B7870" s="10" t="str">
        <f>参数调整!$J$38</f>
        <v>新增怪物种类3掉落</v>
      </c>
      <c r="C7870" s="8" t="str">
        <f>材料产出!$V$2</f>
        <v>龍の魄</v>
      </c>
      <c r="D7870" s="224">
        <f>参数调整!$K$38*怪物掉落配置方案!$D4792</f>
        <v>1.1076439493059217E-2</v>
      </c>
    </row>
    <row r="7871" spans="1:4" ht="16.5" hidden="1" x14ac:dyDescent="0.3">
      <c r="A7871" s="10" t="str">
        <f>基本属性!$B$15&amp;"|"&amp;基本属性!$C$15</f>
        <v>110|5</v>
      </c>
      <c r="B7871" s="10" t="str">
        <f>参数调整!$J$38</f>
        <v>新增怪物种类3掉落</v>
      </c>
      <c r="C7871" s="8" t="str">
        <f>材料产出!$V$2</f>
        <v>龍の魄</v>
      </c>
      <c r="D7871" s="224">
        <f>参数调整!$K$38*怪物掉落配置方案!$D4793</f>
        <v>1.3402491786601656E-2</v>
      </c>
    </row>
    <row r="7872" spans="1:4" ht="16.5" hidden="1" x14ac:dyDescent="0.3">
      <c r="A7872" s="10" t="str">
        <f>基本属性!$B$16&amp;"|"&amp;基本属性!$C$16</f>
        <v>120|6</v>
      </c>
      <c r="B7872" s="10" t="str">
        <f>参数调整!$J$38</f>
        <v>新增怪物种类3掉落</v>
      </c>
      <c r="C7872" s="8" t="str">
        <f>材料产出!$V$2</f>
        <v>龍の魄</v>
      </c>
      <c r="D7872" s="224">
        <f>参数调整!$K$38*怪物掉落配置方案!$D4794</f>
        <v>1.7306936707905028E-2</v>
      </c>
    </row>
    <row r="7873" spans="1:4" ht="16.5" hidden="1" x14ac:dyDescent="0.3">
      <c r="A7873" s="10" t="str">
        <f>基本属性!$B$17&amp;"|"&amp;基本属性!$C$17</f>
        <v>135|7</v>
      </c>
      <c r="B7873" s="10" t="str">
        <f>参数调整!$J$38</f>
        <v>新增怪物种类3掉落</v>
      </c>
      <c r="C7873" s="8" t="str">
        <f>材料产出!$V$2</f>
        <v>龍の魄</v>
      </c>
      <c r="D7873" s="224">
        <f>参数调整!$K$38*怪物掉落配置方案!$D4795</f>
        <v>2.4921988859383244E-2</v>
      </c>
    </row>
    <row r="7874" spans="1:4" ht="16.5" hidden="1" x14ac:dyDescent="0.3">
      <c r="A7874" s="10" t="str">
        <f>基本属性!$B$18&amp;"|"&amp;基本属性!$C$18</f>
        <v>155|8</v>
      </c>
      <c r="B7874" s="10" t="str">
        <f>参数调整!$J$38</f>
        <v>新增怪物种类3掉落</v>
      </c>
      <c r="C7874" s="8" t="str">
        <f>材料产出!$V$2</f>
        <v>龍の魄</v>
      </c>
      <c r="D7874" s="224">
        <f>参数调整!$K$38*怪物掉落配置方案!$D4796</f>
        <v>3.392159594749386E-2</v>
      </c>
    </row>
    <row r="7875" spans="1:4" ht="16.5" hidden="1" x14ac:dyDescent="0.3">
      <c r="A7875" s="10" t="str">
        <f>基本属性!$B$19&amp;"|"&amp;基本属性!$C$19</f>
        <v>190|9</v>
      </c>
      <c r="B7875" s="10" t="str">
        <f>参数调整!$J$38</f>
        <v>新增怪物种类3掉落</v>
      </c>
      <c r="C7875" s="8" t="str">
        <f>材料产出!$V$2</f>
        <v>龍の魄</v>
      </c>
      <c r="D7875" s="224">
        <f>参数调整!$K$38*怪物掉落配置方案!$D4797</f>
        <v>3.7909114164995178E-2</v>
      </c>
    </row>
    <row r="7876" spans="1:4" ht="16.5" hidden="1" x14ac:dyDescent="0.3">
      <c r="A7876" s="10" t="str">
        <f>基本属性!$B$20&amp;"|"&amp;基本属性!$C$20</f>
        <v>200|10</v>
      </c>
      <c r="B7876" s="10" t="str">
        <f>参数调整!$J$38</f>
        <v>新增怪物种类3掉落</v>
      </c>
      <c r="C7876" s="8" t="str">
        <f>材料产出!$V$2</f>
        <v>龍の魄</v>
      </c>
      <c r="D7876" s="224">
        <f>参数调整!$K$38*怪物掉落配置方案!$D4798</f>
        <v>4.4305757972236869E-2</v>
      </c>
    </row>
    <row r="7877" spans="1:4" ht="16.5" hidden="1" x14ac:dyDescent="0.3">
      <c r="A7877" s="10" t="str">
        <f>基本属性!$B$21&amp;"|"&amp;基本属性!$C$21</f>
        <v>200|11</v>
      </c>
      <c r="B7877" s="10" t="str">
        <f>参数调整!$J$38</f>
        <v>新增怪物种类3掉落</v>
      </c>
      <c r="C7877" s="8" t="str">
        <f>材料产出!$V$2</f>
        <v>龍の魄</v>
      </c>
      <c r="D7877" s="224">
        <f>参数调整!$K$38*怪物掉落配置方案!$D4799</f>
        <v>5.1200841556666224E-2</v>
      </c>
    </row>
    <row r="7878" spans="1:4" ht="16.5" hidden="1" x14ac:dyDescent="0.3">
      <c r="A7878" s="10" t="str">
        <f>基本属性!$B$22&amp;"|"&amp;基本属性!$C$22</f>
        <v>210|12</v>
      </c>
      <c r="B7878" s="10" t="str">
        <f>参数调整!$J$38</f>
        <v>新增怪物种类3掉落</v>
      </c>
      <c r="C7878" s="8" t="str">
        <f>材料产出!$V$2</f>
        <v>龍の魄</v>
      </c>
      <c r="D7878" s="224">
        <f>参数调整!$K$38*怪物掉落配置方案!$D4800</f>
        <v>5.8594364918283251E-2</v>
      </c>
    </row>
    <row r="7879" spans="1:4" ht="16.5" hidden="1" x14ac:dyDescent="0.3">
      <c r="A7879" s="10" t="str">
        <f>基本属性!$B$23&amp;"|"&amp;基本属性!$C$23</f>
        <v>210|13</v>
      </c>
      <c r="B7879" s="10" t="str">
        <f>参数调整!$J$38</f>
        <v>新增怪物种类3掉落</v>
      </c>
      <c r="C7879" s="8" t="str">
        <f>材料产出!$V$2</f>
        <v>龍の魄</v>
      </c>
      <c r="D7879" s="224">
        <f>参数调整!$K$38*怪物掉落配置方案!$D4801</f>
        <v>6.6486328057087971E-2</v>
      </c>
    </row>
    <row r="7880" spans="1:4" ht="16.5" hidden="1" x14ac:dyDescent="0.3">
      <c r="A7880" s="10" t="str">
        <f>基本属性!$B$24&amp;"|"&amp;基本属性!$C$24</f>
        <v>220|14</v>
      </c>
      <c r="B7880" s="10" t="str">
        <f>参数调整!$J$38</f>
        <v>新增怪物种类3掉落</v>
      </c>
      <c r="C7880" s="8" t="str">
        <f>材料产出!$V$2</f>
        <v>龍の魄</v>
      </c>
      <c r="D7880" s="224">
        <f>参数调整!$K$38*怪物掉落配置方案!$D4802</f>
        <v>7.4876730973080313E-2</v>
      </c>
    </row>
    <row r="7881" spans="1:4" ht="16.5" hidden="1" x14ac:dyDescent="0.3">
      <c r="A7881" s="10" t="str">
        <f>基本属性!$B$25&amp;"|"&amp;基本属性!$C$25</f>
        <v>220|15</v>
      </c>
      <c r="B7881" s="10" t="str">
        <f>参数调整!$J$38</f>
        <v>新增怪物种类3掉落</v>
      </c>
      <c r="C7881" s="8" t="str">
        <f>材料产出!$V$2</f>
        <v>龍の魄</v>
      </c>
      <c r="D7881" s="224">
        <f>参数调整!$K$38*怪物掉落配置方案!$D4803</f>
        <v>8.3765573666260335E-2</v>
      </c>
    </row>
    <row r="7882" spans="1:4" ht="16.5" hidden="1" x14ac:dyDescent="0.3">
      <c r="A7882" s="10" t="str">
        <f>基本属性!$B$26&amp;"|"&amp;基本属性!$C$26</f>
        <v>230|16</v>
      </c>
      <c r="B7882" s="10" t="str">
        <f>参数调整!$J$38</f>
        <v>新增怪物种类3掉落</v>
      </c>
      <c r="C7882" s="8" t="str">
        <f>材料产出!$V$2</f>
        <v>龍の魄</v>
      </c>
      <c r="D7882" s="224">
        <f>参数调整!$K$38*怪物掉落配置方案!$D4804</f>
        <v>9.3152856136628021E-2</v>
      </c>
    </row>
    <row r="7883" spans="1:4" ht="16.5" hidden="1" x14ac:dyDescent="0.3">
      <c r="A7883" s="10" t="str">
        <f>基本属性!$B$27&amp;"|"&amp;基本属性!$C$27</f>
        <v>230|17</v>
      </c>
      <c r="B7883" s="10" t="str">
        <f>参数调整!$J$38</f>
        <v>新增怪物种类3掉落</v>
      </c>
      <c r="C7883" s="8" t="str">
        <f>材料产出!$V$2</f>
        <v>龍の魄</v>
      </c>
      <c r="D7883" s="224">
        <f>参数调整!$K$38*怪物掉落配置方案!$D4805</f>
        <v>0.10303857838418337</v>
      </c>
    </row>
    <row r="7884" spans="1:4" ht="16.5" hidden="1" x14ac:dyDescent="0.3">
      <c r="A7884" s="10" t="str">
        <f>基本属性!$B$28&amp;"|"&amp;基本属性!$C$28</f>
        <v>240|18</v>
      </c>
      <c r="B7884" s="10" t="str">
        <f>参数调整!$J$38</f>
        <v>新增怪物种类3掉落</v>
      </c>
      <c r="C7884" s="8" t="str">
        <f>材料产出!$V$2</f>
        <v>龍の魄</v>
      </c>
      <c r="D7884" s="224">
        <f>参数调整!$K$38*怪物掉落配置方案!$D4806</f>
        <v>0.11342274040892641</v>
      </c>
    </row>
    <row r="7885" spans="1:4" ht="16.5" hidden="1" x14ac:dyDescent="0.3">
      <c r="A7885" s="10" t="str">
        <f>基本属性!$B$29&amp;"|"&amp;基本属性!$C$29</f>
        <v>240|19</v>
      </c>
      <c r="B7885" s="10" t="str">
        <f>参数调整!$J$38</f>
        <v>新增怪物种类3掉落</v>
      </c>
      <c r="C7885" s="8" t="str">
        <f>材料产出!$V$2</f>
        <v>龍の魄</v>
      </c>
      <c r="D7885" s="224">
        <f>参数调整!$K$38*怪物掉落配置方案!$D4807</f>
        <v>0.12430534221085709</v>
      </c>
    </row>
    <row r="7886" spans="1:4" ht="16.5" hidden="1" x14ac:dyDescent="0.3">
      <c r="A7886" s="10" t="str">
        <f>基本属性!$B$30&amp;"|"&amp;基本属性!$C$30</f>
        <v>250|20</v>
      </c>
      <c r="B7886" s="10" t="str">
        <f>参数调整!$J$38</f>
        <v>新增怪物种类3掉落</v>
      </c>
      <c r="C7886" s="8" t="str">
        <f>材料产出!$V$2</f>
        <v>龍の魄</v>
      </c>
      <c r="D7886" s="224">
        <f>参数调整!$K$38*怪物掉落配置方案!$D4808</f>
        <v>0.13568638378997541</v>
      </c>
    </row>
    <row r="7887" spans="1:4" ht="16.5" hidden="1" x14ac:dyDescent="0.3">
      <c r="A7887" s="10" t="str">
        <f>基本属性!$B$4&amp;"|"&amp;基本属性!$C$4</f>
        <v>35|0</v>
      </c>
      <c r="B7887" s="10" t="str">
        <f>参数调整!$J$38</f>
        <v>新增怪物种类3掉落</v>
      </c>
      <c r="C7887" s="8" t="str">
        <f>材料产出!$AB$2</f>
        <v>龙晶碎片</v>
      </c>
      <c r="D7887" s="224">
        <f>参数调整!$K$38*怪物掉落配置方案!$D4809</f>
        <v>4.542939656482748E-2</v>
      </c>
    </row>
    <row r="7888" spans="1:4" ht="16.5" hidden="1" x14ac:dyDescent="0.3">
      <c r="A7888" s="10" t="str">
        <f>基本属性!$B$5&amp;"|"&amp;基本属性!$C$5</f>
        <v>40|0</v>
      </c>
      <c r="B7888" s="10" t="str">
        <f>参数调整!$J$38</f>
        <v>新增怪物种类3掉落</v>
      </c>
      <c r="C7888" s="8" t="str">
        <f>材料产出!$AB$2</f>
        <v>龙晶碎片</v>
      </c>
      <c r="D7888" s="224">
        <f>参数调整!$K$38*怪物掉落配置方案!$D4810</f>
        <v>5.7496580027359787E-2</v>
      </c>
    </row>
    <row r="7889" spans="1:4" ht="16.5" hidden="1" x14ac:dyDescent="0.3">
      <c r="A7889" s="10" t="str">
        <f>基本属性!$B$6&amp;"|"&amp;基本属性!$C$6</f>
        <v>50|0</v>
      </c>
      <c r="B7889" s="10" t="str">
        <f>参数调整!$J$38</f>
        <v>新增怪物种类3掉落</v>
      </c>
      <c r="C7889" s="8" t="str">
        <f>材料产出!$AB$2</f>
        <v>龙晶碎片</v>
      </c>
      <c r="D7889" s="224">
        <f>参数调整!$K$38*怪物掉落配置方案!$D4811</f>
        <v>7.0983432132542934E-2</v>
      </c>
    </row>
    <row r="7890" spans="1:4" ht="16.5" hidden="1" x14ac:dyDescent="0.3">
      <c r="A7890" s="10" t="str">
        <f>基本属性!$B$7&amp;"|"&amp;基本属性!$C$7</f>
        <v>60|0</v>
      </c>
      <c r="B7890" s="10" t="str">
        <f>参数调整!$J$38</f>
        <v>新增怪物种类3掉落</v>
      </c>
      <c r="C7890" s="8" t="str">
        <f>材料产出!$AB$2</f>
        <v>龙晶碎片</v>
      </c>
      <c r="D7890" s="224">
        <f>参数调整!$K$38*怪物掉落配置方案!$D4812</f>
        <v>8.5889952880376971E-2</v>
      </c>
    </row>
    <row r="7891" spans="1:4" ht="16.5" hidden="1" x14ac:dyDescent="0.3">
      <c r="A7891" s="10" t="str">
        <f>基本属性!$B$8&amp;"|"&amp;基本属性!$C$8</f>
        <v>65|0</v>
      </c>
      <c r="B7891" s="10" t="str">
        <f>参数调整!$J$38</f>
        <v>新增怪物种类3掉落</v>
      </c>
      <c r="C7891" s="8" t="str">
        <f>材料产出!$AB$2</f>
        <v>龙晶碎片</v>
      </c>
      <c r="D7891" s="224">
        <f>参数调整!$K$38*怪物掉落配置方案!$D4813</f>
        <v>0.10221614227086184</v>
      </c>
    </row>
    <row r="7892" spans="1:4" ht="16.5" hidden="1" x14ac:dyDescent="0.3">
      <c r="A7892" s="10" t="str">
        <f>基本属性!$B$9&amp;"|"&amp;基本属性!$C$9</f>
        <v>70|0</v>
      </c>
      <c r="B7892" s="10" t="str">
        <f>参数调整!$J$38</f>
        <v>新增怪物种类3掉落</v>
      </c>
      <c r="C7892" s="8" t="str">
        <f>材料产出!$AB$2</f>
        <v>龙晶碎片</v>
      </c>
      <c r="D7892" s="224">
        <f>参数调整!$K$38*怪物掉落配置方案!$D4814</f>
        <v>0.11996200030399756</v>
      </c>
    </row>
    <row r="7893" spans="1:4" ht="16.5" hidden="1" x14ac:dyDescent="0.3">
      <c r="A7893" s="10" t="str">
        <f>基本属性!$B$10&amp;"|"&amp;基本属性!$C$10</f>
        <v>75|0</v>
      </c>
      <c r="B7893" s="10" t="str">
        <f>参数调整!$J$38</f>
        <v>新增怪物种类3掉落</v>
      </c>
      <c r="C7893" s="8" t="str">
        <f>材料产出!$AB$2</f>
        <v>龙晶碎片</v>
      </c>
      <c r="D7893" s="224">
        <f>参数调整!$K$38*怪物掉落配置方案!$D4815</f>
        <v>0.13912752697978414</v>
      </c>
    </row>
    <row r="7894" spans="1:4" ht="16.5" hidden="1" x14ac:dyDescent="0.3">
      <c r="A7894" s="10" t="str">
        <f>基本属性!$B$11&amp;"|"&amp;基本属性!$C$11</f>
        <v>80|1</v>
      </c>
      <c r="B7894" s="10" t="str">
        <f>参数调整!$J$38</f>
        <v>新增怪物种类3掉落</v>
      </c>
      <c r="C7894" s="8" t="str">
        <f>材料产出!$AB$2</f>
        <v>龙晶碎片</v>
      </c>
      <c r="D7894" s="224">
        <f>参数调整!$K$38*怪物掉落配置方案!$D4816</f>
        <v>0.15971272229822159</v>
      </c>
    </row>
    <row r="7895" spans="1:4" ht="16.5" hidden="1" x14ac:dyDescent="0.3">
      <c r="A7895" s="10" t="str">
        <f>基本属性!$B$12&amp;"|"&amp;基本属性!$C$12</f>
        <v>90|2</v>
      </c>
      <c r="B7895" s="10" t="str">
        <f>参数调整!$J$38</f>
        <v>新增怪物种类3掉落</v>
      </c>
      <c r="C7895" s="8" t="str">
        <f>材料产出!$AB$2</f>
        <v>龙晶碎片</v>
      </c>
      <c r="D7895" s="224">
        <f>参数调整!$K$38*怪物掉落配置方案!$D4817</f>
        <v>0.18171758625930995</v>
      </c>
    </row>
    <row r="7896" spans="1:4" ht="16.5" hidden="1" x14ac:dyDescent="0.3">
      <c r="A7896" s="10" t="str">
        <f>基本属性!$B$13&amp;"|"&amp;基本属性!$C$13</f>
        <v>100|3</v>
      </c>
      <c r="B7896" s="10" t="str">
        <f>参数调整!$J$38</f>
        <v>新增怪物种类3掉落</v>
      </c>
      <c r="C7896" s="8" t="str">
        <f>材料产出!$AB$2</f>
        <v>龙晶碎片</v>
      </c>
      <c r="D7896" s="224">
        <f>参数调整!$K$38*怪物掉落配置方案!$D4818</f>
        <v>0.22998632010943915</v>
      </c>
    </row>
    <row r="7897" spans="1:4" ht="16.5" hidden="1" x14ac:dyDescent="0.3">
      <c r="A7897" s="10" t="str">
        <f>基本属性!$B$14&amp;"|"&amp;基本属性!$C$14</f>
        <v>105|4</v>
      </c>
      <c r="B7897" s="10" t="str">
        <f>参数调整!$J$38</f>
        <v>新增怪物种类3掉落</v>
      </c>
      <c r="C7897" s="8" t="str">
        <f>材料产出!$AB$2</f>
        <v>龙晶碎片</v>
      </c>
      <c r="D7897" s="224">
        <f>参数调整!$K$38*怪物掉落配置方案!$D4819</f>
        <v>0.28393372853017179</v>
      </c>
    </row>
    <row r="7898" spans="1:4" ht="16.5" hidden="1" x14ac:dyDescent="0.3">
      <c r="A7898" s="10" t="str">
        <f>基本属性!$B$15&amp;"|"&amp;基本属性!$C$15</f>
        <v>110|5</v>
      </c>
      <c r="B7898" s="10" t="str">
        <f>参数调整!$J$38</f>
        <v>新增怪物种类3掉落</v>
      </c>
      <c r="C7898" s="8" t="str">
        <f>材料产出!$AB$2</f>
        <v>龙晶碎片</v>
      </c>
      <c r="D7898" s="224">
        <f>参数调整!$K$38*怪物掉落配置方案!$D4820</f>
        <v>0.34355981152150794</v>
      </c>
    </row>
    <row r="7899" spans="1:4" ht="16.5" hidden="1" x14ac:dyDescent="0.3">
      <c r="A7899" s="10" t="str">
        <f>基本属性!$B$16&amp;"|"&amp;基本属性!$C$16</f>
        <v>120|6</v>
      </c>
      <c r="B7899" s="10" t="str">
        <f>参数调整!$J$38</f>
        <v>新增怪物种类3掉落</v>
      </c>
      <c r="C7899" s="8" t="str">
        <f>材料产出!$AB$2</f>
        <v>龙晶碎片</v>
      </c>
      <c r="D7899" s="224">
        <f>参数调整!$K$38*怪物掉落配置方案!$D4821</f>
        <v>0.44364645082839332</v>
      </c>
    </row>
    <row r="7900" spans="1:4" ht="16.5" hidden="1" x14ac:dyDescent="0.3">
      <c r="A7900" s="10" t="str">
        <f>基本属性!$B$17&amp;"|"&amp;基本属性!$C$17</f>
        <v>135|7</v>
      </c>
      <c r="B7900" s="10" t="str">
        <f>参数调整!$J$38</f>
        <v>新增怪物种类3掉落</v>
      </c>
      <c r="C7900" s="8" t="str">
        <f>材料产出!$AB$2</f>
        <v>龙晶碎片</v>
      </c>
      <c r="D7900" s="224">
        <f>参数调整!$K$38*怪物掉落配置方案!$D4822</f>
        <v>0.63885088919288635</v>
      </c>
    </row>
    <row r="7901" spans="1:4" ht="16.5" hidden="1" x14ac:dyDescent="0.3">
      <c r="A7901" s="10" t="str">
        <f>基本属性!$B$18&amp;"|"&amp;基本属性!$C$18</f>
        <v>155|8</v>
      </c>
      <c r="B7901" s="10" t="str">
        <f>参数调整!$J$38</f>
        <v>新增怪物种类3掉落</v>
      </c>
      <c r="C7901" s="8" t="str">
        <f>材料产出!$AB$2</f>
        <v>龙晶碎片</v>
      </c>
      <c r="D7901" s="224">
        <f>参数调整!$K$38*怪物掉落配置方案!$D4823</f>
        <v>0.86954704362365109</v>
      </c>
    </row>
    <row r="7902" spans="1:4" ht="16.5" hidden="1" x14ac:dyDescent="0.3">
      <c r="A7902" s="10" t="str">
        <f>基本属性!$B$19&amp;"|"&amp;基本属性!$C$19</f>
        <v>190|9</v>
      </c>
      <c r="B7902" s="10" t="str">
        <f>参数调整!$J$38</f>
        <v>新增怪物种类3掉落</v>
      </c>
      <c r="C7902" s="8" t="str">
        <f>材料产出!$AB$2</f>
        <v>龙晶碎片</v>
      </c>
      <c r="D7902" s="224">
        <f>参数调整!$K$38*怪物掉落配置方案!$D4824</f>
        <v>0.97176318589451305</v>
      </c>
    </row>
    <row r="7903" spans="1:4" ht="16.5" hidden="1" x14ac:dyDescent="0.3">
      <c r="A7903" s="10" t="str">
        <f>基本属性!$B$20&amp;"|"&amp;基本属性!$C$20</f>
        <v>200|10</v>
      </c>
      <c r="B7903" s="10" t="str">
        <f>参数调整!$J$38</f>
        <v>新增怪物种类3掉落</v>
      </c>
      <c r="C7903" s="8" t="str">
        <f>材料产出!$AB$2</f>
        <v>龙晶碎片</v>
      </c>
      <c r="D7903" s="224">
        <f>参数调整!$K$38*怪物掉落配置方案!$D4825</f>
        <v>1.1357349141206872</v>
      </c>
    </row>
    <row r="7904" spans="1:4" ht="16.5" hidden="1" x14ac:dyDescent="0.3">
      <c r="A7904" s="10" t="str">
        <f>基本属性!$B$21&amp;"|"&amp;基本属性!$C$21</f>
        <v>200|11</v>
      </c>
      <c r="B7904" s="10" t="str">
        <f>参数调整!$J$38</f>
        <v>新增怪物种类3掉落</v>
      </c>
      <c r="C7904" s="8" t="str">
        <f>材料产出!$AB$2</f>
        <v>龙晶碎片</v>
      </c>
      <c r="D7904" s="224">
        <f>参数调整!$K$38*怪物掉落配置方案!$D4826</f>
        <v>1.3124836601307186</v>
      </c>
    </row>
    <row r="7905" spans="1:4" ht="16.5" hidden="1" x14ac:dyDescent="0.3">
      <c r="A7905" s="10" t="str">
        <f>基本属性!$B$22&amp;"|"&amp;基本属性!$C$22</f>
        <v>210|12</v>
      </c>
      <c r="B7905" s="10" t="str">
        <f>参数调整!$J$38</f>
        <v>新增怪物种类3掉落</v>
      </c>
      <c r="C7905" s="8" t="str">
        <f>材料产出!$AB$2</f>
        <v>龙晶碎片</v>
      </c>
      <c r="D7905" s="224">
        <f>参数调整!$K$38*怪物掉落配置方案!$D4827</f>
        <v>1.5020094239246085</v>
      </c>
    </row>
    <row r="7906" spans="1:4" ht="16.5" hidden="1" x14ac:dyDescent="0.3">
      <c r="A7906" s="10" t="str">
        <f>基本属性!$B$23&amp;"|"&amp;基本属性!$C$23</f>
        <v>210|13</v>
      </c>
      <c r="B7906" s="10" t="str">
        <f>参数调整!$J$38</f>
        <v>新增怪物种类3掉落</v>
      </c>
      <c r="C7906" s="8" t="str">
        <f>材料产出!$AB$2</f>
        <v>龙晶碎片</v>
      </c>
      <c r="D7906" s="224">
        <f>参数调整!$K$38*怪物掉落配置方案!$D4828</f>
        <v>1.7043122055023558</v>
      </c>
    </row>
    <row r="7907" spans="1:4" ht="16.5" hidden="1" x14ac:dyDescent="0.3">
      <c r="A7907" s="10" t="str">
        <f>基本属性!$B$24&amp;"|"&amp;基本属性!$C$24</f>
        <v>220|14</v>
      </c>
      <c r="B7907" s="10" t="str">
        <f>参数调整!$J$38</f>
        <v>新增怪物种类3掉落</v>
      </c>
      <c r="C7907" s="8" t="str">
        <f>材料产出!$AB$2</f>
        <v>龙晶碎片</v>
      </c>
      <c r="D7907" s="224">
        <f>参数调整!$K$38*怪物掉落配置方案!$D4829</f>
        <v>1.9193920048639612</v>
      </c>
    </row>
    <row r="7908" spans="1:4" ht="16.5" hidden="1" x14ac:dyDescent="0.3">
      <c r="A7908" s="10" t="str">
        <f>基本属性!$B$25&amp;"|"&amp;基本属性!$C$25</f>
        <v>220|15</v>
      </c>
      <c r="B7908" s="10" t="str">
        <f>参数调整!$J$38</f>
        <v>新增怪物种类3掉落</v>
      </c>
      <c r="C7908" s="8" t="str">
        <f>材料产出!$AB$2</f>
        <v>龙晶碎片</v>
      </c>
      <c r="D7908" s="224">
        <f>参数调整!$K$38*怪物掉落配置方案!$D4830</f>
        <v>2.1472488220094235</v>
      </c>
    </row>
    <row r="7909" spans="1:4" ht="16.5" hidden="1" x14ac:dyDescent="0.3">
      <c r="A7909" s="10" t="str">
        <f>基本属性!$B$26&amp;"|"&amp;基本属性!$C$26</f>
        <v>230|16</v>
      </c>
      <c r="B7909" s="10" t="str">
        <f>参数调整!$J$38</f>
        <v>新增怪物种类3掉落</v>
      </c>
      <c r="C7909" s="8" t="str">
        <f>材料产出!$AB$2</f>
        <v>龙晶碎片</v>
      </c>
      <c r="D7909" s="224">
        <f>参数调整!$K$38*怪物掉落配置方案!$D4831</f>
        <v>2.3878826569387446</v>
      </c>
    </row>
    <row r="7910" spans="1:4" ht="16.5" hidden="1" x14ac:dyDescent="0.3">
      <c r="A7910" s="10" t="str">
        <f>基本属性!$B$27&amp;"|"&amp;基本属性!$C$27</f>
        <v>230|17</v>
      </c>
      <c r="B7910" s="10" t="str">
        <f>参数调整!$J$38</f>
        <v>新增怪物种类3掉落</v>
      </c>
      <c r="C7910" s="8" t="str">
        <f>材料产出!$AB$2</f>
        <v>龙晶碎片</v>
      </c>
      <c r="D7910" s="224">
        <f>参数调整!$K$38*怪物掉落配置方案!$D4832</f>
        <v>2.6412935096519226</v>
      </c>
    </row>
    <row r="7911" spans="1:4" ht="16.5" hidden="1" x14ac:dyDescent="0.3">
      <c r="A7911" s="10" t="str">
        <f>基本属性!$B$28&amp;"|"&amp;基本属性!$C$28</f>
        <v>240|18</v>
      </c>
      <c r="B7911" s="10" t="str">
        <f>参数调整!$J$38</f>
        <v>新增怪物种类3掉落</v>
      </c>
      <c r="C7911" s="8" t="str">
        <f>材料产出!$AB$2</f>
        <v>龙晶碎片</v>
      </c>
      <c r="D7911" s="224">
        <f>参数调整!$K$38*怪物掉落配置方案!$D4833</f>
        <v>2.9074813801489592</v>
      </c>
    </row>
    <row r="7912" spans="1:4" ht="16.5" hidden="1" x14ac:dyDescent="0.3">
      <c r="A7912" s="10" t="str">
        <f>基本属性!$B$29&amp;"|"&amp;基本属性!$C$29</f>
        <v>240|19</v>
      </c>
      <c r="B7912" s="10" t="str">
        <f>参数调整!$J$38</f>
        <v>新增怪物种类3掉落</v>
      </c>
      <c r="C7912" s="8" t="str">
        <f>材料产出!$AB$2</f>
        <v>龙晶碎片</v>
      </c>
      <c r="D7912" s="224">
        <f>参数调整!$K$38*怪物掉落配置方案!$D4834</f>
        <v>3.1864462684298527</v>
      </c>
    </row>
    <row r="7913" spans="1:4" ht="16.5" hidden="1" x14ac:dyDescent="0.3">
      <c r="A7913" s="10" t="str">
        <f>基本属性!$B$30&amp;"|"&amp;基本属性!$C$30</f>
        <v>250|20</v>
      </c>
      <c r="B7913" s="10" t="str">
        <f>参数调整!$J$38</f>
        <v>新增怪物种类3掉落</v>
      </c>
      <c r="C7913" s="8" t="str">
        <f>材料产出!$AB$2</f>
        <v>龙晶碎片</v>
      </c>
      <c r="D7913" s="224">
        <f>参数调整!$K$38*怪物掉落配置方案!$D4835</f>
        <v>3.478188174494603</v>
      </c>
    </row>
    <row r="7914" spans="1:4" ht="16.5" hidden="1" x14ac:dyDescent="0.3">
      <c r="A7914" s="10" t="str">
        <f>基本属性!$B$4&amp;"|"&amp;基本属性!$C$4</f>
        <v>35|0</v>
      </c>
      <c r="B7914" s="10" t="str">
        <f>参数调整!$J$38</f>
        <v>新增怪物种类3掉落</v>
      </c>
      <c r="C7914" s="8" t="str">
        <f>材料产出!$AX$2</f>
        <v>烈焰玄铁</v>
      </c>
      <c r="D7914" s="224">
        <f>参数调整!$K$38*怪物掉落配置方案!$D4836</f>
        <v>2.6785100787686848E-4</v>
      </c>
    </row>
    <row r="7915" spans="1:4" ht="16.5" hidden="1" x14ac:dyDescent="0.3">
      <c r="A7915" s="10" t="str">
        <f>基本属性!$B$5&amp;"|"&amp;基本属性!$C$5</f>
        <v>40|0</v>
      </c>
      <c r="B7915" s="10" t="str">
        <f>参数调整!$J$38</f>
        <v>新增怪物种类3掉落</v>
      </c>
      <c r="C7915" s="8" t="str">
        <f>材料产出!$AX$2</f>
        <v>烈焰玄铁</v>
      </c>
      <c r="D7915" s="224">
        <f>参数调整!$K$38*怪物掉落配置方案!$D4837</f>
        <v>3.3899893184416164E-4</v>
      </c>
    </row>
    <row r="7916" spans="1:4" ht="16.5" hidden="1" x14ac:dyDescent="0.3">
      <c r="A7916" s="10" t="str">
        <f>基本属性!$B$6&amp;"|"&amp;基本属性!$C$6</f>
        <v>50|0</v>
      </c>
      <c r="B7916" s="10" t="str">
        <f>参数调整!$J$38</f>
        <v>新增怪物种类3掉落</v>
      </c>
      <c r="C7916" s="8" t="str">
        <f>材料产出!$AX$2</f>
        <v>烈焰玄铁</v>
      </c>
      <c r="D7916" s="224">
        <f>参数调整!$K$38*怪物掉落配置方案!$D4838</f>
        <v>4.1851719980760696E-4</v>
      </c>
    </row>
    <row r="7917" spans="1:4" ht="16.5" hidden="1" x14ac:dyDescent="0.3">
      <c r="A7917" s="10" t="str">
        <f>基本属性!$B$7&amp;"|"&amp;基本属性!$C$7</f>
        <v>60|0</v>
      </c>
      <c r="B7917" s="10" t="str">
        <f>参数调整!$J$38</f>
        <v>新增怪物种类3掉落</v>
      </c>
      <c r="C7917" s="8" t="str">
        <f>材料产出!$AX$2</f>
        <v>烈焰玄铁</v>
      </c>
      <c r="D7917" s="224">
        <f>参数调整!$K$38*怪物掉落配置方案!$D4839</f>
        <v>5.0640581176720459E-4</v>
      </c>
    </row>
    <row r="7918" spans="1:4" ht="16.5" hidden="1" x14ac:dyDescent="0.3">
      <c r="A7918" s="10" t="str">
        <f>基本属性!$B$8&amp;"|"&amp;基本属性!$C$8</f>
        <v>65|0</v>
      </c>
      <c r="B7918" s="10" t="str">
        <f>参数调整!$J$38</f>
        <v>新增怪物种类3掉落</v>
      </c>
      <c r="C7918" s="8" t="str">
        <f>材料产出!$AX$2</f>
        <v>烈焰玄铁</v>
      </c>
      <c r="D7918" s="224">
        <f>参数调整!$K$38*怪物掉落配置方案!$D4840</f>
        <v>6.0266476772295405E-4</v>
      </c>
    </row>
    <row r="7919" spans="1:4" ht="16.5" hidden="1" x14ac:dyDescent="0.3">
      <c r="A7919" s="10" t="str">
        <f>基本属性!$B$9&amp;"|"&amp;基本属性!$C$9</f>
        <v>70|0</v>
      </c>
      <c r="B7919" s="10" t="str">
        <f>参数调整!$J$38</f>
        <v>新增怪物种类3掉落</v>
      </c>
      <c r="C7919" s="8" t="str">
        <f>材料产出!$AX$2</f>
        <v>烈焰玄铁</v>
      </c>
      <c r="D7919" s="224">
        <f>参数调整!$K$38*怪物掉落配置方案!$D4841</f>
        <v>7.0729406767485598E-4</v>
      </c>
    </row>
    <row r="7920" spans="1:4" ht="16.5" hidden="1" x14ac:dyDescent="0.3">
      <c r="A7920" s="10" t="str">
        <f>基本属性!$B$10&amp;"|"&amp;基本属性!$C$10</f>
        <v>75|0</v>
      </c>
      <c r="B7920" s="10" t="str">
        <f>参数调整!$J$38</f>
        <v>新增怪物种类3掉落</v>
      </c>
      <c r="C7920" s="8" t="str">
        <f>材料产出!$AX$2</f>
        <v>烈焰玄铁</v>
      </c>
      <c r="D7920" s="224">
        <f>参数调整!$K$38*怪物掉落配置方案!$D4842</f>
        <v>8.2029371162290962E-4</v>
      </c>
    </row>
    <row r="7921" spans="1:4" ht="16.5" hidden="1" x14ac:dyDescent="0.3">
      <c r="A7921" s="10" t="str">
        <f>基本属性!$B$11&amp;"|"&amp;基本属性!$C$11</f>
        <v>80|1</v>
      </c>
      <c r="B7921" s="10" t="str">
        <f>参数调整!$J$38</f>
        <v>新增怪物种类3掉落</v>
      </c>
      <c r="C7921" s="8" t="str">
        <f>材料产出!$AX$2</f>
        <v>烈焰玄铁</v>
      </c>
      <c r="D7921" s="224">
        <f>参数调整!$K$38*怪物掉落配置方案!$D4843</f>
        <v>9.4166369956711574E-4</v>
      </c>
    </row>
    <row r="7922" spans="1:4" ht="16.5" hidden="1" x14ac:dyDescent="0.3">
      <c r="A7922" s="10" t="str">
        <f>基本属性!$B$12&amp;"|"&amp;基本属性!$C$12</f>
        <v>90|2</v>
      </c>
      <c r="B7922" s="10" t="str">
        <f>参数调整!$J$38</f>
        <v>新增怪物种类3掉落</v>
      </c>
      <c r="C7922" s="8" t="str">
        <f>材料产出!$AX$2</f>
        <v>烈焰玄铁</v>
      </c>
      <c r="D7922" s="224">
        <f>参数调整!$K$38*怪物掉落配置方案!$D4844</f>
        <v>1.0714040315074741E-3</v>
      </c>
    </row>
    <row r="7923" spans="1:4" ht="16.5" hidden="1" x14ac:dyDescent="0.3">
      <c r="A7923" s="10" t="str">
        <f>基本属性!$B$13&amp;"|"&amp;基本属性!$C$13</f>
        <v>100|3</v>
      </c>
      <c r="B7923" s="10" t="str">
        <f>参数调整!$J$38</f>
        <v>新增怪物种类3掉落</v>
      </c>
      <c r="C7923" s="8" t="str">
        <f>材料产出!$AX$2</f>
        <v>烈焰玄铁</v>
      </c>
      <c r="D7923" s="224">
        <f>参数调整!$K$38*怪物掉落配置方案!$D4845</f>
        <v>1.3559957273766468E-3</v>
      </c>
    </row>
    <row r="7924" spans="1:4" ht="16.5" hidden="1" x14ac:dyDescent="0.3">
      <c r="A7924" s="10" t="str">
        <f>基本属性!$B$14&amp;"|"&amp;基本属性!$C$14</f>
        <v>105|4</v>
      </c>
      <c r="B7924" s="10" t="str">
        <f>参数调整!$J$38</f>
        <v>新增怪物种类3掉落</v>
      </c>
      <c r="C7924" s="8" t="str">
        <f>材料产出!$AX$2</f>
        <v>烈焰玄铁</v>
      </c>
      <c r="D7924" s="224">
        <f>参数调整!$K$38*怪物掉落配置方案!$D4846</f>
        <v>1.6740687992304283E-3</v>
      </c>
    </row>
    <row r="7925" spans="1:4" ht="16.5" hidden="1" x14ac:dyDescent="0.3">
      <c r="A7925" s="10" t="str">
        <f>基本属性!$B$15&amp;"|"&amp;基本属性!$C$15</f>
        <v>110|5</v>
      </c>
      <c r="B7925" s="10" t="str">
        <f>参数调整!$J$38</f>
        <v>新增怪物种类3掉落</v>
      </c>
      <c r="C7925" s="8" t="str">
        <f>材料产出!$AX$2</f>
        <v>烈焰玄铁</v>
      </c>
      <c r="D7925" s="224">
        <f>参数调整!$K$38*怪物掉落配置方案!$D4847</f>
        <v>2.0256232470688184E-3</v>
      </c>
    </row>
    <row r="7926" spans="1:4" ht="16.5" hidden="1" x14ac:dyDescent="0.3">
      <c r="A7926" s="10" t="str">
        <f>基本属性!$B$16&amp;"|"&amp;基本属性!$C$16</f>
        <v>120|6</v>
      </c>
      <c r="B7926" s="10" t="str">
        <f>参数调整!$J$38</f>
        <v>新增怪物种类3掉落</v>
      </c>
      <c r="C7926" s="8" t="str">
        <f>材料产出!$AX$2</f>
        <v>烈焰玄铁</v>
      </c>
      <c r="D7926" s="224">
        <f>参数调整!$K$38*怪物掉落配置方案!$D4848</f>
        <v>2.6157324987975436E-3</v>
      </c>
    </row>
    <row r="7927" spans="1:4" ht="16.5" hidden="1" x14ac:dyDescent="0.3">
      <c r="A7927" s="10" t="str">
        <f>基本属性!$B$17&amp;"|"&amp;基本属性!$C$17</f>
        <v>135|7</v>
      </c>
      <c r="B7927" s="10" t="str">
        <f>参数调整!$J$38</f>
        <v>新增怪物种类3掉落</v>
      </c>
      <c r="C7927" s="8" t="str">
        <f>材料产出!$AX$2</f>
        <v>烈焰玄铁</v>
      </c>
      <c r="D7927" s="224">
        <f>参数调整!$K$38*怪物掉落配置方案!$D4849</f>
        <v>3.766654798268463E-3</v>
      </c>
    </row>
    <row r="7928" spans="1:4" ht="16.5" hidden="1" x14ac:dyDescent="0.3">
      <c r="A7928" s="10" t="str">
        <f>基本属性!$B$18&amp;"|"&amp;基本属性!$C$18</f>
        <v>155|8</v>
      </c>
      <c r="B7928" s="10" t="str">
        <f>参数调整!$J$38</f>
        <v>新增怪物种类3掉落</v>
      </c>
      <c r="C7928" s="8" t="str">
        <f>材料产出!$AX$2</f>
        <v>烈焰玄铁</v>
      </c>
      <c r="D7928" s="224">
        <f>参数调整!$K$38*怪物掉落配置方案!$D4850</f>
        <v>5.126835697643186E-3</v>
      </c>
    </row>
    <row r="7929" spans="1:4" ht="16.5" hidden="1" x14ac:dyDescent="0.3">
      <c r="A7929" s="10" t="str">
        <f>基本属性!$B$19&amp;"|"&amp;基本属性!$C$19</f>
        <v>190|9</v>
      </c>
      <c r="B7929" s="10" t="str">
        <f>参数调整!$J$38</f>
        <v>新增怪物种类3掉落</v>
      </c>
      <c r="C7929" s="8" t="str">
        <f>材料产出!$AX$2</f>
        <v>烈焰玄铁</v>
      </c>
      <c r="D7929" s="224">
        <f>参数调整!$K$38*怪物掉落配置方案!$D4851</f>
        <v>5.7295004653661408E-3</v>
      </c>
    </row>
    <row r="7930" spans="1:4" ht="16.5" hidden="1" x14ac:dyDescent="0.3">
      <c r="A7930" s="10" t="str">
        <f>基本属性!$B$20&amp;"|"&amp;基本属性!$C$20</f>
        <v>200|10</v>
      </c>
      <c r="B7930" s="10" t="str">
        <f>参数调整!$J$38</f>
        <v>新增怪物种类3掉落</v>
      </c>
      <c r="C7930" s="8" t="str">
        <f>材料产出!$AX$2</f>
        <v>烈焰玄铁</v>
      </c>
      <c r="D7930" s="224">
        <f>参数调整!$K$38*怪物掉落配置方案!$D4852</f>
        <v>6.6962751969217131E-3</v>
      </c>
    </row>
    <row r="7931" spans="1:4" ht="16.5" hidden="1" x14ac:dyDescent="0.3">
      <c r="A7931" s="10" t="str">
        <f>基本属性!$B$21&amp;"|"&amp;基本属性!$C$21</f>
        <v>200|11</v>
      </c>
      <c r="B7931" s="10" t="str">
        <f>参数调整!$J$38</f>
        <v>新增怪物种类3掉落</v>
      </c>
      <c r="C7931" s="8" t="str">
        <f>材料产出!$AX$2</f>
        <v>烈焰玄铁</v>
      </c>
      <c r="D7931" s="224">
        <f>参数调整!$K$38*怪物掉落配置方案!$D4853</f>
        <v>7.7383830244426525E-3</v>
      </c>
    </row>
    <row r="7932" spans="1:4" ht="16.5" hidden="1" x14ac:dyDescent="0.3">
      <c r="A7932" s="10" t="str">
        <f>基本属性!$B$22&amp;"|"&amp;基本属性!$C$22</f>
        <v>210|12</v>
      </c>
      <c r="B7932" s="10" t="str">
        <f>参数调整!$J$38</f>
        <v>新增怪物种类3掉落</v>
      </c>
      <c r="C7932" s="8" t="str">
        <f>材料产出!$AX$2</f>
        <v>烈焰玄铁</v>
      </c>
      <c r="D7932" s="224">
        <f>参数调整!$K$38*怪物掉落配置方案!$D4854</f>
        <v>8.8558239479289615E-3</v>
      </c>
    </row>
    <row r="7933" spans="1:4" ht="16.5" hidden="1" x14ac:dyDescent="0.3">
      <c r="A7933" s="10" t="str">
        <f>基本属性!$B$23&amp;"|"&amp;基本属性!$C$23</f>
        <v>210|13</v>
      </c>
      <c r="B7933" s="10" t="str">
        <f>参数调整!$J$38</f>
        <v>新增怪物种类3掉落</v>
      </c>
      <c r="C7933" s="8" t="str">
        <f>材料产出!$AX$2</f>
        <v>烈焰玄铁</v>
      </c>
      <c r="D7933" s="224">
        <f>参数调整!$K$38*怪物掉落配置方案!$D4855</f>
        <v>1.0048597967380645E-2</v>
      </c>
    </row>
    <row r="7934" spans="1:4" ht="16.5" hidden="1" x14ac:dyDescent="0.3">
      <c r="A7934" s="10" t="str">
        <f>基本属性!$B$24&amp;"|"&amp;基本属性!$C$24</f>
        <v>220|14</v>
      </c>
      <c r="B7934" s="10" t="str">
        <f>参数调整!$J$38</f>
        <v>新增怪物种类3掉落</v>
      </c>
      <c r="C7934" s="8" t="str">
        <f>材料产出!$AX$2</f>
        <v>烈焰玄铁</v>
      </c>
      <c r="D7934" s="224">
        <f>参数调整!$K$38*怪物掉落配置方案!$D4856</f>
        <v>1.1316705082797694E-2</v>
      </c>
    </row>
    <row r="7935" spans="1:4" ht="16.5" hidden="1" x14ac:dyDescent="0.3">
      <c r="A7935" s="10" t="str">
        <f>基本属性!$B$25&amp;"|"&amp;基本属性!$C$25</f>
        <v>220|15</v>
      </c>
      <c r="B7935" s="10" t="str">
        <f>参数调整!$J$38</f>
        <v>新增怪物种类3掉落</v>
      </c>
      <c r="C7935" s="8" t="str">
        <f>材料产出!$AX$2</f>
        <v>烈焰玄铁</v>
      </c>
      <c r="D7935" s="224">
        <f>参数调整!$K$38*怪物掉落配置方案!$D4857</f>
        <v>1.2660145294180112E-2</v>
      </c>
    </row>
    <row r="7936" spans="1:4" ht="16.5" hidden="1" x14ac:dyDescent="0.3">
      <c r="A7936" s="10" t="str">
        <f>基本属性!$B$26&amp;"|"&amp;基本属性!$C$26</f>
        <v>230|16</v>
      </c>
      <c r="B7936" s="10" t="str">
        <f>参数调整!$J$38</f>
        <v>新增怪物种类3掉落</v>
      </c>
      <c r="C7936" s="8" t="str">
        <f>材料产出!$AX$2</f>
        <v>烈焰玄铁</v>
      </c>
      <c r="D7936" s="224">
        <f>参数调整!$K$38*怪物掉落配置方案!$D4858</f>
        <v>1.4078918601527896E-2</v>
      </c>
    </row>
    <row r="7937" spans="1:4" ht="16.5" hidden="1" x14ac:dyDescent="0.3">
      <c r="A7937" s="10" t="str">
        <f>基本属性!$B$27&amp;"|"&amp;基本属性!$C$27</f>
        <v>230|17</v>
      </c>
      <c r="B7937" s="10" t="str">
        <f>参数调整!$J$38</f>
        <v>新增怪物种类3掉落</v>
      </c>
      <c r="C7937" s="8" t="str">
        <f>材料产出!$AX$2</f>
        <v>烈焰玄铁</v>
      </c>
      <c r="D7937" s="224">
        <f>参数调整!$K$38*怪物掉落配置方案!$D4859</f>
        <v>1.5573025004841052E-2</v>
      </c>
    </row>
    <row r="7938" spans="1:4" ht="16.5" hidden="1" x14ac:dyDescent="0.3">
      <c r="A7938" s="10" t="str">
        <f>基本属性!$B$28&amp;"|"&amp;基本属性!$C$28</f>
        <v>240|18</v>
      </c>
      <c r="B7938" s="10" t="str">
        <f>参数调整!$J$38</f>
        <v>新增怪物种类3掉落</v>
      </c>
      <c r="C7938" s="8" t="str">
        <f>材料产出!$AX$2</f>
        <v>烈焰玄铁</v>
      </c>
      <c r="D7938" s="224">
        <f>参数调整!$K$38*怪物掉落配置方案!$D4860</f>
        <v>1.7142464504119586E-2</v>
      </c>
    </row>
    <row r="7939" spans="1:4" ht="16.5" hidden="1" x14ac:dyDescent="0.3">
      <c r="A7939" s="10" t="str">
        <f>基本属性!$B$29&amp;"|"&amp;基本属性!$C$29</f>
        <v>240|19</v>
      </c>
      <c r="B7939" s="10" t="str">
        <f>参数调整!$J$38</f>
        <v>新增怪物种类3掉落</v>
      </c>
      <c r="C7939" s="8" t="str">
        <f>材料产出!$AX$2</f>
        <v>烈焰玄铁</v>
      </c>
      <c r="D7939" s="224">
        <f>参数调整!$K$38*怪物掉落配置方案!$D4861</f>
        <v>1.8787237099363478E-2</v>
      </c>
    </row>
    <row r="7940" spans="1:4" ht="16.5" hidden="1" x14ac:dyDescent="0.3">
      <c r="A7940" s="10" t="str">
        <f>基本属性!$B$30&amp;"|"&amp;基本属性!$C$30</f>
        <v>250|20</v>
      </c>
      <c r="B7940" s="10" t="str">
        <f>参数调整!$J$38</f>
        <v>新增怪物种类3掉落</v>
      </c>
      <c r="C7940" s="8" t="str">
        <f>材料产出!$AX$2</f>
        <v>烈焰玄铁</v>
      </c>
      <c r="D7940" s="224">
        <f>参数调整!$K$38*怪物掉落配置方案!$D4862</f>
        <v>2.0507342790572741E-2</v>
      </c>
    </row>
    <row r="7941" spans="1:4" ht="16.5" hidden="1" x14ac:dyDescent="0.3">
      <c r="A7941" s="10" t="str">
        <f>基本属性!$B$4&amp;"|"&amp;基本属性!$C$4</f>
        <v>35|0</v>
      </c>
      <c r="B7941" s="10" t="str">
        <f>参数调整!$J$38</f>
        <v>新增怪物种类3掉落</v>
      </c>
      <c r="C7941" s="8" t="str">
        <f>材料产出!$H$2</f>
        <v>经验</v>
      </c>
      <c r="D7941" s="224">
        <f>参数调整!$K$38*怪物掉落配置方案!$D4863</f>
        <v>2499</v>
      </c>
    </row>
    <row r="7942" spans="1:4" ht="16.5" hidden="1" x14ac:dyDescent="0.3">
      <c r="A7942" s="10" t="str">
        <f>基本属性!$B$5&amp;"|"&amp;基本属性!$C$5</f>
        <v>40|0</v>
      </c>
      <c r="B7942" s="10" t="str">
        <f>参数调整!$J$38</f>
        <v>新增怪物种类3掉落</v>
      </c>
      <c r="C7942" s="8" t="str">
        <f>材料产出!$H$2</f>
        <v>经验</v>
      </c>
      <c r="D7942" s="224">
        <f>参数调整!$K$38*怪物掉落配置方案!$D4864</f>
        <v>4791</v>
      </c>
    </row>
    <row r="7943" spans="1:4" ht="16.5" hidden="1" x14ac:dyDescent="0.3">
      <c r="A7943" s="10" t="str">
        <f>基本属性!$B$6&amp;"|"&amp;基本属性!$C$6</f>
        <v>50|0</v>
      </c>
      <c r="B7943" s="10" t="str">
        <f>参数调整!$J$38</f>
        <v>新增怪物种类3掉落</v>
      </c>
      <c r="C7943" s="8" t="str">
        <f>材料产出!$H$2</f>
        <v>经验</v>
      </c>
      <c r="D7943" s="224">
        <f>参数调整!$K$38*怪物掉落配置方案!$D4865</f>
        <v>12999</v>
      </c>
    </row>
    <row r="7944" spans="1:4" ht="16.5" hidden="1" x14ac:dyDescent="0.3">
      <c r="A7944" s="10" t="str">
        <f>基本属性!$B$7&amp;"|"&amp;基本属性!$C$7</f>
        <v>60|0</v>
      </c>
      <c r="B7944" s="10" t="str">
        <f>参数调整!$J$38</f>
        <v>新增怪物种类3掉落</v>
      </c>
      <c r="C7944" s="8" t="str">
        <f>材料产出!$H$2</f>
        <v>经验</v>
      </c>
      <c r="D7944" s="224">
        <f>参数调整!$K$38*怪物掉落配置方案!$D4866</f>
        <v>16251</v>
      </c>
    </row>
    <row r="7945" spans="1:4" ht="16.5" hidden="1" x14ac:dyDescent="0.3">
      <c r="A7945" s="10" t="str">
        <f>基本属性!$B$8&amp;"|"&amp;基本属性!$C$8</f>
        <v>65|0</v>
      </c>
      <c r="B7945" s="10" t="str">
        <f>参数调整!$J$38</f>
        <v>新增怪物种类3掉落</v>
      </c>
      <c r="C7945" s="8" t="str">
        <f>材料产出!$H$2</f>
        <v>经验</v>
      </c>
      <c r="D7945" s="224">
        <f>参数调整!$K$38*怪物掉落配置方案!$D4867</f>
        <v>16332</v>
      </c>
    </row>
    <row r="7946" spans="1:4" ht="16.5" hidden="1" x14ac:dyDescent="0.3">
      <c r="A7946" s="10" t="str">
        <f>基本属性!$B$9&amp;"|"&amp;基本属性!$C$9</f>
        <v>70|0</v>
      </c>
      <c r="B7946" s="10" t="str">
        <f>参数调整!$J$38</f>
        <v>新增怪物种类3掉落</v>
      </c>
      <c r="C7946" s="8" t="str">
        <f>材料产出!$H$2</f>
        <v>经验</v>
      </c>
      <c r="D7946" s="224">
        <f>参数调整!$K$38*怪物掉落配置方案!$D4868</f>
        <v>16722</v>
      </c>
    </row>
    <row r="7947" spans="1:4" ht="16.5" hidden="1" x14ac:dyDescent="0.3">
      <c r="A7947" s="10" t="str">
        <f>基本属性!$B$10&amp;"|"&amp;基本属性!$C$10</f>
        <v>75|0</v>
      </c>
      <c r="B7947" s="10" t="str">
        <f>参数调整!$J$38</f>
        <v>新增怪物种类3掉落</v>
      </c>
      <c r="C7947" s="8" t="str">
        <f>材料产出!$H$2</f>
        <v>经验</v>
      </c>
      <c r="D7947" s="224">
        <f>参数调整!$K$38*怪物掉落配置方案!$D4869</f>
        <v>18873</v>
      </c>
    </row>
    <row r="7948" spans="1:4" ht="16.5" hidden="1" x14ac:dyDescent="0.3">
      <c r="A7948" s="10" t="str">
        <f>基本属性!$B$11&amp;"|"&amp;基本属性!$C$11</f>
        <v>80|1</v>
      </c>
      <c r="B7948" s="10" t="str">
        <f>参数调整!$J$38</f>
        <v>新增怪物种类3掉落</v>
      </c>
      <c r="C7948" s="8" t="str">
        <f>材料产出!$H$2</f>
        <v>经验</v>
      </c>
      <c r="D7948" s="224">
        <f>参数调整!$K$38*怪物掉落配置方案!$D4870</f>
        <v>30243</v>
      </c>
    </row>
    <row r="7949" spans="1:4" ht="16.5" hidden="1" x14ac:dyDescent="0.3">
      <c r="A7949" s="10" t="str">
        <f>基本属性!$B$12&amp;"|"&amp;基本属性!$C$12</f>
        <v>90|2</v>
      </c>
      <c r="B7949" s="10" t="str">
        <f>参数调整!$J$38</f>
        <v>新增怪物种类3掉落</v>
      </c>
      <c r="C7949" s="8" t="str">
        <f>材料产出!$H$2</f>
        <v>经验</v>
      </c>
      <c r="D7949" s="224">
        <f>参数调整!$K$38*怪物掉落配置方案!$D4871</f>
        <v>52005</v>
      </c>
    </row>
    <row r="7950" spans="1:4" ht="16.5" hidden="1" x14ac:dyDescent="0.3">
      <c r="A7950" s="10" t="str">
        <f>基本属性!$B$13&amp;"|"&amp;基本属性!$C$13</f>
        <v>100|3</v>
      </c>
      <c r="B7950" s="10" t="str">
        <f>参数调整!$J$38</f>
        <v>新增怪物种类3掉落</v>
      </c>
      <c r="C7950" s="8" t="str">
        <f>材料产出!$H$2</f>
        <v>经验</v>
      </c>
      <c r="D7950" s="224">
        <f>参数调整!$K$38*怪物掉落配置方案!$D4872</f>
        <v>61191</v>
      </c>
    </row>
    <row r="7951" spans="1:4" ht="16.5" hidden="1" x14ac:dyDescent="0.3">
      <c r="A7951" s="10" t="str">
        <f>基本属性!$B$14&amp;"|"&amp;基本属性!$C$14</f>
        <v>105|4</v>
      </c>
      <c r="B7951" s="10" t="str">
        <f>参数调整!$J$38</f>
        <v>新增怪物种类3掉落</v>
      </c>
      <c r="C7951" s="8" t="str">
        <f>材料产出!$H$2</f>
        <v>经验</v>
      </c>
      <c r="D7951" s="224">
        <f>参数调整!$K$38*怪物掉落配置方案!$D4873</f>
        <v>94500</v>
      </c>
    </row>
    <row r="7952" spans="1:4" ht="16.5" hidden="1" x14ac:dyDescent="0.3">
      <c r="A7952" s="10" t="str">
        <f>基本属性!$B$15&amp;"|"&amp;基本属性!$C$15</f>
        <v>110|5</v>
      </c>
      <c r="B7952" s="10" t="str">
        <f>参数调整!$J$38</f>
        <v>新增怪物种类3掉落</v>
      </c>
      <c r="C7952" s="8" t="str">
        <f>材料产出!$H$2</f>
        <v>经验</v>
      </c>
      <c r="D7952" s="224">
        <f>参数调整!$K$38*怪物掉落配置方案!$D4874</f>
        <v>97668</v>
      </c>
    </row>
    <row r="7953" spans="1:4" ht="16.5" hidden="1" x14ac:dyDescent="0.3">
      <c r="A7953" s="10" t="str">
        <f>基本属性!$B$16&amp;"|"&amp;基本属性!$C$16</f>
        <v>120|6</v>
      </c>
      <c r="B7953" s="10" t="str">
        <f>参数调整!$J$38</f>
        <v>新增怪物种类3掉落</v>
      </c>
      <c r="C7953" s="8" t="str">
        <f>材料产出!$H$2</f>
        <v>经验</v>
      </c>
      <c r="D7953" s="224">
        <f>参数调整!$K$38*怪物掉落配置方案!$D4875</f>
        <v>389442</v>
      </c>
    </row>
    <row r="7954" spans="1:4" ht="16.5" hidden="1" x14ac:dyDescent="0.3">
      <c r="A7954" s="10" t="str">
        <f>基本属性!$B$17&amp;"|"&amp;基本属性!$C$17</f>
        <v>135|7</v>
      </c>
      <c r="B7954" s="10" t="str">
        <f>参数调整!$J$38</f>
        <v>新增怪物种类3掉落</v>
      </c>
      <c r="C7954" s="8" t="str">
        <f>材料产出!$H$2</f>
        <v>经验</v>
      </c>
      <c r="D7954" s="224">
        <f>参数调整!$K$38*怪物掉落配置方案!$D4876</f>
        <v>1333251</v>
      </c>
    </row>
    <row r="7955" spans="1:4" ht="16.5" hidden="1" x14ac:dyDescent="0.3">
      <c r="A7955" s="10" t="str">
        <f>基本属性!$B$18&amp;"|"&amp;基本属性!$C$18</f>
        <v>155|8</v>
      </c>
      <c r="B7955" s="10" t="str">
        <f>参数调整!$J$38</f>
        <v>新增怪物种类3掉落</v>
      </c>
      <c r="C7955" s="8" t="str">
        <f>材料产出!$H$2</f>
        <v>经验</v>
      </c>
      <c r="D7955" s="224">
        <f>参数调整!$K$38*怪物掉落配置方案!$D4877</f>
        <v>16105167</v>
      </c>
    </row>
    <row r="7956" spans="1:4" ht="16.5" hidden="1" x14ac:dyDescent="0.3">
      <c r="A7956" s="10" t="str">
        <f>基本属性!$B$19&amp;"|"&amp;基本属性!$C$19</f>
        <v>190|9</v>
      </c>
      <c r="B7956" s="10" t="str">
        <f>参数调整!$J$38</f>
        <v>新增怪物种类3掉落</v>
      </c>
      <c r="C7956" s="8" t="str">
        <f>材料产出!$H$2</f>
        <v>经验</v>
      </c>
      <c r="D7956" s="224">
        <f>参数调整!$K$38*怪物掉落配置方案!$D4878</f>
        <v>14644401</v>
      </c>
    </row>
    <row r="7957" spans="1:4" ht="16.5" hidden="1" x14ac:dyDescent="0.3">
      <c r="A7957" s="10" t="str">
        <f>基本属性!$B$20&amp;"|"&amp;基本属性!$C$20</f>
        <v>200|10</v>
      </c>
      <c r="B7957" s="10" t="str">
        <f>参数调整!$J$38</f>
        <v>新增怪物种类3掉落</v>
      </c>
      <c r="C7957" s="8" t="str">
        <f>材料产出!$H$2</f>
        <v>经验</v>
      </c>
      <c r="D7957" s="224">
        <f>参数调整!$K$38*怪物掉落配置方案!$D4879</f>
        <v>17499999</v>
      </c>
    </row>
    <row r="7958" spans="1:4" ht="16.5" hidden="1" x14ac:dyDescent="0.3">
      <c r="A7958" s="10" t="str">
        <f>基本属性!$B$21&amp;"|"&amp;基本属性!$C$21</f>
        <v>200|11</v>
      </c>
      <c r="B7958" s="10" t="str">
        <f>参数调整!$J$38</f>
        <v>新增怪物种类3掉落</v>
      </c>
      <c r="C7958" s="8" t="str">
        <f>材料产出!$H$2</f>
        <v>经验</v>
      </c>
      <c r="D7958" s="224">
        <f>参数调整!$K$38*怪物掉落配置方案!$D4880</f>
        <v>3500001</v>
      </c>
    </row>
    <row r="7959" spans="1:4" ht="16.5" hidden="1" x14ac:dyDescent="0.3">
      <c r="A7959" s="10" t="str">
        <f>基本属性!$B$22&amp;"|"&amp;基本属性!$C$22</f>
        <v>210|12</v>
      </c>
      <c r="B7959" s="10" t="str">
        <f>参数调整!$J$38</f>
        <v>新增怪物种类3掉落</v>
      </c>
      <c r="C7959" s="8" t="str">
        <f>材料产出!$H$2</f>
        <v>经验</v>
      </c>
      <c r="D7959" s="224">
        <f>参数调整!$K$38*怪物掉落配置方案!$D4881</f>
        <v>3500001</v>
      </c>
    </row>
    <row r="7960" spans="1:4" ht="16.5" hidden="1" x14ac:dyDescent="0.3">
      <c r="A7960" s="10" t="str">
        <f>基本属性!$B$23&amp;"|"&amp;基本属性!$C$23</f>
        <v>210|13</v>
      </c>
      <c r="B7960" s="10" t="str">
        <f>参数调整!$J$38</f>
        <v>新增怪物种类3掉落</v>
      </c>
      <c r="C7960" s="8" t="str">
        <f>材料产出!$H$2</f>
        <v>经验</v>
      </c>
      <c r="D7960" s="224">
        <f>参数调整!$K$38*怪物掉落配置方案!$D4882</f>
        <v>3500001</v>
      </c>
    </row>
    <row r="7961" spans="1:4" ht="16.5" hidden="1" x14ac:dyDescent="0.3">
      <c r="A7961" s="10" t="str">
        <f>基本属性!$B$24&amp;"|"&amp;基本属性!$C$24</f>
        <v>220|14</v>
      </c>
      <c r="B7961" s="10" t="str">
        <f>参数调整!$J$38</f>
        <v>新增怪物种类3掉落</v>
      </c>
      <c r="C7961" s="8" t="str">
        <f>材料产出!$H$2</f>
        <v>经验</v>
      </c>
      <c r="D7961" s="224">
        <f>参数调整!$K$38*怪物掉落配置方案!$D4883</f>
        <v>3500001</v>
      </c>
    </row>
    <row r="7962" spans="1:4" ht="16.5" hidden="1" x14ac:dyDescent="0.3">
      <c r="A7962" s="10" t="str">
        <f>基本属性!$B$25&amp;"|"&amp;基本属性!$C$25</f>
        <v>220|15</v>
      </c>
      <c r="B7962" s="10" t="str">
        <f>参数调整!$J$38</f>
        <v>新增怪物种类3掉落</v>
      </c>
      <c r="C7962" s="8" t="str">
        <f>材料产出!$H$2</f>
        <v>经验</v>
      </c>
      <c r="D7962" s="224">
        <f>参数调整!$K$38*怪物掉落配置方案!$D4884</f>
        <v>3500001</v>
      </c>
    </row>
    <row r="7963" spans="1:4" ht="16.5" hidden="1" x14ac:dyDescent="0.3">
      <c r="A7963" s="10" t="str">
        <f>基本属性!$B$26&amp;"|"&amp;基本属性!$C$26</f>
        <v>230|16</v>
      </c>
      <c r="B7963" s="10" t="str">
        <f>参数调整!$J$38</f>
        <v>新增怪物种类3掉落</v>
      </c>
      <c r="C7963" s="8" t="str">
        <f>材料产出!$H$2</f>
        <v>经验</v>
      </c>
      <c r="D7963" s="224">
        <f>参数调整!$K$38*怪物掉落配置方案!$D4885</f>
        <v>1749999</v>
      </c>
    </row>
    <row r="7964" spans="1:4" ht="16.5" hidden="1" x14ac:dyDescent="0.3">
      <c r="A7964" s="10" t="str">
        <f>基本属性!$B$27&amp;"|"&amp;基本属性!$C$27</f>
        <v>230|17</v>
      </c>
      <c r="B7964" s="10" t="str">
        <f>参数调整!$J$38</f>
        <v>新增怪物种类3掉落</v>
      </c>
      <c r="C7964" s="8" t="str">
        <f>材料产出!$H$2</f>
        <v>经验</v>
      </c>
      <c r="D7964" s="224">
        <f>参数调整!$K$38*怪物掉落配置方案!$D4886</f>
        <v>1749999</v>
      </c>
    </row>
    <row r="7965" spans="1:4" ht="16.5" hidden="1" x14ac:dyDescent="0.3">
      <c r="A7965" s="10" t="str">
        <f>基本属性!$B$28&amp;"|"&amp;基本属性!$C$28</f>
        <v>240|18</v>
      </c>
      <c r="B7965" s="10" t="str">
        <f>参数调整!$J$38</f>
        <v>新增怪物种类3掉落</v>
      </c>
      <c r="C7965" s="8" t="str">
        <f>材料产出!$H$2</f>
        <v>经验</v>
      </c>
      <c r="D7965" s="224">
        <f>参数调整!$K$38*怪物掉落配置方案!$D4887</f>
        <v>1749999</v>
      </c>
    </row>
    <row r="7966" spans="1:4" ht="16.5" hidden="1" x14ac:dyDescent="0.3">
      <c r="A7966" s="10" t="str">
        <f>基本属性!$B$29&amp;"|"&amp;基本属性!$C$29</f>
        <v>240|19</v>
      </c>
      <c r="B7966" s="10" t="str">
        <f>参数调整!$J$38</f>
        <v>新增怪物种类3掉落</v>
      </c>
      <c r="C7966" s="8" t="str">
        <f>材料产出!$H$2</f>
        <v>经验</v>
      </c>
      <c r="D7966" s="224">
        <f>参数调整!$K$38*怪物掉落配置方案!$D4888</f>
        <v>1749999</v>
      </c>
    </row>
    <row r="7967" spans="1:4" ht="16.5" hidden="1" x14ac:dyDescent="0.3">
      <c r="A7967" s="10" t="str">
        <f>基本属性!$B$30&amp;"|"&amp;基本属性!$C$30</f>
        <v>250|20</v>
      </c>
      <c r="B7967" s="10" t="str">
        <f>参数调整!$J$38</f>
        <v>新增怪物种类3掉落</v>
      </c>
      <c r="C7967" s="8" t="str">
        <f>材料产出!$H$2</f>
        <v>经验</v>
      </c>
      <c r="D7967" s="224">
        <f>参数调整!$K$38*怪物掉落配置方案!$D4889</f>
        <v>1749999</v>
      </c>
    </row>
    <row r="7968" spans="1:4" ht="16.5" hidden="1" x14ac:dyDescent="0.3">
      <c r="A7968" s="10" t="str">
        <f>基本属性!$B$4&amp;"|"&amp;基本属性!$C$4</f>
        <v>35|0</v>
      </c>
      <c r="B7968" s="10" t="str">
        <f>参数调整!$J$38</f>
        <v>新增怪物种类3掉落</v>
      </c>
      <c r="C7968" s="8" t="str">
        <f>材料产出!$AN$2</f>
        <v>极品注灵石</v>
      </c>
      <c r="D7968" s="224">
        <f>参数调整!$K$38*怪物掉落配置方案!$D4890</f>
        <v>1.55532308682707E-3</v>
      </c>
    </row>
    <row r="7969" spans="1:4" ht="16.5" hidden="1" x14ac:dyDescent="0.3">
      <c r="A7969" s="10" t="str">
        <f>基本属性!$B$5&amp;"|"&amp;基本属性!$C$5</f>
        <v>40|0</v>
      </c>
      <c r="B7969" s="10" t="str">
        <f>参数调整!$J$38</f>
        <v>新增怪物种类3掉落</v>
      </c>
      <c r="C7969" s="8" t="str">
        <f>材料产出!$AN$2</f>
        <v>极品注灵石</v>
      </c>
      <c r="D7969" s="224">
        <f>参数调整!$K$38*怪物掉落配置方案!$D4891</f>
        <v>1.9684557817655104E-3</v>
      </c>
    </row>
    <row r="7970" spans="1:4" ht="16.5" hidden="1" x14ac:dyDescent="0.3">
      <c r="A7970" s="10" t="str">
        <f>基本属性!$B$6&amp;"|"&amp;基本属性!$C$6</f>
        <v>50|0</v>
      </c>
      <c r="B7970" s="10" t="str">
        <f>参数调整!$J$38</f>
        <v>新增怪物种类3掉落</v>
      </c>
      <c r="C7970" s="8" t="str">
        <f>材料产出!$AN$2</f>
        <v>极品注灵石</v>
      </c>
      <c r="D7970" s="224">
        <f>参数调整!$K$38*怪物掉落配置方案!$D4892</f>
        <v>2.430192323167297E-3</v>
      </c>
    </row>
    <row r="7971" spans="1:4" ht="16.5" hidden="1" x14ac:dyDescent="0.3">
      <c r="A7971" s="10" t="str">
        <f>基本属性!$B$7&amp;"|"&amp;基本属性!$C$7</f>
        <v>60|0</v>
      </c>
      <c r="B7971" s="10" t="str">
        <f>参数调整!$J$38</f>
        <v>新增怪物种类3掉落</v>
      </c>
      <c r="C7971" s="8" t="str">
        <f>材料产出!$AN$2</f>
        <v>极品注灵石</v>
      </c>
      <c r="D7971" s="224">
        <f>参数调整!$K$38*怪物掉落配置方案!$D4893</f>
        <v>2.94053271103243E-3</v>
      </c>
    </row>
    <row r="7972" spans="1:4" ht="16.5" hidden="1" x14ac:dyDescent="0.3">
      <c r="A7972" s="10" t="str">
        <f>基本属性!$B$8&amp;"|"&amp;基本属性!$C$8</f>
        <v>65|0</v>
      </c>
      <c r="B7972" s="10" t="str">
        <f>参数调整!$J$38</f>
        <v>新增怪物种类3掉落</v>
      </c>
      <c r="C7972" s="8" t="str">
        <f>材料产出!$AN$2</f>
        <v>极品注灵石</v>
      </c>
      <c r="D7972" s="224">
        <f>参数调整!$K$38*怪物掉落配置方案!$D4894</f>
        <v>3.4994769453609072E-3</v>
      </c>
    </row>
    <row r="7973" spans="1:4" ht="16.5" hidden="1" x14ac:dyDescent="0.3">
      <c r="A7973" s="10" t="str">
        <f>基本属性!$B$9&amp;"|"&amp;基本属性!$C$9</f>
        <v>70|0</v>
      </c>
      <c r="B7973" s="10" t="str">
        <f>参数调整!$J$38</f>
        <v>新增怪物种类3掉落</v>
      </c>
      <c r="C7973" s="8" t="str">
        <f>材料产出!$AN$2</f>
        <v>极品注灵石</v>
      </c>
      <c r="D7973" s="224">
        <f>参数调整!$K$38*怪物掉落配置方案!$D4895</f>
        <v>4.1070250261527321E-3</v>
      </c>
    </row>
    <row r="7974" spans="1:4" ht="16.5" hidden="1" x14ac:dyDescent="0.3">
      <c r="A7974" s="10" t="str">
        <f>基本属性!$B$10&amp;"|"&amp;基本属性!$C$10</f>
        <v>75|0</v>
      </c>
      <c r="B7974" s="10" t="str">
        <f>参数调整!$J$38</f>
        <v>新增怪物种类3掉落</v>
      </c>
      <c r="C7974" s="8" t="str">
        <f>材料产出!$AN$2</f>
        <v>极品注灵石</v>
      </c>
      <c r="D7974" s="224">
        <f>参数调整!$K$38*怪物掉落配置方案!$D4896</f>
        <v>4.7631769534079004E-3</v>
      </c>
    </row>
    <row r="7975" spans="1:4" ht="16.5" hidden="1" x14ac:dyDescent="0.3">
      <c r="A7975" s="10" t="str">
        <f>基本属性!$B$11&amp;"|"&amp;基本属性!$C$11</f>
        <v>80|1</v>
      </c>
      <c r="B7975" s="10" t="str">
        <f>参数调整!$J$38</f>
        <v>新增怪物种类3掉落</v>
      </c>
      <c r="C7975" s="8" t="str">
        <f>材料产出!$AN$2</f>
        <v>极品注灵石</v>
      </c>
      <c r="D7975" s="224">
        <f>参数调整!$K$38*怪物掉落配置方案!$D4897</f>
        <v>5.4679327271264181E-3</v>
      </c>
    </row>
    <row r="7976" spans="1:4" ht="16.5" hidden="1" x14ac:dyDescent="0.3">
      <c r="A7976" s="10" t="str">
        <f>基本属性!$B$12&amp;"|"&amp;基本属性!$C$12</f>
        <v>90|2</v>
      </c>
      <c r="B7976" s="10" t="str">
        <f>参数调整!$J$38</f>
        <v>新增怪物种类3掉落</v>
      </c>
      <c r="C7976" s="8" t="str">
        <f>材料产出!$AN$2</f>
        <v>极品注灵石</v>
      </c>
      <c r="D7976" s="224">
        <f>参数调整!$K$38*怪物掉落配置方案!$D4898</f>
        <v>6.2212923473082809E-3</v>
      </c>
    </row>
    <row r="7977" spans="1:4" ht="16.5" hidden="1" x14ac:dyDescent="0.3">
      <c r="A7977" s="10" t="str">
        <f>基本属性!$B$13&amp;"|"&amp;基本属性!$C$13</f>
        <v>100|3</v>
      </c>
      <c r="B7977" s="10" t="str">
        <f>参数调整!$J$38</f>
        <v>新增怪物种类3掉落</v>
      </c>
      <c r="C7977" s="8" t="str">
        <f>材料产出!$AN$2</f>
        <v>极品注灵石</v>
      </c>
      <c r="D7977" s="224">
        <f>参数调整!$K$38*怪物掉落配置方案!$D4899</f>
        <v>7.8738231270620435E-3</v>
      </c>
    </row>
    <row r="7978" spans="1:4" ht="16.5" hidden="1" x14ac:dyDescent="0.3">
      <c r="A7978" s="10" t="str">
        <f>基本属性!$B$14&amp;"|"&amp;基本属性!$C$14</f>
        <v>105|4</v>
      </c>
      <c r="B7978" s="10" t="str">
        <f>参数调整!$J$38</f>
        <v>新增怪物种类3掉落</v>
      </c>
      <c r="C7978" s="8" t="str">
        <f>材料产出!$AN$2</f>
        <v>极品注灵石</v>
      </c>
      <c r="D7978" s="224">
        <f>参数调整!$K$38*怪物掉落配置方案!$D4900</f>
        <v>9.7207692926691881E-3</v>
      </c>
    </row>
    <row r="7979" spans="1:4" ht="16.5" hidden="1" x14ac:dyDescent="0.3">
      <c r="A7979" s="10" t="str">
        <f>基本属性!$B$15&amp;"|"&amp;基本属性!$C$15</f>
        <v>110|5</v>
      </c>
      <c r="B7979" s="10" t="str">
        <f>参数调整!$J$38</f>
        <v>新增怪物种类3掉落</v>
      </c>
      <c r="C7979" s="8" t="str">
        <f>材料产出!$AN$2</f>
        <v>极品注灵石</v>
      </c>
      <c r="D7979" s="224">
        <f>参数调整!$K$38*怪物掉落配置方案!$D4901</f>
        <v>1.176213084412972E-2</v>
      </c>
    </row>
    <row r="7980" spans="1:4" ht="16.5" hidden="1" x14ac:dyDescent="0.3">
      <c r="A7980" s="10" t="str">
        <f>基本属性!$B$16&amp;"|"&amp;基本属性!$C$16</f>
        <v>120|6</v>
      </c>
      <c r="B7980" s="10" t="str">
        <f>参数调整!$J$38</f>
        <v>新增怪物种类3掉落</v>
      </c>
      <c r="C7980" s="8" t="str">
        <f>材料产出!$AN$2</f>
        <v>极品注灵石</v>
      </c>
      <c r="D7980" s="224">
        <f>参数调整!$K$38*怪物掉落配置方案!$D4902</f>
        <v>1.5188702019795604E-2</v>
      </c>
    </row>
    <row r="7981" spans="1:4" ht="16.5" hidden="1" x14ac:dyDescent="0.3">
      <c r="A7981" s="10" t="str">
        <f>基本属性!$B$17&amp;"|"&amp;基本属性!$C$17</f>
        <v>135|7</v>
      </c>
      <c r="B7981" s="10" t="str">
        <f>参数调整!$J$38</f>
        <v>新增怪物种类3掉落</v>
      </c>
      <c r="C7981" s="8" t="str">
        <f>材料产出!$AN$2</f>
        <v>极品注灵石</v>
      </c>
      <c r="D7981" s="224">
        <f>参数调整!$K$38*怪物掉落配置方案!$D4903</f>
        <v>2.1871730908505672E-2</v>
      </c>
    </row>
    <row r="7982" spans="1:4" ht="16.5" hidden="1" x14ac:dyDescent="0.3">
      <c r="A7982" s="10" t="str">
        <f>基本属性!$B$18&amp;"|"&amp;基本属性!$C$18</f>
        <v>155|8</v>
      </c>
      <c r="B7982" s="10" t="str">
        <f>参数调整!$J$38</f>
        <v>新增怪物种类3掉落</v>
      </c>
      <c r="C7982" s="8" t="str">
        <f>材料产出!$AN$2</f>
        <v>极品注灵石</v>
      </c>
      <c r="D7982" s="224">
        <f>参数调整!$K$38*怪物掉落配置方案!$D4904</f>
        <v>2.9769855958799392E-2</v>
      </c>
    </row>
    <row r="7983" spans="1:4" ht="16.5" hidden="1" x14ac:dyDescent="0.3">
      <c r="A7983" s="10" t="str">
        <f>基本属性!$B$19&amp;"|"&amp;基本属性!$C$19</f>
        <v>190|9</v>
      </c>
      <c r="B7983" s="10" t="str">
        <f>参数调整!$J$38</f>
        <v>新增怪物种类3掉落</v>
      </c>
      <c r="C7983" s="8" t="str">
        <f>材料产出!$AN$2</f>
        <v>极品注灵石</v>
      </c>
      <c r="D7983" s="224">
        <f>参数调整!$K$38*怪物掉落配置方案!$D4905</f>
        <v>3.3269332904160301E-2</v>
      </c>
    </row>
    <row r="7984" spans="1:4" ht="16.5" hidden="1" x14ac:dyDescent="0.3">
      <c r="A7984" s="10" t="str">
        <f>基本属性!$B$20&amp;"|"&amp;基本属性!$C$20</f>
        <v>200|10</v>
      </c>
      <c r="B7984" s="10" t="str">
        <f>参数调整!$J$38</f>
        <v>新增怪物种类3掉落</v>
      </c>
      <c r="C7984" s="8" t="str">
        <f>材料产出!$AN$2</f>
        <v>极品注灵石</v>
      </c>
      <c r="D7984" s="224">
        <f>参数调整!$K$38*怪物掉落配置方案!$D4906</f>
        <v>3.8883077170676753E-2</v>
      </c>
    </row>
    <row r="7985" spans="1:4" ht="16.5" hidden="1" x14ac:dyDescent="0.3">
      <c r="A7985" s="10" t="str">
        <f>基本属性!$B$21&amp;"|"&amp;基本属性!$C$21</f>
        <v>200|11</v>
      </c>
      <c r="B7985" s="10" t="str">
        <f>参数调整!$J$38</f>
        <v>新增怪物种类3掉落</v>
      </c>
      <c r="C7985" s="8" t="str">
        <f>材料产出!$AN$2</f>
        <v>极品注灵石</v>
      </c>
      <c r="D7985" s="224">
        <f>参数调整!$K$38*怪物掉落配置方案!$D4907</f>
        <v>4.493425605536331E-2</v>
      </c>
    </row>
    <row r="7986" spans="1:4" ht="16.5" hidden="1" x14ac:dyDescent="0.3">
      <c r="A7986" s="10" t="str">
        <f>基本属性!$B$22&amp;"|"&amp;基本属性!$C$22</f>
        <v>210|12</v>
      </c>
      <c r="B7986" s="10" t="str">
        <f>参数调整!$J$38</f>
        <v>新增怪物种类3掉落</v>
      </c>
      <c r="C7986" s="8" t="str">
        <f>材料产出!$AN$2</f>
        <v>极品注灵石</v>
      </c>
      <c r="D7986" s="224">
        <f>参数调整!$K$38*怪物掉落配置方案!$D4908</f>
        <v>5.1422869558219994E-2</v>
      </c>
    </row>
    <row r="7987" spans="1:4" ht="16.5" hidden="1" x14ac:dyDescent="0.3">
      <c r="A7987" s="10" t="str">
        <f>基本属性!$B$23&amp;"|"&amp;基本属性!$C$23</f>
        <v>210|13</v>
      </c>
      <c r="B7987" s="10" t="str">
        <f>参数调整!$J$38</f>
        <v>新增怪物种类3掉落</v>
      </c>
      <c r="C7987" s="8" t="str">
        <f>材料产出!$AN$2</f>
        <v>极品注灵石</v>
      </c>
      <c r="D7987" s="224">
        <f>参数调整!$K$38*怪物掉落配置方案!$D4909</f>
        <v>5.8348917679246798E-2</v>
      </c>
    </row>
    <row r="7988" spans="1:4" ht="16.5" hidden="1" x14ac:dyDescent="0.3">
      <c r="A7988" s="10" t="str">
        <f>基本属性!$B$24&amp;"|"&amp;基本属性!$C$24</f>
        <v>220|14</v>
      </c>
      <c r="B7988" s="10" t="str">
        <f>参数调整!$J$38</f>
        <v>新增怪物种类3掉落</v>
      </c>
      <c r="C7988" s="8" t="str">
        <f>材料产出!$AN$2</f>
        <v>极品注灵石</v>
      </c>
      <c r="D7988" s="224">
        <f>参数调整!$K$38*怪物掉落配置方案!$D4910</f>
        <v>6.5712400418443714E-2</v>
      </c>
    </row>
    <row r="7989" spans="1:4" ht="16.5" hidden="1" x14ac:dyDescent="0.3">
      <c r="A7989" s="10" t="str">
        <f>基本属性!$B$25&amp;"|"&amp;基本属性!$C$25</f>
        <v>220|15</v>
      </c>
      <c r="B7989" s="10" t="str">
        <f>参数调整!$J$38</f>
        <v>新增怪物种类3掉落</v>
      </c>
      <c r="C7989" s="8" t="str">
        <f>材料产出!$AN$2</f>
        <v>极品注灵石</v>
      </c>
      <c r="D7989" s="224">
        <f>参数调整!$K$38*怪物掉落配置方案!$D4911</f>
        <v>7.3513317775810716E-2</v>
      </c>
    </row>
    <row r="7990" spans="1:4" ht="16.5" hidden="1" x14ac:dyDescent="0.3">
      <c r="A7990" s="10" t="str">
        <f>基本属性!$B$26&amp;"|"&amp;基本属性!$C$26</f>
        <v>230|16</v>
      </c>
      <c r="B7990" s="10" t="str">
        <f>参数调整!$J$38</f>
        <v>新增怪物种类3掉落</v>
      </c>
      <c r="C7990" s="8" t="str">
        <f>材料产出!$AN$2</f>
        <v>极品注灵石</v>
      </c>
      <c r="D7990" s="224">
        <f>参数调整!$K$38*怪物掉落配置方案!$D4912</f>
        <v>8.1751669751347858E-2</v>
      </c>
    </row>
    <row r="7991" spans="1:4" ht="16.5" hidden="1" x14ac:dyDescent="0.3">
      <c r="A7991" s="10" t="str">
        <f>基本属性!$B$27&amp;"|"&amp;基本属性!$C$27</f>
        <v>230|17</v>
      </c>
      <c r="B7991" s="10" t="str">
        <f>参数调整!$J$38</f>
        <v>新增怪物种类3掉落</v>
      </c>
      <c r="C7991" s="8" t="str">
        <f>材料产出!$AN$2</f>
        <v>极品注灵石</v>
      </c>
      <c r="D7991" s="224">
        <f>参数调整!$K$38*怪物掉落配置方案!$D4913</f>
        <v>9.0427456345055099E-2</v>
      </c>
    </row>
    <row r="7992" spans="1:4" ht="16.5" hidden="1" x14ac:dyDescent="0.3">
      <c r="A7992" s="10" t="str">
        <f>基本属性!$B$28&amp;"|"&amp;基本属性!$C$28</f>
        <v>240|18</v>
      </c>
      <c r="B7992" s="10" t="str">
        <f>参数调整!$J$38</f>
        <v>新增怪物种类3掉落</v>
      </c>
      <c r="C7992" s="8" t="str">
        <f>材料产出!$AN$2</f>
        <v>极品注灵石</v>
      </c>
      <c r="D7992" s="224">
        <f>参数调整!$K$38*怪物掉落配置方案!$D4914</f>
        <v>9.9540677556932494E-2</v>
      </c>
    </row>
    <row r="7993" spans="1:4" ht="16.5" hidden="1" x14ac:dyDescent="0.3">
      <c r="A7993" s="10" t="str">
        <f>基本属性!$B$29&amp;"|"&amp;基本属性!$C$29</f>
        <v>240|19</v>
      </c>
      <c r="B7993" s="10" t="str">
        <f>参数调整!$J$38</f>
        <v>新增怪物种类3掉落</v>
      </c>
      <c r="C7993" s="8" t="str">
        <f>材料产出!$AN$2</f>
        <v>极品注灵石</v>
      </c>
      <c r="D7993" s="224">
        <f>参数调整!$K$38*怪物掉落配置方案!$D4915</f>
        <v>0.10909133338697996</v>
      </c>
    </row>
    <row r="7994" spans="1:4" ht="16.5" hidden="1" x14ac:dyDescent="0.3">
      <c r="A7994" s="10" t="str">
        <f>基本属性!$B$30&amp;"|"&amp;基本属性!$C$30</f>
        <v>250|20</v>
      </c>
      <c r="B7994" s="10" t="str">
        <f>参数调整!$J$38</f>
        <v>新增怪物种类3掉落</v>
      </c>
      <c r="C7994" s="8" t="str">
        <f>材料产出!$AN$2</f>
        <v>极品注灵石</v>
      </c>
      <c r="D7994" s="224">
        <f>参数调整!$K$38*怪物掉落配置方案!$D4916</f>
        <v>0.11907942383519751</v>
      </c>
    </row>
    <row r="7995" spans="1:4" ht="16.5" hidden="1" x14ac:dyDescent="0.3">
      <c r="A7995" s="10" t="str">
        <f>基本属性!$B$4&amp;"|"&amp;基本属性!$C$4</f>
        <v>35|0</v>
      </c>
      <c r="B7995" s="10" t="str">
        <f>参数调整!$J$38</f>
        <v>新增怪物种类3掉落</v>
      </c>
      <c r="C7995" s="8" t="str">
        <f>材料产出!$HV$2</f>
        <v>基本装备</v>
      </c>
      <c r="D7995" s="224">
        <f>参数调整!$K$38*怪物掉落配置方案!$D4917</f>
        <v>0</v>
      </c>
    </row>
    <row r="7996" spans="1:4" ht="16.5" hidden="1" x14ac:dyDescent="0.3">
      <c r="A7996" s="10" t="str">
        <f>基本属性!$B$5&amp;"|"&amp;基本属性!$C$5</f>
        <v>40|0</v>
      </c>
      <c r="B7996" s="10" t="str">
        <f>参数调整!$J$38</f>
        <v>新增怪物种类3掉落</v>
      </c>
      <c r="C7996" s="8" t="str">
        <f>材料产出!$HV$2</f>
        <v>基本装备</v>
      </c>
      <c r="D7996" s="224">
        <f>参数调整!$K$38*怪物掉落配置方案!$D4918</f>
        <v>0</v>
      </c>
    </row>
    <row r="7997" spans="1:4" ht="16.5" hidden="1" x14ac:dyDescent="0.3">
      <c r="A7997" s="10" t="str">
        <f>基本属性!$B$6&amp;"|"&amp;基本属性!$C$6</f>
        <v>50|0</v>
      </c>
      <c r="B7997" s="10" t="str">
        <f>参数调整!$J$38</f>
        <v>新增怪物种类3掉落</v>
      </c>
      <c r="C7997" s="8" t="str">
        <f>材料产出!$HV$2</f>
        <v>基本装备</v>
      </c>
      <c r="D7997" s="224">
        <f>参数调整!$K$38*怪物掉落配置方案!$D4919</f>
        <v>0</v>
      </c>
    </row>
    <row r="7998" spans="1:4" ht="16.5" hidden="1" x14ac:dyDescent="0.3">
      <c r="A7998" s="10" t="str">
        <f>基本属性!$B$7&amp;"|"&amp;基本属性!$C$7</f>
        <v>60|0</v>
      </c>
      <c r="B7998" s="10" t="str">
        <f>参数调整!$J$38</f>
        <v>新增怪物种类3掉落</v>
      </c>
      <c r="C7998" s="8" t="str">
        <f>材料产出!$HV$2</f>
        <v>基本装备</v>
      </c>
      <c r="D7998" s="224">
        <f>参数调整!$K$38*怪物掉落配置方案!$D4920</f>
        <v>0</v>
      </c>
    </row>
    <row r="7999" spans="1:4" ht="16.5" hidden="1" x14ac:dyDescent="0.3">
      <c r="A7999" s="10" t="str">
        <f>基本属性!$B$8&amp;"|"&amp;基本属性!$C$8</f>
        <v>65|0</v>
      </c>
      <c r="B7999" s="10" t="str">
        <f>参数调整!$J$38</f>
        <v>新增怪物种类3掉落</v>
      </c>
      <c r="C7999" s="8" t="str">
        <f>材料产出!$HV$2</f>
        <v>基本装备</v>
      </c>
      <c r="D7999" s="224">
        <f>参数调整!$K$38*怪物掉落配置方案!$D4921</f>
        <v>0</v>
      </c>
    </row>
    <row r="8000" spans="1:4" ht="16.5" hidden="1" x14ac:dyDescent="0.3">
      <c r="A8000" s="10" t="str">
        <f>基本属性!$B$9&amp;"|"&amp;基本属性!$C$9</f>
        <v>70|0</v>
      </c>
      <c r="B8000" s="10" t="str">
        <f>参数调整!$J$38</f>
        <v>新增怪物种类3掉落</v>
      </c>
      <c r="C8000" s="8" t="str">
        <f>材料产出!$HV$2</f>
        <v>基本装备</v>
      </c>
      <c r="D8000" s="224">
        <f>参数调整!$K$38*怪物掉落配置方案!$D4922</f>
        <v>0</v>
      </c>
    </row>
    <row r="8001" spans="1:4" ht="16.5" hidden="1" x14ac:dyDescent="0.3">
      <c r="A8001" s="10" t="str">
        <f>基本属性!$B$10&amp;"|"&amp;基本属性!$C$10</f>
        <v>75|0</v>
      </c>
      <c r="B8001" s="10" t="str">
        <f>参数调整!$J$38</f>
        <v>新增怪物种类3掉落</v>
      </c>
      <c r="C8001" s="8" t="str">
        <f>材料产出!$HV$2</f>
        <v>基本装备</v>
      </c>
      <c r="D8001" s="224">
        <f>参数调整!$K$38*怪物掉落配置方案!$D4923</f>
        <v>0</v>
      </c>
    </row>
    <row r="8002" spans="1:4" ht="16.5" hidden="1" x14ac:dyDescent="0.3">
      <c r="A8002" s="10" t="str">
        <f>基本属性!$B$11&amp;"|"&amp;基本属性!$C$11</f>
        <v>80|1</v>
      </c>
      <c r="B8002" s="10" t="str">
        <f>参数调整!$J$38</f>
        <v>新增怪物种类3掉落</v>
      </c>
      <c r="C8002" s="8" t="str">
        <f>材料产出!$HV$2</f>
        <v>基本装备</v>
      </c>
      <c r="D8002" s="224">
        <f>参数调整!$K$38*怪物掉落配置方案!$D4924</f>
        <v>0</v>
      </c>
    </row>
    <row r="8003" spans="1:4" ht="16.5" hidden="1" x14ac:dyDescent="0.3">
      <c r="A8003" s="10" t="str">
        <f>基本属性!$B$12&amp;"|"&amp;基本属性!$C$12</f>
        <v>90|2</v>
      </c>
      <c r="B8003" s="10" t="str">
        <f>参数调整!$J$38</f>
        <v>新增怪物种类3掉落</v>
      </c>
      <c r="C8003" s="8" t="str">
        <f>材料产出!$HV$2</f>
        <v>基本装备</v>
      </c>
      <c r="D8003" s="224">
        <f>参数调整!$K$38*怪物掉落配置方案!$D4925</f>
        <v>0</v>
      </c>
    </row>
    <row r="8004" spans="1:4" ht="16.5" hidden="1" x14ac:dyDescent="0.3">
      <c r="A8004" s="10" t="str">
        <f>基本属性!$B$13&amp;"|"&amp;基本属性!$C$13</f>
        <v>100|3</v>
      </c>
      <c r="B8004" s="10" t="str">
        <f>参数调整!$J$38</f>
        <v>新增怪物种类3掉落</v>
      </c>
      <c r="C8004" s="8" t="str">
        <f>材料产出!$HV$2</f>
        <v>基本装备</v>
      </c>
      <c r="D8004" s="224">
        <f>参数调整!$K$38*怪物掉落配置方案!$D4926</f>
        <v>0</v>
      </c>
    </row>
    <row r="8005" spans="1:4" ht="16.5" hidden="1" x14ac:dyDescent="0.3">
      <c r="A8005" s="10" t="str">
        <f>基本属性!$B$14&amp;"|"&amp;基本属性!$C$14</f>
        <v>105|4</v>
      </c>
      <c r="B8005" s="10" t="str">
        <f>参数调整!$J$38</f>
        <v>新增怪物种类3掉落</v>
      </c>
      <c r="C8005" s="8" t="str">
        <f>材料产出!$HV$2</f>
        <v>基本装备</v>
      </c>
      <c r="D8005" s="224">
        <f>参数调整!$K$38*怪物掉落配置方案!$D4927</f>
        <v>0</v>
      </c>
    </row>
    <row r="8006" spans="1:4" ht="16.5" hidden="1" x14ac:dyDescent="0.3">
      <c r="A8006" s="10" t="str">
        <f>基本属性!$B$15&amp;"|"&amp;基本属性!$C$15</f>
        <v>110|5</v>
      </c>
      <c r="B8006" s="10" t="str">
        <f>参数调整!$J$38</f>
        <v>新增怪物种类3掉落</v>
      </c>
      <c r="C8006" s="8" t="str">
        <f>材料产出!$HV$2</f>
        <v>基本装备</v>
      </c>
      <c r="D8006" s="224">
        <f>参数调整!$K$38*怪物掉落配置方案!$D4928</f>
        <v>0</v>
      </c>
    </row>
    <row r="8007" spans="1:4" ht="16.5" hidden="1" x14ac:dyDescent="0.3">
      <c r="A8007" s="10" t="str">
        <f>基本属性!$B$16&amp;"|"&amp;基本属性!$C$16</f>
        <v>120|6</v>
      </c>
      <c r="B8007" s="10" t="str">
        <f>参数调整!$J$38</f>
        <v>新增怪物种类3掉落</v>
      </c>
      <c r="C8007" s="8" t="str">
        <f>材料产出!$HV$2</f>
        <v>基本装备</v>
      </c>
      <c r="D8007" s="224">
        <f>参数调整!$K$38*怪物掉落配置方案!$D4929</f>
        <v>0</v>
      </c>
    </row>
    <row r="8008" spans="1:4" ht="16.5" hidden="1" x14ac:dyDescent="0.3">
      <c r="A8008" s="10" t="str">
        <f>基本属性!$B$17&amp;"|"&amp;基本属性!$C$17</f>
        <v>135|7</v>
      </c>
      <c r="B8008" s="10" t="str">
        <f>参数调整!$J$38</f>
        <v>新增怪物种类3掉落</v>
      </c>
      <c r="C8008" s="8" t="str">
        <f>材料产出!$HV$2</f>
        <v>基本装备</v>
      </c>
      <c r="D8008" s="224">
        <f>参数调整!$K$38*怪物掉落配置方案!$D4930</f>
        <v>0</v>
      </c>
    </row>
    <row r="8009" spans="1:4" ht="16.5" hidden="1" x14ac:dyDescent="0.3">
      <c r="A8009" s="10" t="str">
        <f>基本属性!$B$18&amp;"|"&amp;基本属性!$C$18</f>
        <v>155|8</v>
      </c>
      <c r="B8009" s="10" t="str">
        <f>参数调整!$J$38</f>
        <v>新增怪物种类3掉落</v>
      </c>
      <c r="C8009" s="8" t="str">
        <f>材料产出!$HV$2</f>
        <v>基本装备</v>
      </c>
      <c r="D8009" s="224">
        <f>参数调整!$K$38*怪物掉落配置方案!$D4931</f>
        <v>0</v>
      </c>
    </row>
    <row r="8010" spans="1:4" ht="16.5" hidden="1" x14ac:dyDescent="0.3">
      <c r="A8010" s="10" t="str">
        <f>基本属性!$B$19&amp;"|"&amp;基本属性!$C$19</f>
        <v>190|9</v>
      </c>
      <c r="B8010" s="10" t="str">
        <f>参数调整!$J$38</f>
        <v>新增怪物种类3掉落</v>
      </c>
      <c r="C8010" s="8" t="str">
        <f>材料产出!$HV$2</f>
        <v>基本装备</v>
      </c>
      <c r="D8010" s="224">
        <f>参数调整!$K$38*怪物掉落配置方案!$D4932</f>
        <v>0</v>
      </c>
    </row>
    <row r="8011" spans="1:4" ht="16.5" hidden="1" x14ac:dyDescent="0.3">
      <c r="A8011" s="10" t="str">
        <f>基本属性!$B$20&amp;"|"&amp;基本属性!$C$20</f>
        <v>200|10</v>
      </c>
      <c r="B8011" s="10" t="str">
        <f>参数调整!$J$38</f>
        <v>新增怪物种类3掉落</v>
      </c>
      <c r="C8011" s="8" t="str">
        <f>材料产出!$HV$2</f>
        <v>基本装备</v>
      </c>
      <c r="D8011" s="224">
        <f>参数调整!$K$38*怪物掉落配置方案!$D4933</f>
        <v>0</v>
      </c>
    </row>
    <row r="8012" spans="1:4" ht="16.5" hidden="1" x14ac:dyDescent="0.3">
      <c r="A8012" s="10" t="str">
        <f>基本属性!$B$21&amp;"|"&amp;基本属性!$C$21</f>
        <v>200|11</v>
      </c>
      <c r="B8012" s="10" t="str">
        <f>参数调整!$J$38</f>
        <v>新增怪物种类3掉落</v>
      </c>
      <c r="C8012" s="8" t="str">
        <f>材料产出!$HV$2</f>
        <v>基本装备</v>
      </c>
      <c r="D8012" s="224">
        <f>参数调整!$K$38*怪物掉落配置方案!$D4934</f>
        <v>0</v>
      </c>
    </row>
    <row r="8013" spans="1:4" ht="16.5" hidden="1" x14ac:dyDescent="0.3">
      <c r="A8013" s="10" t="str">
        <f>基本属性!$B$22&amp;"|"&amp;基本属性!$C$22</f>
        <v>210|12</v>
      </c>
      <c r="B8013" s="10" t="str">
        <f>参数调整!$J$38</f>
        <v>新增怪物种类3掉落</v>
      </c>
      <c r="C8013" s="8" t="str">
        <f>材料产出!$HV$2</f>
        <v>基本装备</v>
      </c>
      <c r="D8013" s="224">
        <f>参数调整!$K$38*怪物掉落配置方案!$D4935</f>
        <v>0</v>
      </c>
    </row>
    <row r="8014" spans="1:4" ht="16.5" hidden="1" x14ac:dyDescent="0.3">
      <c r="A8014" s="10" t="str">
        <f>基本属性!$B$23&amp;"|"&amp;基本属性!$C$23</f>
        <v>210|13</v>
      </c>
      <c r="B8014" s="10" t="str">
        <f>参数调整!$J$38</f>
        <v>新增怪物种类3掉落</v>
      </c>
      <c r="C8014" s="8" t="str">
        <f>材料产出!$HV$2</f>
        <v>基本装备</v>
      </c>
      <c r="D8014" s="224">
        <f>参数调整!$K$38*怪物掉落配置方案!$D4936</f>
        <v>0</v>
      </c>
    </row>
    <row r="8015" spans="1:4" ht="16.5" hidden="1" x14ac:dyDescent="0.3">
      <c r="A8015" s="10" t="str">
        <f>基本属性!$B$24&amp;"|"&amp;基本属性!$C$24</f>
        <v>220|14</v>
      </c>
      <c r="B8015" s="10" t="str">
        <f>参数调整!$J$38</f>
        <v>新增怪物种类3掉落</v>
      </c>
      <c r="C8015" s="8" t="str">
        <f>材料产出!$HV$2</f>
        <v>基本装备</v>
      </c>
      <c r="D8015" s="224">
        <f>参数调整!$K$38*怪物掉落配置方案!$D4937</f>
        <v>0</v>
      </c>
    </row>
    <row r="8016" spans="1:4" ht="16.5" hidden="1" x14ac:dyDescent="0.3">
      <c r="A8016" s="10" t="str">
        <f>基本属性!$B$25&amp;"|"&amp;基本属性!$C$25</f>
        <v>220|15</v>
      </c>
      <c r="B8016" s="10" t="str">
        <f>参数调整!$J$38</f>
        <v>新增怪物种类3掉落</v>
      </c>
      <c r="C8016" s="8" t="str">
        <f>材料产出!$HV$2</f>
        <v>基本装备</v>
      </c>
      <c r="D8016" s="224">
        <f>参数调整!$K$38*怪物掉落配置方案!$D4938</f>
        <v>0</v>
      </c>
    </row>
    <row r="8017" spans="1:4" ht="16.5" hidden="1" x14ac:dyDescent="0.3">
      <c r="A8017" s="10" t="str">
        <f>基本属性!$B$26&amp;"|"&amp;基本属性!$C$26</f>
        <v>230|16</v>
      </c>
      <c r="B8017" s="10" t="str">
        <f>参数调整!$J$38</f>
        <v>新增怪物种类3掉落</v>
      </c>
      <c r="C8017" s="8" t="str">
        <f>材料产出!$HV$2</f>
        <v>基本装备</v>
      </c>
      <c r="D8017" s="224">
        <f>参数调整!$K$38*怪物掉落配置方案!$D4939</f>
        <v>0</v>
      </c>
    </row>
    <row r="8018" spans="1:4" ht="16.5" hidden="1" x14ac:dyDescent="0.3">
      <c r="A8018" s="10" t="str">
        <f>基本属性!$B$27&amp;"|"&amp;基本属性!$C$27</f>
        <v>230|17</v>
      </c>
      <c r="B8018" s="10" t="str">
        <f>参数调整!$J$38</f>
        <v>新增怪物种类3掉落</v>
      </c>
      <c r="C8018" s="8" t="str">
        <f>材料产出!$HV$2</f>
        <v>基本装备</v>
      </c>
      <c r="D8018" s="224">
        <f>参数调整!$K$38*怪物掉落配置方案!$D4940</f>
        <v>0</v>
      </c>
    </row>
    <row r="8019" spans="1:4" ht="16.5" hidden="1" x14ac:dyDescent="0.3">
      <c r="A8019" s="10" t="str">
        <f>基本属性!$B$28&amp;"|"&amp;基本属性!$C$28</f>
        <v>240|18</v>
      </c>
      <c r="B8019" s="10" t="str">
        <f>参数调整!$J$38</f>
        <v>新增怪物种类3掉落</v>
      </c>
      <c r="C8019" s="8" t="str">
        <f>材料产出!$HV$2</f>
        <v>基本装备</v>
      </c>
      <c r="D8019" s="224">
        <f>参数调整!$K$38*怪物掉落配置方案!$D4941</f>
        <v>0</v>
      </c>
    </row>
    <row r="8020" spans="1:4" ht="16.5" hidden="1" x14ac:dyDescent="0.3">
      <c r="A8020" s="10" t="str">
        <f>基本属性!$B$29&amp;"|"&amp;基本属性!$C$29</f>
        <v>240|19</v>
      </c>
      <c r="B8020" s="10" t="str">
        <f>参数调整!$J$38</f>
        <v>新增怪物种类3掉落</v>
      </c>
      <c r="C8020" s="8" t="str">
        <f>材料产出!$HV$2</f>
        <v>基本装备</v>
      </c>
      <c r="D8020" s="224">
        <f>参数调整!$K$38*怪物掉落配置方案!$D4942</f>
        <v>0</v>
      </c>
    </row>
    <row r="8021" spans="1:4" ht="16.5" hidden="1" x14ac:dyDescent="0.3">
      <c r="A8021" s="10" t="str">
        <f>基本属性!$B$30&amp;"|"&amp;基本属性!$C$30</f>
        <v>250|20</v>
      </c>
      <c r="B8021" s="10" t="str">
        <f>参数调整!$J$38</f>
        <v>新增怪物种类3掉落</v>
      </c>
      <c r="C8021" s="8" t="str">
        <f>材料产出!$HV$2</f>
        <v>基本装备</v>
      </c>
      <c r="D8021" s="224">
        <f>参数调整!$K$38*怪物掉落配置方案!$D4943</f>
        <v>0</v>
      </c>
    </row>
    <row r="8022" spans="1:4" ht="16.5" hidden="1" x14ac:dyDescent="0.3">
      <c r="A8022" s="10" t="str">
        <f>基本属性!$B$4&amp;"|"&amp;基本属性!$C$4</f>
        <v>35|0</v>
      </c>
      <c r="B8022" s="10" t="str">
        <f>参数调整!$J$38</f>
        <v>新增怪物种类3掉落</v>
      </c>
      <c r="C8022" s="8" t="str">
        <f>材料产出!$AP$2</f>
        <v>火龙气息</v>
      </c>
      <c r="D8022" s="224">
        <f>参数调整!$K$38*怪物掉落配置方案!$D4944</f>
        <v>7.3790512233887543E-4</v>
      </c>
    </row>
    <row r="8023" spans="1:4" ht="16.5" hidden="1" x14ac:dyDescent="0.3">
      <c r="A8023" s="10" t="str">
        <f>基本属性!$B$5&amp;"|"&amp;基本属性!$C$5</f>
        <v>40|0</v>
      </c>
      <c r="B8023" s="10" t="str">
        <f>参数调整!$J$38</f>
        <v>新增怪物种类3掉落</v>
      </c>
      <c r="C8023" s="8" t="str">
        <f>材料产出!$AP$2</f>
        <v>火龙气息</v>
      </c>
      <c r="D8023" s="224">
        <f>参数调整!$K$38*怪物掉落配置方案!$D4945</f>
        <v>9.3391117046013933E-4</v>
      </c>
    </row>
    <row r="8024" spans="1:4" ht="16.5" hidden="1" x14ac:dyDescent="0.3">
      <c r="A8024" s="10" t="str">
        <f>基本属性!$B$6&amp;"|"&amp;基本属性!$C$6</f>
        <v>50|0</v>
      </c>
      <c r="B8024" s="10" t="str">
        <f>参数调整!$J$38</f>
        <v>新增怪物种类3掉落</v>
      </c>
      <c r="C8024" s="8" t="str">
        <f>材料产出!$AP$2</f>
        <v>火龙气息</v>
      </c>
      <c r="D8024" s="224">
        <f>参数调整!$K$38*怪物掉落配置方案!$D4946</f>
        <v>1.152976753654493E-3</v>
      </c>
    </row>
    <row r="8025" spans="1:4" ht="16.5" hidden="1" x14ac:dyDescent="0.3">
      <c r="A8025" s="10" t="str">
        <f>基本属性!$B$7&amp;"|"&amp;基本属性!$C$7</f>
        <v>60|0</v>
      </c>
      <c r="B8025" s="10" t="str">
        <f>参数调整!$J$38</f>
        <v>新增怪物种类3掉落</v>
      </c>
      <c r="C8025" s="8" t="str">
        <f>材料产出!$AP$2</f>
        <v>火龙气息</v>
      </c>
      <c r="D8025" s="224">
        <f>参数调整!$K$38*怪物掉落配置方案!$D4947</f>
        <v>1.3951018719219367E-3</v>
      </c>
    </row>
    <row r="8026" spans="1:4" ht="16.5" hidden="1" x14ac:dyDescent="0.3">
      <c r="A8026" s="10" t="str">
        <f>基本属性!$B$8&amp;"|"&amp;基本属性!$C$8</f>
        <v>65|0</v>
      </c>
      <c r="B8026" s="10" t="str">
        <f>参数调整!$J$38</f>
        <v>新增怪物种类3掉落</v>
      </c>
      <c r="C8026" s="8" t="str">
        <f>材料产出!$AP$2</f>
        <v>火龙气息</v>
      </c>
      <c r="D8026" s="224">
        <f>参数调整!$K$38*怪物掉落配置方案!$D4948</f>
        <v>1.6602865252624698E-3</v>
      </c>
    </row>
    <row r="8027" spans="1:4" ht="16.5" hidden="1" x14ac:dyDescent="0.3">
      <c r="A8027" s="10" t="str">
        <f>基本属性!$B$9&amp;"|"&amp;基本属性!$C$9</f>
        <v>70|0</v>
      </c>
      <c r="B8027" s="10" t="str">
        <f>参数调整!$J$38</f>
        <v>新增怪物种类3掉落</v>
      </c>
      <c r="C8027" s="8" t="str">
        <f>材料产出!$AP$2</f>
        <v>火龙气息</v>
      </c>
      <c r="D8027" s="224">
        <f>参数调整!$K$38*怪物掉落配置方案!$D4949</f>
        <v>1.948530713676093E-3</v>
      </c>
    </row>
    <row r="8028" spans="1:4" ht="16.5" hidden="1" x14ac:dyDescent="0.3">
      <c r="A8028" s="10" t="str">
        <f>基本属性!$B$10&amp;"|"&amp;基本属性!$C$10</f>
        <v>75|0</v>
      </c>
      <c r="B8028" s="10" t="str">
        <f>参数调整!$J$38</f>
        <v>新增怪物种类3掉落</v>
      </c>
      <c r="C8028" s="8" t="str">
        <f>材料产出!$AP$2</f>
        <v>火龙气息</v>
      </c>
      <c r="D8028" s="224">
        <f>参数调整!$K$38*怪物掉落配置方案!$D4950</f>
        <v>2.2598344371628056E-3</v>
      </c>
    </row>
    <row r="8029" spans="1:4" ht="16.5" hidden="1" x14ac:dyDescent="0.3">
      <c r="A8029" s="10" t="str">
        <f>基本属性!$B$11&amp;"|"&amp;基本属性!$C$11</f>
        <v>80|1</v>
      </c>
      <c r="B8029" s="10" t="str">
        <f>参数调整!$J$38</f>
        <v>新增怪物种类3掉落</v>
      </c>
      <c r="C8029" s="8" t="str">
        <f>材料产出!$AP$2</f>
        <v>火龙气息</v>
      </c>
      <c r="D8029" s="224">
        <f>参数调整!$K$38*怪物掉落配置方案!$D4951</f>
        <v>2.5941976957226092E-3</v>
      </c>
    </row>
    <row r="8030" spans="1:4" ht="16.5" hidden="1" x14ac:dyDescent="0.3">
      <c r="A8030" s="10" t="str">
        <f>基本属性!$B$12&amp;"|"&amp;基本属性!$C$12</f>
        <v>90|2</v>
      </c>
      <c r="B8030" s="10" t="str">
        <f>参数调整!$J$38</f>
        <v>新增怪物种类3掉落</v>
      </c>
      <c r="C8030" s="8" t="str">
        <f>材料产出!$AP$2</f>
        <v>火龙气息</v>
      </c>
      <c r="D8030" s="224">
        <f>参数调整!$K$38*怪物掉落配置方案!$D4952</f>
        <v>2.9516204893555017E-3</v>
      </c>
    </row>
    <row r="8031" spans="1:4" ht="16.5" hidden="1" x14ac:dyDescent="0.3">
      <c r="A8031" s="10" t="str">
        <f>基本属性!$B$13&amp;"|"&amp;基本属性!$C$13</f>
        <v>100|3</v>
      </c>
      <c r="B8031" s="10" t="str">
        <f>参数调整!$J$38</f>
        <v>新增怪物种类3掉落</v>
      </c>
      <c r="C8031" s="8" t="str">
        <f>材料产出!$AP$2</f>
        <v>火龙气息</v>
      </c>
      <c r="D8031" s="224">
        <f>参数调整!$K$38*怪物掉落配置方案!$D4953</f>
        <v>3.7356446818405573E-3</v>
      </c>
    </row>
    <row r="8032" spans="1:4" ht="16.5" hidden="1" x14ac:dyDescent="0.3">
      <c r="A8032" s="10" t="str">
        <f>基本属性!$B$14&amp;"|"&amp;基本属性!$C$14</f>
        <v>105|4</v>
      </c>
      <c r="B8032" s="10" t="str">
        <f>参数调整!$J$38</f>
        <v>新增怪物种类3掉落</v>
      </c>
      <c r="C8032" s="8" t="str">
        <f>材料产出!$AP$2</f>
        <v>火龙气息</v>
      </c>
      <c r="D8032" s="224">
        <f>参数调整!$K$38*怪物掉落配置方案!$D4954</f>
        <v>4.6119070146179719E-3</v>
      </c>
    </row>
    <row r="8033" spans="1:4" ht="16.5" hidden="1" x14ac:dyDescent="0.3">
      <c r="A8033" s="10" t="str">
        <f>基本属性!$B$15&amp;"|"&amp;基本属性!$C$15</f>
        <v>110|5</v>
      </c>
      <c r="B8033" s="10" t="str">
        <f>参数调整!$J$38</f>
        <v>新增怪物种类3掉落</v>
      </c>
      <c r="C8033" s="8" t="str">
        <f>材料产出!$AP$2</f>
        <v>火龙气息</v>
      </c>
      <c r="D8033" s="224">
        <f>参数调整!$K$38*怪物掉落配置方案!$D4955</f>
        <v>5.5804074876877469E-3</v>
      </c>
    </row>
    <row r="8034" spans="1:4" ht="16.5" hidden="1" x14ac:dyDescent="0.3">
      <c r="A8034" s="10" t="str">
        <f>基本属性!$B$16&amp;"|"&amp;基本属性!$C$16</f>
        <v>120|6</v>
      </c>
      <c r="B8034" s="10" t="str">
        <f>参数调整!$J$38</f>
        <v>新增怪物种类3掉落</v>
      </c>
      <c r="C8034" s="8" t="str">
        <f>材料产出!$AP$2</f>
        <v>火龙气息</v>
      </c>
      <c r="D8034" s="224">
        <f>参数调整!$K$38*怪物掉落配置方案!$D4956</f>
        <v>7.2061047103405811E-3</v>
      </c>
    </row>
    <row r="8035" spans="1:4" ht="16.5" hidden="1" x14ac:dyDescent="0.3">
      <c r="A8035" s="10" t="str">
        <f>基本属性!$B$17&amp;"|"&amp;基本属性!$C$17</f>
        <v>135|7</v>
      </c>
      <c r="B8035" s="10" t="str">
        <f>参数调整!$J$38</f>
        <v>新增怪物种类3掉落</v>
      </c>
      <c r="C8035" s="8" t="str">
        <f>材料产出!$AP$2</f>
        <v>火龙气息</v>
      </c>
      <c r="D8035" s="224">
        <f>参数调整!$K$38*怪物掉落配置方案!$D4957</f>
        <v>1.0376790782890437E-2</v>
      </c>
    </row>
    <row r="8036" spans="1:4" ht="16.5" hidden="1" x14ac:dyDescent="0.3">
      <c r="A8036" s="10" t="str">
        <f>基本属性!$B$18&amp;"|"&amp;基本属性!$C$18</f>
        <v>155|8</v>
      </c>
      <c r="B8036" s="10" t="str">
        <f>参数调整!$J$38</f>
        <v>新增怪物种类3掉落</v>
      </c>
      <c r="C8036" s="8" t="str">
        <f>材料产出!$AP$2</f>
        <v>火龙气息</v>
      </c>
      <c r="D8036" s="224">
        <f>参数调整!$K$38*怪物掉落配置方案!$D4958</f>
        <v>1.4123965232267541E-2</v>
      </c>
    </row>
    <row r="8037" spans="1:4" ht="16.5" hidden="1" x14ac:dyDescent="0.3">
      <c r="A8037" s="10" t="str">
        <f>基本属性!$B$19&amp;"|"&amp;基本属性!$C$19</f>
        <v>190|9</v>
      </c>
      <c r="B8037" s="10" t="str">
        <f>参数调整!$J$38</f>
        <v>新增怪物种类3掉落</v>
      </c>
      <c r="C8037" s="8" t="str">
        <f>材料产出!$AP$2</f>
        <v>火龙气息</v>
      </c>
      <c r="D8037" s="224">
        <f>参数调整!$K$38*怪物掉落配置方案!$D4959</f>
        <v>1.578425175753001E-2</v>
      </c>
    </row>
    <row r="8038" spans="1:4" ht="16.5" hidden="1" x14ac:dyDescent="0.3">
      <c r="A8038" s="10" t="str">
        <f>基本属性!$B$20&amp;"|"&amp;基本属性!$C$20</f>
        <v>200|10</v>
      </c>
      <c r="B8038" s="10" t="str">
        <f>参数调整!$J$38</f>
        <v>新增怪物种类3掉落</v>
      </c>
      <c r="C8038" s="8" t="str">
        <f>材料产出!$AP$2</f>
        <v>火龙气息</v>
      </c>
      <c r="D8038" s="224">
        <f>参数调整!$K$38*怪物掉落配置方案!$D4960</f>
        <v>1.8447628058471888E-2</v>
      </c>
    </row>
    <row r="8039" spans="1:4" ht="16.5" hidden="1" x14ac:dyDescent="0.3">
      <c r="A8039" s="10" t="str">
        <f>基本属性!$B$21&amp;"|"&amp;基本属性!$C$21</f>
        <v>200|11</v>
      </c>
      <c r="B8039" s="10" t="str">
        <f>参数调整!$J$38</f>
        <v>新增怪物种类3掉落</v>
      </c>
      <c r="C8039" s="8" t="str">
        <f>材料产出!$AP$2</f>
        <v>火龙气息</v>
      </c>
      <c r="D8039" s="224">
        <f>参数调整!$K$38*怪物掉落配置方案!$D4961</f>
        <v>2.1318540175071572E-2</v>
      </c>
    </row>
    <row r="8040" spans="1:4" ht="16.5" hidden="1" x14ac:dyDescent="0.3">
      <c r="A8040" s="10" t="str">
        <f>基本属性!$B$22&amp;"|"&amp;基本属性!$C$22</f>
        <v>210|12</v>
      </c>
      <c r="B8040" s="10" t="str">
        <f>参数调整!$J$38</f>
        <v>新增怪物种类3掉落</v>
      </c>
      <c r="C8040" s="8" t="str">
        <f>材料产出!$AP$2</f>
        <v>火龙气息</v>
      </c>
      <c r="D8040" s="224">
        <f>参数调整!$K$38*怪物掉落配置方案!$D4962</f>
        <v>2.4396988107329064E-2</v>
      </c>
    </row>
    <row r="8041" spans="1:4" ht="16.5" hidden="1" x14ac:dyDescent="0.3">
      <c r="A8041" s="10" t="str">
        <f>基本属性!$B$23&amp;"|"&amp;基本属性!$C$23</f>
        <v>210|13</v>
      </c>
      <c r="B8041" s="10" t="str">
        <f>参数调整!$J$38</f>
        <v>新增怪物种类3掉落</v>
      </c>
      <c r="C8041" s="8" t="str">
        <f>材料产出!$AP$2</f>
        <v>火龙气息</v>
      </c>
      <c r="D8041" s="224">
        <f>参数调整!$K$38*怪物掉落配置方案!$D4963</f>
        <v>2.7682971855244383E-2</v>
      </c>
    </row>
    <row r="8042" spans="1:4" ht="16.5" hidden="1" x14ac:dyDescent="0.3">
      <c r="A8042" s="10" t="str">
        <f>基本属性!$B$24&amp;"|"&amp;基本属性!$C$24</f>
        <v>220|14</v>
      </c>
      <c r="B8042" s="10" t="str">
        <f>参数调整!$J$38</f>
        <v>新增怪物种类3掉落</v>
      </c>
      <c r="C8042" s="8" t="str">
        <f>材料产出!$AP$2</f>
        <v>火龙气息</v>
      </c>
      <c r="D8042" s="224">
        <f>参数调整!$K$38*怪物掉落配置方案!$D4964</f>
        <v>3.1176491418817488E-2</v>
      </c>
    </row>
    <row r="8043" spans="1:4" ht="16.5" hidden="1" x14ac:dyDescent="0.3">
      <c r="A8043" s="10" t="str">
        <f>基本属性!$B$25&amp;"|"&amp;基本属性!$C$25</f>
        <v>220|15</v>
      </c>
      <c r="B8043" s="10" t="str">
        <f>参数调整!$J$38</f>
        <v>新增怪物种类3掉落</v>
      </c>
      <c r="C8043" s="8" t="str">
        <f>材料产出!$AP$2</f>
        <v>火龙气息</v>
      </c>
      <c r="D8043" s="224">
        <f>参数调整!$K$38*怪物掉落配置方案!$D4965</f>
        <v>3.4877546798048414E-2</v>
      </c>
    </row>
    <row r="8044" spans="1:4" ht="16.5" hidden="1" x14ac:dyDescent="0.3">
      <c r="A8044" s="10" t="str">
        <f>基本属性!$B$26&amp;"|"&amp;基本属性!$C$26</f>
        <v>230|16</v>
      </c>
      <c r="B8044" s="10" t="str">
        <f>参数调整!$J$38</f>
        <v>新增怪物种类3掉落</v>
      </c>
      <c r="C8044" s="8" t="str">
        <f>材料产出!$AP$2</f>
        <v>火龙气息</v>
      </c>
      <c r="D8044" s="224">
        <f>参数调整!$K$38*怪物掉落配置方案!$D4966</f>
        <v>3.8786137992937141E-2</v>
      </c>
    </row>
    <row r="8045" spans="1:4" ht="16.5" hidden="1" x14ac:dyDescent="0.3">
      <c r="A8045" s="10" t="str">
        <f>基本属性!$B$27&amp;"|"&amp;基本属性!$C$27</f>
        <v>230|17</v>
      </c>
      <c r="B8045" s="10" t="str">
        <f>参数调整!$J$38</f>
        <v>新增怪物种类3掉落</v>
      </c>
      <c r="C8045" s="8" t="str">
        <f>材料产出!$AP$2</f>
        <v>火龙气息</v>
      </c>
      <c r="D8045" s="224">
        <f>参数调整!$K$38*怪物掉落配置方案!$D4967</f>
        <v>4.2902265003483681E-2</v>
      </c>
    </row>
    <row r="8046" spans="1:4" ht="16.5" hidden="1" x14ac:dyDescent="0.3">
      <c r="A8046" s="10" t="str">
        <f>基本属性!$B$28&amp;"|"&amp;基本属性!$C$28</f>
        <v>240|18</v>
      </c>
      <c r="B8046" s="10" t="str">
        <f>参数调整!$J$38</f>
        <v>新增怪物种类3掉落</v>
      </c>
      <c r="C8046" s="8" t="str">
        <f>材料产出!$AP$2</f>
        <v>火龙气息</v>
      </c>
      <c r="D8046" s="224">
        <f>参数调整!$K$38*怪物掉落配置方案!$D4968</f>
        <v>4.7225927829688027E-2</v>
      </c>
    </row>
    <row r="8047" spans="1:4" ht="16.5" hidden="1" x14ac:dyDescent="0.3">
      <c r="A8047" s="10" t="str">
        <f>基本属性!$B$29&amp;"|"&amp;基本属性!$C$29</f>
        <v>240|19</v>
      </c>
      <c r="B8047" s="10" t="str">
        <f>参数调整!$J$38</f>
        <v>新增怪物种类3掉落</v>
      </c>
      <c r="C8047" s="8" t="str">
        <f>材料产出!$AP$2</f>
        <v>火龙气息</v>
      </c>
      <c r="D8047" s="224">
        <f>参数调整!$K$38*怪物掉落配置方案!$D4969</f>
        <v>5.1757126471550195E-2</v>
      </c>
    </row>
    <row r="8048" spans="1:4" ht="16.5" hidden="1" x14ac:dyDescent="0.3">
      <c r="A8048" s="10" t="str">
        <f>基本属性!$B$30&amp;"|"&amp;基本属性!$C$30</f>
        <v>250|20</v>
      </c>
      <c r="B8048" s="10" t="str">
        <f>参数调整!$J$38</f>
        <v>新增怪物种类3掉落</v>
      </c>
      <c r="C8048" s="8" t="str">
        <f>材料产出!$AP$2</f>
        <v>火龙气息</v>
      </c>
      <c r="D8048" s="224">
        <f>参数调整!$K$38*怪物掉落配置方案!$D4970</f>
        <v>5.6495860929070149E-2</v>
      </c>
    </row>
    <row r="8049" spans="1:4" ht="16.5" hidden="1" x14ac:dyDescent="0.3">
      <c r="A8049" s="10" t="str">
        <f>基本属性!$B$4&amp;"|"&amp;基本属性!$C$4</f>
        <v>35|0</v>
      </c>
      <c r="B8049" s="10" t="str">
        <f>参数调整!$J$38</f>
        <v>新增怪物种类3掉落</v>
      </c>
      <c r="C8049" s="8" t="str">
        <f>材料产出!$N$2</f>
        <v>火龙凭证</v>
      </c>
      <c r="D8049" s="224">
        <f>参数调整!$K$38*怪物掉落配置方案!$D4971</f>
        <v>1.9485028119775042E-2</v>
      </c>
    </row>
    <row r="8050" spans="1:4" ht="16.5" hidden="1" x14ac:dyDescent="0.3">
      <c r="A8050" s="10" t="str">
        <f>基本属性!$B$5&amp;"|"&amp;基本属性!$C$5</f>
        <v>40|0</v>
      </c>
      <c r="B8050" s="10" t="str">
        <f>参数调整!$J$38</f>
        <v>新增怪物种类3掉落</v>
      </c>
      <c r="C8050" s="8" t="str">
        <f>材料产出!$N$2</f>
        <v>火龙凭证</v>
      </c>
      <c r="D8050" s="224">
        <f>参数调整!$K$38*怪物掉落配置方案!$D4972</f>
        <v>2.4660738714090288E-2</v>
      </c>
    </row>
    <row r="8051" spans="1:4" ht="16.5" hidden="1" x14ac:dyDescent="0.3">
      <c r="A8051" s="10" t="str">
        <f>基本属性!$B$6&amp;"|"&amp;基本属性!$C$6</f>
        <v>50|0</v>
      </c>
      <c r="B8051" s="10" t="str">
        <f>参数调整!$J$38</f>
        <v>新增怪物种类3掉落</v>
      </c>
      <c r="C8051" s="8" t="str">
        <f>材料产出!$N$2</f>
        <v>火龙凭证</v>
      </c>
      <c r="D8051" s="224">
        <f>参数调整!$K$38*怪物掉落配置方案!$D4973</f>
        <v>3.0445356437148501E-2</v>
      </c>
    </row>
    <row r="8052" spans="1:4" ht="16.5" hidden="1" x14ac:dyDescent="0.3">
      <c r="A8052" s="10" t="str">
        <f>基本属性!$B$7&amp;"|"&amp;基本属性!$C$7</f>
        <v>60|0</v>
      </c>
      <c r="B8052" s="10" t="str">
        <f>参数调整!$J$38</f>
        <v>新增怪物种类3掉落</v>
      </c>
      <c r="C8052" s="8" t="str">
        <f>材料产出!$N$2</f>
        <v>火龙凭证</v>
      </c>
      <c r="D8052" s="224">
        <f>参数调整!$K$38*怪物掉落配置方案!$D4974</f>
        <v>3.6838881288949687E-2</v>
      </c>
    </row>
    <row r="8053" spans="1:4" ht="16.5" hidden="1" x14ac:dyDescent="0.3">
      <c r="A8053" s="10" t="str">
        <f>基本属性!$B$8&amp;"|"&amp;基本属性!$C$8</f>
        <v>65|0</v>
      </c>
      <c r="B8053" s="10" t="str">
        <f>参数调整!$J$38</f>
        <v>新增怪物种类3掉落</v>
      </c>
      <c r="C8053" s="8" t="str">
        <f>材料产出!$N$2</f>
        <v>火龙凭证</v>
      </c>
      <c r="D8053" s="224">
        <f>参数调整!$K$38*怪物掉落配置方案!$D4975</f>
        <v>4.3841313269493844E-2</v>
      </c>
    </row>
    <row r="8054" spans="1:4" ht="16.5" hidden="1" x14ac:dyDescent="0.3">
      <c r="A8054" s="10" t="str">
        <f>基本属性!$B$9&amp;"|"&amp;基本属性!$C$9</f>
        <v>70|0</v>
      </c>
      <c r="B8054" s="10" t="str">
        <f>参数调整!$J$38</f>
        <v>新增怪物种类3掉落</v>
      </c>
      <c r="C8054" s="8" t="str">
        <f>材料产出!$N$2</f>
        <v>火龙凭证</v>
      </c>
      <c r="D8054" s="224">
        <f>参数调整!$K$38*怪物掉落配置方案!$D4976</f>
        <v>5.1452652378780966E-2</v>
      </c>
    </row>
    <row r="8055" spans="1:4" ht="16.5" hidden="1" x14ac:dyDescent="0.3">
      <c r="A8055" s="10" t="str">
        <f>基本属性!$B$10&amp;"|"&amp;基本属性!$C$10</f>
        <v>75|0</v>
      </c>
      <c r="B8055" s="10" t="str">
        <f>参数调整!$J$38</f>
        <v>新增怪物种类3掉落</v>
      </c>
      <c r="C8055" s="8" t="str">
        <f>材料产出!$N$2</f>
        <v>火龙凭证</v>
      </c>
      <c r="D8055" s="224">
        <f>参数调整!$K$38*怪物掉落配置方案!$D4977</f>
        <v>5.9672898616811063E-2</v>
      </c>
    </row>
    <row r="8056" spans="1:4" ht="16.5" hidden="1" x14ac:dyDescent="0.3">
      <c r="A8056" s="10" t="str">
        <f>基本属性!$B$11&amp;"|"&amp;基本属性!$C$11</f>
        <v>80|1</v>
      </c>
      <c r="B8056" s="10" t="str">
        <f>参数调整!$J$38</f>
        <v>新增怪物种类3掉落</v>
      </c>
      <c r="C8056" s="8" t="str">
        <f>材料产出!$N$2</f>
        <v>火龙凭证</v>
      </c>
      <c r="D8056" s="224">
        <f>参数调整!$K$38*怪物掉落配置方案!$D4978</f>
        <v>6.8502051983584125E-2</v>
      </c>
    </row>
    <row r="8057" spans="1:4" ht="16.5" hidden="1" x14ac:dyDescent="0.3">
      <c r="A8057" s="10" t="str">
        <f>基本属性!$B$12&amp;"|"&amp;基本属性!$C$12</f>
        <v>90|2</v>
      </c>
      <c r="B8057" s="10" t="str">
        <f>参数调整!$J$38</f>
        <v>新增怪物种类3掉落</v>
      </c>
      <c r="C8057" s="8" t="str">
        <f>材料产出!$N$2</f>
        <v>火龙凭证</v>
      </c>
      <c r="D8057" s="224">
        <f>参数调整!$K$38*怪物掉落配置方案!$D4979</f>
        <v>7.7940112479100182E-2</v>
      </c>
    </row>
    <row r="8058" spans="1:4" ht="16.5" hidden="1" x14ac:dyDescent="0.3">
      <c r="A8058" s="10" t="str">
        <f>基本属性!$B$13&amp;"|"&amp;基本属性!$C$13</f>
        <v>100|3</v>
      </c>
      <c r="B8058" s="10" t="str">
        <f>参数调整!$J$38</f>
        <v>新增怪物种类3掉落</v>
      </c>
      <c r="C8058" s="8" t="str">
        <f>材料产出!$N$2</f>
        <v>火龙凭证</v>
      </c>
      <c r="D8058" s="224">
        <f>参数调整!$K$38*怪物掉落配置方案!$D4980</f>
        <v>9.8642954856361154E-2</v>
      </c>
    </row>
    <row r="8059" spans="1:4" ht="16.5" hidden="1" x14ac:dyDescent="0.3">
      <c r="A8059" s="10" t="str">
        <f>基本属性!$B$14&amp;"|"&amp;基本属性!$C$14</f>
        <v>105|4</v>
      </c>
      <c r="B8059" s="10" t="str">
        <f>参数调整!$J$38</f>
        <v>新增怪物种类3掉落</v>
      </c>
      <c r="C8059" s="8" t="str">
        <f>材料产出!$N$2</f>
        <v>火龙凭证</v>
      </c>
      <c r="D8059" s="224">
        <f>参数调整!$K$38*怪物掉落配置方案!$D4981</f>
        <v>0.12178142574859402</v>
      </c>
    </row>
    <row r="8060" spans="1:4" ht="16.5" hidden="1" x14ac:dyDescent="0.3">
      <c r="A8060" s="10" t="str">
        <f>基本属性!$B$15&amp;"|"&amp;基本属性!$C$15</f>
        <v>110|5</v>
      </c>
      <c r="B8060" s="10" t="str">
        <f>参数调整!$J$38</f>
        <v>新增怪物种类3掉落</v>
      </c>
      <c r="C8060" s="8" t="str">
        <f>材料产出!$N$2</f>
        <v>火龙凭证</v>
      </c>
      <c r="D8060" s="224">
        <f>参数调整!$K$38*怪物掉落配置方案!$D4982</f>
        <v>0.14735552515579875</v>
      </c>
    </row>
    <row r="8061" spans="1:4" ht="16.5" hidden="1" x14ac:dyDescent="0.3">
      <c r="A8061" s="10" t="str">
        <f>基本属性!$B$16&amp;"|"&amp;基本属性!$C$16</f>
        <v>120|6</v>
      </c>
      <c r="B8061" s="10" t="str">
        <f>参数调整!$J$38</f>
        <v>新增怪物种类3掉落</v>
      </c>
      <c r="C8061" s="8" t="str">
        <f>材料产出!$N$2</f>
        <v>火龙凭证</v>
      </c>
      <c r="D8061" s="224">
        <f>参数调整!$K$38*怪物掉落配置方案!$D4983</f>
        <v>0.19028347773217813</v>
      </c>
    </row>
    <row r="8062" spans="1:4" ht="16.5" hidden="1" x14ac:dyDescent="0.3">
      <c r="A8062" s="10" t="str">
        <f>基本属性!$B$17&amp;"|"&amp;基本属性!$C$17</f>
        <v>135|7</v>
      </c>
      <c r="B8062" s="10" t="str">
        <f>参数调整!$J$38</f>
        <v>新增怪物种类3掉落</v>
      </c>
      <c r="C8062" s="8" t="str">
        <f>材料产出!$N$2</f>
        <v>火龙凭证</v>
      </c>
      <c r="D8062" s="224">
        <f>参数调整!$K$38*怪物掉落配置方案!$D4984</f>
        <v>0.2740082079343365</v>
      </c>
    </row>
    <row r="8063" spans="1:4" ht="16.5" hidden="1" x14ac:dyDescent="0.3">
      <c r="A8063" s="10" t="str">
        <f>基本属性!$B$18&amp;"|"&amp;基本属性!$C$18</f>
        <v>155|8</v>
      </c>
      <c r="B8063" s="10" t="str">
        <f>参数调整!$J$38</f>
        <v>新增怪物种类3掉落</v>
      </c>
      <c r="C8063" s="8" t="str">
        <f>材料产出!$N$2</f>
        <v>火龙凭证</v>
      </c>
      <c r="D8063" s="224">
        <f>参数调整!$K$38*怪物掉落配置方案!$D4985</f>
        <v>0.37295561635506913</v>
      </c>
    </row>
    <row r="8064" spans="1:4" ht="16.5" hidden="1" x14ac:dyDescent="0.3">
      <c r="A8064" s="10" t="str">
        <f>基本属性!$B$19&amp;"|"&amp;基本属性!$C$19</f>
        <v>190|9</v>
      </c>
      <c r="B8064" s="10" t="str">
        <f>参数调整!$J$38</f>
        <v>新增怪物种类3掉落</v>
      </c>
      <c r="C8064" s="8" t="str">
        <f>材料产出!$N$2</f>
        <v>火龙凭证</v>
      </c>
      <c r="D8064" s="224">
        <f>参数调整!$K$38*怪物掉落配置方案!$D4986</f>
        <v>0.41679692962456305</v>
      </c>
    </row>
    <row r="8065" spans="1:4" ht="16.5" hidden="1" x14ac:dyDescent="0.3">
      <c r="A8065" s="10" t="str">
        <f>基本属性!$B$20&amp;"|"&amp;基本属性!$C$20</f>
        <v>200|10</v>
      </c>
      <c r="B8065" s="10" t="str">
        <f>参数调整!$J$38</f>
        <v>新增怪物种类3掉落</v>
      </c>
      <c r="C8065" s="8" t="str">
        <f>材料产出!$N$2</f>
        <v>火龙凭证</v>
      </c>
      <c r="D8065" s="224">
        <f>参数调整!$K$38*怪物掉落配置方案!$D4987</f>
        <v>0.48712570299437608</v>
      </c>
    </row>
    <row r="8066" spans="1:4" ht="16.5" hidden="1" x14ac:dyDescent="0.3">
      <c r="A8066" s="10" t="str">
        <f>基本属性!$B$21&amp;"|"&amp;基本属性!$C$21</f>
        <v>200|11</v>
      </c>
      <c r="B8066" s="10" t="str">
        <f>参数调整!$J$38</f>
        <v>新增怪物种类3掉落</v>
      </c>
      <c r="C8066" s="8" t="str">
        <f>材料产出!$N$2</f>
        <v>火龙凭证</v>
      </c>
      <c r="D8066" s="224">
        <f>参数调整!$K$38*怪物掉落配置方案!$D4988</f>
        <v>0.56293464052287567</v>
      </c>
    </row>
    <row r="8067" spans="1:4" ht="16.5" hidden="1" x14ac:dyDescent="0.3">
      <c r="A8067" s="10" t="str">
        <f>基本属性!$B$22&amp;"|"&amp;基本属性!$C$22</f>
        <v>210|12</v>
      </c>
      <c r="B8067" s="10" t="str">
        <f>参数调整!$J$38</f>
        <v>新增怪物种类3掉落</v>
      </c>
      <c r="C8067" s="8" t="str">
        <f>材料产出!$N$2</f>
        <v>火龙凭证</v>
      </c>
      <c r="D8067" s="224">
        <f>参数调整!$K$38*怪物掉落配置方案!$D4989</f>
        <v>0.64422374221006207</v>
      </c>
    </row>
    <row r="8068" spans="1:4" ht="16.5" hidden="1" x14ac:dyDescent="0.3">
      <c r="A8068" s="10" t="str">
        <f>基本属性!$B$23&amp;"|"&amp;基本属性!$C$23</f>
        <v>210|13</v>
      </c>
      <c r="B8068" s="10" t="str">
        <f>参数调整!$J$38</f>
        <v>新增怪物种类3掉落</v>
      </c>
      <c r="C8068" s="8" t="str">
        <f>材料产出!$N$2</f>
        <v>火龙凭证</v>
      </c>
      <c r="D8068" s="224">
        <f>参数调整!$K$38*怪物掉落配置方案!$D4990</f>
        <v>0.7309930080559357</v>
      </c>
    </row>
    <row r="8069" spans="1:4" ht="16.5" hidden="1" x14ac:dyDescent="0.3">
      <c r="A8069" s="10" t="str">
        <f>基本属性!$B$24&amp;"|"&amp;基本属性!$C$24</f>
        <v>220|14</v>
      </c>
      <c r="B8069" s="10" t="str">
        <f>参数调整!$J$38</f>
        <v>新增怪物种类3掉落</v>
      </c>
      <c r="C8069" s="8" t="str">
        <f>材料产出!$N$2</f>
        <v>火龙凭证</v>
      </c>
      <c r="D8069" s="224">
        <f>参数调整!$K$38*怪物掉落配置方案!$D4991</f>
        <v>0.82324243806049546</v>
      </c>
    </row>
    <row r="8070" spans="1:4" ht="16.5" hidden="1" x14ac:dyDescent="0.3">
      <c r="A8070" s="10" t="str">
        <f>基本属性!$B$25&amp;"|"&amp;基本属性!$C$25</f>
        <v>220|15</v>
      </c>
      <c r="B8070" s="10" t="str">
        <f>参数调整!$J$38</f>
        <v>新增怪物种类3掉落</v>
      </c>
      <c r="C8070" s="8" t="str">
        <f>材料产出!$N$2</f>
        <v>火龙凭证</v>
      </c>
      <c r="D8070" s="224">
        <f>参数调整!$K$38*怪物掉落配置方案!$D4992</f>
        <v>0.92097203222374202</v>
      </c>
    </row>
    <row r="8071" spans="1:4" ht="16.5" hidden="1" x14ac:dyDescent="0.3">
      <c r="A8071" s="10" t="str">
        <f>基本属性!$B$26&amp;"|"&amp;基本属性!$C$26</f>
        <v>230|16</v>
      </c>
      <c r="B8071" s="10" t="str">
        <f>参数调整!$J$38</f>
        <v>新增怪物种类3掉落</v>
      </c>
      <c r="C8071" s="8" t="str">
        <f>材料产出!$N$2</f>
        <v>火龙凭证</v>
      </c>
      <c r="D8071" s="224">
        <f>参数调整!$K$38*怪物掉落配置方案!$D4993</f>
        <v>1.0241817905456756</v>
      </c>
    </row>
    <row r="8072" spans="1:4" ht="16.5" hidden="1" x14ac:dyDescent="0.3">
      <c r="A8072" s="10" t="str">
        <f>基本属性!$B$27&amp;"|"&amp;基本属性!$C$27</f>
        <v>230|17</v>
      </c>
      <c r="B8072" s="10" t="str">
        <f>参数调整!$J$38</f>
        <v>新增怪物种类3掉落</v>
      </c>
      <c r="C8072" s="8" t="str">
        <f>材料产出!$N$2</f>
        <v>火龙凭证</v>
      </c>
      <c r="D8072" s="224">
        <f>参数调整!$K$38*怪物掉落配置方案!$D4994</f>
        <v>1.1328717130262955</v>
      </c>
    </row>
    <row r="8073" spans="1:4" ht="16.5" hidden="1" x14ac:dyDescent="0.3">
      <c r="A8073" s="10" t="str">
        <f>基本属性!$B$28&amp;"|"&amp;基本属性!$C$28</f>
        <v>240|18</v>
      </c>
      <c r="B8073" s="10" t="str">
        <f>参数调整!$J$38</f>
        <v>新增怪物种类3掉落</v>
      </c>
      <c r="C8073" s="8" t="str">
        <f>材料产出!$N$2</f>
        <v>火龙凭证</v>
      </c>
      <c r="D8073" s="224">
        <f>参数调整!$K$38*怪物掉落配置方案!$D4995</f>
        <v>1.2470417996656029</v>
      </c>
    </row>
    <row r="8074" spans="1:4" ht="16.5" hidden="1" x14ac:dyDescent="0.3">
      <c r="A8074" s="10" t="str">
        <f>基本属性!$B$29&amp;"|"&amp;基本属性!$C$29</f>
        <v>240|19</v>
      </c>
      <c r="B8074" s="10" t="str">
        <f>参数调整!$J$38</f>
        <v>新增怪物种类3掉落</v>
      </c>
      <c r="C8074" s="8" t="str">
        <f>材料产出!$N$2</f>
        <v>火龙凭证</v>
      </c>
      <c r="D8074" s="224">
        <f>参数调整!$K$38*怪物掉落配置方案!$D4996</f>
        <v>1.3666920504635964</v>
      </c>
    </row>
    <row r="8075" spans="1:4" ht="16.5" hidden="1" x14ac:dyDescent="0.3">
      <c r="A8075" s="10" t="str">
        <f>基本属性!$B$30&amp;"|"&amp;基本属性!$C$30</f>
        <v>250|20</v>
      </c>
      <c r="B8075" s="10" t="str">
        <f>参数调整!$J$38</f>
        <v>新增怪物种类3掉落</v>
      </c>
      <c r="C8075" s="8" t="str">
        <f>材料产出!$N$2</f>
        <v>火龙凭证</v>
      </c>
      <c r="D8075" s="224">
        <f>参数调整!$K$38*怪物掉落配置方案!$D4997</f>
        <v>1.4918224654202763</v>
      </c>
    </row>
    <row r="8076" spans="1:4" ht="16.5" hidden="1" x14ac:dyDescent="0.3">
      <c r="A8076" s="10" t="str">
        <f>基本属性!$B$4&amp;"|"&amp;基本属性!$C$4</f>
        <v>35|0</v>
      </c>
      <c r="B8076" s="10" t="str">
        <f>参数调整!$J$38</f>
        <v>新增怪物种类3掉落</v>
      </c>
      <c r="C8076" s="8" t="str">
        <f>材料产出!$AR$2</f>
        <v>火龙精魄</v>
      </c>
      <c r="D8076" s="224">
        <f>参数调整!$K$38*怪物掉落配置方案!$D4998</f>
        <v>9.7400366500679461E-6</v>
      </c>
    </row>
    <row r="8077" spans="1:4" ht="16.5" hidden="1" x14ac:dyDescent="0.3">
      <c r="A8077" s="10" t="str">
        <f>基本属性!$B$5&amp;"|"&amp;基本属性!$C$5</f>
        <v>40|0</v>
      </c>
      <c r="B8077" s="10" t="str">
        <f>参数调整!$J$38</f>
        <v>新增怪物种类3掉落</v>
      </c>
      <c r="C8077" s="8" t="str">
        <f>材料产出!$AR$2</f>
        <v>火龙精魄</v>
      </c>
      <c r="D8077" s="224">
        <f>参数调整!$K$38*怪物掉落配置方案!$D4999</f>
        <v>1.2327233885242244E-5</v>
      </c>
    </row>
    <row r="8078" spans="1:4" ht="16.5" hidden="1" x14ac:dyDescent="0.3">
      <c r="A8078" s="10" t="str">
        <f>基本属性!$B$6&amp;"|"&amp;基本属性!$C$6</f>
        <v>50|0</v>
      </c>
      <c r="B8078" s="10" t="str">
        <f>参数调整!$J$38</f>
        <v>新增怪物种类3掉落</v>
      </c>
      <c r="C8078" s="8" t="str">
        <f>材料产出!$AR$2</f>
        <v>火龙精魄</v>
      </c>
      <c r="D8078" s="224">
        <f>参数调整!$K$38*怪物掉落配置方案!$D5000</f>
        <v>1.5218807265731164E-5</v>
      </c>
    </row>
    <row r="8079" spans="1:4" ht="16.5" hidden="1" x14ac:dyDescent="0.3">
      <c r="A8079" s="10" t="str">
        <f>基本属性!$B$7&amp;"|"&amp;基本属性!$C$7</f>
        <v>60|0</v>
      </c>
      <c r="B8079" s="10" t="str">
        <f>参数调整!$J$38</f>
        <v>新增怪物种类3掉落</v>
      </c>
      <c r="C8079" s="8" t="str">
        <f>材料产出!$AR$2</f>
        <v>火龙精魄</v>
      </c>
      <c r="D8079" s="224">
        <f>参数调整!$K$38*怪物掉落配置方案!$D5001</f>
        <v>1.8414756791534713E-5</v>
      </c>
    </row>
    <row r="8080" spans="1:4" ht="16.5" hidden="1" x14ac:dyDescent="0.3">
      <c r="A8080" s="10" t="str">
        <f>基本属性!$B$8&amp;"|"&amp;基本属性!$C$8</f>
        <v>65|0</v>
      </c>
      <c r="B8080" s="10" t="str">
        <f>参数调整!$J$38</f>
        <v>新增怪物种类3掉落</v>
      </c>
      <c r="C8080" s="8" t="str">
        <f>材料产出!$AR$2</f>
        <v>火龙精魄</v>
      </c>
      <c r="D8080" s="224">
        <f>参数调整!$K$38*怪物掉落配置方案!$D5002</f>
        <v>2.1915082462652876E-5</v>
      </c>
    </row>
    <row r="8081" spans="1:4" ht="16.5" hidden="1" x14ac:dyDescent="0.3">
      <c r="A8081" s="10" t="str">
        <f>基本属性!$B$9&amp;"|"&amp;基本属性!$C$9</f>
        <v>70|0</v>
      </c>
      <c r="B8081" s="10" t="str">
        <f>参数调整!$J$38</f>
        <v>新增怪物种类3掉落</v>
      </c>
      <c r="C8081" s="8" t="str">
        <f>材料产出!$AR$2</f>
        <v>火龙精魄</v>
      </c>
      <c r="D8081" s="224">
        <f>参数调整!$K$38*怪物掉落配置方案!$D5003</f>
        <v>2.5719784279085667E-5</v>
      </c>
    </row>
    <row r="8082" spans="1:4" ht="16.5" hidden="1" x14ac:dyDescent="0.3">
      <c r="A8082" s="10" t="str">
        <f>基本属性!$B$10&amp;"|"&amp;基本属性!$C$10</f>
        <v>75|0</v>
      </c>
      <c r="B8082" s="10" t="str">
        <f>参数调整!$J$38</f>
        <v>新增怪物种类3掉落</v>
      </c>
      <c r="C8082" s="8" t="str">
        <f>材料产出!$AR$2</f>
        <v>火龙精魄</v>
      </c>
      <c r="D8082" s="224">
        <f>参数调整!$K$38*怪物掉落配置方案!$D5004</f>
        <v>2.9828862240833074E-5</v>
      </c>
    </row>
    <row r="8083" spans="1:4" ht="16.5" hidden="1" x14ac:dyDescent="0.3">
      <c r="A8083" s="10" t="str">
        <f>基本属性!$B$11&amp;"|"&amp;基本属性!$C$11</f>
        <v>80|1</v>
      </c>
      <c r="B8083" s="10" t="str">
        <f>参数调整!$J$38</f>
        <v>新增怪物种类3掉落</v>
      </c>
      <c r="C8083" s="8" t="str">
        <f>材料产出!$AR$2</f>
        <v>火龙精魄</v>
      </c>
      <c r="D8083" s="224">
        <f>参数调整!$K$38*怪物掉落配置方案!$D5005</f>
        <v>3.4242316347895113E-5</v>
      </c>
    </row>
    <row r="8084" spans="1:4" ht="16.5" hidden="1" x14ac:dyDescent="0.3">
      <c r="A8084" s="10" t="str">
        <f>基本属性!$B$12&amp;"|"&amp;基本属性!$C$12</f>
        <v>90|2</v>
      </c>
      <c r="B8084" s="10" t="str">
        <f>参数调整!$J$38</f>
        <v>新增怪物种类3掉落</v>
      </c>
      <c r="C8084" s="8" t="str">
        <f>材料产出!$AR$2</f>
        <v>火龙精魄</v>
      </c>
      <c r="D8084" s="224">
        <f>参数调整!$K$38*怪物掉落配置方案!$D5006</f>
        <v>3.8960146600271791E-5</v>
      </c>
    </row>
    <row r="8085" spans="1:4" ht="16.5" hidden="1" x14ac:dyDescent="0.3">
      <c r="A8085" s="10" t="str">
        <f>基本属性!$B$13&amp;"|"&amp;基本属性!$C$13</f>
        <v>100|3</v>
      </c>
      <c r="B8085" s="10" t="str">
        <f>参数调整!$J$38</f>
        <v>新增怪物种类3掉落</v>
      </c>
      <c r="C8085" s="8" t="str">
        <f>材料产出!$AR$2</f>
        <v>火龙精魄</v>
      </c>
      <c r="D8085" s="224">
        <f>参数调整!$K$38*怪物掉落配置方案!$D5007</f>
        <v>4.9308935540968983E-5</v>
      </c>
    </row>
    <row r="8086" spans="1:4" ht="16.5" hidden="1" x14ac:dyDescent="0.3">
      <c r="A8086" s="10" t="str">
        <f>基本属性!$B$14&amp;"|"&amp;基本属性!$C$14</f>
        <v>105|4</v>
      </c>
      <c r="B8086" s="10" t="str">
        <f>参数调整!$J$38</f>
        <v>新增怪物种类3掉落</v>
      </c>
      <c r="C8086" s="8" t="str">
        <f>材料产出!$AR$2</f>
        <v>火龙精魄</v>
      </c>
      <c r="D8086" s="224">
        <f>参数调整!$K$38*怪物掉落配置方案!$D5008</f>
        <v>6.0875229062924657E-5</v>
      </c>
    </row>
    <row r="8087" spans="1:4" ht="16.5" hidden="1" x14ac:dyDescent="0.3">
      <c r="A8087" s="10" t="str">
        <f>基本属性!$B$15&amp;"|"&amp;基本属性!$C$15</f>
        <v>110|5</v>
      </c>
      <c r="B8087" s="10" t="str">
        <f>参数调整!$J$38</f>
        <v>新增怪物种类3掉落</v>
      </c>
      <c r="C8087" s="8" t="str">
        <f>材料产出!$AR$2</f>
        <v>火龙精魄</v>
      </c>
      <c r="D8087" s="224">
        <f>参数调整!$K$38*怪物掉落配置方案!$D5009</f>
        <v>7.3659027166138853E-5</v>
      </c>
    </row>
    <row r="8088" spans="1:4" ht="16.5" hidden="1" x14ac:dyDescent="0.3">
      <c r="A8088" s="10" t="str">
        <f>基本属性!$B$16&amp;"|"&amp;基本属性!$C$16</f>
        <v>120|6</v>
      </c>
      <c r="B8088" s="10" t="str">
        <f>参数调整!$J$38</f>
        <v>新增怪物种类3掉落</v>
      </c>
      <c r="C8088" s="8" t="str">
        <f>材料产出!$AR$2</f>
        <v>火龙精魄</v>
      </c>
      <c r="D8088" s="224">
        <f>参数调整!$K$38*怪物掉落配置方案!$D5010</f>
        <v>9.5117545410819784E-5</v>
      </c>
    </row>
    <row r="8089" spans="1:4" ht="16.5" hidden="1" x14ac:dyDescent="0.3">
      <c r="A8089" s="10" t="str">
        <f>基本属性!$B$17&amp;"|"&amp;基本属性!$C$17</f>
        <v>135|7</v>
      </c>
      <c r="B8089" s="10" t="str">
        <f>参数调整!$J$38</f>
        <v>新增怪物种类3掉落</v>
      </c>
      <c r="C8089" s="8" t="str">
        <f>材料产出!$AR$2</f>
        <v>火龙精魄</v>
      </c>
      <c r="D8089" s="224">
        <f>参数调整!$K$38*怪物掉落配置方案!$D5011</f>
        <v>1.3696926539158048E-4</v>
      </c>
    </row>
    <row r="8090" spans="1:4" ht="16.5" hidden="1" x14ac:dyDescent="0.3">
      <c r="A8090" s="10" t="str">
        <f>基本属性!$B$18&amp;"|"&amp;基本属性!$C$18</f>
        <v>155|8</v>
      </c>
      <c r="B8090" s="10" t="str">
        <f>参数调整!$J$38</f>
        <v>新增怪物种类3掉落</v>
      </c>
      <c r="C8090" s="8" t="str">
        <f>材料产出!$AR$2</f>
        <v>火龙精魄</v>
      </c>
      <c r="D8090" s="224">
        <f>参数调整!$K$38*怪物掉落配置方案!$D5012</f>
        <v>1.8643038900520681E-4</v>
      </c>
    </row>
    <row r="8091" spans="1:4" ht="16.5" hidden="1" x14ac:dyDescent="0.3">
      <c r="A8091" s="10" t="str">
        <f>基本属性!$B$19&amp;"|"&amp;基本属性!$C$19</f>
        <v>190|9</v>
      </c>
      <c r="B8091" s="10" t="str">
        <f>参数调整!$J$38</f>
        <v>新增怪物种类3掉落</v>
      </c>
      <c r="C8091" s="8" t="str">
        <f>材料产出!$AR$2</f>
        <v>火龙精魄</v>
      </c>
      <c r="D8091" s="224">
        <f>参数调整!$K$38*怪物掉落配置方案!$D5013</f>
        <v>2.0834547146785962E-4</v>
      </c>
    </row>
    <row r="8092" spans="1:4" ht="16.5" hidden="1" x14ac:dyDescent="0.3">
      <c r="A8092" s="10" t="str">
        <f>基本属性!$B$20&amp;"|"&amp;基本属性!$C$20</f>
        <v>200|10</v>
      </c>
      <c r="B8092" s="10" t="str">
        <f>参数调整!$J$38</f>
        <v>新增怪物种类3掉落</v>
      </c>
      <c r="C8092" s="8" t="str">
        <f>材料产出!$AR$2</f>
        <v>火龙精魄</v>
      </c>
      <c r="D8092" s="224">
        <f>参数调整!$K$38*怪物掉落配置方案!$D5014</f>
        <v>2.4350091625169863E-4</v>
      </c>
    </row>
    <row r="8093" spans="1:4" ht="16.5" hidden="1" x14ac:dyDescent="0.3">
      <c r="A8093" s="10" t="str">
        <f>基本属性!$B$21&amp;"|"&amp;基本属性!$C$21</f>
        <v>200|11</v>
      </c>
      <c r="B8093" s="10" t="str">
        <f>参数调整!$J$38</f>
        <v>新增怪物种类3掉落</v>
      </c>
      <c r="C8093" s="8" t="str">
        <f>材料产出!$AR$2</f>
        <v>火龙精魄</v>
      </c>
      <c r="D8093" s="224">
        <f>参数调整!$K$38*怪物掉落配置方案!$D5015</f>
        <v>2.813957463433692E-4</v>
      </c>
    </row>
    <row r="8094" spans="1:4" ht="16.5" hidden="1" x14ac:dyDescent="0.3">
      <c r="A8094" s="10" t="str">
        <f>基本属性!$B$22&amp;"|"&amp;基本属性!$C$22</f>
        <v>210|12</v>
      </c>
      <c r="B8094" s="10" t="str">
        <f>参数调整!$J$38</f>
        <v>新增怪物种类3掉落</v>
      </c>
      <c r="C8094" s="8" t="str">
        <f>材料产出!$AR$2</f>
        <v>火龙精魄</v>
      </c>
      <c r="D8094" s="224">
        <f>参数调整!$K$38*怪物掉落配置方案!$D5016</f>
        <v>3.2202996174287137E-4</v>
      </c>
    </row>
    <row r="8095" spans="1:4" ht="16.5" hidden="1" x14ac:dyDescent="0.3">
      <c r="A8095" s="10" t="str">
        <f>基本属性!$B$23&amp;"|"&amp;基本属性!$C$23</f>
        <v>210|13</v>
      </c>
      <c r="B8095" s="10" t="str">
        <f>参数调整!$J$38</f>
        <v>新增怪物种类3掉落</v>
      </c>
      <c r="C8095" s="8" t="str">
        <f>材料产出!$AR$2</f>
        <v>火龙精魄</v>
      </c>
      <c r="D8095" s="224">
        <f>参数调整!$K$38*怪物掉落配置方案!$D5017</f>
        <v>3.6540356245020532E-4</v>
      </c>
    </row>
    <row r="8096" spans="1:4" ht="16.5" hidden="1" x14ac:dyDescent="0.3">
      <c r="A8096" s="10" t="str">
        <f>基本属性!$B$24&amp;"|"&amp;基本属性!$C$24</f>
        <v>220|14</v>
      </c>
      <c r="B8096" s="10" t="str">
        <f>参数调整!$J$38</f>
        <v>新增怪物种类3掉落</v>
      </c>
      <c r="C8096" s="8" t="str">
        <f>材料产出!$AR$2</f>
        <v>火龙精魄</v>
      </c>
      <c r="D8096" s="224">
        <f>参数调整!$K$38*怪物掉落配置方案!$D5018</f>
        <v>4.1151654846537068E-4</v>
      </c>
    </row>
    <row r="8097" spans="1:4" ht="16.5" hidden="1" x14ac:dyDescent="0.3">
      <c r="A8097" s="10" t="str">
        <f>基本属性!$B$25&amp;"|"&amp;基本属性!$C$25</f>
        <v>220|15</v>
      </c>
      <c r="B8097" s="10" t="str">
        <f>参数调整!$J$38</f>
        <v>新增怪物种类3掉落</v>
      </c>
      <c r="C8097" s="8" t="str">
        <f>材料产出!$AR$2</f>
        <v>火龙精魄</v>
      </c>
      <c r="D8097" s="224">
        <f>参数调整!$K$38*怪物掉落配置方案!$D5019</f>
        <v>4.603689197883676E-4</v>
      </c>
    </row>
    <row r="8098" spans="1:4" ht="16.5" hidden="1" x14ac:dyDescent="0.3">
      <c r="A8098" s="10" t="str">
        <f>基本属性!$B$26&amp;"|"&amp;基本属性!$C$26</f>
        <v>230|16</v>
      </c>
      <c r="B8098" s="10" t="str">
        <f>参数调整!$J$38</f>
        <v>新增怪物种类3掉落</v>
      </c>
      <c r="C8098" s="8" t="str">
        <f>材料产出!$AR$2</f>
        <v>火龙精魄</v>
      </c>
      <c r="D8098" s="224">
        <f>参数调整!$K$38*怪物掉落配置方案!$D5020</f>
        <v>5.1196067641919626E-4</v>
      </c>
    </row>
    <row r="8099" spans="1:4" ht="16.5" hidden="1" x14ac:dyDescent="0.3">
      <c r="A8099" s="10" t="str">
        <f>基本属性!$B$27&amp;"|"&amp;基本属性!$C$27</f>
        <v>230|17</v>
      </c>
      <c r="B8099" s="10" t="str">
        <f>参数调整!$J$38</f>
        <v>新增怪物种类3掉落</v>
      </c>
      <c r="C8099" s="8" t="str">
        <f>材料产出!$AR$2</f>
        <v>火龙精魄</v>
      </c>
      <c r="D8099" s="224">
        <f>参数调整!$K$38*怪物掉落配置方案!$D5021</f>
        <v>5.6629181835785654E-4</v>
      </c>
    </row>
    <row r="8100" spans="1:4" ht="16.5" hidden="1" x14ac:dyDescent="0.3">
      <c r="A8100" s="10" t="str">
        <f>基本属性!$B$28&amp;"|"&amp;基本属性!$C$28</f>
        <v>240|18</v>
      </c>
      <c r="B8100" s="10" t="str">
        <f>参数调整!$J$38</f>
        <v>新增怪物种类3掉落</v>
      </c>
      <c r="C8100" s="8" t="str">
        <f>材料产出!$AR$2</f>
        <v>火龙精魄</v>
      </c>
      <c r="D8100" s="224">
        <f>参数调整!$K$38*怪物掉落配置方案!$D5022</f>
        <v>6.2336234560434855E-4</v>
      </c>
    </row>
    <row r="8101" spans="1:4" ht="16.5" hidden="1" x14ac:dyDescent="0.3">
      <c r="A8101" s="10" t="str">
        <f>基本属性!$B$29&amp;"|"&amp;基本属性!$C$29</f>
        <v>240|19</v>
      </c>
      <c r="B8101" s="10" t="str">
        <f>参数调整!$J$38</f>
        <v>新增怪物种类3掉落</v>
      </c>
      <c r="C8101" s="8" t="str">
        <f>材料产出!$AR$2</f>
        <v>火龙精魄</v>
      </c>
      <c r="D8101" s="224">
        <f>参数调整!$K$38*怪物掉落配置方案!$D5023</f>
        <v>6.8317225815867208E-4</v>
      </c>
    </row>
    <row r="8102" spans="1:4" ht="16.5" hidden="1" x14ac:dyDescent="0.3">
      <c r="A8102" s="10" t="str">
        <f>基本属性!$B$30&amp;"|"&amp;基本属性!$C$30</f>
        <v>250|20</v>
      </c>
      <c r="B8102" s="10" t="str">
        <f>参数调整!$J$38</f>
        <v>新增怪物种类3掉落</v>
      </c>
      <c r="C8102" s="8" t="str">
        <f>材料产出!$AR$2</f>
        <v>火龙精魄</v>
      </c>
      <c r="D8102" s="224">
        <f>参数调整!$K$38*怪物掉落配置方案!$D5024</f>
        <v>7.457215560208269E-4</v>
      </c>
    </row>
    <row r="8103" spans="1:4" ht="16.5" hidden="1" x14ac:dyDescent="0.3">
      <c r="A8103" s="10" t="str">
        <f>基本属性!$B$4&amp;"|"&amp;基本属性!$C$4</f>
        <v>35|0</v>
      </c>
      <c r="B8103" s="10" t="str">
        <f>参数调整!$J$38</f>
        <v>新增怪物种类3掉落</v>
      </c>
      <c r="C8103" s="8" t="str">
        <f>材料产出!$L$2</f>
        <v>火龙币</v>
      </c>
      <c r="D8103" s="224">
        <f>参数调整!$K$38*怪物掉落配置方案!$D5025</f>
        <v>2.678510078768685E-3</v>
      </c>
    </row>
    <row r="8104" spans="1:4" ht="16.5" hidden="1" x14ac:dyDescent="0.3">
      <c r="A8104" s="10" t="str">
        <f>基本属性!$B$5&amp;"|"&amp;基本属性!$C$5</f>
        <v>40|0</v>
      </c>
      <c r="B8104" s="10" t="str">
        <f>参数调整!$J$38</f>
        <v>新增怪物种类3掉落</v>
      </c>
      <c r="C8104" s="8" t="str">
        <f>材料产出!$L$2</f>
        <v>火龙币</v>
      </c>
      <c r="D8104" s="224">
        <f>参数调整!$K$38*怪物掉落配置方案!$D5026</f>
        <v>3.3899893184416163E-3</v>
      </c>
    </row>
    <row r="8105" spans="1:4" ht="16.5" hidden="1" x14ac:dyDescent="0.3">
      <c r="A8105" s="10" t="str">
        <f>基本属性!$B$6&amp;"|"&amp;基本属性!$C$6</f>
        <v>50|0</v>
      </c>
      <c r="B8105" s="10" t="str">
        <f>参数调整!$J$38</f>
        <v>新增怪物种类3掉落</v>
      </c>
      <c r="C8105" s="8" t="str">
        <f>材料产出!$L$2</f>
        <v>火龙币</v>
      </c>
      <c r="D8105" s="224">
        <f>参数调整!$K$38*怪物掉落配置方案!$D5027</f>
        <v>4.1851719980760703E-3</v>
      </c>
    </row>
    <row r="8106" spans="1:4" ht="16.5" hidden="1" x14ac:dyDescent="0.3">
      <c r="A8106" s="10" t="str">
        <f>基本属性!$B$7&amp;"|"&amp;基本属性!$C$7</f>
        <v>60|0</v>
      </c>
      <c r="B8106" s="10" t="str">
        <f>参数调整!$J$38</f>
        <v>新增怪物种类3掉落</v>
      </c>
      <c r="C8106" s="8" t="str">
        <f>材料产出!$L$2</f>
        <v>火龙币</v>
      </c>
      <c r="D8106" s="224">
        <f>参数调整!$K$38*怪物掉落配置方案!$D5028</f>
        <v>5.0640581176720446E-3</v>
      </c>
    </row>
    <row r="8107" spans="1:4" ht="16.5" hidden="1" x14ac:dyDescent="0.3">
      <c r="A8107" s="10" t="str">
        <f>基本属性!$B$8&amp;"|"&amp;基本属性!$C$8</f>
        <v>65|0</v>
      </c>
      <c r="B8107" s="10" t="str">
        <f>参数调整!$J$38</f>
        <v>新增怪物种类3掉落</v>
      </c>
      <c r="C8107" s="8" t="str">
        <f>材料产出!$L$2</f>
        <v>火龙币</v>
      </c>
      <c r="D8107" s="224">
        <f>参数调整!$K$38*怪物掉落配置方案!$D5029</f>
        <v>6.0266476772295402E-3</v>
      </c>
    </row>
    <row r="8108" spans="1:4" ht="16.5" hidden="1" x14ac:dyDescent="0.3">
      <c r="A8108" s="10" t="str">
        <f>基本属性!$B$9&amp;"|"&amp;基本属性!$C$9</f>
        <v>70|0</v>
      </c>
      <c r="B8108" s="10" t="str">
        <f>参数调整!$J$38</f>
        <v>新增怪物种类3掉落</v>
      </c>
      <c r="C8108" s="8" t="str">
        <f>材料产出!$L$2</f>
        <v>火龙币</v>
      </c>
      <c r="D8108" s="224">
        <f>参数调整!$K$38*怪物掉落配置方案!$D5030</f>
        <v>7.072940676748558E-3</v>
      </c>
    </row>
    <row r="8109" spans="1:4" ht="16.5" hidden="1" x14ac:dyDescent="0.3">
      <c r="A8109" s="10" t="str">
        <f>基本属性!$B$10&amp;"|"&amp;基本属性!$C$10</f>
        <v>75|0</v>
      </c>
      <c r="B8109" s="10" t="str">
        <f>参数调整!$J$38</f>
        <v>新增怪物种类3掉落</v>
      </c>
      <c r="C8109" s="8" t="str">
        <f>材料产出!$L$2</f>
        <v>火龙币</v>
      </c>
      <c r="D8109" s="224">
        <f>参数调整!$K$38*怪物掉落配置方案!$D5031</f>
        <v>8.2029371162290945E-3</v>
      </c>
    </row>
    <row r="8110" spans="1:4" ht="16.5" hidden="1" x14ac:dyDescent="0.3">
      <c r="A8110" s="10" t="str">
        <f>基本属性!$B$11&amp;"|"&amp;基本属性!$C$11</f>
        <v>80|1</v>
      </c>
      <c r="B8110" s="10" t="str">
        <f>参数调整!$J$38</f>
        <v>新增怪物种类3掉落</v>
      </c>
      <c r="C8110" s="8" t="str">
        <f>材料产出!$L$2</f>
        <v>火龙币</v>
      </c>
      <c r="D8110" s="224">
        <f>参数调整!$K$38*怪物掉落配置方案!$D5032</f>
        <v>9.4166369956711557E-3</v>
      </c>
    </row>
    <row r="8111" spans="1:4" ht="16.5" hidden="1" x14ac:dyDescent="0.3">
      <c r="A8111" s="10" t="str">
        <f>基本属性!$B$12&amp;"|"&amp;基本属性!$C$12</f>
        <v>90|2</v>
      </c>
      <c r="B8111" s="10" t="str">
        <f>参数调整!$J$38</f>
        <v>新增怪物种类3掉落</v>
      </c>
      <c r="C8111" s="8" t="str">
        <f>材料产出!$L$2</f>
        <v>火龙币</v>
      </c>
      <c r="D8111" s="224">
        <f>参数调整!$K$38*怪物掉落配置方案!$D5033</f>
        <v>1.0714040315074742E-2</v>
      </c>
    </row>
    <row r="8112" spans="1:4" ht="16.5" hidden="1" x14ac:dyDescent="0.3">
      <c r="A8112" s="10" t="str">
        <f>基本属性!$B$13&amp;"|"&amp;基本属性!$C$13</f>
        <v>100|3</v>
      </c>
      <c r="B8112" s="10" t="str">
        <f>参数调整!$J$38</f>
        <v>新增怪物种类3掉落</v>
      </c>
      <c r="C8112" s="8" t="str">
        <f>材料产出!$L$2</f>
        <v>火龙币</v>
      </c>
      <c r="D8112" s="224">
        <f>参数调整!$K$38*怪物掉落配置方案!$D5034</f>
        <v>1.3559957273766469E-2</v>
      </c>
    </row>
    <row r="8113" spans="1:4" ht="16.5" hidden="1" x14ac:dyDescent="0.3">
      <c r="A8113" s="10" t="str">
        <f>基本属性!$B$14&amp;"|"&amp;基本属性!$C$14</f>
        <v>105|4</v>
      </c>
      <c r="B8113" s="10" t="str">
        <f>参数调整!$J$38</f>
        <v>新增怪物种类3掉落</v>
      </c>
      <c r="C8113" s="8" t="str">
        <f>材料产出!$L$2</f>
        <v>火龙币</v>
      </c>
      <c r="D8113" s="224">
        <f>参数调整!$K$38*怪物掉落配置方案!$D5035</f>
        <v>1.6740687992304281E-2</v>
      </c>
    </row>
    <row r="8114" spans="1:4" ht="16.5" hidden="1" x14ac:dyDescent="0.3">
      <c r="A8114" s="10" t="str">
        <f>基本属性!$B$15&amp;"|"&amp;基本属性!$C$15</f>
        <v>110|5</v>
      </c>
      <c r="B8114" s="10" t="str">
        <f>参数调整!$J$38</f>
        <v>新增怪物种类3掉落</v>
      </c>
      <c r="C8114" s="8" t="str">
        <f>材料产出!$L$2</f>
        <v>火龙币</v>
      </c>
      <c r="D8114" s="224">
        <f>参数调整!$K$38*怪物掉落配置方案!$D5036</f>
        <v>2.0256232470688182E-2</v>
      </c>
    </row>
    <row r="8115" spans="1:4" ht="16.5" hidden="1" x14ac:dyDescent="0.3">
      <c r="A8115" s="10" t="str">
        <f>基本属性!$B$16&amp;"|"&amp;基本属性!$C$16</f>
        <v>120|6</v>
      </c>
      <c r="B8115" s="10" t="str">
        <f>参数调整!$J$38</f>
        <v>新增怪物种类3掉落</v>
      </c>
      <c r="C8115" s="8" t="str">
        <f>材料产出!$L$2</f>
        <v>火龙币</v>
      </c>
      <c r="D8115" s="224">
        <f>参数调整!$K$38*怪物掉落配置方案!$D5037</f>
        <v>2.615732498797544E-2</v>
      </c>
    </row>
    <row r="8116" spans="1:4" ht="16.5" hidden="1" x14ac:dyDescent="0.3">
      <c r="A8116" s="10" t="str">
        <f>基本属性!$B$17&amp;"|"&amp;基本属性!$C$17</f>
        <v>135|7</v>
      </c>
      <c r="B8116" s="10" t="str">
        <f>参数调整!$J$38</f>
        <v>新增怪物种类3掉落</v>
      </c>
      <c r="C8116" s="8" t="str">
        <f>材料产出!$L$2</f>
        <v>火龙币</v>
      </c>
      <c r="D8116" s="224">
        <f>参数调整!$K$38*怪物掉落配置方案!$D5038</f>
        <v>3.7666547982684623E-2</v>
      </c>
    </row>
    <row r="8117" spans="1:4" ht="16.5" hidden="1" x14ac:dyDescent="0.3">
      <c r="A8117" s="10" t="str">
        <f>基本属性!$B$18&amp;"|"&amp;基本属性!$C$18</f>
        <v>155|8</v>
      </c>
      <c r="B8117" s="10" t="str">
        <f>参数调整!$J$38</f>
        <v>新增怪物种类3掉落</v>
      </c>
      <c r="C8117" s="8" t="str">
        <f>材料产出!$L$2</f>
        <v>火龙币</v>
      </c>
      <c r="D8117" s="224">
        <f>参数调整!$K$38*怪物掉落配置方案!$D5039</f>
        <v>5.1268356976431853E-2</v>
      </c>
    </row>
    <row r="8118" spans="1:4" ht="16.5" hidden="1" x14ac:dyDescent="0.3">
      <c r="A8118" s="10" t="str">
        <f>基本属性!$B$19&amp;"|"&amp;基本属性!$C$19</f>
        <v>190|9</v>
      </c>
      <c r="B8118" s="10" t="str">
        <f>参数调整!$J$38</f>
        <v>新增怪物种类3掉落</v>
      </c>
      <c r="C8118" s="8" t="str">
        <f>材料产出!$L$2</f>
        <v>火龙币</v>
      </c>
      <c r="D8118" s="224">
        <f>参数调整!$K$38*怪物掉落配置方案!$D5040</f>
        <v>5.7295004653661399E-2</v>
      </c>
    </row>
    <row r="8119" spans="1:4" ht="16.5" hidden="1" x14ac:dyDescent="0.3">
      <c r="A8119" s="10" t="str">
        <f>基本属性!$B$20&amp;"|"&amp;基本属性!$C$20</f>
        <v>200|10</v>
      </c>
      <c r="B8119" s="10" t="str">
        <f>参数调整!$J$38</f>
        <v>新增怪物种类3掉落</v>
      </c>
      <c r="C8119" s="8" t="str">
        <f>材料产出!$L$2</f>
        <v>火龙币</v>
      </c>
      <c r="D8119" s="224">
        <f>参数调整!$K$38*怪物掉落配置方案!$D5041</f>
        <v>6.6962751969217124E-2</v>
      </c>
    </row>
    <row r="8120" spans="1:4" ht="16.5" hidden="1" x14ac:dyDescent="0.3">
      <c r="A8120" s="10" t="str">
        <f>基本属性!$B$21&amp;"|"&amp;基本属性!$C$21</f>
        <v>200|11</v>
      </c>
      <c r="B8120" s="10" t="str">
        <f>参数调整!$J$38</f>
        <v>新增怪物种类3掉落</v>
      </c>
      <c r="C8120" s="8" t="str">
        <f>材料产出!$L$2</f>
        <v>火龙币</v>
      </c>
      <c r="D8120" s="224">
        <f>参数调整!$K$38*怪物掉落配置方案!$D5042</f>
        <v>7.7383830244426521E-2</v>
      </c>
    </row>
    <row r="8121" spans="1:4" ht="16.5" hidden="1" x14ac:dyDescent="0.3">
      <c r="A8121" s="10" t="str">
        <f>基本属性!$B$22&amp;"|"&amp;基本属性!$C$22</f>
        <v>210|12</v>
      </c>
      <c r="B8121" s="10" t="str">
        <f>参数调整!$J$38</f>
        <v>新增怪物种类3掉落</v>
      </c>
      <c r="C8121" s="8" t="str">
        <f>材料产出!$L$2</f>
        <v>火龙币</v>
      </c>
      <c r="D8121" s="224">
        <f>参数调整!$K$38*怪物掉落配置方案!$D5043</f>
        <v>8.8558239479289619E-2</v>
      </c>
    </row>
    <row r="8122" spans="1:4" ht="16.5" hidden="1" x14ac:dyDescent="0.3">
      <c r="A8122" s="10" t="str">
        <f>基本属性!$B$23&amp;"|"&amp;基本属性!$C$23</f>
        <v>210|13</v>
      </c>
      <c r="B8122" s="10" t="str">
        <f>参数调整!$J$38</f>
        <v>新增怪物种类3掉落</v>
      </c>
      <c r="C8122" s="8" t="str">
        <f>材料产出!$L$2</f>
        <v>火龙币</v>
      </c>
      <c r="D8122" s="224">
        <f>参数调整!$K$38*怪物掉落配置方案!$D5044</f>
        <v>0.10048597967380644</v>
      </c>
    </row>
    <row r="8123" spans="1:4" ht="16.5" hidden="1" x14ac:dyDescent="0.3">
      <c r="A8123" s="10" t="str">
        <f>基本属性!$B$24&amp;"|"&amp;基本属性!$C$24</f>
        <v>220|14</v>
      </c>
      <c r="B8123" s="10" t="str">
        <f>参数调整!$J$38</f>
        <v>新增怪物种类3掉落</v>
      </c>
      <c r="C8123" s="8" t="str">
        <f>材料产出!$L$2</f>
        <v>火龙币</v>
      </c>
      <c r="D8123" s="224">
        <f>参数调整!$K$38*怪物掉落配置方案!$D5045</f>
        <v>0.11316705082797694</v>
      </c>
    </row>
    <row r="8124" spans="1:4" ht="16.5" hidden="1" x14ac:dyDescent="0.3">
      <c r="A8124" s="10" t="str">
        <f>基本属性!$B$25&amp;"|"&amp;基本属性!$C$25</f>
        <v>220|15</v>
      </c>
      <c r="B8124" s="10" t="str">
        <f>参数调整!$J$38</f>
        <v>新增怪物种类3掉落</v>
      </c>
      <c r="C8124" s="8" t="str">
        <f>材料产出!$L$2</f>
        <v>火龙币</v>
      </c>
      <c r="D8124" s="224">
        <f>参数调整!$K$38*怪物掉落配置方案!$D5046</f>
        <v>0.12660145294180111</v>
      </c>
    </row>
    <row r="8125" spans="1:4" ht="16.5" hidden="1" x14ac:dyDescent="0.3">
      <c r="A8125" s="10" t="str">
        <f>基本属性!$B$26&amp;"|"&amp;基本属性!$C$26</f>
        <v>230|16</v>
      </c>
      <c r="B8125" s="10" t="str">
        <f>参数调整!$J$38</f>
        <v>新增怪物种类3掉落</v>
      </c>
      <c r="C8125" s="8" t="str">
        <f>材料产出!$L$2</f>
        <v>火龙币</v>
      </c>
      <c r="D8125" s="224">
        <f>参数调整!$K$38*怪物掉落配置方案!$D5047</f>
        <v>0.14078918601527898</v>
      </c>
    </row>
    <row r="8126" spans="1:4" ht="16.5" hidden="1" x14ac:dyDescent="0.3">
      <c r="A8126" s="10" t="str">
        <f>基本属性!$B$27&amp;"|"&amp;基本属性!$C$27</f>
        <v>230|17</v>
      </c>
      <c r="B8126" s="10" t="str">
        <f>参数调整!$J$38</f>
        <v>新增怪物种类3掉落</v>
      </c>
      <c r="C8126" s="8" t="str">
        <f>材料产出!$L$2</f>
        <v>火龙币</v>
      </c>
      <c r="D8126" s="224">
        <f>参数调整!$K$38*怪物掉落配置方案!$D5048</f>
        <v>0.15573025004841054</v>
      </c>
    </row>
    <row r="8127" spans="1:4" ht="16.5" hidden="1" x14ac:dyDescent="0.3">
      <c r="A8127" s="10" t="str">
        <f>基本属性!$B$28&amp;"|"&amp;基本属性!$C$28</f>
        <v>240|18</v>
      </c>
      <c r="B8127" s="10" t="str">
        <f>参数调整!$J$38</f>
        <v>新增怪物种类3掉落</v>
      </c>
      <c r="C8127" s="8" t="str">
        <f>材料产出!$L$2</f>
        <v>火龙币</v>
      </c>
      <c r="D8127" s="224">
        <f>参数调整!$K$38*怪物掉落配置方案!$D5049</f>
        <v>0.17142464504119584</v>
      </c>
    </row>
    <row r="8128" spans="1:4" ht="16.5" hidden="1" x14ac:dyDescent="0.3">
      <c r="A8128" s="10" t="str">
        <f>基本属性!$B$29&amp;"|"&amp;基本属性!$C$29</f>
        <v>240|19</v>
      </c>
      <c r="B8128" s="10" t="str">
        <f>参数调整!$J$38</f>
        <v>新增怪物种类3掉落</v>
      </c>
      <c r="C8128" s="8" t="str">
        <f>材料产出!$L$2</f>
        <v>火龙币</v>
      </c>
      <c r="D8128" s="224">
        <f>参数调整!$K$38*怪物掉落配置方案!$D5050</f>
        <v>0.18787237099363477</v>
      </c>
    </row>
    <row r="8129" spans="1:4" ht="16.5" hidden="1" x14ac:dyDescent="0.3">
      <c r="A8129" s="10" t="str">
        <f>基本属性!$B$30&amp;"|"&amp;基本属性!$C$30</f>
        <v>250|20</v>
      </c>
      <c r="B8129" s="10" t="str">
        <f>参数调整!$J$38</f>
        <v>新增怪物种类3掉落</v>
      </c>
      <c r="C8129" s="8" t="str">
        <f>材料产出!$L$2</f>
        <v>火龙币</v>
      </c>
      <c r="D8129" s="224">
        <f>参数调整!$K$38*怪物掉落配置方案!$D5051</f>
        <v>0.20507342790572738</v>
      </c>
    </row>
    <row r="8130" spans="1:4" ht="16.5" hidden="1" x14ac:dyDescent="0.3">
      <c r="A8130" s="10" t="str">
        <f>基本属性!$B$4&amp;"|"&amp;基本属性!$C$4</f>
        <v>35|0</v>
      </c>
      <c r="B8130" s="10" t="str">
        <f>参数调整!$J$38</f>
        <v>新增怪物种类3掉落</v>
      </c>
      <c r="C8130" s="8" t="str">
        <f>材料产出!$BD$2</f>
        <v>防具碎片</v>
      </c>
      <c r="D8130" s="224">
        <f>参数调整!$K$38*怪物掉落配置方案!$D5052</f>
        <v>9.7400366500679451E-5</v>
      </c>
    </row>
    <row r="8131" spans="1:4" ht="16.5" hidden="1" x14ac:dyDescent="0.3">
      <c r="A8131" s="10" t="str">
        <f>基本属性!$B$5&amp;"|"&amp;基本属性!$C$5</f>
        <v>40|0</v>
      </c>
      <c r="B8131" s="10" t="str">
        <f>参数调整!$J$38</f>
        <v>新增怪物种类3掉落</v>
      </c>
      <c r="C8131" s="8" t="str">
        <f>材料产出!$BD$2</f>
        <v>防具碎片</v>
      </c>
      <c r="D8131" s="224">
        <f>参数调整!$K$38*怪物掉落配置方案!$D5053</f>
        <v>1.2327233885242242E-4</v>
      </c>
    </row>
    <row r="8132" spans="1:4" ht="16.5" hidden="1" x14ac:dyDescent="0.3">
      <c r="A8132" s="10" t="str">
        <f>基本属性!$B$6&amp;"|"&amp;基本属性!$C$6</f>
        <v>50|0</v>
      </c>
      <c r="B8132" s="10" t="str">
        <f>参数调整!$J$38</f>
        <v>新增怪物种类3掉落</v>
      </c>
      <c r="C8132" s="8" t="str">
        <f>材料产出!$BD$2</f>
        <v>防具碎片</v>
      </c>
      <c r="D8132" s="224">
        <f>参数调整!$K$38*怪物掉落配置方案!$D5054</f>
        <v>1.5218807265731166E-4</v>
      </c>
    </row>
    <row r="8133" spans="1:4" ht="16.5" hidden="1" x14ac:dyDescent="0.3">
      <c r="A8133" s="10" t="str">
        <f>基本属性!$B$7&amp;"|"&amp;基本属性!$C$7</f>
        <v>60|0</v>
      </c>
      <c r="B8133" s="10" t="str">
        <f>参数调整!$J$38</f>
        <v>新增怪物种类3掉落</v>
      </c>
      <c r="C8133" s="8" t="str">
        <f>材料产出!$BD$2</f>
        <v>防具碎片</v>
      </c>
      <c r="D8133" s="224">
        <f>参数调整!$K$38*怪物掉落配置方案!$D5055</f>
        <v>1.8414756791534708E-4</v>
      </c>
    </row>
    <row r="8134" spans="1:4" ht="16.5" hidden="1" x14ac:dyDescent="0.3">
      <c r="A8134" s="10" t="str">
        <f>基本属性!$B$8&amp;"|"&amp;基本属性!$C$8</f>
        <v>65|0</v>
      </c>
      <c r="B8134" s="10" t="str">
        <f>参数调整!$J$38</f>
        <v>新增怪物种类3掉落</v>
      </c>
      <c r="C8134" s="8" t="str">
        <f>材料产出!$BD$2</f>
        <v>防具碎片</v>
      </c>
      <c r="D8134" s="224">
        <f>参数调整!$K$38*怪物掉落配置方案!$D5056</f>
        <v>2.1915082462652878E-4</v>
      </c>
    </row>
    <row r="8135" spans="1:4" ht="16.5" hidden="1" x14ac:dyDescent="0.3">
      <c r="A8135" s="10" t="str">
        <f>基本属性!$B$9&amp;"|"&amp;基本属性!$C$9</f>
        <v>70|0</v>
      </c>
      <c r="B8135" s="10" t="str">
        <f>参数调整!$J$38</f>
        <v>新增怪物种类3掉落</v>
      </c>
      <c r="C8135" s="8" t="str">
        <f>材料产出!$BD$2</f>
        <v>防具碎片</v>
      </c>
      <c r="D8135" s="224">
        <f>参数调整!$K$38*怪物掉落配置方案!$D5057</f>
        <v>2.5719784279085666E-4</v>
      </c>
    </row>
    <row r="8136" spans="1:4" ht="16.5" hidden="1" x14ac:dyDescent="0.3">
      <c r="A8136" s="10" t="str">
        <f>基本属性!$B$10&amp;"|"&amp;基本属性!$C$10</f>
        <v>75|0</v>
      </c>
      <c r="B8136" s="10" t="str">
        <f>参数调整!$J$38</f>
        <v>新增怪物种类3掉落</v>
      </c>
      <c r="C8136" s="8" t="str">
        <f>材料产出!$BD$2</f>
        <v>防具碎片</v>
      </c>
      <c r="D8136" s="224">
        <f>参数调整!$K$38*怪物掉落配置方案!$D5058</f>
        <v>2.9828862240833078E-4</v>
      </c>
    </row>
    <row r="8137" spans="1:4" ht="16.5" hidden="1" x14ac:dyDescent="0.3">
      <c r="A8137" s="10" t="str">
        <f>基本属性!$B$11&amp;"|"&amp;基本属性!$C$11</f>
        <v>80|1</v>
      </c>
      <c r="B8137" s="10" t="str">
        <f>参数调整!$J$38</f>
        <v>新增怪物种类3掉落</v>
      </c>
      <c r="C8137" s="8" t="str">
        <f>材料产出!$BD$2</f>
        <v>防具碎片</v>
      </c>
      <c r="D8137" s="224">
        <f>参数调整!$K$38*怪物掉落配置方案!$D5059</f>
        <v>3.424231634789512E-4</v>
      </c>
    </row>
    <row r="8138" spans="1:4" ht="16.5" hidden="1" x14ac:dyDescent="0.3">
      <c r="A8138" s="10" t="str">
        <f>基本属性!$B$12&amp;"|"&amp;基本属性!$C$12</f>
        <v>90|2</v>
      </c>
      <c r="B8138" s="10" t="str">
        <f>参数调整!$J$38</f>
        <v>新增怪物种类3掉落</v>
      </c>
      <c r="C8138" s="8" t="str">
        <f>材料产出!$BD$2</f>
        <v>防具碎片</v>
      </c>
      <c r="D8138" s="224">
        <f>参数调整!$K$38*怪物掉落配置方案!$D5060</f>
        <v>3.8960146600271791E-4</v>
      </c>
    </row>
    <row r="8139" spans="1:4" ht="16.5" hidden="1" x14ac:dyDescent="0.3">
      <c r="A8139" s="10" t="str">
        <f>基本属性!$B$13&amp;"|"&amp;基本属性!$C$13</f>
        <v>100|3</v>
      </c>
      <c r="B8139" s="10" t="str">
        <f>参数调整!$J$38</f>
        <v>新增怪物种类3掉落</v>
      </c>
      <c r="C8139" s="8" t="str">
        <f>材料产出!$BD$2</f>
        <v>防具碎片</v>
      </c>
      <c r="D8139" s="224">
        <f>参数调整!$K$38*怪物掉落配置方案!$D5061</f>
        <v>4.9308935540968979E-4</v>
      </c>
    </row>
    <row r="8140" spans="1:4" ht="16.5" hidden="1" x14ac:dyDescent="0.3">
      <c r="A8140" s="10" t="str">
        <f>基本属性!$B$14&amp;"|"&amp;基本属性!$C$14</f>
        <v>105|4</v>
      </c>
      <c r="B8140" s="10" t="str">
        <f>参数调整!$J$38</f>
        <v>新增怪物种类3掉落</v>
      </c>
      <c r="C8140" s="8" t="str">
        <f>材料产出!$BD$2</f>
        <v>防具碎片</v>
      </c>
      <c r="D8140" s="224">
        <f>参数调整!$K$38*怪物掉落配置方案!$D5062</f>
        <v>6.0875229062924664E-4</v>
      </c>
    </row>
    <row r="8141" spans="1:4" ht="16.5" hidden="1" x14ac:dyDescent="0.3">
      <c r="A8141" s="10" t="str">
        <f>基本属性!$B$15&amp;"|"&amp;基本属性!$C$15</f>
        <v>110|5</v>
      </c>
      <c r="B8141" s="10" t="str">
        <f>参数调整!$J$38</f>
        <v>新增怪物种类3掉落</v>
      </c>
      <c r="C8141" s="8" t="str">
        <f>材料产出!$BD$2</f>
        <v>防具碎片</v>
      </c>
      <c r="D8141" s="224">
        <f>参数调整!$K$38*怪物掉落配置方案!$D5063</f>
        <v>7.3659027166138855E-4</v>
      </c>
    </row>
    <row r="8142" spans="1:4" ht="16.5" hidden="1" x14ac:dyDescent="0.3">
      <c r="A8142" s="10" t="str">
        <f>基本属性!$B$16&amp;"|"&amp;基本属性!$C$16</f>
        <v>120|6</v>
      </c>
      <c r="B8142" s="10" t="str">
        <f>参数调整!$J$38</f>
        <v>新增怪物种类3掉落</v>
      </c>
      <c r="C8142" s="8" t="str">
        <f>材料产出!$BD$2</f>
        <v>防具碎片</v>
      </c>
      <c r="D8142" s="224">
        <f>参数调整!$K$38*怪物掉落配置方案!$D5064</f>
        <v>9.5117545410819794E-4</v>
      </c>
    </row>
    <row r="8143" spans="1:4" ht="16.5" hidden="1" x14ac:dyDescent="0.3">
      <c r="A8143" s="10" t="str">
        <f>基本属性!$B$17&amp;"|"&amp;基本属性!$C$17</f>
        <v>135|7</v>
      </c>
      <c r="B8143" s="10" t="str">
        <f>参数调整!$J$38</f>
        <v>新增怪物种类3掉落</v>
      </c>
      <c r="C8143" s="8" t="str">
        <f>材料产出!$BD$2</f>
        <v>防具碎片</v>
      </c>
      <c r="D8143" s="224">
        <f>参数调整!$K$38*怪物掉落配置方案!$D5065</f>
        <v>1.3696926539158048E-3</v>
      </c>
    </row>
    <row r="8144" spans="1:4" ht="16.5" hidden="1" x14ac:dyDescent="0.3">
      <c r="A8144" s="10" t="str">
        <f>基本属性!$B$18&amp;"|"&amp;基本属性!$C$18</f>
        <v>155|8</v>
      </c>
      <c r="B8144" s="10" t="str">
        <f>参数调整!$J$38</f>
        <v>新增怪物种类3掉落</v>
      </c>
      <c r="C8144" s="8" t="str">
        <f>材料产出!$BD$2</f>
        <v>防具碎片</v>
      </c>
      <c r="D8144" s="224">
        <f>参数调整!$K$38*怪物掉落配置方案!$D5066</f>
        <v>1.8643038900520677E-3</v>
      </c>
    </row>
    <row r="8145" spans="1:4" ht="16.5" hidden="1" x14ac:dyDescent="0.3">
      <c r="A8145" s="10" t="str">
        <f>基本属性!$B$19&amp;"|"&amp;基本属性!$C$19</f>
        <v>190|9</v>
      </c>
      <c r="B8145" s="10" t="str">
        <f>参数调整!$J$38</f>
        <v>新增怪物种类3掉落</v>
      </c>
      <c r="C8145" s="8" t="str">
        <f>材料产出!$BD$2</f>
        <v>防具碎片</v>
      </c>
      <c r="D8145" s="224">
        <f>参数调整!$K$38*怪物掉落配置方案!$D5067</f>
        <v>2.0834547146785965E-3</v>
      </c>
    </row>
    <row r="8146" spans="1:4" ht="16.5" hidden="1" x14ac:dyDescent="0.3">
      <c r="A8146" s="10" t="str">
        <f>基本属性!$B$20&amp;"|"&amp;基本属性!$C$20</f>
        <v>200|10</v>
      </c>
      <c r="B8146" s="10" t="str">
        <f>参数调整!$J$38</f>
        <v>新增怪物种类3掉落</v>
      </c>
      <c r="C8146" s="8" t="str">
        <f>材料产出!$BD$2</f>
        <v>防具碎片</v>
      </c>
      <c r="D8146" s="224">
        <f>参数调整!$K$38*怪物掉落配置方案!$D5068</f>
        <v>2.4350091625169865E-3</v>
      </c>
    </row>
    <row r="8147" spans="1:4" ht="16.5" hidden="1" x14ac:dyDescent="0.3">
      <c r="A8147" s="10" t="str">
        <f>基本属性!$B$21&amp;"|"&amp;基本属性!$C$21</f>
        <v>200|11</v>
      </c>
      <c r="B8147" s="10" t="str">
        <f>参数调整!$J$38</f>
        <v>新增怪物种类3掉落</v>
      </c>
      <c r="C8147" s="8" t="str">
        <f>材料产出!$BD$2</f>
        <v>防具碎片</v>
      </c>
      <c r="D8147" s="224">
        <f>参数调整!$K$38*怪物掉落配置方案!$D5069</f>
        <v>2.8139574634336913E-3</v>
      </c>
    </row>
    <row r="8148" spans="1:4" ht="16.5" hidden="1" x14ac:dyDescent="0.3">
      <c r="A8148" s="10" t="str">
        <f>基本属性!$B$22&amp;"|"&amp;基本属性!$C$22</f>
        <v>210|12</v>
      </c>
      <c r="B8148" s="10" t="str">
        <f>参数调整!$J$38</f>
        <v>新增怪物种类3掉落</v>
      </c>
      <c r="C8148" s="8" t="str">
        <f>材料产出!$BD$2</f>
        <v>防具碎片</v>
      </c>
      <c r="D8148" s="224">
        <f>参数调整!$K$38*怪物掉落配置方案!$D5070</f>
        <v>3.2202996174287134E-3</v>
      </c>
    </row>
    <row r="8149" spans="1:4" ht="16.5" hidden="1" x14ac:dyDescent="0.3">
      <c r="A8149" s="10" t="str">
        <f>基本属性!$B$23&amp;"|"&amp;基本属性!$C$23</f>
        <v>210|13</v>
      </c>
      <c r="B8149" s="10" t="str">
        <f>参数调整!$J$38</f>
        <v>新增怪物种类3掉落</v>
      </c>
      <c r="C8149" s="8" t="str">
        <f>材料产出!$BD$2</f>
        <v>防具碎片</v>
      </c>
      <c r="D8149" s="224">
        <f>参数调整!$K$38*怪物掉落配置方案!$D5071</f>
        <v>3.6540356245020533E-3</v>
      </c>
    </row>
    <row r="8150" spans="1:4" ht="16.5" hidden="1" x14ac:dyDescent="0.3">
      <c r="A8150" s="10" t="str">
        <f>基本属性!$B$24&amp;"|"&amp;基本属性!$C$24</f>
        <v>220|14</v>
      </c>
      <c r="B8150" s="10" t="str">
        <f>参数调整!$J$38</f>
        <v>新增怪物种类3掉落</v>
      </c>
      <c r="C8150" s="8" t="str">
        <f>材料产出!$BD$2</f>
        <v>防具碎片</v>
      </c>
      <c r="D8150" s="224">
        <f>参数调整!$K$38*怪物掉落配置方案!$D5072</f>
        <v>4.1151654846537065E-3</v>
      </c>
    </row>
    <row r="8151" spans="1:4" ht="16.5" hidden="1" x14ac:dyDescent="0.3">
      <c r="A8151" s="10" t="str">
        <f>基本属性!$B$25&amp;"|"&amp;基本属性!$C$25</f>
        <v>220|15</v>
      </c>
      <c r="B8151" s="10" t="str">
        <f>参数调整!$J$38</f>
        <v>新增怪物种类3掉落</v>
      </c>
      <c r="C8151" s="8" t="str">
        <f>材料产出!$BD$2</f>
        <v>防具碎片</v>
      </c>
      <c r="D8151" s="224">
        <f>参数调整!$K$38*怪物掉落配置方案!$D5073</f>
        <v>4.6036891978836758E-3</v>
      </c>
    </row>
    <row r="8152" spans="1:4" ht="16.5" hidden="1" x14ac:dyDescent="0.3">
      <c r="A8152" s="10" t="str">
        <f>基本属性!$B$26&amp;"|"&amp;基本属性!$C$26</f>
        <v>230|16</v>
      </c>
      <c r="B8152" s="10" t="str">
        <f>参数调整!$J$38</f>
        <v>新增怪物种类3掉落</v>
      </c>
      <c r="C8152" s="8" t="str">
        <f>材料产出!$BD$2</f>
        <v>防具碎片</v>
      </c>
      <c r="D8152" s="224">
        <f>参数调整!$K$38*怪物掉落配置方案!$D5074</f>
        <v>5.1196067641919628E-3</v>
      </c>
    </row>
    <row r="8153" spans="1:4" ht="16.5" hidden="1" x14ac:dyDescent="0.3">
      <c r="A8153" s="10" t="str">
        <f>基本属性!$B$27&amp;"|"&amp;基本属性!$C$27</f>
        <v>230|17</v>
      </c>
      <c r="B8153" s="10" t="str">
        <f>参数调整!$J$38</f>
        <v>新增怪物种类3掉落</v>
      </c>
      <c r="C8153" s="8" t="str">
        <f>材料产出!$BD$2</f>
        <v>防具碎片</v>
      </c>
      <c r="D8153" s="224">
        <f>参数调整!$K$38*怪物掉落配置方案!$D5075</f>
        <v>5.662918183578565E-3</v>
      </c>
    </row>
    <row r="8154" spans="1:4" ht="16.5" hidden="1" x14ac:dyDescent="0.3">
      <c r="A8154" s="10" t="str">
        <f>基本属性!$B$28&amp;"|"&amp;基本属性!$C$28</f>
        <v>240|18</v>
      </c>
      <c r="B8154" s="10" t="str">
        <f>参数调整!$J$38</f>
        <v>新增怪物种类3掉落</v>
      </c>
      <c r="C8154" s="8" t="str">
        <f>材料产出!$BD$2</f>
        <v>防具碎片</v>
      </c>
      <c r="D8154" s="224">
        <f>参数调整!$K$38*怪物掉落配置方案!$D5076</f>
        <v>6.2336234560434849E-3</v>
      </c>
    </row>
    <row r="8155" spans="1:4" ht="16.5" hidden="1" x14ac:dyDescent="0.3">
      <c r="A8155" s="10" t="str">
        <f>基本属性!$B$29&amp;"|"&amp;基本属性!$C$29</f>
        <v>240|19</v>
      </c>
      <c r="B8155" s="10" t="str">
        <f>参数调整!$J$38</f>
        <v>新增怪物种类3掉落</v>
      </c>
      <c r="C8155" s="8" t="str">
        <f>材料产出!$BD$2</f>
        <v>防具碎片</v>
      </c>
      <c r="D8155" s="224">
        <f>参数调整!$K$38*怪物掉落配置方案!$D5077</f>
        <v>6.8317225815867199E-3</v>
      </c>
    </row>
    <row r="8156" spans="1:4" ht="16.5" hidden="1" x14ac:dyDescent="0.3">
      <c r="A8156" s="10" t="str">
        <f>基本属性!$B$30&amp;"|"&amp;基本属性!$C$30</f>
        <v>250|20</v>
      </c>
      <c r="B8156" s="10" t="str">
        <f>参数调整!$J$38</f>
        <v>新增怪物种类3掉落</v>
      </c>
      <c r="C8156" s="8" t="str">
        <f>材料产出!$BD$2</f>
        <v>防具碎片</v>
      </c>
      <c r="D8156" s="224">
        <f>参数调整!$K$38*怪物掉落配置方案!$D5078</f>
        <v>7.4572155602082683E-3</v>
      </c>
    </row>
    <row r="8157" spans="1:4" ht="16.5" hidden="1" x14ac:dyDescent="0.3">
      <c r="A8157" s="10" t="str">
        <f>基本属性!$B$4&amp;"|"&amp;基本属性!$C$4</f>
        <v>35|0</v>
      </c>
      <c r="B8157" s="10" t="str">
        <f>参数调整!$J$38</f>
        <v>新增怪物种类3掉落</v>
      </c>
      <c r="C8157" s="8" t="str">
        <f>材料产出!$AD$2</f>
        <v>凡品升星石</v>
      </c>
      <c r="D8157" s="224">
        <f>参数调整!$K$38*怪物掉落配置方案!$D5079</f>
        <v>1.3609512785436179E-2</v>
      </c>
    </row>
    <row r="8158" spans="1:4" ht="16.5" hidden="1" x14ac:dyDescent="0.3">
      <c r="A8158" s="10" t="str">
        <f>基本属性!$B$5&amp;"|"&amp;基本属性!$C$5</f>
        <v>40|0</v>
      </c>
      <c r="B8158" s="10" t="str">
        <f>参数调整!$J$38</f>
        <v>新增怪物种类3掉落</v>
      </c>
      <c r="C8158" s="8" t="str">
        <f>材料产出!$AD$2</f>
        <v>凡品升星石</v>
      </c>
      <c r="D8158" s="224">
        <f>参数调整!$K$38*怪物掉落配置方案!$D5080</f>
        <v>1.7224539619067669E-2</v>
      </c>
    </row>
    <row r="8159" spans="1:4" ht="16.5" hidden="1" x14ac:dyDescent="0.3">
      <c r="A8159" s="10" t="str">
        <f>基本属性!$B$6&amp;"|"&amp;基本属性!$C$6</f>
        <v>50|0</v>
      </c>
      <c r="B8159" s="10" t="str">
        <f>参数调整!$J$38</f>
        <v>新增怪物种类3掉落</v>
      </c>
      <c r="C8159" s="8" t="str">
        <f>材料产出!$AD$2</f>
        <v>凡品升星石</v>
      </c>
      <c r="D8159" s="224">
        <f>参数调整!$K$38*怪物掉落配置方案!$D5081</f>
        <v>2.1264863727244031E-2</v>
      </c>
    </row>
    <row r="8160" spans="1:4" ht="16.5" hidden="1" x14ac:dyDescent="0.3">
      <c r="A8160" s="10" t="str">
        <f>基本属性!$B$7&amp;"|"&amp;基本属性!$C$7</f>
        <v>60|0</v>
      </c>
      <c r="B8160" s="10" t="str">
        <f>参数调整!$J$38</f>
        <v>新增怪物种类3掉落</v>
      </c>
      <c r="C8160" s="8" t="str">
        <f>材料产出!$AD$2</f>
        <v>凡品升星石</v>
      </c>
      <c r="D8160" s="224">
        <f>参数调整!$K$38*怪物掉落配置方案!$D5082</f>
        <v>2.5730485109965277E-2</v>
      </c>
    </row>
    <row r="8161" spans="1:4" ht="16.5" hidden="1" x14ac:dyDescent="0.3">
      <c r="A8161" s="10" t="str">
        <f>基本属性!$B$8&amp;"|"&amp;基本属性!$C$8</f>
        <v>65|0</v>
      </c>
      <c r="B8161" s="10" t="str">
        <f>参数调整!$J$38</f>
        <v>新增怪物种类3掉落</v>
      </c>
      <c r="C8161" s="8" t="str">
        <f>材料产出!$AD$2</f>
        <v>凡品升星石</v>
      </c>
      <c r="D8161" s="224">
        <f>参数调整!$K$38*怪物掉落配置方案!$D5083</f>
        <v>3.0621403767231402E-2</v>
      </c>
    </row>
    <row r="8162" spans="1:4" ht="16.5" hidden="1" x14ac:dyDescent="0.3">
      <c r="A8162" s="10" t="str">
        <f>基本属性!$B$9&amp;"|"&amp;基本属性!$C$9</f>
        <v>70|0</v>
      </c>
      <c r="B8162" s="10" t="str">
        <f>参数调整!$J$38</f>
        <v>新增怪物种类3掉落</v>
      </c>
      <c r="C8162" s="8" t="str">
        <f>材料产出!$AD$2</f>
        <v>凡品升星石</v>
      </c>
      <c r="D8162" s="224">
        <f>参数调整!$K$38*怪物掉落配置方案!$D5084</f>
        <v>3.5937619699042411E-2</v>
      </c>
    </row>
    <row r="8163" spans="1:4" ht="16.5" hidden="1" x14ac:dyDescent="0.3">
      <c r="A8163" s="10" t="str">
        <f>基本属性!$B$10&amp;"|"&amp;基本属性!$C$10</f>
        <v>75|0</v>
      </c>
      <c r="B8163" s="10" t="str">
        <f>参数调整!$J$38</f>
        <v>新增怪物种类3掉落</v>
      </c>
      <c r="C8163" s="8" t="str">
        <f>材料产出!$AD$2</f>
        <v>凡品升星石</v>
      </c>
      <c r="D8163" s="224">
        <f>参数调整!$K$38*怪物掉落配置方案!$D5085</f>
        <v>4.1679132905398292E-2</v>
      </c>
    </row>
    <row r="8164" spans="1:4" ht="16.5" hidden="1" x14ac:dyDescent="0.3">
      <c r="A8164" s="10" t="str">
        <f>基本属性!$B$11&amp;"|"&amp;基本属性!$C$11</f>
        <v>80|1</v>
      </c>
      <c r="B8164" s="10" t="str">
        <f>参数调整!$J$38</f>
        <v>新增怪物种类3掉落</v>
      </c>
      <c r="C8164" s="8" t="str">
        <f>材料产出!$AD$2</f>
        <v>凡品升星石</v>
      </c>
      <c r="D8164" s="224">
        <f>参数调整!$K$38*怪物掉落配置方案!$D5086</f>
        <v>4.7845943386299064E-2</v>
      </c>
    </row>
    <row r="8165" spans="1:4" ht="16.5" hidden="1" x14ac:dyDescent="0.3">
      <c r="A8165" s="10" t="str">
        <f>基本属性!$B$12&amp;"|"&amp;基本属性!$C$12</f>
        <v>90|2</v>
      </c>
      <c r="B8165" s="10" t="str">
        <f>参数调整!$J$38</f>
        <v>新增怪物种类3掉落</v>
      </c>
      <c r="C8165" s="8" t="str">
        <f>材料产出!$AD$2</f>
        <v>凡品升星石</v>
      </c>
      <c r="D8165" s="224">
        <f>参数调整!$K$38*怪物掉落配置方案!$D5087</f>
        <v>5.4438051141744728E-2</v>
      </c>
    </row>
    <row r="8166" spans="1:4" ht="16.5" hidden="1" x14ac:dyDescent="0.3">
      <c r="A8166" s="10" t="str">
        <f>基本属性!$B$13&amp;"|"&amp;基本属性!$C$13</f>
        <v>100|3</v>
      </c>
      <c r="B8166" s="10" t="str">
        <f>参数调整!$J$38</f>
        <v>新增怪物种类3掉落</v>
      </c>
      <c r="C8166" s="8" t="str">
        <f>材料产出!$AD$2</f>
        <v>凡品升星石</v>
      </c>
      <c r="D8166" s="224">
        <f>参数调整!$K$38*怪物掉落配置方案!$D5088</f>
        <v>6.8898158476270677E-2</v>
      </c>
    </row>
    <row r="8167" spans="1:4" ht="16.5" hidden="1" x14ac:dyDescent="0.3">
      <c r="A8167" s="10" t="str">
        <f>基本属性!$B$14&amp;"|"&amp;基本属性!$C$14</f>
        <v>105|4</v>
      </c>
      <c r="B8167" s="10" t="str">
        <f>参数调整!$J$38</f>
        <v>新增怪物种类3掉落</v>
      </c>
      <c r="C8167" s="8" t="str">
        <f>材料产出!$AD$2</f>
        <v>凡品升星石</v>
      </c>
      <c r="D8167" s="224">
        <f>参数调整!$K$38*怪物掉落配置方案!$D5089</f>
        <v>8.5059454908976109E-2</v>
      </c>
    </row>
    <row r="8168" spans="1:4" ht="16.5" hidden="1" x14ac:dyDescent="0.3">
      <c r="A8168" s="10" t="str">
        <f>基本属性!$B$15&amp;"|"&amp;基本属性!$C$15</f>
        <v>110|5</v>
      </c>
      <c r="B8168" s="10" t="str">
        <f>参数调整!$J$38</f>
        <v>新增怪物种类3掉落</v>
      </c>
      <c r="C8168" s="8" t="str">
        <f>材料产出!$AD$2</f>
        <v>凡品升星石</v>
      </c>
      <c r="D8168" s="224">
        <f>参数调整!$K$38*怪物掉落配置方案!$D5090</f>
        <v>0.10292194043986111</v>
      </c>
    </row>
    <row r="8169" spans="1:4" ht="16.5" hidden="1" x14ac:dyDescent="0.3">
      <c r="A8169" s="10" t="str">
        <f>基本属性!$B$16&amp;"|"&amp;基本属性!$C$16</f>
        <v>120|6</v>
      </c>
      <c r="B8169" s="10" t="str">
        <f>参数调整!$J$38</f>
        <v>新增怪物种类3掉落</v>
      </c>
      <c r="C8169" s="8" t="str">
        <f>材料产出!$AD$2</f>
        <v>凡品升星石</v>
      </c>
      <c r="D8169" s="224">
        <f>参数调整!$K$38*怪物掉落配置方案!$D5091</f>
        <v>0.1329053982952752</v>
      </c>
    </row>
    <row r="8170" spans="1:4" ht="16.5" hidden="1" x14ac:dyDescent="0.3">
      <c r="A8170" s="10" t="str">
        <f>基本属性!$B$17&amp;"|"&amp;基本属性!$C$17</f>
        <v>135|7</v>
      </c>
      <c r="B8170" s="10" t="str">
        <f>参数调整!$J$38</f>
        <v>新增怪物种类3掉落</v>
      </c>
      <c r="C8170" s="8" t="str">
        <f>材料产出!$AD$2</f>
        <v>凡品升星石</v>
      </c>
      <c r="D8170" s="224">
        <f>参数调整!$K$38*怪物掉落配置方案!$D5092</f>
        <v>0.19138377354519626</v>
      </c>
    </row>
    <row r="8171" spans="1:4" ht="16.5" hidden="1" x14ac:dyDescent="0.3">
      <c r="A8171" s="10" t="str">
        <f>基本属性!$B$18&amp;"|"&amp;基本属性!$C$18</f>
        <v>155|8</v>
      </c>
      <c r="B8171" s="10" t="str">
        <f>参数调整!$J$38</f>
        <v>新增怪物种类3掉落</v>
      </c>
      <c r="C8171" s="8" t="str">
        <f>材料产出!$AD$2</f>
        <v>凡品升星石</v>
      </c>
      <c r="D8171" s="224">
        <f>参数调整!$K$38*怪物掉落配置方案!$D5093</f>
        <v>0.26049458065873943</v>
      </c>
    </row>
    <row r="8172" spans="1:4" ht="16.5" hidden="1" x14ac:dyDescent="0.3">
      <c r="A8172" s="10" t="str">
        <f>基本属性!$B$19&amp;"|"&amp;基本属性!$C$19</f>
        <v>190|9</v>
      </c>
      <c r="B8172" s="10" t="str">
        <f>参数调整!$J$38</f>
        <v>新增怪物种类3掉落</v>
      </c>
      <c r="C8172" s="8" t="str">
        <f>材料产出!$AD$2</f>
        <v>凡品升星石</v>
      </c>
      <c r="D8172" s="224">
        <f>参数调整!$K$38*怪物掉落配置方案!$D5094</f>
        <v>0.29111598442597086</v>
      </c>
    </row>
    <row r="8173" spans="1:4" ht="16.5" hidden="1" x14ac:dyDescent="0.3">
      <c r="A8173" s="10" t="str">
        <f>基本属性!$B$20&amp;"|"&amp;基本属性!$C$20</f>
        <v>200|10</v>
      </c>
      <c r="B8173" s="10" t="str">
        <f>参数调整!$J$38</f>
        <v>新增怪物种类3掉落</v>
      </c>
      <c r="C8173" s="8" t="str">
        <f>材料产出!$AD$2</f>
        <v>凡品升星石</v>
      </c>
      <c r="D8173" s="224">
        <f>参数调整!$K$38*怪物掉落配置方案!$D5095</f>
        <v>0.34023781963590444</v>
      </c>
    </row>
    <row r="8174" spans="1:4" ht="16.5" hidden="1" x14ac:dyDescent="0.3">
      <c r="A8174" s="10" t="str">
        <f>基本属性!$B$21&amp;"|"&amp;基本属性!$C$21</f>
        <v>200|11</v>
      </c>
      <c r="B8174" s="10" t="str">
        <f>参数调整!$J$38</f>
        <v>新增怪物种类3掉落</v>
      </c>
      <c r="C8174" s="8" t="str">
        <f>材料产出!$AD$2</f>
        <v>凡品升星石</v>
      </c>
      <c r="D8174" s="224">
        <f>参数调整!$K$38*怪物掉落配置方案!$D5096</f>
        <v>0.39318733031674202</v>
      </c>
    </row>
    <row r="8175" spans="1:4" ht="16.5" hidden="1" x14ac:dyDescent="0.3">
      <c r="A8175" s="10" t="str">
        <f>基本属性!$B$22&amp;"|"&amp;基本属性!$C$22</f>
        <v>210|12</v>
      </c>
      <c r="B8175" s="10" t="str">
        <f>参数调整!$J$38</f>
        <v>新增怪物种类3掉落</v>
      </c>
      <c r="C8175" s="8" t="str">
        <f>材料产出!$AD$2</f>
        <v>凡品升星石</v>
      </c>
      <c r="D8175" s="224">
        <f>参数调整!$K$38*怪物掉落配置方案!$D5097</f>
        <v>0.44996451646848357</v>
      </c>
    </row>
    <row r="8176" spans="1:4" ht="16.5" hidden="1" x14ac:dyDescent="0.3">
      <c r="A8176" s="10" t="str">
        <f>基本属性!$B$23&amp;"|"&amp;基本属性!$C$23</f>
        <v>210|13</v>
      </c>
      <c r="B8176" s="10" t="str">
        <f>参数调整!$J$38</f>
        <v>新增怪物种类3掉落</v>
      </c>
      <c r="C8176" s="8" t="str">
        <f>材料产出!$AD$2</f>
        <v>凡品升星石</v>
      </c>
      <c r="D8176" s="224">
        <f>参数调整!$K$38*怪物掉落配置方案!$D5098</f>
        <v>0.51056937809112912</v>
      </c>
    </row>
    <row r="8177" spans="1:4" ht="16.5" hidden="1" x14ac:dyDescent="0.3">
      <c r="A8177" s="10" t="str">
        <f>基本属性!$B$24&amp;"|"&amp;基本属性!$C$24</f>
        <v>220|14</v>
      </c>
      <c r="B8177" s="10" t="str">
        <f>参数调整!$J$38</f>
        <v>新增怪物种类3掉落</v>
      </c>
      <c r="C8177" s="8" t="str">
        <f>材料产出!$AD$2</f>
        <v>凡品升星石</v>
      </c>
      <c r="D8177" s="224">
        <f>参数调整!$K$38*怪物掉落配置方案!$D5099</f>
        <v>0.57500191518467858</v>
      </c>
    </row>
    <row r="8178" spans="1:4" ht="16.5" hidden="1" x14ac:dyDescent="0.3">
      <c r="A8178" s="10" t="str">
        <f>基本属性!$B$25&amp;"|"&amp;基本属性!$C$25</f>
        <v>220|15</v>
      </c>
      <c r="B8178" s="10" t="str">
        <f>参数调整!$J$38</f>
        <v>新增怪物种类3掉落</v>
      </c>
      <c r="C8178" s="8" t="str">
        <f>材料产出!$AD$2</f>
        <v>凡品升星石</v>
      </c>
      <c r="D8178" s="224">
        <f>参数调整!$K$38*怪物掉落配置方案!$D5100</f>
        <v>0.64326212774913172</v>
      </c>
    </row>
    <row r="8179" spans="1:4" ht="16.5" hidden="1" x14ac:dyDescent="0.3">
      <c r="A8179" s="10" t="str">
        <f>基本属性!$B$26&amp;"|"&amp;基本属性!$C$26</f>
        <v>230|16</v>
      </c>
      <c r="B8179" s="10" t="str">
        <f>参数调整!$J$38</f>
        <v>新增怪物种类3掉落</v>
      </c>
      <c r="C8179" s="8" t="str">
        <f>材料产出!$AD$2</f>
        <v>凡品升星石</v>
      </c>
      <c r="D8179" s="224">
        <f>参数调整!$K$38*怪物掉落配置方案!$D5101</f>
        <v>0.71535001578448909</v>
      </c>
    </row>
    <row r="8180" spans="1:4" ht="16.5" hidden="1" x14ac:dyDescent="0.3">
      <c r="A8180" s="10" t="str">
        <f>基本属性!$B$27&amp;"|"&amp;基本属性!$C$27</f>
        <v>230|17</v>
      </c>
      <c r="B8180" s="10" t="str">
        <f>参数调整!$J$38</f>
        <v>新增怪物种类3掉落</v>
      </c>
      <c r="C8180" s="8" t="str">
        <f>材料产出!$AD$2</f>
        <v>凡品升星石</v>
      </c>
      <c r="D8180" s="224">
        <f>参数调整!$K$38*怪物掉落配置方案!$D5102</f>
        <v>0.79126557929075025</v>
      </c>
    </row>
    <row r="8181" spans="1:4" ht="16.5" hidden="1" x14ac:dyDescent="0.3">
      <c r="A8181" s="10" t="str">
        <f>基本属性!$B$28&amp;"|"&amp;基本属性!$C$28</f>
        <v>240|18</v>
      </c>
      <c r="B8181" s="10" t="str">
        <f>参数调整!$J$38</f>
        <v>新增怪物种类3掉落</v>
      </c>
      <c r="C8181" s="8" t="str">
        <f>材料产出!$AD$2</f>
        <v>凡品升星石</v>
      </c>
      <c r="D8181" s="224">
        <f>参数调整!$K$38*怪物掉落配置方案!$D5103</f>
        <v>0.87100881826791554</v>
      </c>
    </row>
    <row r="8182" spans="1:4" ht="16.5" hidden="1" x14ac:dyDescent="0.3">
      <c r="A8182" s="10" t="str">
        <f>基本属性!$B$29&amp;"|"&amp;基本属性!$C$29</f>
        <v>240|19</v>
      </c>
      <c r="B8182" s="10" t="str">
        <f>参数调整!$J$38</f>
        <v>新增怪物种类3掉落</v>
      </c>
      <c r="C8182" s="8" t="str">
        <f>材料产出!$AD$2</f>
        <v>凡品升星石</v>
      </c>
      <c r="D8182" s="224">
        <f>参数调整!$K$38*怪物掉落配置方案!$D5104</f>
        <v>0.95457973271598462</v>
      </c>
    </row>
    <row r="8183" spans="1:4" ht="16.5" hidden="1" x14ac:dyDescent="0.3">
      <c r="A8183" s="10" t="str">
        <f>基本属性!$B$30&amp;"|"&amp;基本属性!$C$30</f>
        <v>250|20</v>
      </c>
      <c r="B8183" s="10" t="str">
        <f>参数调整!$J$38</f>
        <v>新增怪物种类3掉落</v>
      </c>
      <c r="C8183" s="8" t="str">
        <f>材料产出!$AD$2</f>
        <v>凡品升星石</v>
      </c>
      <c r="D8183" s="224">
        <f>参数调整!$K$38*怪物掉落配置方案!$D5105</f>
        <v>1.0419783226349573</v>
      </c>
    </row>
    <row r="8184" spans="1:4" ht="16.5" hidden="1" x14ac:dyDescent="0.3">
      <c r="A8184" s="10" t="str">
        <f>基本属性!$B$4&amp;"|"&amp;基本属性!$C$4</f>
        <v>35|0</v>
      </c>
      <c r="B8184" s="10" t="str">
        <f>参数调整!$J$38</f>
        <v>新增怪物种类3掉落</v>
      </c>
      <c r="C8184" s="8" t="str">
        <f>材料产出!$Z$2</f>
        <v>恶魔头颅</v>
      </c>
      <c r="D8184" s="224">
        <f>参数调整!$K$38*怪物掉落配置方案!$D5106</f>
        <v>1.7722303188894748E-3</v>
      </c>
    </row>
    <row r="8185" spans="1:4" ht="16.5" hidden="1" x14ac:dyDescent="0.3">
      <c r="A8185" s="10" t="str">
        <f>基本属性!$B$5&amp;"|"&amp;基本属性!$C$5</f>
        <v>40|0</v>
      </c>
      <c r="B8185" s="10" t="str">
        <f>参数调整!$J$38</f>
        <v>新增怪物种类3掉落</v>
      </c>
      <c r="C8185" s="8" t="str">
        <f>材料产出!$Z$2</f>
        <v>恶魔头颅</v>
      </c>
      <c r="D8185" s="224">
        <f>参数调整!$K$38*怪物掉落配置方案!$D5107</f>
        <v>2.2429789973444918E-3</v>
      </c>
    </row>
    <row r="8186" spans="1:4" ht="16.5" hidden="1" x14ac:dyDescent="0.3">
      <c r="A8186" s="10" t="str">
        <f>基本属性!$B$6&amp;"|"&amp;基本属性!$C$6</f>
        <v>50|0</v>
      </c>
      <c r="B8186" s="10" t="str">
        <f>参数调整!$J$38</f>
        <v>新增怪物种类3掉落</v>
      </c>
      <c r="C8186" s="8" t="str">
        <f>材料产出!$Z$2</f>
        <v>恶魔头颅</v>
      </c>
      <c r="D8186" s="224">
        <f>参数调整!$K$38*怪物掉落配置方案!$D5108</f>
        <v>2.7691098732648043E-3</v>
      </c>
    </row>
    <row r="8187" spans="1:4" ht="16.5" hidden="1" x14ac:dyDescent="0.3">
      <c r="A8187" s="10" t="str">
        <f>基本属性!$B$7&amp;"|"&amp;基本属性!$C$7</f>
        <v>60|0</v>
      </c>
      <c r="B8187" s="10" t="str">
        <f>参数调整!$J$38</f>
        <v>新增怪物种类3掉落</v>
      </c>
      <c r="C8187" s="8" t="str">
        <f>材料产出!$Z$2</f>
        <v>恶魔头颅</v>
      </c>
      <c r="D8187" s="224">
        <f>参数调整!$K$38*怪物掉落配置方案!$D5109</f>
        <v>3.350622946650414E-3</v>
      </c>
    </row>
    <row r="8188" spans="1:4" ht="16.5" hidden="1" x14ac:dyDescent="0.3">
      <c r="A8188" s="10" t="str">
        <f>基本属性!$B$8&amp;"|"&amp;基本属性!$C$8</f>
        <v>65|0</v>
      </c>
      <c r="B8188" s="10" t="str">
        <f>参数调整!$J$38</f>
        <v>新增怪物种类3掉落</v>
      </c>
      <c r="C8188" s="8" t="str">
        <f>材料产出!$Z$2</f>
        <v>恶魔头颅</v>
      </c>
      <c r="D8188" s="224">
        <f>参数调整!$K$38*怪物掉落配置方案!$D5110</f>
        <v>3.9875182175013188E-3</v>
      </c>
    </row>
    <row r="8189" spans="1:4" ht="16.5" hidden="1" x14ac:dyDescent="0.3">
      <c r="A8189" s="10" t="str">
        <f>基本属性!$B$9&amp;"|"&amp;基本属性!$C$9</f>
        <v>70|0</v>
      </c>
      <c r="B8189" s="10" t="str">
        <f>参数调整!$J$38</f>
        <v>新增怪物种类3掉落</v>
      </c>
      <c r="C8189" s="8" t="str">
        <f>材料产出!$Z$2</f>
        <v>恶魔头颅</v>
      </c>
      <c r="D8189" s="224">
        <f>参数调整!$K$38*怪物掉落配置方案!$D5111</f>
        <v>4.6797956858175196E-3</v>
      </c>
    </row>
    <row r="8190" spans="1:4" ht="16.5" hidden="1" x14ac:dyDescent="0.3">
      <c r="A8190" s="10" t="str">
        <f>基本属性!$B$10&amp;"|"&amp;基本属性!$C$10</f>
        <v>75|0</v>
      </c>
      <c r="B8190" s="10" t="str">
        <f>参数调整!$J$38</f>
        <v>新增怪物种类3掉落</v>
      </c>
      <c r="C8190" s="8" t="str">
        <f>材料产出!$Z$2</f>
        <v>恶魔头颅</v>
      </c>
      <c r="D8190" s="224">
        <f>参数调整!$K$38*怪物掉落配置方案!$D5112</f>
        <v>5.4274553515990167E-3</v>
      </c>
    </row>
    <row r="8191" spans="1:4" ht="16.5" hidden="1" x14ac:dyDescent="0.3">
      <c r="A8191" s="10" t="str">
        <f>基本属性!$B$11&amp;"|"&amp;基本属性!$C$11</f>
        <v>80|1</v>
      </c>
      <c r="B8191" s="10" t="str">
        <f>参数调整!$J$38</f>
        <v>新增怪物种类3掉落</v>
      </c>
      <c r="C8191" s="8" t="str">
        <f>材料产出!$Z$2</f>
        <v>恶魔头颅</v>
      </c>
      <c r="D8191" s="224">
        <f>参数调整!$K$38*怪物掉落配置方案!$D5113</f>
        <v>6.2304972148458111E-3</v>
      </c>
    </row>
    <row r="8192" spans="1:4" ht="16.5" hidden="1" x14ac:dyDescent="0.3">
      <c r="A8192" s="10" t="str">
        <f>基本属性!$B$12&amp;"|"&amp;基本属性!$C$12</f>
        <v>90|2</v>
      </c>
      <c r="B8192" s="10" t="str">
        <f>参数调整!$J$38</f>
        <v>新增怪物种类3掉落</v>
      </c>
      <c r="C8192" s="8" t="str">
        <f>材料产出!$Z$2</f>
        <v>恶魔头颅</v>
      </c>
      <c r="D8192" s="224">
        <f>参数调整!$K$38*怪物掉落配置方案!$D5114</f>
        <v>7.0889212755579009E-3</v>
      </c>
    </row>
    <row r="8193" spans="1:4" ht="16.5" hidden="1" x14ac:dyDescent="0.3">
      <c r="A8193" s="10" t="str">
        <f>基本属性!$B$13&amp;"|"&amp;基本属性!$C$13</f>
        <v>100|3</v>
      </c>
      <c r="B8193" s="10" t="str">
        <f>参数调整!$J$38</f>
        <v>新增怪物种类3掉落</v>
      </c>
      <c r="C8193" s="8" t="str">
        <f>材料产出!$Z$2</f>
        <v>恶魔头颅</v>
      </c>
      <c r="D8193" s="224">
        <f>参数调整!$K$38*怪物掉落配置方案!$D5115</f>
        <v>8.9719159893779689E-3</v>
      </c>
    </row>
    <row r="8194" spans="1:4" ht="16.5" hidden="1" x14ac:dyDescent="0.3">
      <c r="A8194" s="10" t="str">
        <f>基本属性!$B$14&amp;"|"&amp;基本属性!$C$14</f>
        <v>105|4</v>
      </c>
      <c r="B8194" s="10" t="str">
        <f>参数调整!$J$38</f>
        <v>新增怪物种类3掉落</v>
      </c>
      <c r="C8194" s="8" t="str">
        <f>材料产出!$Z$2</f>
        <v>恶魔头颅</v>
      </c>
      <c r="D8194" s="224">
        <f>参数调整!$K$38*怪物掉落配置方案!$D5116</f>
        <v>1.1076439493059217E-2</v>
      </c>
    </row>
    <row r="8195" spans="1:4" ht="16.5" hidden="1" x14ac:dyDescent="0.3">
      <c r="A8195" s="10" t="str">
        <f>基本属性!$B$15&amp;"|"&amp;基本属性!$C$15</f>
        <v>110|5</v>
      </c>
      <c r="B8195" s="10" t="str">
        <f>参数调整!$J$38</f>
        <v>新增怪物种类3掉落</v>
      </c>
      <c r="C8195" s="8" t="str">
        <f>材料产出!$Z$2</f>
        <v>恶魔头颅</v>
      </c>
      <c r="D8195" s="224">
        <f>参数调整!$K$38*怪物掉落配置方案!$D5117</f>
        <v>1.3402491786601656E-2</v>
      </c>
    </row>
    <row r="8196" spans="1:4" ht="16.5" hidden="1" x14ac:dyDescent="0.3">
      <c r="A8196" s="10" t="str">
        <f>基本属性!$B$16&amp;"|"&amp;基本属性!$C$16</f>
        <v>120|6</v>
      </c>
      <c r="B8196" s="10" t="str">
        <f>参数调整!$J$38</f>
        <v>新增怪物种类3掉落</v>
      </c>
      <c r="C8196" s="8" t="str">
        <f>材料产出!$Z$2</f>
        <v>恶魔头颅</v>
      </c>
      <c r="D8196" s="224">
        <f>参数调整!$K$38*怪物掉落配置方案!$D5118</f>
        <v>1.7306936707905028E-2</v>
      </c>
    </row>
    <row r="8197" spans="1:4" ht="16.5" hidden="1" x14ac:dyDescent="0.3">
      <c r="A8197" s="10" t="str">
        <f>基本属性!$B$17&amp;"|"&amp;基本属性!$C$17</f>
        <v>135|7</v>
      </c>
      <c r="B8197" s="10" t="str">
        <f>参数调整!$J$38</f>
        <v>新增怪物种类3掉落</v>
      </c>
      <c r="C8197" s="8" t="str">
        <f>材料产出!$Z$2</f>
        <v>恶魔头颅</v>
      </c>
      <c r="D8197" s="224">
        <f>参数调整!$K$38*怪物掉落配置方案!$D5119</f>
        <v>2.4921988859383244E-2</v>
      </c>
    </row>
    <row r="8198" spans="1:4" ht="16.5" hidden="1" x14ac:dyDescent="0.3">
      <c r="A8198" s="10" t="str">
        <f>基本属性!$B$18&amp;"|"&amp;基本属性!$C$18</f>
        <v>155|8</v>
      </c>
      <c r="B8198" s="10" t="str">
        <f>参数调整!$J$38</f>
        <v>新增怪物种类3掉落</v>
      </c>
      <c r="C8198" s="8" t="str">
        <f>材料产出!$Z$2</f>
        <v>恶魔头颅</v>
      </c>
      <c r="D8198" s="224">
        <f>参数调整!$K$38*怪物掉落配置方案!$D5120</f>
        <v>3.392159594749386E-2</v>
      </c>
    </row>
    <row r="8199" spans="1:4" ht="16.5" hidden="1" x14ac:dyDescent="0.3">
      <c r="A8199" s="10" t="str">
        <f>基本属性!$B$19&amp;"|"&amp;基本属性!$C$19</f>
        <v>190|9</v>
      </c>
      <c r="B8199" s="10" t="str">
        <f>参数调整!$J$38</f>
        <v>新增怪物种类3掉落</v>
      </c>
      <c r="C8199" s="8" t="str">
        <f>材料产出!$Z$2</f>
        <v>恶魔头颅</v>
      </c>
      <c r="D8199" s="224">
        <f>参数调整!$K$38*怪物掉落配置方案!$D5121</f>
        <v>3.7909114164995178E-2</v>
      </c>
    </row>
    <row r="8200" spans="1:4" ht="16.5" hidden="1" x14ac:dyDescent="0.3">
      <c r="A8200" s="10" t="str">
        <f>基本属性!$B$20&amp;"|"&amp;基本属性!$C$20</f>
        <v>200|10</v>
      </c>
      <c r="B8200" s="10" t="str">
        <f>参数调整!$J$38</f>
        <v>新增怪物种类3掉落</v>
      </c>
      <c r="C8200" s="8" t="str">
        <f>材料产出!$Z$2</f>
        <v>恶魔头颅</v>
      </c>
      <c r="D8200" s="224">
        <f>参数调整!$K$38*怪物掉落配置方案!$D5122</f>
        <v>4.4305757972236869E-2</v>
      </c>
    </row>
    <row r="8201" spans="1:4" ht="16.5" hidden="1" x14ac:dyDescent="0.3">
      <c r="A8201" s="10" t="str">
        <f>基本属性!$B$21&amp;"|"&amp;基本属性!$C$21</f>
        <v>200|11</v>
      </c>
      <c r="B8201" s="10" t="str">
        <f>参数调整!$J$38</f>
        <v>新增怪物种类3掉落</v>
      </c>
      <c r="C8201" s="8" t="str">
        <f>材料产出!$Z$2</f>
        <v>恶魔头颅</v>
      </c>
      <c r="D8201" s="224">
        <f>参数调整!$K$38*怪物掉落配置方案!$D5123</f>
        <v>5.1200841556666224E-2</v>
      </c>
    </row>
    <row r="8202" spans="1:4" ht="16.5" hidden="1" x14ac:dyDescent="0.3">
      <c r="A8202" s="10" t="str">
        <f>基本属性!$B$22&amp;"|"&amp;基本属性!$C$22</f>
        <v>210|12</v>
      </c>
      <c r="B8202" s="10" t="str">
        <f>参数调整!$J$38</f>
        <v>新增怪物种类3掉落</v>
      </c>
      <c r="C8202" s="8" t="str">
        <f>材料产出!$Z$2</f>
        <v>恶魔头颅</v>
      </c>
      <c r="D8202" s="224">
        <f>参数调整!$K$38*怪物掉落配置方案!$D5124</f>
        <v>5.8594364918283251E-2</v>
      </c>
    </row>
    <row r="8203" spans="1:4" ht="16.5" hidden="1" x14ac:dyDescent="0.3">
      <c r="A8203" s="10" t="str">
        <f>基本属性!$B$23&amp;"|"&amp;基本属性!$C$23</f>
        <v>210|13</v>
      </c>
      <c r="B8203" s="10" t="str">
        <f>参数调整!$J$38</f>
        <v>新增怪物种类3掉落</v>
      </c>
      <c r="C8203" s="8" t="str">
        <f>材料产出!$Z$2</f>
        <v>恶魔头颅</v>
      </c>
      <c r="D8203" s="224">
        <f>参数调整!$K$38*怪物掉落配置方案!$D5125</f>
        <v>6.6486328057087971E-2</v>
      </c>
    </row>
    <row r="8204" spans="1:4" ht="16.5" hidden="1" x14ac:dyDescent="0.3">
      <c r="A8204" s="10" t="str">
        <f>基本属性!$B$24&amp;"|"&amp;基本属性!$C$24</f>
        <v>220|14</v>
      </c>
      <c r="B8204" s="10" t="str">
        <f>参数调整!$J$38</f>
        <v>新增怪物种类3掉落</v>
      </c>
      <c r="C8204" s="8" t="str">
        <f>材料产出!$Z$2</f>
        <v>恶魔头颅</v>
      </c>
      <c r="D8204" s="224">
        <f>参数调整!$K$38*怪物掉落配置方案!$D5126</f>
        <v>7.4876730973080313E-2</v>
      </c>
    </row>
    <row r="8205" spans="1:4" ht="16.5" hidden="1" x14ac:dyDescent="0.3">
      <c r="A8205" s="10" t="str">
        <f>基本属性!$B$25&amp;"|"&amp;基本属性!$C$25</f>
        <v>220|15</v>
      </c>
      <c r="B8205" s="10" t="str">
        <f>参数调整!$J$38</f>
        <v>新增怪物种类3掉落</v>
      </c>
      <c r="C8205" s="8" t="str">
        <f>材料产出!$Z$2</f>
        <v>恶魔头颅</v>
      </c>
      <c r="D8205" s="224">
        <f>参数调整!$K$38*怪物掉落配置方案!$D5127</f>
        <v>8.3765573666260335E-2</v>
      </c>
    </row>
    <row r="8206" spans="1:4" ht="16.5" hidden="1" x14ac:dyDescent="0.3">
      <c r="A8206" s="10" t="str">
        <f>基本属性!$B$26&amp;"|"&amp;基本属性!$C$26</f>
        <v>230|16</v>
      </c>
      <c r="B8206" s="10" t="str">
        <f>参数调整!$J$38</f>
        <v>新增怪物种类3掉落</v>
      </c>
      <c r="C8206" s="8" t="str">
        <f>材料产出!$Z$2</f>
        <v>恶魔头颅</v>
      </c>
      <c r="D8206" s="224">
        <f>参数调整!$K$38*怪物掉落配置方案!$D5128</f>
        <v>9.3152856136628021E-2</v>
      </c>
    </row>
    <row r="8207" spans="1:4" ht="16.5" hidden="1" x14ac:dyDescent="0.3">
      <c r="A8207" s="10" t="str">
        <f>基本属性!$B$27&amp;"|"&amp;基本属性!$C$27</f>
        <v>230|17</v>
      </c>
      <c r="B8207" s="10" t="str">
        <f>参数调整!$J$38</f>
        <v>新增怪物种类3掉落</v>
      </c>
      <c r="C8207" s="8" t="str">
        <f>材料产出!$Z$2</f>
        <v>恶魔头颅</v>
      </c>
      <c r="D8207" s="224">
        <f>参数调整!$K$38*怪物掉落配置方案!$D5129</f>
        <v>0.10303857838418337</v>
      </c>
    </row>
    <row r="8208" spans="1:4" ht="16.5" hidden="1" x14ac:dyDescent="0.3">
      <c r="A8208" s="10" t="str">
        <f>基本属性!$B$28&amp;"|"&amp;基本属性!$C$28</f>
        <v>240|18</v>
      </c>
      <c r="B8208" s="10" t="str">
        <f>参数调整!$J$38</f>
        <v>新增怪物种类3掉落</v>
      </c>
      <c r="C8208" s="8" t="str">
        <f>材料产出!$Z$2</f>
        <v>恶魔头颅</v>
      </c>
      <c r="D8208" s="224">
        <f>参数调整!$K$38*怪物掉落配置方案!$D5130</f>
        <v>0.11342274040892641</v>
      </c>
    </row>
    <row r="8209" spans="1:4" ht="16.5" hidden="1" x14ac:dyDescent="0.3">
      <c r="A8209" s="10" t="str">
        <f>基本属性!$B$29&amp;"|"&amp;基本属性!$C$29</f>
        <v>240|19</v>
      </c>
      <c r="B8209" s="10" t="str">
        <f>参数调整!$J$38</f>
        <v>新增怪物种类3掉落</v>
      </c>
      <c r="C8209" s="8" t="str">
        <f>材料产出!$Z$2</f>
        <v>恶魔头颅</v>
      </c>
      <c r="D8209" s="224">
        <f>参数调整!$K$38*怪物掉落配置方案!$D5131</f>
        <v>0.12430534221085709</v>
      </c>
    </row>
    <row r="8210" spans="1:4" ht="16.5" hidden="1" x14ac:dyDescent="0.3">
      <c r="A8210" s="10" t="str">
        <f>基本属性!$B$30&amp;"|"&amp;基本属性!$C$30</f>
        <v>250|20</v>
      </c>
      <c r="B8210" s="10" t="str">
        <f>参数调整!$J$38</f>
        <v>新增怪物种类3掉落</v>
      </c>
      <c r="C8210" s="8" t="str">
        <f>材料产出!$Z$2</f>
        <v>恶魔头颅</v>
      </c>
      <c r="D8210" s="224">
        <f>参数调整!$K$38*怪物掉落配置方案!$D5132</f>
        <v>0.13568638378997541</v>
      </c>
    </row>
    <row r="8211" spans="1:4" ht="16.5" hidden="1" x14ac:dyDescent="0.3">
      <c r="A8211" s="10" t="str">
        <f>基本属性!$B$4&amp;"|"&amp;基本属性!$C$4</f>
        <v>35|0</v>
      </c>
      <c r="B8211" s="10" t="str">
        <f>参数调整!$J$39</f>
        <v>新增怪物种类4掉落</v>
      </c>
      <c r="C8211" s="8" t="str">
        <f>材料产出!$R$2</f>
        <v>转生精华</v>
      </c>
      <c r="D8211" s="224">
        <f>参数调整!$K$39*怪物掉落配置方案!$D4107</f>
        <v>1.5824086740639409E-3</v>
      </c>
    </row>
    <row r="8212" spans="1:4" ht="16.5" hidden="1" x14ac:dyDescent="0.3">
      <c r="A8212" s="10" t="str">
        <f>基本属性!$B$5&amp;"|"&amp;基本属性!$C$5</f>
        <v>40|0</v>
      </c>
      <c r="B8212" s="10" t="str">
        <f>参数调整!$J$39</f>
        <v>新增怪物种类4掉落</v>
      </c>
      <c r="C8212" s="8" t="str">
        <f>材料产出!$R$2</f>
        <v>转生精华</v>
      </c>
      <c r="D8212" s="224">
        <f>参数调整!$K$39*怪物掉落配置方案!$D4108</f>
        <v>2.0027359781121749E-3</v>
      </c>
    </row>
    <row r="8213" spans="1:4" ht="16.5" hidden="1" x14ac:dyDescent="0.3">
      <c r="A8213" s="10" t="str">
        <f>基本属性!$B$6&amp;"|"&amp;基本属性!$C$6</f>
        <v>50|0</v>
      </c>
      <c r="B8213" s="10" t="str">
        <f>参数调整!$J$39</f>
        <v>新增怪物种类4掉落</v>
      </c>
      <c r="C8213" s="8" t="str">
        <f>材料产出!$R$2</f>
        <v>转生精华</v>
      </c>
      <c r="D8213" s="224">
        <f>参数调整!$K$39*怪物掉落配置方案!$D4109</f>
        <v>2.4725135532249077E-3</v>
      </c>
    </row>
    <row r="8214" spans="1:4" ht="16.5" hidden="1" x14ac:dyDescent="0.3">
      <c r="A8214" s="10" t="str">
        <f>基本属性!$B$7&amp;"|"&amp;基本属性!$C$7</f>
        <v>60|0</v>
      </c>
      <c r="B8214" s="10" t="str">
        <f>参数调整!$J$39</f>
        <v>新增怪物种类4掉落</v>
      </c>
      <c r="C8214" s="8" t="str">
        <f>材料产出!$R$2</f>
        <v>转生精华</v>
      </c>
      <c r="D8214" s="224">
        <f>参数调整!$K$39*怪物掉落配置方案!$D4110</f>
        <v>2.9917413994021386E-3</v>
      </c>
    </row>
    <row r="8215" spans="1:4" ht="16.5" hidden="1" x14ac:dyDescent="0.3">
      <c r="A8215" s="10" t="str">
        <f>基本属性!$B$8&amp;"|"&amp;基本属性!$C$8</f>
        <v>65|0</v>
      </c>
      <c r="B8215" s="10" t="str">
        <f>参数调整!$J$39</f>
        <v>新增怪物种类4掉落</v>
      </c>
      <c r="C8215" s="8" t="str">
        <f>材料产出!$R$2</f>
        <v>转生精华</v>
      </c>
      <c r="D8215" s="224">
        <f>参数调整!$K$39*怪物掉落配置方案!$D4111</f>
        <v>3.5604195166438666E-3</v>
      </c>
    </row>
    <row r="8216" spans="1:4" ht="16.5" hidden="1" x14ac:dyDescent="0.3">
      <c r="A8216" s="10" t="str">
        <f>基本属性!$B$9&amp;"|"&amp;基本属性!$C$9</f>
        <v>70|0</v>
      </c>
      <c r="B8216" s="10" t="str">
        <f>参数调整!$J$39</f>
        <v>新增怪物种类4掉落</v>
      </c>
      <c r="C8216" s="8" t="str">
        <f>材料产出!$R$2</f>
        <v>转生精华</v>
      </c>
      <c r="D8216" s="224">
        <f>参数调整!$K$39*怪物掉落配置方案!$D4112</f>
        <v>4.1785479049500935E-3</v>
      </c>
    </row>
    <row r="8217" spans="1:4" ht="16.5" hidden="1" x14ac:dyDescent="0.3">
      <c r="A8217" s="10" t="str">
        <f>基本属性!$B$10&amp;"|"&amp;基本属性!$C$10</f>
        <v>75|0</v>
      </c>
      <c r="B8217" s="10" t="str">
        <f>参数调整!$J$39</f>
        <v>新增怪物种类4掉落</v>
      </c>
      <c r="C8217" s="8" t="str">
        <f>材料产出!$R$2</f>
        <v>转生精华</v>
      </c>
      <c r="D8217" s="224">
        <f>参数调整!$K$39*怪物掉落配置方案!$D4113</f>
        <v>4.8461265643208176E-3</v>
      </c>
    </row>
    <row r="8218" spans="1:4" ht="16.5" hidden="1" x14ac:dyDescent="0.3">
      <c r="A8218" s="10" t="str">
        <f>基本属性!$B$11&amp;"|"&amp;基本属性!$C$11</f>
        <v>80|1</v>
      </c>
      <c r="B8218" s="10" t="str">
        <f>参数调整!$J$39</f>
        <v>新增怪物种类4掉落</v>
      </c>
      <c r="C8218" s="8" t="str">
        <f>材料产出!$R$2</f>
        <v>转生精华</v>
      </c>
      <c r="D8218" s="224">
        <f>参数调整!$K$39*怪物掉落配置方案!$D4114</f>
        <v>5.5631554947560419E-3</v>
      </c>
    </row>
    <row r="8219" spans="1:4" ht="16.5" hidden="1" x14ac:dyDescent="0.3">
      <c r="A8219" s="10" t="str">
        <f>基本属性!$B$12&amp;"|"&amp;基本属性!$C$12</f>
        <v>90|2</v>
      </c>
      <c r="B8219" s="10" t="str">
        <f>参数调整!$J$39</f>
        <v>新增怪物种类4掉落</v>
      </c>
      <c r="C8219" s="8" t="str">
        <f>材料产出!$R$2</f>
        <v>转生精华</v>
      </c>
      <c r="D8219" s="224">
        <f>参数调整!$K$39*怪物掉落配置方案!$D4115</f>
        <v>6.3296346962557655E-3</v>
      </c>
    </row>
    <row r="8220" spans="1:4" ht="16.5" hidden="1" x14ac:dyDescent="0.3">
      <c r="A8220" s="10" t="str">
        <f>基本属性!$B$13&amp;"|"&amp;基本属性!$C$13</f>
        <v>100|3</v>
      </c>
      <c r="B8220" s="10" t="str">
        <f>参数调整!$J$39</f>
        <v>新增怪物种类4掉落</v>
      </c>
      <c r="C8220" s="8" t="str">
        <f>材料产出!$R$2</f>
        <v>转生精华</v>
      </c>
      <c r="D8220" s="224">
        <f>参数调整!$K$39*怪物掉落配置方案!$D4116</f>
        <v>8.0109439124487012E-3</v>
      </c>
    </row>
    <row r="8221" spans="1:4" ht="16.5" hidden="1" x14ac:dyDescent="0.3">
      <c r="A8221" s="10" t="str">
        <f>基本属性!$B$14&amp;"|"&amp;基本属性!$C$14</f>
        <v>105|4</v>
      </c>
      <c r="B8221" s="10" t="str">
        <f>参数调整!$J$39</f>
        <v>新增怪物种类4掉落</v>
      </c>
      <c r="C8221" s="8" t="str">
        <f>材料产出!$R$2</f>
        <v>转生精华</v>
      </c>
      <c r="D8221" s="224">
        <f>参数调整!$K$39*怪物掉落配置方案!$D4117</f>
        <v>9.8900542128996308E-3</v>
      </c>
    </row>
    <row r="8222" spans="1:4" ht="16.5" hidden="1" x14ac:dyDescent="0.3">
      <c r="A8222" s="10" t="str">
        <f>基本属性!$B$15&amp;"|"&amp;基本属性!$C$15</f>
        <v>110|5</v>
      </c>
      <c r="B8222" s="10" t="str">
        <f>参数调整!$J$39</f>
        <v>新增怪物种类4掉落</v>
      </c>
      <c r="C8222" s="8" t="str">
        <f>材料产出!$R$2</f>
        <v>转生精华</v>
      </c>
      <c r="D8222" s="224">
        <f>参数调整!$K$39*怪物掉落配置方案!$D4118</f>
        <v>1.1966965597608556E-2</v>
      </c>
    </row>
    <row r="8223" spans="1:4" ht="16.5" hidden="1" x14ac:dyDescent="0.3">
      <c r="A8223" s="10" t="str">
        <f>基本属性!$B$16&amp;"|"&amp;基本属性!$C$16</f>
        <v>120|6</v>
      </c>
      <c r="B8223" s="10" t="str">
        <f>参数调整!$J$39</f>
        <v>新增怪物种类4掉落</v>
      </c>
      <c r="C8223" s="8" t="str">
        <f>材料产出!$R$2</f>
        <v>转生精华</v>
      </c>
      <c r="D8223" s="224">
        <f>参数调整!$K$39*怪物掉落配置方案!$D4119</f>
        <v>1.5453209707655673E-2</v>
      </c>
    </row>
    <row r="8224" spans="1:4" ht="16.5" hidden="1" x14ac:dyDescent="0.3">
      <c r="A8224" s="10" t="str">
        <f>基本属性!$B$17&amp;"|"&amp;基本属性!$C$17</f>
        <v>135|7</v>
      </c>
      <c r="B8224" s="10" t="str">
        <f>参数调整!$J$39</f>
        <v>新增怪物种类4掉落</v>
      </c>
      <c r="C8224" s="8" t="str">
        <f>材料产出!$R$2</f>
        <v>转生精华</v>
      </c>
      <c r="D8224" s="224">
        <f>参数调整!$K$39*怪物掉落配置方案!$D4120</f>
        <v>2.2252621979024167E-2</v>
      </c>
    </row>
    <row r="8225" spans="1:4" ht="16.5" hidden="1" x14ac:dyDescent="0.3">
      <c r="A8225" s="10" t="str">
        <f>基本属性!$B$18&amp;"|"&amp;基本属性!$C$18</f>
        <v>155|8</v>
      </c>
      <c r="B8225" s="10" t="str">
        <f>参数调整!$J$39</f>
        <v>新增怪物种类4掉落</v>
      </c>
      <c r="C8225" s="8" t="str">
        <f>材料产出!$R$2</f>
        <v>转生精华</v>
      </c>
      <c r="D8225" s="224">
        <f>参数调整!$K$39*怪物掉落配置方案!$D4121</f>
        <v>3.0288291027005122E-2</v>
      </c>
    </row>
    <row r="8226" spans="1:4" ht="16.5" hidden="1" x14ac:dyDescent="0.3">
      <c r="A8226" s="10" t="str">
        <f>基本属性!$B$19&amp;"|"&amp;基本属性!$C$19</f>
        <v>190|9</v>
      </c>
      <c r="B8226" s="10" t="str">
        <f>参数调整!$J$39</f>
        <v>新增怪物种类4掉落</v>
      </c>
      <c r="C8226" s="8" t="str">
        <f>材料产出!$R$2</f>
        <v>转生精华</v>
      </c>
      <c r="D8226" s="224">
        <f>参数调整!$K$39*怪物掉落配置方案!$D4122</f>
        <v>3.3848710543648984E-2</v>
      </c>
    </row>
    <row r="8227" spans="1:4" ht="16.5" hidden="1" x14ac:dyDescent="0.3">
      <c r="A8227" s="10" t="str">
        <f>基本属性!$B$20&amp;"|"&amp;基本属性!$C$20</f>
        <v>200|10</v>
      </c>
      <c r="B8227" s="10" t="str">
        <f>参数调整!$J$39</f>
        <v>新增怪物种类4掉落</v>
      </c>
      <c r="C8227" s="8" t="str">
        <f>材料产出!$R$2</f>
        <v>转生精华</v>
      </c>
      <c r="D8227" s="224">
        <f>参数调整!$K$39*怪物掉落配置方案!$D4123</f>
        <v>3.9560216851598523E-2</v>
      </c>
    </row>
    <row r="8228" spans="1:4" ht="16.5" hidden="1" x14ac:dyDescent="0.3">
      <c r="A8228" s="10" t="str">
        <f>基本属性!$B$21&amp;"|"&amp;基本属性!$C$21</f>
        <v>200|11</v>
      </c>
      <c r="B8228" s="10" t="str">
        <f>参数调整!$J$39</f>
        <v>新增怪物种类4掉落</v>
      </c>
      <c r="C8228" s="8" t="str">
        <f>材料产出!$R$2</f>
        <v>转生精华</v>
      </c>
      <c r="D8228" s="224">
        <f>参数调整!$K$39*怪物掉落配置方案!$D4124</f>
        <v>4.5716775599128533E-2</v>
      </c>
    </row>
    <row r="8229" spans="1:4" ht="16.5" hidden="1" x14ac:dyDescent="0.3">
      <c r="A8229" s="10" t="str">
        <f>基本属性!$B$22&amp;"|"&amp;基本属性!$C$22</f>
        <v>210|12</v>
      </c>
      <c r="B8229" s="10" t="str">
        <f>参数调整!$J$39</f>
        <v>新增怪物种类4掉落</v>
      </c>
      <c r="C8229" s="8" t="str">
        <f>材料产出!$R$2</f>
        <v>转生精华</v>
      </c>
      <c r="D8229" s="224">
        <f>参数调整!$K$39*怪物掉落配置方案!$D4125</f>
        <v>5.2318386786239027E-2</v>
      </c>
    </row>
    <row r="8230" spans="1:4" ht="16.5" hidden="1" x14ac:dyDescent="0.3">
      <c r="A8230" s="10" t="str">
        <f>基本属性!$B$23&amp;"|"&amp;基本属性!$C$23</f>
        <v>210|13</v>
      </c>
      <c r="B8230" s="10" t="str">
        <f>参数调整!$J$39</f>
        <v>新增怪物种类4掉落</v>
      </c>
      <c r="C8230" s="8" t="str">
        <f>材料产出!$R$2</f>
        <v>转生精华</v>
      </c>
      <c r="D8230" s="224">
        <f>参数调整!$K$39*怪物掉落配置方案!$D4126</f>
        <v>5.936505041293004E-2</v>
      </c>
    </row>
    <row r="8231" spans="1:4" ht="16.5" hidden="1" x14ac:dyDescent="0.3">
      <c r="A8231" s="10" t="str">
        <f>基本属性!$B$24&amp;"|"&amp;基本属性!$C$24</f>
        <v>220|14</v>
      </c>
      <c r="B8231" s="10" t="str">
        <f>参数调整!$J$39</f>
        <v>新增怪物种类4掉落</v>
      </c>
      <c r="C8231" s="8" t="str">
        <f>材料产出!$R$2</f>
        <v>转生精华</v>
      </c>
      <c r="D8231" s="224">
        <f>参数调整!$K$39*怪物掉落配置方案!$D4127</f>
        <v>6.685676647920151E-2</v>
      </c>
    </row>
    <row r="8232" spans="1:4" ht="16.5" hidden="1" x14ac:dyDescent="0.3">
      <c r="A8232" s="10" t="str">
        <f>基本属性!$B$25&amp;"|"&amp;基本属性!$C$25</f>
        <v>220|15</v>
      </c>
      <c r="B8232" s="10" t="str">
        <f>参数调整!$J$39</f>
        <v>新增怪物种类4掉落</v>
      </c>
      <c r="C8232" s="8" t="str">
        <f>材料产出!$R$2</f>
        <v>转生精华</v>
      </c>
      <c r="D8232" s="224">
        <f>参数调整!$K$39*怪物掉落配置方案!$D4128</f>
        <v>7.479353498505345E-2</v>
      </c>
    </row>
    <row r="8233" spans="1:4" ht="16.5" hidden="1" x14ac:dyDescent="0.3">
      <c r="A8233" s="10" t="str">
        <f>基本属性!$B$26&amp;"|"&amp;基本属性!$C$26</f>
        <v>230|16</v>
      </c>
      <c r="B8233" s="10" t="str">
        <f>参数调整!$J$39</f>
        <v>新增怪物种类4掉落</v>
      </c>
      <c r="C8233" s="8" t="str">
        <f>材料产出!$R$2</f>
        <v>转生精华</v>
      </c>
      <c r="D8233" s="224">
        <f>参数调整!$K$39*怪物掉落配置方案!$D4129</f>
        <v>8.3175355930485889E-2</v>
      </c>
    </row>
    <row r="8234" spans="1:4" ht="16.5" hidden="1" x14ac:dyDescent="0.3">
      <c r="A8234" s="10" t="str">
        <f>基本属性!$B$27&amp;"|"&amp;基本属性!$C$27</f>
        <v>230|17</v>
      </c>
      <c r="B8234" s="10" t="str">
        <f>参数调整!$J$39</f>
        <v>新增怪物种类4掉落</v>
      </c>
      <c r="C8234" s="8" t="str">
        <f>材料产出!$R$2</f>
        <v>转生精华</v>
      </c>
      <c r="D8234" s="224">
        <f>参数调整!$K$39*怪物掉落配置方案!$D4130</f>
        <v>9.2002229315498799E-2</v>
      </c>
    </row>
    <row r="8235" spans="1:4" ht="16.5" hidden="1" x14ac:dyDescent="0.3">
      <c r="A8235" s="10" t="str">
        <f>基本属性!$B$28&amp;"|"&amp;基本属性!$C$28</f>
        <v>240|18</v>
      </c>
      <c r="B8235" s="10" t="str">
        <f>参数调整!$J$39</f>
        <v>新增怪物种类4掉落</v>
      </c>
      <c r="C8235" s="8" t="str">
        <f>材料产出!$R$2</f>
        <v>转生精华</v>
      </c>
      <c r="D8235" s="224">
        <f>参数调整!$K$39*怪物掉落配置方案!$D4131</f>
        <v>0.10127415514009222</v>
      </c>
    </row>
    <row r="8236" spans="1:4" ht="16.5" hidden="1" x14ac:dyDescent="0.3">
      <c r="A8236" s="10" t="str">
        <f>基本属性!$B$29&amp;"|"&amp;基本属性!$C$29</f>
        <v>240|19</v>
      </c>
      <c r="B8236" s="10" t="str">
        <f>参数调整!$J$39</f>
        <v>新增怪物种类4掉落</v>
      </c>
      <c r="C8236" s="8" t="str">
        <f>材料产出!$R$2</f>
        <v>转生精华</v>
      </c>
      <c r="D8236" s="224">
        <f>参数调整!$K$39*怪物掉落配置方案!$D4132</f>
        <v>0.1109911334042661</v>
      </c>
    </row>
    <row r="8237" spans="1:4" ht="16.5" hidden="1" x14ac:dyDescent="0.3">
      <c r="A8237" s="10" t="str">
        <f>基本属性!$B$30&amp;"|"&amp;基本属性!$C$30</f>
        <v>250|20</v>
      </c>
      <c r="B8237" s="10" t="str">
        <f>参数调整!$J$39</f>
        <v>新增怪物种类4掉落</v>
      </c>
      <c r="C8237" s="8" t="str">
        <f>材料产出!$R$2</f>
        <v>转生精华</v>
      </c>
      <c r="D8237" s="224">
        <f>参数调整!$K$39*怪物掉落配置方案!$D4133</f>
        <v>0.12115316410802043</v>
      </c>
    </row>
    <row r="8238" spans="1:4" ht="16.5" hidden="1" x14ac:dyDescent="0.3">
      <c r="A8238" s="10" t="str">
        <f>基本属性!$B$4&amp;"|"&amp;基本属性!$C$4</f>
        <v>35|0</v>
      </c>
      <c r="B8238" s="10" t="str">
        <f>参数调整!$J$39</f>
        <v>新增怪物种类4掉落</v>
      </c>
      <c r="C8238" s="8" t="str">
        <f>材料产出!$AJ$2</f>
        <v>中品注灵石</v>
      </c>
      <c r="D8238" s="224">
        <f>参数调整!$K$39*怪物掉落配置方案!$D4134</f>
        <v>2.0737641157694265E-2</v>
      </c>
    </row>
    <row r="8239" spans="1:4" ht="16.5" hidden="1" x14ac:dyDescent="0.3">
      <c r="A8239" s="10" t="str">
        <f>基本属性!$B$5&amp;"|"&amp;基本属性!$C$5</f>
        <v>40|0</v>
      </c>
      <c r="B8239" s="10" t="str">
        <f>参数调整!$J$39</f>
        <v>新增怪物种类4掉落</v>
      </c>
      <c r="C8239" s="8" t="str">
        <f>材料产出!$AJ$2</f>
        <v>中品注灵石</v>
      </c>
      <c r="D8239" s="224">
        <f>参数调整!$K$39*怪物掉落配置方案!$D4135</f>
        <v>2.6246077090206807E-2</v>
      </c>
    </row>
    <row r="8240" spans="1:4" ht="16.5" hidden="1" x14ac:dyDescent="0.3">
      <c r="A8240" s="10" t="str">
        <f>基本属性!$B$6&amp;"|"&amp;基本属性!$C$6</f>
        <v>50|0</v>
      </c>
      <c r="B8240" s="10" t="str">
        <f>参数调整!$J$39</f>
        <v>新增怪物种类4掉落</v>
      </c>
      <c r="C8240" s="8" t="str">
        <f>材料产出!$AJ$2</f>
        <v>中品注灵石</v>
      </c>
      <c r="D8240" s="224">
        <f>参数调整!$K$39*怪物掉落配置方案!$D4136</f>
        <v>3.2402564308897291E-2</v>
      </c>
    </row>
    <row r="8241" spans="1:4" ht="16.5" hidden="1" x14ac:dyDescent="0.3">
      <c r="A8241" s="10" t="str">
        <f>基本属性!$B$7&amp;"|"&amp;基本属性!$C$7</f>
        <v>60|0</v>
      </c>
      <c r="B8241" s="10" t="str">
        <f>参数调整!$J$39</f>
        <v>新增怪物种类4掉落</v>
      </c>
      <c r="C8241" s="8" t="str">
        <f>材料产出!$AJ$2</f>
        <v>中品注灵石</v>
      </c>
      <c r="D8241" s="224">
        <f>参数调整!$K$39*怪物掉落配置方案!$D4137</f>
        <v>3.9207102813765729E-2</v>
      </c>
    </row>
    <row r="8242" spans="1:4" ht="16.5" hidden="1" x14ac:dyDescent="0.3">
      <c r="A8242" s="10" t="str">
        <f>基本属性!$B$8&amp;"|"&amp;基本属性!$C$8</f>
        <v>65|0</v>
      </c>
      <c r="B8242" s="10" t="str">
        <f>参数调整!$J$39</f>
        <v>新增怪物种类4掉落</v>
      </c>
      <c r="C8242" s="8" t="str">
        <f>材料产出!$AJ$2</f>
        <v>中品注灵石</v>
      </c>
      <c r="D8242" s="224">
        <f>参数调整!$K$39*怪物掉落配置方案!$D4138</f>
        <v>4.6659692604812092E-2</v>
      </c>
    </row>
    <row r="8243" spans="1:4" ht="16.5" hidden="1" x14ac:dyDescent="0.3">
      <c r="A8243" s="10" t="str">
        <f>基本属性!$B$9&amp;"|"&amp;基本属性!$C$9</f>
        <v>70|0</v>
      </c>
      <c r="B8243" s="10" t="str">
        <f>参数调整!$J$39</f>
        <v>新增怪物种类4掉落</v>
      </c>
      <c r="C8243" s="8" t="str">
        <f>材料产出!$AJ$2</f>
        <v>中品注灵石</v>
      </c>
      <c r="D8243" s="224">
        <f>参数调整!$K$39*怪物掉落配置方案!$D4139</f>
        <v>5.4760333682036422E-2</v>
      </c>
    </row>
    <row r="8244" spans="1:4" ht="16.5" hidden="1" x14ac:dyDescent="0.3">
      <c r="A8244" s="10" t="str">
        <f>基本属性!$B$10&amp;"|"&amp;基本属性!$C$10</f>
        <v>75|0</v>
      </c>
      <c r="B8244" s="10" t="str">
        <f>参数调整!$J$39</f>
        <v>新增怪物种类4掉落</v>
      </c>
      <c r="C8244" s="8" t="str">
        <f>材料产出!$AJ$2</f>
        <v>中品注灵石</v>
      </c>
      <c r="D8244" s="224">
        <f>参数调整!$K$39*怪物掉落配置方案!$D4140</f>
        <v>6.3509026045438677E-2</v>
      </c>
    </row>
    <row r="8245" spans="1:4" ht="16.5" hidden="1" x14ac:dyDescent="0.3">
      <c r="A8245" s="10" t="str">
        <f>基本属性!$B$11&amp;"|"&amp;基本属性!$C$11</f>
        <v>80|1</v>
      </c>
      <c r="B8245" s="10" t="str">
        <f>参数调整!$J$39</f>
        <v>新增怪物种类4掉落</v>
      </c>
      <c r="C8245" s="8" t="str">
        <f>材料产出!$AJ$2</f>
        <v>中品注灵石</v>
      </c>
      <c r="D8245" s="224">
        <f>参数调整!$K$39*怪物掉落配置方案!$D4141</f>
        <v>7.2905769695018913E-2</v>
      </c>
    </row>
    <row r="8246" spans="1:4" ht="16.5" hidden="1" x14ac:dyDescent="0.3">
      <c r="A8246" s="10" t="str">
        <f>基本属性!$B$12&amp;"|"&amp;基本属性!$C$12</f>
        <v>90|2</v>
      </c>
      <c r="B8246" s="10" t="str">
        <f>参数调整!$J$39</f>
        <v>新增怪物种类4掉落</v>
      </c>
      <c r="C8246" s="8" t="str">
        <f>材料产出!$AJ$2</f>
        <v>中品注灵石</v>
      </c>
      <c r="D8246" s="224">
        <f>参数调整!$K$39*怪物掉落配置方案!$D4142</f>
        <v>8.2950564630777074E-2</v>
      </c>
    </row>
    <row r="8247" spans="1:4" ht="16.5" hidden="1" x14ac:dyDescent="0.3">
      <c r="A8247" s="10" t="str">
        <f>基本属性!$B$13&amp;"|"&amp;基本属性!$C$13</f>
        <v>100|3</v>
      </c>
      <c r="B8247" s="10" t="str">
        <f>参数调整!$J$39</f>
        <v>新增怪物种类4掉落</v>
      </c>
      <c r="C8247" s="8" t="str">
        <f>材料产出!$AJ$2</f>
        <v>中品注灵石</v>
      </c>
      <c r="D8247" s="224">
        <f>参数调整!$K$39*怪物掉落配置方案!$D4143</f>
        <v>0.10498430836082723</v>
      </c>
    </row>
    <row r="8248" spans="1:4" ht="16.5" hidden="1" x14ac:dyDescent="0.3">
      <c r="A8248" s="10" t="str">
        <f>基本属性!$B$14&amp;"|"&amp;基本属性!$C$14</f>
        <v>105|4</v>
      </c>
      <c r="B8248" s="10" t="str">
        <f>参数调整!$J$39</f>
        <v>新增怪物种类4掉落</v>
      </c>
      <c r="C8248" s="8" t="str">
        <f>材料产出!$AJ$2</f>
        <v>中品注灵石</v>
      </c>
      <c r="D8248" s="224">
        <f>参数调整!$K$39*怪物掉落配置方案!$D4144</f>
        <v>0.12961025723558917</v>
      </c>
    </row>
    <row r="8249" spans="1:4" ht="16.5" hidden="1" x14ac:dyDescent="0.3">
      <c r="A8249" s="10" t="str">
        <f>基本属性!$B$15&amp;"|"&amp;基本属性!$C$15</f>
        <v>110|5</v>
      </c>
      <c r="B8249" s="10" t="str">
        <f>参数调整!$J$39</f>
        <v>新增怪物种类4掉落</v>
      </c>
      <c r="C8249" s="8" t="str">
        <f>材料产出!$AJ$2</f>
        <v>中品注灵石</v>
      </c>
      <c r="D8249" s="224">
        <f>参数调整!$K$39*怪物掉落配置方案!$D4145</f>
        <v>0.15682841125506292</v>
      </c>
    </row>
    <row r="8250" spans="1:4" ht="16.5" hidden="1" x14ac:dyDescent="0.3">
      <c r="A8250" s="10" t="str">
        <f>基本属性!$B$16&amp;"|"&amp;基本属性!$C$16</f>
        <v>120|6</v>
      </c>
      <c r="B8250" s="10" t="str">
        <f>参数调整!$J$39</f>
        <v>新增怪物种类4掉落</v>
      </c>
      <c r="C8250" s="8" t="str">
        <f>材料产出!$AJ$2</f>
        <v>中品注灵石</v>
      </c>
      <c r="D8250" s="224">
        <f>参数调整!$K$39*怪物掉落配置方案!$D4146</f>
        <v>0.20251602693060808</v>
      </c>
    </row>
    <row r="8251" spans="1:4" ht="16.5" hidden="1" x14ac:dyDescent="0.3">
      <c r="A8251" s="10" t="str">
        <f>基本属性!$B$17&amp;"|"&amp;基本属性!$C$17</f>
        <v>135|7</v>
      </c>
      <c r="B8251" s="10" t="str">
        <f>参数调整!$J$39</f>
        <v>新增怪物种类4掉落</v>
      </c>
      <c r="C8251" s="8" t="str">
        <f>材料产出!$AJ$2</f>
        <v>中品注灵石</v>
      </c>
      <c r="D8251" s="224">
        <f>参数调整!$K$39*怪物掉落配置方案!$D4147</f>
        <v>0.29162307878007565</v>
      </c>
    </row>
    <row r="8252" spans="1:4" ht="16.5" hidden="1" x14ac:dyDescent="0.3">
      <c r="A8252" s="10" t="str">
        <f>基本属性!$B$18&amp;"|"&amp;基本属性!$C$18</f>
        <v>155|8</v>
      </c>
      <c r="B8252" s="10" t="str">
        <f>参数调整!$J$39</f>
        <v>新增怪物种类4掉落</v>
      </c>
      <c r="C8252" s="8" t="str">
        <f>材料产出!$AJ$2</f>
        <v>中品注灵石</v>
      </c>
      <c r="D8252" s="224">
        <f>参数调整!$K$39*怪物掉落配置方案!$D4148</f>
        <v>0.3969314127839918</v>
      </c>
    </row>
    <row r="8253" spans="1:4" ht="16.5" hidden="1" x14ac:dyDescent="0.3">
      <c r="A8253" s="10" t="str">
        <f>基本属性!$B$19&amp;"|"&amp;基本属性!$C$19</f>
        <v>190|9</v>
      </c>
      <c r="B8253" s="10" t="str">
        <f>参数调整!$J$39</f>
        <v>新增怪物种类4掉落</v>
      </c>
      <c r="C8253" s="8" t="str">
        <f>材料产出!$AJ$2</f>
        <v>中品注灵石</v>
      </c>
      <c r="D8253" s="224">
        <f>参数调整!$K$39*怪物掉落配置方案!$D4149</f>
        <v>0.44359110538880397</v>
      </c>
    </row>
    <row r="8254" spans="1:4" ht="16.5" hidden="1" x14ac:dyDescent="0.3">
      <c r="A8254" s="10" t="str">
        <f>基本属性!$B$20&amp;"|"&amp;基本属性!$C$20</f>
        <v>200|10</v>
      </c>
      <c r="B8254" s="10" t="str">
        <f>参数调整!$J$39</f>
        <v>新增怪物种类4掉落</v>
      </c>
      <c r="C8254" s="8" t="str">
        <f>材料产出!$AJ$2</f>
        <v>中品注灵石</v>
      </c>
      <c r="D8254" s="224">
        <f>参数调整!$K$39*怪物掉落配置方案!$D4150</f>
        <v>0.51844102894235666</v>
      </c>
    </row>
    <row r="8255" spans="1:4" ht="16.5" hidden="1" x14ac:dyDescent="0.3">
      <c r="A8255" s="10" t="str">
        <f>基本属性!$B$21&amp;"|"&amp;基本属性!$C$21</f>
        <v>200|11</v>
      </c>
      <c r="B8255" s="10" t="str">
        <f>参数调整!$J$39</f>
        <v>新增怪物种类4掉落</v>
      </c>
      <c r="C8255" s="8" t="str">
        <f>材料产出!$AJ$2</f>
        <v>中品注灵石</v>
      </c>
      <c r="D8255" s="224">
        <f>参数调整!$K$39*怪物掉落配置方案!$D4151</f>
        <v>0.59912341407151082</v>
      </c>
    </row>
    <row r="8256" spans="1:4" ht="16.5" hidden="1" x14ac:dyDescent="0.3">
      <c r="A8256" s="10" t="str">
        <f>基本属性!$B$22&amp;"|"&amp;基本属性!$C$22</f>
        <v>210|12</v>
      </c>
      <c r="B8256" s="10" t="str">
        <f>参数调整!$J$39</f>
        <v>新增怪物种类4掉落</v>
      </c>
      <c r="C8256" s="8" t="str">
        <f>材料产出!$AJ$2</f>
        <v>中品注灵石</v>
      </c>
      <c r="D8256" s="224">
        <f>参数调整!$K$39*怪物掉落配置方案!$D4152</f>
        <v>0.68563826077626644</v>
      </c>
    </row>
    <row r="8257" spans="1:4" ht="16.5" hidden="1" x14ac:dyDescent="0.3">
      <c r="A8257" s="10" t="str">
        <f>基本属性!$B$23&amp;"|"&amp;基本属性!$C$23</f>
        <v>210|13</v>
      </c>
      <c r="B8257" s="10" t="str">
        <f>参数调整!$J$39</f>
        <v>新增怪物种类4掉落</v>
      </c>
      <c r="C8257" s="8" t="str">
        <f>材料产出!$AJ$2</f>
        <v>中品注灵石</v>
      </c>
      <c r="D8257" s="224">
        <f>参数调整!$K$39*怪物掉落配置方案!$D4153</f>
        <v>0.77798556905662397</v>
      </c>
    </row>
    <row r="8258" spans="1:4" ht="16.5" hidden="1" x14ac:dyDescent="0.3">
      <c r="A8258" s="10" t="str">
        <f>基本属性!$B$24&amp;"|"&amp;基本属性!$C$24</f>
        <v>220|14</v>
      </c>
      <c r="B8258" s="10" t="str">
        <f>参数调整!$J$39</f>
        <v>新增怪物种类4掉落</v>
      </c>
      <c r="C8258" s="8" t="str">
        <f>材料产出!$AJ$2</f>
        <v>中品注灵石</v>
      </c>
      <c r="D8258" s="224">
        <f>参数调整!$K$39*怪物掉落配置方案!$D4154</f>
        <v>0.87616533891258275</v>
      </c>
    </row>
    <row r="8259" spans="1:4" ht="16.5" hidden="1" x14ac:dyDescent="0.3">
      <c r="A8259" s="10" t="str">
        <f>基本属性!$B$25&amp;"|"&amp;基本属性!$C$25</f>
        <v>220|15</v>
      </c>
      <c r="B8259" s="10" t="str">
        <f>参数调整!$J$39</f>
        <v>新增怪物种类4掉落</v>
      </c>
      <c r="C8259" s="8" t="str">
        <f>材料产出!$AJ$2</f>
        <v>中品注灵石</v>
      </c>
      <c r="D8259" s="224">
        <f>参数调整!$K$39*怪物掉落配置方案!$D4155</f>
        <v>0.98017757034414299</v>
      </c>
    </row>
    <row r="8260" spans="1:4" ht="16.5" hidden="1" x14ac:dyDescent="0.3">
      <c r="A8260" s="10" t="str">
        <f>基本属性!$B$26&amp;"|"&amp;基本属性!$C$26</f>
        <v>230|16</v>
      </c>
      <c r="B8260" s="10" t="str">
        <f>参数调整!$J$39</f>
        <v>新增怪物种类4掉落</v>
      </c>
      <c r="C8260" s="8" t="str">
        <f>材料产出!$AJ$2</f>
        <v>中品注灵石</v>
      </c>
      <c r="D8260" s="224">
        <f>参数调整!$K$39*怪物掉落配置方案!$D4156</f>
        <v>1.0900222633513046</v>
      </c>
    </row>
    <row r="8261" spans="1:4" ht="16.5" hidden="1" x14ac:dyDescent="0.3">
      <c r="A8261" s="10" t="str">
        <f>基本属性!$B$27&amp;"|"&amp;基本属性!$C$27</f>
        <v>230|17</v>
      </c>
      <c r="B8261" s="10" t="str">
        <f>参数调整!$J$39</f>
        <v>新增怪物种类4掉落</v>
      </c>
      <c r="C8261" s="8" t="str">
        <f>材料产出!$AJ$2</f>
        <v>中品注灵石</v>
      </c>
      <c r="D8261" s="224">
        <f>参数调整!$K$39*怪物掉落配置方案!$D4157</f>
        <v>1.2056994179340681</v>
      </c>
    </row>
    <row r="8262" spans="1:4" ht="16.5" hidden="1" x14ac:dyDescent="0.3">
      <c r="A8262" s="10" t="str">
        <f>基本属性!$B$28&amp;"|"&amp;基本属性!$C$28</f>
        <v>240|18</v>
      </c>
      <c r="B8262" s="10" t="str">
        <f>参数调整!$J$39</f>
        <v>新增怪物种类4掉落</v>
      </c>
      <c r="C8262" s="8" t="str">
        <f>材料产出!$AJ$2</f>
        <v>中品注灵石</v>
      </c>
      <c r="D8262" s="224">
        <f>参数调整!$K$39*怪物掉落配置方案!$D4158</f>
        <v>1.3272090340924332</v>
      </c>
    </row>
    <row r="8263" spans="1:4" ht="16.5" hidden="1" x14ac:dyDescent="0.3">
      <c r="A8263" s="10" t="str">
        <f>基本属性!$B$29&amp;"|"&amp;基本属性!$C$29</f>
        <v>240|19</v>
      </c>
      <c r="B8263" s="10" t="str">
        <f>参数调整!$J$39</f>
        <v>新增怪物种类4掉落</v>
      </c>
      <c r="C8263" s="8" t="str">
        <f>材料产出!$AJ$2</f>
        <v>中品注灵石</v>
      </c>
      <c r="D8263" s="224">
        <f>参数调整!$K$39*怪物掉落配置方案!$D4159</f>
        <v>1.4545511118263994</v>
      </c>
    </row>
    <row r="8264" spans="1:4" ht="16.5" hidden="1" x14ac:dyDescent="0.3">
      <c r="A8264" s="10" t="str">
        <f>基本属性!$B$30&amp;"|"&amp;基本属性!$C$30</f>
        <v>250|20</v>
      </c>
      <c r="B8264" s="10" t="str">
        <f>参数调整!$J$39</f>
        <v>新增怪物种类4掉落</v>
      </c>
      <c r="C8264" s="8" t="str">
        <f>材料产出!$AJ$2</f>
        <v>中品注灵石</v>
      </c>
      <c r="D8264" s="224">
        <f>参数调整!$K$39*怪物掉落配置方案!$D4160</f>
        <v>1.5877256511359672</v>
      </c>
    </row>
    <row r="8265" spans="1:4" ht="16.5" hidden="1" x14ac:dyDescent="0.3">
      <c r="A8265" s="10" t="str">
        <f>基本属性!$B$4&amp;"|"&amp;基本属性!$C$4</f>
        <v>35|0</v>
      </c>
      <c r="B8265" s="10" t="str">
        <f>参数调整!$J$39</f>
        <v>新增怪物种类4掉落</v>
      </c>
      <c r="C8265" s="8" t="str">
        <f>材料产出!$J$2</f>
        <v>元宝</v>
      </c>
      <c r="D8265" s="224">
        <f>参数调整!$K$39*怪物掉落配置方案!$D4161</f>
        <v>268</v>
      </c>
    </row>
    <row r="8266" spans="1:4" ht="16.5" hidden="1" x14ac:dyDescent="0.3">
      <c r="A8266" s="10" t="str">
        <f>基本属性!$B$5&amp;"|"&amp;基本属性!$C$5</f>
        <v>40|0</v>
      </c>
      <c r="B8266" s="10" t="str">
        <f>参数调整!$J$39</f>
        <v>新增怪物种类4掉落</v>
      </c>
      <c r="C8266" s="8" t="str">
        <f>材料产出!$J$2</f>
        <v>元宝</v>
      </c>
      <c r="D8266" s="224">
        <f>参数调整!$K$39*怪物掉落配置方案!$D4162</f>
        <v>340</v>
      </c>
    </row>
    <row r="8267" spans="1:4" ht="16.5" hidden="1" x14ac:dyDescent="0.3">
      <c r="A8267" s="10" t="str">
        <f>基本属性!$B$6&amp;"|"&amp;基本属性!$C$6</f>
        <v>50|0</v>
      </c>
      <c r="B8267" s="10" t="str">
        <f>参数调整!$J$39</f>
        <v>新增怪物种类4掉落</v>
      </c>
      <c r="C8267" s="8" t="str">
        <f>材料产出!$J$2</f>
        <v>元宝</v>
      </c>
      <c r="D8267" s="224">
        <f>参数调整!$K$39*怪物掉落配置方案!$D4163</f>
        <v>420</v>
      </c>
    </row>
    <row r="8268" spans="1:4" ht="16.5" hidden="1" x14ac:dyDescent="0.3">
      <c r="A8268" s="10" t="str">
        <f>基本属性!$B$7&amp;"|"&amp;基本属性!$C$7</f>
        <v>60|0</v>
      </c>
      <c r="B8268" s="10" t="str">
        <f>参数调整!$J$39</f>
        <v>新增怪物种类4掉落</v>
      </c>
      <c r="C8268" s="8" t="str">
        <f>材料产出!$J$2</f>
        <v>元宝</v>
      </c>
      <c r="D8268" s="224">
        <f>参数调整!$K$39*怪物掉落配置方案!$D4164</f>
        <v>508</v>
      </c>
    </row>
    <row r="8269" spans="1:4" ht="16.5" hidden="1" x14ac:dyDescent="0.3">
      <c r="A8269" s="10" t="str">
        <f>基本属性!$B$8&amp;"|"&amp;基本属性!$C$8</f>
        <v>65|0</v>
      </c>
      <c r="B8269" s="10" t="str">
        <f>参数调整!$J$39</f>
        <v>新增怪物种类4掉落</v>
      </c>
      <c r="C8269" s="8" t="str">
        <f>材料产出!$J$2</f>
        <v>元宝</v>
      </c>
      <c r="D8269" s="224">
        <f>参数调整!$K$39*怪物掉落配置方案!$D4165</f>
        <v>604</v>
      </c>
    </row>
    <row r="8270" spans="1:4" ht="16.5" hidden="1" x14ac:dyDescent="0.3">
      <c r="A8270" s="10" t="str">
        <f>基本属性!$B$9&amp;"|"&amp;基本属性!$C$9</f>
        <v>70|0</v>
      </c>
      <c r="B8270" s="10" t="str">
        <f>参数调整!$J$39</f>
        <v>新增怪物种类4掉落</v>
      </c>
      <c r="C8270" s="8" t="str">
        <f>材料产出!$J$2</f>
        <v>元宝</v>
      </c>
      <c r="D8270" s="224">
        <f>参数调整!$K$39*怪物掉落配置方案!$D4166</f>
        <v>708</v>
      </c>
    </row>
    <row r="8271" spans="1:4" ht="16.5" hidden="1" x14ac:dyDescent="0.3">
      <c r="A8271" s="10" t="str">
        <f>基本属性!$B$10&amp;"|"&amp;基本属性!$C$10</f>
        <v>75|0</v>
      </c>
      <c r="B8271" s="10" t="str">
        <f>参数调整!$J$39</f>
        <v>新增怪物种类4掉落</v>
      </c>
      <c r="C8271" s="8" t="str">
        <f>材料产出!$J$2</f>
        <v>元宝</v>
      </c>
      <c r="D8271" s="224">
        <f>参数调整!$K$39*怪物掉落配置方案!$D4167</f>
        <v>820</v>
      </c>
    </row>
    <row r="8272" spans="1:4" ht="16.5" hidden="1" x14ac:dyDescent="0.3">
      <c r="A8272" s="10" t="str">
        <f>基本属性!$B$11&amp;"|"&amp;基本属性!$C$11</f>
        <v>80|1</v>
      </c>
      <c r="B8272" s="10" t="str">
        <f>参数调整!$J$39</f>
        <v>新增怪物种类4掉落</v>
      </c>
      <c r="C8272" s="8" t="str">
        <f>材料产出!$J$2</f>
        <v>元宝</v>
      </c>
      <c r="D8272" s="224">
        <f>参数调整!$K$39*怪物掉落配置方案!$D4168</f>
        <v>944</v>
      </c>
    </row>
    <row r="8273" spans="1:4" ht="16.5" hidden="1" x14ac:dyDescent="0.3">
      <c r="A8273" s="10" t="str">
        <f>基本属性!$B$12&amp;"|"&amp;基本属性!$C$12</f>
        <v>90|2</v>
      </c>
      <c r="B8273" s="10" t="str">
        <f>参数调整!$J$39</f>
        <v>新增怪物种类4掉落</v>
      </c>
      <c r="C8273" s="8" t="str">
        <f>材料产出!$J$2</f>
        <v>元宝</v>
      </c>
      <c r="D8273" s="224">
        <f>参数调整!$K$39*怪物掉落配置方案!$D4169</f>
        <v>1072</v>
      </c>
    </row>
    <row r="8274" spans="1:4" ht="16.5" hidden="1" x14ac:dyDescent="0.3">
      <c r="A8274" s="10" t="str">
        <f>基本属性!$B$13&amp;"|"&amp;基本属性!$C$13</f>
        <v>100|3</v>
      </c>
      <c r="B8274" s="10" t="str">
        <f>参数调整!$J$39</f>
        <v>新增怪物种类4掉落</v>
      </c>
      <c r="C8274" s="8" t="str">
        <f>材料产出!$J$2</f>
        <v>元宝</v>
      </c>
      <c r="D8274" s="224">
        <f>参数调整!$K$39*怪物掉落配置方案!$D4170</f>
        <v>1356</v>
      </c>
    </row>
    <row r="8275" spans="1:4" ht="16.5" hidden="1" x14ac:dyDescent="0.3">
      <c r="A8275" s="10" t="str">
        <f>基本属性!$B$14&amp;"|"&amp;基本属性!$C$14</f>
        <v>105|4</v>
      </c>
      <c r="B8275" s="10" t="str">
        <f>参数调整!$J$39</f>
        <v>新增怪物种类4掉落</v>
      </c>
      <c r="C8275" s="8" t="str">
        <f>材料产出!$J$2</f>
        <v>元宝</v>
      </c>
      <c r="D8275" s="224">
        <f>参数调整!$K$39*怪物掉落配置方案!$D4171</f>
        <v>1676</v>
      </c>
    </row>
    <row r="8276" spans="1:4" ht="16.5" hidden="1" x14ac:dyDescent="0.3">
      <c r="A8276" s="10" t="str">
        <f>基本属性!$B$15&amp;"|"&amp;基本属性!$C$15</f>
        <v>110|5</v>
      </c>
      <c r="B8276" s="10" t="str">
        <f>参数调整!$J$39</f>
        <v>新增怪物种类4掉落</v>
      </c>
      <c r="C8276" s="8" t="str">
        <f>材料产出!$J$2</f>
        <v>元宝</v>
      </c>
      <c r="D8276" s="224">
        <f>参数调整!$K$39*怪物掉落配置方案!$D4172</f>
        <v>2028</v>
      </c>
    </row>
    <row r="8277" spans="1:4" ht="16.5" hidden="1" x14ac:dyDescent="0.3">
      <c r="A8277" s="10" t="str">
        <f>基本属性!$B$16&amp;"|"&amp;基本属性!$C$16</f>
        <v>120|6</v>
      </c>
      <c r="B8277" s="10" t="str">
        <f>参数调整!$J$39</f>
        <v>新增怪物种类4掉落</v>
      </c>
      <c r="C8277" s="8" t="str">
        <f>材料产出!$J$2</f>
        <v>元宝</v>
      </c>
      <c r="D8277" s="224">
        <f>参数调整!$K$39*怪物掉落配置方案!$D4173</f>
        <v>2620</v>
      </c>
    </row>
    <row r="8278" spans="1:4" ht="16.5" hidden="1" x14ac:dyDescent="0.3">
      <c r="A8278" s="10" t="str">
        <f>基本属性!$B$17&amp;"|"&amp;基本属性!$C$17</f>
        <v>135|7</v>
      </c>
      <c r="B8278" s="10" t="str">
        <f>参数调整!$J$39</f>
        <v>新增怪物种类4掉落</v>
      </c>
      <c r="C8278" s="8" t="str">
        <f>材料产出!$J$2</f>
        <v>元宝</v>
      </c>
      <c r="D8278" s="224">
        <f>参数调整!$K$39*怪物掉落配置方案!$D4174</f>
        <v>3772</v>
      </c>
    </row>
    <row r="8279" spans="1:4" ht="16.5" hidden="1" x14ac:dyDescent="0.3">
      <c r="A8279" s="10" t="str">
        <f>基本属性!$B$18&amp;"|"&amp;基本属性!$C$18</f>
        <v>155|8</v>
      </c>
      <c r="B8279" s="10" t="str">
        <f>参数调整!$J$39</f>
        <v>新增怪物种类4掉落</v>
      </c>
      <c r="C8279" s="8" t="str">
        <f>材料产出!$J$2</f>
        <v>元宝</v>
      </c>
      <c r="D8279" s="224">
        <f>参数调整!$K$39*怪物掉落配置方案!$D4175</f>
        <v>5136</v>
      </c>
    </row>
    <row r="8280" spans="1:4" ht="16.5" hidden="1" x14ac:dyDescent="0.3">
      <c r="A8280" s="10" t="str">
        <f>基本属性!$B$19&amp;"|"&amp;基本属性!$C$19</f>
        <v>190|9</v>
      </c>
      <c r="B8280" s="10" t="str">
        <f>参数调整!$J$39</f>
        <v>新增怪物种类4掉落</v>
      </c>
      <c r="C8280" s="8" t="str">
        <f>材料产出!$J$2</f>
        <v>元宝</v>
      </c>
      <c r="D8280" s="224">
        <f>参数调整!$K$39*怪物掉落配置方案!$D4176</f>
        <v>5736</v>
      </c>
    </row>
    <row r="8281" spans="1:4" ht="16.5" hidden="1" x14ac:dyDescent="0.3">
      <c r="A8281" s="10" t="str">
        <f>基本属性!$B$20&amp;"|"&amp;基本属性!$C$20</f>
        <v>200|10</v>
      </c>
      <c r="B8281" s="10" t="str">
        <f>参数调整!$J$39</f>
        <v>新增怪物种类4掉落</v>
      </c>
      <c r="C8281" s="8" t="str">
        <f>材料产出!$J$2</f>
        <v>元宝</v>
      </c>
      <c r="D8281" s="224">
        <f>参数调整!$K$39*怪物掉落配置方案!$D4177</f>
        <v>6708</v>
      </c>
    </row>
    <row r="8282" spans="1:4" ht="16.5" hidden="1" x14ac:dyDescent="0.3">
      <c r="A8282" s="10" t="str">
        <f>基本属性!$B$21&amp;"|"&amp;基本属性!$C$21</f>
        <v>200|11</v>
      </c>
      <c r="B8282" s="10" t="str">
        <f>参数调整!$J$39</f>
        <v>新增怪物种类4掉落</v>
      </c>
      <c r="C8282" s="8" t="str">
        <f>材料产出!$J$2</f>
        <v>元宝</v>
      </c>
      <c r="D8282" s="224">
        <f>参数调整!$K$39*怪物掉落配置方案!$D4178</f>
        <v>7748</v>
      </c>
    </row>
    <row r="8283" spans="1:4" ht="16.5" hidden="1" x14ac:dyDescent="0.3">
      <c r="A8283" s="10" t="str">
        <f>基本属性!$B$22&amp;"|"&amp;基本属性!$C$22</f>
        <v>210|12</v>
      </c>
      <c r="B8283" s="10" t="str">
        <f>参数调整!$J$39</f>
        <v>新增怪物种类4掉落</v>
      </c>
      <c r="C8283" s="8" t="str">
        <f>材料产出!$J$2</f>
        <v>元宝</v>
      </c>
      <c r="D8283" s="224">
        <f>参数调整!$K$39*怪物掉落配置方案!$D4179</f>
        <v>8868</v>
      </c>
    </row>
    <row r="8284" spans="1:4" ht="16.5" hidden="1" x14ac:dyDescent="0.3">
      <c r="A8284" s="10" t="str">
        <f>基本属性!$B$23&amp;"|"&amp;基本属性!$C$23</f>
        <v>210|13</v>
      </c>
      <c r="B8284" s="10" t="str">
        <f>参数调整!$J$39</f>
        <v>新增怪物种类4掉落</v>
      </c>
      <c r="C8284" s="8" t="str">
        <f>材料产出!$J$2</f>
        <v>元宝</v>
      </c>
      <c r="D8284" s="224">
        <f>参数调整!$K$39*怪物掉落配置方案!$D4180</f>
        <v>10064</v>
      </c>
    </row>
    <row r="8285" spans="1:4" ht="16.5" hidden="1" x14ac:dyDescent="0.3">
      <c r="A8285" s="10" t="str">
        <f>基本属性!$B$24&amp;"|"&amp;基本属性!$C$24</f>
        <v>220|14</v>
      </c>
      <c r="B8285" s="10" t="str">
        <f>参数调整!$J$39</f>
        <v>新增怪物种类4掉落</v>
      </c>
      <c r="C8285" s="8" t="str">
        <f>材料产出!$J$2</f>
        <v>元宝</v>
      </c>
      <c r="D8285" s="224">
        <f>参数调整!$K$39*怪物掉落配置方案!$D4181</f>
        <v>11332</v>
      </c>
    </row>
    <row r="8286" spans="1:4" ht="16.5" hidden="1" x14ac:dyDescent="0.3">
      <c r="A8286" s="10" t="str">
        <f>基本属性!$B$25&amp;"|"&amp;基本属性!$C$25</f>
        <v>220|15</v>
      </c>
      <c r="B8286" s="10" t="str">
        <f>参数调整!$J$39</f>
        <v>新增怪物种类4掉落</v>
      </c>
      <c r="C8286" s="8" t="str">
        <f>材料产出!$J$2</f>
        <v>元宝</v>
      </c>
      <c r="D8286" s="224">
        <f>参数调整!$K$39*怪物掉落配置方案!$D4182</f>
        <v>12680</v>
      </c>
    </row>
    <row r="8287" spans="1:4" ht="16.5" hidden="1" x14ac:dyDescent="0.3">
      <c r="A8287" s="10" t="str">
        <f>基本属性!$B$26&amp;"|"&amp;基本属性!$C$26</f>
        <v>230|16</v>
      </c>
      <c r="B8287" s="10" t="str">
        <f>参数调整!$J$39</f>
        <v>新增怪物种类4掉落</v>
      </c>
      <c r="C8287" s="8" t="str">
        <f>材料产出!$J$2</f>
        <v>元宝</v>
      </c>
      <c r="D8287" s="224">
        <f>参数调整!$K$39*怪物掉落配置方案!$D4183</f>
        <v>14100</v>
      </c>
    </row>
    <row r="8288" spans="1:4" ht="16.5" hidden="1" x14ac:dyDescent="0.3">
      <c r="A8288" s="10" t="str">
        <f>基本属性!$B$27&amp;"|"&amp;基本属性!$C$27</f>
        <v>230|17</v>
      </c>
      <c r="B8288" s="10" t="str">
        <f>参数调整!$J$39</f>
        <v>新增怪物种类4掉落</v>
      </c>
      <c r="C8288" s="8" t="str">
        <f>材料产出!$J$2</f>
        <v>元宝</v>
      </c>
      <c r="D8288" s="224">
        <f>参数调整!$K$39*怪物掉落配置方案!$D4184</f>
        <v>15596</v>
      </c>
    </row>
    <row r="8289" spans="1:4" ht="16.5" hidden="1" x14ac:dyDescent="0.3">
      <c r="A8289" s="10" t="str">
        <f>基本属性!$B$28&amp;"|"&amp;基本属性!$C$28</f>
        <v>240|18</v>
      </c>
      <c r="B8289" s="10" t="str">
        <f>参数调整!$J$39</f>
        <v>新增怪物种类4掉落</v>
      </c>
      <c r="C8289" s="8" t="str">
        <f>材料产出!$J$2</f>
        <v>元宝</v>
      </c>
      <c r="D8289" s="224">
        <f>参数调整!$K$39*怪物掉落配置方案!$D4185</f>
        <v>17168</v>
      </c>
    </row>
    <row r="8290" spans="1:4" ht="16.5" hidden="1" x14ac:dyDescent="0.3">
      <c r="A8290" s="10" t="str">
        <f>基本属性!$B$29&amp;"|"&amp;基本属性!$C$29</f>
        <v>240|19</v>
      </c>
      <c r="B8290" s="10" t="str">
        <f>参数调整!$J$39</f>
        <v>新增怪物种类4掉落</v>
      </c>
      <c r="C8290" s="8" t="str">
        <f>材料产出!$J$2</f>
        <v>元宝</v>
      </c>
      <c r="D8290" s="224">
        <f>参数调整!$K$39*怪物掉落配置方案!$D4186</f>
        <v>18816</v>
      </c>
    </row>
    <row r="8291" spans="1:4" ht="16.5" hidden="1" x14ac:dyDescent="0.3">
      <c r="A8291" s="10" t="str">
        <f>基本属性!$B$30&amp;"|"&amp;基本属性!$C$30</f>
        <v>250|20</v>
      </c>
      <c r="B8291" s="10" t="str">
        <f>参数调整!$J$39</f>
        <v>新增怪物种类4掉落</v>
      </c>
      <c r="C8291" s="8" t="str">
        <f>材料产出!$J$2</f>
        <v>元宝</v>
      </c>
      <c r="D8291" s="224">
        <f>参数调整!$K$39*怪物掉落配置方案!$D4187</f>
        <v>20536</v>
      </c>
    </row>
    <row r="8292" spans="1:4" ht="16.5" hidden="1" x14ac:dyDescent="0.3">
      <c r="A8292" s="10" t="str">
        <f>基本属性!$B$4&amp;"|"&amp;基本属性!$C$4</f>
        <v>35|0</v>
      </c>
      <c r="B8292" s="10" t="str">
        <f>参数调整!$J$39</f>
        <v>新增怪物种类4掉落</v>
      </c>
      <c r="C8292" s="8" t="str">
        <f>材料产出!$BB$2</f>
        <v>衣服碎片</v>
      </c>
      <c r="D8292" s="224">
        <f>参数调整!$K$39*怪物掉落配置方案!$D4188</f>
        <v>3.2466788833559817E-5</v>
      </c>
    </row>
    <row r="8293" spans="1:4" ht="16.5" hidden="1" x14ac:dyDescent="0.3">
      <c r="A8293" s="10" t="str">
        <f>基本属性!$B$5&amp;"|"&amp;基本属性!$C$5</f>
        <v>40|0</v>
      </c>
      <c r="B8293" s="10" t="str">
        <f>参数调整!$J$39</f>
        <v>新增怪物种类4掉落</v>
      </c>
      <c r="C8293" s="8" t="str">
        <f>材料产出!$BB$2</f>
        <v>衣服碎片</v>
      </c>
      <c r="D8293" s="224">
        <f>参数调整!$K$39*怪物掉落配置方案!$D4189</f>
        <v>4.1090779617474143E-5</v>
      </c>
    </row>
    <row r="8294" spans="1:4" ht="16.5" hidden="1" x14ac:dyDescent="0.3">
      <c r="A8294" s="10" t="str">
        <f>基本属性!$B$6&amp;"|"&amp;基本属性!$C$6</f>
        <v>50|0</v>
      </c>
      <c r="B8294" s="10" t="str">
        <f>参数调整!$J$39</f>
        <v>新增怪物种类4掉落</v>
      </c>
      <c r="C8294" s="8" t="str">
        <f>材料产出!$BB$2</f>
        <v>衣服碎片</v>
      </c>
      <c r="D8294" s="224">
        <f>参数调整!$K$39*怪物掉落配置方案!$D4190</f>
        <v>5.0729357552437217E-5</v>
      </c>
    </row>
    <row r="8295" spans="1:4" ht="16.5" hidden="1" x14ac:dyDescent="0.3">
      <c r="A8295" s="10" t="str">
        <f>基本属性!$B$7&amp;"|"&amp;基本属性!$C$7</f>
        <v>60|0</v>
      </c>
      <c r="B8295" s="10" t="str">
        <f>参数调整!$J$39</f>
        <v>新增怪物种类4掉落</v>
      </c>
      <c r="C8295" s="8" t="str">
        <f>材料产出!$BB$2</f>
        <v>衣服碎片</v>
      </c>
      <c r="D8295" s="224">
        <f>参数调整!$K$39*怪物掉落配置方案!$D4191</f>
        <v>6.1382522638449028E-5</v>
      </c>
    </row>
    <row r="8296" spans="1:4" ht="16.5" hidden="1" x14ac:dyDescent="0.3">
      <c r="A8296" s="10" t="str">
        <f>基本属性!$B$8&amp;"|"&amp;基本属性!$C$8</f>
        <v>65|0</v>
      </c>
      <c r="B8296" s="10" t="str">
        <f>参数调整!$J$39</f>
        <v>新增怪物种类4掉落</v>
      </c>
      <c r="C8296" s="8" t="str">
        <f>材料产出!$BB$2</f>
        <v>衣服碎片</v>
      </c>
      <c r="D8296" s="224">
        <f>参数调整!$K$39*怪物掉落配置方案!$D4192</f>
        <v>7.3050274875509588E-5</v>
      </c>
    </row>
    <row r="8297" spans="1:4" ht="16.5" hidden="1" x14ac:dyDescent="0.3">
      <c r="A8297" s="10" t="str">
        <f>基本属性!$B$9&amp;"|"&amp;基本属性!$C$9</f>
        <v>70|0</v>
      </c>
      <c r="B8297" s="10" t="str">
        <f>参数调整!$J$39</f>
        <v>新增怪物种类4掉落</v>
      </c>
      <c r="C8297" s="8" t="str">
        <f>材料产出!$BB$2</f>
        <v>衣服碎片</v>
      </c>
      <c r="D8297" s="224">
        <f>参数调整!$K$39*怪物掉落配置方案!$D4193</f>
        <v>8.5732614263618891E-5</v>
      </c>
    </row>
    <row r="8298" spans="1:4" ht="16.5" hidden="1" x14ac:dyDescent="0.3">
      <c r="A8298" s="10" t="str">
        <f>基本属性!$B$10&amp;"|"&amp;基本属性!$C$10</f>
        <v>75|0</v>
      </c>
      <c r="B8298" s="10" t="str">
        <f>参数调整!$J$39</f>
        <v>新增怪物种类4掉落</v>
      </c>
      <c r="C8298" s="8" t="str">
        <f>材料产出!$BB$2</f>
        <v>衣服碎片</v>
      </c>
      <c r="D8298" s="224">
        <f>参数调整!$K$39*怪物掉落配置方案!$D4194</f>
        <v>9.9429540802776923E-5</v>
      </c>
    </row>
    <row r="8299" spans="1:4" ht="16.5" hidden="1" x14ac:dyDescent="0.3">
      <c r="A8299" s="10" t="str">
        <f>基本属性!$B$11&amp;"|"&amp;基本属性!$C$11</f>
        <v>80|1</v>
      </c>
      <c r="B8299" s="10" t="str">
        <f>参数调整!$J$39</f>
        <v>新增怪物种类4掉落</v>
      </c>
      <c r="C8299" s="8" t="str">
        <f>材料产出!$BB$2</f>
        <v>衣服碎片</v>
      </c>
      <c r="D8299" s="224">
        <f>参数调整!$K$39*怪物掉落配置方案!$D4195</f>
        <v>1.1414105449298372E-4</v>
      </c>
    </row>
    <row r="8300" spans="1:4" ht="16.5" hidden="1" x14ac:dyDescent="0.3">
      <c r="A8300" s="10" t="str">
        <f>基本属性!$B$12&amp;"|"&amp;基本属性!$C$12</f>
        <v>90|2</v>
      </c>
      <c r="B8300" s="10" t="str">
        <f>参数调整!$J$39</f>
        <v>新增怪物种类4掉落</v>
      </c>
      <c r="C8300" s="8" t="str">
        <f>材料产出!$BB$2</f>
        <v>衣服碎片</v>
      </c>
      <c r="D8300" s="224">
        <f>参数调整!$K$39*怪物掉落配置方案!$D4196</f>
        <v>1.298671553342393E-4</v>
      </c>
    </row>
    <row r="8301" spans="1:4" ht="16.5" hidden="1" x14ac:dyDescent="0.3">
      <c r="A8301" s="10" t="str">
        <f>基本属性!$B$13&amp;"|"&amp;基本属性!$C$13</f>
        <v>100|3</v>
      </c>
      <c r="B8301" s="10" t="str">
        <f>参数调整!$J$39</f>
        <v>新增怪物种类4掉落</v>
      </c>
      <c r="C8301" s="8" t="str">
        <f>材料产出!$BB$2</f>
        <v>衣服碎片</v>
      </c>
      <c r="D8301" s="224">
        <f>参数调整!$K$39*怪物掉落配置方案!$D4197</f>
        <v>1.643631184698966E-4</v>
      </c>
    </row>
    <row r="8302" spans="1:4" ht="16.5" hidden="1" x14ac:dyDescent="0.3">
      <c r="A8302" s="10" t="str">
        <f>基本属性!$B$14&amp;"|"&amp;基本属性!$C$14</f>
        <v>105|4</v>
      </c>
      <c r="B8302" s="10" t="str">
        <f>参数调整!$J$39</f>
        <v>新增怪物种类4掉落</v>
      </c>
      <c r="C8302" s="8" t="str">
        <f>材料产出!$BB$2</f>
        <v>衣服碎片</v>
      </c>
      <c r="D8302" s="224">
        <f>参数调整!$K$39*怪物掉落配置方案!$D4198</f>
        <v>2.0291743020974887E-4</v>
      </c>
    </row>
    <row r="8303" spans="1:4" ht="16.5" hidden="1" x14ac:dyDescent="0.3">
      <c r="A8303" s="10" t="str">
        <f>基本属性!$B$15&amp;"|"&amp;基本属性!$C$15</f>
        <v>110|5</v>
      </c>
      <c r="B8303" s="10" t="str">
        <f>参数调整!$J$39</f>
        <v>新增怪物种类4掉落</v>
      </c>
      <c r="C8303" s="8" t="str">
        <f>材料产出!$BB$2</f>
        <v>衣服碎片</v>
      </c>
      <c r="D8303" s="224">
        <f>参数调整!$K$39*怪物掉落配置方案!$D4199</f>
        <v>2.4553009055379617E-4</v>
      </c>
    </row>
    <row r="8304" spans="1:4" ht="16.5" hidden="1" x14ac:dyDescent="0.3">
      <c r="A8304" s="10" t="str">
        <f>基本属性!$B$16&amp;"|"&amp;基本属性!$C$16</f>
        <v>120|6</v>
      </c>
      <c r="B8304" s="10" t="str">
        <f>参数调整!$J$39</f>
        <v>新增怪物种类4掉落</v>
      </c>
      <c r="C8304" s="8" t="str">
        <f>材料产出!$BB$2</f>
        <v>衣服碎片</v>
      </c>
      <c r="D8304" s="224">
        <f>参数调整!$K$39*怪物掉落配置方案!$D4200</f>
        <v>3.1705848470273265E-4</v>
      </c>
    </row>
    <row r="8305" spans="1:4" ht="16.5" hidden="1" x14ac:dyDescent="0.3">
      <c r="A8305" s="10" t="str">
        <f>基本属性!$B$17&amp;"|"&amp;基本属性!$C$17</f>
        <v>135|7</v>
      </c>
      <c r="B8305" s="10" t="str">
        <f>参数调整!$J$39</f>
        <v>新增怪物种类4掉落</v>
      </c>
      <c r="C8305" s="8" t="str">
        <f>材料产出!$BB$2</f>
        <v>衣服碎片</v>
      </c>
      <c r="D8305" s="224">
        <f>参数调整!$K$39*怪物掉落配置方案!$D4201</f>
        <v>4.565642179719349E-4</v>
      </c>
    </row>
    <row r="8306" spans="1:4" ht="16.5" hidden="1" x14ac:dyDescent="0.3">
      <c r="A8306" s="10" t="str">
        <f>基本属性!$B$18&amp;"|"&amp;基本属性!$C$18</f>
        <v>155|8</v>
      </c>
      <c r="B8306" s="10" t="str">
        <f>参数调整!$J$39</f>
        <v>新增怪物种类4掉落</v>
      </c>
      <c r="C8306" s="8" t="str">
        <f>材料产出!$BB$2</f>
        <v>衣服碎片</v>
      </c>
      <c r="D8306" s="224">
        <f>参数调整!$K$39*怪物掉落配置方案!$D4202</f>
        <v>6.2143463001735591E-4</v>
      </c>
    </row>
    <row r="8307" spans="1:4" ht="16.5" hidden="1" x14ac:dyDescent="0.3">
      <c r="A8307" s="10" t="str">
        <f>基本属性!$B$19&amp;"|"&amp;基本属性!$C$19</f>
        <v>190|9</v>
      </c>
      <c r="B8307" s="10" t="str">
        <f>参数调整!$J$39</f>
        <v>新增怪物种类4掉落</v>
      </c>
      <c r="C8307" s="8" t="str">
        <f>材料产出!$BB$2</f>
        <v>衣服碎片</v>
      </c>
      <c r="D8307" s="224">
        <f>参数调整!$K$39*怪物掉落配置方案!$D4203</f>
        <v>6.9448490489286549E-4</v>
      </c>
    </row>
    <row r="8308" spans="1:4" ht="16.5" hidden="1" x14ac:dyDescent="0.3">
      <c r="A8308" s="10" t="str">
        <f>基本属性!$B$20&amp;"|"&amp;基本属性!$C$20</f>
        <v>200|10</v>
      </c>
      <c r="B8308" s="10" t="str">
        <f>参数调整!$J$39</f>
        <v>新增怪物种类4掉落</v>
      </c>
      <c r="C8308" s="8" t="str">
        <f>材料产出!$BB$2</f>
        <v>衣服碎片</v>
      </c>
      <c r="D8308" s="224">
        <f>参数调整!$K$39*怪物掉落配置方案!$D4204</f>
        <v>8.1166972083899548E-4</v>
      </c>
    </row>
    <row r="8309" spans="1:4" ht="16.5" hidden="1" x14ac:dyDescent="0.3">
      <c r="A8309" s="10" t="str">
        <f>基本属性!$B$21&amp;"|"&amp;基本属性!$C$21</f>
        <v>200|11</v>
      </c>
      <c r="B8309" s="10" t="str">
        <f>参数调整!$J$39</f>
        <v>新增怪物种类4掉落</v>
      </c>
      <c r="C8309" s="8" t="str">
        <f>材料产出!$BB$2</f>
        <v>衣服碎片</v>
      </c>
      <c r="D8309" s="224">
        <f>参数调整!$K$39*怪物掉落配置方案!$D4205</f>
        <v>9.3798582114456382E-4</v>
      </c>
    </row>
    <row r="8310" spans="1:4" ht="16.5" hidden="1" x14ac:dyDescent="0.3">
      <c r="A8310" s="10" t="str">
        <f>基本属性!$B$22&amp;"|"&amp;基本属性!$C$22</f>
        <v>210|12</v>
      </c>
      <c r="B8310" s="10" t="str">
        <f>参数调整!$J$39</f>
        <v>新增怪物种类4掉落</v>
      </c>
      <c r="C8310" s="8" t="str">
        <f>材料产出!$BB$2</f>
        <v>衣服碎片</v>
      </c>
      <c r="D8310" s="224">
        <f>参数调整!$K$39*怪物掉落配置方案!$D4206</f>
        <v>1.0734332058095711E-3</v>
      </c>
    </row>
    <row r="8311" spans="1:4" ht="16.5" hidden="1" x14ac:dyDescent="0.3">
      <c r="A8311" s="10" t="str">
        <f>基本属性!$B$23&amp;"|"&amp;基本属性!$C$23</f>
        <v>210|13</v>
      </c>
      <c r="B8311" s="10" t="str">
        <f>参数调整!$J$39</f>
        <v>新增怪物种类4掉落</v>
      </c>
      <c r="C8311" s="8" t="str">
        <f>材料产出!$BB$2</f>
        <v>衣服碎片</v>
      </c>
      <c r="D8311" s="224">
        <f>参数调整!$K$39*怪物掉落配置方案!$D4207</f>
        <v>1.2180118748340177E-3</v>
      </c>
    </row>
    <row r="8312" spans="1:4" ht="16.5" hidden="1" x14ac:dyDescent="0.3">
      <c r="A8312" s="10" t="str">
        <f>基本属性!$B$24&amp;"|"&amp;基本属性!$C$24</f>
        <v>220|14</v>
      </c>
      <c r="B8312" s="10" t="str">
        <f>参数调整!$J$39</f>
        <v>新增怪物种类4掉落</v>
      </c>
      <c r="C8312" s="8" t="str">
        <f>材料产出!$BB$2</f>
        <v>衣服碎片</v>
      </c>
      <c r="D8312" s="224">
        <f>参数调整!$K$39*怪物掉落配置方案!$D4208</f>
        <v>1.3717218282179023E-3</v>
      </c>
    </row>
    <row r="8313" spans="1:4" ht="16.5" hidden="1" x14ac:dyDescent="0.3">
      <c r="A8313" s="10" t="str">
        <f>基本属性!$B$25&amp;"|"&amp;基本属性!$C$25</f>
        <v>220|15</v>
      </c>
      <c r="B8313" s="10" t="str">
        <f>参数调整!$J$39</f>
        <v>新增怪物种类4掉落</v>
      </c>
      <c r="C8313" s="8" t="str">
        <f>材料产出!$BB$2</f>
        <v>衣服碎片</v>
      </c>
      <c r="D8313" s="224">
        <f>参数调整!$K$39*怪物掉落配置方案!$D4209</f>
        <v>1.5345630659612253E-3</v>
      </c>
    </row>
    <row r="8314" spans="1:4" ht="16.5" hidden="1" x14ac:dyDescent="0.3">
      <c r="A8314" s="10" t="str">
        <f>基本属性!$B$26&amp;"|"&amp;基本属性!$C$26</f>
        <v>230|16</v>
      </c>
      <c r="B8314" s="10" t="str">
        <f>参数调整!$J$39</f>
        <v>新增怪物种类4掉落</v>
      </c>
      <c r="C8314" s="8" t="str">
        <f>材料产出!$BB$2</f>
        <v>衣服碎片</v>
      </c>
      <c r="D8314" s="224">
        <f>参数调整!$K$39*怪物掉落配置方案!$D4210</f>
        <v>1.7065355880639876E-3</v>
      </c>
    </row>
    <row r="8315" spans="1:4" ht="16.5" hidden="1" x14ac:dyDescent="0.3">
      <c r="A8315" s="10" t="str">
        <f>基本属性!$B$27&amp;"|"&amp;基本属性!$C$27</f>
        <v>230|17</v>
      </c>
      <c r="B8315" s="10" t="str">
        <f>参数调整!$J$39</f>
        <v>新增怪物种类4掉落</v>
      </c>
      <c r="C8315" s="8" t="str">
        <f>材料产出!$BB$2</f>
        <v>衣服碎片</v>
      </c>
      <c r="D8315" s="224">
        <f>参数调整!$K$39*怪物掉落配置方案!$D4211</f>
        <v>1.8876393945261884E-3</v>
      </c>
    </row>
    <row r="8316" spans="1:4" ht="16.5" hidden="1" x14ac:dyDescent="0.3">
      <c r="A8316" s="10" t="str">
        <f>基本属性!$B$28&amp;"|"&amp;基本属性!$C$28</f>
        <v>240|18</v>
      </c>
      <c r="B8316" s="10" t="str">
        <f>参数调整!$J$39</f>
        <v>新增怪物种类4掉落</v>
      </c>
      <c r="C8316" s="8" t="str">
        <f>材料产出!$BB$2</f>
        <v>衣服碎片</v>
      </c>
      <c r="D8316" s="224">
        <f>参数调整!$K$39*怪物掉落配置方案!$D4212</f>
        <v>2.0778744853478283E-3</v>
      </c>
    </row>
    <row r="8317" spans="1:4" ht="16.5" hidden="1" x14ac:dyDescent="0.3">
      <c r="A8317" s="10" t="str">
        <f>基本属性!$B$29&amp;"|"&amp;基本属性!$C$29</f>
        <v>240|19</v>
      </c>
      <c r="B8317" s="10" t="str">
        <f>参数调整!$J$39</f>
        <v>新增怪物种类4掉落</v>
      </c>
      <c r="C8317" s="8" t="str">
        <f>材料产出!$BB$2</f>
        <v>衣服碎片</v>
      </c>
      <c r="D8317" s="224">
        <f>参数调整!$K$39*怪物掉落配置方案!$D4213</f>
        <v>2.2772408605289066E-3</v>
      </c>
    </row>
    <row r="8318" spans="1:4" ht="16.5" hidden="1" x14ac:dyDescent="0.3">
      <c r="A8318" s="10" t="str">
        <f>基本属性!$B$30&amp;"|"&amp;基本属性!$C$30</f>
        <v>250|20</v>
      </c>
      <c r="B8318" s="10" t="str">
        <f>参数调整!$J$39</f>
        <v>新增怪物种类4掉落</v>
      </c>
      <c r="C8318" s="8" t="str">
        <f>材料产出!$BB$2</f>
        <v>衣服碎片</v>
      </c>
      <c r="D8318" s="224">
        <f>参数调整!$K$39*怪物掉落配置方案!$D4214</f>
        <v>2.4857385200694228E-3</v>
      </c>
    </row>
    <row r="8319" spans="1:4" ht="16.5" hidden="1" x14ac:dyDescent="0.3">
      <c r="A8319" s="10" t="str">
        <f>基本属性!$B$4&amp;"|"&amp;基本属性!$C$4</f>
        <v>35|0</v>
      </c>
      <c r="B8319" s="10" t="str">
        <f>参数调整!$J$39</f>
        <v>新增怪物种类4掉落</v>
      </c>
      <c r="C8319" s="8" t="str">
        <f>材料产出!$HX$2</f>
        <v>星座装备</v>
      </c>
      <c r="D8319" s="224">
        <f>参数调整!$K$39*怪物掉落配置方案!$D4215</f>
        <v>0</v>
      </c>
    </row>
    <row r="8320" spans="1:4" ht="16.5" hidden="1" x14ac:dyDescent="0.3">
      <c r="A8320" s="10" t="str">
        <f>基本属性!$B$5&amp;"|"&amp;基本属性!$C$5</f>
        <v>40|0</v>
      </c>
      <c r="B8320" s="10" t="str">
        <f>参数调整!$J$39</f>
        <v>新增怪物种类4掉落</v>
      </c>
      <c r="C8320" s="8" t="str">
        <f>材料产出!$HX$2</f>
        <v>星座装备</v>
      </c>
      <c r="D8320" s="224">
        <f>参数调整!$K$39*怪物掉落配置方案!$D4216</f>
        <v>0</v>
      </c>
    </row>
    <row r="8321" spans="1:4" ht="16.5" hidden="1" x14ac:dyDescent="0.3">
      <c r="A8321" s="10" t="str">
        <f>基本属性!$B$6&amp;"|"&amp;基本属性!$C$6</f>
        <v>50|0</v>
      </c>
      <c r="B8321" s="10" t="str">
        <f>参数调整!$J$39</f>
        <v>新增怪物种类4掉落</v>
      </c>
      <c r="C8321" s="8" t="str">
        <f>材料产出!$HX$2</f>
        <v>星座装备</v>
      </c>
      <c r="D8321" s="224">
        <f>参数调整!$K$39*怪物掉落配置方案!$D4217</f>
        <v>0</v>
      </c>
    </row>
    <row r="8322" spans="1:4" ht="16.5" hidden="1" x14ac:dyDescent="0.3">
      <c r="A8322" s="10" t="str">
        <f>基本属性!$B$7&amp;"|"&amp;基本属性!$C$7</f>
        <v>60|0</v>
      </c>
      <c r="B8322" s="10" t="str">
        <f>参数调整!$J$39</f>
        <v>新增怪物种类4掉落</v>
      </c>
      <c r="C8322" s="8" t="str">
        <f>材料产出!$HX$2</f>
        <v>星座装备</v>
      </c>
      <c r="D8322" s="224">
        <f>参数调整!$K$39*怪物掉落配置方案!$D4218</f>
        <v>0</v>
      </c>
    </row>
    <row r="8323" spans="1:4" ht="16.5" hidden="1" x14ac:dyDescent="0.3">
      <c r="A8323" s="10" t="str">
        <f>基本属性!$B$8&amp;"|"&amp;基本属性!$C$8</f>
        <v>65|0</v>
      </c>
      <c r="B8323" s="10" t="str">
        <f>参数调整!$J$39</f>
        <v>新增怪物种类4掉落</v>
      </c>
      <c r="C8323" s="8" t="str">
        <f>材料产出!$HX$2</f>
        <v>星座装备</v>
      </c>
      <c r="D8323" s="224">
        <f>参数调整!$K$39*怪物掉落配置方案!$D4219</f>
        <v>0</v>
      </c>
    </row>
    <row r="8324" spans="1:4" ht="16.5" hidden="1" x14ac:dyDescent="0.3">
      <c r="A8324" s="10" t="str">
        <f>基本属性!$B$9&amp;"|"&amp;基本属性!$C$9</f>
        <v>70|0</v>
      </c>
      <c r="B8324" s="10" t="str">
        <f>参数调整!$J$39</f>
        <v>新增怪物种类4掉落</v>
      </c>
      <c r="C8324" s="8" t="str">
        <f>材料产出!$HX$2</f>
        <v>星座装备</v>
      </c>
      <c r="D8324" s="224">
        <f>参数调整!$K$39*怪物掉落配置方案!$D4220</f>
        <v>0</v>
      </c>
    </row>
    <row r="8325" spans="1:4" ht="16.5" hidden="1" x14ac:dyDescent="0.3">
      <c r="A8325" s="10" t="str">
        <f>基本属性!$B$10&amp;"|"&amp;基本属性!$C$10</f>
        <v>75|0</v>
      </c>
      <c r="B8325" s="10" t="str">
        <f>参数调整!$J$39</f>
        <v>新增怪物种类4掉落</v>
      </c>
      <c r="C8325" s="8" t="str">
        <f>材料产出!$HX$2</f>
        <v>星座装备</v>
      </c>
      <c r="D8325" s="224">
        <f>参数调整!$K$39*怪物掉落配置方案!$D4221</f>
        <v>0</v>
      </c>
    </row>
    <row r="8326" spans="1:4" ht="16.5" hidden="1" x14ac:dyDescent="0.3">
      <c r="A8326" s="10" t="str">
        <f>基本属性!$B$11&amp;"|"&amp;基本属性!$C$11</f>
        <v>80|1</v>
      </c>
      <c r="B8326" s="10" t="str">
        <f>参数调整!$J$39</f>
        <v>新增怪物种类4掉落</v>
      </c>
      <c r="C8326" s="8" t="str">
        <f>材料产出!$HX$2</f>
        <v>星座装备</v>
      </c>
      <c r="D8326" s="224">
        <f>参数调整!$K$39*怪物掉落配置方案!$D4222</f>
        <v>0</v>
      </c>
    </row>
    <row r="8327" spans="1:4" ht="16.5" hidden="1" x14ac:dyDescent="0.3">
      <c r="A8327" s="10" t="str">
        <f>基本属性!$B$12&amp;"|"&amp;基本属性!$C$12</f>
        <v>90|2</v>
      </c>
      <c r="B8327" s="10" t="str">
        <f>参数调整!$J$39</f>
        <v>新增怪物种类4掉落</v>
      </c>
      <c r="C8327" s="8" t="str">
        <f>材料产出!$HX$2</f>
        <v>星座装备</v>
      </c>
      <c r="D8327" s="224">
        <f>参数调整!$K$39*怪物掉落配置方案!$D4223</f>
        <v>0</v>
      </c>
    </row>
    <row r="8328" spans="1:4" ht="16.5" hidden="1" x14ac:dyDescent="0.3">
      <c r="A8328" s="10" t="str">
        <f>基本属性!$B$13&amp;"|"&amp;基本属性!$C$13</f>
        <v>100|3</v>
      </c>
      <c r="B8328" s="10" t="str">
        <f>参数调整!$J$39</f>
        <v>新增怪物种类4掉落</v>
      </c>
      <c r="C8328" s="8" t="str">
        <f>材料产出!$HX$2</f>
        <v>星座装备</v>
      </c>
      <c r="D8328" s="224">
        <f>参数调整!$K$39*怪物掉落配置方案!$D4224</f>
        <v>0</v>
      </c>
    </row>
    <row r="8329" spans="1:4" ht="16.5" hidden="1" x14ac:dyDescent="0.3">
      <c r="A8329" s="10" t="str">
        <f>基本属性!$B$14&amp;"|"&amp;基本属性!$C$14</f>
        <v>105|4</v>
      </c>
      <c r="B8329" s="10" t="str">
        <f>参数调整!$J$39</f>
        <v>新增怪物种类4掉落</v>
      </c>
      <c r="C8329" s="8" t="str">
        <f>材料产出!$HX$2</f>
        <v>星座装备</v>
      </c>
      <c r="D8329" s="224">
        <f>参数调整!$K$39*怪物掉落配置方案!$D4225</f>
        <v>0</v>
      </c>
    </row>
    <row r="8330" spans="1:4" ht="16.5" hidden="1" x14ac:dyDescent="0.3">
      <c r="A8330" s="10" t="str">
        <f>基本属性!$B$15&amp;"|"&amp;基本属性!$C$15</f>
        <v>110|5</v>
      </c>
      <c r="B8330" s="10" t="str">
        <f>参数调整!$J$39</f>
        <v>新增怪物种类4掉落</v>
      </c>
      <c r="C8330" s="8" t="str">
        <f>材料产出!$HX$2</f>
        <v>星座装备</v>
      </c>
      <c r="D8330" s="224">
        <f>参数调整!$K$39*怪物掉落配置方案!$D4226</f>
        <v>0</v>
      </c>
    </row>
    <row r="8331" spans="1:4" ht="16.5" hidden="1" x14ac:dyDescent="0.3">
      <c r="A8331" s="10" t="str">
        <f>基本属性!$B$16&amp;"|"&amp;基本属性!$C$16</f>
        <v>120|6</v>
      </c>
      <c r="B8331" s="10" t="str">
        <f>参数调整!$J$39</f>
        <v>新增怪物种类4掉落</v>
      </c>
      <c r="C8331" s="8" t="str">
        <f>材料产出!$HX$2</f>
        <v>星座装备</v>
      </c>
      <c r="D8331" s="224">
        <f>参数调整!$K$39*怪物掉落配置方案!$D4227</f>
        <v>0</v>
      </c>
    </row>
    <row r="8332" spans="1:4" ht="16.5" hidden="1" x14ac:dyDescent="0.3">
      <c r="A8332" s="10" t="str">
        <f>基本属性!$B$17&amp;"|"&amp;基本属性!$C$17</f>
        <v>135|7</v>
      </c>
      <c r="B8332" s="10" t="str">
        <f>参数调整!$J$39</f>
        <v>新增怪物种类4掉落</v>
      </c>
      <c r="C8332" s="8" t="str">
        <f>材料产出!$HX$2</f>
        <v>星座装备</v>
      </c>
      <c r="D8332" s="224">
        <f>参数调整!$K$39*怪物掉落配置方案!$D4228</f>
        <v>0</v>
      </c>
    </row>
    <row r="8333" spans="1:4" ht="16.5" hidden="1" x14ac:dyDescent="0.3">
      <c r="A8333" s="10" t="str">
        <f>基本属性!$B$18&amp;"|"&amp;基本属性!$C$18</f>
        <v>155|8</v>
      </c>
      <c r="B8333" s="10" t="str">
        <f>参数调整!$J$39</f>
        <v>新增怪物种类4掉落</v>
      </c>
      <c r="C8333" s="8" t="str">
        <f>材料产出!$HX$2</f>
        <v>星座装备</v>
      </c>
      <c r="D8333" s="224">
        <f>参数调整!$K$39*怪物掉落配置方案!$D4229</f>
        <v>0</v>
      </c>
    </row>
    <row r="8334" spans="1:4" ht="16.5" hidden="1" x14ac:dyDescent="0.3">
      <c r="A8334" s="10" t="str">
        <f>基本属性!$B$19&amp;"|"&amp;基本属性!$C$19</f>
        <v>190|9</v>
      </c>
      <c r="B8334" s="10" t="str">
        <f>参数调整!$J$39</f>
        <v>新增怪物种类4掉落</v>
      </c>
      <c r="C8334" s="8" t="str">
        <f>材料产出!$HX$2</f>
        <v>星座装备</v>
      </c>
      <c r="D8334" s="224">
        <f>参数调整!$K$39*怪物掉落配置方案!$D4230</f>
        <v>0</v>
      </c>
    </row>
    <row r="8335" spans="1:4" ht="16.5" hidden="1" x14ac:dyDescent="0.3">
      <c r="A8335" s="10" t="str">
        <f>基本属性!$B$20&amp;"|"&amp;基本属性!$C$20</f>
        <v>200|10</v>
      </c>
      <c r="B8335" s="10" t="str">
        <f>参数调整!$J$39</f>
        <v>新增怪物种类4掉落</v>
      </c>
      <c r="C8335" s="8" t="str">
        <f>材料产出!$HX$2</f>
        <v>星座装备</v>
      </c>
      <c r="D8335" s="224">
        <f>参数调整!$K$39*怪物掉落配置方案!$D4231</f>
        <v>0</v>
      </c>
    </row>
    <row r="8336" spans="1:4" ht="16.5" hidden="1" x14ac:dyDescent="0.3">
      <c r="A8336" s="10" t="str">
        <f>基本属性!$B$21&amp;"|"&amp;基本属性!$C$21</f>
        <v>200|11</v>
      </c>
      <c r="B8336" s="10" t="str">
        <f>参数调整!$J$39</f>
        <v>新增怪物种类4掉落</v>
      </c>
      <c r="C8336" s="8" t="str">
        <f>材料产出!$HX$2</f>
        <v>星座装备</v>
      </c>
      <c r="D8336" s="224">
        <f>参数调整!$K$39*怪物掉落配置方案!$D4232</f>
        <v>0</v>
      </c>
    </row>
    <row r="8337" spans="1:4" ht="16.5" hidden="1" x14ac:dyDescent="0.3">
      <c r="A8337" s="10" t="str">
        <f>基本属性!$B$22&amp;"|"&amp;基本属性!$C$22</f>
        <v>210|12</v>
      </c>
      <c r="B8337" s="10" t="str">
        <f>参数调整!$J$39</f>
        <v>新增怪物种类4掉落</v>
      </c>
      <c r="C8337" s="8" t="str">
        <f>材料产出!$HX$2</f>
        <v>星座装备</v>
      </c>
      <c r="D8337" s="224">
        <f>参数调整!$K$39*怪物掉落配置方案!$D4233</f>
        <v>0</v>
      </c>
    </row>
    <row r="8338" spans="1:4" ht="16.5" hidden="1" x14ac:dyDescent="0.3">
      <c r="A8338" s="10" t="str">
        <f>基本属性!$B$23&amp;"|"&amp;基本属性!$C$23</f>
        <v>210|13</v>
      </c>
      <c r="B8338" s="10" t="str">
        <f>参数调整!$J$39</f>
        <v>新增怪物种类4掉落</v>
      </c>
      <c r="C8338" s="8" t="str">
        <f>材料产出!$HX$2</f>
        <v>星座装备</v>
      </c>
      <c r="D8338" s="224">
        <f>参数调整!$K$39*怪物掉落配置方案!$D4234</f>
        <v>0</v>
      </c>
    </row>
    <row r="8339" spans="1:4" ht="16.5" hidden="1" x14ac:dyDescent="0.3">
      <c r="A8339" s="10" t="str">
        <f>基本属性!$B$24&amp;"|"&amp;基本属性!$C$24</f>
        <v>220|14</v>
      </c>
      <c r="B8339" s="10" t="str">
        <f>参数调整!$J$39</f>
        <v>新增怪物种类4掉落</v>
      </c>
      <c r="C8339" s="8" t="str">
        <f>材料产出!$HX$2</f>
        <v>星座装备</v>
      </c>
      <c r="D8339" s="224">
        <f>参数调整!$K$39*怪物掉落配置方案!$D4235</f>
        <v>0</v>
      </c>
    </row>
    <row r="8340" spans="1:4" ht="16.5" hidden="1" x14ac:dyDescent="0.3">
      <c r="A8340" s="10" t="str">
        <f>基本属性!$B$25&amp;"|"&amp;基本属性!$C$25</f>
        <v>220|15</v>
      </c>
      <c r="B8340" s="10" t="str">
        <f>参数调整!$J$39</f>
        <v>新增怪物种类4掉落</v>
      </c>
      <c r="C8340" s="8" t="str">
        <f>材料产出!$HX$2</f>
        <v>星座装备</v>
      </c>
      <c r="D8340" s="224">
        <f>参数调整!$K$39*怪物掉落配置方案!$D4236</f>
        <v>0</v>
      </c>
    </row>
    <row r="8341" spans="1:4" ht="16.5" hidden="1" x14ac:dyDescent="0.3">
      <c r="A8341" s="10" t="str">
        <f>基本属性!$B$26&amp;"|"&amp;基本属性!$C$26</f>
        <v>230|16</v>
      </c>
      <c r="B8341" s="10" t="str">
        <f>参数调整!$J$39</f>
        <v>新增怪物种类4掉落</v>
      </c>
      <c r="C8341" s="8" t="str">
        <f>材料产出!$HX$2</f>
        <v>星座装备</v>
      </c>
      <c r="D8341" s="224">
        <f>参数调整!$K$39*怪物掉落配置方案!$D4237</f>
        <v>0</v>
      </c>
    </row>
    <row r="8342" spans="1:4" ht="16.5" hidden="1" x14ac:dyDescent="0.3">
      <c r="A8342" s="10" t="str">
        <f>基本属性!$B$27&amp;"|"&amp;基本属性!$C$27</f>
        <v>230|17</v>
      </c>
      <c r="B8342" s="10" t="str">
        <f>参数调整!$J$39</f>
        <v>新增怪物种类4掉落</v>
      </c>
      <c r="C8342" s="8" t="str">
        <f>材料产出!$HX$2</f>
        <v>星座装备</v>
      </c>
      <c r="D8342" s="224">
        <f>参数调整!$K$39*怪物掉落配置方案!$D4238</f>
        <v>0</v>
      </c>
    </row>
    <row r="8343" spans="1:4" ht="16.5" hidden="1" x14ac:dyDescent="0.3">
      <c r="A8343" s="10" t="str">
        <f>基本属性!$B$28&amp;"|"&amp;基本属性!$C$28</f>
        <v>240|18</v>
      </c>
      <c r="B8343" s="10" t="str">
        <f>参数调整!$J$39</f>
        <v>新增怪物种类4掉落</v>
      </c>
      <c r="C8343" s="8" t="str">
        <f>材料产出!$HX$2</f>
        <v>星座装备</v>
      </c>
      <c r="D8343" s="224">
        <f>参数调整!$K$39*怪物掉落配置方案!$D4239</f>
        <v>0</v>
      </c>
    </row>
    <row r="8344" spans="1:4" ht="16.5" hidden="1" x14ac:dyDescent="0.3">
      <c r="A8344" s="10" t="str">
        <f>基本属性!$B$29&amp;"|"&amp;基本属性!$C$29</f>
        <v>240|19</v>
      </c>
      <c r="B8344" s="10" t="str">
        <f>参数调整!$J$39</f>
        <v>新增怪物种类4掉落</v>
      </c>
      <c r="C8344" s="8" t="str">
        <f>材料产出!$HX$2</f>
        <v>星座装备</v>
      </c>
      <c r="D8344" s="224">
        <f>参数调整!$K$39*怪物掉落配置方案!$D4240</f>
        <v>0</v>
      </c>
    </row>
    <row r="8345" spans="1:4" ht="16.5" hidden="1" x14ac:dyDescent="0.3">
      <c r="A8345" s="10" t="str">
        <f>基本属性!$B$30&amp;"|"&amp;基本属性!$C$30</f>
        <v>250|20</v>
      </c>
      <c r="B8345" s="10" t="str">
        <f>参数调整!$J$39</f>
        <v>新增怪物种类4掉落</v>
      </c>
      <c r="C8345" s="8" t="str">
        <f>材料产出!$HX$2</f>
        <v>星座装备</v>
      </c>
      <c r="D8345" s="224">
        <f>参数调整!$K$39*怪物掉落配置方案!$D4241</f>
        <v>0</v>
      </c>
    </row>
    <row r="8346" spans="1:4" ht="16.5" hidden="1" x14ac:dyDescent="0.3">
      <c r="A8346" s="10" t="str">
        <f>基本属性!$B$4&amp;"|"&amp;基本属性!$C$4</f>
        <v>35|0</v>
      </c>
      <c r="B8346" s="10" t="str">
        <f>参数调整!$J$39</f>
        <v>新增怪物种类4掉落</v>
      </c>
      <c r="C8346" s="8" t="str">
        <f>材料产出!$BX$2</f>
        <v>新增材料9</v>
      </c>
      <c r="D8346" s="224">
        <f>参数调整!$K$39*怪物掉落配置方案!$D4242</f>
        <v>0</v>
      </c>
    </row>
    <row r="8347" spans="1:4" ht="16.5" hidden="1" x14ac:dyDescent="0.3">
      <c r="A8347" s="10" t="str">
        <f>基本属性!$B$5&amp;"|"&amp;基本属性!$C$5</f>
        <v>40|0</v>
      </c>
      <c r="B8347" s="10" t="str">
        <f>参数调整!$J$39</f>
        <v>新增怪物种类4掉落</v>
      </c>
      <c r="C8347" s="8" t="str">
        <f>材料产出!$BX$2</f>
        <v>新增材料9</v>
      </c>
      <c r="D8347" s="224">
        <f>参数调整!$K$39*怪物掉落配置方案!$D4243</f>
        <v>0</v>
      </c>
    </row>
    <row r="8348" spans="1:4" ht="16.5" hidden="1" x14ac:dyDescent="0.3">
      <c r="A8348" s="10" t="str">
        <f>基本属性!$B$6&amp;"|"&amp;基本属性!$C$6</f>
        <v>50|0</v>
      </c>
      <c r="B8348" s="10" t="str">
        <f>参数调整!$J$39</f>
        <v>新增怪物种类4掉落</v>
      </c>
      <c r="C8348" s="8" t="str">
        <f>材料产出!$BX$2</f>
        <v>新增材料9</v>
      </c>
      <c r="D8348" s="224">
        <f>参数调整!$K$39*怪物掉落配置方案!$D4244</f>
        <v>0</v>
      </c>
    </row>
    <row r="8349" spans="1:4" ht="16.5" hidden="1" x14ac:dyDescent="0.3">
      <c r="A8349" s="10" t="str">
        <f>基本属性!$B$7&amp;"|"&amp;基本属性!$C$7</f>
        <v>60|0</v>
      </c>
      <c r="B8349" s="10" t="str">
        <f>参数调整!$J$39</f>
        <v>新增怪物种类4掉落</v>
      </c>
      <c r="C8349" s="8" t="str">
        <f>材料产出!$BX$2</f>
        <v>新增材料9</v>
      </c>
      <c r="D8349" s="224">
        <f>参数调整!$K$39*怪物掉落配置方案!$D4245</f>
        <v>0</v>
      </c>
    </row>
    <row r="8350" spans="1:4" ht="16.5" hidden="1" x14ac:dyDescent="0.3">
      <c r="A8350" s="10" t="str">
        <f>基本属性!$B$8&amp;"|"&amp;基本属性!$C$8</f>
        <v>65|0</v>
      </c>
      <c r="B8350" s="10" t="str">
        <f>参数调整!$J$39</f>
        <v>新增怪物种类4掉落</v>
      </c>
      <c r="C8350" s="8" t="str">
        <f>材料产出!$BX$2</f>
        <v>新增材料9</v>
      </c>
      <c r="D8350" s="224">
        <f>参数调整!$K$39*怪物掉落配置方案!$D4246</f>
        <v>0</v>
      </c>
    </row>
    <row r="8351" spans="1:4" ht="16.5" hidden="1" x14ac:dyDescent="0.3">
      <c r="A8351" s="10" t="str">
        <f>基本属性!$B$9&amp;"|"&amp;基本属性!$C$9</f>
        <v>70|0</v>
      </c>
      <c r="B8351" s="10" t="str">
        <f>参数调整!$J$39</f>
        <v>新增怪物种类4掉落</v>
      </c>
      <c r="C8351" s="8" t="str">
        <f>材料产出!$BX$2</f>
        <v>新增材料9</v>
      </c>
      <c r="D8351" s="224">
        <f>参数调整!$K$39*怪物掉落配置方案!$D4247</f>
        <v>0</v>
      </c>
    </row>
    <row r="8352" spans="1:4" ht="16.5" hidden="1" x14ac:dyDescent="0.3">
      <c r="A8352" s="10" t="str">
        <f>基本属性!$B$10&amp;"|"&amp;基本属性!$C$10</f>
        <v>75|0</v>
      </c>
      <c r="B8352" s="10" t="str">
        <f>参数调整!$J$39</f>
        <v>新增怪物种类4掉落</v>
      </c>
      <c r="C8352" s="8" t="str">
        <f>材料产出!$BX$2</f>
        <v>新增材料9</v>
      </c>
      <c r="D8352" s="224">
        <f>参数调整!$K$39*怪物掉落配置方案!$D4248</f>
        <v>0</v>
      </c>
    </row>
    <row r="8353" spans="1:4" ht="16.5" hidden="1" x14ac:dyDescent="0.3">
      <c r="A8353" s="10" t="str">
        <f>基本属性!$B$11&amp;"|"&amp;基本属性!$C$11</f>
        <v>80|1</v>
      </c>
      <c r="B8353" s="10" t="str">
        <f>参数调整!$J$39</f>
        <v>新增怪物种类4掉落</v>
      </c>
      <c r="C8353" s="8" t="str">
        <f>材料产出!$BX$2</f>
        <v>新增材料9</v>
      </c>
      <c r="D8353" s="224">
        <f>参数调整!$K$39*怪物掉落配置方案!$D4249</f>
        <v>0</v>
      </c>
    </row>
    <row r="8354" spans="1:4" ht="16.5" hidden="1" x14ac:dyDescent="0.3">
      <c r="A8354" s="10" t="str">
        <f>基本属性!$B$12&amp;"|"&amp;基本属性!$C$12</f>
        <v>90|2</v>
      </c>
      <c r="B8354" s="10" t="str">
        <f>参数调整!$J$39</f>
        <v>新增怪物种类4掉落</v>
      </c>
      <c r="C8354" s="8" t="str">
        <f>材料产出!$BX$2</f>
        <v>新增材料9</v>
      </c>
      <c r="D8354" s="224">
        <f>参数调整!$K$39*怪物掉落配置方案!$D4250</f>
        <v>0</v>
      </c>
    </row>
    <row r="8355" spans="1:4" ht="16.5" hidden="1" x14ac:dyDescent="0.3">
      <c r="A8355" s="10" t="str">
        <f>基本属性!$B$13&amp;"|"&amp;基本属性!$C$13</f>
        <v>100|3</v>
      </c>
      <c r="B8355" s="10" t="str">
        <f>参数调整!$J$39</f>
        <v>新增怪物种类4掉落</v>
      </c>
      <c r="C8355" s="8" t="str">
        <f>材料产出!$BX$2</f>
        <v>新增材料9</v>
      </c>
      <c r="D8355" s="224">
        <f>参数调整!$K$39*怪物掉落配置方案!$D4251</f>
        <v>0</v>
      </c>
    </row>
    <row r="8356" spans="1:4" ht="16.5" hidden="1" x14ac:dyDescent="0.3">
      <c r="A8356" s="10" t="str">
        <f>基本属性!$B$14&amp;"|"&amp;基本属性!$C$14</f>
        <v>105|4</v>
      </c>
      <c r="B8356" s="10" t="str">
        <f>参数调整!$J$39</f>
        <v>新增怪物种类4掉落</v>
      </c>
      <c r="C8356" s="8" t="str">
        <f>材料产出!$BX$2</f>
        <v>新增材料9</v>
      </c>
      <c r="D8356" s="224">
        <f>参数调整!$K$39*怪物掉落配置方案!$D4252</f>
        <v>0</v>
      </c>
    </row>
    <row r="8357" spans="1:4" ht="16.5" hidden="1" x14ac:dyDescent="0.3">
      <c r="A8357" s="10" t="str">
        <f>基本属性!$B$15&amp;"|"&amp;基本属性!$C$15</f>
        <v>110|5</v>
      </c>
      <c r="B8357" s="10" t="str">
        <f>参数调整!$J$39</f>
        <v>新增怪物种类4掉落</v>
      </c>
      <c r="C8357" s="8" t="str">
        <f>材料产出!$BX$2</f>
        <v>新增材料9</v>
      </c>
      <c r="D8357" s="224">
        <f>参数调整!$K$39*怪物掉落配置方案!$D4253</f>
        <v>0</v>
      </c>
    </row>
    <row r="8358" spans="1:4" ht="16.5" hidden="1" x14ac:dyDescent="0.3">
      <c r="A8358" s="10" t="str">
        <f>基本属性!$B$16&amp;"|"&amp;基本属性!$C$16</f>
        <v>120|6</v>
      </c>
      <c r="B8358" s="10" t="str">
        <f>参数调整!$J$39</f>
        <v>新增怪物种类4掉落</v>
      </c>
      <c r="C8358" s="8" t="str">
        <f>材料产出!$BX$2</f>
        <v>新增材料9</v>
      </c>
      <c r="D8358" s="224">
        <f>参数调整!$K$39*怪物掉落配置方案!$D4254</f>
        <v>0</v>
      </c>
    </row>
    <row r="8359" spans="1:4" ht="16.5" hidden="1" x14ac:dyDescent="0.3">
      <c r="A8359" s="10" t="str">
        <f>基本属性!$B$17&amp;"|"&amp;基本属性!$C$17</f>
        <v>135|7</v>
      </c>
      <c r="B8359" s="10" t="str">
        <f>参数调整!$J$39</f>
        <v>新增怪物种类4掉落</v>
      </c>
      <c r="C8359" s="8" t="str">
        <f>材料产出!$BX$2</f>
        <v>新增材料9</v>
      </c>
      <c r="D8359" s="224">
        <f>参数调整!$K$39*怪物掉落配置方案!$D4255</f>
        <v>0</v>
      </c>
    </row>
    <row r="8360" spans="1:4" ht="16.5" hidden="1" x14ac:dyDescent="0.3">
      <c r="A8360" s="10" t="str">
        <f>基本属性!$B$18&amp;"|"&amp;基本属性!$C$18</f>
        <v>155|8</v>
      </c>
      <c r="B8360" s="10" t="str">
        <f>参数调整!$J$39</f>
        <v>新增怪物种类4掉落</v>
      </c>
      <c r="C8360" s="8" t="str">
        <f>材料产出!$BX$2</f>
        <v>新增材料9</v>
      </c>
      <c r="D8360" s="224">
        <f>参数调整!$K$39*怪物掉落配置方案!$D4256</f>
        <v>0</v>
      </c>
    </row>
    <row r="8361" spans="1:4" ht="16.5" hidden="1" x14ac:dyDescent="0.3">
      <c r="A8361" s="10" t="str">
        <f>基本属性!$B$19&amp;"|"&amp;基本属性!$C$19</f>
        <v>190|9</v>
      </c>
      <c r="B8361" s="10" t="str">
        <f>参数调整!$J$39</f>
        <v>新增怪物种类4掉落</v>
      </c>
      <c r="C8361" s="8" t="str">
        <f>材料产出!$BX$2</f>
        <v>新增材料9</v>
      </c>
      <c r="D8361" s="224">
        <f>参数调整!$K$39*怪物掉落配置方案!$D4257</f>
        <v>0</v>
      </c>
    </row>
    <row r="8362" spans="1:4" ht="16.5" hidden="1" x14ac:dyDescent="0.3">
      <c r="A8362" s="10" t="str">
        <f>基本属性!$B$20&amp;"|"&amp;基本属性!$C$20</f>
        <v>200|10</v>
      </c>
      <c r="B8362" s="10" t="str">
        <f>参数调整!$J$39</f>
        <v>新增怪物种类4掉落</v>
      </c>
      <c r="C8362" s="8" t="str">
        <f>材料产出!$BX$2</f>
        <v>新增材料9</v>
      </c>
      <c r="D8362" s="224">
        <f>参数调整!$K$39*怪物掉落配置方案!$D4258</f>
        <v>0</v>
      </c>
    </row>
    <row r="8363" spans="1:4" ht="16.5" hidden="1" x14ac:dyDescent="0.3">
      <c r="A8363" s="10" t="str">
        <f>基本属性!$B$21&amp;"|"&amp;基本属性!$C$21</f>
        <v>200|11</v>
      </c>
      <c r="B8363" s="10" t="str">
        <f>参数调整!$J$39</f>
        <v>新增怪物种类4掉落</v>
      </c>
      <c r="C8363" s="8" t="str">
        <f>材料产出!$BX$2</f>
        <v>新增材料9</v>
      </c>
      <c r="D8363" s="224">
        <f>参数调整!$K$39*怪物掉落配置方案!$D4259</f>
        <v>0</v>
      </c>
    </row>
    <row r="8364" spans="1:4" ht="16.5" hidden="1" x14ac:dyDescent="0.3">
      <c r="A8364" s="10" t="str">
        <f>基本属性!$B$22&amp;"|"&amp;基本属性!$C$22</f>
        <v>210|12</v>
      </c>
      <c r="B8364" s="10" t="str">
        <f>参数调整!$J$39</f>
        <v>新增怪物种类4掉落</v>
      </c>
      <c r="C8364" s="8" t="str">
        <f>材料产出!$BX$2</f>
        <v>新增材料9</v>
      </c>
      <c r="D8364" s="224">
        <f>参数调整!$K$39*怪物掉落配置方案!$D4260</f>
        <v>0</v>
      </c>
    </row>
    <row r="8365" spans="1:4" ht="16.5" hidden="1" x14ac:dyDescent="0.3">
      <c r="A8365" s="10" t="str">
        <f>基本属性!$B$23&amp;"|"&amp;基本属性!$C$23</f>
        <v>210|13</v>
      </c>
      <c r="B8365" s="10" t="str">
        <f>参数调整!$J$39</f>
        <v>新增怪物种类4掉落</v>
      </c>
      <c r="C8365" s="8" t="str">
        <f>材料产出!$BX$2</f>
        <v>新增材料9</v>
      </c>
      <c r="D8365" s="224">
        <f>参数调整!$K$39*怪物掉落配置方案!$D4261</f>
        <v>0</v>
      </c>
    </row>
    <row r="8366" spans="1:4" ht="16.5" hidden="1" x14ac:dyDescent="0.3">
      <c r="A8366" s="10" t="str">
        <f>基本属性!$B$24&amp;"|"&amp;基本属性!$C$24</f>
        <v>220|14</v>
      </c>
      <c r="B8366" s="10" t="str">
        <f>参数调整!$J$39</f>
        <v>新增怪物种类4掉落</v>
      </c>
      <c r="C8366" s="8" t="str">
        <f>材料产出!$BX$2</f>
        <v>新增材料9</v>
      </c>
      <c r="D8366" s="224">
        <f>参数调整!$K$39*怪物掉落配置方案!$D4262</f>
        <v>0</v>
      </c>
    </row>
    <row r="8367" spans="1:4" ht="16.5" hidden="1" x14ac:dyDescent="0.3">
      <c r="A8367" s="10" t="str">
        <f>基本属性!$B$25&amp;"|"&amp;基本属性!$C$25</f>
        <v>220|15</v>
      </c>
      <c r="B8367" s="10" t="str">
        <f>参数调整!$J$39</f>
        <v>新增怪物种类4掉落</v>
      </c>
      <c r="C8367" s="8" t="str">
        <f>材料产出!$BX$2</f>
        <v>新增材料9</v>
      </c>
      <c r="D8367" s="224">
        <f>参数调整!$K$39*怪物掉落配置方案!$D4263</f>
        <v>0</v>
      </c>
    </row>
    <row r="8368" spans="1:4" ht="16.5" hidden="1" x14ac:dyDescent="0.3">
      <c r="A8368" s="10" t="str">
        <f>基本属性!$B$26&amp;"|"&amp;基本属性!$C$26</f>
        <v>230|16</v>
      </c>
      <c r="B8368" s="10" t="str">
        <f>参数调整!$J$39</f>
        <v>新增怪物种类4掉落</v>
      </c>
      <c r="C8368" s="8" t="str">
        <f>材料产出!$BX$2</f>
        <v>新增材料9</v>
      </c>
      <c r="D8368" s="224">
        <f>参数调整!$K$39*怪物掉落配置方案!$D4264</f>
        <v>0</v>
      </c>
    </row>
    <row r="8369" spans="1:4" ht="16.5" hidden="1" x14ac:dyDescent="0.3">
      <c r="A8369" s="10" t="str">
        <f>基本属性!$B$27&amp;"|"&amp;基本属性!$C$27</f>
        <v>230|17</v>
      </c>
      <c r="B8369" s="10" t="str">
        <f>参数调整!$J$39</f>
        <v>新增怪物种类4掉落</v>
      </c>
      <c r="C8369" s="8" t="str">
        <f>材料产出!$BX$2</f>
        <v>新增材料9</v>
      </c>
      <c r="D8369" s="224">
        <f>参数调整!$K$39*怪物掉落配置方案!$D4265</f>
        <v>0</v>
      </c>
    </row>
    <row r="8370" spans="1:4" ht="16.5" hidden="1" x14ac:dyDescent="0.3">
      <c r="A8370" s="10" t="str">
        <f>基本属性!$B$28&amp;"|"&amp;基本属性!$C$28</f>
        <v>240|18</v>
      </c>
      <c r="B8370" s="10" t="str">
        <f>参数调整!$J$39</f>
        <v>新增怪物种类4掉落</v>
      </c>
      <c r="C8370" s="8" t="str">
        <f>材料产出!$BX$2</f>
        <v>新增材料9</v>
      </c>
      <c r="D8370" s="224">
        <f>参数调整!$K$39*怪物掉落配置方案!$D4266</f>
        <v>0</v>
      </c>
    </row>
    <row r="8371" spans="1:4" ht="16.5" hidden="1" x14ac:dyDescent="0.3">
      <c r="A8371" s="10" t="str">
        <f>基本属性!$B$29&amp;"|"&amp;基本属性!$C$29</f>
        <v>240|19</v>
      </c>
      <c r="B8371" s="10" t="str">
        <f>参数调整!$J$39</f>
        <v>新增怪物种类4掉落</v>
      </c>
      <c r="C8371" s="8" t="str">
        <f>材料产出!$BX$2</f>
        <v>新增材料9</v>
      </c>
      <c r="D8371" s="224">
        <f>参数调整!$K$39*怪物掉落配置方案!$D4267</f>
        <v>0</v>
      </c>
    </row>
    <row r="8372" spans="1:4" ht="16.5" hidden="1" x14ac:dyDescent="0.3">
      <c r="A8372" s="10" t="str">
        <f>基本属性!$B$30&amp;"|"&amp;基本属性!$C$30</f>
        <v>250|20</v>
      </c>
      <c r="B8372" s="10" t="str">
        <f>参数调整!$J$39</f>
        <v>新增怪物种类4掉落</v>
      </c>
      <c r="C8372" s="8" t="str">
        <f>材料产出!$BX$2</f>
        <v>新增材料9</v>
      </c>
      <c r="D8372" s="224">
        <f>参数调整!$K$39*怪物掉落配置方案!$D4268</f>
        <v>0</v>
      </c>
    </row>
    <row r="8373" spans="1:4" ht="16.5" hidden="1" x14ac:dyDescent="0.3">
      <c r="A8373" s="10" t="str">
        <f>基本属性!$B$4&amp;"|"&amp;基本属性!$C$4</f>
        <v>35|0</v>
      </c>
      <c r="B8373" s="10" t="str">
        <f>参数调整!$J$39</f>
        <v>新增怪物种类4掉落</v>
      </c>
      <c r="C8373" s="8" t="str">
        <f>材料产出!$BV$2</f>
        <v>新增材料8</v>
      </c>
      <c r="D8373" s="224">
        <f>参数调整!$K$39*怪物掉落配置方案!$D4269</f>
        <v>0</v>
      </c>
    </row>
    <row r="8374" spans="1:4" ht="16.5" hidden="1" x14ac:dyDescent="0.3">
      <c r="A8374" s="10" t="str">
        <f>基本属性!$B$5&amp;"|"&amp;基本属性!$C$5</f>
        <v>40|0</v>
      </c>
      <c r="B8374" s="10" t="str">
        <f>参数调整!$J$39</f>
        <v>新增怪物种类4掉落</v>
      </c>
      <c r="C8374" s="8" t="str">
        <f>材料产出!$BV$2</f>
        <v>新增材料8</v>
      </c>
      <c r="D8374" s="224">
        <f>参数调整!$K$39*怪物掉落配置方案!$D4270</f>
        <v>0</v>
      </c>
    </row>
    <row r="8375" spans="1:4" ht="16.5" hidden="1" x14ac:dyDescent="0.3">
      <c r="A8375" s="10" t="str">
        <f>基本属性!$B$6&amp;"|"&amp;基本属性!$C$6</f>
        <v>50|0</v>
      </c>
      <c r="B8375" s="10" t="str">
        <f>参数调整!$J$39</f>
        <v>新增怪物种类4掉落</v>
      </c>
      <c r="C8375" s="8" t="str">
        <f>材料产出!$BV$2</f>
        <v>新增材料8</v>
      </c>
      <c r="D8375" s="224">
        <f>参数调整!$K$39*怪物掉落配置方案!$D4271</f>
        <v>0</v>
      </c>
    </row>
    <row r="8376" spans="1:4" ht="16.5" hidden="1" x14ac:dyDescent="0.3">
      <c r="A8376" s="10" t="str">
        <f>基本属性!$B$7&amp;"|"&amp;基本属性!$C$7</f>
        <v>60|0</v>
      </c>
      <c r="B8376" s="10" t="str">
        <f>参数调整!$J$39</f>
        <v>新增怪物种类4掉落</v>
      </c>
      <c r="C8376" s="8" t="str">
        <f>材料产出!$BV$2</f>
        <v>新增材料8</v>
      </c>
      <c r="D8376" s="224">
        <f>参数调整!$K$39*怪物掉落配置方案!$D4272</f>
        <v>0</v>
      </c>
    </row>
    <row r="8377" spans="1:4" ht="16.5" hidden="1" x14ac:dyDescent="0.3">
      <c r="A8377" s="10" t="str">
        <f>基本属性!$B$8&amp;"|"&amp;基本属性!$C$8</f>
        <v>65|0</v>
      </c>
      <c r="B8377" s="10" t="str">
        <f>参数调整!$J$39</f>
        <v>新增怪物种类4掉落</v>
      </c>
      <c r="C8377" s="8" t="str">
        <f>材料产出!$BV$2</f>
        <v>新增材料8</v>
      </c>
      <c r="D8377" s="224">
        <f>参数调整!$K$39*怪物掉落配置方案!$D4273</f>
        <v>0</v>
      </c>
    </row>
    <row r="8378" spans="1:4" ht="16.5" hidden="1" x14ac:dyDescent="0.3">
      <c r="A8378" s="10" t="str">
        <f>基本属性!$B$9&amp;"|"&amp;基本属性!$C$9</f>
        <v>70|0</v>
      </c>
      <c r="B8378" s="10" t="str">
        <f>参数调整!$J$39</f>
        <v>新增怪物种类4掉落</v>
      </c>
      <c r="C8378" s="8" t="str">
        <f>材料产出!$BV$2</f>
        <v>新增材料8</v>
      </c>
      <c r="D8378" s="224">
        <f>参数调整!$K$39*怪物掉落配置方案!$D4274</f>
        <v>0</v>
      </c>
    </row>
    <row r="8379" spans="1:4" ht="16.5" hidden="1" x14ac:dyDescent="0.3">
      <c r="A8379" s="10" t="str">
        <f>基本属性!$B$10&amp;"|"&amp;基本属性!$C$10</f>
        <v>75|0</v>
      </c>
      <c r="B8379" s="10" t="str">
        <f>参数调整!$J$39</f>
        <v>新增怪物种类4掉落</v>
      </c>
      <c r="C8379" s="8" t="str">
        <f>材料产出!$BV$2</f>
        <v>新增材料8</v>
      </c>
      <c r="D8379" s="224">
        <f>参数调整!$K$39*怪物掉落配置方案!$D4275</f>
        <v>0</v>
      </c>
    </row>
    <row r="8380" spans="1:4" ht="16.5" hidden="1" x14ac:dyDescent="0.3">
      <c r="A8380" s="10" t="str">
        <f>基本属性!$B$11&amp;"|"&amp;基本属性!$C$11</f>
        <v>80|1</v>
      </c>
      <c r="B8380" s="10" t="str">
        <f>参数调整!$J$39</f>
        <v>新增怪物种类4掉落</v>
      </c>
      <c r="C8380" s="8" t="str">
        <f>材料产出!$BV$2</f>
        <v>新增材料8</v>
      </c>
      <c r="D8380" s="224">
        <f>参数调整!$K$39*怪物掉落配置方案!$D4276</f>
        <v>0</v>
      </c>
    </row>
    <row r="8381" spans="1:4" ht="16.5" hidden="1" x14ac:dyDescent="0.3">
      <c r="A8381" s="10" t="str">
        <f>基本属性!$B$12&amp;"|"&amp;基本属性!$C$12</f>
        <v>90|2</v>
      </c>
      <c r="B8381" s="10" t="str">
        <f>参数调整!$J$39</f>
        <v>新增怪物种类4掉落</v>
      </c>
      <c r="C8381" s="8" t="str">
        <f>材料产出!$BV$2</f>
        <v>新增材料8</v>
      </c>
      <c r="D8381" s="224">
        <f>参数调整!$K$39*怪物掉落配置方案!$D4277</f>
        <v>0</v>
      </c>
    </row>
    <row r="8382" spans="1:4" ht="16.5" hidden="1" x14ac:dyDescent="0.3">
      <c r="A8382" s="10" t="str">
        <f>基本属性!$B$13&amp;"|"&amp;基本属性!$C$13</f>
        <v>100|3</v>
      </c>
      <c r="B8382" s="10" t="str">
        <f>参数调整!$J$39</f>
        <v>新增怪物种类4掉落</v>
      </c>
      <c r="C8382" s="8" t="str">
        <f>材料产出!$BV$2</f>
        <v>新增材料8</v>
      </c>
      <c r="D8382" s="224">
        <f>参数调整!$K$39*怪物掉落配置方案!$D4278</f>
        <v>0</v>
      </c>
    </row>
    <row r="8383" spans="1:4" ht="16.5" hidden="1" x14ac:dyDescent="0.3">
      <c r="A8383" s="10" t="str">
        <f>基本属性!$B$14&amp;"|"&amp;基本属性!$C$14</f>
        <v>105|4</v>
      </c>
      <c r="B8383" s="10" t="str">
        <f>参数调整!$J$39</f>
        <v>新增怪物种类4掉落</v>
      </c>
      <c r="C8383" s="8" t="str">
        <f>材料产出!$BV$2</f>
        <v>新增材料8</v>
      </c>
      <c r="D8383" s="224">
        <f>参数调整!$K$39*怪物掉落配置方案!$D4279</f>
        <v>0</v>
      </c>
    </row>
    <row r="8384" spans="1:4" ht="16.5" hidden="1" x14ac:dyDescent="0.3">
      <c r="A8384" s="10" t="str">
        <f>基本属性!$B$15&amp;"|"&amp;基本属性!$C$15</f>
        <v>110|5</v>
      </c>
      <c r="B8384" s="10" t="str">
        <f>参数调整!$J$39</f>
        <v>新增怪物种类4掉落</v>
      </c>
      <c r="C8384" s="8" t="str">
        <f>材料产出!$BV$2</f>
        <v>新增材料8</v>
      </c>
      <c r="D8384" s="224">
        <f>参数调整!$K$39*怪物掉落配置方案!$D4280</f>
        <v>0</v>
      </c>
    </row>
    <row r="8385" spans="1:4" ht="16.5" hidden="1" x14ac:dyDescent="0.3">
      <c r="A8385" s="10" t="str">
        <f>基本属性!$B$16&amp;"|"&amp;基本属性!$C$16</f>
        <v>120|6</v>
      </c>
      <c r="B8385" s="10" t="str">
        <f>参数调整!$J$39</f>
        <v>新增怪物种类4掉落</v>
      </c>
      <c r="C8385" s="8" t="str">
        <f>材料产出!$BV$2</f>
        <v>新增材料8</v>
      </c>
      <c r="D8385" s="224">
        <f>参数调整!$K$39*怪物掉落配置方案!$D4281</f>
        <v>0</v>
      </c>
    </row>
    <row r="8386" spans="1:4" ht="16.5" hidden="1" x14ac:dyDescent="0.3">
      <c r="A8386" s="10" t="str">
        <f>基本属性!$B$17&amp;"|"&amp;基本属性!$C$17</f>
        <v>135|7</v>
      </c>
      <c r="B8386" s="10" t="str">
        <f>参数调整!$J$39</f>
        <v>新增怪物种类4掉落</v>
      </c>
      <c r="C8386" s="8" t="str">
        <f>材料产出!$BV$2</f>
        <v>新增材料8</v>
      </c>
      <c r="D8386" s="224">
        <f>参数调整!$K$39*怪物掉落配置方案!$D4282</f>
        <v>0</v>
      </c>
    </row>
    <row r="8387" spans="1:4" ht="16.5" hidden="1" x14ac:dyDescent="0.3">
      <c r="A8387" s="10" t="str">
        <f>基本属性!$B$18&amp;"|"&amp;基本属性!$C$18</f>
        <v>155|8</v>
      </c>
      <c r="B8387" s="10" t="str">
        <f>参数调整!$J$39</f>
        <v>新增怪物种类4掉落</v>
      </c>
      <c r="C8387" s="8" t="str">
        <f>材料产出!$BV$2</f>
        <v>新增材料8</v>
      </c>
      <c r="D8387" s="224">
        <f>参数调整!$K$39*怪物掉落配置方案!$D4283</f>
        <v>0</v>
      </c>
    </row>
    <row r="8388" spans="1:4" ht="16.5" hidden="1" x14ac:dyDescent="0.3">
      <c r="A8388" s="10" t="str">
        <f>基本属性!$B$19&amp;"|"&amp;基本属性!$C$19</f>
        <v>190|9</v>
      </c>
      <c r="B8388" s="10" t="str">
        <f>参数调整!$J$39</f>
        <v>新增怪物种类4掉落</v>
      </c>
      <c r="C8388" s="8" t="str">
        <f>材料产出!$BV$2</f>
        <v>新增材料8</v>
      </c>
      <c r="D8388" s="224">
        <f>参数调整!$K$39*怪物掉落配置方案!$D4284</f>
        <v>0</v>
      </c>
    </row>
    <row r="8389" spans="1:4" ht="16.5" hidden="1" x14ac:dyDescent="0.3">
      <c r="A8389" s="10" t="str">
        <f>基本属性!$B$20&amp;"|"&amp;基本属性!$C$20</f>
        <v>200|10</v>
      </c>
      <c r="B8389" s="10" t="str">
        <f>参数调整!$J$39</f>
        <v>新增怪物种类4掉落</v>
      </c>
      <c r="C8389" s="8" t="str">
        <f>材料产出!$BV$2</f>
        <v>新增材料8</v>
      </c>
      <c r="D8389" s="224">
        <f>参数调整!$K$39*怪物掉落配置方案!$D4285</f>
        <v>0</v>
      </c>
    </row>
    <row r="8390" spans="1:4" ht="16.5" hidden="1" x14ac:dyDescent="0.3">
      <c r="A8390" s="10" t="str">
        <f>基本属性!$B$21&amp;"|"&amp;基本属性!$C$21</f>
        <v>200|11</v>
      </c>
      <c r="B8390" s="10" t="str">
        <f>参数调整!$J$39</f>
        <v>新增怪物种类4掉落</v>
      </c>
      <c r="C8390" s="8" t="str">
        <f>材料产出!$BV$2</f>
        <v>新增材料8</v>
      </c>
      <c r="D8390" s="224">
        <f>参数调整!$K$39*怪物掉落配置方案!$D4286</f>
        <v>0</v>
      </c>
    </row>
    <row r="8391" spans="1:4" ht="16.5" hidden="1" x14ac:dyDescent="0.3">
      <c r="A8391" s="10" t="str">
        <f>基本属性!$B$22&amp;"|"&amp;基本属性!$C$22</f>
        <v>210|12</v>
      </c>
      <c r="B8391" s="10" t="str">
        <f>参数调整!$J$39</f>
        <v>新增怪物种类4掉落</v>
      </c>
      <c r="C8391" s="8" t="str">
        <f>材料产出!$BV$2</f>
        <v>新增材料8</v>
      </c>
      <c r="D8391" s="224">
        <f>参数调整!$K$39*怪物掉落配置方案!$D4287</f>
        <v>0</v>
      </c>
    </row>
    <row r="8392" spans="1:4" ht="16.5" hidden="1" x14ac:dyDescent="0.3">
      <c r="A8392" s="10" t="str">
        <f>基本属性!$B$23&amp;"|"&amp;基本属性!$C$23</f>
        <v>210|13</v>
      </c>
      <c r="B8392" s="10" t="str">
        <f>参数调整!$J$39</f>
        <v>新增怪物种类4掉落</v>
      </c>
      <c r="C8392" s="8" t="str">
        <f>材料产出!$BV$2</f>
        <v>新增材料8</v>
      </c>
      <c r="D8392" s="224">
        <f>参数调整!$K$39*怪物掉落配置方案!$D4288</f>
        <v>0</v>
      </c>
    </row>
    <row r="8393" spans="1:4" ht="16.5" hidden="1" x14ac:dyDescent="0.3">
      <c r="A8393" s="10" t="str">
        <f>基本属性!$B$24&amp;"|"&amp;基本属性!$C$24</f>
        <v>220|14</v>
      </c>
      <c r="B8393" s="10" t="str">
        <f>参数调整!$J$39</f>
        <v>新增怪物种类4掉落</v>
      </c>
      <c r="C8393" s="8" t="str">
        <f>材料产出!$BV$2</f>
        <v>新增材料8</v>
      </c>
      <c r="D8393" s="224">
        <f>参数调整!$K$39*怪物掉落配置方案!$D4289</f>
        <v>0</v>
      </c>
    </row>
    <row r="8394" spans="1:4" ht="16.5" hidden="1" x14ac:dyDescent="0.3">
      <c r="A8394" s="10" t="str">
        <f>基本属性!$B$25&amp;"|"&amp;基本属性!$C$25</f>
        <v>220|15</v>
      </c>
      <c r="B8394" s="10" t="str">
        <f>参数调整!$J$39</f>
        <v>新增怪物种类4掉落</v>
      </c>
      <c r="C8394" s="8" t="str">
        <f>材料产出!$BV$2</f>
        <v>新增材料8</v>
      </c>
      <c r="D8394" s="224">
        <f>参数调整!$K$39*怪物掉落配置方案!$D4290</f>
        <v>0</v>
      </c>
    </row>
    <row r="8395" spans="1:4" ht="16.5" hidden="1" x14ac:dyDescent="0.3">
      <c r="A8395" s="10" t="str">
        <f>基本属性!$B$26&amp;"|"&amp;基本属性!$C$26</f>
        <v>230|16</v>
      </c>
      <c r="B8395" s="10" t="str">
        <f>参数调整!$J$39</f>
        <v>新增怪物种类4掉落</v>
      </c>
      <c r="C8395" s="8" t="str">
        <f>材料产出!$BV$2</f>
        <v>新增材料8</v>
      </c>
      <c r="D8395" s="224">
        <f>参数调整!$K$39*怪物掉落配置方案!$D4291</f>
        <v>0</v>
      </c>
    </row>
    <row r="8396" spans="1:4" ht="16.5" hidden="1" x14ac:dyDescent="0.3">
      <c r="A8396" s="10" t="str">
        <f>基本属性!$B$27&amp;"|"&amp;基本属性!$C$27</f>
        <v>230|17</v>
      </c>
      <c r="B8396" s="10" t="str">
        <f>参数调整!$J$39</f>
        <v>新增怪物种类4掉落</v>
      </c>
      <c r="C8396" s="8" t="str">
        <f>材料产出!$BV$2</f>
        <v>新增材料8</v>
      </c>
      <c r="D8396" s="224">
        <f>参数调整!$K$39*怪物掉落配置方案!$D4292</f>
        <v>0</v>
      </c>
    </row>
    <row r="8397" spans="1:4" ht="16.5" hidden="1" x14ac:dyDescent="0.3">
      <c r="A8397" s="10" t="str">
        <f>基本属性!$B$28&amp;"|"&amp;基本属性!$C$28</f>
        <v>240|18</v>
      </c>
      <c r="B8397" s="10" t="str">
        <f>参数调整!$J$39</f>
        <v>新增怪物种类4掉落</v>
      </c>
      <c r="C8397" s="8" t="str">
        <f>材料产出!$BV$2</f>
        <v>新增材料8</v>
      </c>
      <c r="D8397" s="224">
        <f>参数调整!$K$39*怪物掉落配置方案!$D4293</f>
        <v>0</v>
      </c>
    </row>
    <row r="8398" spans="1:4" ht="16.5" hidden="1" x14ac:dyDescent="0.3">
      <c r="A8398" s="10" t="str">
        <f>基本属性!$B$29&amp;"|"&amp;基本属性!$C$29</f>
        <v>240|19</v>
      </c>
      <c r="B8398" s="10" t="str">
        <f>参数调整!$J$39</f>
        <v>新增怪物种类4掉落</v>
      </c>
      <c r="C8398" s="8" t="str">
        <f>材料产出!$BV$2</f>
        <v>新增材料8</v>
      </c>
      <c r="D8398" s="224">
        <f>参数调整!$K$39*怪物掉落配置方案!$D4294</f>
        <v>0</v>
      </c>
    </row>
    <row r="8399" spans="1:4" ht="16.5" hidden="1" x14ac:dyDescent="0.3">
      <c r="A8399" s="10" t="str">
        <f>基本属性!$B$30&amp;"|"&amp;基本属性!$C$30</f>
        <v>250|20</v>
      </c>
      <c r="B8399" s="10" t="str">
        <f>参数调整!$J$39</f>
        <v>新增怪物种类4掉落</v>
      </c>
      <c r="C8399" s="8" t="str">
        <f>材料产出!$BV$2</f>
        <v>新增材料8</v>
      </c>
      <c r="D8399" s="224">
        <f>参数调整!$K$39*怪物掉落配置方案!$D4295</f>
        <v>0</v>
      </c>
    </row>
    <row r="8400" spans="1:4" ht="16.5" hidden="1" x14ac:dyDescent="0.3">
      <c r="A8400" s="10" t="str">
        <f>基本属性!$B$4&amp;"|"&amp;基本属性!$C$4</f>
        <v>35|0</v>
      </c>
      <c r="B8400" s="10" t="str">
        <f>参数调整!$J$39</f>
        <v>新增怪物种类4掉落</v>
      </c>
      <c r="C8400" s="8" t="str">
        <f>材料产出!$BT$2</f>
        <v>新增材料7</v>
      </c>
      <c r="D8400" s="224">
        <f>参数调整!$K$39*怪物掉落配置方案!$D4296</f>
        <v>0</v>
      </c>
    </row>
    <row r="8401" spans="1:4" ht="16.5" hidden="1" x14ac:dyDescent="0.3">
      <c r="A8401" s="10" t="str">
        <f>基本属性!$B$5&amp;"|"&amp;基本属性!$C$5</f>
        <v>40|0</v>
      </c>
      <c r="B8401" s="10" t="str">
        <f>参数调整!$J$39</f>
        <v>新增怪物种类4掉落</v>
      </c>
      <c r="C8401" s="8" t="str">
        <f>材料产出!$BT$2</f>
        <v>新增材料7</v>
      </c>
      <c r="D8401" s="224">
        <f>参数调整!$K$39*怪物掉落配置方案!$D4297</f>
        <v>0</v>
      </c>
    </row>
    <row r="8402" spans="1:4" ht="16.5" hidden="1" x14ac:dyDescent="0.3">
      <c r="A8402" s="10" t="str">
        <f>基本属性!$B$6&amp;"|"&amp;基本属性!$C$6</f>
        <v>50|0</v>
      </c>
      <c r="B8402" s="10" t="str">
        <f>参数调整!$J$39</f>
        <v>新增怪物种类4掉落</v>
      </c>
      <c r="C8402" s="8" t="str">
        <f>材料产出!$BT$2</f>
        <v>新增材料7</v>
      </c>
      <c r="D8402" s="224">
        <f>参数调整!$K$39*怪物掉落配置方案!$D4298</f>
        <v>0</v>
      </c>
    </row>
    <row r="8403" spans="1:4" ht="16.5" hidden="1" x14ac:dyDescent="0.3">
      <c r="A8403" s="10" t="str">
        <f>基本属性!$B$7&amp;"|"&amp;基本属性!$C$7</f>
        <v>60|0</v>
      </c>
      <c r="B8403" s="10" t="str">
        <f>参数调整!$J$39</f>
        <v>新增怪物种类4掉落</v>
      </c>
      <c r="C8403" s="8" t="str">
        <f>材料产出!$BT$2</f>
        <v>新增材料7</v>
      </c>
      <c r="D8403" s="224">
        <f>参数调整!$K$39*怪物掉落配置方案!$D4299</f>
        <v>0</v>
      </c>
    </row>
    <row r="8404" spans="1:4" ht="16.5" hidden="1" x14ac:dyDescent="0.3">
      <c r="A8404" s="10" t="str">
        <f>基本属性!$B$8&amp;"|"&amp;基本属性!$C$8</f>
        <v>65|0</v>
      </c>
      <c r="B8404" s="10" t="str">
        <f>参数调整!$J$39</f>
        <v>新增怪物种类4掉落</v>
      </c>
      <c r="C8404" s="8" t="str">
        <f>材料产出!$BT$2</f>
        <v>新增材料7</v>
      </c>
      <c r="D8404" s="224">
        <f>参数调整!$K$39*怪物掉落配置方案!$D4300</f>
        <v>0</v>
      </c>
    </row>
    <row r="8405" spans="1:4" ht="16.5" hidden="1" x14ac:dyDescent="0.3">
      <c r="A8405" s="10" t="str">
        <f>基本属性!$B$9&amp;"|"&amp;基本属性!$C$9</f>
        <v>70|0</v>
      </c>
      <c r="B8405" s="10" t="str">
        <f>参数调整!$J$39</f>
        <v>新增怪物种类4掉落</v>
      </c>
      <c r="C8405" s="8" t="str">
        <f>材料产出!$BT$2</f>
        <v>新增材料7</v>
      </c>
      <c r="D8405" s="224">
        <f>参数调整!$K$39*怪物掉落配置方案!$D4301</f>
        <v>0</v>
      </c>
    </row>
    <row r="8406" spans="1:4" ht="16.5" hidden="1" x14ac:dyDescent="0.3">
      <c r="A8406" s="10" t="str">
        <f>基本属性!$B$10&amp;"|"&amp;基本属性!$C$10</f>
        <v>75|0</v>
      </c>
      <c r="B8406" s="10" t="str">
        <f>参数调整!$J$39</f>
        <v>新增怪物种类4掉落</v>
      </c>
      <c r="C8406" s="8" t="str">
        <f>材料产出!$BT$2</f>
        <v>新增材料7</v>
      </c>
      <c r="D8406" s="224">
        <f>参数调整!$K$39*怪物掉落配置方案!$D4302</f>
        <v>0</v>
      </c>
    </row>
    <row r="8407" spans="1:4" ht="16.5" hidden="1" x14ac:dyDescent="0.3">
      <c r="A8407" s="10" t="str">
        <f>基本属性!$B$11&amp;"|"&amp;基本属性!$C$11</f>
        <v>80|1</v>
      </c>
      <c r="B8407" s="10" t="str">
        <f>参数调整!$J$39</f>
        <v>新增怪物种类4掉落</v>
      </c>
      <c r="C8407" s="8" t="str">
        <f>材料产出!$BT$2</f>
        <v>新增材料7</v>
      </c>
      <c r="D8407" s="224">
        <f>参数调整!$K$39*怪物掉落配置方案!$D4303</f>
        <v>0</v>
      </c>
    </row>
    <row r="8408" spans="1:4" ht="16.5" hidden="1" x14ac:dyDescent="0.3">
      <c r="A8408" s="10" t="str">
        <f>基本属性!$B$12&amp;"|"&amp;基本属性!$C$12</f>
        <v>90|2</v>
      </c>
      <c r="B8408" s="10" t="str">
        <f>参数调整!$J$39</f>
        <v>新增怪物种类4掉落</v>
      </c>
      <c r="C8408" s="8" t="str">
        <f>材料产出!$BT$2</f>
        <v>新增材料7</v>
      </c>
      <c r="D8408" s="224">
        <f>参数调整!$K$39*怪物掉落配置方案!$D4304</f>
        <v>0</v>
      </c>
    </row>
    <row r="8409" spans="1:4" ht="16.5" hidden="1" x14ac:dyDescent="0.3">
      <c r="A8409" s="10" t="str">
        <f>基本属性!$B$13&amp;"|"&amp;基本属性!$C$13</f>
        <v>100|3</v>
      </c>
      <c r="B8409" s="10" t="str">
        <f>参数调整!$J$39</f>
        <v>新增怪物种类4掉落</v>
      </c>
      <c r="C8409" s="8" t="str">
        <f>材料产出!$BT$2</f>
        <v>新增材料7</v>
      </c>
      <c r="D8409" s="224">
        <f>参数调整!$K$39*怪物掉落配置方案!$D4305</f>
        <v>0</v>
      </c>
    </row>
    <row r="8410" spans="1:4" ht="16.5" hidden="1" x14ac:dyDescent="0.3">
      <c r="A8410" s="10" t="str">
        <f>基本属性!$B$14&amp;"|"&amp;基本属性!$C$14</f>
        <v>105|4</v>
      </c>
      <c r="B8410" s="10" t="str">
        <f>参数调整!$J$39</f>
        <v>新增怪物种类4掉落</v>
      </c>
      <c r="C8410" s="8" t="str">
        <f>材料产出!$BT$2</f>
        <v>新增材料7</v>
      </c>
      <c r="D8410" s="224">
        <f>参数调整!$K$39*怪物掉落配置方案!$D4306</f>
        <v>0</v>
      </c>
    </row>
    <row r="8411" spans="1:4" ht="16.5" hidden="1" x14ac:dyDescent="0.3">
      <c r="A8411" s="10" t="str">
        <f>基本属性!$B$15&amp;"|"&amp;基本属性!$C$15</f>
        <v>110|5</v>
      </c>
      <c r="B8411" s="10" t="str">
        <f>参数调整!$J$39</f>
        <v>新增怪物种类4掉落</v>
      </c>
      <c r="C8411" s="8" t="str">
        <f>材料产出!$BT$2</f>
        <v>新增材料7</v>
      </c>
      <c r="D8411" s="224">
        <f>参数调整!$K$39*怪物掉落配置方案!$D4307</f>
        <v>0</v>
      </c>
    </row>
    <row r="8412" spans="1:4" ht="16.5" hidden="1" x14ac:dyDescent="0.3">
      <c r="A8412" s="10" t="str">
        <f>基本属性!$B$16&amp;"|"&amp;基本属性!$C$16</f>
        <v>120|6</v>
      </c>
      <c r="B8412" s="10" t="str">
        <f>参数调整!$J$39</f>
        <v>新增怪物种类4掉落</v>
      </c>
      <c r="C8412" s="8" t="str">
        <f>材料产出!$BT$2</f>
        <v>新增材料7</v>
      </c>
      <c r="D8412" s="224">
        <f>参数调整!$K$39*怪物掉落配置方案!$D4308</f>
        <v>0</v>
      </c>
    </row>
    <row r="8413" spans="1:4" ht="16.5" hidden="1" x14ac:dyDescent="0.3">
      <c r="A8413" s="10" t="str">
        <f>基本属性!$B$17&amp;"|"&amp;基本属性!$C$17</f>
        <v>135|7</v>
      </c>
      <c r="B8413" s="10" t="str">
        <f>参数调整!$J$39</f>
        <v>新增怪物种类4掉落</v>
      </c>
      <c r="C8413" s="8" t="str">
        <f>材料产出!$BT$2</f>
        <v>新增材料7</v>
      </c>
      <c r="D8413" s="224">
        <f>参数调整!$K$39*怪物掉落配置方案!$D4309</f>
        <v>0</v>
      </c>
    </row>
    <row r="8414" spans="1:4" ht="16.5" hidden="1" x14ac:dyDescent="0.3">
      <c r="A8414" s="10" t="str">
        <f>基本属性!$B$18&amp;"|"&amp;基本属性!$C$18</f>
        <v>155|8</v>
      </c>
      <c r="B8414" s="10" t="str">
        <f>参数调整!$J$39</f>
        <v>新增怪物种类4掉落</v>
      </c>
      <c r="C8414" s="8" t="str">
        <f>材料产出!$BT$2</f>
        <v>新增材料7</v>
      </c>
      <c r="D8414" s="224">
        <f>参数调整!$K$39*怪物掉落配置方案!$D4310</f>
        <v>0</v>
      </c>
    </row>
    <row r="8415" spans="1:4" ht="16.5" hidden="1" x14ac:dyDescent="0.3">
      <c r="A8415" s="10" t="str">
        <f>基本属性!$B$19&amp;"|"&amp;基本属性!$C$19</f>
        <v>190|9</v>
      </c>
      <c r="B8415" s="10" t="str">
        <f>参数调整!$J$39</f>
        <v>新增怪物种类4掉落</v>
      </c>
      <c r="C8415" s="8" t="str">
        <f>材料产出!$BT$2</f>
        <v>新增材料7</v>
      </c>
      <c r="D8415" s="224">
        <f>参数调整!$K$39*怪物掉落配置方案!$D4311</f>
        <v>0</v>
      </c>
    </row>
    <row r="8416" spans="1:4" ht="16.5" hidden="1" x14ac:dyDescent="0.3">
      <c r="A8416" s="10" t="str">
        <f>基本属性!$B$20&amp;"|"&amp;基本属性!$C$20</f>
        <v>200|10</v>
      </c>
      <c r="B8416" s="10" t="str">
        <f>参数调整!$J$39</f>
        <v>新增怪物种类4掉落</v>
      </c>
      <c r="C8416" s="8" t="str">
        <f>材料产出!$BT$2</f>
        <v>新增材料7</v>
      </c>
      <c r="D8416" s="224">
        <f>参数调整!$K$39*怪物掉落配置方案!$D4312</f>
        <v>0</v>
      </c>
    </row>
    <row r="8417" spans="1:4" ht="16.5" hidden="1" x14ac:dyDescent="0.3">
      <c r="A8417" s="10" t="str">
        <f>基本属性!$B$21&amp;"|"&amp;基本属性!$C$21</f>
        <v>200|11</v>
      </c>
      <c r="B8417" s="10" t="str">
        <f>参数调整!$J$39</f>
        <v>新增怪物种类4掉落</v>
      </c>
      <c r="C8417" s="8" t="str">
        <f>材料产出!$BT$2</f>
        <v>新增材料7</v>
      </c>
      <c r="D8417" s="224">
        <f>参数调整!$K$39*怪物掉落配置方案!$D4313</f>
        <v>0</v>
      </c>
    </row>
    <row r="8418" spans="1:4" ht="16.5" hidden="1" x14ac:dyDescent="0.3">
      <c r="A8418" s="10" t="str">
        <f>基本属性!$B$22&amp;"|"&amp;基本属性!$C$22</f>
        <v>210|12</v>
      </c>
      <c r="B8418" s="10" t="str">
        <f>参数调整!$J$39</f>
        <v>新增怪物种类4掉落</v>
      </c>
      <c r="C8418" s="8" t="str">
        <f>材料产出!$BT$2</f>
        <v>新增材料7</v>
      </c>
      <c r="D8418" s="224">
        <f>参数调整!$K$39*怪物掉落配置方案!$D4314</f>
        <v>0</v>
      </c>
    </row>
    <row r="8419" spans="1:4" ht="16.5" hidden="1" x14ac:dyDescent="0.3">
      <c r="A8419" s="10" t="str">
        <f>基本属性!$B$23&amp;"|"&amp;基本属性!$C$23</f>
        <v>210|13</v>
      </c>
      <c r="B8419" s="10" t="str">
        <f>参数调整!$J$39</f>
        <v>新增怪物种类4掉落</v>
      </c>
      <c r="C8419" s="8" t="str">
        <f>材料产出!$BT$2</f>
        <v>新增材料7</v>
      </c>
      <c r="D8419" s="224">
        <f>参数调整!$K$39*怪物掉落配置方案!$D4315</f>
        <v>0</v>
      </c>
    </row>
    <row r="8420" spans="1:4" ht="16.5" hidden="1" x14ac:dyDescent="0.3">
      <c r="A8420" s="10" t="str">
        <f>基本属性!$B$24&amp;"|"&amp;基本属性!$C$24</f>
        <v>220|14</v>
      </c>
      <c r="B8420" s="10" t="str">
        <f>参数调整!$J$39</f>
        <v>新增怪物种类4掉落</v>
      </c>
      <c r="C8420" s="8" t="str">
        <f>材料产出!$BT$2</f>
        <v>新增材料7</v>
      </c>
      <c r="D8420" s="224">
        <f>参数调整!$K$39*怪物掉落配置方案!$D4316</f>
        <v>0</v>
      </c>
    </row>
    <row r="8421" spans="1:4" ht="16.5" hidden="1" x14ac:dyDescent="0.3">
      <c r="A8421" s="10" t="str">
        <f>基本属性!$B$25&amp;"|"&amp;基本属性!$C$25</f>
        <v>220|15</v>
      </c>
      <c r="B8421" s="10" t="str">
        <f>参数调整!$J$39</f>
        <v>新增怪物种类4掉落</v>
      </c>
      <c r="C8421" s="8" t="str">
        <f>材料产出!$BT$2</f>
        <v>新增材料7</v>
      </c>
      <c r="D8421" s="224">
        <f>参数调整!$K$39*怪物掉落配置方案!$D4317</f>
        <v>0</v>
      </c>
    </row>
    <row r="8422" spans="1:4" ht="16.5" hidden="1" x14ac:dyDescent="0.3">
      <c r="A8422" s="10" t="str">
        <f>基本属性!$B$26&amp;"|"&amp;基本属性!$C$26</f>
        <v>230|16</v>
      </c>
      <c r="B8422" s="10" t="str">
        <f>参数调整!$J$39</f>
        <v>新增怪物种类4掉落</v>
      </c>
      <c r="C8422" s="8" t="str">
        <f>材料产出!$BT$2</f>
        <v>新增材料7</v>
      </c>
      <c r="D8422" s="224">
        <f>参数调整!$K$39*怪物掉落配置方案!$D4318</f>
        <v>0</v>
      </c>
    </row>
    <row r="8423" spans="1:4" ht="16.5" hidden="1" x14ac:dyDescent="0.3">
      <c r="A8423" s="10" t="str">
        <f>基本属性!$B$27&amp;"|"&amp;基本属性!$C$27</f>
        <v>230|17</v>
      </c>
      <c r="B8423" s="10" t="str">
        <f>参数调整!$J$39</f>
        <v>新增怪物种类4掉落</v>
      </c>
      <c r="C8423" s="8" t="str">
        <f>材料产出!$BT$2</f>
        <v>新增材料7</v>
      </c>
      <c r="D8423" s="224">
        <f>参数调整!$K$39*怪物掉落配置方案!$D4319</f>
        <v>0</v>
      </c>
    </row>
    <row r="8424" spans="1:4" ht="16.5" hidden="1" x14ac:dyDescent="0.3">
      <c r="A8424" s="10" t="str">
        <f>基本属性!$B$28&amp;"|"&amp;基本属性!$C$28</f>
        <v>240|18</v>
      </c>
      <c r="B8424" s="10" t="str">
        <f>参数调整!$J$39</f>
        <v>新增怪物种类4掉落</v>
      </c>
      <c r="C8424" s="8" t="str">
        <f>材料产出!$BT$2</f>
        <v>新增材料7</v>
      </c>
      <c r="D8424" s="224">
        <f>参数调整!$K$39*怪物掉落配置方案!$D4320</f>
        <v>0</v>
      </c>
    </row>
    <row r="8425" spans="1:4" ht="16.5" hidden="1" x14ac:dyDescent="0.3">
      <c r="A8425" s="10" t="str">
        <f>基本属性!$B$29&amp;"|"&amp;基本属性!$C$29</f>
        <v>240|19</v>
      </c>
      <c r="B8425" s="10" t="str">
        <f>参数调整!$J$39</f>
        <v>新增怪物种类4掉落</v>
      </c>
      <c r="C8425" s="8" t="str">
        <f>材料产出!$BT$2</f>
        <v>新增材料7</v>
      </c>
      <c r="D8425" s="224">
        <f>参数调整!$K$39*怪物掉落配置方案!$D4321</f>
        <v>0</v>
      </c>
    </row>
    <row r="8426" spans="1:4" ht="16.5" hidden="1" x14ac:dyDescent="0.3">
      <c r="A8426" s="10" t="str">
        <f>基本属性!$B$30&amp;"|"&amp;基本属性!$C$30</f>
        <v>250|20</v>
      </c>
      <c r="B8426" s="10" t="str">
        <f>参数调整!$J$39</f>
        <v>新增怪物种类4掉落</v>
      </c>
      <c r="C8426" s="8" t="str">
        <f>材料产出!$BT$2</f>
        <v>新增材料7</v>
      </c>
      <c r="D8426" s="224">
        <f>参数调整!$K$39*怪物掉落配置方案!$D4322</f>
        <v>0</v>
      </c>
    </row>
    <row r="8427" spans="1:4" ht="16.5" hidden="1" x14ac:dyDescent="0.3">
      <c r="A8427" s="10" t="str">
        <f>基本属性!$B$4&amp;"|"&amp;基本属性!$C$4</f>
        <v>35|0</v>
      </c>
      <c r="B8427" s="10" t="str">
        <f>参数调整!$J$39</f>
        <v>新增怪物种类4掉落</v>
      </c>
      <c r="C8427" s="8" t="str">
        <f>材料产出!$BR$2</f>
        <v>新增材料6</v>
      </c>
      <c r="D8427" s="224">
        <f>参数调整!$K$39*怪物掉落配置方案!$D4323</f>
        <v>0</v>
      </c>
    </row>
    <row r="8428" spans="1:4" ht="16.5" hidden="1" x14ac:dyDescent="0.3">
      <c r="A8428" s="10" t="str">
        <f>基本属性!$B$5&amp;"|"&amp;基本属性!$C$5</f>
        <v>40|0</v>
      </c>
      <c r="B8428" s="10" t="str">
        <f>参数调整!$J$39</f>
        <v>新增怪物种类4掉落</v>
      </c>
      <c r="C8428" s="8" t="str">
        <f>材料产出!$BR$2</f>
        <v>新增材料6</v>
      </c>
      <c r="D8428" s="224">
        <f>参数调整!$K$39*怪物掉落配置方案!$D4324</f>
        <v>0</v>
      </c>
    </row>
    <row r="8429" spans="1:4" ht="16.5" hidden="1" x14ac:dyDescent="0.3">
      <c r="A8429" s="10" t="str">
        <f>基本属性!$B$6&amp;"|"&amp;基本属性!$C$6</f>
        <v>50|0</v>
      </c>
      <c r="B8429" s="10" t="str">
        <f>参数调整!$J$39</f>
        <v>新增怪物种类4掉落</v>
      </c>
      <c r="C8429" s="8" t="str">
        <f>材料产出!$BR$2</f>
        <v>新增材料6</v>
      </c>
      <c r="D8429" s="224">
        <f>参数调整!$K$39*怪物掉落配置方案!$D4325</f>
        <v>0</v>
      </c>
    </row>
    <row r="8430" spans="1:4" ht="16.5" hidden="1" x14ac:dyDescent="0.3">
      <c r="A8430" s="10" t="str">
        <f>基本属性!$B$7&amp;"|"&amp;基本属性!$C$7</f>
        <v>60|0</v>
      </c>
      <c r="B8430" s="10" t="str">
        <f>参数调整!$J$39</f>
        <v>新增怪物种类4掉落</v>
      </c>
      <c r="C8430" s="8" t="str">
        <f>材料产出!$BR$2</f>
        <v>新增材料6</v>
      </c>
      <c r="D8430" s="224">
        <f>参数调整!$K$39*怪物掉落配置方案!$D4326</f>
        <v>0</v>
      </c>
    </row>
    <row r="8431" spans="1:4" ht="16.5" hidden="1" x14ac:dyDescent="0.3">
      <c r="A8431" s="10" t="str">
        <f>基本属性!$B$8&amp;"|"&amp;基本属性!$C$8</f>
        <v>65|0</v>
      </c>
      <c r="B8431" s="10" t="str">
        <f>参数调整!$J$39</f>
        <v>新增怪物种类4掉落</v>
      </c>
      <c r="C8431" s="8" t="str">
        <f>材料产出!$BR$2</f>
        <v>新增材料6</v>
      </c>
      <c r="D8431" s="224">
        <f>参数调整!$K$39*怪物掉落配置方案!$D4327</f>
        <v>0</v>
      </c>
    </row>
    <row r="8432" spans="1:4" ht="16.5" hidden="1" x14ac:dyDescent="0.3">
      <c r="A8432" s="10" t="str">
        <f>基本属性!$B$9&amp;"|"&amp;基本属性!$C$9</f>
        <v>70|0</v>
      </c>
      <c r="B8432" s="10" t="str">
        <f>参数调整!$J$39</f>
        <v>新增怪物种类4掉落</v>
      </c>
      <c r="C8432" s="8" t="str">
        <f>材料产出!$BR$2</f>
        <v>新增材料6</v>
      </c>
      <c r="D8432" s="224">
        <f>参数调整!$K$39*怪物掉落配置方案!$D4328</f>
        <v>0</v>
      </c>
    </row>
    <row r="8433" spans="1:4" ht="16.5" hidden="1" x14ac:dyDescent="0.3">
      <c r="A8433" s="10" t="str">
        <f>基本属性!$B$10&amp;"|"&amp;基本属性!$C$10</f>
        <v>75|0</v>
      </c>
      <c r="B8433" s="10" t="str">
        <f>参数调整!$J$39</f>
        <v>新增怪物种类4掉落</v>
      </c>
      <c r="C8433" s="8" t="str">
        <f>材料产出!$BR$2</f>
        <v>新增材料6</v>
      </c>
      <c r="D8433" s="224">
        <f>参数调整!$K$39*怪物掉落配置方案!$D4329</f>
        <v>0</v>
      </c>
    </row>
    <row r="8434" spans="1:4" ht="16.5" hidden="1" x14ac:dyDescent="0.3">
      <c r="A8434" s="10" t="str">
        <f>基本属性!$B$11&amp;"|"&amp;基本属性!$C$11</f>
        <v>80|1</v>
      </c>
      <c r="B8434" s="10" t="str">
        <f>参数调整!$J$39</f>
        <v>新增怪物种类4掉落</v>
      </c>
      <c r="C8434" s="8" t="str">
        <f>材料产出!$BR$2</f>
        <v>新增材料6</v>
      </c>
      <c r="D8434" s="224">
        <f>参数调整!$K$39*怪物掉落配置方案!$D4330</f>
        <v>0</v>
      </c>
    </row>
    <row r="8435" spans="1:4" ht="16.5" hidden="1" x14ac:dyDescent="0.3">
      <c r="A8435" s="10" t="str">
        <f>基本属性!$B$12&amp;"|"&amp;基本属性!$C$12</f>
        <v>90|2</v>
      </c>
      <c r="B8435" s="10" t="str">
        <f>参数调整!$J$39</f>
        <v>新增怪物种类4掉落</v>
      </c>
      <c r="C8435" s="8" t="str">
        <f>材料产出!$BR$2</f>
        <v>新增材料6</v>
      </c>
      <c r="D8435" s="224">
        <f>参数调整!$K$39*怪物掉落配置方案!$D4331</f>
        <v>0</v>
      </c>
    </row>
    <row r="8436" spans="1:4" ht="16.5" hidden="1" x14ac:dyDescent="0.3">
      <c r="A8436" s="10" t="str">
        <f>基本属性!$B$13&amp;"|"&amp;基本属性!$C$13</f>
        <v>100|3</v>
      </c>
      <c r="B8436" s="10" t="str">
        <f>参数调整!$J$39</f>
        <v>新增怪物种类4掉落</v>
      </c>
      <c r="C8436" s="8" t="str">
        <f>材料产出!$BR$2</f>
        <v>新增材料6</v>
      </c>
      <c r="D8436" s="224">
        <f>参数调整!$K$39*怪物掉落配置方案!$D4332</f>
        <v>0</v>
      </c>
    </row>
    <row r="8437" spans="1:4" ht="16.5" hidden="1" x14ac:dyDescent="0.3">
      <c r="A8437" s="10" t="str">
        <f>基本属性!$B$14&amp;"|"&amp;基本属性!$C$14</f>
        <v>105|4</v>
      </c>
      <c r="B8437" s="10" t="str">
        <f>参数调整!$J$39</f>
        <v>新增怪物种类4掉落</v>
      </c>
      <c r="C8437" s="8" t="str">
        <f>材料产出!$BR$2</f>
        <v>新增材料6</v>
      </c>
      <c r="D8437" s="224">
        <f>参数调整!$K$39*怪物掉落配置方案!$D4333</f>
        <v>0</v>
      </c>
    </row>
    <row r="8438" spans="1:4" ht="16.5" hidden="1" x14ac:dyDescent="0.3">
      <c r="A8438" s="10" t="str">
        <f>基本属性!$B$15&amp;"|"&amp;基本属性!$C$15</f>
        <v>110|5</v>
      </c>
      <c r="B8438" s="10" t="str">
        <f>参数调整!$J$39</f>
        <v>新增怪物种类4掉落</v>
      </c>
      <c r="C8438" s="8" t="str">
        <f>材料产出!$BR$2</f>
        <v>新增材料6</v>
      </c>
      <c r="D8438" s="224">
        <f>参数调整!$K$39*怪物掉落配置方案!$D4334</f>
        <v>0</v>
      </c>
    </row>
    <row r="8439" spans="1:4" ht="16.5" hidden="1" x14ac:dyDescent="0.3">
      <c r="A8439" s="10" t="str">
        <f>基本属性!$B$16&amp;"|"&amp;基本属性!$C$16</f>
        <v>120|6</v>
      </c>
      <c r="B8439" s="10" t="str">
        <f>参数调整!$J$39</f>
        <v>新增怪物种类4掉落</v>
      </c>
      <c r="C8439" s="8" t="str">
        <f>材料产出!$BR$2</f>
        <v>新增材料6</v>
      </c>
      <c r="D8439" s="224">
        <f>参数调整!$K$39*怪物掉落配置方案!$D4335</f>
        <v>0</v>
      </c>
    </row>
    <row r="8440" spans="1:4" ht="16.5" hidden="1" x14ac:dyDescent="0.3">
      <c r="A8440" s="10" t="str">
        <f>基本属性!$B$17&amp;"|"&amp;基本属性!$C$17</f>
        <v>135|7</v>
      </c>
      <c r="B8440" s="10" t="str">
        <f>参数调整!$J$39</f>
        <v>新增怪物种类4掉落</v>
      </c>
      <c r="C8440" s="8" t="str">
        <f>材料产出!$BR$2</f>
        <v>新增材料6</v>
      </c>
      <c r="D8440" s="224">
        <f>参数调整!$K$39*怪物掉落配置方案!$D4336</f>
        <v>0</v>
      </c>
    </row>
    <row r="8441" spans="1:4" ht="16.5" hidden="1" x14ac:dyDescent="0.3">
      <c r="A8441" s="10" t="str">
        <f>基本属性!$B$18&amp;"|"&amp;基本属性!$C$18</f>
        <v>155|8</v>
      </c>
      <c r="B8441" s="10" t="str">
        <f>参数调整!$J$39</f>
        <v>新增怪物种类4掉落</v>
      </c>
      <c r="C8441" s="8" t="str">
        <f>材料产出!$BR$2</f>
        <v>新增材料6</v>
      </c>
      <c r="D8441" s="224">
        <f>参数调整!$K$39*怪物掉落配置方案!$D4337</f>
        <v>0</v>
      </c>
    </row>
    <row r="8442" spans="1:4" ht="16.5" hidden="1" x14ac:dyDescent="0.3">
      <c r="A8442" s="10" t="str">
        <f>基本属性!$B$19&amp;"|"&amp;基本属性!$C$19</f>
        <v>190|9</v>
      </c>
      <c r="B8442" s="10" t="str">
        <f>参数调整!$J$39</f>
        <v>新增怪物种类4掉落</v>
      </c>
      <c r="C8442" s="8" t="str">
        <f>材料产出!$BR$2</f>
        <v>新增材料6</v>
      </c>
      <c r="D8442" s="224">
        <f>参数调整!$K$39*怪物掉落配置方案!$D4338</f>
        <v>0</v>
      </c>
    </row>
    <row r="8443" spans="1:4" ht="16.5" hidden="1" x14ac:dyDescent="0.3">
      <c r="A8443" s="10" t="str">
        <f>基本属性!$B$20&amp;"|"&amp;基本属性!$C$20</f>
        <v>200|10</v>
      </c>
      <c r="B8443" s="10" t="str">
        <f>参数调整!$J$39</f>
        <v>新增怪物种类4掉落</v>
      </c>
      <c r="C8443" s="8" t="str">
        <f>材料产出!$BR$2</f>
        <v>新增材料6</v>
      </c>
      <c r="D8443" s="224">
        <f>参数调整!$K$39*怪物掉落配置方案!$D4339</f>
        <v>0</v>
      </c>
    </row>
    <row r="8444" spans="1:4" ht="16.5" hidden="1" x14ac:dyDescent="0.3">
      <c r="A8444" s="10" t="str">
        <f>基本属性!$B$21&amp;"|"&amp;基本属性!$C$21</f>
        <v>200|11</v>
      </c>
      <c r="B8444" s="10" t="str">
        <f>参数调整!$J$39</f>
        <v>新增怪物种类4掉落</v>
      </c>
      <c r="C8444" s="8" t="str">
        <f>材料产出!$BR$2</f>
        <v>新增材料6</v>
      </c>
      <c r="D8444" s="224">
        <f>参数调整!$K$39*怪物掉落配置方案!$D4340</f>
        <v>0</v>
      </c>
    </row>
    <row r="8445" spans="1:4" ht="16.5" hidden="1" x14ac:dyDescent="0.3">
      <c r="A8445" s="10" t="str">
        <f>基本属性!$B$22&amp;"|"&amp;基本属性!$C$22</f>
        <v>210|12</v>
      </c>
      <c r="B8445" s="10" t="str">
        <f>参数调整!$J$39</f>
        <v>新增怪物种类4掉落</v>
      </c>
      <c r="C8445" s="8" t="str">
        <f>材料产出!$BR$2</f>
        <v>新增材料6</v>
      </c>
      <c r="D8445" s="224">
        <f>参数调整!$K$39*怪物掉落配置方案!$D4341</f>
        <v>0</v>
      </c>
    </row>
    <row r="8446" spans="1:4" ht="16.5" hidden="1" x14ac:dyDescent="0.3">
      <c r="A8446" s="10" t="str">
        <f>基本属性!$B$23&amp;"|"&amp;基本属性!$C$23</f>
        <v>210|13</v>
      </c>
      <c r="B8446" s="10" t="str">
        <f>参数调整!$J$39</f>
        <v>新增怪物种类4掉落</v>
      </c>
      <c r="C8446" s="8" t="str">
        <f>材料产出!$BR$2</f>
        <v>新增材料6</v>
      </c>
      <c r="D8446" s="224">
        <f>参数调整!$K$39*怪物掉落配置方案!$D4342</f>
        <v>0</v>
      </c>
    </row>
    <row r="8447" spans="1:4" ht="16.5" hidden="1" x14ac:dyDescent="0.3">
      <c r="A8447" s="10" t="str">
        <f>基本属性!$B$24&amp;"|"&amp;基本属性!$C$24</f>
        <v>220|14</v>
      </c>
      <c r="B8447" s="10" t="str">
        <f>参数调整!$J$39</f>
        <v>新增怪物种类4掉落</v>
      </c>
      <c r="C8447" s="8" t="str">
        <f>材料产出!$BR$2</f>
        <v>新增材料6</v>
      </c>
      <c r="D8447" s="224">
        <f>参数调整!$K$39*怪物掉落配置方案!$D4343</f>
        <v>0</v>
      </c>
    </row>
    <row r="8448" spans="1:4" ht="16.5" hidden="1" x14ac:dyDescent="0.3">
      <c r="A8448" s="10" t="str">
        <f>基本属性!$B$25&amp;"|"&amp;基本属性!$C$25</f>
        <v>220|15</v>
      </c>
      <c r="B8448" s="10" t="str">
        <f>参数调整!$J$39</f>
        <v>新增怪物种类4掉落</v>
      </c>
      <c r="C8448" s="8" t="str">
        <f>材料产出!$BR$2</f>
        <v>新增材料6</v>
      </c>
      <c r="D8448" s="224">
        <f>参数调整!$K$39*怪物掉落配置方案!$D4344</f>
        <v>0</v>
      </c>
    </row>
    <row r="8449" spans="1:4" ht="16.5" hidden="1" x14ac:dyDescent="0.3">
      <c r="A8449" s="10" t="str">
        <f>基本属性!$B$26&amp;"|"&amp;基本属性!$C$26</f>
        <v>230|16</v>
      </c>
      <c r="B8449" s="10" t="str">
        <f>参数调整!$J$39</f>
        <v>新增怪物种类4掉落</v>
      </c>
      <c r="C8449" s="8" t="str">
        <f>材料产出!$BR$2</f>
        <v>新增材料6</v>
      </c>
      <c r="D8449" s="224">
        <f>参数调整!$K$39*怪物掉落配置方案!$D4345</f>
        <v>0</v>
      </c>
    </row>
    <row r="8450" spans="1:4" ht="16.5" hidden="1" x14ac:dyDescent="0.3">
      <c r="A8450" s="10" t="str">
        <f>基本属性!$B$27&amp;"|"&amp;基本属性!$C$27</f>
        <v>230|17</v>
      </c>
      <c r="B8450" s="10" t="str">
        <f>参数调整!$J$39</f>
        <v>新增怪物种类4掉落</v>
      </c>
      <c r="C8450" s="8" t="str">
        <f>材料产出!$BR$2</f>
        <v>新增材料6</v>
      </c>
      <c r="D8450" s="224">
        <f>参数调整!$K$39*怪物掉落配置方案!$D4346</f>
        <v>0</v>
      </c>
    </row>
    <row r="8451" spans="1:4" ht="16.5" hidden="1" x14ac:dyDescent="0.3">
      <c r="A8451" s="10" t="str">
        <f>基本属性!$B$28&amp;"|"&amp;基本属性!$C$28</f>
        <v>240|18</v>
      </c>
      <c r="B8451" s="10" t="str">
        <f>参数调整!$J$39</f>
        <v>新增怪物种类4掉落</v>
      </c>
      <c r="C8451" s="8" t="str">
        <f>材料产出!$BR$2</f>
        <v>新增材料6</v>
      </c>
      <c r="D8451" s="224">
        <f>参数调整!$K$39*怪物掉落配置方案!$D4347</f>
        <v>0</v>
      </c>
    </row>
    <row r="8452" spans="1:4" ht="16.5" hidden="1" x14ac:dyDescent="0.3">
      <c r="A8452" s="10" t="str">
        <f>基本属性!$B$29&amp;"|"&amp;基本属性!$C$29</f>
        <v>240|19</v>
      </c>
      <c r="B8452" s="10" t="str">
        <f>参数调整!$J$39</f>
        <v>新增怪物种类4掉落</v>
      </c>
      <c r="C8452" s="8" t="str">
        <f>材料产出!$BR$2</f>
        <v>新增材料6</v>
      </c>
      <c r="D8452" s="224">
        <f>参数调整!$K$39*怪物掉落配置方案!$D4348</f>
        <v>0</v>
      </c>
    </row>
    <row r="8453" spans="1:4" ht="16.5" hidden="1" x14ac:dyDescent="0.3">
      <c r="A8453" s="10" t="str">
        <f>基本属性!$B$30&amp;"|"&amp;基本属性!$C$30</f>
        <v>250|20</v>
      </c>
      <c r="B8453" s="10" t="str">
        <f>参数调整!$J$39</f>
        <v>新增怪物种类4掉落</v>
      </c>
      <c r="C8453" s="8" t="str">
        <f>材料产出!$BR$2</f>
        <v>新增材料6</v>
      </c>
      <c r="D8453" s="224">
        <f>参数调整!$K$39*怪物掉落配置方案!$D4349</f>
        <v>0</v>
      </c>
    </row>
    <row r="8454" spans="1:4" ht="16.5" hidden="1" x14ac:dyDescent="0.3">
      <c r="A8454" s="10" t="str">
        <f>基本属性!$B$4&amp;"|"&amp;基本属性!$C$4</f>
        <v>35|0</v>
      </c>
      <c r="B8454" s="10" t="str">
        <f>参数调整!$J$39</f>
        <v>新增怪物种类4掉落</v>
      </c>
      <c r="C8454" s="8" t="str">
        <f>材料产出!$BP$2</f>
        <v>新增材料5</v>
      </c>
      <c r="D8454" s="224">
        <f>参数调整!$K$39*怪物掉落配置方案!$D4350</f>
        <v>0</v>
      </c>
    </row>
    <row r="8455" spans="1:4" ht="16.5" hidden="1" x14ac:dyDescent="0.3">
      <c r="A8455" s="10" t="str">
        <f>基本属性!$B$5&amp;"|"&amp;基本属性!$C$5</f>
        <v>40|0</v>
      </c>
      <c r="B8455" s="10" t="str">
        <f>参数调整!$J$39</f>
        <v>新增怪物种类4掉落</v>
      </c>
      <c r="C8455" s="8" t="str">
        <f>材料产出!$BP$2</f>
        <v>新增材料5</v>
      </c>
      <c r="D8455" s="224">
        <f>参数调整!$K$39*怪物掉落配置方案!$D4351</f>
        <v>0</v>
      </c>
    </row>
    <row r="8456" spans="1:4" ht="16.5" hidden="1" x14ac:dyDescent="0.3">
      <c r="A8456" s="10" t="str">
        <f>基本属性!$B$6&amp;"|"&amp;基本属性!$C$6</f>
        <v>50|0</v>
      </c>
      <c r="B8456" s="10" t="str">
        <f>参数调整!$J$39</f>
        <v>新增怪物种类4掉落</v>
      </c>
      <c r="C8456" s="8" t="str">
        <f>材料产出!$BP$2</f>
        <v>新增材料5</v>
      </c>
      <c r="D8456" s="224">
        <f>参数调整!$K$39*怪物掉落配置方案!$D4352</f>
        <v>0</v>
      </c>
    </row>
    <row r="8457" spans="1:4" ht="16.5" hidden="1" x14ac:dyDescent="0.3">
      <c r="A8457" s="10" t="str">
        <f>基本属性!$B$7&amp;"|"&amp;基本属性!$C$7</f>
        <v>60|0</v>
      </c>
      <c r="B8457" s="10" t="str">
        <f>参数调整!$J$39</f>
        <v>新增怪物种类4掉落</v>
      </c>
      <c r="C8457" s="8" t="str">
        <f>材料产出!$BP$2</f>
        <v>新增材料5</v>
      </c>
      <c r="D8457" s="224">
        <f>参数调整!$K$39*怪物掉落配置方案!$D4353</f>
        <v>0</v>
      </c>
    </row>
    <row r="8458" spans="1:4" ht="16.5" hidden="1" x14ac:dyDescent="0.3">
      <c r="A8458" s="10" t="str">
        <f>基本属性!$B$8&amp;"|"&amp;基本属性!$C$8</f>
        <v>65|0</v>
      </c>
      <c r="B8458" s="10" t="str">
        <f>参数调整!$J$39</f>
        <v>新增怪物种类4掉落</v>
      </c>
      <c r="C8458" s="8" t="str">
        <f>材料产出!$BP$2</f>
        <v>新增材料5</v>
      </c>
      <c r="D8458" s="224">
        <f>参数调整!$K$39*怪物掉落配置方案!$D4354</f>
        <v>0</v>
      </c>
    </row>
    <row r="8459" spans="1:4" ht="16.5" hidden="1" x14ac:dyDescent="0.3">
      <c r="A8459" s="10" t="str">
        <f>基本属性!$B$9&amp;"|"&amp;基本属性!$C$9</f>
        <v>70|0</v>
      </c>
      <c r="B8459" s="10" t="str">
        <f>参数调整!$J$39</f>
        <v>新增怪物种类4掉落</v>
      </c>
      <c r="C8459" s="8" t="str">
        <f>材料产出!$BP$2</f>
        <v>新增材料5</v>
      </c>
      <c r="D8459" s="224">
        <f>参数调整!$K$39*怪物掉落配置方案!$D4355</f>
        <v>0</v>
      </c>
    </row>
    <row r="8460" spans="1:4" ht="16.5" hidden="1" x14ac:dyDescent="0.3">
      <c r="A8460" s="10" t="str">
        <f>基本属性!$B$10&amp;"|"&amp;基本属性!$C$10</f>
        <v>75|0</v>
      </c>
      <c r="B8460" s="10" t="str">
        <f>参数调整!$J$39</f>
        <v>新增怪物种类4掉落</v>
      </c>
      <c r="C8460" s="8" t="str">
        <f>材料产出!$BP$2</f>
        <v>新增材料5</v>
      </c>
      <c r="D8460" s="224">
        <f>参数调整!$K$39*怪物掉落配置方案!$D4356</f>
        <v>0</v>
      </c>
    </row>
    <row r="8461" spans="1:4" ht="16.5" hidden="1" x14ac:dyDescent="0.3">
      <c r="A8461" s="10" t="str">
        <f>基本属性!$B$11&amp;"|"&amp;基本属性!$C$11</f>
        <v>80|1</v>
      </c>
      <c r="B8461" s="10" t="str">
        <f>参数调整!$J$39</f>
        <v>新增怪物种类4掉落</v>
      </c>
      <c r="C8461" s="8" t="str">
        <f>材料产出!$BP$2</f>
        <v>新增材料5</v>
      </c>
      <c r="D8461" s="224">
        <f>参数调整!$K$39*怪物掉落配置方案!$D4357</f>
        <v>0</v>
      </c>
    </row>
    <row r="8462" spans="1:4" ht="16.5" hidden="1" x14ac:dyDescent="0.3">
      <c r="A8462" s="10" t="str">
        <f>基本属性!$B$12&amp;"|"&amp;基本属性!$C$12</f>
        <v>90|2</v>
      </c>
      <c r="B8462" s="10" t="str">
        <f>参数调整!$J$39</f>
        <v>新增怪物种类4掉落</v>
      </c>
      <c r="C8462" s="8" t="str">
        <f>材料产出!$BP$2</f>
        <v>新增材料5</v>
      </c>
      <c r="D8462" s="224">
        <f>参数调整!$K$39*怪物掉落配置方案!$D4358</f>
        <v>0</v>
      </c>
    </row>
    <row r="8463" spans="1:4" ht="16.5" hidden="1" x14ac:dyDescent="0.3">
      <c r="A8463" s="10" t="str">
        <f>基本属性!$B$13&amp;"|"&amp;基本属性!$C$13</f>
        <v>100|3</v>
      </c>
      <c r="B8463" s="10" t="str">
        <f>参数调整!$J$39</f>
        <v>新增怪物种类4掉落</v>
      </c>
      <c r="C8463" s="8" t="str">
        <f>材料产出!$BP$2</f>
        <v>新增材料5</v>
      </c>
      <c r="D8463" s="224">
        <f>参数调整!$K$39*怪物掉落配置方案!$D4359</f>
        <v>0</v>
      </c>
    </row>
    <row r="8464" spans="1:4" ht="16.5" hidden="1" x14ac:dyDescent="0.3">
      <c r="A8464" s="10" t="str">
        <f>基本属性!$B$14&amp;"|"&amp;基本属性!$C$14</f>
        <v>105|4</v>
      </c>
      <c r="B8464" s="10" t="str">
        <f>参数调整!$J$39</f>
        <v>新增怪物种类4掉落</v>
      </c>
      <c r="C8464" s="8" t="str">
        <f>材料产出!$BP$2</f>
        <v>新增材料5</v>
      </c>
      <c r="D8464" s="224">
        <f>参数调整!$K$39*怪物掉落配置方案!$D4360</f>
        <v>0</v>
      </c>
    </row>
    <row r="8465" spans="1:4" ht="16.5" hidden="1" x14ac:dyDescent="0.3">
      <c r="A8465" s="10" t="str">
        <f>基本属性!$B$15&amp;"|"&amp;基本属性!$C$15</f>
        <v>110|5</v>
      </c>
      <c r="B8465" s="10" t="str">
        <f>参数调整!$J$39</f>
        <v>新增怪物种类4掉落</v>
      </c>
      <c r="C8465" s="8" t="str">
        <f>材料产出!$BP$2</f>
        <v>新增材料5</v>
      </c>
      <c r="D8465" s="224">
        <f>参数调整!$K$39*怪物掉落配置方案!$D4361</f>
        <v>0</v>
      </c>
    </row>
    <row r="8466" spans="1:4" ht="16.5" hidden="1" x14ac:dyDescent="0.3">
      <c r="A8466" s="10" t="str">
        <f>基本属性!$B$16&amp;"|"&amp;基本属性!$C$16</f>
        <v>120|6</v>
      </c>
      <c r="B8466" s="10" t="str">
        <f>参数调整!$J$39</f>
        <v>新增怪物种类4掉落</v>
      </c>
      <c r="C8466" s="8" t="str">
        <f>材料产出!$BP$2</f>
        <v>新增材料5</v>
      </c>
      <c r="D8466" s="224">
        <f>参数调整!$K$39*怪物掉落配置方案!$D4362</f>
        <v>0</v>
      </c>
    </row>
    <row r="8467" spans="1:4" ht="16.5" hidden="1" x14ac:dyDescent="0.3">
      <c r="A8467" s="10" t="str">
        <f>基本属性!$B$17&amp;"|"&amp;基本属性!$C$17</f>
        <v>135|7</v>
      </c>
      <c r="B8467" s="10" t="str">
        <f>参数调整!$J$39</f>
        <v>新增怪物种类4掉落</v>
      </c>
      <c r="C8467" s="8" t="str">
        <f>材料产出!$BP$2</f>
        <v>新增材料5</v>
      </c>
      <c r="D8467" s="224">
        <f>参数调整!$K$39*怪物掉落配置方案!$D4363</f>
        <v>0</v>
      </c>
    </row>
    <row r="8468" spans="1:4" ht="16.5" hidden="1" x14ac:dyDescent="0.3">
      <c r="A8468" s="10" t="str">
        <f>基本属性!$B$18&amp;"|"&amp;基本属性!$C$18</f>
        <v>155|8</v>
      </c>
      <c r="B8468" s="10" t="str">
        <f>参数调整!$J$39</f>
        <v>新增怪物种类4掉落</v>
      </c>
      <c r="C8468" s="8" t="str">
        <f>材料产出!$BP$2</f>
        <v>新增材料5</v>
      </c>
      <c r="D8468" s="224">
        <f>参数调整!$K$39*怪物掉落配置方案!$D4364</f>
        <v>0</v>
      </c>
    </row>
    <row r="8469" spans="1:4" ht="16.5" hidden="1" x14ac:dyDescent="0.3">
      <c r="A8469" s="10" t="str">
        <f>基本属性!$B$19&amp;"|"&amp;基本属性!$C$19</f>
        <v>190|9</v>
      </c>
      <c r="B8469" s="10" t="str">
        <f>参数调整!$J$39</f>
        <v>新增怪物种类4掉落</v>
      </c>
      <c r="C8469" s="8" t="str">
        <f>材料产出!$BP$2</f>
        <v>新增材料5</v>
      </c>
      <c r="D8469" s="224">
        <f>参数调整!$K$39*怪物掉落配置方案!$D4365</f>
        <v>0</v>
      </c>
    </row>
    <row r="8470" spans="1:4" ht="16.5" hidden="1" x14ac:dyDescent="0.3">
      <c r="A8470" s="10" t="str">
        <f>基本属性!$B$20&amp;"|"&amp;基本属性!$C$20</f>
        <v>200|10</v>
      </c>
      <c r="B8470" s="10" t="str">
        <f>参数调整!$J$39</f>
        <v>新增怪物种类4掉落</v>
      </c>
      <c r="C8470" s="8" t="str">
        <f>材料产出!$BP$2</f>
        <v>新增材料5</v>
      </c>
      <c r="D8470" s="224">
        <f>参数调整!$K$39*怪物掉落配置方案!$D4366</f>
        <v>0</v>
      </c>
    </row>
    <row r="8471" spans="1:4" ht="16.5" hidden="1" x14ac:dyDescent="0.3">
      <c r="A8471" s="10" t="str">
        <f>基本属性!$B$21&amp;"|"&amp;基本属性!$C$21</f>
        <v>200|11</v>
      </c>
      <c r="B8471" s="10" t="str">
        <f>参数调整!$J$39</f>
        <v>新增怪物种类4掉落</v>
      </c>
      <c r="C8471" s="8" t="str">
        <f>材料产出!$BP$2</f>
        <v>新增材料5</v>
      </c>
      <c r="D8471" s="224">
        <f>参数调整!$K$39*怪物掉落配置方案!$D4367</f>
        <v>0</v>
      </c>
    </row>
    <row r="8472" spans="1:4" ht="16.5" hidden="1" x14ac:dyDescent="0.3">
      <c r="A8472" s="10" t="str">
        <f>基本属性!$B$22&amp;"|"&amp;基本属性!$C$22</f>
        <v>210|12</v>
      </c>
      <c r="B8472" s="10" t="str">
        <f>参数调整!$J$39</f>
        <v>新增怪物种类4掉落</v>
      </c>
      <c r="C8472" s="8" t="str">
        <f>材料产出!$BP$2</f>
        <v>新增材料5</v>
      </c>
      <c r="D8472" s="224">
        <f>参数调整!$K$39*怪物掉落配置方案!$D4368</f>
        <v>0</v>
      </c>
    </row>
    <row r="8473" spans="1:4" ht="16.5" hidden="1" x14ac:dyDescent="0.3">
      <c r="A8473" s="10" t="str">
        <f>基本属性!$B$23&amp;"|"&amp;基本属性!$C$23</f>
        <v>210|13</v>
      </c>
      <c r="B8473" s="10" t="str">
        <f>参数调整!$J$39</f>
        <v>新增怪物种类4掉落</v>
      </c>
      <c r="C8473" s="8" t="str">
        <f>材料产出!$BP$2</f>
        <v>新增材料5</v>
      </c>
      <c r="D8473" s="224">
        <f>参数调整!$K$39*怪物掉落配置方案!$D4369</f>
        <v>0</v>
      </c>
    </row>
    <row r="8474" spans="1:4" ht="16.5" hidden="1" x14ac:dyDescent="0.3">
      <c r="A8474" s="10" t="str">
        <f>基本属性!$B$24&amp;"|"&amp;基本属性!$C$24</f>
        <v>220|14</v>
      </c>
      <c r="B8474" s="10" t="str">
        <f>参数调整!$J$39</f>
        <v>新增怪物种类4掉落</v>
      </c>
      <c r="C8474" s="8" t="str">
        <f>材料产出!$BP$2</f>
        <v>新增材料5</v>
      </c>
      <c r="D8474" s="224">
        <f>参数调整!$K$39*怪物掉落配置方案!$D4370</f>
        <v>0</v>
      </c>
    </row>
    <row r="8475" spans="1:4" ht="16.5" hidden="1" x14ac:dyDescent="0.3">
      <c r="A8475" s="10" t="str">
        <f>基本属性!$B$25&amp;"|"&amp;基本属性!$C$25</f>
        <v>220|15</v>
      </c>
      <c r="B8475" s="10" t="str">
        <f>参数调整!$J$39</f>
        <v>新增怪物种类4掉落</v>
      </c>
      <c r="C8475" s="8" t="str">
        <f>材料产出!$BP$2</f>
        <v>新增材料5</v>
      </c>
      <c r="D8475" s="224">
        <f>参数调整!$K$39*怪物掉落配置方案!$D4371</f>
        <v>0</v>
      </c>
    </row>
    <row r="8476" spans="1:4" ht="16.5" hidden="1" x14ac:dyDescent="0.3">
      <c r="A8476" s="10" t="str">
        <f>基本属性!$B$26&amp;"|"&amp;基本属性!$C$26</f>
        <v>230|16</v>
      </c>
      <c r="B8476" s="10" t="str">
        <f>参数调整!$J$39</f>
        <v>新增怪物种类4掉落</v>
      </c>
      <c r="C8476" s="8" t="str">
        <f>材料产出!$BP$2</f>
        <v>新增材料5</v>
      </c>
      <c r="D8476" s="224">
        <f>参数调整!$K$39*怪物掉落配置方案!$D4372</f>
        <v>0</v>
      </c>
    </row>
    <row r="8477" spans="1:4" ht="16.5" hidden="1" x14ac:dyDescent="0.3">
      <c r="A8477" s="10" t="str">
        <f>基本属性!$B$27&amp;"|"&amp;基本属性!$C$27</f>
        <v>230|17</v>
      </c>
      <c r="B8477" s="10" t="str">
        <f>参数调整!$J$39</f>
        <v>新增怪物种类4掉落</v>
      </c>
      <c r="C8477" s="8" t="str">
        <f>材料产出!$BP$2</f>
        <v>新增材料5</v>
      </c>
      <c r="D8477" s="224">
        <f>参数调整!$K$39*怪物掉落配置方案!$D4373</f>
        <v>0</v>
      </c>
    </row>
    <row r="8478" spans="1:4" ht="16.5" hidden="1" x14ac:dyDescent="0.3">
      <c r="A8478" s="10" t="str">
        <f>基本属性!$B$28&amp;"|"&amp;基本属性!$C$28</f>
        <v>240|18</v>
      </c>
      <c r="B8478" s="10" t="str">
        <f>参数调整!$J$39</f>
        <v>新增怪物种类4掉落</v>
      </c>
      <c r="C8478" s="8" t="str">
        <f>材料产出!$BP$2</f>
        <v>新增材料5</v>
      </c>
      <c r="D8478" s="224">
        <f>参数调整!$K$39*怪物掉落配置方案!$D4374</f>
        <v>0</v>
      </c>
    </row>
    <row r="8479" spans="1:4" ht="16.5" hidden="1" x14ac:dyDescent="0.3">
      <c r="A8479" s="10" t="str">
        <f>基本属性!$B$29&amp;"|"&amp;基本属性!$C$29</f>
        <v>240|19</v>
      </c>
      <c r="B8479" s="10" t="str">
        <f>参数调整!$J$39</f>
        <v>新增怪物种类4掉落</v>
      </c>
      <c r="C8479" s="8" t="str">
        <f>材料产出!$BP$2</f>
        <v>新增材料5</v>
      </c>
      <c r="D8479" s="224">
        <f>参数调整!$K$39*怪物掉落配置方案!$D4375</f>
        <v>0</v>
      </c>
    </row>
    <row r="8480" spans="1:4" ht="16.5" hidden="1" x14ac:dyDescent="0.3">
      <c r="A8480" s="10" t="str">
        <f>基本属性!$B$30&amp;"|"&amp;基本属性!$C$30</f>
        <v>250|20</v>
      </c>
      <c r="B8480" s="10" t="str">
        <f>参数调整!$J$39</f>
        <v>新增怪物种类4掉落</v>
      </c>
      <c r="C8480" s="8" t="str">
        <f>材料产出!$BP$2</f>
        <v>新增材料5</v>
      </c>
      <c r="D8480" s="224">
        <f>参数调整!$K$39*怪物掉落配置方案!$D4376</f>
        <v>0</v>
      </c>
    </row>
    <row r="8481" spans="1:4" ht="16.5" hidden="1" x14ac:dyDescent="0.3">
      <c r="A8481" s="10" t="str">
        <f>基本属性!$B$4&amp;"|"&amp;基本属性!$C$4</f>
        <v>35|0</v>
      </c>
      <c r="B8481" s="10" t="str">
        <f>参数调整!$J$39</f>
        <v>新增怪物种类4掉落</v>
      </c>
      <c r="C8481" s="8" t="str">
        <f>材料产出!$BN$2</f>
        <v>新增材料4</v>
      </c>
      <c r="D8481" s="224">
        <f>参数调整!$K$39*怪物掉落配置方案!$D4377</f>
        <v>0</v>
      </c>
    </row>
    <row r="8482" spans="1:4" ht="16.5" hidden="1" x14ac:dyDescent="0.3">
      <c r="A8482" s="10" t="str">
        <f>基本属性!$B$5&amp;"|"&amp;基本属性!$C$5</f>
        <v>40|0</v>
      </c>
      <c r="B8482" s="10" t="str">
        <f>参数调整!$J$39</f>
        <v>新增怪物种类4掉落</v>
      </c>
      <c r="C8482" s="8" t="str">
        <f>材料产出!$BN$2</f>
        <v>新增材料4</v>
      </c>
      <c r="D8482" s="224">
        <f>参数调整!$K$39*怪物掉落配置方案!$D4378</f>
        <v>0</v>
      </c>
    </row>
    <row r="8483" spans="1:4" ht="16.5" hidden="1" x14ac:dyDescent="0.3">
      <c r="A8483" s="10" t="str">
        <f>基本属性!$B$6&amp;"|"&amp;基本属性!$C$6</f>
        <v>50|0</v>
      </c>
      <c r="B8483" s="10" t="str">
        <f>参数调整!$J$39</f>
        <v>新增怪物种类4掉落</v>
      </c>
      <c r="C8483" s="8" t="str">
        <f>材料产出!$BN$2</f>
        <v>新增材料4</v>
      </c>
      <c r="D8483" s="224">
        <f>参数调整!$K$39*怪物掉落配置方案!$D4379</f>
        <v>0</v>
      </c>
    </row>
    <row r="8484" spans="1:4" ht="16.5" hidden="1" x14ac:dyDescent="0.3">
      <c r="A8484" s="10" t="str">
        <f>基本属性!$B$7&amp;"|"&amp;基本属性!$C$7</f>
        <v>60|0</v>
      </c>
      <c r="B8484" s="10" t="str">
        <f>参数调整!$J$39</f>
        <v>新增怪物种类4掉落</v>
      </c>
      <c r="C8484" s="8" t="str">
        <f>材料产出!$BN$2</f>
        <v>新增材料4</v>
      </c>
      <c r="D8484" s="224">
        <f>参数调整!$K$39*怪物掉落配置方案!$D4380</f>
        <v>0</v>
      </c>
    </row>
    <row r="8485" spans="1:4" ht="16.5" hidden="1" x14ac:dyDescent="0.3">
      <c r="A8485" s="10" t="str">
        <f>基本属性!$B$8&amp;"|"&amp;基本属性!$C$8</f>
        <v>65|0</v>
      </c>
      <c r="B8485" s="10" t="str">
        <f>参数调整!$J$39</f>
        <v>新增怪物种类4掉落</v>
      </c>
      <c r="C8485" s="8" t="str">
        <f>材料产出!$BN$2</f>
        <v>新增材料4</v>
      </c>
      <c r="D8485" s="224">
        <f>参数调整!$K$39*怪物掉落配置方案!$D4381</f>
        <v>0</v>
      </c>
    </row>
    <row r="8486" spans="1:4" ht="16.5" hidden="1" x14ac:dyDescent="0.3">
      <c r="A8486" s="10" t="str">
        <f>基本属性!$B$9&amp;"|"&amp;基本属性!$C$9</f>
        <v>70|0</v>
      </c>
      <c r="B8486" s="10" t="str">
        <f>参数调整!$J$39</f>
        <v>新增怪物种类4掉落</v>
      </c>
      <c r="C8486" s="8" t="str">
        <f>材料产出!$BN$2</f>
        <v>新增材料4</v>
      </c>
      <c r="D8486" s="224">
        <f>参数调整!$K$39*怪物掉落配置方案!$D4382</f>
        <v>0</v>
      </c>
    </row>
    <row r="8487" spans="1:4" ht="16.5" hidden="1" x14ac:dyDescent="0.3">
      <c r="A8487" s="10" t="str">
        <f>基本属性!$B$10&amp;"|"&amp;基本属性!$C$10</f>
        <v>75|0</v>
      </c>
      <c r="B8487" s="10" t="str">
        <f>参数调整!$J$39</f>
        <v>新增怪物种类4掉落</v>
      </c>
      <c r="C8487" s="8" t="str">
        <f>材料产出!$BN$2</f>
        <v>新增材料4</v>
      </c>
      <c r="D8487" s="224">
        <f>参数调整!$K$39*怪物掉落配置方案!$D4383</f>
        <v>0</v>
      </c>
    </row>
    <row r="8488" spans="1:4" ht="16.5" hidden="1" x14ac:dyDescent="0.3">
      <c r="A8488" s="10" t="str">
        <f>基本属性!$B$11&amp;"|"&amp;基本属性!$C$11</f>
        <v>80|1</v>
      </c>
      <c r="B8488" s="10" t="str">
        <f>参数调整!$J$39</f>
        <v>新增怪物种类4掉落</v>
      </c>
      <c r="C8488" s="8" t="str">
        <f>材料产出!$BN$2</f>
        <v>新增材料4</v>
      </c>
      <c r="D8488" s="224">
        <f>参数调整!$K$39*怪物掉落配置方案!$D4384</f>
        <v>0</v>
      </c>
    </row>
    <row r="8489" spans="1:4" ht="16.5" hidden="1" x14ac:dyDescent="0.3">
      <c r="A8489" s="10" t="str">
        <f>基本属性!$B$12&amp;"|"&amp;基本属性!$C$12</f>
        <v>90|2</v>
      </c>
      <c r="B8489" s="10" t="str">
        <f>参数调整!$J$39</f>
        <v>新增怪物种类4掉落</v>
      </c>
      <c r="C8489" s="8" t="str">
        <f>材料产出!$BN$2</f>
        <v>新增材料4</v>
      </c>
      <c r="D8489" s="224">
        <f>参数调整!$K$39*怪物掉落配置方案!$D4385</f>
        <v>0</v>
      </c>
    </row>
    <row r="8490" spans="1:4" ht="16.5" hidden="1" x14ac:dyDescent="0.3">
      <c r="A8490" s="10" t="str">
        <f>基本属性!$B$13&amp;"|"&amp;基本属性!$C$13</f>
        <v>100|3</v>
      </c>
      <c r="B8490" s="10" t="str">
        <f>参数调整!$J$39</f>
        <v>新增怪物种类4掉落</v>
      </c>
      <c r="C8490" s="8" t="str">
        <f>材料产出!$BN$2</f>
        <v>新增材料4</v>
      </c>
      <c r="D8490" s="224">
        <f>参数调整!$K$39*怪物掉落配置方案!$D4386</f>
        <v>0</v>
      </c>
    </row>
    <row r="8491" spans="1:4" ht="16.5" hidden="1" x14ac:dyDescent="0.3">
      <c r="A8491" s="10" t="str">
        <f>基本属性!$B$14&amp;"|"&amp;基本属性!$C$14</f>
        <v>105|4</v>
      </c>
      <c r="B8491" s="10" t="str">
        <f>参数调整!$J$39</f>
        <v>新增怪物种类4掉落</v>
      </c>
      <c r="C8491" s="8" t="str">
        <f>材料产出!$BN$2</f>
        <v>新增材料4</v>
      </c>
      <c r="D8491" s="224">
        <f>参数调整!$K$39*怪物掉落配置方案!$D4387</f>
        <v>0</v>
      </c>
    </row>
    <row r="8492" spans="1:4" ht="16.5" hidden="1" x14ac:dyDescent="0.3">
      <c r="A8492" s="10" t="str">
        <f>基本属性!$B$15&amp;"|"&amp;基本属性!$C$15</f>
        <v>110|5</v>
      </c>
      <c r="B8492" s="10" t="str">
        <f>参数调整!$J$39</f>
        <v>新增怪物种类4掉落</v>
      </c>
      <c r="C8492" s="8" t="str">
        <f>材料产出!$BN$2</f>
        <v>新增材料4</v>
      </c>
      <c r="D8492" s="224">
        <f>参数调整!$K$39*怪物掉落配置方案!$D4388</f>
        <v>0</v>
      </c>
    </row>
    <row r="8493" spans="1:4" ht="16.5" hidden="1" x14ac:dyDescent="0.3">
      <c r="A8493" s="10" t="str">
        <f>基本属性!$B$16&amp;"|"&amp;基本属性!$C$16</f>
        <v>120|6</v>
      </c>
      <c r="B8493" s="10" t="str">
        <f>参数调整!$J$39</f>
        <v>新增怪物种类4掉落</v>
      </c>
      <c r="C8493" s="8" t="str">
        <f>材料产出!$BN$2</f>
        <v>新增材料4</v>
      </c>
      <c r="D8493" s="224">
        <f>参数调整!$K$39*怪物掉落配置方案!$D4389</f>
        <v>0</v>
      </c>
    </row>
    <row r="8494" spans="1:4" ht="16.5" hidden="1" x14ac:dyDescent="0.3">
      <c r="A8494" s="10" t="str">
        <f>基本属性!$B$17&amp;"|"&amp;基本属性!$C$17</f>
        <v>135|7</v>
      </c>
      <c r="B8494" s="10" t="str">
        <f>参数调整!$J$39</f>
        <v>新增怪物种类4掉落</v>
      </c>
      <c r="C8494" s="8" t="str">
        <f>材料产出!$BN$2</f>
        <v>新增材料4</v>
      </c>
      <c r="D8494" s="224">
        <f>参数调整!$K$39*怪物掉落配置方案!$D4390</f>
        <v>0</v>
      </c>
    </row>
    <row r="8495" spans="1:4" ht="16.5" hidden="1" x14ac:dyDescent="0.3">
      <c r="A8495" s="10" t="str">
        <f>基本属性!$B$18&amp;"|"&amp;基本属性!$C$18</f>
        <v>155|8</v>
      </c>
      <c r="B8495" s="10" t="str">
        <f>参数调整!$J$39</f>
        <v>新增怪物种类4掉落</v>
      </c>
      <c r="C8495" s="8" t="str">
        <f>材料产出!$BN$2</f>
        <v>新增材料4</v>
      </c>
      <c r="D8495" s="224">
        <f>参数调整!$K$39*怪物掉落配置方案!$D4391</f>
        <v>0</v>
      </c>
    </row>
    <row r="8496" spans="1:4" ht="16.5" hidden="1" x14ac:dyDescent="0.3">
      <c r="A8496" s="10" t="str">
        <f>基本属性!$B$19&amp;"|"&amp;基本属性!$C$19</f>
        <v>190|9</v>
      </c>
      <c r="B8496" s="10" t="str">
        <f>参数调整!$J$39</f>
        <v>新增怪物种类4掉落</v>
      </c>
      <c r="C8496" s="8" t="str">
        <f>材料产出!$BN$2</f>
        <v>新增材料4</v>
      </c>
      <c r="D8496" s="224">
        <f>参数调整!$K$39*怪物掉落配置方案!$D4392</f>
        <v>0</v>
      </c>
    </row>
    <row r="8497" spans="1:4" ht="16.5" hidden="1" x14ac:dyDescent="0.3">
      <c r="A8497" s="10" t="str">
        <f>基本属性!$B$20&amp;"|"&amp;基本属性!$C$20</f>
        <v>200|10</v>
      </c>
      <c r="B8497" s="10" t="str">
        <f>参数调整!$J$39</f>
        <v>新增怪物种类4掉落</v>
      </c>
      <c r="C8497" s="8" t="str">
        <f>材料产出!$BN$2</f>
        <v>新增材料4</v>
      </c>
      <c r="D8497" s="224">
        <f>参数调整!$K$39*怪物掉落配置方案!$D4393</f>
        <v>0</v>
      </c>
    </row>
    <row r="8498" spans="1:4" ht="16.5" hidden="1" x14ac:dyDescent="0.3">
      <c r="A8498" s="10" t="str">
        <f>基本属性!$B$21&amp;"|"&amp;基本属性!$C$21</f>
        <v>200|11</v>
      </c>
      <c r="B8498" s="10" t="str">
        <f>参数调整!$J$39</f>
        <v>新增怪物种类4掉落</v>
      </c>
      <c r="C8498" s="8" t="str">
        <f>材料产出!$BN$2</f>
        <v>新增材料4</v>
      </c>
      <c r="D8498" s="224">
        <f>参数调整!$K$39*怪物掉落配置方案!$D4394</f>
        <v>0</v>
      </c>
    </row>
    <row r="8499" spans="1:4" ht="16.5" hidden="1" x14ac:dyDescent="0.3">
      <c r="A8499" s="10" t="str">
        <f>基本属性!$B$22&amp;"|"&amp;基本属性!$C$22</f>
        <v>210|12</v>
      </c>
      <c r="B8499" s="10" t="str">
        <f>参数调整!$J$39</f>
        <v>新增怪物种类4掉落</v>
      </c>
      <c r="C8499" s="8" t="str">
        <f>材料产出!$BN$2</f>
        <v>新增材料4</v>
      </c>
      <c r="D8499" s="224">
        <f>参数调整!$K$39*怪物掉落配置方案!$D4395</f>
        <v>0</v>
      </c>
    </row>
    <row r="8500" spans="1:4" ht="16.5" hidden="1" x14ac:dyDescent="0.3">
      <c r="A8500" s="10" t="str">
        <f>基本属性!$B$23&amp;"|"&amp;基本属性!$C$23</f>
        <v>210|13</v>
      </c>
      <c r="B8500" s="10" t="str">
        <f>参数调整!$J$39</f>
        <v>新增怪物种类4掉落</v>
      </c>
      <c r="C8500" s="8" t="str">
        <f>材料产出!$BN$2</f>
        <v>新增材料4</v>
      </c>
      <c r="D8500" s="224">
        <f>参数调整!$K$39*怪物掉落配置方案!$D4396</f>
        <v>0</v>
      </c>
    </row>
    <row r="8501" spans="1:4" ht="16.5" hidden="1" x14ac:dyDescent="0.3">
      <c r="A8501" s="10" t="str">
        <f>基本属性!$B$24&amp;"|"&amp;基本属性!$C$24</f>
        <v>220|14</v>
      </c>
      <c r="B8501" s="10" t="str">
        <f>参数调整!$J$39</f>
        <v>新增怪物种类4掉落</v>
      </c>
      <c r="C8501" s="8" t="str">
        <f>材料产出!$BN$2</f>
        <v>新增材料4</v>
      </c>
      <c r="D8501" s="224">
        <f>参数调整!$K$39*怪物掉落配置方案!$D4397</f>
        <v>0</v>
      </c>
    </row>
    <row r="8502" spans="1:4" ht="16.5" hidden="1" x14ac:dyDescent="0.3">
      <c r="A8502" s="10" t="str">
        <f>基本属性!$B$25&amp;"|"&amp;基本属性!$C$25</f>
        <v>220|15</v>
      </c>
      <c r="B8502" s="10" t="str">
        <f>参数调整!$J$39</f>
        <v>新增怪物种类4掉落</v>
      </c>
      <c r="C8502" s="8" t="str">
        <f>材料产出!$BN$2</f>
        <v>新增材料4</v>
      </c>
      <c r="D8502" s="224">
        <f>参数调整!$K$39*怪物掉落配置方案!$D4398</f>
        <v>0</v>
      </c>
    </row>
    <row r="8503" spans="1:4" ht="16.5" hidden="1" x14ac:dyDescent="0.3">
      <c r="A8503" s="10" t="str">
        <f>基本属性!$B$26&amp;"|"&amp;基本属性!$C$26</f>
        <v>230|16</v>
      </c>
      <c r="B8503" s="10" t="str">
        <f>参数调整!$J$39</f>
        <v>新增怪物种类4掉落</v>
      </c>
      <c r="C8503" s="8" t="str">
        <f>材料产出!$BN$2</f>
        <v>新增材料4</v>
      </c>
      <c r="D8503" s="224">
        <f>参数调整!$K$39*怪物掉落配置方案!$D4399</f>
        <v>0</v>
      </c>
    </row>
    <row r="8504" spans="1:4" ht="16.5" hidden="1" x14ac:dyDescent="0.3">
      <c r="A8504" s="10" t="str">
        <f>基本属性!$B$27&amp;"|"&amp;基本属性!$C$27</f>
        <v>230|17</v>
      </c>
      <c r="B8504" s="10" t="str">
        <f>参数调整!$J$39</f>
        <v>新增怪物种类4掉落</v>
      </c>
      <c r="C8504" s="8" t="str">
        <f>材料产出!$BN$2</f>
        <v>新增材料4</v>
      </c>
      <c r="D8504" s="224">
        <f>参数调整!$K$39*怪物掉落配置方案!$D4400</f>
        <v>0</v>
      </c>
    </row>
    <row r="8505" spans="1:4" ht="16.5" hidden="1" x14ac:dyDescent="0.3">
      <c r="A8505" s="10" t="str">
        <f>基本属性!$B$28&amp;"|"&amp;基本属性!$C$28</f>
        <v>240|18</v>
      </c>
      <c r="B8505" s="10" t="str">
        <f>参数调整!$J$39</f>
        <v>新增怪物种类4掉落</v>
      </c>
      <c r="C8505" s="8" t="str">
        <f>材料产出!$BN$2</f>
        <v>新增材料4</v>
      </c>
      <c r="D8505" s="224">
        <f>参数调整!$K$39*怪物掉落配置方案!$D4401</f>
        <v>0</v>
      </c>
    </row>
    <row r="8506" spans="1:4" ht="16.5" hidden="1" x14ac:dyDescent="0.3">
      <c r="A8506" s="10" t="str">
        <f>基本属性!$B$29&amp;"|"&amp;基本属性!$C$29</f>
        <v>240|19</v>
      </c>
      <c r="B8506" s="10" t="str">
        <f>参数调整!$J$39</f>
        <v>新增怪物种类4掉落</v>
      </c>
      <c r="C8506" s="8" t="str">
        <f>材料产出!$BN$2</f>
        <v>新增材料4</v>
      </c>
      <c r="D8506" s="224">
        <f>参数调整!$K$39*怪物掉落配置方案!$D4402</f>
        <v>0</v>
      </c>
    </row>
    <row r="8507" spans="1:4" ht="16.5" hidden="1" x14ac:dyDescent="0.3">
      <c r="A8507" s="10" t="str">
        <f>基本属性!$B$30&amp;"|"&amp;基本属性!$C$30</f>
        <v>250|20</v>
      </c>
      <c r="B8507" s="10" t="str">
        <f>参数调整!$J$39</f>
        <v>新增怪物种类4掉落</v>
      </c>
      <c r="C8507" s="8" t="str">
        <f>材料产出!$BN$2</f>
        <v>新增材料4</v>
      </c>
      <c r="D8507" s="224">
        <f>参数调整!$K$39*怪物掉落配置方案!$D4403</f>
        <v>0</v>
      </c>
    </row>
    <row r="8508" spans="1:4" ht="16.5" hidden="1" x14ac:dyDescent="0.3">
      <c r="A8508" s="10" t="str">
        <f>基本属性!$B$4&amp;"|"&amp;基本属性!$C$4</f>
        <v>35|0</v>
      </c>
      <c r="B8508" s="10" t="str">
        <f>参数调整!$J$39</f>
        <v>新增怪物种类4掉落</v>
      </c>
      <c r="C8508" s="8" t="str">
        <f>材料产出!$BL$2</f>
        <v>新增材料3</v>
      </c>
      <c r="D8508" s="224">
        <f>参数调整!$K$39*怪物掉落配置方案!$D4404</f>
        <v>0</v>
      </c>
    </row>
    <row r="8509" spans="1:4" ht="16.5" hidden="1" x14ac:dyDescent="0.3">
      <c r="A8509" s="10" t="str">
        <f>基本属性!$B$5&amp;"|"&amp;基本属性!$C$5</f>
        <v>40|0</v>
      </c>
      <c r="B8509" s="10" t="str">
        <f>参数调整!$J$39</f>
        <v>新增怪物种类4掉落</v>
      </c>
      <c r="C8509" s="8" t="str">
        <f>材料产出!$BL$2</f>
        <v>新增材料3</v>
      </c>
      <c r="D8509" s="224">
        <f>参数调整!$K$39*怪物掉落配置方案!$D4405</f>
        <v>0</v>
      </c>
    </row>
    <row r="8510" spans="1:4" ht="16.5" hidden="1" x14ac:dyDescent="0.3">
      <c r="A8510" s="10" t="str">
        <f>基本属性!$B$6&amp;"|"&amp;基本属性!$C$6</f>
        <v>50|0</v>
      </c>
      <c r="B8510" s="10" t="str">
        <f>参数调整!$J$39</f>
        <v>新增怪物种类4掉落</v>
      </c>
      <c r="C8510" s="8" t="str">
        <f>材料产出!$BL$2</f>
        <v>新增材料3</v>
      </c>
      <c r="D8510" s="224">
        <f>参数调整!$K$39*怪物掉落配置方案!$D4406</f>
        <v>0</v>
      </c>
    </row>
    <row r="8511" spans="1:4" ht="16.5" hidden="1" x14ac:dyDescent="0.3">
      <c r="A8511" s="10" t="str">
        <f>基本属性!$B$7&amp;"|"&amp;基本属性!$C$7</f>
        <v>60|0</v>
      </c>
      <c r="B8511" s="10" t="str">
        <f>参数调整!$J$39</f>
        <v>新增怪物种类4掉落</v>
      </c>
      <c r="C8511" s="8" t="str">
        <f>材料产出!$BL$2</f>
        <v>新增材料3</v>
      </c>
      <c r="D8511" s="224">
        <f>参数调整!$K$39*怪物掉落配置方案!$D4407</f>
        <v>0</v>
      </c>
    </row>
    <row r="8512" spans="1:4" ht="16.5" hidden="1" x14ac:dyDescent="0.3">
      <c r="A8512" s="10" t="str">
        <f>基本属性!$B$8&amp;"|"&amp;基本属性!$C$8</f>
        <v>65|0</v>
      </c>
      <c r="B8512" s="10" t="str">
        <f>参数调整!$J$39</f>
        <v>新增怪物种类4掉落</v>
      </c>
      <c r="C8512" s="8" t="str">
        <f>材料产出!$BL$2</f>
        <v>新增材料3</v>
      </c>
      <c r="D8512" s="224">
        <f>参数调整!$K$39*怪物掉落配置方案!$D4408</f>
        <v>0</v>
      </c>
    </row>
    <row r="8513" spans="1:4" ht="16.5" hidden="1" x14ac:dyDescent="0.3">
      <c r="A8513" s="10" t="str">
        <f>基本属性!$B$9&amp;"|"&amp;基本属性!$C$9</f>
        <v>70|0</v>
      </c>
      <c r="B8513" s="10" t="str">
        <f>参数调整!$J$39</f>
        <v>新增怪物种类4掉落</v>
      </c>
      <c r="C8513" s="8" t="str">
        <f>材料产出!$BL$2</f>
        <v>新增材料3</v>
      </c>
      <c r="D8513" s="224">
        <f>参数调整!$K$39*怪物掉落配置方案!$D4409</f>
        <v>0</v>
      </c>
    </row>
    <row r="8514" spans="1:4" ht="16.5" hidden="1" x14ac:dyDescent="0.3">
      <c r="A8514" s="10" t="str">
        <f>基本属性!$B$10&amp;"|"&amp;基本属性!$C$10</f>
        <v>75|0</v>
      </c>
      <c r="B8514" s="10" t="str">
        <f>参数调整!$J$39</f>
        <v>新增怪物种类4掉落</v>
      </c>
      <c r="C8514" s="8" t="str">
        <f>材料产出!$BL$2</f>
        <v>新增材料3</v>
      </c>
      <c r="D8514" s="224">
        <f>参数调整!$K$39*怪物掉落配置方案!$D4410</f>
        <v>0</v>
      </c>
    </row>
    <row r="8515" spans="1:4" ht="16.5" hidden="1" x14ac:dyDescent="0.3">
      <c r="A8515" s="10" t="str">
        <f>基本属性!$B$11&amp;"|"&amp;基本属性!$C$11</f>
        <v>80|1</v>
      </c>
      <c r="B8515" s="10" t="str">
        <f>参数调整!$J$39</f>
        <v>新增怪物种类4掉落</v>
      </c>
      <c r="C8515" s="8" t="str">
        <f>材料产出!$BL$2</f>
        <v>新增材料3</v>
      </c>
      <c r="D8515" s="224">
        <f>参数调整!$K$39*怪物掉落配置方案!$D4411</f>
        <v>0</v>
      </c>
    </row>
    <row r="8516" spans="1:4" ht="16.5" hidden="1" x14ac:dyDescent="0.3">
      <c r="A8516" s="10" t="str">
        <f>基本属性!$B$12&amp;"|"&amp;基本属性!$C$12</f>
        <v>90|2</v>
      </c>
      <c r="B8516" s="10" t="str">
        <f>参数调整!$J$39</f>
        <v>新增怪物种类4掉落</v>
      </c>
      <c r="C8516" s="8" t="str">
        <f>材料产出!$BL$2</f>
        <v>新增材料3</v>
      </c>
      <c r="D8516" s="224">
        <f>参数调整!$K$39*怪物掉落配置方案!$D4412</f>
        <v>0</v>
      </c>
    </row>
    <row r="8517" spans="1:4" ht="16.5" hidden="1" x14ac:dyDescent="0.3">
      <c r="A8517" s="10" t="str">
        <f>基本属性!$B$13&amp;"|"&amp;基本属性!$C$13</f>
        <v>100|3</v>
      </c>
      <c r="B8517" s="10" t="str">
        <f>参数调整!$J$39</f>
        <v>新增怪物种类4掉落</v>
      </c>
      <c r="C8517" s="8" t="str">
        <f>材料产出!$BL$2</f>
        <v>新增材料3</v>
      </c>
      <c r="D8517" s="224">
        <f>参数调整!$K$39*怪物掉落配置方案!$D4413</f>
        <v>0</v>
      </c>
    </row>
    <row r="8518" spans="1:4" ht="16.5" hidden="1" x14ac:dyDescent="0.3">
      <c r="A8518" s="10" t="str">
        <f>基本属性!$B$14&amp;"|"&amp;基本属性!$C$14</f>
        <v>105|4</v>
      </c>
      <c r="B8518" s="10" t="str">
        <f>参数调整!$J$39</f>
        <v>新增怪物种类4掉落</v>
      </c>
      <c r="C8518" s="8" t="str">
        <f>材料产出!$BL$2</f>
        <v>新增材料3</v>
      </c>
      <c r="D8518" s="224">
        <f>参数调整!$K$39*怪物掉落配置方案!$D4414</f>
        <v>0</v>
      </c>
    </row>
    <row r="8519" spans="1:4" ht="16.5" hidden="1" x14ac:dyDescent="0.3">
      <c r="A8519" s="10" t="str">
        <f>基本属性!$B$15&amp;"|"&amp;基本属性!$C$15</f>
        <v>110|5</v>
      </c>
      <c r="B8519" s="10" t="str">
        <f>参数调整!$J$39</f>
        <v>新增怪物种类4掉落</v>
      </c>
      <c r="C8519" s="8" t="str">
        <f>材料产出!$BL$2</f>
        <v>新增材料3</v>
      </c>
      <c r="D8519" s="224">
        <f>参数调整!$K$39*怪物掉落配置方案!$D4415</f>
        <v>0</v>
      </c>
    </row>
    <row r="8520" spans="1:4" ht="16.5" hidden="1" x14ac:dyDescent="0.3">
      <c r="A8520" s="10" t="str">
        <f>基本属性!$B$16&amp;"|"&amp;基本属性!$C$16</f>
        <v>120|6</v>
      </c>
      <c r="B8520" s="10" t="str">
        <f>参数调整!$J$39</f>
        <v>新增怪物种类4掉落</v>
      </c>
      <c r="C8520" s="8" t="str">
        <f>材料产出!$BL$2</f>
        <v>新增材料3</v>
      </c>
      <c r="D8520" s="224">
        <f>参数调整!$K$39*怪物掉落配置方案!$D4416</f>
        <v>0</v>
      </c>
    </row>
    <row r="8521" spans="1:4" ht="16.5" hidden="1" x14ac:dyDescent="0.3">
      <c r="A8521" s="10" t="str">
        <f>基本属性!$B$17&amp;"|"&amp;基本属性!$C$17</f>
        <v>135|7</v>
      </c>
      <c r="B8521" s="10" t="str">
        <f>参数调整!$J$39</f>
        <v>新增怪物种类4掉落</v>
      </c>
      <c r="C8521" s="8" t="str">
        <f>材料产出!$BL$2</f>
        <v>新增材料3</v>
      </c>
      <c r="D8521" s="224">
        <f>参数调整!$K$39*怪物掉落配置方案!$D4417</f>
        <v>0</v>
      </c>
    </row>
    <row r="8522" spans="1:4" ht="16.5" hidden="1" x14ac:dyDescent="0.3">
      <c r="A8522" s="10" t="str">
        <f>基本属性!$B$18&amp;"|"&amp;基本属性!$C$18</f>
        <v>155|8</v>
      </c>
      <c r="B8522" s="10" t="str">
        <f>参数调整!$J$39</f>
        <v>新增怪物种类4掉落</v>
      </c>
      <c r="C8522" s="8" t="str">
        <f>材料产出!$BL$2</f>
        <v>新增材料3</v>
      </c>
      <c r="D8522" s="224">
        <f>参数调整!$K$39*怪物掉落配置方案!$D4418</f>
        <v>0</v>
      </c>
    </row>
    <row r="8523" spans="1:4" ht="16.5" hidden="1" x14ac:dyDescent="0.3">
      <c r="A8523" s="10" t="str">
        <f>基本属性!$B$19&amp;"|"&amp;基本属性!$C$19</f>
        <v>190|9</v>
      </c>
      <c r="B8523" s="10" t="str">
        <f>参数调整!$J$39</f>
        <v>新增怪物种类4掉落</v>
      </c>
      <c r="C8523" s="8" t="str">
        <f>材料产出!$BL$2</f>
        <v>新增材料3</v>
      </c>
      <c r="D8523" s="224">
        <f>参数调整!$K$39*怪物掉落配置方案!$D4419</f>
        <v>0</v>
      </c>
    </row>
    <row r="8524" spans="1:4" ht="16.5" hidden="1" x14ac:dyDescent="0.3">
      <c r="A8524" s="10" t="str">
        <f>基本属性!$B$20&amp;"|"&amp;基本属性!$C$20</f>
        <v>200|10</v>
      </c>
      <c r="B8524" s="10" t="str">
        <f>参数调整!$J$39</f>
        <v>新增怪物种类4掉落</v>
      </c>
      <c r="C8524" s="8" t="str">
        <f>材料产出!$BL$2</f>
        <v>新增材料3</v>
      </c>
      <c r="D8524" s="224">
        <f>参数调整!$K$39*怪物掉落配置方案!$D4420</f>
        <v>0</v>
      </c>
    </row>
    <row r="8525" spans="1:4" ht="16.5" hidden="1" x14ac:dyDescent="0.3">
      <c r="A8525" s="10" t="str">
        <f>基本属性!$B$21&amp;"|"&amp;基本属性!$C$21</f>
        <v>200|11</v>
      </c>
      <c r="B8525" s="10" t="str">
        <f>参数调整!$J$39</f>
        <v>新增怪物种类4掉落</v>
      </c>
      <c r="C8525" s="8" t="str">
        <f>材料产出!$BL$2</f>
        <v>新增材料3</v>
      </c>
      <c r="D8525" s="224">
        <f>参数调整!$K$39*怪物掉落配置方案!$D4421</f>
        <v>0</v>
      </c>
    </row>
    <row r="8526" spans="1:4" ht="16.5" hidden="1" x14ac:dyDescent="0.3">
      <c r="A8526" s="10" t="str">
        <f>基本属性!$B$22&amp;"|"&amp;基本属性!$C$22</f>
        <v>210|12</v>
      </c>
      <c r="B8526" s="10" t="str">
        <f>参数调整!$J$39</f>
        <v>新增怪物种类4掉落</v>
      </c>
      <c r="C8526" s="8" t="str">
        <f>材料产出!$BL$2</f>
        <v>新增材料3</v>
      </c>
      <c r="D8526" s="224">
        <f>参数调整!$K$39*怪物掉落配置方案!$D4422</f>
        <v>0</v>
      </c>
    </row>
    <row r="8527" spans="1:4" ht="16.5" hidden="1" x14ac:dyDescent="0.3">
      <c r="A8527" s="10" t="str">
        <f>基本属性!$B$23&amp;"|"&amp;基本属性!$C$23</f>
        <v>210|13</v>
      </c>
      <c r="B8527" s="10" t="str">
        <f>参数调整!$J$39</f>
        <v>新增怪物种类4掉落</v>
      </c>
      <c r="C8527" s="8" t="str">
        <f>材料产出!$BL$2</f>
        <v>新增材料3</v>
      </c>
      <c r="D8527" s="224">
        <f>参数调整!$K$39*怪物掉落配置方案!$D4423</f>
        <v>0</v>
      </c>
    </row>
    <row r="8528" spans="1:4" ht="16.5" hidden="1" x14ac:dyDescent="0.3">
      <c r="A8528" s="10" t="str">
        <f>基本属性!$B$24&amp;"|"&amp;基本属性!$C$24</f>
        <v>220|14</v>
      </c>
      <c r="B8528" s="10" t="str">
        <f>参数调整!$J$39</f>
        <v>新增怪物种类4掉落</v>
      </c>
      <c r="C8528" s="8" t="str">
        <f>材料产出!$BL$2</f>
        <v>新增材料3</v>
      </c>
      <c r="D8528" s="224">
        <f>参数调整!$K$39*怪物掉落配置方案!$D4424</f>
        <v>0</v>
      </c>
    </row>
    <row r="8529" spans="1:4" ht="16.5" hidden="1" x14ac:dyDescent="0.3">
      <c r="A8529" s="10" t="str">
        <f>基本属性!$B$25&amp;"|"&amp;基本属性!$C$25</f>
        <v>220|15</v>
      </c>
      <c r="B8529" s="10" t="str">
        <f>参数调整!$J$39</f>
        <v>新增怪物种类4掉落</v>
      </c>
      <c r="C8529" s="8" t="str">
        <f>材料产出!$BL$2</f>
        <v>新增材料3</v>
      </c>
      <c r="D8529" s="224">
        <f>参数调整!$K$39*怪物掉落配置方案!$D4425</f>
        <v>0</v>
      </c>
    </row>
    <row r="8530" spans="1:4" ht="16.5" hidden="1" x14ac:dyDescent="0.3">
      <c r="A8530" s="10" t="str">
        <f>基本属性!$B$26&amp;"|"&amp;基本属性!$C$26</f>
        <v>230|16</v>
      </c>
      <c r="B8530" s="10" t="str">
        <f>参数调整!$J$39</f>
        <v>新增怪物种类4掉落</v>
      </c>
      <c r="C8530" s="8" t="str">
        <f>材料产出!$BL$2</f>
        <v>新增材料3</v>
      </c>
      <c r="D8530" s="224">
        <f>参数调整!$K$39*怪物掉落配置方案!$D4426</f>
        <v>0</v>
      </c>
    </row>
    <row r="8531" spans="1:4" ht="16.5" hidden="1" x14ac:dyDescent="0.3">
      <c r="A8531" s="10" t="str">
        <f>基本属性!$B$27&amp;"|"&amp;基本属性!$C$27</f>
        <v>230|17</v>
      </c>
      <c r="B8531" s="10" t="str">
        <f>参数调整!$J$39</f>
        <v>新增怪物种类4掉落</v>
      </c>
      <c r="C8531" s="8" t="str">
        <f>材料产出!$BL$2</f>
        <v>新增材料3</v>
      </c>
      <c r="D8531" s="224">
        <f>参数调整!$K$39*怪物掉落配置方案!$D4427</f>
        <v>0</v>
      </c>
    </row>
    <row r="8532" spans="1:4" ht="16.5" hidden="1" x14ac:dyDescent="0.3">
      <c r="A8532" s="10" t="str">
        <f>基本属性!$B$28&amp;"|"&amp;基本属性!$C$28</f>
        <v>240|18</v>
      </c>
      <c r="B8532" s="10" t="str">
        <f>参数调整!$J$39</f>
        <v>新增怪物种类4掉落</v>
      </c>
      <c r="C8532" s="8" t="str">
        <f>材料产出!$BL$2</f>
        <v>新增材料3</v>
      </c>
      <c r="D8532" s="224">
        <f>参数调整!$K$39*怪物掉落配置方案!$D4428</f>
        <v>0</v>
      </c>
    </row>
    <row r="8533" spans="1:4" ht="16.5" hidden="1" x14ac:dyDescent="0.3">
      <c r="A8533" s="10" t="str">
        <f>基本属性!$B$29&amp;"|"&amp;基本属性!$C$29</f>
        <v>240|19</v>
      </c>
      <c r="B8533" s="10" t="str">
        <f>参数调整!$J$39</f>
        <v>新增怪物种类4掉落</v>
      </c>
      <c r="C8533" s="8" t="str">
        <f>材料产出!$BL$2</f>
        <v>新增材料3</v>
      </c>
      <c r="D8533" s="224">
        <f>参数调整!$K$39*怪物掉落配置方案!$D4429</f>
        <v>0</v>
      </c>
    </row>
    <row r="8534" spans="1:4" ht="16.5" hidden="1" x14ac:dyDescent="0.3">
      <c r="A8534" s="10" t="str">
        <f>基本属性!$B$30&amp;"|"&amp;基本属性!$C$30</f>
        <v>250|20</v>
      </c>
      <c r="B8534" s="10" t="str">
        <f>参数调整!$J$39</f>
        <v>新增怪物种类4掉落</v>
      </c>
      <c r="C8534" s="8" t="str">
        <f>材料产出!$BL$2</f>
        <v>新增材料3</v>
      </c>
      <c r="D8534" s="224">
        <f>参数调整!$K$39*怪物掉落配置方案!$D4430</f>
        <v>0</v>
      </c>
    </row>
    <row r="8535" spans="1:4" ht="16.5" hidden="1" x14ac:dyDescent="0.3">
      <c r="A8535" s="10" t="str">
        <f>基本属性!$B$4&amp;"|"&amp;基本属性!$C$4</f>
        <v>35|0</v>
      </c>
      <c r="B8535" s="10" t="str">
        <f>参数调整!$J$39</f>
        <v>新增怪物种类4掉落</v>
      </c>
      <c r="C8535" s="8" t="str">
        <f>材料产出!$BJ$2</f>
        <v>新增材料2</v>
      </c>
      <c r="D8535" s="224">
        <f>参数调整!$K$39*怪物掉落配置方案!$D4431</f>
        <v>0</v>
      </c>
    </row>
    <row r="8536" spans="1:4" ht="16.5" hidden="1" x14ac:dyDescent="0.3">
      <c r="A8536" s="10" t="str">
        <f>基本属性!$B$5&amp;"|"&amp;基本属性!$C$5</f>
        <v>40|0</v>
      </c>
      <c r="B8536" s="10" t="str">
        <f>参数调整!$J$39</f>
        <v>新增怪物种类4掉落</v>
      </c>
      <c r="C8536" s="8" t="str">
        <f>材料产出!$BJ$2</f>
        <v>新增材料2</v>
      </c>
      <c r="D8536" s="224">
        <f>参数调整!$K$39*怪物掉落配置方案!$D4432</f>
        <v>0</v>
      </c>
    </row>
    <row r="8537" spans="1:4" ht="16.5" hidden="1" x14ac:dyDescent="0.3">
      <c r="A8537" s="10" t="str">
        <f>基本属性!$B$6&amp;"|"&amp;基本属性!$C$6</f>
        <v>50|0</v>
      </c>
      <c r="B8537" s="10" t="str">
        <f>参数调整!$J$39</f>
        <v>新增怪物种类4掉落</v>
      </c>
      <c r="C8537" s="8" t="str">
        <f>材料产出!$BJ$2</f>
        <v>新增材料2</v>
      </c>
      <c r="D8537" s="224">
        <f>参数调整!$K$39*怪物掉落配置方案!$D4433</f>
        <v>0</v>
      </c>
    </row>
    <row r="8538" spans="1:4" ht="16.5" hidden="1" x14ac:dyDescent="0.3">
      <c r="A8538" s="10" t="str">
        <f>基本属性!$B$7&amp;"|"&amp;基本属性!$C$7</f>
        <v>60|0</v>
      </c>
      <c r="B8538" s="10" t="str">
        <f>参数调整!$J$39</f>
        <v>新增怪物种类4掉落</v>
      </c>
      <c r="C8538" s="8" t="str">
        <f>材料产出!$BJ$2</f>
        <v>新增材料2</v>
      </c>
      <c r="D8538" s="224">
        <f>参数调整!$K$39*怪物掉落配置方案!$D4434</f>
        <v>0</v>
      </c>
    </row>
    <row r="8539" spans="1:4" ht="16.5" hidden="1" x14ac:dyDescent="0.3">
      <c r="A8539" s="10" t="str">
        <f>基本属性!$B$8&amp;"|"&amp;基本属性!$C$8</f>
        <v>65|0</v>
      </c>
      <c r="B8539" s="10" t="str">
        <f>参数调整!$J$39</f>
        <v>新增怪物种类4掉落</v>
      </c>
      <c r="C8539" s="8" t="str">
        <f>材料产出!$BJ$2</f>
        <v>新增材料2</v>
      </c>
      <c r="D8539" s="224">
        <f>参数调整!$K$39*怪物掉落配置方案!$D4435</f>
        <v>0</v>
      </c>
    </row>
    <row r="8540" spans="1:4" ht="16.5" hidden="1" x14ac:dyDescent="0.3">
      <c r="A8540" s="10" t="str">
        <f>基本属性!$B$9&amp;"|"&amp;基本属性!$C$9</f>
        <v>70|0</v>
      </c>
      <c r="B8540" s="10" t="str">
        <f>参数调整!$J$39</f>
        <v>新增怪物种类4掉落</v>
      </c>
      <c r="C8540" s="8" t="str">
        <f>材料产出!$BJ$2</f>
        <v>新增材料2</v>
      </c>
      <c r="D8540" s="224">
        <f>参数调整!$K$39*怪物掉落配置方案!$D4436</f>
        <v>0</v>
      </c>
    </row>
    <row r="8541" spans="1:4" ht="16.5" hidden="1" x14ac:dyDescent="0.3">
      <c r="A8541" s="10" t="str">
        <f>基本属性!$B$10&amp;"|"&amp;基本属性!$C$10</f>
        <v>75|0</v>
      </c>
      <c r="B8541" s="10" t="str">
        <f>参数调整!$J$39</f>
        <v>新增怪物种类4掉落</v>
      </c>
      <c r="C8541" s="8" t="str">
        <f>材料产出!$BJ$2</f>
        <v>新增材料2</v>
      </c>
      <c r="D8541" s="224">
        <f>参数调整!$K$39*怪物掉落配置方案!$D4437</f>
        <v>0</v>
      </c>
    </row>
    <row r="8542" spans="1:4" ht="16.5" hidden="1" x14ac:dyDescent="0.3">
      <c r="A8542" s="10" t="str">
        <f>基本属性!$B$11&amp;"|"&amp;基本属性!$C$11</f>
        <v>80|1</v>
      </c>
      <c r="B8542" s="10" t="str">
        <f>参数调整!$J$39</f>
        <v>新增怪物种类4掉落</v>
      </c>
      <c r="C8542" s="8" t="str">
        <f>材料产出!$BJ$2</f>
        <v>新增材料2</v>
      </c>
      <c r="D8542" s="224">
        <f>参数调整!$K$39*怪物掉落配置方案!$D4438</f>
        <v>0</v>
      </c>
    </row>
    <row r="8543" spans="1:4" ht="16.5" hidden="1" x14ac:dyDescent="0.3">
      <c r="A8543" s="10" t="str">
        <f>基本属性!$B$12&amp;"|"&amp;基本属性!$C$12</f>
        <v>90|2</v>
      </c>
      <c r="B8543" s="10" t="str">
        <f>参数调整!$J$39</f>
        <v>新增怪物种类4掉落</v>
      </c>
      <c r="C8543" s="8" t="str">
        <f>材料产出!$BJ$2</f>
        <v>新增材料2</v>
      </c>
      <c r="D8543" s="224">
        <f>参数调整!$K$39*怪物掉落配置方案!$D4439</f>
        <v>0</v>
      </c>
    </row>
    <row r="8544" spans="1:4" ht="16.5" hidden="1" x14ac:dyDescent="0.3">
      <c r="A8544" s="10" t="str">
        <f>基本属性!$B$13&amp;"|"&amp;基本属性!$C$13</f>
        <v>100|3</v>
      </c>
      <c r="B8544" s="10" t="str">
        <f>参数调整!$J$39</f>
        <v>新增怪物种类4掉落</v>
      </c>
      <c r="C8544" s="8" t="str">
        <f>材料产出!$BJ$2</f>
        <v>新增材料2</v>
      </c>
      <c r="D8544" s="224">
        <f>参数调整!$K$39*怪物掉落配置方案!$D4440</f>
        <v>0</v>
      </c>
    </row>
    <row r="8545" spans="1:4" ht="16.5" hidden="1" x14ac:dyDescent="0.3">
      <c r="A8545" s="10" t="str">
        <f>基本属性!$B$14&amp;"|"&amp;基本属性!$C$14</f>
        <v>105|4</v>
      </c>
      <c r="B8545" s="10" t="str">
        <f>参数调整!$J$39</f>
        <v>新增怪物种类4掉落</v>
      </c>
      <c r="C8545" s="8" t="str">
        <f>材料产出!$BJ$2</f>
        <v>新增材料2</v>
      </c>
      <c r="D8545" s="224">
        <f>参数调整!$K$39*怪物掉落配置方案!$D4441</f>
        <v>0</v>
      </c>
    </row>
    <row r="8546" spans="1:4" ht="16.5" hidden="1" x14ac:dyDescent="0.3">
      <c r="A8546" s="10" t="str">
        <f>基本属性!$B$15&amp;"|"&amp;基本属性!$C$15</f>
        <v>110|5</v>
      </c>
      <c r="B8546" s="10" t="str">
        <f>参数调整!$J$39</f>
        <v>新增怪物种类4掉落</v>
      </c>
      <c r="C8546" s="8" t="str">
        <f>材料产出!$BJ$2</f>
        <v>新增材料2</v>
      </c>
      <c r="D8546" s="224">
        <f>参数调整!$K$39*怪物掉落配置方案!$D4442</f>
        <v>0</v>
      </c>
    </row>
    <row r="8547" spans="1:4" ht="16.5" hidden="1" x14ac:dyDescent="0.3">
      <c r="A8547" s="10" t="str">
        <f>基本属性!$B$16&amp;"|"&amp;基本属性!$C$16</f>
        <v>120|6</v>
      </c>
      <c r="B8547" s="10" t="str">
        <f>参数调整!$J$39</f>
        <v>新增怪物种类4掉落</v>
      </c>
      <c r="C8547" s="8" t="str">
        <f>材料产出!$BJ$2</f>
        <v>新增材料2</v>
      </c>
      <c r="D8547" s="224">
        <f>参数调整!$K$39*怪物掉落配置方案!$D4443</f>
        <v>0</v>
      </c>
    </row>
    <row r="8548" spans="1:4" ht="16.5" hidden="1" x14ac:dyDescent="0.3">
      <c r="A8548" s="10" t="str">
        <f>基本属性!$B$17&amp;"|"&amp;基本属性!$C$17</f>
        <v>135|7</v>
      </c>
      <c r="B8548" s="10" t="str">
        <f>参数调整!$J$39</f>
        <v>新增怪物种类4掉落</v>
      </c>
      <c r="C8548" s="8" t="str">
        <f>材料产出!$BJ$2</f>
        <v>新增材料2</v>
      </c>
      <c r="D8548" s="224">
        <f>参数调整!$K$39*怪物掉落配置方案!$D4444</f>
        <v>0</v>
      </c>
    </row>
    <row r="8549" spans="1:4" ht="16.5" hidden="1" x14ac:dyDescent="0.3">
      <c r="A8549" s="10" t="str">
        <f>基本属性!$B$18&amp;"|"&amp;基本属性!$C$18</f>
        <v>155|8</v>
      </c>
      <c r="B8549" s="10" t="str">
        <f>参数调整!$J$39</f>
        <v>新增怪物种类4掉落</v>
      </c>
      <c r="C8549" s="8" t="str">
        <f>材料产出!$BJ$2</f>
        <v>新增材料2</v>
      </c>
      <c r="D8549" s="224">
        <f>参数调整!$K$39*怪物掉落配置方案!$D4445</f>
        <v>0</v>
      </c>
    </row>
    <row r="8550" spans="1:4" ht="16.5" hidden="1" x14ac:dyDescent="0.3">
      <c r="A8550" s="10" t="str">
        <f>基本属性!$B$19&amp;"|"&amp;基本属性!$C$19</f>
        <v>190|9</v>
      </c>
      <c r="B8550" s="10" t="str">
        <f>参数调整!$J$39</f>
        <v>新增怪物种类4掉落</v>
      </c>
      <c r="C8550" s="8" t="str">
        <f>材料产出!$BJ$2</f>
        <v>新增材料2</v>
      </c>
      <c r="D8550" s="224">
        <f>参数调整!$K$39*怪物掉落配置方案!$D4446</f>
        <v>0</v>
      </c>
    </row>
    <row r="8551" spans="1:4" ht="16.5" hidden="1" x14ac:dyDescent="0.3">
      <c r="A8551" s="10" t="str">
        <f>基本属性!$B$20&amp;"|"&amp;基本属性!$C$20</f>
        <v>200|10</v>
      </c>
      <c r="B8551" s="10" t="str">
        <f>参数调整!$J$39</f>
        <v>新增怪物种类4掉落</v>
      </c>
      <c r="C8551" s="8" t="str">
        <f>材料产出!$BJ$2</f>
        <v>新增材料2</v>
      </c>
      <c r="D8551" s="224">
        <f>参数调整!$K$39*怪物掉落配置方案!$D4447</f>
        <v>0</v>
      </c>
    </row>
    <row r="8552" spans="1:4" ht="16.5" hidden="1" x14ac:dyDescent="0.3">
      <c r="A8552" s="10" t="str">
        <f>基本属性!$B$21&amp;"|"&amp;基本属性!$C$21</f>
        <v>200|11</v>
      </c>
      <c r="B8552" s="10" t="str">
        <f>参数调整!$J$39</f>
        <v>新增怪物种类4掉落</v>
      </c>
      <c r="C8552" s="8" t="str">
        <f>材料产出!$BJ$2</f>
        <v>新增材料2</v>
      </c>
      <c r="D8552" s="224">
        <f>参数调整!$K$39*怪物掉落配置方案!$D4448</f>
        <v>0</v>
      </c>
    </row>
    <row r="8553" spans="1:4" ht="16.5" hidden="1" x14ac:dyDescent="0.3">
      <c r="A8553" s="10" t="str">
        <f>基本属性!$B$22&amp;"|"&amp;基本属性!$C$22</f>
        <v>210|12</v>
      </c>
      <c r="B8553" s="10" t="str">
        <f>参数调整!$J$39</f>
        <v>新增怪物种类4掉落</v>
      </c>
      <c r="C8553" s="8" t="str">
        <f>材料产出!$BJ$2</f>
        <v>新增材料2</v>
      </c>
      <c r="D8553" s="224">
        <f>参数调整!$K$39*怪物掉落配置方案!$D4449</f>
        <v>0</v>
      </c>
    </row>
    <row r="8554" spans="1:4" ht="16.5" hidden="1" x14ac:dyDescent="0.3">
      <c r="A8554" s="10" t="str">
        <f>基本属性!$B$23&amp;"|"&amp;基本属性!$C$23</f>
        <v>210|13</v>
      </c>
      <c r="B8554" s="10" t="str">
        <f>参数调整!$J$39</f>
        <v>新增怪物种类4掉落</v>
      </c>
      <c r="C8554" s="8" t="str">
        <f>材料产出!$BJ$2</f>
        <v>新增材料2</v>
      </c>
      <c r="D8554" s="224">
        <f>参数调整!$K$39*怪物掉落配置方案!$D4450</f>
        <v>0</v>
      </c>
    </row>
    <row r="8555" spans="1:4" ht="16.5" hidden="1" x14ac:dyDescent="0.3">
      <c r="A8555" s="10" t="str">
        <f>基本属性!$B$24&amp;"|"&amp;基本属性!$C$24</f>
        <v>220|14</v>
      </c>
      <c r="B8555" s="10" t="str">
        <f>参数调整!$J$39</f>
        <v>新增怪物种类4掉落</v>
      </c>
      <c r="C8555" s="8" t="str">
        <f>材料产出!$BJ$2</f>
        <v>新增材料2</v>
      </c>
      <c r="D8555" s="224">
        <f>参数调整!$K$39*怪物掉落配置方案!$D4451</f>
        <v>0</v>
      </c>
    </row>
    <row r="8556" spans="1:4" ht="16.5" hidden="1" x14ac:dyDescent="0.3">
      <c r="A8556" s="10" t="str">
        <f>基本属性!$B$25&amp;"|"&amp;基本属性!$C$25</f>
        <v>220|15</v>
      </c>
      <c r="B8556" s="10" t="str">
        <f>参数调整!$J$39</f>
        <v>新增怪物种类4掉落</v>
      </c>
      <c r="C8556" s="8" t="str">
        <f>材料产出!$BJ$2</f>
        <v>新增材料2</v>
      </c>
      <c r="D8556" s="224">
        <f>参数调整!$K$39*怪物掉落配置方案!$D4452</f>
        <v>0</v>
      </c>
    </row>
    <row r="8557" spans="1:4" ht="16.5" hidden="1" x14ac:dyDescent="0.3">
      <c r="A8557" s="10" t="str">
        <f>基本属性!$B$26&amp;"|"&amp;基本属性!$C$26</f>
        <v>230|16</v>
      </c>
      <c r="B8557" s="10" t="str">
        <f>参数调整!$J$39</f>
        <v>新增怪物种类4掉落</v>
      </c>
      <c r="C8557" s="8" t="str">
        <f>材料产出!$BJ$2</f>
        <v>新增材料2</v>
      </c>
      <c r="D8557" s="224">
        <f>参数调整!$K$39*怪物掉落配置方案!$D4453</f>
        <v>0</v>
      </c>
    </row>
    <row r="8558" spans="1:4" ht="16.5" hidden="1" x14ac:dyDescent="0.3">
      <c r="A8558" s="10" t="str">
        <f>基本属性!$B$27&amp;"|"&amp;基本属性!$C$27</f>
        <v>230|17</v>
      </c>
      <c r="B8558" s="10" t="str">
        <f>参数调整!$J$39</f>
        <v>新增怪物种类4掉落</v>
      </c>
      <c r="C8558" s="8" t="str">
        <f>材料产出!$BJ$2</f>
        <v>新增材料2</v>
      </c>
      <c r="D8558" s="224">
        <f>参数调整!$K$39*怪物掉落配置方案!$D4454</f>
        <v>0</v>
      </c>
    </row>
    <row r="8559" spans="1:4" ht="16.5" hidden="1" x14ac:dyDescent="0.3">
      <c r="A8559" s="10" t="str">
        <f>基本属性!$B$28&amp;"|"&amp;基本属性!$C$28</f>
        <v>240|18</v>
      </c>
      <c r="B8559" s="10" t="str">
        <f>参数调整!$J$39</f>
        <v>新增怪物种类4掉落</v>
      </c>
      <c r="C8559" s="8" t="str">
        <f>材料产出!$BJ$2</f>
        <v>新增材料2</v>
      </c>
      <c r="D8559" s="224">
        <f>参数调整!$K$39*怪物掉落配置方案!$D4455</f>
        <v>0</v>
      </c>
    </row>
    <row r="8560" spans="1:4" ht="16.5" hidden="1" x14ac:dyDescent="0.3">
      <c r="A8560" s="10" t="str">
        <f>基本属性!$B$29&amp;"|"&amp;基本属性!$C$29</f>
        <v>240|19</v>
      </c>
      <c r="B8560" s="10" t="str">
        <f>参数调整!$J$39</f>
        <v>新增怪物种类4掉落</v>
      </c>
      <c r="C8560" s="8" t="str">
        <f>材料产出!$BJ$2</f>
        <v>新增材料2</v>
      </c>
      <c r="D8560" s="224">
        <f>参数调整!$K$39*怪物掉落配置方案!$D4456</f>
        <v>0</v>
      </c>
    </row>
    <row r="8561" spans="1:4" ht="16.5" hidden="1" x14ac:dyDescent="0.3">
      <c r="A8561" s="10" t="str">
        <f>基本属性!$B$30&amp;"|"&amp;基本属性!$C$30</f>
        <v>250|20</v>
      </c>
      <c r="B8561" s="10" t="str">
        <f>参数调整!$J$39</f>
        <v>新增怪物种类4掉落</v>
      </c>
      <c r="C8561" s="8" t="str">
        <f>材料产出!$BJ$2</f>
        <v>新增材料2</v>
      </c>
      <c r="D8561" s="224">
        <f>参数调整!$K$39*怪物掉落配置方案!$D4457</f>
        <v>0</v>
      </c>
    </row>
    <row r="8562" spans="1:4" ht="16.5" hidden="1" x14ac:dyDescent="0.3">
      <c r="A8562" s="10" t="str">
        <f>基本属性!$B$4&amp;"|"&amp;基本属性!$C$4</f>
        <v>35|0</v>
      </c>
      <c r="B8562" s="10" t="str">
        <f>参数调整!$J$39</f>
        <v>新增怪物种类4掉落</v>
      </c>
      <c r="C8562" s="8" t="str">
        <f>材料产出!$BH$2</f>
        <v>新增材料1</v>
      </c>
      <c r="D8562" s="224">
        <f>参数调整!$K$39*怪物掉落配置方案!$D4458</f>
        <v>0</v>
      </c>
    </row>
    <row r="8563" spans="1:4" ht="16.5" hidden="1" x14ac:dyDescent="0.3">
      <c r="A8563" s="10" t="str">
        <f>基本属性!$B$5&amp;"|"&amp;基本属性!$C$5</f>
        <v>40|0</v>
      </c>
      <c r="B8563" s="10" t="str">
        <f>参数调整!$J$39</f>
        <v>新增怪物种类4掉落</v>
      </c>
      <c r="C8563" s="8" t="str">
        <f>材料产出!$BH$2</f>
        <v>新增材料1</v>
      </c>
      <c r="D8563" s="224">
        <f>参数调整!$K$39*怪物掉落配置方案!$D4459</f>
        <v>0</v>
      </c>
    </row>
    <row r="8564" spans="1:4" ht="16.5" hidden="1" x14ac:dyDescent="0.3">
      <c r="A8564" s="10" t="str">
        <f>基本属性!$B$6&amp;"|"&amp;基本属性!$C$6</f>
        <v>50|0</v>
      </c>
      <c r="B8564" s="10" t="str">
        <f>参数调整!$J$39</f>
        <v>新增怪物种类4掉落</v>
      </c>
      <c r="C8564" s="8" t="str">
        <f>材料产出!$BH$2</f>
        <v>新增材料1</v>
      </c>
      <c r="D8564" s="224">
        <f>参数调整!$K$39*怪物掉落配置方案!$D4460</f>
        <v>0</v>
      </c>
    </row>
    <row r="8565" spans="1:4" ht="16.5" hidden="1" x14ac:dyDescent="0.3">
      <c r="A8565" s="10" t="str">
        <f>基本属性!$B$7&amp;"|"&amp;基本属性!$C$7</f>
        <v>60|0</v>
      </c>
      <c r="B8565" s="10" t="str">
        <f>参数调整!$J$39</f>
        <v>新增怪物种类4掉落</v>
      </c>
      <c r="C8565" s="8" t="str">
        <f>材料产出!$BH$2</f>
        <v>新增材料1</v>
      </c>
      <c r="D8565" s="224">
        <f>参数调整!$K$39*怪物掉落配置方案!$D4461</f>
        <v>0</v>
      </c>
    </row>
    <row r="8566" spans="1:4" ht="16.5" hidden="1" x14ac:dyDescent="0.3">
      <c r="A8566" s="10" t="str">
        <f>基本属性!$B$8&amp;"|"&amp;基本属性!$C$8</f>
        <v>65|0</v>
      </c>
      <c r="B8566" s="10" t="str">
        <f>参数调整!$J$39</f>
        <v>新增怪物种类4掉落</v>
      </c>
      <c r="C8566" s="8" t="str">
        <f>材料产出!$BH$2</f>
        <v>新增材料1</v>
      </c>
      <c r="D8566" s="224">
        <f>参数调整!$K$39*怪物掉落配置方案!$D4462</f>
        <v>0</v>
      </c>
    </row>
    <row r="8567" spans="1:4" ht="16.5" hidden="1" x14ac:dyDescent="0.3">
      <c r="A8567" s="10" t="str">
        <f>基本属性!$B$9&amp;"|"&amp;基本属性!$C$9</f>
        <v>70|0</v>
      </c>
      <c r="B8567" s="10" t="str">
        <f>参数调整!$J$39</f>
        <v>新增怪物种类4掉落</v>
      </c>
      <c r="C8567" s="8" t="str">
        <f>材料产出!$BH$2</f>
        <v>新增材料1</v>
      </c>
      <c r="D8567" s="224">
        <f>参数调整!$K$39*怪物掉落配置方案!$D4463</f>
        <v>0</v>
      </c>
    </row>
    <row r="8568" spans="1:4" ht="16.5" hidden="1" x14ac:dyDescent="0.3">
      <c r="A8568" s="10" t="str">
        <f>基本属性!$B$10&amp;"|"&amp;基本属性!$C$10</f>
        <v>75|0</v>
      </c>
      <c r="B8568" s="10" t="str">
        <f>参数调整!$J$39</f>
        <v>新增怪物种类4掉落</v>
      </c>
      <c r="C8568" s="8" t="str">
        <f>材料产出!$BH$2</f>
        <v>新增材料1</v>
      </c>
      <c r="D8568" s="224">
        <f>参数调整!$K$39*怪物掉落配置方案!$D4464</f>
        <v>0</v>
      </c>
    </row>
    <row r="8569" spans="1:4" ht="16.5" hidden="1" x14ac:dyDescent="0.3">
      <c r="A8569" s="10" t="str">
        <f>基本属性!$B$11&amp;"|"&amp;基本属性!$C$11</f>
        <v>80|1</v>
      </c>
      <c r="B8569" s="10" t="str">
        <f>参数调整!$J$39</f>
        <v>新增怪物种类4掉落</v>
      </c>
      <c r="C8569" s="8" t="str">
        <f>材料产出!$BH$2</f>
        <v>新增材料1</v>
      </c>
      <c r="D8569" s="224">
        <f>参数调整!$K$39*怪物掉落配置方案!$D4465</f>
        <v>0</v>
      </c>
    </row>
    <row r="8570" spans="1:4" ht="16.5" hidden="1" x14ac:dyDescent="0.3">
      <c r="A8570" s="10" t="str">
        <f>基本属性!$B$12&amp;"|"&amp;基本属性!$C$12</f>
        <v>90|2</v>
      </c>
      <c r="B8570" s="10" t="str">
        <f>参数调整!$J$39</f>
        <v>新增怪物种类4掉落</v>
      </c>
      <c r="C8570" s="8" t="str">
        <f>材料产出!$BH$2</f>
        <v>新增材料1</v>
      </c>
      <c r="D8570" s="224">
        <f>参数调整!$K$39*怪物掉落配置方案!$D4466</f>
        <v>0</v>
      </c>
    </row>
    <row r="8571" spans="1:4" ht="16.5" hidden="1" x14ac:dyDescent="0.3">
      <c r="A8571" s="10" t="str">
        <f>基本属性!$B$13&amp;"|"&amp;基本属性!$C$13</f>
        <v>100|3</v>
      </c>
      <c r="B8571" s="10" t="str">
        <f>参数调整!$J$39</f>
        <v>新增怪物种类4掉落</v>
      </c>
      <c r="C8571" s="8" t="str">
        <f>材料产出!$BH$2</f>
        <v>新增材料1</v>
      </c>
      <c r="D8571" s="224">
        <f>参数调整!$K$39*怪物掉落配置方案!$D4467</f>
        <v>0</v>
      </c>
    </row>
    <row r="8572" spans="1:4" ht="16.5" hidden="1" x14ac:dyDescent="0.3">
      <c r="A8572" s="10" t="str">
        <f>基本属性!$B$14&amp;"|"&amp;基本属性!$C$14</f>
        <v>105|4</v>
      </c>
      <c r="B8572" s="10" t="str">
        <f>参数调整!$J$39</f>
        <v>新增怪物种类4掉落</v>
      </c>
      <c r="C8572" s="8" t="str">
        <f>材料产出!$BH$2</f>
        <v>新增材料1</v>
      </c>
      <c r="D8572" s="224">
        <f>参数调整!$K$39*怪物掉落配置方案!$D4468</f>
        <v>0</v>
      </c>
    </row>
    <row r="8573" spans="1:4" ht="16.5" hidden="1" x14ac:dyDescent="0.3">
      <c r="A8573" s="10" t="str">
        <f>基本属性!$B$15&amp;"|"&amp;基本属性!$C$15</f>
        <v>110|5</v>
      </c>
      <c r="B8573" s="10" t="str">
        <f>参数调整!$J$39</f>
        <v>新增怪物种类4掉落</v>
      </c>
      <c r="C8573" s="8" t="str">
        <f>材料产出!$BH$2</f>
        <v>新增材料1</v>
      </c>
      <c r="D8573" s="224">
        <f>参数调整!$K$39*怪物掉落配置方案!$D4469</f>
        <v>0</v>
      </c>
    </row>
    <row r="8574" spans="1:4" ht="16.5" hidden="1" x14ac:dyDescent="0.3">
      <c r="A8574" s="10" t="str">
        <f>基本属性!$B$16&amp;"|"&amp;基本属性!$C$16</f>
        <v>120|6</v>
      </c>
      <c r="B8574" s="10" t="str">
        <f>参数调整!$J$39</f>
        <v>新增怪物种类4掉落</v>
      </c>
      <c r="C8574" s="8" t="str">
        <f>材料产出!$BH$2</f>
        <v>新增材料1</v>
      </c>
      <c r="D8574" s="224">
        <f>参数调整!$K$39*怪物掉落配置方案!$D4470</f>
        <v>0</v>
      </c>
    </row>
    <row r="8575" spans="1:4" ht="16.5" hidden="1" x14ac:dyDescent="0.3">
      <c r="A8575" s="10" t="str">
        <f>基本属性!$B$17&amp;"|"&amp;基本属性!$C$17</f>
        <v>135|7</v>
      </c>
      <c r="B8575" s="10" t="str">
        <f>参数调整!$J$39</f>
        <v>新增怪物种类4掉落</v>
      </c>
      <c r="C8575" s="8" t="str">
        <f>材料产出!$BH$2</f>
        <v>新增材料1</v>
      </c>
      <c r="D8575" s="224">
        <f>参数调整!$K$39*怪物掉落配置方案!$D4471</f>
        <v>0</v>
      </c>
    </row>
    <row r="8576" spans="1:4" ht="16.5" hidden="1" x14ac:dyDescent="0.3">
      <c r="A8576" s="10" t="str">
        <f>基本属性!$B$18&amp;"|"&amp;基本属性!$C$18</f>
        <v>155|8</v>
      </c>
      <c r="B8576" s="10" t="str">
        <f>参数调整!$J$39</f>
        <v>新增怪物种类4掉落</v>
      </c>
      <c r="C8576" s="8" t="str">
        <f>材料产出!$BH$2</f>
        <v>新增材料1</v>
      </c>
      <c r="D8576" s="224">
        <f>参数调整!$K$39*怪物掉落配置方案!$D4472</f>
        <v>0</v>
      </c>
    </row>
    <row r="8577" spans="1:4" ht="16.5" hidden="1" x14ac:dyDescent="0.3">
      <c r="A8577" s="10" t="str">
        <f>基本属性!$B$19&amp;"|"&amp;基本属性!$C$19</f>
        <v>190|9</v>
      </c>
      <c r="B8577" s="10" t="str">
        <f>参数调整!$J$39</f>
        <v>新增怪物种类4掉落</v>
      </c>
      <c r="C8577" s="8" t="str">
        <f>材料产出!$BH$2</f>
        <v>新增材料1</v>
      </c>
      <c r="D8577" s="224">
        <f>参数调整!$K$39*怪物掉落配置方案!$D4473</f>
        <v>0</v>
      </c>
    </row>
    <row r="8578" spans="1:4" ht="16.5" hidden="1" x14ac:dyDescent="0.3">
      <c r="A8578" s="10" t="str">
        <f>基本属性!$B$20&amp;"|"&amp;基本属性!$C$20</f>
        <v>200|10</v>
      </c>
      <c r="B8578" s="10" t="str">
        <f>参数调整!$J$39</f>
        <v>新增怪物种类4掉落</v>
      </c>
      <c r="C8578" s="8" t="str">
        <f>材料产出!$BH$2</f>
        <v>新增材料1</v>
      </c>
      <c r="D8578" s="224">
        <f>参数调整!$K$39*怪物掉落配置方案!$D4474</f>
        <v>0</v>
      </c>
    </row>
    <row r="8579" spans="1:4" ht="16.5" hidden="1" x14ac:dyDescent="0.3">
      <c r="A8579" s="10" t="str">
        <f>基本属性!$B$21&amp;"|"&amp;基本属性!$C$21</f>
        <v>200|11</v>
      </c>
      <c r="B8579" s="10" t="str">
        <f>参数调整!$J$39</f>
        <v>新增怪物种类4掉落</v>
      </c>
      <c r="C8579" s="8" t="str">
        <f>材料产出!$BH$2</f>
        <v>新增材料1</v>
      </c>
      <c r="D8579" s="224">
        <f>参数调整!$K$39*怪物掉落配置方案!$D4475</f>
        <v>0</v>
      </c>
    </row>
    <row r="8580" spans="1:4" ht="16.5" hidden="1" x14ac:dyDescent="0.3">
      <c r="A8580" s="10" t="str">
        <f>基本属性!$B$22&amp;"|"&amp;基本属性!$C$22</f>
        <v>210|12</v>
      </c>
      <c r="B8580" s="10" t="str">
        <f>参数调整!$J$39</f>
        <v>新增怪物种类4掉落</v>
      </c>
      <c r="C8580" s="8" t="str">
        <f>材料产出!$BH$2</f>
        <v>新增材料1</v>
      </c>
      <c r="D8580" s="224">
        <f>参数调整!$K$39*怪物掉落配置方案!$D4476</f>
        <v>0</v>
      </c>
    </row>
    <row r="8581" spans="1:4" ht="16.5" hidden="1" x14ac:dyDescent="0.3">
      <c r="A8581" s="10" t="str">
        <f>基本属性!$B$23&amp;"|"&amp;基本属性!$C$23</f>
        <v>210|13</v>
      </c>
      <c r="B8581" s="10" t="str">
        <f>参数调整!$J$39</f>
        <v>新增怪物种类4掉落</v>
      </c>
      <c r="C8581" s="8" t="str">
        <f>材料产出!$BH$2</f>
        <v>新增材料1</v>
      </c>
      <c r="D8581" s="224">
        <f>参数调整!$K$39*怪物掉落配置方案!$D4477</f>
        <v>0</v>
      </c>
    </row>
    <row r="8582" spans="1:4" ht="16.5" hidden="1" x14ac:dyDescent="0.3">
      <c r="A8582" s="10" t="str">
        <f>基本属性!$B$24&amp;"|"&amp;基本属性!$C$24</f>
        <v>220|14</v>
      </c>
      <c r="B8582" s="10" t="str">
        <f>参数调整!$J$39</f>
        <v>新增怪物种类4掉落</v>
      </c>
      <c r="C8582" s="8" t="str">
        <f>材料产出!$BH$2</f>
        <v>新增材料1</v>
      </c>
      <c r="D8582" s="224">
        <f>参数调整!$K$39*怪物掉落配置方案!$D4478</f>
        <v>0</v>
      </c>
    </row>
    <row r="8583" spans="1:4" ht="16.5" hidden="1" x14ac:dyDescent="0.3">
      <c r="A8583" s="10" t="str">
        <f>基本属性!$B$25&amp;"|"&amp;基本属性!$C$25</f>
        <v>220|15</v>
      </c>
      <c r="B8583" s="10" t="str">
        <f>参数调整!$J$39</f>
        <v>新增怪物种类4掉落</v>
      </c>
      <c r="C8583" s="8" t="str">
        <f>材料产出!$BH$2</f>
        <v>新增材料1</v>
      </c>
      <c r="D8583" s="224">
        <f>参数调整!$K$39*怪物掉落配置方案!$D4479</f>
        <v>0</v>
      </c>
    </row>
    <row r="8584" spans="1:4" ht="16.5" hidden="1" x14ac:dyDescent="0.3">
      <c r="A8584" s="10" t="str">
        <f>基本属性!$B$26&amp;"|"&amp;基本属性!$C$26</f>
        <v>230|16</v>
      </c>
      <c r="B8584" s="10" t="str">
        <f>参数调整!$J$39</f>
        <v>新增怪物种类4掉落</v>
      </c>
      <c r="C8584" s="8" t="str">
        <f>材料产出!$BH$2</f>
        <v>新增材料1</v>
      </c>
      <c r="D8584" s="224">
        <f>参数调整!$K$39*怪物掉落配置方案!$D4480</f>
        <v>0</v>
      </c>
    </row>
    <row r="8585" spans="1:4" ht="16.5" hidden="1" x14ac:dyDescent="0.3">
      <c r="A8585" s="10" t="str">
        <f>基本属性!$B$27&amp;"|"&amp;基本属性!$C$27</f>
        <v>230|17</v>
      </c>
      <c r="B8585" s="10" t="str">
        <f>参数调整!$J$39</f>
        <v>新增怪物种类4掉落</v>
      </c>
      <c r="C8585" s="8" t="str">
        <f>材料产出!$BH$2</f>
        <v>新增材料1</v>
      </c>
      <c r="D8585" s="224">
        <f>参数调整!$K$39*怪物掉落配置方案!$D4481</f>
        <v>0</v>
      </c>
    </row>
    <row r="8586" spans="1:4" ht="16.5" hidden="1" x14ac:dyDescent="0.3">
      <c r="A8586" s="10" t="str">
        <f>基本属性!$B$28&amp;"|"&amp;基本属性!$C$28</f>
        <v>240|18</v>
      </c>
      <c r="B8586" s="10" t="str">
        <f>参数调整!$J$39</f>
        <v>新增怪物种类4掉落</v>
      </c>
      <c r="C8586" s="8" t="str">
        <f>材料产出!$BH$2</f>
        <v>新增材料1</v>
      </c>
      <c r="D8586" s="224">
        <f>参数调整!$K$39*怪物掉落配置方案!$D4482</f>
        <v>0</v>
      </c>
    </row>
    <row r="8587" spans="1:4" ht="16.5" hidden="1" x14ac:dyDescent="0.3">
      <c r="A8587" s="10" t="str">
        <f>基本属性!$B$29&amp;"|"&amp;基本属性!$C$29</f>
        <v>240|19</v>
      </c>
      <c r="B8587" s="10" t="str">
        <f>参数调整!$J$39</f>
        <v>新增怪物种类4掉落</v>
      </c>
      <c r="C8587" s="8" t="str">
        <f>材料产出!$BH$2</f>
        <v>新增材料1</v>
      </c>
      <c r="D8587" s="224">
        <f>参数调整!$K$39*怪物掉落配置方案!$D4483</f>
        <v>0</v>
      </c>
    </row>
    <row r="8588" spans="1:4" ht="16.5" hidden="1" x14ac:dyDescent="0.3">
      <c r="A8588" s="10" t="str">
        <f>基本属性!$B$30&amp;"|"&amp;基本属性!$C$30</f>
        <v>250|20</v>
      </c>
      <c r="B8588" s="10" t="str">
        <f>参数调整!$J$39</f>
        <v>新增怪物种类4掉落</v>
      </c>
      <c r="C8588" s="8" t="str">
        <f>材料产出!$BH$2</f>
        <v>新增材料1</v>
      </c>
      <c r="D8588" s="224">
        <f>参数调整!$K$39*怪物掉落配置方案!$D4484</f>
        <v>0</v>
      </c>
    </row>
    <row r="8589" spans="1:4" ht="16.5" hidden="1" x14ac:dyDescent="0.3">
      <c r="A8589" s="10" t="str">
        <f>基本属性!$B$4&amp;"|"&amp;基本属性!$C$4</f>
        <v>35|0</v>
      </c>
      <c r="B8589" s="10" t="str">
        <f>参数调整!$J$39</f>
        <v>新增怪物种类4掉落</v>
      </c>
      <c r="C8589" s="8" t="str">
        <f>材料产出!$AF$2</f>
        <v>仙品升星石</v>
      </c>
      <c r="D8589" s="224">
        <f>参数调整!$K$39*怪物掉落配置方案!$D4485</f>
        <v>9.0730085236241185E-3</v>
      </c>
    </row>
    <row r="8590" spans="1:4" ht="16.5" hidden="1" x14ac:dyDescent="0.3">
      <c r="A8590" s="10" t="str">
        <f>基本属性!$B$5&amp;"|"&amp;基本属性!$C$5</f>
        <v>40|0</v>
      </c>
      <c r="B8590" s="10" t="str">
        <f>参数调整!$J$39</f>
        <v>新增怪物种类4掉落</v>
      </c>
      <c r="C8590" s="8" t="str">
        <f>材料产出!$AF$2</f>
        <v>仙品升星石</v>
      </c>
      <c r="D8590" s="224">
        <f>参数调整!$K$39*怪物掉落配置方案!$D4486</f>
        <v>1.1483026412711778E-2</v>
      </c>
    </row>
    <row r="8591" spans="1:4" ht="16.5" hidden="1" x14ac:dyDescent="0.3">
      <c r="A8591" s="10" t="str">
        <f>基本属性!$B$6&amp;"|"&amp;基本属性!$C$6</f>
        <v>50|0</v>
      </c>
      <c r="B8591" s="10" t="str">
        <f>参数调整!$J$39</f>
        <v>新增怪物种类4掉落</v>
      </c>
      <c r="C8591" s="8" t="str">
        <f>材料产出!$AF$2</f>
        <v>仙品升星石</v>
      </c>
      <c r="D8591" s="224">
        <f>参数调整!$K$39*怪物掉落配置方案!$D4487</f>
        <v>1.4176575818162687E-2</v>
      </c>
    </row>
    <row r="8592" spans="1:4" ht="16.5" hidden="1" x14ac:dyDescent="0.3">
      <c r="A8592" s="10" t="str">
        <f>基本属性!$B$7&amp;"|"&amp;基本属性!$C$7</f>
        <v>60|0</v>
      </c>
      <c r="B8592" s="10" t="str">
        <f>参数调整!$J$39</f>
        <v>新增怪物种类4掉落</v>
      </c>
      <c r="C8592" s="8" t="str">
        <f>材料产出!$AF$2</f>
        <v>仙品升星石</v>
      </c>
      <c r="D8592" s="224">
        <f>参数调整!$K$39*怪物掉落配置方案!$D4488</f>
        <v>1.715365673997685E-2</v>
      </c>
    </row>
    <row r="8593" spans="1:4" ht="16.5" hidden="1" x14ac:dyDescent="0.3">
      <c r="A8593" s="10" t="str">
        <f>基本属性!$B$8&amp;"|"&amp;基本属性!$C$8</f>
        <v>65|0</v>
      </c>
      <c r="B8593" s="10" t="str">
        <f>参数调整!$J$39</f>
        <v>新增怪物种类4掉落</v>
      </c>
      <c r="C8593" s="8" t="str">
        <f>材料产出!$AF$2</f>
        <v>仙品升星石</v>
      </c>
      <c r="D8593" s="224">
        <f>参数调整!$K$39*怪物掉落配置方案!$D4489</f>
        <v>2.0414269178154268E-2</v>
      </c>
    </row>
    <row r="8594" spans="1:4" ht="16.5" hidden="1" x14ac:dyDescent="0.3">
      <c r="A8594" s="10" t="str">
        <f>基本属性!$B$9&amp;"|"&amp;基本属性!$C$9</f>
        <v>70|0</v>
      </c>
      <c r="B8594" s="10" t="str">
        <f>参数调整!$J$39</f>
        <v>新增怪物种类4掉落</v>
      </c>
      <c r="C8594" s="8" t="str">
        <f>材料产出!$AF$2</f>
        <v>仙品升星石</v>
      </c>
      <c r="D8594" s="224">
        <f>参数调整!$K$39*怪物掉落配置方案!$D4490</f>
        <v>2.395841313269494E-2</v>
      </c>
    </row>
    <row r="8595" spans="1:4" ht="16.5" hidden="1" x14ac:dyDescent="0.3">
      <c r="A8595" s="10" t="str">
        <f>基本属性!$B$10&amp;"|"&amp;基本属性!$C$10</f>
        <v>75|0</v>
      </c>
      <c r="B8595" s="10" t="str">
        <f>参数调整!$J$39</f>
        <v>新增怪物种类4掉落</v>
      </c>
      <c r="C8595" s="8" t="str">
        <f>材料产出!$AF$2</f>
        <v>仙品升星石</v>
      </c>
      <c r="D8595" s="224">
        <f>参数调整!$K$39*怪物掉落配置方案!$D4491</f>
        <v>2.7786088603598862E-2</v>
      </c>
    </row>
    <row r="8596" spans="1:4" ht="16.5" hidden="1" x14ac:dyDescent="0.3">
      <c r="A8596" s="10" t="str">
        <f>基本属性!$B$11&amp;"|"&amp;基本属性!$C$11</f>
        <v>80|1</v>
      </c>
      <c r="B8596" s="10" t="str">
        <f>参数调整!$J$39</f>
        <v>新增怪物种类4掉落</v>
      </c>
      <c r="C8596" s="8" t="str">
        <f>材料产出!$AF$2</f>
        <v>仙品升星石</v>
      </c>
      <c r="D8596" s="224">
        <f>参数调整!$K$39*怪物掉落配置方案!$D4492</f>
        <v>3.1897295590866043E-2</v>
      </c>
    </row>
    <row r="8597" spans="1:4" ht="16.5" hidden="1" x14ac:dyDescent="0.3">
      <c r="A8597" s="10" t="str">
        <f>基本属性!$B$12&amp;"|"&amp;基本属性!$C$12</f>
        <v>90|2</v>
      </c>
      <c r="B8597" s="10" t="str">
        <f>参数调整!$J$39</f>
        <v>新增怪物种类4掉落</v>
      </c>
      <c r="C8597" s="8" t="str">
        <f>材料产出!$AF$2</f>
        <v>仙品升星石</v>
      </c>
      <c r="D8597" s="224">
        <f>参数调整!$K$39*怪物掉落配置方案!$D4493</f>
        <v>3.6292034094496488E-2</v>
      </c>
    </row>
    <row r="8598" spans="1:4" ht="16.5" hidden="1" x14ac:dyDescent="0.3">
      <c r="A8598" s="10" t="str">
        <f>基本属性!$B$13&amp;"|"&amp;基本属性!$C$13</f>
        <v>100|3</v>
      </c>
      <c r="B8598" s="10" t="str">
        <f>参数调整!$J$39</f>
        <v>新增怪物种类4掉落</v>
      </c>
      <c r="C8598" s="8" t="str">
        <f>材料产出!$AF$2</f>
        <v>仙品升星石</v>
      </c>
      <c r="D8598" s="224">
        <f>参数调整!$K$39*怪物掉落配置方案!$D4494</f>
        <v>4.5932105650847113E-2</v>
      </c>
    </row>
    <row r="8599" spans="1:4" ht="16.5" hidden="1" x14ac:dyDescent="0.3">
      <c r="A8599" s="10" t="str">
        <f>基本属性!$B$14&amp;"|"&amp;基本属性!$C$14</f>
        <v>105|4</v>
      </c>
      <c r="B8599" s="10" t="str">
        <f>参数调整!$J$39</f>
        <v>新增怪物种类4掉落</v>
      </c>
      <c r="C8599" s="8" t="str">
        <f>材料产出!$AF$2</f>
        <v>仙品升星石</v>
      </c>
      <c r="D8599" s="224">
        <f>参数调整!$K$39*怪物掉落配置方案!$D4495</f>
        <v>5.6706303272650742E-2</v>
      </c>
    </row>
    <row r="8600" spans="1:4" ht="16.5" hidden="1" x14ac:dyDescent="0.3">
      <c r="A8600" s="10" t="str">
        <f>基本属性!$B$15&amp;"|"&amp;基本属性!$C$15</f>
        <v>110|5</v>
      </c>
      <c r="B8600" s="10" t="str">
        <f>参数调整!$J$39</f>
        <v>新增怪物种类4掉落</v>
      </c>
      <c r="C8600" s="8" t="str">
        <f>材料产出!$AF$2</f>
        <v>仙品升星石</v>
      </c>
      <c r="D8600" s="224">
        <f>参数调整!$K$39*怪物掉落配置方案!$D4496</f>
        <v>6.8614626959907402E-2</v>
      </c>
    </row>
    <row r="8601" spans="1:4" ht="16.5" hidden="1" x14ac:dyDescent="0.3">
      <c r="A8601" s="10" t="str">
        <f>基本属性!$B$16&amp;"|"&amp;基本属性!$C$16</f>
        <v>120|6</v>
      </c>
      <c r="B8601" s="10" t="str">
        <f>参数调整!$J$39</f>
        <v>新增怪物种类4掉落</v>
      </c>
      <c r="C8601" s="8" t="str">
        <f>材料产出!$AF$2</f>
        <v>仙品升星石</v>
      </c>
      <c r="D8601" s="224">
        <f>参数调整!$K$39*怪物掉落配置方案!$D4497</f>
        <v>8.8603598863516791E-2</v>
      </c>
    </row>
    <row r="8602" spans="1:4" ht="16.5" hidden="1" x14ac:dyDescent="0.3">
      <c r="A8602" s="10" t="str">
        <f>基本属性!$B$17&amp;"|"&amp;基本属性!$C$17</f>
        <v>135|7</v>
      </c>
      <c r="B8602" s="10" t="str">
        <f>参数调整!$J$39</f>
        <v>新增怪物种类4掉落</v>
      </c>
      <c r="C8602" s="8" t="str">
        <f>材料产出!$AF$2</f>
        <v>仙品升星石</v>
      </c>
      <c r="D8602" s="224">
        <f>参数调整!$K$39*怪物掉落配置方案!$D4498</f>
        <v>0.12758918236346417</v>
      </c>
    </row>
    <row r="8603" spans="1:4" ht="16.5" hidden="1" x14ac:dyDescent="0.3">
      <c r="A8603" s="10" t="str">
        <f>基本属性!$B$18&amp;"|"&amp;基本属性!$C$18</f>
        <v>155|8</v>
      </c>
      <c r="B8603" s="10" t="str">
        <f>参数调整!$J$39</f>
        <v>新增怪物种类4掉落</v>
      </c>
      <c r="C8603" s="8" t="str">
        <f>材料产出!$AF$2</f>
        <v>仙品升星石</v>
      </c>
      <c r="D8603" s="224">
        <f>参数调整!$K$39*怪物掉落配置方案!$D4499</f>
        <v>0.17366305377249294</v>
      </c>
    </row>
    <row r="8604" spans="1:4" ht="16.5" hidden="1" x14ac:dyDescent="0.3">
      <c r="A8604" s="10" t="str">
        <f>基本属性!$B$19&amp;"|"&amp;基本属性!$C$19</f>
        <v>190|9</v>
      </c>
      <c r="B8604" s="10" t="str">
        <f>参数调整!$J$39</f>
        <v>新增怪物种类4掉落</v>
      </c>
      <c r="C8604" s="8" t="str">
        <f>材料产出!$AF$2</f>
        <v>仙品升星石</v>
      </c>
      <c r="D8604" s="224">
        <f>参数调整!$K$39*怪物掉落配置方案!$D4500</f>
        <v>0.19407732295064722</v>
      </c>
    </row>
    <row r="8605" spans="1:4" ht="16.5" hidden="1" x14ac:dyDescent="0.3">
      <c r="A8605" s="10" t="str">
        <f>基本属性!$B$20&amp;"|"&amp;基本属性!$C$20</f>
        <v>200|10</v>
      </c>
      <c r="B8605" s="10" t="str">
        <f>参数调整!$J$39</f>
        <v>新增怪物种类4掉落</v>
      </c>
      <c r="C8605" s="8" t="str">
        <f>材料产出!$AF$2</f>
        <v>仙品升星石</v>
      </c>
      <c r="D8605" s="224">
        <f>参数调整!$K$39*怪物掉落配置方案!$D4501</f>
        <v>0.22682521309060297</v>
      </c>
    </row>
    <row r="8606" spans="1:4" ht="16.5" hidden="1" x14ac:dyDescent="0.3">
      <c r="A8606" s="10" t="str">
        <f>基本属性!$B$21&amp;"|"&amp;基本属性!$C$21</f>
        <v>200|11</v>
      </c>
      <c r="B8606" s="10" t="str">
        <f>参数调整!$J$39</f>
        <v>新增怪物种类4掉落</v>
      </c>
      <c r="C8606" s="8" t="str">
        <f>材料产出!$AF$2</f>
        <v>仙品升星石</v>
      </c>
      <c r="D8606" s="224">
        <f>参数调整!$K$39*怪物掉落配置方案!$D4502</f>
        <v>0.26212488687782803</v>
      </c>
    </row>
    <row r="8607" spans="1:4" ht="16.5" hidden="1" x14ac:dyDescent="0.3">
      <c r="A8607" s="10" t="str">
        <f>基本属性!$B$22&amp;"|"&amp;基本属性!$C$22</f>
        <v>210|12</v>
      </c>
      <c r="B8607" s="10" t="str">
        <f>参数调整!$J$39</f>
        <v>新增怪物种类4掉落</v>
      </c>
      <c r="C8607" s="8" t="str">
        <f>材料产出!$AF$2</f>
        <v>仙品升星石</v>
      </c>
      <c r="D8607" s="224">
        <f>参数调整!$K$39*怪物掉落配置方案!$D4503</f>
        <v>0.2999763443123224</v>
      </c>
    </row>
    <row r="8608" spans="1:4" ht="16.5" hidden="1" x14ac:dyDescent="0.3">
      <c r="A8608" s="10" t="str">
        <f>基本属性!$B$23&amp;"|"&amp;基本属性!$C$23</f>
        <v>210|13</v>
      </c>
      <c r="B8608" s="10" t="str">
        <f>参数调整!$J$39</f>
        <v>新增怪物种类4掉落</v>
      </c>
      <c r="C8608" s="8" t="str">
        <f>材料产出!$AF$2</f>
        <v>仙品升星石</v>
      </c>
      <c r="D8608" s="224">
        <f>参数调整!$K$39*怪物掉落配置方案!$D4504</f>
        <v>0.34037958539408608</v>
      </c>
    </row>
    <row r="8609" spans="1:4" ht="16.5" hidden="1" x14ac:dyDescent="0.3">
      <c r="A8609" s="10" t="str">
        <f>基本属性!$B$24&amp;"|"&amp;基本属性!$C$24</f>
        <v>220|14</v>
      </c>
      <c r="B8609" s="10" t="str">
        <f>参数调整!$J$39</f>
        <v>新增怪物种类4掉落</v>
      </c>
      <c r="C8609" s="8" t="str">
        <f>材料产出!$AF$2</f>
        <v>仙品升星石</v>
      </c>
      <c r="D8609" s="224">
        <f>参数调整!$K$39*怪物掉落配置方案!$D4505</f>
        <v>0.38333461012311909</v>
      </c>
    </row>
    <row r="8610" spans="1:4" ht="16.5" hidden="1" x14ac:dyDescent="0.3">
      <c r="A8610" s="10" t="str">
        <f>基本属性!$B$25&amp;"|"&amp;基本属性!$C$25</f>
        <v>220|15</v>
      </c>
      <c r="B8610" s="10" t="str">
        <f>参数调整!$J$39</f>
        <v>新增怪物种类4掉落</v>
      </c>
      <c r="C8610" s="8" t="str">
        <f>材料产出!$AF$2</f>
        <v>仙品升星石</v>
      </c>
      <c r="D8610" s="224">
        <f>参数调整!$K$39*怪物掉落配置方案!$D4506</f>
        <v>0.42884141849942115</v>
      </c>
    </row>
    <row r="8611" spans="1:4" ht="16.5" hidden="1" x14ac:dyDescent="0.3">
      <c r="A8611" s="10" t="str">
        <f>基本属性!$B$26&amp;"|"&amp;基本属性!$C$26</f>
        <v>230|16</v>
      </c>
      <c r="B8611" s="10" t="str">
        <f>参数调整!$J$39</f>
        <v>新增怪物种类4掉落</v>
      </c>
      <c r="C8611" s="8" t="str">
        <f>材料产出!$AF$2</f>
        <v>仙品升星石</v>
      </c>
      <c r="D8611" s="224">
        <f>参数调整!$K$39*怪物掉落配置方案!$D4507</f>
        <v>0.47690001052299275</v>
      </c>
    </row>
    <row r="8612" spans="1:4" ht="16.5" hidden="1" x14ac:dyDescent="0.3">
      <c r="A8612" s="10" t="str">
        <f>基本属性!$B$27&amp;"|"&amp;基本属性!$C$27</f>
        <v>230|17</v>
      </c>
      <c r="B8612" s="10" t="str">
        <f>参数调整!$J$39</f>
        <v>新增怪物种类4掉落</v>
      </c>
      <c r="C8612" s="8" t="str">
        <f>材料产出!$AF$2</f>
        <v>仙品升星石</v>
      </c>
      <c r="D8612" s="224">
        <f>参数调整!$K$39*怪物掉落配置方案!$D4508</f>
        <v>0.5275103861938335</v>
      </c>
    </row>
    <row r="8613" spans="1:4" ht="16.5" hidden="1" x14ac:dyDescent="0.3">
      <c r="A8613" s="10" t="str">
        <f>基本属性!$B$28&amp;"|"&amp;基本属性!$C$28</f>
        <v>240|18</v>
      </c>
      <c r="B8613" s="10" t="str">
        <f>参数调整!$J$39</f>
        <v>新增怪物种类4掉落</v>
      </c>
      <c r="C8613" s="8" t="str">
        <f>材料产出!$AF$2</f>
        <v>仙品升星石</v>
      </c>
      <c r="D8613" s="224">
        <f>参数调整!$K$39*怪物掉落配置方案!$D4509</f>
        <v>0.58067254551194369</v>
      </c>
    </row>
    <row r="8614" spans="1:4" ht="16.5" hidden="1" x14ac:dyDescent="0.3">
      <c r="A8614" s="10" t="str">
        <f>基本属性!$B$29&amp;"|"&amp;基本属性!$C$29</f>
        <v>240|19</v>
      </c>
      <c r="B8614" s="10" t="str">
        <f>参数调整!$J$39</f>
        <v>新增怪物种类4掉落</v>
      </c>
      <c r="C8614" s="8" t="str">
        <f>材料产出!$AF$2</f>
        <v>仙品升星石</v>
      </c>
      <c r="D8614" s="224">
        <f>参数调整!$K$39*怪物掉落配置方案!$D4510</f>
        <v>0.63638648847732304</v>
      </c>
    </row>
    <row r="8615" spans="1:4" ht="16.5" hidden="1" x14ac:dyDescent="0.3">
      <c r="A8615" s="10" t="str">
        <f>基本属性!$B$30&amp;"|"&amp;基本属性!$C$30</f>
        <v>250|20</v>
      </c>
      <c r="B8615" s="10" t="str">
        <f>参数调整!$J$39</f>
        <v>新增怪物种类4掉落</v>
      </c>
      <c r="C8615" s="8" t="str">
        <f>材料产出!$AF$2</f>
        <v>仙品升星石</v>
      </c>
      <c r="D8615" s="224">
        <f>参数调整!$K$39*怪物掉落配置方案!$D4511</f>
        <v>0.69465221508997155</v>
      </c>
    </row>
    <row r="8616" spans="1:4" ht="16.5" hidden="1" x14ac:dyDescent="0.3">
      <c r="A8616" s="10" t="str">
        <f>基本属性!$B$4&amp;"|"&amp;基本属性!$C$4</f>
        <v>35|0</v>
      </c>
      <c r="B8616" s="10" t="str">
        <f>参数调整!$J$39</f>
        <v>新增怪物种类4掉落</v>
      </c>
      <c r="C8616" s="8" t="str">
        <f>材料产出!$T$2</f>
        <v>洗髓丹</v>
      </c>
      <c r="D8616" s="224">
        <f>参数调整!$K$39*怪物掉落配置方案!$D4512</f>
        <v>2.3629737585192999E-3</v>
      </c>
    </row>
    <row r="8617" spans="1:4" ht="16.5" hidden="1" x14ac:dyDescent="0.3">
      <c r="A8617" s="10" t="str">
        <f>基本属性!$B$5&amp;"|"&amp;基本属性!$C$5</f>
        <v>40|0</v>
      </c>
      <c r="B8617" s="10" t="str">
        <f>参数调整!$J$39</f>
        <v>新增怪物种类4掉落</v>
      </c>
      <c r="C8617" s="8" t="str">
        <f>材料产出!$T$2</f>
        <v>洗髓丹</v>
      </c>
      <c r="D8617" s="224">
        <f>参数调整!$K$39*怪物掉落配置方案!$D4513</f>
        <v>2.9906386631259889E-3</v>
      </c>
    </row>
    <row r="8618" spans="1:4" ht="16.5" hidden="1" x14ac:dyDescent="0.3">
      <c r="A8618" s="10" t="str">
        <f>基本属性!$B$6&amp;"|"&amp;基本属性!$C$6</f>
        <v>50|0</v>
      </c>
      <c r="B8618" s="10" t="str">
        <f>参数调整!$J$39</f>
        <v>新增怪物种类4掉落</v>
      </c>
      <c r="C8618" s="8" t="str">
        <f>材料产出!$T$2</f>
        <v>洗髓丹</v>
      </c>
      <c r="D8618" s="224">
        <f>参数调整!$K$39*怪物掉落配置方案!$D4514</f>
        <v>3.6921464976864059E-3</v>
      </c>
    </row>
    <row r="8619" spans="1:4" ht="16.5" hidden="1" x14ac:dyDescent="0.3">
      <c r="A8619" s="10" t="str">
        <f>基本属性!$B$7&amp;"|"&amp;基本属性!$C$7</f>
        <v>60|0</v>
      </c>
      <c r="B8619" s="10" t="str">
        <f>参数调整!$J$39</f>
        <v>新增怪物种类4掉落</v>
      </c>
      <c r="C8619" s="8" t="str">
        <f>材料产出!$T$2</f>
        <v>洗髓丹</v>
      </c>
      <c r="D8619" s="224">
        <f>参数调整!$K$39*怪物掉落配置方案!$D4515</f>
        <v>4.467497262200552E-3</v>
      </c>
    </row>
    <row r="8620" spans="1:4" ht="16.5" hidden="1" x14ac:dyDescent="0.3">
      <c r="A8620" s="10" t="str">
        <f>基本属性!$B$8&amp;"|"&amp;基本属性!$C$8</f>
        <v>65|0</v>
      </c>
      <c r="B8620" s="10" t="str">
        <f>参数调整!$J$39</f>
        <v>新增怪物种类4掉落</v>
      </c>
      <c r="C8620" s="8" t="str">
        <f>材料产出!$T$2</f>
        <v>洗髓丹</v>
      </c>
      <c r="D8620" s="224">
        <f>参数调整!$K$39*怪物掉落配置方案!$D4516</f>
        <v>5.3166909566684248E-3</v>
      </c>
    </row>
    <row r="8621" spans="1:4" ht="16.5" hidden="1" x14ac:dyDescent="0.3">
      <c r="A8621" s="10" t="str">
        <f>基本属性!$B$9&amp;"|"&amp;基本属性!$C$9</f>
        <v>70|0</v>
      </c>
      <c r="B8621" s="10" t="str">
        <f>参数调整!$J$39</f>
        <v>新增怪物种类4掉落</v>
      </c>
      <c r="C8621" s="8" t="str">
        <f>材料产出!$T$2</f>
        <v>洗髓丹</v>
      </c>
      <c r="D8621" s="224">
        <f>参数调整!$K$39*怪物掉落配置方案!$D4517</f>
        <v>6.2397275810900264E-3</v>
      </c>
    </row>
    <row r="8622" spans="1:4" ht="16.5" hidden="1" x14ac:dyDescent="0.3">
      <c r="A8622" s="10" t="str">
        <f>基本属性!$B$10&amp;"|"&amp;基本属性!$C$10</f>
        <v>75|0</v>
      </c>
      <c r="B8622" s="10" t="str">
        <f>参数调整!$J$39</f>
        <v>新增怪物种类4掉落</v>
      </c>
      <c r="C8622" s="8" t="str">
        <f>材料产出!$T$2</f>
        <v>洗髓丹</v>
      </c>
      <c r="D8622" s="224">
        <f>参数调整!$K$39*怪物掉落配置方案!$D4518</f>
        <v>7.236607135465355E-3</v>
      </c>
    </row>
    <row r="8623" spans="1:4" ht="16.5" hidden="1" x14ac:dyDescent="0.3">
      <c r="A8623" s="10" t="str">
        <f>基本属性!$B$11&amp;"|"&amp;基本属性!$C$11</f>
        <v>80|1</v>
      </c>
      <c r="B8623" s="10" t="str">
        <f>参数调整!$J$39</f>
        <v>新增怪物种类4掉落</v>
      </c>
      <c r="C8623" s="8" t="str">
        <f>材料产出!$T$2</f>
        <v>洗髓丹</v>
      </c>
      <c r="D8623" s="224">
        <f>参数调整!$K$39*怪物掉落配置方案!$D4519</f>
        <v>8.3073296197944142E-3</v>
      </c>
    </row>
    <row r="8624" spans="1:4" ht="16.5" hidden="1" x14ac:dyDescent="0.3">
      <c r="A8624" s="10" t="str">
        <f>基本属性!$B$12&amp;"|"&amp;基本属性!$C$12</f>
        <v>90|2</v>
      </c>
      <c r="B8624" s="10" t="str">
        <f>参数调整!$J$39</f>
        <v>新增怪物种类4掉落</v>
      </c>
      <c r="C8624" s="8" t="str">
        <f>材料产出!$T$2</f>
        <v>洗髓丹</v>
      </c>
      <c r="D8624" s="224">
        <f>参数调整!$K$39*怪物掉落配置方案!$D4520</f>
        <v>9.4518950340772012E-3</v>
      </c>
    </row>
    <row r="8625" spans="1:4" ht="16.5" hidden="1" x14ac:dyDescent="0.3">
      <c r="A8625" s="10" t="str">
        <f>基本属性!$B$13&amp;"|"&amp;基本属性!$C$13</f>
        <v>100|3</v>
      </c>
      <c r="B8625" s="10" t="str">
        <f>参数调整!$J$39</f>
        <v>新增怪物种类4掉落</v>
      </c>
      <c r="C8625" s="8" t="str">
        <f>材料产出!$T$2</f>
        <v>洗髓丹</v>
      </c>
      <c r="D8625" s="224">
        <f>参数调整!$K$39*怪物掉落配置方案!$D4521</f>
        <v>1.1962554652503957E-2</v>
      </c>
    </row>
    <row r="8626" spans="1:4" ht="16.5" hidden="1" x14ac:dyDescent="0.3">
      <c r="A8626" s="10" t="str">
        <f>基本属性!$B$14&amp;"|"&amp;基本属性!$C$14</f>
        <v>105|4</v>
      </c>
      <c r="B8626" s="10" t="str">
        <f>参数调整!$J$39</f>
        <v>新增怪物种类4掉落</v>
      </c>
      <c r="C8626" s="8" t="str">
        <f>材料产出!$T$2</f>
        <v>洗髓丹</v>
      </c>
      <c r="D8626" s="224">
        <f>参数调整!$K$39*怪物掉落配置方案!$D4522</f>
        <v>1.4768585990745623E-2</v>
      </c>
    </row>
    <row r="8627" spans="1:4" ht="16.5" hidden="1" x14ac:dyDescent="0.3">
      <c r="A8627" s="10" t="str">
        <f>基本属性!$B$15&amp;"|"&amp;基本属性!$C$15</f>
        <v>110|5</v>
      </c>
      <c r="B8627" s="10" t="str">
        <f>参数调整!$J$39</f>
        <v>新增怪物种类4掉落</v>
      </c>
      <c r="C8627" s="8" t="str">
        <f>材料产出!$T$2</f>
        <v>洗髓丹</v>
      </c>
      <c r="D8627" s="224">
        <f>参数调整!$K$39*怪物掉落配置方案!$D4523</f>
        <v>1.7869989048802208E-2</v>
      </c>
    </row>
    <row r="8628" spans="1:4" ht="16.5" hidden="1" x14ac:dyDescent="0.3">
      <c r="A8628" s="10" t="str">
        <f>基本属性!$B$16&amp;"|"&amp;基本属性!$C$16</f>
        <v>120|6</v>
      </c>
      <c r="B8628" s="10" t="str">
        <f>参数调整!$J$39</f>
        <v>新增怪物种类4掉落</v>
      </c>
      <c r="C8628" s="8" t="str">
        <f>材料产出!$T$2</f>
        <v>洗髓丹</v>
      </c>
      <c r="D8628" s="224">
        <f>参数调整!$K$39*怪物掉落配置方案!$D4524</f>
        <v>2.3075915610540038E-2</v>
      </c>
    </row>
    <row r="8629" spans="1:4" ht="16.5" hidden="1" x14ac:dyDescent="0.3">
      <c r="A8629" s="10" t="str">
        <f>基本属性!$B$17&amp;"|"&amp;基本属性!$C$17</f>
        <v>135|7</v>
      </c>
      <c r="B8629" s="10" t="str">
        <f>参数调整!$J$39</f>
        <v>新增怪物种类4掉落</v>
      </c>
      <c r="C8629" s="8" t="str">
        <f>材料产出!$T$2</f>
        <v>洗髓丹</v>
      </c>
      <c r="D8629" s="224">
        <f>参数调整!$K$39*怪物掉落配置方案!$D4525</f>
        <v>3.3229318479177657E-2</v>
      </c>
    </row>
    <row r="8630" spans="1:4" ht="16.5" hidden="1" x14ac:dyDescent="0.3">
      <c r="A8630" s="10" t="str">
        <f>基本属性!$B$18&amp;"|"&amp;基本属性!$C$18</f>
        <v>155|8</v>
      </c>
      <c r="B8630" s="10" t="str">
        <f>参数调整!$J$39</f>
        <v>新增怪物种类4掉落</v>
      </c>
      <c r="C8630" s="8" t="str">
        <f>材料产出!$T$2</f>
        <v>洗髓丹</v>
      </c>
      <c r="D8630" s="224">
        <f>参数调整!$K$39*怪物掉落配置方案!$D4526</f>
        <v>4.5228794596658482E-2</v>
      </c>
    </row>
    <row r="8631" spans="1:4" ht="16.5" hidden="1" x14ac:dyDescent="0.3">
      <c r="A8631" s="10" t="str">
        <f>基本属性!$B$19&amp;"|"&amp;基本属性!$C$19</f>
        <v>190|9</v>
      </c>
      <c r="B8631" s="10" t="str">
        <f>参数调整!$J$39</f>
        <v>新增怪物种类4掉落</v>
      </c>
      <c r="C8631" s="8" t="str">
        <f>材料产出!$T$2</f>
        <v>洗髓丹</v>
      </c>
      <c r="D8631" s="224">
        <f>参数调整!$K$39*怪物掉落配置方案!$D4527</f>
        <v>5.0545485553326906E-2</v>
      </c>
    </row>
    <row r="8632" spans="1:4" ht="16.5" hidden="1" x14ac:dyDescent="0.3">
      <c r="A8632" s="10" t="str">
        <f>基本属性!$B$20&amp;"|"&amp;基本属性!$C$20</f>
        <v>200|10</v>
      </c>
      <c r="B8632" s="10" t="str">
        <f>参数调整!$J$39</f>
        <v>新增怪物种类4掉落</v>
      </c>
      <c r="C8632" s="8" t="str">
        <f>材料产出!$T$2</f>
        <v>洗髓丹</v>
      </c>
      <c r="D8632" s="224">
        <f>参数调整!$K$39*怪物掉落配置方案!$D4528</f>
        <v>5.9074343962982494E-2</v>
      </c>
    </row>
    <row r="8633" spans="1:4" ht="16.5" hidden="1" x14ac:dyDescent="0.3">
      <c r="A8633" s="10" t="str">
        <f>基本属性!$B$21&amp;"|"&amp;基本属性!$C$21</f>
        <v>200|11</v>
      </c>
      <c r="B8633" s="10" t="str">
        <f>参数调整!$J$39</f>
        <v>新增怪物种类4掉落</v>
      </c>
      <c r="C8633" s="8" t="str">
        <f>材料产出!$T$2</f>
        <v>洗髓丹</v>
      </c>
      <c r="D8633" s="224">
        <f>参数调整!$K$39*怪物掉落配置方案!$D4529</f>
        <v>6.8267788742221627E-2</v>
      </c>
    </row>
    <row r="8634" spans="1:4" ht="16.5" hidden="1" x14ac:dyDescent="0.3">
      <c r="A8634" s="10" t="str">
        <f>基本属性!$B$22&amp;"|"&amp;基本属性!$C$22</f>
        <v>210|12</v>
      </c>
      <c r="B8634" s="10" t="str">
        <f>参数调整!$J$39</f>
        <v>新增怪物种类4掉落</v>
      </c>
      <c r="C8634" s="8" t="str">
        <f>材料产出!$T$2</f>
        <v>洗髓丹</v>
      </c>
      <c r="D8634" s="224">
        <f>参数调整!$K$39*怪物掉落配置方案!$D4530</f>
        <v>7.8125819891044335E-2</v>
      </c>
    </row>
    <row r="8635" spans="1:4" ht="16.5" hidden="1" x14ac:dyDescent="0.3">
      <c r="A8635" s="10" t="str">
        <f>基本属性!$B$23&amp;"|"&amp;基本属性!$C$23</f>
        <v>210|13</v>
      </c>
      <c r="B8635" s="10" t="str">
        <f>参数调整!$J$39</f>
        <v>新增怪物种类4掉落</v>
      </c>
      <c r="C8635" s="8" t="str">
        <f>材料产出!$T$2</f>
        <v>洗髓丹</v>
      </c>
      <c r="D8635" s="224">
        <f>参数调整!$K$39*怪物掉落配置方案!$D4531</f>
        <v>8.8648437409450623E-2</v>
      </c>
    </row>
    <row r="8636" spans="1:4" ht="16.5" hidden="1" x14ac:dyDescent="0.3">
      <c r="A8636" s="10" t="str">
        <f>基本属性!$B$24&amp;"|"&amp;基本属性!$C$24</f>
        <v>220|14</v>
      </c>
      <c r="B8636" s="10" t="str">
        <f>参数调整!$J$39</f>
        <v>新增怪物种类4掉落</v>
      </c>
      <c r="C8636" s="8" t="str">
        <f>材料产出!$T$2</f>
        <v>洗髓丹</v>
      </c>
      <c r="D8636" s="224">
        <f>参数调整!$K$39*怪物掉落配置方案!$D4532</f>
        <v>9.9835641297440422E-2</v>
      </c>
    </row>
    <row r="8637" spans="1:4" ht="16.5" hidden="1" x14ac:dyDescent="0.3">
      <c r="A8637" s="10" t="str">
        <f>基本属性!$B$25&amp;"|"&amp;基本属性!$C$25</f>
        <v>220|15</v>
      </c>
      <c r="B8637" s="10" t="str">
        <f>参数调整!$J$39</f>
        <v>新增怪物种类4掉落</v>
      </c>
      <c r="C8637" s="8" t="str">
        <f>材料产出!$T$2</f>
        <v>洗髓丹</v>
      </c>
      <c r="D8637" s="224">
        <f>参数调整!$K$39*怪物掉落配置方案!$D4533</f>
        <v>0.11168743155501377</v>
      </c>
    </row>
    <row r="8638" spans="1:4" ht="16.5" hidden="1" x14ac:dyDescent="0.3">
      <c r="A8638" s="10" t="str">
        <f>基本属性!$B$26&amp;"|"&amp;基本属性!$C$26</f>
        <v>230|16</v>
      </c>
      <c r="B8638" s="10" t="str">
        <f>参数调整!$J$39</f>
        <v>新增怪物种类4掉落</v>
      </c>
      <c r="C8638" s="8" t="str">
        <f>材料产出!$T$2</f>
        <v>洗髓丹</v>
      </c>
      <c r="D8638" s="224">
        <f>参数调整!$K$39*怪物掉落配置方案!$D4534</f>
        <v>0.12420380818217069</v>
      </c>
    </row>
    <row r="8639" spans="1:4" ht="16.5" hidden="1" x14ac:dyDescent="0.3">
      <c r="A8639" s="10" t="str">
        <f>基本属性!$B$27&amp;"|"&amp;基本属性!$C$27</f>
        <v>230|17</v>
      </c>
      <c r="B8639" s="10" t="str">
        <f>参数调整!$J$39</f>
        <v>新增怪物种类4掉落</v>
      </c>
      <c r="C8639" s="8" t="str">
        <f>材料产出!$T$2</f>
        <v>洗髓丹</v>
      </c>
      <c r="D8639" s="224">
        <f>参数调整!$K$39*怪物掉落配置方案!$D4535</f>
        <v>0.13738477117891115</v>
      </c>
    </row>
    <row r="8640" spans="1:4" ht="16.5" hidden="1" x14ac:dyDescent="0.3">
      <c r="A8640" s="10" t="str">
        <f>基本属性!$B$28&amp;"|"&amp;基本属性!$C$28</f>
        <v>240|18</v>
      </c>
      <c r="B8640" s="10" t="str">
        <f>参数调整!$J$39</f>
        <v>新增怪物种类4掉落</v>
      </c>
      <c r="C8640" s="8" t="str">
        <f>材料产出!$T$2</f>
        <v>洗髓丹</v>
      </c>
      <c r="D8640" s="224">
        <f>参数调整!$K$39*怪物掉落配置方案!$D4536</f>
        <v>0.15123032054523522</v>
      </c>
    </row>
    <row r="8641" spans="1:4" ht="16.5" hidden="1" x14ac:dyDescent="0.3">
      <c r="A8641" s="10" t="str">
        <f>基本属性!$B$29&amp;"|"&amp;基本属性!$C$29</f>
        <v>240|19</v>
      </c>
      <c r="B8641" s="10" t="str">
        <f>参数调整!$J$39</f>
        <v>新增怪物种类4掉落</v>
      </c>
      <c r="C8641" s="8" t="str">
        <f>材料产出!$T$2</f>
        <v>洗髓丹</v>
      </c>
      <c r="D8641" s="224">
        <f>参数调整!$K$39*怪物掉落配置方案!$D4537</f>
        <v>0.16574045628114278</v>
      </c>
    </row>
    <row r="8642" spans="1:4" ht="16.5" hidden="1" x14ac:dyDescent="0.3">
      <c r="A8642" s="10" t="str">
        <f>基本属性!$B$30&amp;"|"&amp;基本属性!$C$30</f>
        <v>250|20</v>
      </c>
      <c r="B8642" s="10" t="str">
        <f>参数调整!$J$39</f>
        <v>新增怪物种类4掉落</v>
      </c>
      <c r="C8642" s="8" t="str">
        <f>材料产出!$T$2</f>
        <v>洗髓丹</v>
      </c>
      <c r="D8642" s="224">
        <f>参数调整!$K$39*怪物掉落配置方案!$D4538</f>
        <v>0.18091517838663387</v>
      </c>
    </row>
    <row r="8643" spans="1:4" ht="16.5" hidden="1" x14ac:dyDescent="0.3">
      <c r="A8643" s="10" t="str">
        <f>基本属性!$B$4&amp;"|"&amp;基本属性!$C$4</f>
        <v>35|0</v>
      </c>
      <c r="B8643" s="10" t="str">
        <f>参数调整!$J$39</f>
        <v>新增怪物种类4掉落</v>
      </c>
      <c r="C8643" s="8" t="str">
        <f>材料产出!$AZ$2</f>
        <v>武器碎片</v>
      </c>
      <c r="D8643" s="224">
        <f>参数调整!$K$39*怪物掉落配置方案!$D4539</f>
        <v>3.2466788833559817E-5</v>
      </c>
    </row>
    <row r="8644" spans="1:4" ht="16.5" hidden="1" x14ac:dyDescent="0.3">
      <c r="A8644" s="10" t="str">
        <f>基本属性!$B$5&amp;"|"&amp;基本属性!$C$5</f>
        <v>40|0</v>
      </c>
      <c r="B8644" s="10" t="str">
        <f>参数调整!$J$39</f>
        <v>新增怪物种类4掉落</v>
      </c>
      <c r="C8644" s="8" t="str">
        <f>材料产出!$AZ$2</f>
        <v>武器碎片</v>
      </c>
      <c r="D8644" s="224">
        <f>参数调整!$K$39*怪物掉落配置方案!$D4540</f>
        <v>4.1090779617474143E-5</v>
      </c>
    </row>
    <row r="8645" spans="1:4" ht="16.5" hidden="1" x14ac:dyDescent="0.3">
      <c r="A8645" s="10" t="str">
        <f>基本属性!$B$6&amp;"|"&amp;基本属性!$C$6</f>
        <v>50|0</v>
      </c>
      <c r="B8645" s="10" t="str">
        <f>参数调整!$J$39</f>
        <v>新增怪物种类4掉落</v>
      </c>
      <c r="C8645" s="8" t="str">
        <f>材料产出!$AZ$2</f>
        <v>武器碎片</v>
      </c>
      <c r="D8645" s="224">
        <f>参数调整!$K$39*怪物掉落配置方案!$D4541</f>
        <v>5.0729357552437217E-5</v>
      </c>
    </row>
    <row r="8646" spans="1:4" ht="16.5" hidden="1" x14ac:dyDescent="0.3">
      <c r="A8646" s="10" t="str">
        <f>基本属性!$B$7&amp;"|"&amp;基本属性!$C$7</f>
        <v>60|0</v>
      </c>
      <c r="B8646" s="10" t="str">
        <f>参数调整!$J$39</f>
        <v>新增怪物种类4掉落</v>
      </c>
      <c r="C8646" s="8" t="str">
        <f>材料产出!$AZ$2</f>
        <v>武器碎片</v>
      </c>
      <c r="D8646" s="224">
        <f>参数调整!$K$39*怪物掉落配置方案!$D4542</f>
        <v>6.1382522638449028E-5</v>
      </c>
    </row>
    <row r="8647" spans="1:4" ht="16.5" hidden="1" x14ac:dyDescent="0.3">
      <c r="A8647" s="10" t="str">
        <f>基本属性!$B$8&amp;"|"&amp;基本属性!$C$8</f>
        <v>65|0</v>
      </c>
      <c r="B8647" s="10" t="str">
        <f>参数调整!$J$39</f>
        <v>新增怪物种类4掉落</v>
      </c>
      <c r="C8647" s="8" t="str">
        <f>材料产出!$AZ$2</f>
        <v>武器碎片</v>
      </c>
      <c r="D8647" s="224">
        <f>参数调整!$K$39*怪物掉落配置方案!$D4543</f>
        <v>7.3050274875509588E-5</v>
      </c>
    </row>
    <row r="8648" spans="1:4" ht="16.5" hidden="1" x14ac:dyDescent="0.3">
      <c r="A8648" s="10" t="str">
        <f>基本属性!$B$9&amp;"|"&amp;基本属性!$C$9</f>
        <v>70|0</v>
      </c>
      <c r="B8648" s="10" t="str">
        <f>参数调整!$J$39</f>
        <v>新增怪物种类4掉落</v>
      </c>
      <c r="C8648" s="8" t="str">
        <f>材料产出!$AZ$2</f>
        <v>武器碎片</v>
      </c>
      <c r="D8648" s="224">
        <f>参数调整!$K$39*怪物掉落配置方案!$D4544</f>
        <v>8.5732614263618891E-5</v>
      </c>
    </row>
    <row r="8649" spans="1:4" ht="16.5" hidden="1" x14ac:dyDescent="0.3">
      <c r="A8649" s="10" t="str">
        <f>基本属性!$B$10&amp;"|"&amp;基本属性!$C$10</f>
        <v>75|0</v>
      </c>
      <c r="B8649" s="10" t="str">
        <f>参数调整!$J$39</f>
        <v>新增怪物种类4掉落</v>
      </c>
      <c r="C8649" s="8" t="str">
        <f>材料产出!$AZ$2</f>
        <v>武器碎片</v>
      </c>
      <c r="D8649" s="224">
        <f>参数调整!$K$39*怪物掉落配置方案!$D4545</f>
        <v>9.9429540802776923E-5</v>
      </c>
    </row>
    <row r="8650" spans="1:4" ht="16.5" hidden="1" x14ac:dyDescent="0.3">
      <c r="A8650" s="10" t="str">
        <f>基本属性!$B$11&amp;"|"&amp;基本属性!$C$11</f>
        <v>80|1</v>
      </c>
      <c r="B8650" s="10" t="str">
        <f>参数调整!$J$39</f>
        <v>新增怪物种类4掉落</v>
      </c>
      <c r="C8650" s="8" t="str">
        <f>材料产出!$AZ$2</f>
        <v>武器碎片</v>
      </c>
      <c r="D8650" s="224">
        <f>参数调整!$K$39*怪物掉落配置方案!$D4546</f>
        <v>1.1414105449298372E-4</v>
      </c>
    </row>
    <row r="8651" spans="1:4" ht="16.5" hidden="1" x14ac:dyDescent="0.3">
      <c r="A8651" s="10" t="str">
        <f>基本属性!$B$12&amp;"|"&amp;基本属性!$C$12</f>
        <v>90|2</v>
      </c>
      <c r="B8651" s="10" t="str">
        <f>参数调整!$J$39</f>
        <v>新增怪物种类4掉落</v>
      </c>
      <c r="C8651" s="8" t="str">
        <f>材料产出!$AZ$2</f>
        <v>武器碎片</v>
      </c>
      <c r="D8651" s="224">
        <f>参数调整!$K$39*怪物掉落配置方案!$D4547</f>
        <v>1.298671553342393E-4</v>
      </c>
    </row>
    <row r="8652" spans="1:4" ht="16.5" hidden="1" x14ac:dyDescent="0.3">
      <c r="A8652" s="10" t="str">
        <f>基本属性!$B$13&amp;"|"&amp;基本属性!$C$13</f>
        <v>100|3</v>
      </c>
      <c r="B8652" s="10" t="str">
        <f>参数调整!$J$39</f>
        <v>新增怪物种类4掉落</v>
      </c>
      <c r="C8652" s="8" t="str">
        <f>材料产出!$AZ$2</f>
        <v>武器碎片</v>
      </c>
      <c r="D8652" s="224">
        <f>参数调整!$K$39*怪物掉落配置方案!$D4548</f>
        <v>1.643631184698966E-4</v>
      </c>
    </row>
    <row r="8653" spans="1:4" ht="16.5" hidden="1" x14ac:dyDescent="0.3">
      <c r="A8653" s="10" t="str">
        <f>基本属性!$B$14&amp;"|"&amp;基本属性!$C$14</f>
        <v>105|4</v>
      </c>
      <c r="B8653" s="10" t="str">
        <f>参数调整!$J$39</f>
        <v>新增怪物种类4掉落</v>
      </c>
      <c r="C8653" s="8" t="str">
        <f>材料产出!$AZ$2</f>
        <v>武器碎片</v>
      </c>
      <c r="D8653" s="224">
        <f>参数调整!$K$39*怪物掉落配置方案!$D4549</f>
        <v>2.0291743020974887E-4</v>
      </c>
    </row>
    <row r="8654" spans="1:4" ht="16.5" hidden="1" x14ac:dyDescent="0.3">
      <c r="A8654" s="10" t="str">
        <f>基本属性!$B$15&amp;"|"&amp;基本属性!$C$15</f>
        <v>110|5</v>
      </c>
      <c r="B8654" s="10" t="str">
        <f>参数调整!$J$39</f>
        <v>新增怪物种类4掉落</v>
      </c>
      <c r="C8654" s="8" t="str">
        <f>材料产出!$AZ$2</f>
        <v>武器碎片</v>
      </c>
      <c r="D8654" s="224">
        <f>参数调整!$K$39*怪物掉落配置方案!$D4550</f>
        <v>2.4553009055379617E-4</v>
      </c>
    </row>
    <row r="8655" spans="1:4" ht="16.5" hidden="1" x14ac:dyDescent="0.3">
      <c r="A8655" s="10" t="str">
        <f>基本属性!$B$16&amp;"|"&amp;基本属性!$C$16</f>
        <v>120|6</v>
      </c>
      <c r="B8655" s="10" t="str">
        <f>参数调整!$J$39</f>
        <v>新增怪物种类4掉落</v>
      </c>
      <c r="C8655" s="8" t="str">
        <f>材料产出!$AZ$2</f>
        <v>武器碎片</v>
      </c>
      <c r="D8655" s="224">
        <f>参数调整!$K$39*怪物掉落配置方案!$D4551</f>
        <v>3.1705848470273265E-4</v>
      </c>
    </row>
    <row r="8656" spans="1:4" ht="16.5" hidden="1" x14ac:dyDescent="0.3">
      <c r="A8656" s="10" t="str">
        <f>基本属性!$B$17&amp;"|"&amp;基本属性!$C$17</f>
        <v>135|7</v>
      </c>
      <c r="B8656" s="10" t="str">
        <f>参数调整!$J$39</f>
        <v>新增怪物种类4掉落</v>
      </c>
      <c r="C8656" s="8" t="str">
        <f>材料产出!$AZ$2</f>
        <v>武器碎片</v>
      </c>
      <c r="D8656" s="224">
        <f>参数调整!$K$39*怪物掉落配置方案!$D4552</f>
        <v>4.565642179719349E-4</v>
      </c>
    </row>
    <row r="8657" spans="1:4" ht="16.5" hidden="1" x14ac:dyDescent="0.3">
      <c r="A8657" s="10" t="str">
        <f>基本属性!$B$18&amp;"|"&amp;基本属性!$C$18</f>
        <v>155|8</v>
      </c>
      <c r="B8657" s="10" t="str">
        <f>参数调整!$J$39</f>
        <v>新增怪物种类4掉落</v>
      </c>
      <c r="C8657" s="8" t="str">
        <f>材料产出!$AZ$2</f>
        <v>武器碎片</v>
      </c>
      <c r="D8657" s="224">
        <f>参数调整!$K$39*怪物掉落配置方案!$D4553</f>
        <v>6.2143463001735591E-4</v>
      </c>
    </row>
    <row r="8658" spans="1:4" ht="16.5" hidden="1" x14ac:dyDescent="0.3">
      <c r="A8658" s="10" t="str">
        <f>基本属性!$B$19&amp;"|"&amp;基本属性!$C$19</f>
        <v>190|9</v>
      </c>
      <c r="B8658" s="10" t="str">
        <f>参数调整!$J$39</f>
        <v>新增怪物种类4掉落</v>
      </c>
      <c r="C8658" s="8" t="str">
        <f>材料产出!$AZ$2</f>
        <v>武器碎片</v>
      </c>
      <c r="D8658" s="224">
        <f>参数调整!$K$39*怪物掉落配置方案!$D4554</f>
        <v>6.9448490489286549E-4</v>
      </c>
    </row>
    <row r="8659" spans="1:4" ht="16.5" hidden="1" x14ac:dyDescent="0.3">
      <c r="A8659" s="10" t="str">
        <f>基本属性!$B$20&amp;"|"&amp;基本属性!$C$20</f>
        <v>200|10</v>
      </c>
      <c r="B8659" s="10" t="str">
        <f>参数调整!$J$39</f>
        <v>新增怪物种类4掉落</v>
      </c>
      <c r="C8659" s="8" t="str">
        <f>材料产出!$AZ$2</f>
        <v>武器碎片</v>
      </c>
      <c r="D8659" s="224">
        <f>参数调整!$K$39*怪物掉落配置方案!$D4555</f>
        <v>8.1166972083899548E-4</v>
      </c>
    </row>
    <row r="8660" spans="1:4" ht="16.5" hidden="1" x14ac:dyDescent="0.3">
      <c r="A8660" s="10" t="str">
        <f>基本属性!$B$21&amp;"|"&amp;基本属性!$C$21</f>
        <v>200|11</v>
      </c>
      <c r="B8660" s="10" t="str">
        <f>参数调整!$J$39</f>
        <v>新增怪物种类4掉落</v>
      </c>
      <c r="C8660" s="8" t="str">
        <f>材料产出!$AZ$2</f>
        <v>武器碎片</v>
      </c>
      <c r="D8660" s="224">
        <f>参数调整!$K$39*怪物掉落配置方案!$D4556</f>
        <v>9.3798582114456382E-4</v>
      </c>
    </row>
    <row r="8661" spans="1:4" ht="16.5" hidden="1" x14ac:dyDescent="0.3">
      <c r="A8661" s="10" t="str">
        <f>基本属性!$B$22&amp;"|"&amp;基本属性!$C$22</f>
        <v>210|12</v>
      </c>
      <c r="B8661" s="10" t="str">
        <f>参数调整!$J$39</f>
        <v>新增怪物种类4掉落</v>
      </c>
      <c r="C8661" s="8" t="str">
        <f>材料产出!$AZ$2</f>
        <v>武器碎片</v>
      </c>
      <c r="D8661" s="224">
        <f>参数调整!$K$39*怪物掉落配置方案!$D4557</f>
        <v>1.0734332058095711E-3</v>
      </c>
    </row>
    <row r="8662" spans="1:4" ht="16.5" hidden="1" x14ac:dyDescent="0.3">
      <c r="A8662" s="10" t="str">
        <f>基本属性!$B$23&amp;"|"&amp;基本属性!$C$23</f>
        <v>210|13</v>
      </c>
      <c r="B8662" s="10" t="str">
        <f>参数调整!$J$39</f>
        <v>新增怪物种类4掉落</v>
      </c>
      <c r="C8662" s="8" t="str">
        <f>材料产出!$AZ$2</f>
        <v>武器碎片</v>
      </c>
      <c r="D8662" s="224">
        <f>参数调整!$K$39*怪物掉落配置方案!$D4558</f>
        <v>1.2180118748340177E-3</v>
      </c>
    </row>
    <row r="8663" spans="1:4" ht="16.5" hidden="1" x14ac:dyDescent="0.3">
      <c r="A8663" s="10" t="str">
        <f>基本属性!$B$24&amp;"|"&amp;基本属性!$C$24</f>
        <v>220|14</v>
      </c>
      <c r="B8663" s="10" t="str">
        <f>参数调整!$J$39</f>
        <v>新增怪物种类4掉落</v>
      </c>
      <c r="C8663" s="8" t="str">
        <f>材料产出!$AZ$2</f>
        <v>武器碎片</v>
      </c>
      <c r="D8663" s="224">
        <f>参数调整!$K$39*怪物掉落配置方案!$D4559</f>
        <v>1.3717218282179023E-3</v>
      </c>
    </row>
    <row r="8664" spans="1:4" ht="16.5" hidden="1" x14ac:dyDescent="0.3">
      <c r="A8664" s="10" t="str">
        <f>基本属性!$B$25&amp;"|"&amp;基本属性!$C$25</f>
        <v>220|15</v>
      </c>
      <c r="B8664" s="10" t="str">
        <f>参数调整!$J$39</f>
        <v>新增怪物种类4掉落</v>
      </c>
      <c r="C8664" s="8" t="str">
        <f>材料产出!$AZ$2</f>
        <v>武器碎片</v>
      </c>
      <c r="D8664" s="224">
        <f>参数调整!$K$39*怪物掉落配置方案!$D4560</f>
        <v>1.5345630659612253E-3</v>
      </c>
    </row>
    <row r="8665" spans="1:4" ht="16.5" hidden="1" x14ac:dyDescent="0.3">
      <c r="A8665" s="10" t="str">
        <f>基本属性!$B$26&amp;"|"&amp;基本属性!$C$26</f>
        <v>230|16</v>
      </c>
      <c r="B8665" s="10" t="str">
        <f>参数调整!$J$39</f>
        <v>新增怪物种类4掉落</v>
      </c>
      <c r="C8665" s="8" t="str">
        <f>材料产出!$AZ$2</f>
        <v>武器碎片</v>
      </c>
      <c r="D8665" s="224">
        <f>参数调整!$K$39*怪物掉落配置方案!$D4561</f>
        <v>1.7065355880639876E-3</v>
      </c>
    </row>
    <row r="8666" spans="1:4" ht="16.5" hidden="1" x14ac:dyDescent="0.3">
      <c r="A8666" s="10" t="str">
        <f>基本属性!$B$27&amp;"|"&amp;基本属性!$C$27</f>
        <v>230|17</v>
      </c>
      <c r="B8666" s="10" t="str">
        <f>参数调整!$J$39</f>
        <v>新增怪物种类4掉落</v>
      </c>
      <c r="C8666" s="8" t="str">
        <f>材料产出!$AZ$2</f>
        <v>武器碎片</v>
      </c>
      <c r="D8666" s="224">
        <f>参数调整!$K$39*怪物掉落配置方案!$D4562</f>
        <v>1.8876393945261884E-3</v>
      </c>
    </row>
    <row r="8667" spans="1:4" ht="16.5" hidden="1" x14ac:dyDescent="0.3">
      <c r="A8667" s="10" t="str">
        <f>基本属性!$B$28&amp;"|"&amp;基本属性!$C$28</f>
        <v>240|18</v>
      </c>
      <c r="B8667" s="10" t="str">
        <f>参数调整!$J$39</f>
        <v>新增怪物种类4掉落</v>
      </c>
      <c r="C8667" s="8" t="str">
        <f>材料产出!$AZ$2</f>
        <v>武器碎片</v>
      </c>
      <c r="D8667" s="224">
        <f>参数调整!$K$39*怪物掉落配置方案!$D4563</f>
        <v>2.0778744853478283E-3</v>
      </c>
    </row>
    <row r="8668" spans="1:4" ht="16.5" hidden="1" x14ac:dyDescent="0.3">
      <c r="A8668" s="10" t="str">
        <f>基本属性!$B$29&amp;"|"&amp;基本属性!$C$29</f>
        <v>240|19</v>
      </c>
      <c r="B8668" s="10" t="str">
        <f>参数调整!$J$39</f>
        <v>新增怪物种类4掉落</v>
      </c>
      <c r="C8668" s="8" t="str">
        <f>材料产出!$AZ$2</f>
        <v>武器碎片</v>
      </c>
      <c r="D8668" s="224">
        <f>参数调整!$K$39*怪物掉落配置方案!$D4564</f>
        <v>2.2772408605289066E-3</v>
      </c>
    </row>
    <row r="8669" spans="1:4" ht="16.5" hidden="1" x14ac:dyDescent="0.3">
      <c r="A8669" s="10" t="str">
        <f>基本属性!$B$30&amp;"|"&amp;基本属性!$C$30</f>
        <v>250|20</v>
      </c>
      <c r="B8669" s="10" t="str">
        <f>参数调整!$J$39</f>
        <v>新增怪物种类4掉落</v>
      </c>
      <c r="C8669" s="8" t="str">
        <f>材料产出!$AZ$2</f>
        <v>武器碎片</v>
      </c>
      <c r="D8669" s="224">
        <f>参数调整!$K$39*怪物掉落配置方案!$D4565</f>
        <v>2.4857385200694228E-3</v>
      </c>
    </row>
    <row r="8670" spans="1:4" ht="16.5" hidden="1" x14ac:dyDescent="0.3">
      <c r="A8670" s="10" t="str">
        <f>基本属性!$B$4&amp;"|"&amp;基本属性!$C$4</f>
        <v>35|0</v>
      </c>
      <c r="B8670" s="10" t="str">
        <f>参数调整!$J$39</f>
        <v>新增怪物种类4掉落</v>
      </c>
      <c r="C8670" s="8" t="str">
        <f>材料产出!$HW$2</f>
        <v>特戒装备</v>
      </c>
      <c r="D8670" s="224">
        <f>参数调整!$K$39*怪物掉落配置方案!$D4566</f>
        <v>0</v>
      </c>
    </row>
    <row r="8671" spans="1:4" ht="16.5" hidden="1" x14ac:dyDescent="0.3">
      <c r="A8671" s="10" t="str">
        <f>基本属性!$B$5&amp;"|"&amp;基本属性!$C$5</f>
        <v>40|0</v>
      </c>
      <c r="B8671" s="10" t="str">
        <f>参数调整!$J$39</f>
        <v>新增怪物种类4掉落</v>
      </c>
      <c r="C8671" s="8" t="str">
        <f>材料产出!$HW$2</f>
        <v>特戒装备</v>
      </c>
      <c r="D8671" s="224">
        <f>参数调整!$K$39*怪物掉落配置方案!$D4567</f>
        <v>0</v>
      </c>
    </row>
    <row r="8672" spans="1:4" ht="16.5" hidden="1" x14ac:dyDescent="0.3">
      <c r="A8672" s="10" t="str">
        <f>基本属性!$B$6&amp;"|"&amp;基本属性!$C$6</f>
        <v>50|0</v>
      </c>
      <c r="B8672" s="10" t="str">
        <f>参数调整!$J$39</f>
        <v>新增怪物种类4掉落</v>
      </c>
      <c r="C8672" s="8" t="str">
        <f>材料产出!$HW$2</f>
        <v>特戒装备</v>
      </c>
      <c r="D8672" s="224">
        <f>参数调整!$K$39*怪物掉落配置方案!$D4568</f>
        <v>0</v>
      </c>
    </row>
    <row r="8673" spans="1:4" ht="16.5" hidden="1" x14ac:dyDescent="0.3">
      <c r="A8673" s="10" t="str">
        <f>基本属性!$B$7&amp;"|"&amp;基本属性!$C$7</f>
        <v>60|0</v>
      </c>
      <c r="B8673" s="10" t="str">
        <f>参数调整!$J$39</f>
        <v>新增怪物种类4掉落</v>
      </c>
      <c r="C8673" s="8" t="str">
        <f>材料产出!$HW$2</f>
        <v>特戒装备</v>
      </c>
      <c r="D8673" s="224">
        <f>参数调整!$K$39*怪物掉落配置方案!$D4569</f>
        <v>0</v>
      </c>
    </row>
    <row r="8674" spans="1:4" ht="16.5" hidden="1" x14ac:dyDescent="0.3">
      <c r="A8674" s="10" t="str">
        <f>基本属性!$B$8&amp;"|"&amp;基本属性!$C$8</f>
        <v>65|0</v>
      </c>
      <c r="B8674" s="10" t="str">
        <f>参数调整!$J$39</f>
        <v>新增怪物种类4掉落</v>
      </c>
      <c r="C8674" s="8" t="str">
        <f>材料产出!$HW$2</f>
        <v>特戒装备</v>
      </c>
      <c r="D8674" s="224">
        <f>参数调整!$K$39*怪物掉落配置方案!$D4570</f>
        <v>0</v>
      </c>
    </row>
    <row r="8675" spans="1:4" ht="16.5" hidden="1" x14ac:dyDescent="0.3">
      <c r="A8675" s="10" t="str">
        <f>基本属性!$B$9&amp;"|"&amp;基本属性!$C$9</f>
        <v>70|0</v>
      </c>
      <c r="B8675" s="10" t="str">
        <f>参数调整!$J$39</f>
        <v>新增怪物种类4掉落</v>
      </c>
      <c r="C8675" s="8" t="str">
        <f>材料产出!$HW$2</f>
        <v>特戒装备</v>
      </c>
      <c r="D8675" s="224">
        <f>参数调整!$K$39*怪物掉落配置方案!$D4571</f>
        <v>0</v>
      </c>
    </row>
    <row r="8676" spans="1:4" ht="16.5" hidden="1" x14ac:dyDescent="0.3">
      <c r="A8676" s="10" t="str">
        <f>基本属性!$B$10&amp;"|"&amp;基本属性!$C$10</f>
        <v>75|0</v>
      </c>
      <c r="B8676" s="10" t="str">
        <f>参数调整!$J$39</f>
        <v>新增怪物种类4掉落</v>
      </c>
      <c r="C8676" s="8" t="str">
        <f>材料产出!$HW$2</f>
        <v>特戒装备</v>
      </c>
      <c r="D8676" s="224">
        <f>参数调整!$K$39*怪物掉落配置方案!$D4572</f>
        <v>0</v>
      </c>
    </row>
    <row r="8677" spans="1:4" ht="16.5" hidden="1" x14ac:dyDescent="0.3">
      <c r="A8677" s="10" t="str">
        <f>基本属性!$B$11&amp;"|"&amp;基本属性!$C$11</f>
        <v>80|1</v>
      </c>
      <c r="B8677" s="10" t="str">
        <f>参数调整!$J$39</f>
        <v>新增怪物种类4掉落</v>
      </c>
      <c r="C8677" s="8" t="str">
        <f>材料产出!$HW$2</f>
        <v>特戒装备</v>
      </c>
      <c r="D8677" s="224">
        <f>参数调整!$K$39*怪物掉落配置方案!$D4573</f>
        <v>0</v>
      </c>
    </row>
    <row r="8678" spans="1:4" ht="16.5" hidden="1" x14ac:dyDescent="0.3">
      <c r="A8678" s="10" t="str">
        <f>基本属性!$B$12&amp;"|"&amp;基本属性!$C$12</f>
        <v>90|2</v>
      </c>
      <c r="B8678" s="10" t="str">
        <f>参数调整!$J$39</f>
        <v>新增怪物种类4掉落</v>
      </c>
      <c r="C8678" s="8" t="str">
        <f>材料产出!$HW$2</f>
        <v>特戒装备</v>
      </c>
      <c r="D8678" s="224">
        <f>参数调整!$K$39*怪物掉落配置方案!$D4574</f>
        <v>0</v>
      </c>
    </row>
    <row r="8679" spans="1:4" ht="16.5" hidden="1" x14ac:dyDescent="0.3">
      <c r="A8679" s="10" t="str">
        <f>基本属性!$B$13&amp;"|"&amp;基本属性!$C$13</f>
        <v>100|3</v>
      </c>
      <c r="B8679" s="10" t="str">
        <f>参数调整!$J$39</f>
        <v>新增怪物种类4掉落</v>
      </c>
      <c r="C8679" s="8" t="str">
        <f>材料产出!$HW$2</f>
        <v>特戒装备</v>
      </c>
      <c r="D8679" s="224">
        <f>参数调整!$K$39*怪物掉落配置方案!$D4575</f>
        <v>0</v>
      </c>
    </row>
    <row r="8680" spans="1:4" ht="16.5" hidden="1" x14ac:dyDescent="0.3">
      <c r="A8680" s="10" t="str">
        <f>基本属性!$B$14&amp;"|"&amp;基本属性!$C$14</f>
        <v>105|4</v>
      </c>
      <c r="B8680" s="10" t="str">
        <f>参数调整!$J$39</f>
        <v>新增怪物种类4掉落</v>
      </c>
      <c r="C8680" s="8" t="str">
        <f>材料产出!$HW$2</f>
        <v>特戒装备</v>
      </c>
      <c r="D8680" s="224">
        <f>参数调整!$K$39*怪物掉落配置方案!$D4576</f>
        <v>0</v>
      </c>
    </row>
    <row r="8681" spans="1:4" ht="16.5" hidden="1" x14ac:dyDescent="0.3">
      <c r="A8681" s="10" t="str">
        <f>基本属性!$B$15&amp;"|"&amp;基本属性!$C$15</f>
        <v>110|5</v>
      </c>
      <c r="B8681" s="10" t="str">
        <f>参数调整!$J$39</f>
        <v>新增怪物种类4掉落</v>
      </c>
      <c r="C8681" s="8" t="str">
        <f>材料产出!$HW$2</f>
        <v>特戒装备</v>
      </c>
      <c r="D8681" s="224">
        <f>参数调整!$K$39*怪物掉落配置方案!$D4577</f>
        <v>0</v>
      </c>
    </row>
    <row r="8682" spans="1:4" ht="16.5" hidden="1" x14ac:dyDescent="0.3">
      <c r="A8682" s="10" t="str">
        <f>基本属性!$B$16&amp;"|"&amp;基本属性!$C$16</f>
        <v>120|6</v>
      </c>
      <c r="B8682" s="10" t="str">
        <f>参数调整!$J$39</f>
        <v>新增怪物种类4掉落</v>
      </c>
      <c r="C8682" s="8" t="str">
        <f>材料产出!$HW$2</f>
        <v>特戒装备</v>
      </c>
      <c r="D8682" s="224">
        <f>参数调整!$K$39*怪物掉落配置方案!$D4578</f>
        <v>0</v>
      </c>
    </row>
    <row r="8683" spans="1:4" ht="16.5" hidden="1" x14ac:dyDescent="0.3">
      <c r="A8683" s="10" t="str">
        <f>基本属性!$B$17&amp;"|"&amp;基本属性!$C$17</f>
        <v>135|7</v>
      </c>
      <c r="B8683" s="10" t="str">
        <f>参数调整!$J$39</f>
        <v>新增怪物种类4掉落</v>
      </c>
      <c r="C8683" s="8" t="str">
        <f>材料产出!$HW$2</f>
        <v>特戒装备</v>
      </c>
      <c r="D8683" s="224">
        <f>参数调整!$K$39*怪物掉落配置方案!$D4579</f>
        <v>0</v>
      </c>
    </row>
    <row r="8684" spans="1:4" ht="16.5" hidden="1" x14ac:dyDescent="0.3">
      <c r="A8684" s="10" t="str">
        <f>基本属性!$B$18&amp;"|"&amp;基本属性!$C$18</f>
        <v>155|8</v>
      </c>
      <c r="B8684" s="10" t="str">
        <f>参数调整!$J$39</f>
        <v>新增怪物种类4掉落</v>
      </c>
      <c r="C8684" s="8" t="str">
        <f>材料产出!$HW$2</f>
        <v>特戒装备</v>
      </c>
      <c r="D8684" s="224">
        <f>参数调整!$K$39*怪物掉落配置方案!$D4580</f>
        <v>0</v>
      </c>
    </row>
    <row r="8685" spans="1:4" ht="16.5" hidden="1" x14ac:dyDescent="0.3">
      <c r="A8685" s="10" t="str">
        <f>基本属性!$B$19&amp;"|"&amp;基本属性!$C$19</f>
        <v>190|9</v>
      </c>
      <c r="B8685" s="10" t="str">
        <f>参数调整!$J$39</f>
        <v>新增怪物种类4掉落</v>
      </c>
      <c r="C8685" s="8" t="str">
        <f>材料产出!$HW$2</f>
        <v>特戒装备</v>
      </c>
      <c r="D8685" s="224">
        <f>参数调整!$K$39*怪物掉落配置方案!$D4581</f>
        <v>0</v>
      </c>
    </row>
    <row r="8686" spans="1:4" ht="16.5" hidden="1" x14ac:dyDescent="0.3">
      <c r="A8686" s="10" t="str">
        <f>基本属性!$B$20&amp;"|"&amp;基本属性!$C$20</f>
        <v>200|10</v>
      </c>
      <c r="B8686" s="10" t="str">
        <f>参数调整!$J$39</f>
        <v>新增怪物种类4掉落</v>
      </c>
      <c r="C8686" s="8" t="str">
        <f>材料产出!$HW$2</f>
        <v>特戒装备</v>
      </c>
      <c r="D8686" s="224">
        <f>参数调整!$K$39*怪物掉落配置方案!$D4582</f>
        <v>0</v>
      </c>
    </row>
    <row r="8687" spans="1:4" ht="16.5" hidden="1" x14ac:dyDescent="0.3">
      <c r="A8687" s="10" t="str">
        <f>基本属性!$B$21&amp;"|"&amp;基本属性!$C$21</f>
        <v>200|11</v>
      </c>
      <c r="B8687" s="10" t="str">
        <f>参数调整!$J$39</f>
        <v>新增怪物种类4掉落</v>
      </c>
      <c r="C8687" s="8" t="str">
        <f>材料产出!$HW$2</f>
        <v>特戒装备</v>
      </c>
      <c r="D8687" s="224">
        <f>参数调整!$K$39*怪物掉落配置方案!$D4583</f>
        <v>0</v>
      </c>
    </row>
    <row r="8688" spans="1:4" ht="16.5" hidden="1" x14ac:dyDescent="0.3">
      <c r="A8688" s="10" t="str">
        <f>基本属性!$B$22&amp;"|"&amp;基本属性!$C$22</f>
        <v>210|12</v>
      </c>
      <c r="B8688" s="10" t="str">
        <f>参数调整!$J$39</f>
        <v>新增怪物种类4掉落</v>
      </c>
      <c r="C8688" s="8" t="str">
        <f>材料产出!$HW$2</f>
        <v>特戒装备</v>
      </c>
      <c r="D8688" s="224">
        <f>参数调整!$K$39*怪物掉落配置方案!$D4584</f>
        <v>0</v>
      </c>
    </row>
    <row r="8689" spans="1:4" ht="16.5" hidden="1" x14ac:dyDescent="0.3">
      <c r="A8689" s="10" t="str">
        <f>基本属性!$B$23&amp;"|"&amp;基本属性!$C$23</f>
        <v>210|13</v>
      </c>
      <c r="B8689" s="10" t="str">
        <f>参数调整!$J$39</f>
        <v>新增怪物种类4掉落</v>
      </c>
      <c r="C8689" s="8" t="str">
        <f>材料产出!$HW$2</f>
        <v>特戒装备</v>
      </c>
      <c r="D8689" s="224">
        <f>参数调整!$K$39*怪物掉落配置方案!$D4585</f>
        <v>0</v>
      </c>
    </row>
    <row r="8690" spans="1:4" ht="16.5" hidden="1" x14ac:dyDescent="0.3">
      <c r="A8690" s="10" t="str">
        <f>基本属性!$B$24&amp;"|"&amp;基本属性!$C$24</f>
        <v>220|14</v>
      </c>
      <c r="B8690" s="10" t="str">
        <f>参数调整!$J$39</f>
        <v>新增怪物种类4掉落</v>
      </c>
      <c r="C8690" s="8" t="str">
        <f>材料产出!$HW$2</f>
        <v>特戒装备</v>
      </c>
      <c r="D8690" s="224">
        <f>参数调整!$K$39*怪物掉落配置方案!$D4586</f>
        <v>0</v>
      </c>
    </row>
    <row r="8691" spans="1:4" ht="16.5" hidden="1" x14ac:dyDescent="0.3">
      <c r="A8691" s="10" t="str">
        <f>基本属性!$B$25&amp;"|"&amp;基本属性!$C$25</f>
        <v>220|15</v>
      </c>
      <c r="B8691" s="10" t="str">
        <f>参数调整!$J$39</f>
        <v>新增怪物种类4掉落</v>
      </c>
      <c r="C8691" s="8" t="str">
        <f>材料产出!$HW$2</f>
        <v>特戒装备</v>
      </c>
      <c r="D8691" s="224">
        <f>参数调整!$K$39*怪物掉落配置方案!$D4587</f>
        <v>0</v>
      </c>
    </row>
    <row r="8692" spans="1:4" ht="16.5" hidden="1" x14ac:dyDescent="0.3">
      <c r="A8692" s="10" t="str">
        <f>基本属性!$B$26&amp;"|"&amp;基本属性!$C$26</f>
        <v>230|16</v>
      </c>
      <c r="B8692" s="10" t="str">
        <f>参数调整!$J$39</f>
        <v>新增怪物种类4掉落</v>
      </c>
      <c r="C8692" s="8" t="str">
        <f>材料产出!$HW$2</f>
        <v>特戒装备</v>
      </c>
      <c r="D8692" s="224">
        <f>参数调整!$K$39*怪物掉落配置方案!$D4588</f>
        <v>0</v>
      </c>
    </row>
    <row r="8693" spans="1:4" ht="16.5" hidden="1" x14ac:dyDescent="0.3">
      <c r="A8693" s="10" t="str">
        <f>基本属性!$B$27&amp;"|"&amp;基本属性!$C$27</f>
        <v>230|17</v>
      </c>
      <c r="B8693" s="10" t="str">
        <f>参数调整!$J$39</f>
        <v>新增怪物种类4掉落</v>
      </c>
      <c r="C8693" s="8" t="str">
        <f>材料产出!$HW$2</f>
        <v>特戒装备</v>
      </c>
      <c r="D8693" s="224">
        <f>参数调整!$K$39*怪物掉落配置方案!$D4589</f>
        <v>0</v>
      </c>
    </row>
    <row r="8694" spans="1:4" ht="16.5" hidden="1" x14ac:dyDescent="0.3">
      <c r="A8694" s="10" t="str">
        <f>基本属性!$B$28&amp;"|"&amp;基本属性!$C$28</f>
        <v>240|18</v>
      </c>
      <c r="B8694" s="10" t="str">
        <f>参数调整!$J$39</f>
        <v>新增怪物种类4掉落</v>
      </c>
      <c r="C8694" s="8" t="str">
        <f>材料产出!$HW$2</f>
        <v>特戒装备</v>
      </c>
      <c r="D8694" s="224">
        <f>参数调整!$K$39*怪物掉落配置方案!$D4590</f>
        <v>0</v>
      </c>
    </row>
    <row r="8695" spans="1:4" ht="16.5" hidden="1" x14ac:dyDescent="0.3">
      <c r="A8695" s="10" t="str">
        <f>基本属性!$B$29&amp;"|"&amp;基本属性!$C$29</f>
        <v>240|19</v>
      </c>
      <c r="B8695" s="10" t="str">
        <f>参数调整!$J$39</f>
        <v>新增怪物种类4掉落</v>
      </c>
      <c r="C8695" s="8" t="str">
        <f>材料产出!$HW$2</f>
        <v>特戒装备</v>
      </c>
      <c r="D8695" s="224">
        <f>参数调整!$K$39*怪物掉落配置方案!$D4591</f>
        <v>0</v>
      </c>
    </row>
    <row r="8696" spans="1:4" ht="16.5" hidden="1" x14ac:dyDescent="0.3">
      <c r="A8696" s="10" t="str">
        <f>基本属性!$B$30&amp;"|"&amp;基本属性!$C$30</f>
        <v>250|20</v>
      </c>
      <c r="B8696" s="10" t="str">
        <f>参数调整!$J$39</f>
        <v>新增怪物种类4掉落</v>
      </c>
      <c r="C8696" s="8" t="str">
        <f>材料产出!$HW$2</f>
        <v>特戒装备</v>
      </c>
      <c r="D8696" s="224">
        <f>参数调整!$K$39*怪物掉落配置方案!$D4592</f>
        <v>0</v>
      </c>
    </row>
    <row r="8697" spans="1:4" ht="16.5" hidden="1" x14ac:dyDescent="0.3">
      <c r="A8697" s="10" t="str">
        <f>基本属性!$B$4&amp;"|"&amp;基本属性!$C$4</f>
        <v>35|0</v>
      </c>
      <c r="B8697" s="10" t="str">
        <f>参数调整!$J$39</f>
        <v>新增怪物种类4掉落</v>
      </c>
      <c r="C8697" s="8" t="str">
        <f>材料产出!$BF$2</f>
        <v>首饰碎片</v>
      </c>
      <c r="D8697" s="224">
        <f>参数调整!$K$39*怪物掉落配置方案!$D4593</f>
        <v>1.6233394416779908E-4</v>
      </c>
    </row>
    <row r="8698" spans="1:4" ht="16.5" hidden="1" x14ac:dyDescent="0.3">
      <c r="A8698" s="10" t="str">
        <f>基本属性!$B$5&amp;"|"&amp;基本属性!$C$5</f>
        <v>40|0</v>
      </c>
      <c r="B8698" s="10" t="str">
        <f>参数调整!$J$39</f>
        <v>新增怪物种类4掉落</v>
      </c>
      <c r="C8698" s="8" t="str">
        <f>材料产出!$BF$2</f>
        <v>首饰碎片</v>
      </c>
      <c r="D8698" s="224">
        <f>参数调整!$K$39*怪物掉落配置方案!$D4594</f>
        <v>2.0545389808737072E-4</v>
      </c>
    </row>
    <row r="8699" spans="1:4" ht="16.5" hidden="1" x14ac:dyDescent="0.3">
      <c r="A8699" s="10" t="str">
        <f>基本属性!$B$6&amp;"|"&amp;基本属性!$C$6</f>
        <v>50|0</v>
      </c>
      <c r="B8699" s="10" t="str">
        <f>参数调整!$J$39</f>
        <v>新增怪物种类4掉落</v>
      </c>
      <c r="C8699" s="8" t="str">
        <f>材料产出!$BF$2</f>
        <v>首饰碎片</v>
      </c>
      <c r="D8699" s="224">
        <f>参数调整!$K$39*怪物掉落配置方案!$D4595</f>
        <v>2.5364678776218605E-4</v>
      </c>
    </row>
    <row r="8700" spans="1:4" ht="16.5" hidden="1" x14ac:dyDescent="0.3">
      <c r="A8700" s="10" t="str">
        <f>基本属性!$B$7&amp;"|"&amp;基本属性!$C$7</f>
        <v>60|0</v>
      </c>
      <c r="B8700" s="10" t="str">
        <f>参数调整!$J$39</f>
        <v>新增怪物种类4掉落</v>
      </c>
      <c r="C8700" s="8" t="str">
        <f>材料产出!$BF$2</f>
        <v>首饰碎片</v>
      </c>
      <c r="D8700" s="224">
        <f>参数调整!$K$39*怪物掉落配置方案!$D4596</f>
        <v>3.0691261319224519E-4</v>
      </c>
    </row>
    <row r="8701" spans="1:4" ht="16.5" hidden="1" x14ac:dyDescent="0.3">
      <c r="A8701" s="10" t="str">
        <f>基本属性!$B$8&amp;"|"&amp;基本属性!$C$8</f>
        <v>65|0</v>
      </c>
      <c r="B8701" s="10" t="str">
        <f>参数调整!$J$39</f>
        <v>新增怪物种类4掉落</v>
      </c>
      <c r="C8701" s="8" t="str">
        <f>材料产出!$BF$2</f>
        <v>首饰碎片</v>
      </c>
      <c r="D8701" s="224">
        <f>参数调整!$K$39*怪物掉落配置方案!$D4597</f>
        <v>3.6525137437754793E-4</v>
      </c>
    </row>
    <row r="8702" spans="1:4" ht="16.5" hidden="1" x14ac:dyDescent="0.3">
      <c r="A8702" s="10" t="str">
        <f>基本属性!$B$9&amp;"|"&amp;基本属性!$C$9</f>
        <v>70|0</v>
      </c>
      <c r="B8702" s="10" t="str">
        <f>参数调整!$J$39</f>
        <v>新增怪物种类4掉落</v>
      </c>
      <c r="C8702" s="8" t="str">
        <f>材料产出!$BF$2</f>
        <v>首饰碎片</v>
      </c>
      <c r="D8702" s="224">
        <f>参数调整!$K$39*怪物掉落配置方案!$D4598</f>
        <v>4.2866307131809447E-4</v>
      </c>
    </row>
    <row r="8703" spans="1:4" ht="16.5" hidden="1" x14ac:dyDescent="0.3">
      <c r="A8703" s="10" t="str">
        <f>基本属性!$B$10&amp;"|"&amp;基本属性!$C$10</f>
        <v>75|0</v>
      </c>
      <c r="B8703" s="10" t="str">
        <f>参数调整!$J$39</f>
        <v>新增怪物种类4掉落</v>
      </c>
      <c r="C8703" s="8" t="str">
        <f>材料产出!$BF$2</f>
        <v>首饰碎片</v>
      </c>
      <c r="D8703" s="224">
        <f>参数调整!$K$39*怪物掉落配置方案!$D4599</f>
        <v>4.971477040138846E-4</v>
      </c>
    </row>
    <row r="8704" spans="1:4" ht="16.5" hidden="1" x14ac:dyDescent="0.3">
      <c r="A8704" s="10" t="str">
        <f>基本属性!$B$11&amp;"|"&amp;基本属性!$C$11</f>
        <v>80|1</v>
      </c>
      <c r="B8704" s="10" t="str">
        <f>参数调整!$J$39</f>
        <v>新增怪物种类4掉落</v>
      </c>
      <c r="C8704" s="8" t="str">
        <f>材料产出!$BF$2</f>
        <v>首饰碎片</v>
      </c>
      <c r="D8704" s="224">
        <f>参数调整!$K$39*怪物掉落配置方案!$D4600</f>
        <v>5.707052724649187E-4</v>
      </c>
    </row>
    <row r="8705" spans="1:4" ht="16.5" hidden="1" x14ac:dyDescent="0.3">
      <c r="A8705" s="10" t="str">
        <f>基本属性!$B$12&amp;"|"&amp;基本属性!$C$12</f>
        <v>90|2</v>
      </c>
      <c r="B8705" s="10" t="str">
        <f>参数调整!$J$39</f>
        <v>新增怪物种类4掉落</v>
      </c>
      <c r="C8705" s="8" t="str">
        <f>材料产出!$BF$2</f>
        <v>首饰碎片</v>
      </c>
      <c r="D8705" s="224">
        <f>参数调整!$K$39*怪物掉落配置方案!$D4601</f>
        <v>6.4933577667119656E-4</v>
      </c>
    </row>
    <row r="8706" spans="1:4" ht="16.5" hidden="1" x14ac:dyDescent="0.3">
      <c r="A8706" s="10" t="str">
        <f>基本属性!$B$13&amp;"|"&amp;基本属性!$C$13</f>
        <v>100|3</v>
      </c>
      <c r="B8706" s="10" t="str">
        <f>参数调整!$J$39</f>
        <v>新增怪物种类4掉落</v>
      </c>
      <c r="C8706" s="8" t="str">
        <f>材料产出!$BF$2</f>
        <v>首饰碎片</v>
      </c>
      <c r="D8706" s="224">
        <f>参数调整!$K$39*怪物掉落配置方案!$D4602</f>
        <v>8.2181559234948299E-4</v>
      </c>
    </row>
    <row r="8707" spans="1:4" ht="16.5" hidden="1" x14ac:dyDescent="0.3">
      <c r="A8707" s="10" t="str">
        <f>基本属性!$B$14&amp;"|"&amp;基本属性!$C$14</f>
        <v>105|4</v>
      </c>
      <c r="B8707" s="10" t="str">
        <f>参数调整!$J$39</f>
        <v>新增怪物种类4掉落</v>
      </c>
      <c r="C8707" s="8" t="str">
        <f>材料产出!$BF$2</f>
        <v>首饰碎片</v>
      </c>
      <c r="D8707" s="224">
        <f>参数调整!$K$39*怪物掉落配置方案!$D4603</f>
        <v>1.0145871510487444E-3</v>
      </c>
    </row>
    <row r="8708" spans="1:4" ht="16.5" hidden="1" x14ac:dyDescent="0.3">
      <c r="A8708" s="10" t="str">
        <f>基本属性!$B$15&amp;"|"&amp;基本属性!$C$15</f>
        <v>110|5</v>
      </c>
      <c r="B8708" s="10" t="str">
        <f>参数调整!$J$39</f>
        <v>新增怪物种类4掉落</v>
      </c>
      <c r="C8708" s="8" t="str">
        <f>材料产出!$BF$2</f>
        <v>首饰碎片</v>
      </c>
      <c r="D8708" s="224">
        <f>参数调整!$K$39*怪物掉落配置方案!$D4604</f>
        <v>1.2276504527689808E-3</v>
      </c>
    </row>
    <row r="8709" spans="1:4" ht="16.5" hidden="1" x14ac:dyDescent="0.3">
      <c r="A8709" s="10" t="str">
        <f>基本属性!$B$16&amp;"|"&amp;基本属性!$C$16</f>
        <v>120|6</v>
      </c>
      <c r="B8709" s="10" t="str">
        <f>参数调整!$J$39</f>
        <v>新增怪物种类4掉落</v>
      </c>
      <c r="C8709" s="8" t="str">
        <f>材料产出!$BF$2</f>
        <v>首饰碎片</v>
      </c>
      <c r="D8709" s="224">
        <f>参数调整!$K$39*怪物掉落配置方案!$D4605</f>
        <v>1.585292423513663E-3</v>
      </c>
    </row>
    <row r="8710" spans="1:4" ht="16.5" hidden="1" x14ac:dyDescent="0.3">
      <c r="A8710" s="10" t="str">
        <f>基本属性!$B$17&amp;"|"&amp;基本属性!$C$17</f>
        <v>135|7</v>
      </c>
      <c r="B8710" s="10" t="str">
        <f>参数调整!$J$39</f>
        <v>新增怪物种类4掉落</v>
      </c>
      <c r="C8710" s="8" t="str">
        <f>材料产出!$BF$2</f>
        <v>首饰碎片</v>
      </c>
      <c r="D8710" s="224">
        <f>参数调整!$K$39*怪物掉落配置方案!$D4606</f>
        <v>2.2828210898596744E-3</v>
      </c>
    </row>
    <row r="8711" spans="1:4" ht="16.5" hidden="1" x14ac:dyDescent="0.3">
      <c r="A8711" s="10" t="str">
        <f>基本属性!$B$18&amp;"|"&amp;基本属性!$C$18</f>
        <v>155|8</v>
      </c>
      <c r="B8711" s="10" t="str">
        <f>参数调整!$J$39</f>
        <v>新增怪物种类4掉落</v>
      </c>
      <c r="C8711" s="8" t="str">
        <f>材料产出!$BF$2</f>
        <v>首饰碎片</v>
      </c>
      <c r="D8711" s="224">
        <f>参数调整!$K$39*怪物掉落配置方案!$D4607</f>
        <v>3.1071731500867798E-3</v>
      </c>
    </row>
    <row r="8712" spans="1:4" ht="16.5" hidden="1" x14ac:dyDescent="0.3">
      <c r="A8712" s="10" t="str">
        <f>基本属性!$B$19&amp;"|"&amp;基本属性!$C$19</f>
        <v>190|9</v>
      </c>
      <c r="B8712" s="10" t="str">
        <f>参数调整!$J$39</f>
        <v>新增怪物种类4掉落</v>
      </c>
      <c r="C8712" s="8" t="str">
        <f>材料产出!$BF$2</f>
        <v>首饰碎片</v>
      </c>
      <c r="D8712" s="224">
        <f>参数调整!$K$39*怪物掉落配置方案!$D4608</f>
        <v>3.4724245244643274E-3</v>
      </c>
    </row>
    <row r="8713" spans="1:4" ht="16.5" hidden="1" x14ac:dyDescent="0.3">
      <c r="A8713" s="10" t="str">
        <f>基本属性!$B$20&amp;"|"&amp;基本属性!$C$20</f>
        <v>200|10</v>
      </c>
      <c r="B8713" s="10" t="str">
        <f>参数调整!$J$39</f>
        <v>新增怪物种类4掉落</v>
      </c>
      <c r="C8713" s="8" t="str">
        <f>材料产出!$BF$2</f>
        <v>首饰碎片</v>
      </c>
      <c r="D8713" s="224">
        <f>参数调整!$K$39*怪物掉落配置方案!$D4609</f>
        <v>4.0583486041949777E-3</v>
      </c>
    </row>
    <row r="8714" spans="1:4" ht="16.5" hidden="1" x14ac:dyDescent="0.3">
      <c r="A8714" s="10" t="str">
        <f>基本属性!$B$21&amp;"|"&amp;基本属性!$C$21</f>
        <v>200|11</v>
      </c>
      <c r="B8714" s="10" t="str">
        <f>参数调整!$J$39</f>
        <v>新增怪物种类4掉落</v>
      </c>
      <c r="C8714" s="8" t="str">
        <f>材料产出!$BF$2</f>
        <v>首饰碎片</v>
      </c>
      <c r="D8714" s="224">
        <f>参数调整!$K$39*怪物掉落配置方案!$D4610</f>
        <v>4.6899291057228192E-3</v>
      </c>
    </row>
    <row r="8715" spans="1:4" ht="16.5" hidden="1" x14ac:dyDescent="0.3">
      <c r="A8715" s="10" t="str">
        <f>基本属性!$B$22&amp;"|"&amp;基本属性!$C$22</f>
        <v>210|12</v>
      </c>
      <c r="B8715" s="10" t="str">
        <f>参数调整!$J$39</f>
        <v>新增怪物种类4掉落</v>
      </c>
      <c r="C8715" s="8" t="str">
        <f>材料产出!$BF$2</f>
        <v>首饰碎片</v>
      </c>
      <c r="D8715" s="224">
        <f>参数调整!$K$39*怪物掉落配置方案!$D4611</f>
        <v>5.3671660290478557E-3</v>
      </c>
    </row>
    <row r="8716" spans="1:4" ht="16.5" hidden="1" x14ac:dyDescent="0.3">
      <c r="A8716" s="10" t="str">
        <f>基本属性!$B$23&amp;"|"&amp;基本属性!$C$23</f>
        <v>210|13</v>
      </c>
      <c r="B8716" s="10" t="str">
        <f>参数调整!$J$39</f>
        <v>新增怪物种类4掉落</v>
      </c>
      <c r="C8716" s="8" t="str">
        <f>材料产出!$BF$2</f>
        <v>首饰碎片</v>
      </c>
      <c r="D8716" s="224">
        <f>参数调整!$K$39*怪物掉落配置方案!$D4612</f>
        <v>6.0900593741700882E-3</v>
      </c>
    </row>
    <row r="8717" spans="1:4" ht="16.5" hidden="1" x14ac:dyDescent="0.3">
      <c r="A8717" s="10" t="str">
        <f>基本属性!$B$24&amp;"|"&amp;基本属性!$C$24</f>
        <v>220|14</v>
      </c>
      <c r="B8717" s="10" t="str">
        <f>参数调整!$J$39</f>
        <v>新增怪物种类4掉落</v>
      </c>
      <c r="C8717" s="8" t="str">
        <f>材料产出!$BF$2</f>
        <v>首饰碎片</v>
      </c>
      <c r="D8717" s="224">
        <f>参数调整!$K$39*怪物掉落配置方案!$D4613</f>
        <v>6.8586091410895115E-3</v>
      </c>
    </row>
    <row r="8718" spans="1:4" ht="16.5" hidden="1" x14ac:dyDescent="0.3">
      <c r="A8718" s="10" t="str">
        <f>基本属性!$B$25&amp;"|"&amp;基本属性!$C$25</f>
        <v>220|15</v>
      </c>
      <c r="B8718" s="10" t="str">
        <f>参数调整!$J$39</f>
        <v>新增怪物种类4掉落</v>
      </c>
      <c r="C8718" s="8" t="str">
        <f>材料产出!$BF$2</f>
        <v>首饰碎片</v>
      </c>
      <c r="D8718" s="224">
        <f>参数调整!$K$39*怪物掉落配置方案!$D4614</f>
        <v>7.6728153298061272E-3</v>
      </c>
    </row>
    <row r="8719" spans="1:4" ht="16.5" hidden="1" x14ac:dyDescent="0.3">
      <c r="A8719" s="10" t="str">
        <f>基本属性!$B$26&amp;"|"&amp;基本属性!$C$26</f>
        <v>230|16</v>
      </c>
      <c r="B8719" s="10" t="str">
        <f>参数调整!$J$39</f>
        <v>新增怪物种类4掉落</v>
      </c>
      <c r="C8719" s="8" t="str">
        <f>材料产出!$BF$2</f>
        <v>首饰碎片</v>
      </c>
      <c r="D8719" s="224">
        <f>参数调整!$K$39*怪物掉落配置方案!$D4615</f>
        <v>8.5326779403199372E-3</v>
      </c>
    </row>
    <row r="8720" spans="1:4" ht="16.5" hidden="1" x14ac:dyDescent="0.3">
      <c r="A8720" s="10" t="str">
        <f>基本属性!$B$27&amp;"|"&amp;基本属性!$C$27</f>
        <v>230|17</v>
      </c>
      <c r="B8720" s="10" t="str">
        <f>参数调整!$J$39</f>
        <v>新增怪物种类4掉落</v>
      </c>
      <c r="C8720" s="8" t="str">
        <f>材料产出!$BF$2</f>
        <v>首饰碎片</v>
      </c>
      <c r="D8720" s="224">
        <f>参数调整!$K$39*怪物掉落配置方案!$D4616</f>
        <v>9.4381969726309422E-3</v>
      </c>
    </row>
    <row r="8721" spans="1:4" ht="16.5" hidden="1" x14ac:dyDescent="0.3">
      <c r="A8721" s="10" t="str">
        <f>基本属性!$B$28&amp;"|"&amp;基本属性!$C$28</f>
        <v>240|18</v>
      </c>
      <c r="B8721" s="10" t="str">
        <f>参数调整!$J$39</f>
        <v>新增怪物种类4掉落</v>
      </c>
      <c r="C8721" s="8" t="str">
        <f>材料产出!$BF$2</f>
        <v>首饰碎片</v>
      </c>
      <c r="D8721" s="224">
        <f>参数调整!$K$39*怪物掉落配置方案!$D4617</f>
        <v>1.0389372426739143E-2</v>
      </c>
    </row>
    <row r="8722" spans="1:4" ht="16.5" hidden="1" x14ac:dyDescent="0.3">
      <c r="A8722" s="10" t="str">
        <f>基本属性!$B$29&amp;"|"&amp;基本属性!$C$29</f>
        <v>240|19</v>
      </c>
      <c r="B8722" s="10" t="str">
        <f>参数调整!$J$39</f>
        <v>新增怪物种类4掉落</v>
      </c>
      <c r="C8722" s="8" t="str">
        <f>材料产出!$BF$2</f>
        <v>首饰碎片</v>
      </c>
      <c r="D8722" s="224">
        <f>参数调整!$K$39*怪物掉落配置方案!$D4618</f>
        <v>1.1386204302644533E-2</v>
      </c>
    </row>
    <row r="8723" spans="1:4" ht="16.5" hidden="1" x14ac:dyDescent="0.3">
      <c r="A8723" s="10" t="str">
        <f>基本属性!$B$30&amp;"|"&amp;基本属性!$C$30</f>
        <v>250|20</v>
      </c>
      <c r="B8723" s="10" t="str">
        <f>参数调整!$J$39</f>
        <v>新增怪物种类4掉落</v>
      </c>
      <c r="C8723" s="8" t="str">
        <f>材料产出!$BF$2</f>
        <v>首饰碎片</v>
      </c>
      <c r="D8723" s="224">
        <f>参数调整!$K$39*怪物掉落配置方案!$D4619</f>
        <v>1.2428692600347116E-2</v>
      </c>
    </row>
    <row r="8724" spans="1:4" ht="16.5" hidden="1" x14ac:dyDescent="0.3">
      <c r="A8724" s="10" t="str">
        <f>基本属性!$B$4&amp;"|"&amp;基本属性!$C$4</f>
        <v>35|0</v>
      </c>
      <c r="B8724" s="10" t="str">
        <f>参数调整!$J$39</f>
        <v>新增怪物种类4掉落</v>
      </c>
      <c r="C8724" s="8" t="str">
        <f>材料产出!$P$2</f>
        <v>声望</v>
      </c>
      <c r="D8724" s="224">
        <f>参数调整!$K$39*怪物掉落配置方案!$D4620</f>
        <v>2.5980037493033389E-2</v>
      </c>
    </row>
    <row r="8725" spans="1:4" ht="16.5" hidden="1" x14ac:dyDescent="0.3">
      <c r="A8725" s="10" t="str">
        <f>基本属性!$B$5&amp;"|"&amp;基本属性!$C$5</f>
        <v>40|0</v>
      </c>
      <c r="B8725" s="10" t="str">
        <f>参数调整!$J$39</f>
        <v>新增怪物种类4掉落</v>
      </c>
      <c r="C8725" s="8" t="str">
        <f>材料产出!$P$2</f>
        <v>声望</v>
      </c>
      <c r="D8725" s="224">
        <f>参数调整!$K$39*怪物掉落配置方案!$D4621</f>
        <v>3.2880984952120385E-2</v>
      </c>
    </row>
    <row r="8726" spans="1:4" ht="16.5" hidden="1" x14ac:dyDescent="0.3">
      <c r="A8726" s="10" t="str">
        <f>基本属性!$B$6&amp;"|"&amp;基本属性!$C$6</f>
        <v>50|0</v>
      </c>
      <c r="B8726" s="10" t="str">
        <f>参数调整!$J$39</f>
        <v>新增怪物种类4掉落</v>
      </c>
      <c r="C8726" s="8" t="str">
        <f>材料产出!$P$2</f>
        <v>声望</v>
      </c>
      <c r="D8726" s="224">
        <f>参数调整!$K$39*怪物掉落配置方案!$D4622</f>
        <v>4.0593808582864668E-2</v>
      </c>
    </row>
    <row r="8727" spans="1:4" ht="16.5" hidden="1" x14ac:dyDescent="0.3">
      <c r="A8727" s="10" t="str">
        <f>基本属性!$B$7&amp;"|"&amp;基本属性!$C$7</f>
        <v>60|0</v>
      </c>
      <c r="B8727" s="10" t="str">
        <f>参数调整!$J$39</f>
        <v>新增怪物种类4掉落</v>
      </c>
      <c r="C8727" s="8" t="str">
        <f>材料产出!$P$2</f>
        <v>声望</v>
      </c>
      <c r="D8727" s="224">
        <f>参数调整!$K$39*怪物掉落配置方案!$D4623</f>
        <v>4.9118508385266255E-2</v>
      </c>
    </row>
    <row r="8728" spans="1:4" ht="16.5" hidden="1" x14ac:dyDescent="0.3">
      <c r="A8728" s="10" t="str">
        <f>基本属性!$B$8&amp;"|"&amp;基本属性!$C$8</f>
        <v>65|0</v>
      </c>
      <c r="B8728" s="10" t="str">
        <f>参数调整!$J$39</f>
        <v>新增怪物种类4掉落</v>
      </c>
      <c r="C8728" s="8" t="str">
        <f>材料产出!$P$2</f>
        <v>声望</v>
      </c>
      <c r="D8728" s="224">
        <f>参数调整!$K$39*怪物掉落配置方案!$D4624</f>
        <v>5.8455084359325123E-2</v>
      </c>
    </row>
    <row r="8729" spans="1:4" ht="16.5" hidden="1" x14ac:dyDescent="0.3">
      <c r="A8729" s="10" t="str">
        <f>基本属性!$B$9&amp;"|"&amp;基本属性!$C$9</f>
        <v>70|0</v>
      </c>
      <c r="B8729" s="10" t="str">
        <f>参数调整!$J$39</f>
        <v>新增怪物种类4掉落</v>
      </c>
      <c r="C8729" s="8" t="str">
        <f>材料产出!$P$2</f>
        <v>声望</v>
      </c>
      <c r="D8729" s="224">
        <f>参数调整!$K$39*怪物掉落配置方案!$D4625</f>
        <v>6.8603536505041293E-2</v>
      </c>
    </row>
    <row r="8730" spans="1:4" ht="16.5" hidden="1" x14ac:dyDescent="0.3">
      <c r="A8730" s="10" t="str">
        <f>基本属性!$B$10&amp;"|"&amp;基本属性!$C$10</f>
        <v>75|0</v>
      </c>
      <c r="B8730" s="10" t="str">
        <f>参数调整!$J$39</f>
        <v>新增怪物种类4掉落</v>
      </c>
      <c r="C8730" s="8" t="str">
        <f>材料产出!$P$2</f>
        <v>声望</v>
      </c>
      <c r="D8730" s="224">
        <f>参数调整!$K$39*怪物掉落配置方案!$D4626</f>
        <v>7.9563864822414745E-2</v>
      </c>
    </row>
    <row r="8731" spans="1:4" ht="16.5" hidden="1" x14ac:dyDescent="0.3">
      <c r="A8731" s="10" t="str">
        <f>基本属性!$B$11&amp;"|"&amp;基本属性!$C$11</f>
        <v>80|1</v>
      </c>
      <c r="B8731" s="10" t="str">
        <f>参数调整!$J$39</f>
        <v>新增怪物种类4掉落</v>
      </c>
      <c r="C8731" s="8" t="str">
        <f>材料产出!$P$2</f>
        <v>声望</v>
      </c>
      <c r="D8731" s="224">
        <f>参数调整!$K$39*怪物掉落配置方案!$D4627</f>
        <v>9.13360693114455E-2</v>
      </c>
    </row>
    <row r="8732" spans="1:4" ht="16.5" hidden="1" x14ac:dyDescent="0.3">
      <c r="A8732" s="10" t="str">
        <f>基本属性!$B$12&amp;"|"&amp;基本属性!$C$12</f>
        <v>90|2</v>
      </c>
      <c r="B8732" s="10" t="str">
        <f>参数调整!$J$39</f>
        <v>新增怪物种类4掉落</v>
      </c>
      <c r="C8732" s="8" t="str">
        <f>材料产出!$P$2</f>
        <v>声望</v>
      </c>
      <c r="D8732" s="224">
        <f>参数调整!$K$39*怪物掉落配置方案!$D4628</f>
        <v>0.10392014997213357</v>
      </c>
    </row>
    <row r="8733" spans="1:4" ht="16.5" hidden="1" x14ac:dyDescent="0.3">
      <c r="A8733" s="10" t="str">
        <f>基本属性!$B$13&amp;"|"&amp;基本属性!$C$13</f>
        <v>100|3</v>
      </c>
      <c r="B8733" s="10" t="str">
        <f>参数调整!$J$39</f>
        <v>新增怪物种类4掉落</v>
      </c>
      <c r="C8733" s="8" t="str">
        <f>材料产出!$P$2</f>
        <v>声望</v>
      </c>
      <c r="D8733" s="224">
        <f>参数调整!$K$39*怪物掉落配置方案!$D4629</f>
        <v>0.13152393980848154</v>
      </c>
    </row>
    <row r="8734" spans="1:4" ht="16.5" hidden="1" x14ac:dyDescent="0.3">
      <c r="A8734" s="10" t="str">
        <f>基本属性!$B$14&amp;"|"&amp;基本属性!$C$14</f>
        <v>105|4</v>
      </c>
      <c r="B8734" s="10" t="str">
        <f>参数调整!$J$39</f>
        <v>新增怪物种类4掉落</v>
      </c>
      <c r="C8734" s="8" t="str">
        <f>材料产出!$P$2</f>
        <v>声望</v>
      </c>
      <c r="D8734" s="224">
        <f>参数调整!$K$39*怪物掉落配置方案!$D4630</f>
        <v>0.1623752343314587</v>
      </c>
    </row>
    <row r="8735" spans="1:4" ht="16.5" hidden="1" x14ac:dyDescent="0.3">
      <c r="A8735" s="10" t="str">
        <f>基本属性!$B$15&amp;"|"&amp;基本属性!$C$15</f>
        <v>110|5</v>
      </c>
      <c r="B8735" s="10" t="str">
        <f>参数调整!$J$39</f>
        <v>新增怪物种类4掉落</v>
      </c>
      <c r="C8735" s="8" t="str">
        <f>材料产出!$P$2</f>
        <v>声望</v>
      </c>
      <c r="D8735" s="224">
        <f>参数调整!$K$39*怪物掉落配置方案!$D4631</f>
        <v>0.19647403354106502</v>
      </c>
    </row>
    <row r="8736" spans="1:4" ht="16.5" hidden="1" x14ac:dyDescent="0.3">
      <c r="A8736" s="10" t="str">
        <f>基本属性!$B$16&amp;"|"&amp;基本属性!$C$16</f>
        <v>120|6</v>
      </c>
      <c r="B8736" s="10" t="str">
        <f>参数调整!$J$39</f>
        <v>新增怪物种类4掉落</v>
      </c>
      <c r="C8736" s="8" t="str">
        <f>材料产出!$P$2</f>
        <v>声望</v>
      </c>
      <c r="D8736" s="224">
        <f>参数调整!$K$39*怪物掉落配置方案!$D4632</f>
        <v>0.25371130364290417</v>
      </c>
    </row>
    <row r="8737" spans="1:4" ht="16.5" hidden="1" x14ac:dyDescent="0.3">
      <c r="A8737" s="10" t="str">
        <f>基本属性!$B$17&amp;"|"&amp;基本属性!$C$17</f>
        <v>135|7</v>
      </c>
      <c r="B8737" s="10" t="str">
        <f>参数调整!$J$39</f>
        <v>新增怪物种类4掉落</v>
      </c>
      <c r="C8737" s="8" t="str">
        <f>材料产出!$P$2</f>
        <v>声望</v>
      </c>
      <c r="D8737" s="224">
        <f>参数调整!$K$39*怪物掉落配置方案!$D4633</f>
        <v>0.365344277245782</v>
      </c>
    </row>
    <row r="8738" spans="1:4" ht="16.5" hidden="1" x14ac:dyDescent="0.3">
      <c r="A8738" s="10" t="str">
        <f>基本属性!$B$18&amp;"|"&amp;基本属性!$C$18</f>
        <v>155|8</v>
      </c>
      <c r="B8738" s="10" t="str">
        <f>参数调整!$J$39</f>
        <v>新增怪物种类4掉落</v>
      </c>
      <c r="C8738" s="8" t="str">
        <f>材料产出!$P$2</f>
        <v>声望</v>
      </c>
      <c r="D8738" s="224">
        <f>参数调整!$K$39*怪物掉落配置方案!$D4634</f>
        <v>0.49727415514009221</v>
      </c>
    </row>
    <row r="8739" spans="1:4" ht="16.5" hidden="1" x14ac:dyDescent="0.3">
      <c r="A8739" s="10" t="str">
        <f>基本属性!$B$19&amp;"|"&amp;基本属性!$C$19</f>
        <v>190|9</v>
      </c>
      <c r="B8739" s="10" t="str">
        <f>参数调整!$J$39</f>
        <v>新增怪物种类4掉落</v>
      </c>
      <c r="C8739" s="8" t="str">
        <f>材料产出!$P$2</f>
        <v>声望</v>
      </c>
      <c r="D8739" s="224">
        <f>参数调整!$K$39*怪物掉落配置方案!$D4635</f>
        <v>0.55572923949941744</v>
      </c>
    </row>
    <row r="8740" spans="1:4" ht="16.5" hidden="1" x14ac:dyDescent="0.3">
      <c r="A8740" s="10" t="str">
        <f>基本属性!$B$20&amp;"|"&amp;基本属性!$C$20</f>
        <v>200|10</v>
      </c>
      <c r="B8740" s="10" t="str">
        <f>参数调整!$J$39</f>
        <v>新增怪物种类4掉落</v>
      </c>
      <c r="C8740" s="8" t="str">
        <f>材料产出!$P$2</f>
        <v>声望</v>
      </c>
      <c r="D8740" s="224">
        <f>参数调整!$K$39*怪物掉落配置方案!$D4636</f>
        <v>0.6495009373258348</v>
      </c>
    </row>
    <row r="8741" spans="1:4" ht="16.5" hidden="1" x14ac:dyDescent="0.3">
      <c r="A8741" s="10" t="str">
        <f>基本属性!$B$21&amp;"|"&amp;基本属性!$C$21</f>
        <v>200|11</v>
      </c>
      <c r="B8741" s="10" t="str">
        <f>参数调整!$J$39</f>
        <v>新增怪物种类4掉落</v>
      </c>
      <c r="C8741" s="8" t="str">
        <f>材料产出!$P$2</f>
        <v>声望</v>
      </c>
      <c r="D8741" s="224">
        <f>参数调整!$K$39*怪物掉落配置方案!$D4637</f>
        <v>0.7505795206971676</v>
      </c>
    </row>
    <row r="8742" spans="1:4" ht="16.5" hidden="1" x14ac:dyDescent="0.3">
      <c r="A8742" s="10" t="str">
        <f>基本属性!$B$22&amp;"|"&amp;基本属性!$C$22</f>
        <v>210|12</v>
      </c>
      <c r="B8742" s="10" t="str">
        <f>参数调整!$J$39</f>
        <v>新增怪物种类4掉落</v>
      </c>
      <c r="C8742" s="8" t="str">
        <f>材料产出!$P$2</f>
        <v>声望</v>
      </c>
      <c r="D8742" s="224">
        <f>参数调整!$K$39*怪物掉落配置方案!$D4638</f>
        <v>0.85896498961341616</v>
      </c>
    </row>
    <row r="8743" spans="1:4" ht="16.5" hidden="1" x14ac:dyDescent="0.3">
      <c r="A8743" s="10" t="str">
        <f>基本属性!$B$23&amp;"|"&amp;基本属性!$C$23</f>
        <v>210|13</v>
      </c>
      <c r="B8743" s="10" t="str">
        <f>参数调整!$J$39</f>
        <v>新增怪物种类4掉落</v>
      </c>
      <c r="C8743" s="8" t="str">
        <f>材料产出!$P$2</f>
        <v>声望</v>
      </c>
      <c r="D8743" s="224">
        <f>参数调整!$K$39*怪物掉落配置方案!$D4639</f>
        <v>0.97465734407458093</v>
      </c>
    </row>
    <row r="8744" spans="1:4" ht="16.5" hidden="1" x14ac:dyDescent="0.3">
      <c r="A8744" s="10" t="str">
        <f>基本属性!$B$24&amp;"|"&amp;基本属性!$C$24</f>
        <v>220|14</v>
      </c>
      <c r="B8744" s="10" t="str">
        <f>参数调整!$J$39</f>
        <v>新增怪物种类4掉落</v>
      </c>
      <c r="C8744" s="8" t="str">
        <f>材料产出!$P$2</f>
        <v>声望</v>
      </c>
      <c r="D8744" s="224">
        <f>参数调整!$K$39*怪物掉落配置方案!$D4640</f>
        <v>1.0976565840806607</v>
      </c>
    </row>
    <row r="8745" spans="1:4" ht="16.5" hidden="1" x14ac:dyDescent="0.3">
      <c r="A8745" s="10" t="str">
        <f>基本属性!$B$25&amp;"|"&amp;基本属性!$C$25</f>
        <v>220|15</v>
      </c>
      <c r="B8745" s="10" t="str">
        <f>参数调整!$J$39</f>
        <v>新增怪物种类4掉落</v>
      </c>
      <c r="C8745" s="8" t="str">
        <f>材料产出!$P$2</f>
        <v>声望</v>
      </c>
      <c r="D8745" s="224">
        <f>参数调整!$K$39*怪物掉落配置方案!$D4641</f>
        <v>1.2279627096316561</v>
      </c>
    </row>
    <row r="8746" spans="1:4" ht="16.5" hidden="1" x14ac:dyDescent="0.3">
      <c r="A8746" s="10" t="str">
        <f>基本属性!$B$26&amp;"|"&amp;基本属性!$C$26</f>
        <v>230|16</v>
      </c>
      <c r="B8746" s="10" t="str">
        <f>参数调整!$J$39</f>
        <v>新增怪物种类4掉落</v>
      </c>
      <c r="C8746" s="8" t="str">
        <f>材料产出!$P$2</f>
        <v>声望</v>
      </c>
      <c r="D8746" s="224">
        <f>参数调整!$K$39*怪物掉落配置方案!$D4642</f>
        <v>1.3655757207275676</v>
      </c>
    </row>
    <row r="8747" spans="1:4" ht="16.5" hidden="1" x14ac:dyDescent="0.3">
      <c r="A8747" s="10" t="str">
        <f>基本属性!$B$27&amp;"|"&amp;基本属性!$C$27</f>
        <v>230|17</v>
      </c>
      <c r="B8747" s="10" t="str">
        <f>参数调整!$J$39</f>
        <v>新增怪物种类4掉落</v>
      </c>
      <c r="C8747" s="8" t="str">
        <f>材料产出!$P$2</f>
        <v>声望</v>
      </c>
      <c r="D8747" s="224">
        <f>参数调整!$K$39*怪物掉落配置方案!$D4643</f>
        <v>1.5104956173683941</v>
      </c>
    </row>
    <row r="8748" spans="1:4" ht="16.5" hidden="1" x14ac:dyDescent="0.3">
      <c r="A8748" s="10" t="str">
        <f>基本属性!$B$28&amp;"|"&amp;基本属性!$C$28</f>
        <v>240|18</v>
      </c>
      <c r="B8748" s="10" t="str">
        <f>参数调整!$J$39</f>
        <v>新增怪物种类4掉落</v>
      </c>
      <c r="C8748" s="8" t="str">
        <f>材料产出!$P$2</f>
        <v>声望</v>
      </c>
      <c r="D8748" s="224">
        <f>参数调整!$K$39*怪物掉落配置方案!$D4644</f>
        <v>1.6627223995541371</v>
      </c>
    </row>
    <row r="8749" spans="1:4" ht="16.5" hidden="1" x14ac:dyDescent="0.3">
      <c r="A8749" s="10" t="str">
        <f>基本属性!$B$29&amp;"|"&amp;基本属性!$C$29</f>
        <v>240|19</v>
      </c>
      <c r="B8749" s="10" t="str">
        <f>参数调整!$J$39</f>
        <v>新增怪物种类4掉落</v>
      </c>
      <c r="C8749" s="8" t="str">
        <f>材料产出!$P$2</f>
        <v>声望</v>
      </c>
      <c r="D8749" s="224">
        <f>参数调整!$K$39*怪物掉落配置方案!$D4645</f>
        <v>1.8222560672847952</v>
      </c>
    </row>
    <row r="8750" spans="1:4" ht="16.5" hidden="1" x14ac:dyDescent="0.3">
      <c r="A8750" s="10" t="str">
        <f>基本属性!$B$30&amp;"|"&amp;基本属性!$C$30</f>
        <v>250|20</v>
      </c>
      <c r="B8750" s="10" t="str">
        <f>参数调整!$J$39</f>
        <v>新增怪物种类4掉落</v>
      </c>
      <c r="C8750" s="8" t="str">
        <f>材料产出!$P$2</f>
        <v>声望</v>
      </c>
      <c r="D8750" s="224">
        <f>参数调整!$K$39*怪物掉落配置方案!$D4646</f>
        <v>1.9890966205603684</v>
      </c>
    </row>
    <row r="8751" spans="1:4" ht="16.5" hidden="1" x14ac:dyDescent="0.3">
      <c r="A8751" s="10" t="str">
        <f>基本属性!$B$4&amp;"|"&amp;基本属性!$C$4</f>
        <v>35|0</v>
      </c>
      <c r="B8751" s="10" t="str">
        <f>参数调整!$J$39</f>
        <v>新增怪物种类4掉落</v>
      </c>
      <c r="C8751" s="8" t="str">
        <f>材料产出!$AV$2</f>
        <v>神器图纸</v>
      </c>
      <c r="D8751" s="224">
        <f>参数调整!$K$39*怪物掉落配置方案!$D4647</f>
        <v>1.1688043980081532E-4</v>
      </c>
    </row>
    <row r="8752" spans="1:4" ht="16.5" hidden="1" x14ac:dyDescent="0.3">
      <c r="A8752" s="10" t="str">
        <f>基本属性!$B$5&amp;"|"&amp;基本属性!$C$5</f>
        <v>40|0</v>
      </c>
      <c r="B8752" s="10" t="str">
        <f>参数调整!$J$39</f>
        <v>新增怪物种类4掉落</v>
      </c>
      <c r="C8752" s="8" t="str">
        <f>材料产出!$AV$2</f>
        <v>神器图纸</v>
      </c>
      <c r="D8752" s="224">
        <f>参数调整!$K$39*怪物掉落配置方案!$D4648</f>
        <v>1.4792680662290689E-4</v>
      </c>
    </row>
    <row r="8753" spans="1:4" ht="16.5" hidden="1" x14ac:dyDescent="0.3">
      <c r="A8753" s="10" t="str">
        <f>基本属性!$B$6&amp;"|"&amp;基本属性!$C$6</f>
        <v>50|0</v>
      </c>
      <c r="B8753" s="10" t="str">
        <f>参数调整!$J$39</f>
        <v>新增怪物种类4掉落</v>
      </c>
      <c r="C8753" s="8" t="str">
        <f>材料产出!$AV$2</f>
        <v>神器图纸</v>
      </c>
      <c r="D8753" s="224">
        <f>参数调整!$K$39*怪物掉落配置方案!$D4649</f>
        <v>1.8262568718877394E-4</v>
      </c>
    </row>
    <row r="8754" spans="1:4" ht="16.5" hidden="1" x14ac:dyDescent="0.3">
      <c r="A8754" s="10" t="str">
        <f>基本属性!$B$7&amp;"|"&amp;基本属性!$C$7</f>
        <v>60|0</v>
      </c>
      <c r="B8754" s="10" t="str">
        <f>参数调整!$J$39</f>
        <v>新增怪物种类4掉落</v>
      </c>
      <c r="C8754" s="8" t="str">
        <f>材料产出!$AV$2</f>
        <v>神器图纸</v>
      </c>
      <c r="D8754" s="224">
        <f>参数调整!$K$39*怪物掉落配置方案!$D4650</f>
        <v>2.2097708149841652E-4</v>
      </c>
    </row>
    <row r="8755" spans="1:4" ht="16.5" hidden="1" x14ac:dyDescent="0.3">
      <c r="A8755" s="10" t="str">
        <f>基本属性!$B$8&amp;"|"&amp;基本属性!$C$8</f>
        <v>65|0</v>
      </c>
      <c r="B8755" s="10" t="str">
        <f>参数调整!$J$39</f>
        <v>新增怪物种类4掉落</v>
      </c>
      <c r="C8755" s="8" t="str">
        <f>材料产出!$AV$2</f>
        <v>神器图纸</v>
      </c>
      <c r="D8755" s="224">
        <f>参数调整!$K$39*怪物掉落配置方案!$D4651</f>
        <v>2.6298098955183447E-4</v>
      </c>
    </row>
    <row r="8756" spans="1:4" ht="16.5" hidden="1" x14ac:dyDescent="0.3">
      <c r="A8756" s="10" t="str">
        <f>基本属性!$B$9&amp;"|"&amp;基本属性!$C$9</f>
        <v>70|0</v>
      </c>
      <c r="B8756" s="10" t="str">
        <f>参数调整!$J$39</f>
        <v>新增怪物种类4掉落</v>
      </c>
      <c r="C8756" s="8" t="str">
        <f>材料产出!$AV$2</f>
        <v>神器图纸</v>
      </c>
      <c r="D8756" s="224">
        <f>参数调整!$K$39*怪物掉落配置方案!$D4652</f>
        <v>3.0863741134902798E-4</v>
      </c>
    </row>
    <row r="8757" spans="1:4" ht="16.5" hidden="1" x14ac:dyDescent="0.3">
      <c r="A8757" s="10" t="str">
        <f>基本属性!$B$10&amp;"|"&amp;基本属性!$C$10</f>
        <v>75|0</v>
      </c>
      <c r="B8757" s="10" t="str">
        <f>参数调整!$J$39</f>
        <v>新增怪物种类4掉落</v>
      </c>
      <c r="C8757" s="8" t="str">
        <f>材料产出!$AV$2</f>
        <v>神器图纸</v>
      </c>
      <c r="D8757" s="224">
        <f>参数调整!$K$39*怪物掉落配置方案!$D4653</f>
        <v>3.5794634688999692E-4</v>
      </c>
    </row>
    <row r="8758" spans="1:4" ht="16.5" hidden="1" x14ac:dyDescent="0.3">
      <c r="A8758" s="10" t="str">
        <f>基本属性!$B$11&amp;"|"&amp;基本属性!$C$11</f>
        <v>80|1</v>
      </c>
      <c r="B8758" s="10" t="str">
        <f>参数调整!$J$39</f>
        <v>新增怪物种类4掉落</v>
      </c>
      <c r="C8758" s="8" t="str">
        <f>材料产出!$AV$2</f>
        <v>神器图纸</v>
      </c>
      <c r="D8758" s="224">
        <f>参数调整!$K$39*怪物掉落配置方案!$D4654</f>
        <v>4.1090779617474133E-4</v>
      </c>
    </row>
    <row r="8759" spans="1:4" ht="16.5" hidden="1" x14ac:dyDescent="0.3">
      <c r="A8759" s="10" t="str">
        <f>基本属性!$B$12&amp;"|"&amp;基本属性!$C$12</f>
        <v>90|2</v>
      </c>
      <c r="B8759" s="10" t="str">
        <f>参数调整!$J$39</f>
        <v>新增怪物种类4掉落</v>
      </c>
      <c r="C8759" s="8" t="str">
        <f>材料产出!$AV$2</f>
        <v>神器图纸</v>
      </c>
      <c r="D8759" s="224">
        <f>参数调整!$K$39*怪物掉落配置方案!$D4655</f>
        <v>4.6752175920326139E-4</v>
      </c>
    </row>
    <row r="8760" spans="1:4" ht="16.5" hidden="1" x14ac:dyDescent="0.3">
      <c r="A8760" s="10" t="str">
        <f>基本属性!$B$13&amp;"|"&amp;基本属性!$C$13</f>
        <v>100|3</v>
      </c>
      <c r="B8760" s="10" t="str">
        <f>参数调整!$J$39</f>
        <v>新增怪物种类4掉落</v>
      </c>
      <c r="C8760" s="8" t="str">
        <f>材料产出!$AV$2</f>
        <v>神器图纸</v>
      </c>
      <c r="D8760" s="224">
        <f>参数调整!$K$39*怪物掉落配置方案!$D4656</f>
        <v>5.9170722649162766E-4</v>
      </c>
    </row>
    <row r="8761" spans="1:4" ht="16.5" hidden="1" x14ac:dyDescent="0.3">
      <c r="A8761" s="10" t="str">
        <f>基本属性!$B$14&amp;"|"&amp;基本属性!$C$14</f>
        <v>105|4</v>
      </c>
      <c r="B8761" s="10" t="str">
        <f>参数调整!$J$39</f>
        <v>新增怪物种类4掉落</v>
      </c>
      <c r="C8761" s="8" t="str">
        <f>材料产出!$AV$2</f>
        <v>神器图纸</v>
      </c>
      <c r="D8761" s="224">
        <f>参数调整!$K$39*怪物掉落配置方案!$D4657</f>
        <v>7.3050274875509586E-4</v>
      </c>
    </row>
    <row r="8762" spans="1:4" ht="16.5" hidden="1" x14ac:dyDescent="0.3">
      <c r="A8762" s="10" t="str">
        <f>基本属性!$B$15&amp;"|"&amp;基本属性!$C$15</f>
        <v>110|5</v>
      </c>
      <c r="B8762" s="10" t="str">
        <f>参数调整!$J$39</f>
        <v>新增怪物种类4掉落</v>
      </c>
      <c r="C8762" s="8" t="str">
        <f>材料产出!$AV$2</f>
        <v>神器图纸</v>
      </c>
      <c r="D8762" s="224">
        <f>参数调整!$K$39*怪物掉落配置方案!$D4658</f>
        <v>8.8390832599366607E-4</v>
      </c>
    </row>
    <row r="8763" spans="1:4" ht="16.5" hidden="1" x14ac:dyDescent="0.3">
      <c r="A8763" s="10" t="str">
        <f>基本属性!$B$16&amp;"|"&amp;基本属性!$C$16</f>
        <v>120|6</v>
      </c>
      <c r="B8763" s="10" t="str">
        <f>参数调整!$J$39</f>
        <v>新增怪物种类4掉落</v>
      </c>
      <c r="C8763" s="8" t="str">
        <f>材料产出!$AV$2</f>
        <v>神器图纸</v>
      </c>
      <c r="D8763" s="224">
        <f>参数调整!$K$39*怪物掉落配置方案!$D4659</f>
        <v>1.1414105449298372E-3</v>
      </c>
    </row>
    <row r="8764" spans="1:4" ht="16.5" hidden="1" x14ac:dyDescent="0.3">
      <c r="A8764" s="10" t="str">
        <f>基本属性!$B$17&amp;"|"&amp;基本属性!$C$17</f>
        <v>135|7</v>
      </c>
      <c r="B8764" s="10" t="str">
        <f>参数调整!$J$39</f>
        <v>新增怪物种类4掉落</v>
      </c>
      <c r="C8764" s="8" t="str">
        <f>材料产出!$AV$2</f>
        <v>神器图纸</v>
      </c>
      <c r="D8764" s="224">
        <f>参数调整!$K$39*怪物掉落配置方案!$D4660</f>
        <v>1.6436311846989653E-3</v>
      </c>
    </row>
    <row r="8765" spans="1:4" ht="16.5" hidden="1" x14ac:dyDescent="0.3">
      <c r="A8765" s="10" t="str">
        <f>基本属性!$B$18&amp;"|"&amp;基本属性!$C$18</f>
        <v>155|8</v>
      </c>
      <c r="B8765" s="10" t="str">
        <f>参数调整!$J$39</f>
        <v>新增怪物种类4掉落</v>
      </c>
      <c r="C8765" s="8" t="str">
        <f>材料产出!$AV$2</f>
        <v>神器图纸</v>
      </c>
      <c r="D8765" s="224">
        <f>参数调整!$K$39*怪物掉落配置方案!$D4661</f>
        <v>2.237164668062481E-3</v>
      </c>
    </row>
    <row r="8766" spans="1:4" ht="16.5" hidden="1" x14ac:dyDescent="0.3">
      <c r="A8766" s="10" t="str">
        <f>基本属性!$B$19&amp;"|"&amp;基本属性!$C$19</f>
        <v>190|9</v>
      </c>
      <c r="B8766" s="10" t="str">
        <f>参数调整!$J$39</f>
        <v>新增怪物种类4掉落</v>
      </c>
      <c r="C8766" s="8" t="str">
        <f>材料产出!$AV$2</f>
        <v>神器图纸</v>
      </c>
      <c r="D8766" s="224">
        <f>参数调整!$K$39*怪物掉落配置方案!$D4662</f>
        <v>2.5001456576143155E-3</v>
      </c>
    </row>
    <row r="8767" spans="1:4" ht="16.5" hidden="1" x14ac:dyDescent="0.3">
      <c r="A8767" s="10" t="str">
        <f>基本属性!$B$20&amp;"|"&amp;基本属性!$C$20</f>
        <v>200|10</v>
      </c>
      <c r="B8767" s="10" t="str">
        <f>参数调整!$J$39</f>
        <v>新增怪物种类4掉落</v>
      </c>
      <c r="C8767" s="8" t="str">
        <f>材料产出!$AV$2</f>
        <v>神器图纸</v>
      </c>
      <c r="D8767" s="224">
        <f>参数调整!$K$39*怪物掉落配置方案!$D4663</f>
        <v>2.9220109950203834E-3</v>
      </c>
    </row>
    <row r="8768" spans="1:4" ht="16.5" hidden="1" x14ac:dyDescent="0.3">
      <c r="A8768" s="10" t="str">
        <f>基本属性!$B$21&amp;"|"&amp;基本属性!$C$21</f>
        <v>200|11</v>
      </c>
      <c r="B8768" s="10" t="str">
        <f>参数调整!$J$39</f>
        <v>新增怪物种类4掉落</v>
      </c>
      <c r="C8768" s="8" t="str">
        <f>材料产出!$AV$2</f>
        <v>神器图纸</v>
      </c>
      <c r="D8768" s="224">
        <f>参数调整!$K$39*怪物掉落配置方案!$D4664</f>
        <v>3.3767489561204295E-3</v>
      </c>
    </row>
    <row r="8769" spans="1:4" ht="16.5" hidden="1" x14ac:dyDescent="0.3">
      <c r="A8769" s="10" t="str">
        <f>基本属性!$B$22&amp;"|"&amp;基本属性!$C$22</f>
        <v>210|12</v>
      </c>
      <c r="B8769" s="10" t="str">
        <f>参数调整!$J$39</f>
        <v>新增怪物种类4掉落</v>
      </c>
      <c r="C8769" s="8" t="str">
        <f>材料产出!$AV$2</f>
        <v>神器图纸</v>
      </c>
      <c r="D8769" s="224">
        <f>参数调整!$K$39*怪物掉落配置方案!$D4665</f>
        <v>3.8643595409144555E-3</v>
      </c>
    </row>
    <row r="8770" spans="1:4" ht="16.5" hidden="1" x14ac:dyDescent="0.3">
      <c r="A8770" s="10" t="str">
        <f>基本属性!$B$23&amp;"|"&amp;基本属性!$C$23</f>
        <v>210|13</v>
      </c>
      <c r="B8770" s="10" t="str">
        <f>参数调整!$J$39</f>
        <v>新增怪物种类4掉落</v>
      </c>
      <c r="C8770" s="8" t="str">
        <f>材料产出!$AV$2</f>
        <v>神器图纸</v>
      </c>
      <c r="D8770" s="224">
        <f>参数调整!$K$39*怪物掉落配置方案!$D4666</f>
        <v>4.3848427494024636E-3</v>
      </c>
    </row>
    <row r="8771" spans="1:4" ht="16.5" hidden="1" x14ac:dyDescent="0.3">
      <c r="A8771" s="10" t="str">
        <f>基本属性!$B$24&amp;"|"&amp;基本属性!$C$24</f>
        <v>220|14</v>
      </c>
      <c r="B8771" s="10" t="str">
        <f>参数调整!$J$39</f>
        <v>新增怪物种类4掉落</v>
      </c>
      <c r="C8771" s="8" t="str">
        <f>材料产出!$AV$2</f>
        <v>神器图纸</v>
      </c>
      <c r="D8771" s="224">
        <f>参数调整!$K$39*怪物掉落配置方案!$D4667</f>
        <v>4.9381985815844477E-3</v>
      </c>
    </row>
    <row r="8772" spans="1:4" ht="16.5" hidden="1" x14ac:dyDescent="0.3">
      <c r="A8772" s="10" t="str">
        <f>基本属性!$B$25&amp;"|"&amp;基本属性!$C$25</f>
        <v>220|15</v>
      </c>
      <c r="B8772" s="10" t="str">
        <f>参数调整!$J$39</f>
        <v>新增怪物种类4掉落</v>
      </c>
      <c r="C8772" s="8" t="str">
        <f>材料产出!$AV$2</f>
        <v>神器图纸</v>
      </c>
      <c r="D8772" s="224">
        <f>参数调整!$K$39*怪物掉落配置方案!$D4668</f>
        <v>5.5244270374604108E-3</v>
      </c>
    </row>
    <row r="8773" spans="1:4" ht="16.5" hidden="1" x14ac:dyDescent="0.3">
      <c r="A8773" s="10" t="str">
        <f>基本属性!$B$26&amp;"|"&amp;基本属性!$C$26</f>
        <v>230|16</v>
      </c>
      <c r="B8773" s="10" t="str">
        <f>参数调整!$J$39</f>
        <v>新增怪物种类4掉落</v>
      </c>
      <c r="C8773" s="8" t="str">
        <f>材料产出!$AV$2</f>
        <v>神器图纸</v>
      </c>
      <c r="D8773" s="224">
        <f>参数调整!$K$39*怪物掉落配置方案!$D4669</f>
        <v>6.1435281170303547E-3</v>
      </c>
    </row>
    <row r="8774" spans="1:4" ht="16.5" hidden="1" x14ac:dyDescent="0.3">
      <c r="A8774" s="10" t="str">
        <f>基本属性!$B$27&amp;"|"&amp;基本属性!$C$27</f>
        <v>230|17</v>
      </c>
      <c r="B8774" s="10" t="str">
        <f>参数调整!$J$39</f>
        <v>新增怪物种类4掉落</v>
      </c>
      <c r="C8774" s="8" t="str">
        <f>材料产出!$AV$2</f>
        <v>神器图纸</v>
      </c>
      <c r="D8774" s="224">
        <f>参数调整!$K$39*怪物掉落配置方案!$D4670</f>
        <v>6.7955018202942776E-3</v>
      </c>
    </row>
    <row r="8775" spans="1:4" ht="16.5" hidden="1" x14ac:dyDescent="0.3">
      <c r="A8775" s="10" t="str">
        <f>基本属性!$B$28&amp;"|"&amp;基本属性!$C$28</f>
        <v>240|18</v>
      </c>
      <c r="B8775" s="10" t="str">
        <f>参数调整!$J$39</f>
        <v>新增怪物种类4掉落</v>
      </c>
      <c r="C8775" s="8" t="str">
        <f>材料产出!$AV$2</f>
        <v>神器图纸</v>
      </c>
      <c r="D8775" s="224">
        <f>参数调整!$K$39*怪物掉落配置方案!$D4671</f>
        <v>7.4803481472521822E-3</v>
      </c>
    </row>
    <row r="8776" spans="1:4" ht="16.5" hidden="1" x14ac:dyDescent="0.3">
      <c r="A8776" s="10" t="str">
        <f>基本属性!$B$29&amp;"|"&amp;基本属性!$C$29</f>
        <v>240|19</v>
      </c>
      <c r="B8776" s="10" t="str">
        <f>参数调整!$J$39</f>
        <v>新增怪物种类4掉落</v>
      </c>
      <c r="C8776" s="8" t="str">
        <f>材料产出!$AV$2</f>
        <v>神器图纸</v>
      </c>
      <c r="D8776" s="224">
        <f>参数调整!$K$39*怪物掉落配置方案!$D4672</f>
        <v>8.1980670979040632E-3</v>
      </c>
    </row>
    <row r="8777" spans="1:4" ht="16.5" hidden="1" x14ac:dyDescent="0.3">
      <c r="A8777" s="10" t="str">
        <f>基本属性!$B$30&amp;"|"&amp;基本属性!$C$30</f>
        <v>250|20</v>
      </c>
      <c r="B8777" s="10" t="str">
        <f>参数调整!$J$39</f>
        <v>新增怪物种类4掉落</v>
      </c>
      <c r="C8777" s="8" t="str">
        <f>材料产出!$AV$2</f>
        <v>神器图纸</v>
      </c>
      <c r="D8777" s="224">
        <f>参数调整!$K$39*怪物掉落配置方案!$D4673</f>
        <v>8.9486586722499224E-3</v>
      </c>
    </row>
    <row r="8778" spans="1:4" ht="16.5" hidden="1" x14ac:dyDescent="0.3">
      <c r="A8778" s="10" t="str">
        <f>基本属性!$B$4&amp;"|"&amp;基本属性!$C$4</f>
        <v>35|0</v>
      </c>
      <c r="B8778" s="10" t="str">
        <f>参数调整!$J$39</f>
        <v>新增怪物种类4掉落</v>
      </c>
      <c r="C8778" s="8" t="str">
        <f>材料产出!$AH$2</f>
        <v>神品升星石</v>
      </c>
      <c r="D8778" s="224">
        <f>参数调整!$K$39*怪物掉落配置方案!$D4674</f>
        <v>1.8146017047248237E-3</v>
      </c>
    </row>
    <row r="8779" spans="1:4" ht="16.5" hidden="1" x14ac:dyDescent="0.3">
      <c r="A8779" s="10" t="str">
        <f>基本属性!$B$5&amp;"|"&amp;基本属性!$C$5</f>
        <v>40|0</v>
      </c>
      <c r="B8779" s="10" t="str">
        <f>参数调整!$J$39</f>
        <v>新增怪物种类4掉落</v>
      </c>
      <c r="C8779" s="8" t="str">
        <f>材料产出!$AH$2</f>
        <v>神品升星石</v>
      </c>
      <c r="D8779" s="224">
        <f>参数调整!$K$39*怪物掉落配置方案!$D4675</f>
        <v>2.2966052825423551E-3</v>
      </c>
    </row>
    <row r="8780" spans="1:4" ht="16.5" hidden="1" x14ac:dyDescent="0.3">
      <c r="A8780" s="10" t="str">
        <f>基本属性!$B$6&amp;"|"&amp;基本属性!$C$6</f>
        <v>50|0</v>
      </c>
      <c r="B8780" s="10" t="str">
        <f>参数调整!$J$39</f>
        <v>新增怪物种类4掉落</v>
      </c>
      <c r="C8780" s="8" t="str">
        <f>材料产出!$AH$2</f>
        <v>神品升星石</v>
      </c>
      <c r="D8780" s="224">
        <f>参数调整!$K$39*怪物掉落配置方案!$D4676</f>
        <v>2.8353151636325369E-3</v>
      </c>
    </row>
    <row r="8781" spans="1:4" ht="16.5" hidden="1" x14ac:dyDescent="0.3">
      <c r="A8781" s="10" t="str">
        <f>基本属性!$B$7&amp;"|"&amp;基本属性!$C$7</f>
        <v>60|0</v>
      </c>
      <c r="B8781" s="10" t="str">
        <f>参数调整!$J$39</f>
        <v>新增怪物种类4掉落</v>
      </c>
      <c r="C8781" s="8" t="str">
        <f>材料产出!$AH$2</f>
        <v>神品升星石</v>
      </c>
      <c r="D8781" s="224">
        <f>参数调整!$K$39*怪物掉落配置方案!$D4677</f>
        <v>3.4307313479953702E-3</v>
      </c>
    </row>
    <row r="8782" spans="1:4" ht="16.5" hidden="1" x14ac:dyDescent="0.3">
      <c r="A8782" s="10" t="str">
        <f>基本属性!$B$8&amp;"|"&amp;基本属性!$C$8</f>
        <v>65|0</v>
      </c>
      <c r="B8782" s="10" t="str">
        <f>参数调整!$J$39</f>
        <v>新增怪物种类4掉落</v>
      </c>
      <c r="C8782" s="8" t="str">
        <f>材料产出!$AH$2</f>
        <v>神品升星石</v>
      </c>
      <c r="D8782" s="224">
        <f>参数调整!$K$39*怪物掉落配置方案!$D4678</f>
        <v>4.0828538356308536E-3</v>
      </c>
    </row>
    <row r="8783" spans="1:4" ht="16.5" hidden="1" x14ac:dyDescent="0.3">
      <c r="A8783" s="10" t="str">
        <f>基本属性!$B$9&amp;"|"&amp;基本属性!$C$9</f>
        <v>70|0</v>
      </c>
      <c r="B8783" s="10" t="str">
        <f>参数调整!$J$39</f>
        <v>新增怪物种类4掉落</v>
      </c>
      <c r="C8783" s="8" t="str">
        <f>材料产出!$AH$2</f>
        <v>神品升星石</v>
      </c>
      <c r="D8783" s="224">
        <f>参数调整!$K$39*怪物掉落配置方案!$D4679</f>
        <v>4.7916826265389885E-3</v>
      </c>
    </row>
    <row r="8784" spans="1:4" ht="16.5" hidden="1" x14ac:dyDescent="0.3">
      <c r="A8784" s="10" t="str">
        <f>基本属性!$B$10&amp;"|"&amp;基本属性!$C$10</f>
        <v>75|0</v>
      </c>
      <c r="B8784" s="10" t="str">
        <f>参数调整!$J$39</f>
        <v>新增怪物种类4掉落</v>
      </c>
      <c r="C8784" s="8" t="str">
        <f>材料产出!$AH$2</f>
        <v>神品升星石</v>
      </c>
      <c r="D8784" s="224">
        <f>参数调整!$K$39*怪物掉落配置方案!$D4680</f>
        <v>5.5572177207197718E-3</v>
      </c>
    </row>
    <row r="8785" spans="1:4" ht="16.5" hidden="1" x14ac:dyDescent="0.3">
      <c r="A8785" s="10" t="str">
        <f>基本属性!$B$11&amp;"|"&amp;基本属性!$C$11</f>
        <v>80|1</v>
      </c>
      <c r="B8785" s="10" t="str">
        <f>参数调整!$J$39</f>
        <v>新增怪物种类4掉落</v>
      </c>
      <c r="C8785" s="8" t="str">
        <f>材料产出!$AH$2</f>
        <v>神品升星石</v>
      </c>
      <c r="D8785" s="224">
        <f>参数调整!$K$39*怪物掉落配置方案!$D4681</f>
        <v>6.3794591181732087E-3</v>
      </c>
    </row>
    <row r="8786" spans="1:4" ht="16.5" hidden="1" x14ac:dyDescent="0.3">
      <c r="A8786" s="10" t="str">
        <f>基本属性!$B$12&amp;"|"&amp;基本属性!$C$12</f>
        <v>90|2</v>
      </c>
      <c r="B8786" s="10" t="str">
        <f>参数调整!$J$39</f>
        <v>新增怪物种类4掉落</v>
      </c>
      <c r="C8786" s="8" t="str">
        <f>材料产出!$AH$2</f>
        <v>神品升星石</v>
      </c>
      <c r="D8786" s="224">
        <f>参数调整!$K$39*怪物掉落配置方案!$D4682</f>
        <v>7.2584068188992967E-3</v>
      </c>
    </row>
    <row r="8787" spans="1:4" ht="16.5" hidden="1" x14ac:dyDescent="0.3">
      <c r="A8787" s="10" t="str">
        <f>基本属性!$B$13&amp;"|"&amp;基本属性!$C$13</f>
        <v>100|3</v>
      </c>
      <c r="B8787" s="10" t="str">
        <f>参数调整!$J$39</f>
        <v>新增怪物种类4掉落</v>
      </c>
      <c r="C8787" s="8" t="str">
        <f>材料产出!$AH$2</f>
        <v>神品升星石</v>
      </c>
      <c r="D8787" s="224">
        <f>参数调整!$K$39*怪物掉落配置方案!$D4683</f>
        <v>9.1864211301694223E-3</v>
      </c>
    </row>
    <row r="8788" spans="1:4" ht="16.5" hidden="1" x14ac:dyDescent="0.3">
      <c r="A8788" s="10" t="str">
        <f>基本属性!$B$14&amp;"|"&amp;基本属性!$C$14</f>
        <v>105|4</v>
      </c>
      <c r="B8788" s="10" t="str">
        <f>参数调整!$J$39</f>
        <v>新增怪物种类4掉落</v>
      </c>
      <c r="C8788" s="8" t="str">
        <f>材料产出!$AH$2</f>
        <v>神品升星石</v>
      </c>
      <c r="D8788" s="224">
        <f>参数调整!$K$39*怪物掉落配置方案!$D4684</f>
        <v>1.1341260654530148E-2</v>
      </c>
    </row>
    <row r="8789" spans="1:4" ht="16.5" hidden="1" x14ac:dyDescent="0.3">
      <c r="A8789" s="10" t="str">
        <f>基本属性!$B$15&amp;"|"&amp;基本属性!$C$15</f>
        <v>110|5</v>
      </c>
      <c r="B8789" s="10" t="str">
        <f>参数调整!$J$39</f>
        <v>新增怪物种类4掉落</v>
      </c>
      <c r="C8789" s="8" t="str">
        <f>材料产出!$AH$2</f>
        <v>神品升星石</v>
      </c>
      <c r="D8789" s="224">
        <f>参数调整!$K$39*怪物掉落配置方案!$D4685</f>
        <v>1.3722925391981482E-2</v>
      </c>
    </row>
    <row r="8790" spans="1:4" ht="16.5" hidden="1" x14ac:dyDescent="0.3">
      <c r="A8790" s="10" t="str">
        <f>基本属性!$B$16&amp;"|"&amp;基本属性!$C$16</f>
        <v>120|6</v>
      </c>
      <c r="B8790" s="10" t="str">
        <f>参数调整!$J$39</f>
        <v>新增怪物种类4掉落</v>
      </c>
      <c r="C8790" s="8" t="str">
        <f>材料产出!$AH$2</f>
        <v>神品升星石</v>
      </c>
      <c r="D8790" s="224">
        <f>参数调整!$K$39*怪物掉落配置方案!$D4686</f>
        <v>1.7720719772703362E-2</v>
      </c>
    </row>
    <row r="8791" spans="1:4" ht="16.5" hidden="1" x14ac:dyDescent="0.3">
      <c r="A8791" s="10" t="str">
        <f>基本属性!$B$17&amp;"|"&amp;基本属性!$C$17</f>
        <v>135|7</v>
      </c>
      <c r="B8791" s="10" t="str">
        <f>参数调整!$J$39</f>
        <v>新增怪物种类4掉落</v>
      </c>
      <c r="C8791" s="8" t="str">
        <f>材料产出!$AH$2</f>
        <v>神品升星石</v>
      </c>
      <c r="D8791" s="224">
        <f>参数调整!$K$39*怪物掉落配置方案!$D4687</f>
        <v>2.5517836472692835E-2</v>
      </c>
    </row>
    <row r="8792" spans="1:4" ht="16.5" hidden="1" x14ac:dyDescent="0.3">
      <c r="A8792" s="10" t="str">
        <f>基本属性!$B$18&amp;"|"&amp;基本属性!$C$18</f>
        <v>155|8</v>
      </c>
      <c r="B8792" s="10" t="str">
        <f>参数调整!$J$39</f>
        <v>新增怪物种类4掉落</v>
      </c>
      <c r="C8792" s="8" t="str">
        <f>材料产出!$AH$2</f>
        <v>神品升星石</v>
      </c>
      <c r="D8792" s="224">
        <f>参数调整!$K$39*怪物掉落配置方案!$D4688</f>
        <v>3.4732610754498586E-2</v>
      </c>
    </row>
    <row r="8793" spans="1:4" ht="16.5" hidden="1" x14ac:dyDescent="0.3">
      <c r="A8793" s="10" t="str">
        <f>基本属性!$B$19&amp;"|"&amp;基本属性!$C$19</f>
        <v>190|9</v>
      </c>
      <c r="B8793" s="10" t="str">
        <f>参数调整!$J$39</f>
        <v>新增怪物种类4掉落</v>
      </c>
      <c r="C8793" s="8" t="str">
        <f>材料产出!$AH$2</f>
        <v>神品升星石</v>
      </c>
      <c r="D8793" s="224">
        <f>参数调整!$K$39*怪物掉落配置方案!$D4689</f>
        <v>3.8815464590129439E-2</v>
      </c>
    </row>
    <row r="8794" spans="1:4" ht="16.5" hidden="1" x14ac:dyDescent="0.3">
      <c r="A8794" s="10" t="str">
        <f>基本属性!$B$20&amp;"|"&amp;基本属性!$C$20</f>
        <v>200|10</v>
      </c>
      <c r="B8794" s="10" t="str">
        <f>参数调整!$J$39</f>
        <v>新增怪物种类4掉落</v>
      </c>
      <c r="C8794" s="8" t="str">
        <f>材料产出!$AH$2</f>
        <v>神品升星石</v>
      </c>
      <c r="D8794" s="224">
        <f>参数调整!$K$39*怪物掉落配置方案!$D4690</f>
        <v>4.5365042618120591E-2</v>
      </c>
    </row>
    <row r="8795" spans="1:4" ht="16.5" hidden="1" x14ac:dyDescent="0.3">
      <c r="A8795" s="10" t="str">
        <f>基本属性!$B$21&amp;"|"&amp;基本属性!$C$21</f>
        <v>200|11</v>
      </c>
      <c r="B8795" s="10" t="str">
        <f>参数调整!$J$39</f>
        <v>新增怪物种类4掉落</v>
      </c>
      <c r="C8795" s="8" t="str">
        <f>材料产出!$AH$2</f>
        <v>神品升星石</v>
      </c>
      <c r="D8795" s="224">
        <f>参数调整!$K$39*怪物掉落配置方案!$D4691</f>
        <v>5.2424977375565604E-2</v>
      </c>
    </row>
    <row r="8796" spans="1:4" ht="16.5" hidden="1" x14ac:dyDescent="0.3">
      <c r="A8796" s="10" t="str">
        <f>基本属性!$B$22&amp;"|"&amp;基本属性!$C$22</f>
        <v>210|12</v>
      </c>
      <c r="B8796" s="10" t="str">
        <f>参数调整!$J$39</f>
        <v>新增怪物种类4掉落</v>
      </c>
      <c r="C8796" s="8" t="str">
        <f>材料产出!$AH$2</f>
        <v>神品升星石</v>
      </c>
      <c r="D8796" s="224">
        <f>参数调整!$K$39*怪物掉落配置方案!$D4692</f>
        <v>5.9995268862464472E-2</v>
      </c>
    </row>
    <row r="8797" spans="1:4" ht="16.5" hidden="1" x14ac:dyDescent="0.3">
      <c r="A8797" s="10" t="str">
        <f>基本属性!$B$23&amp;"|"&amp;基本属性!$C$23</f>
        <v>210|13</v>
      </c>
      <c r="B8797" s="10" t="str">
        <f>参数调整!$J$39</f>
        <v>新增怪物种类4掉落</v>
      </c>
      <c r="C8797" s="8" t="str">
        <f>材料产出!$AH$2</f>
        <v>神品升星石</v>
      </c>
      <c r="D8797" s="224">
        <f>参数调整!$K$39*怪物掉落配置方案!$D4693</f>
        <v>6.807591707881723E-2</v>
      </c>
    </row>
    <row r="8798" spans="1:4" ht="16.5" hidden="1" x14ac:dyDescent="0.3">
      <c r="A8798" s="10" t="str">
        <f>基本属性!$B$24&amp;"|"&amp;基本属性!$C$24</f>
        <v>220|14</v>
      </c>
      <c r="B8798" s="10" t="str">
        <f>参数调整!$J$39</f>
        <v>新增怪物种类4掉落</v>
      </c>
      <c r="C8798" s="8" t="str">
        <f>材料产出!$AH$2</f>
        <v>神品升星石</v>
      </c>
      <c r="D8798" s="224">
        <f>参数调整!$K$39*怪物掉落配置方案!$D4694</f>
        <v>7.6666922024623815E-2</v>
      </c>
    </row>
    <row r="8799" spans="1:4" ht="16.5" hidden="1" x14ac:dyDescent="0.3">
      <c r="A8799" s="10" t="str">
        <f>基本属性!$B$25&amp;"|"&amp;基本属性!$C$25</f>
        <v>220|15</v>
      </c>
      <c r="B8799" s="10" t="str">
        <f>参数调整!$J$39</f>
        <v>新增怪物种类4掉落</v>
      </c>
      <c r="C8799" s="8" t="str">
        <f>材料产出!$AH$2</f>
        <v>神品升星石</v>
      </c>
      <c r="D8799" s="224">
        <f>参数调整!$K$39*怪物掉落配置方案!$D4695</f>
        <v>8.5768283699884248E-2</v>
      </c>
    </row>
    <row r="8800" spans="1:4" ht="16.5" hidden="1" x14ac:dyDescent="0.3">
      <c r="A8800" s="10" t="str">
        <f>基本属性!$B$26&amp;"|"&amp;基本属性!$C$26</f>
        <v>230|16</v>
      </c>
      <c r="B8800" s="10" t="str">
        <f>参数调整!$J$39</f>
        <v>新增怪物种类4掉落</v>
      </c>
      <c r="C8800" s="8" t="str">
        <f>材料产出!$AH$2</f>
        <v>神品升星石</v>
      </c>
      <c r="D8800" s="224">
        <f>参数调整!$K$39*怪物掉落配置方案!$D4696</f>
        <v>9.5380002104598544E-2</v>
      </c>
    </row>
    <row r="8801" spans="1:4" ht="16.5" hidden="1" x14ac:dyDescent="0.3">
      <c r="A8801" s="10" t="str">
        <f>基本属性!$B$27&amp;"|"&amp;基本属性!$C$27</f>
        <v>230|17</v>
      </c>
      <c r="B8801" s="10" t="str">
        <f>参数调整!$J$39</f>
        <v>新增怪物种类4掉落</v>
      </c>
      <c r="C8801" s="8" t="str">
        <f>材料产出!$AH$2</f>
        <v>神品升星石</v>
      </c>
      <c r="D8801" s="224">
        <f>参数调整!$K$39*怪物掉落配置方案!$D4697</f>
        <v>0.1055020772387667</v>
      </c>
    </row>
    <row r="8802" spans="1:4" ht="16.5" hidden="1" x14ac:dyDescent="0.3">
      <c r="A8802" s="10" t="str">
        <f>基本属性!$B$28&amp;"|"&amp;基本属性!$C$28</f>
        <v>240|18</v>
      </c>
      <c r="B8802" s="10" t="str">
        <f>参数调整!$J$39</f>
        <v>新增怪物种类4掉落</v>
      </c>
      <c r="C8802" s="8" t="str">
        <f>材料产出!$AH$2</f>
        <v>神品升星石</v>
      </c>
      <c r="D8802" s="224">
        <f>参数调整!$K$39*怪物掉落配置方案!$D4698</f>
        <v>0.11613450910238872</v>
      </c>
    </row>
    <row r="8803" spans="1:4" ht="16.5" hidden="1" x14ac:dyDescent="0.3">
      <c r="A8803" s="10" t="str">
        <f>基本属性!$B$29&amp;"|"&amp;基本属性!$C$29</f>
        <v>240|19</v>
      </c>
      <c r="B8803" s="10" t="str">
        <f>参数调整!$J$39</f>
        <v>新增怪物种类4掉落</v>
      </c>
      <c r="C8803" s="8" t="str">
        <f>材料产出!$AH$2</f>
        <v>神品升星石</v>
      </c>
      <c r="D8803" s="224">
        <f>参数调整!$K$39*怪物掉落配置方案!$D4699</f>
        <v>0.12727729769546461</v>
      </c>
    </row>
    <row r="8804" spans="1:4" ht="16.5" hidden="1" x14ac:dyDescent="0.3">
      <c r="A8804" s="10" t="str">
        <f>基本属性!$B$30&amp;"|"&amp;基本属性!$C$30</f>
        <v>250|20</v>
      </c>
      <c r="B8804" s="10" t="str">
        <f>参数调整!$J$39</f>
        <v>新增怪物种类4掉落</v>
      </c>
      <c r="C8804" s="8" t="str">
        <f>材料产出!$AH$2</f>
        <v>神品升星石</v>
      </c>
      <c r="D8804" s="224">
        <f>参数调整!$K$39*怪物掉落配置方案!$D4700</f>
        <v>0.13893044301799429</v>
      </c>
    </row>
    <row r="8805" spans="1:4" ht="16.5" hidden="1" x14ac:dyDescent="0.3">
      <c r="A8805" s="10" t="str">
        <f>基本属性!$B$4&amp;"|"&amp;基本属性!$C$4</f>
        <v>35|0</v>
      </c>
      <c r="B8805" s="10" t="str">
        <f>参数调整!$J$39</f>
        <v>新增怪物种类4掉落</v>
      </c>
      <c r="C8805" s="8" t="str">
        <f>材料产出!$AL$2</f>
        <v>上品注灵石</v>
      </c>
      <c r="D8805" s="224">
        <f>参数调整!$K$39*怪物掉落配置方案!$D4701</f>
        <v>1.0368820578847132E-2</v>
      </c>
    </row>
    <row r="8806" spans="1:4" ht="16.5" hidden="1" x14ac:dyDescent="0.3">
      <c r="A8806" s="10" t="str">
        <f>基本属性!$B$5&amp;"|"&amp;基本属性!$C$5</f>
        <v>40|0</v>
      </c>
      <c r="B8806" s="10" t="str">
        <f>参数调整!$J$39</f>
        <v>新增怪物种类4掉落</v>
      </c>
      <c r="C8806" s="8" t="str">
        <f>材料产出!$AL$2</f>
        <v>上品注灵石</v>
      </c>
      <c r="D8806" s="224">
        <f>参数调整!$K$39*怪物掉落配置方案!$D4702</f>
        <v>1.3123038545103403E-2</v>
      </c>
    </row>
    <row r="8807" spans="1:4" ht="16.5" hidden="1" x14ac:dyDescent="0.3">
      <c r="A8807" s="10" t="str">
        <f>基本属性!$B$6&amp;"|"&amp;基本属性!$C$6</f>
        <v>50|0</v>
      </c>
      <c r="B8807" s="10" t="str">
        <f>参数调整!$J$39</f>
        <v>新增怪物种类4掉落</v>
      </c>
      <c r="C8807" s="8" t="str">
        <f>材料产出!$AL$2</f>
        <v>上品注灵石</v>
      </c>
      <c r="D8807" s="224">
        <f>参数调整!$K$39*怪物掉落配置方案!$D4703</f>
        <v>1.6201282154448646E-2</v>
      </c>
    </row>
    <row r="8808" spans="1:4" ht="16.5" hidden="1" x14ac:dyDescent="0.3">
      <c r="A8808" s="10" t="str">
        <f>基本属性!$B$7&amp;"|"&amp;基本属性!$C$7</f>
        <v>60|0</v>
      </c>
      <c r="B8808" s="10" t="str">
        <f>参数调整!$J$39</f>
        <v>新增怪物种类4掉落</v>
      </c>
      <c r="C8808" s="8" t="str">
        <f>材料产出!$AL$2</f>
        <v>上品注灵石</v>
      </c>
      <c r="D8808" s="224">
        <f>参数调整!$K$39*怪物掉落配置方案!$D4704</f>
        <v>1.9603551406882865E-2</v>
      </c>
    </row>
    <row r="8809" spans="1:4" ht="16.5" hidden="1" x14ac:dyDescent="0.3">
      <c r="A8809" s="10" t="str">
        <f>基本属性!$B$8&amp;"|"&amp;基本属性!$C$8</f>
        <v>65|0</v>
      </c>
      <c r="B8809" s="10" t="str">
        <f>参数调整!$J$39</f>
        <v>新增怪物种类4掉落</v>
      </c>
      <c r="C8809" s="8" t="str">
        <f>材料产出!$AL$2</f>
        <v>上品注灵石</v>
      </c>
      <c r="D8809" s="224">
        <f>参数调整!$K$39*怪物掉落配置方案!$D4705</f>
        <v>2.3329846302406046E-2</v>
      </c>
    </row>
    <row r="8810" spans="1:4" ht="16.5" hidden="1" x14ac:dyDescent="0.3">
      <c r="A8810" s="10" t="str">
        <f>基本属性!$B$9&amp;"|"&amp;基本属性!$C$9</f>
        <v>70|0</v>
      </c>
      <c r="B8810" s="10" t="str">
        <f>参数调整!$J$39</f>
        <v>新增怪物种类4掉落</v>
      </c>
      <c r="C8810" s="8" t="str">
        <f>材料产出!$AL$2</f>
        <v>上品注灵石</v>
      </c>
      <c r="D8810" s="224">
        <f>参数调整!$K$39*怪物掉落配置方案!$D4706</f>
        <v>2.7380166841018211E-2</v>
      </c>
    </row>
    <row r="8811" spans="1:4" ht="16.5" hidden="1" x14ac:dyDescent="0.3">
      <c r="A8811" s="10" t="str">
        <f>基本属性!$B$10&amp;"|"&amp;基本属性!$C$10</f>
        <v>75|0</v>
      </c>
      <c r="B8811" s="10" t="str">
        <f>参数调整!$J$39</f>
        <v>新增怪物种类4掉落</v>
      </c>
      <c r="C8811" s="8" t="str">
        <f>材料产出!$AL$2</f>
        <v>上品注灵石</v>
      </c>
      <c r="D8811" s="224">
        <f>参数调整!$K$39*怪物掉落配置方案!$D4707</f>
        <v>3.1754513022719338E-2</v>
      </c>
    </row>
    <row r="8812" spans="1:4" ht="16.5" hidden="1" x14ac:dyDescent="0.3">
      <c r="A8812" s="10" t="str">
        <f>基本属性!$B$11&amp;"|"&amp;基本属性!$C$11</f>
        <v>80|1</v>
      </c>
      <c r="B8812" s="10" t="str">
        <f>参数调整!$J$39</f>
        <v>新增怪物种类4掉落</v>
      </c>
      <c r="C8812" s="8" t="str">
        <f>材料产出!$AL$2</f>
        <v>上品注灵石</v>
      </c>
      <c r="D8812" s="224">
        <f>参数调整!$K$39*怪物掉落配置方案!$D4708</f>
        <v>3.6452884847509456E-2</v>
      </c>
    </row>
    <row r="8813" spans="1:4" ht="16.5" hidden="1" x14ac:dyDescent="0.3">
      <c r="A8813" s="10" t="str">
        <f>基本属性!$B$12&amp;"|"&amp;基本属性!$C$12</f>
        <v>90|2</v>
      </c>
      <c r="B8813" s="10" t="str">
        <f>参数调整!$J$39</f>
        <v>新增怪物种类4掉落</v>
      </c>
      <c r="C8813" s="8" t="str">
        <f>材料产出!$AL$2</f>
        <v>上品注灵石</v>
      </c>
      <c r="D8813" s="224">
        <f>参数调整!$K$39*怪物掉落配置方案!$D4709</f>
        <v>4.1475282315388537E-2</v>
      </c>
    </row>
    <row r="8814" spans="1:4" ht="16.5" hidden="1" x14ac:dyDescent="0.3">
      <c r="A8814" s="10" t="str">
        <f>基本属性!$B$13&amp;"|"&amp;基本属性!$C$13</f>
        <v>100|3</v>
      </c>
      <c r="B8814" s="10" t="str">
        <f>参数调整!$J$39</f>
        <v>新增怪物种类4掉落</v>
      </c>
      <c r="C8814" s="8" t="str">
        <f>材料产出!$AL$2</f>
        <v>上品注灵石</v>
      </c>
      <c r="D8814" s="224">
        <f>参数调整!$K$39*怪物掉落配置方案!$D4710</f>
        <v>5.2492154180413614E-2</v>
      </c>
    </row>
    <row r="8815" spans="1:4" ht="16.5" hidden="1" x14ac:dyDescent="0.3">
      <c r="A8815" s="10" t="str">
        <f>基本属性!$B$14&amp;"|"&amp;基本属性!$C$14</f>
        <v>105|4</v>
      </c>
      <c r="B8815" s="10" t="str">
        <f>参数调整!$J$39</f>
        <v>新增怪物种类4掉落</v>
      </c>
      <c r="C8815" s="8" t="str">
        <f>材料产出!$AL$2</f>
        <v>上品注灵石</v>
      </c>
      <c r="D8815" s="224">
        <f>参数调整!$K$39*怪物掉落配置方案!$D4711</f>
        <v>6.4805128617794583E-2</v>
      </c>
    </row>
    <row r="8816" spans="1:4" ht="16.5" hidden="1" x14ac:dyDescent="0.3">
      <c r="A8816" s="10" t="str">
        <f>基本属性!$B$15&amp;"|"&amp;基本属性!$C$15</f>
        <v>110|5</v>
      </c>
      <c r="B8816" s="10" t="str">
        <f>参数调整!$J$39</f>
        <v>新增怪物种类4掉落</v>
      </c>
      <c r="C8816" s="8" t="str">
        <f>材料产出!$AL$2</f>
        <v>上品注灵石</v>
      </c>
      <c r="D8816" s="224">
        <f>参数调整!$K$39*怪物掉落配置方案!$D4712</f>
        <v>7.8414205627531458E-2</v>
      </c>
    </row>
    <row r="8817" spans="1:4" ht="16.5" hidden="1" x14ac:dyDescent="0.3">
      <c r="A8817" s="10" t="str">
        <f>基本属性!$B$16&amp;"|"&amp;基本属性!$C$16</f>
        <v>120|6</v>
      </c>
      <c r="B8817" s="10" t="str">
        <f>参数调整!$J$39</f>
        <v>新增怪物种类4掉落</v>
      </c>
      <c r="C8817" s="8" t="str">
        <f>材料产出!$AL$2</f>
        <v>上品注灵石</v>
      </c>
      <c r="D8817" s="224">
        <f>参数调整!$K$39*怪物掉落配置方案!$D4713</f>
        <v>0.10125801346530404</v>
      </c>
    </row>
    <row r="8818" spans="1:4" ht="16.5" hidden="1" x14ac:dyDescent="0.3">
      <c r="A8818" s="10" t="str">
        <f>基本属性!$B$17&amp;"|"&amp;基本属性!$C$17</f>
        <v>135|7</v>
      </c>
      <c r="B8818" s="10" t="str">
        <f>参数调整!$J$39</f>
        <v>新增怪物种类4掉落</v>
      </c>
      <c r="C8818" s="8" t="str">
        <f>材料产出!$AL$2</f>
        <v>上品注灵石</v>
      </c>
      <c r="D8818" s="224">
        <f>参数调整!$K$39*怪物掉落配置方案!$D4714</f>
        <v>0.14581153939003783</v>
      </c>
    </row>
    <row r="8819" spans="1:4" ht="16.5" hidden="1" x14ac:dyDescent="0.3">
      <c r="A8819" s="10" t="str">
        <f>基本属性!$B$18&amp;"|"&amp;基本属性!$C$18</f>
        <v>155|8</v>
      </c>
      <c r="B8819" s="10" t="str">
        <f>参数调整!$J$39</f>
        <v>新增怪物种类4掉落</v>
      </c>
      <c r="C8819" s="8" t="str">
        <f>材料产出!$AL$2</f>
        <v>上品注灵石</v>
      </c>
      <c r="D8819" s="224">
        <f>参数调整!$K$39*怪物掉落配置方案!$D4715</f>
        <v>0.1984657063919959</v>
      </c>
    </row>
    <row r="8820" spans="1:4" ht="16.5" hidden="1" x14ac:dyDescent="0.3">
      <c r="A8820" s="10" t="str">
        <f>基本属性!$B$19&amp;"|"&amp;基本属性!$C$19</f>
        <v>190|9</v>
      </c>
      <c r="B8820" s="10" t="str">
        <f>参数调整!$J$39</f>
        <v>新增怪物种类4掉落</v>
      </c>
      <c r="C8820" s="8" t="str">
        <f>材料产出!$AL$2</f>
        <v>上品注灵石</v>
      </c>
      <c r="D8820" s="224">
        <f>参数调整!$K$39*怪物掉落配置方案!$D4716</f>
        <v>0.22179555269440199</v>
      </c>
    </row>
    <row r="8821" spans="1:4" ht="16.5" hidden="1" x14ac:dyDescent="0.3">
      <c r="A8821" s="10" t="str">
        <f>基本属性!$B$20&amp;"|"&amp;基本属性!$C$20</f>
        <v>200|10</v>
      </c>
      <c r="B8821" s="10" t="str">
        <f>参数调整!$J$39</f>
        <v>新增怪物种类4掉落</v>
      </c>
      <c r="C8821" s="8" t="str">
        <f>材料产出!$AL$2</f>
        <v>上品注灵石</v>
      </c>
      <c r="D8821" s="224">
        <f>参数调整!$K$39*怪物掉落配置方案!$D4717</f>
        <v>0.25922051447117833</v>
      </c>
    </row>
    <row r="8822" spans="1:4" ht="16.5" hidden="1" x14ac:dyDescent="0.3">
      <c r="A8822" s="10" t="str">
        <f>基本属性!$B$21&amp;"|"&amp;基本属性!$C$21</f>
        <v>200|11</v>
      </c>
      <c r="B8822" s="10" t="str">
        <f>参数调整!$J$39</f>
        <v>新增怪物种类4掉落</v>
      </c>
      <c r="C8822" s="8" t="str">
        <f>材料产出!$AL$2</f>
        <v>上品注灵石</v>
      </c>
      <c r="D8822" s="224">
        <f>参数调整!$K$39*怪物掉落配置方案!$D4718</f>
        <v>0.29956170703575541</v>
      </c>
    </row>
    <row r="8823" spans="1:4" ht="16.5" hidden="1" x14ac:dyDescent="0.3">
      <c r="A8823" s="10" t="str">
        <f>基本属性!$B$22&amp;"|"&amp;基本属性!$C$22</f>
        <v>210|12</v>
      </c>
      <c r="B8823" s="10" t="str">
        <f>参数调整!$J$39</f>
        <v>新增怪物种类4掉落</v>
      </c>
      <c r="C8823" s="8" t="str">
        <f>材料产出!$AL$2</f>
        <v>上品注灵石</v>
      </c>
      <c r="D8823" s="224">
        <f>参数调整!$K$39*怪物掉落配置方案!$D4719</f>
        <v>0.34281913038813322</v>
      </c>
    </row>
    <row r="8824" spans="1:4" ht="16.5" hidden="1" x14ac:dyDescent="0.3">
      <c r="A8824" s="10" t="str">
        <f>基本属性!$B$23&amp;"|"&amp;基本属性!$C$23</f>
        <v>210|13</v>
      </c>
      <c r="B8824" s="10" t="str">
        <f>参数调整!$J$39</f>
        <v>新增怪物种类4掉落</v>
      </c>
      <c r="C8824" s="8" t="str">
        <f>材料产出!$AL$2</f>
        <v>上品注灵石</v>
      </c>
      <c r="D8824" s="224">
        <f>参数调整!$K$39*怪物掉落配置方案!$D4720</f>
        <v>0.38899278452831199</v>
      </c>
    </row>
    <row r="8825" spans="1:4" ht="16.5" hidden="1" x14ac:dyDescent="0.3">
      <c r="A8825" s="10" t="str">
        <f>基本属性!$B$24&amp;"|"&amp;基本属性!$C$24</f>
        <v>220|14</v>
      </c>
      <c r="B8825" s="10" t="str">
        <f>参数调整!$J$39</f>
        <v>新增怪物种类4掉落</v>
      </c>
      <c r="C8825" s="8" t="str">
        <f>材料产出!$AL$2</f>
        <v>上品注灵石</v>
      </c>
      <c r="D8825" s="224">
        <f>参数调整!$K$39*怪物掉落配置方案!$D4721</f>
        <v>0.43808266945629137</v>
      </c>
    </row>
    <row r="8826" spans="1:4" ht="16.5" hidden="1" x14ac:dyDescent="0.3">
      <c r="A8826" s="10" t="str">
        <f>基本属性!$B$25&amp;"|"&amp;基本属性!$C$25</f>
        <v>220|15</v>
      </c>
      <c r="B8826" s="10" t="str">
        <f>参数调整!$J$39</f>
        <v>新增怪物种类4掉落</v>
      </c>
      <c r="C8826" s="8" t="str">
        <f>材料产出!$AL$2</f>
        <v>上品注灵石</v>
      </c>
      <c r="D8826" s="224">
        <f>参数调整!$K$39*怪物掉落配置方案!$D4722</f>
        <v>0.49008878517207149</v>
      </c>
    </row>
    <row r="8827" spans="1:4" ht="16.5" hidden="1" x14ac:dyDescent="0.3">
      <c r="A8827" s="10" t="str">
        <f>基本属性!$B$26&amp;"|"&amp;基本属性!$C$26</f>
        <v>230|16</v>
      </c>
      <c r="B8827" s="10" t="str">
        <f>参数调整!$J$39</f>
        <v>新增怪物种类4掉落</v>
      </c>
      <c r="C8827" s="8" t="str">
        <f>材料产出!$AL$2</f>
        <v>上品注灵石</v>
      </c>
      <c r="D8827" s="224">
        <f>参数调整!$K$39*怪物掉落配置方案!$D4723</f>
        <v>0.54501113167565229</v>
      </c>
    </row>
    <row r="8828" spans="1:4" ht="16.5" hidden="1" x14ac:dyDescent="0.3">
      <c r="A8828" s="10" t="str">
        <f>基本属性!$B$27&amp;"|"&amp;基本属性!$C$27</f>
        <v>230|17</v>
      </c>
      <c r="B8828" s="10" t="str">
        <f>参数调整!$J$39</f>
        <v>新增怪物种类4掉落</v>
      </c>
      <c r="C8828" s="8" t="str">
        <f>材料产出!$AL$2</f>
        <v>上品注灵石</v>
      </c>
      <c r="D8828" s="224">
        <f>参数调整!$K$39*怪物掉落配置方案!$D4724</f>
        <v>0.60284970896703405</v>
      </c>
    </row>
    <row r="8829" spans="1:4" ht="16.5" hidden="1" x14ac:dyDescent="0.3">
      <c r="A8829" s="10" t="str">
        <f>基本属性!$B$28&amp;"|"&amp;基本属性!$C$28</f>
        <v>240|18</v>
      </c>
      <c r="B8829" s="10" t="str">
        <f>参数调整!$J$39</f>
        <v>新增怪物种类4掉落</v>
      </c>
      <c r="C8829" s="8" t="str">
        <f>材料产出!$AL$2</f>
        <v>上品注灵石</v>
      </c>
      <c r="D8829" s="224">
        <f>参数调整!$K$39*怪物掉落配置方案!$D4725</f>
        <v>0.66360451704621659</v>
      </c>
    </row>
    <row r="8830" spans="1:4" ht="16.5" hidden="1" x14ac:dyDescent="0.3">
      <c r="A8830" s="10" t="str">
        <f>基本属性!$B$29&amp;"|"&amp;基本属性!$C$29</f>
        <v>240|19</v>
      </c>
      <c r="B8830" s="10" t="str">
        <f>参数调整!$J$39</f>
        <v>新增怪物种类4掉落</v>
      </c>
      <c r="C8830" s="8" t="str">
        <f>材料产出!$AL$2</f>
        <v>上品注灵石</v>
      </c>
      <c r="D8830" s="224">
        <f>参数调整!$K$39*怪物掉落配置方案!$D4726</f>
        <v>0.7272755559131997</v>
      </c>
    </row>
    <row r="8831" spans="1:4" ht="16.5" hidden="1" x14ac:dyDescent="0.3">
      <c r="A8831" s="10" t="str">
        <f>基本属性!$B$30&amp;"|"&amp;基本属性!$C$30</f>
        <v>250|20</v>
      </c>
      <c r="B8831" s="10" t="str">
        <f>参数调整!$J$39</f>
        <v>新增怪物种类4掉落</v>
      </c>
      <c r="C8831" s="8" t="str">
        <f>材料产出!$AL$2</f>
        <v>上品注灵石</v>
      </c>
      <c r="D8831" s="224">
        <f>参数调整!$K$39*怪物掉落配置方案!$D4727</f>
        <v>0.7938628255679836</v>
      </c>
    </row>
    <row r="8832" spans="1:4" ht="16.5" hidden="1" x14ac:dyDescent="0.3">
      <c r="A8832" s="10" t="str">
        <f>基本属性!$B$4&amp;"|"&amp;基本属性!$C$4</f>
        <v>35|0</v>
      </c>
      <c r="B8832" s="10" t="str">
        <f>参数调整!$J$39</f>
        <v>新增怪物种类4掉落</v>
      </c>
      <c r="C8832" s="8" t="str">
        <f>材料产出!$AT$2</f>
        <v>魔龙之心</v>
      </c>
      <c r="D8832" s="224">
        <f>参数调整!$K$39*怪物掉落配置方案!$D4728</f>
        <v>1.2986715533423928E-5</v>
      </c>
    </row>
    <row r="8833" spans="1:4" ht="16.5" hidden="1" x14ac:dyDescent="0.3">
      <c r="A8833" s="10" t="str">
        <f>基本属性!$B$5&amp;"|"&amp;基本属性!$C$5</f>
        <v>40|0</v>
      </c>
      <c r="B8833" s="10" t="str">
        <f>参数调整!$J$39</f>
        <v>新增怪物种类4掉落</v>
      </c>
      <c r="C8833" s="8" t="str">
        <f>材料产出!$AT$2</f>
        <v>魔龙之心</v>
      </c>
      <c r="D8833" s="224">
        <f>参数调整!$K$39*怪物掉落配置方案!$D4729</f>
        <v>1.6436311846989658E-5</v>
      </c>
    </row>
    <row r="8834" spans="1:4" ht="16.5" hidden="1" x14ac:dyDescent="0.3">
      <c r="A8834" s="10" t="str">
        <f>基本属性!$B$6&amp;"|"&amp;基本属性!$C$6</f>
        <v>50|0</v>
      </c>
      <c r="B8834" s="10" t="str">
        <f>参数调整!$J$39</f>
        <v>新增怪物种类4掉落</v>
      </c>
      <c r="C8834" s="8" t="str">
        <f>材料产出!$AT$2</f>
        <v>魔龙之心</v>
      </c>
      <c r="D8834" s="224">
        <f>参数调整!$K$39*怪物掉落配置方案!$D4730</f>
        <v>2.0291743020974886E-5</v>
      </c>
    </row>
    <row r="8835" spans="1:4" ht="16.5" hidden="1" x14ac:dyDescent="0.3">
      <c r="A8835" s="10" t="str">
        <f>基本属性!$B$7&amp;"|"&amp;基本属性!$C$7</f>
        <v>60|0</v>
      </c>
      <c r="B8835" s="10" t="str">
        <f>参数调整!$J$39</f>
        <v>新增怪物种类4掉落</v>
      </c>
      <c r="C8835" s="8" t="str">
        <f>材料产出!$AT$2</f>
        <v>魔龙之心</v>
      </c>
      <c r="D8835" s="224">
        <f>参数调整!$K$39*怪物掉落配置方案!$D4731</f>
        <v>2.4553009055379619E-5</v>
      </c>
    </row>
    <row r="8836" spans="1:4" ht="16.5" hidden="1" x14ac:dyDescent="0.3">
      <c r="A8836" s="10" t="str">
        <f>基本属性!$B$8&amp;"|"&amp;基本属性!$C$8</f>
        <v>65|0</v>
      </c>
      <c r="B8836" s="10" t="str">
        <f>参数调整!$J$39</f>
        <v>新增怪物种类4掉落</v>
      </c>
      <c r="C8836" s="8" t="str">
        <f>材料产出!$AT$2</f>
        <v>魔龙之心</v>
      </c>
      <c r="D8836" s="224">
        <f>参数调整!$K$39*怪物掉落配置方案!$D4732</f>
        <v>2.9220109950203833E-5</v>
      </c>
    </row>
    <row r="8837" spans="1:4" ht="16.5" hidden="1" x14ac:dyDescent="0.3">
      <c r="A8837" s="10" t="str">
        <f>基本属性!$B$9&amp;"|"&amp;基本属性!$C$9</f>
        <v>70|0</v>
      </c>
      <c r="B8837" s="10" t="str">
        <f>参数调整!$J$39</f>
        <v>新增怪物种类4掉落</v>
      </c>
      <c r="C8837" s="8" t="str">
        <f>材料产出!$AT$2</f>
        <v>魔龙之心</v>
      </c>
      <c r="D8837" s="224">
        <f>参数调整!$K$39*怪物掉落配置方案!$D4733</f>
        <v>3.4293045705447556E-5</v>
      </c>
    </row>
    <row r="8838" spans="1:4" ht="16.5" hidden="1" x14ac:dyDescent="0.3">
      <c r="A8838" s="10" t="str">
        <f>基本属性!$B$10&amp;"|"&amp;基本属性!$C$10</f>
        <v>75|0</v>
      </c>
      <c r="B8838" s="10" t="str">
        <f>参数调整!$J$39</f>
        <v>新增怪物种类4掉落</v>
      </c>
      <c r="C8838" s="8" t="str">
        <f>材料产出!$AT$2</f>
        <v>魔龙之心</v>
      </c>
      <c r="D8838" s="224">
        <f>参数调整!$K$39*怪物掉落配置方案!$D4734</f>
        <v>3.9771816321110768E-5</v>
      </c>
    </row>
    <row r="8839" spans="1:4" ht="16.5" hidden="1" x14ac:dyDescent="0.3">
      <c r="A8839" s="10" t="str">
        <f>基本属性!$B$11&amp;"|"&amp;基本属性!$C$11</f>
        <v>80|1</v>
      </c>
      <c r="B8839" s="10" t="str">
        <f>参数调整!$J$39</f>
        <v>新增怪物种类4掉落</v>
      </c>
      <c r="C8839" s="8" t="str">
        <f>材料产出!$AT$2</f>
        <v>魔龙之心</v>
      </c>
      <c r="D8839" s="224">
        <f>参数调整!$K$39*怪物掉落配置方案!$D4735</f>
        <v>4.5656421797193484E-5</v>
      </c>
    </row>
    <row r="8840" spans="1:4" ht="16.5" hidden="1" x14ac:dyDescent="0.3">
      <c r="A8840" s="10" t="str">
        <f>基本属性!$B$12&amp;"|"&amp;基本属性!$C$12</f>
        <v>90|2</v>
      </c>
      <c r="B8840" s="10" t="str">
        <f>参数调整!$J$39</f>
        <v>新增怪物种类4掉落</v>
      </c>
      <c r="C8840" s="8" t="str">
        <f>材料产出!$AT$2</f>
        <v>魔龙之心</v>
      </c>
      <c r="D8840" s="224">
        <f>参数调整!$K$39*怪物掉落配置方案!$D4736</f>
        <v>5.1946862133695719E-5</v>
      </c>
    </row>
    <row r="8841" spans="1:4" ht="16.5" hidden="1" x14ac:dyDescent="0.3">
      <c r="A8841" s="10" t="str">
        <f>基本属性!$B$13&amp;"|"&amp;基本属性!$C$13</f>
        <v>100|3</v>
      </c>
      <c r="B8841" s="10" t="str">
        <f>参数调整!$J$39</f>
        <v>新增怪物种类4掉落</v>
      </c>
      <c r="C8841" s="8" t="str">
        <f>材料产出!$AT$2</f>
        <v>魔龙之心</v>
      </c>
      <c r="D8841" s="224">
        <f>参数调整!$K$39*怪物掉落配置方案!$D4737</f>
        <v>6.5745247387958644E-5</v>
      </c>
    </row>
    <row r="8842" spans="1:4" ht="16.5" hidden="1" x14ac:dyDescent="0.3">
      <c r="A8842" s="10" t="str">
        <f>基本属性!$B$14&amp;"|"&amp;基本属性!$C$14</f>
        <v>105|4</v>
      </c>
      <c r="B8842" s="10" t="str">
        <f>参数调整!$J$39</f>
        <v>新增怪物种类4掉落</v>
      </c>
      <c r="C8842" s="8" t="str">
        <f>材料产出!$AT$2</f>
        <v>魔龙之心</v>
      </c>
      <c r="D8842" s="224">
        <f>参数调整!$K$39*怪物掉落配置方案!$D4738</f>
        <v>8.1166972083899542E-5</v>
      </c>
    </row>
    <row r="8843" spans="1:4" ht="16.5" hidden="1" x14ac:dyDescent="0.3">
      <c r="A8843" s="10" t="str">
        <f>基本属性!$B$15&amp;"|"&amp;基本属性!$C$15</f>
        <v>110|5</v>
      </c>
      <c r="B8843" s="10" t="str">
        <f>参数调整!$J$39</f>
        <v>新增怪物种类4掉落</v>
      </c>
      <c r="C8843" s="8" t="str">
        <f>材料产出!$AT$2</f>
        <v>魔龙之心</v>
      </c>
      <c r="D8843" s="224">
        <f>参数调整!$K$39*怪物掉落配置方案!$D4739</f>
        <v>9.8212036221518475E-5</v>
      </c>
    </row>
    <row r="8844" spans="1:4" ht="16.5" hidden="1" x14ac:dyDescent="0.3">
      <c r="A8844" s="10" t="str">
        <f>基本属性!$B$16&amp;"|"&amp;基本属性!$C$16</f>
        <v>120|6</v>
      </c>
      <c r="B8844" s="10" t="str">
        <f>参数调整!$J$39</f>
        <v>新增怪物种类4掉落</v>
      </c>
      <c r="C8844" s="8" t="str">
        <f>材料产出!$AT$2</f>
        <v>魔龙之心</v>
      </c>
      <c r="D8844" s="224">
        <f>参数调整!$K$39*怪物掉落配置方案!$D4740</f>
        <v>1.2682339388109305E-4</v>
      </c>
    </row>
    <row r="8845" spans="1:4" ht="16.5" hidden="1" x14ac:dyDescent="0.3">
      <c r="A8845" s="10" t="str">
        <f>基本属性!$B$17&amp;"|"&amp;基本属性!$C$17</f>
        <v>135|7</v>
      </c>
      <c r="B8845" s="10" t="str">
        <f>参数调整!$J$39</f>
        <v>新增怪物种类4掉落</v>
      </c>
      <c r="C8845" s="8" t="str">
        <f>材料产出!$AT$2</f>
        <v>魔龙之心</v>
      </c>
      <c r="D8845" s="224">
        <f>参数调整!$K$39*怪物掉落配置方案!$D4741</f>
        <v>1.8262568718877396E-4</v>
      </c>
    </row>
    <row r="8846" spans="1:4" ht="16.5" hidden="1" x14ac:dyDescent="0.3">
      <c r="A8846" s="10" t="str">
        <f>基本属性!$B$18&amp;"|"&amp;基本属性!$C$18</f>
        <v>155|8</v>
      </c>
      <c r="B8846" s="10" t="str">
        <f>参数调整!$J$39</f>
        <v>新增怪物种类4掉落</v>
      </c>
      <c r="C8846" s="8" t="str">
        <f>材料产出!$AT$2</f>
        <v>魔龙之心</v>
      </c>
      <c r="D8846" s="224">
        <f>参数调整!$K$39*怪物掉落配置方案!$D4742</f>
        <v>2.4857385200694241E-4</v>
      </c>
    </row>
    <row r="8847" spans="1:4" ht="16.5" hidden="1" x14ac:dyDescent="0.3">
      <c r="A8847" s="10" t="str">
        <f>基本属性!$B$19&amp;"|"&amp;基本属性!$C$19</f>
        <v>190|9</v>
      </c>
      <c r="B8847" s="10" t="str">
        <f>参数调整!$J$39</f>
        <v>新增怪物种类4掉落</v>
      </c>
      <c r="C8847" s="8" t="str">
        <f>材料产出!$AT$2</f>
        <v>魔龙之心</v>
      </c>
      <c r="D8847" s="224">
        <f>参数调整!$K$39*怪物掉落配置方案!$D4743</f>
        <v>2.7779396195714618E-4</v>
      </c>
    </row>
    <row r="8848" spans="1:4" ht="16.5" hidden="1" x14ac:dyDescent="0.3">
      <c r="A8848" s="10" t="str">
        <f>基本属性!$B$20&amp;"|"&amp;基本属性!$C$20</f>
        <v>200|10</v>
      </c>
      <c r="B8848" s="10" t="str">
        <f>参数调整!$J$39</f>
        <v>新增怪物种类4掉落</v>
      </c>
      <c r="C8848" s="8" t="str">
        <f>材料产出!$AT$2</f>
        <v>魔龙之心</v>
      </c>
      <c r="D8848" s="224">
        <f>参数调整!$K$39*怪物掉落配置方案!$D4744</f>
        <v>3.2466788833559817E-4</v>
      </c>
    </row>
    <row r="8849" spans="1:4" ht="16.5" hidden="1" x14ac:dyDescent="0.3">
      <c r="A8849" s="10" t="str">
        <f>基本属性!$B$21&amp;"|"&amp;基本属性!$C$21</f>
        <v>200|11</v>
      </c>
      <c r="B8849" s="10" t="str">
        <f>参数调整!$J$39</f>
        <v>新增怪物种类4掉落</v>
      </c>
      <c r="C8849" s="8" t="str">
        <f>材料产出!$AT$2</f>
        <v>魔龙之心</v>
      </c>
      <c r="D8849" s="224">
        <f>参数调整!$K$39*怪物掉落配置方案!$D4745</f>
        <v>3.7519432845782558E-4</v>
      </c>
    </row>
    <row r="8850" spans="1:4" ht="16.5" hidden="1" x14ac:dyDescent="0.3">
      <c r="A8850" s="10" t="str">
        <f>基本属性!$B$22&amp;"|"&amp;基本属性!$C$22</f>
        <v>210|12</v>
      </c>
      <c r="B8850" s="10" t="str">
        <f>参数调整!$J$39</f>
        <v>新增怪物种类4掉落</v>
      </c>
      <c r="C8850" s="8" t="str">
        <f>材料产出!$AT$2</f>
        <v>魔龙之心</v>
      </c>
      <c r="D8850" s="224">
        <f>参数调整!$K$39*怪物掉落配置方案!$D4746</f>
        <v>4.2937328232382852E-4</v>
      </c>
    </row>
    <row r="8851" spans="1:4" ht="16.5" hidden="1" x14ac:dyDescent="0.3">
      <c r="A8851" s="10" t="str">
        <f>基本属性!$B$23&amp;"|"&amp;基本属性!$C$23</f>
        <v>210|13</v>
      </c>
      <c r="B8851" s="10" t="str">
        <f>参数调整!$J$39</f>
        <v>新增怪物种类4掉落</v>
      </c>
      <c r="C8851" s="8" t="str">
        <f>材料产出!$AT$2</f>
        <v>魔龙之心</v>
      </c>
      <c r="D8851" s="224">
        <f>参数调整!$K$39*怪物掉落配置方案!$D4747</f>
        <v>4.8720474993360711E-4</v>
      </c>
    </row>
    <row r="8852" spans="1:4" ht="16.5" hidden="1" x14ac:dyDescent="0.3">
      <c r="A8852" s="10" t="str">
        <f>基本属性!$B$24&amp;"|"&amp;基本属性!$C$24</f>
        <v>220|14</v>
      </c>
      <c r="B8852" s="10" t="str">
        <f>参数调整!$J$39</f>
        <v>新增怪物种类4掉落</v>
      </c>
      <c r="C8852" s="8" t="str">
        <f>材料产出!$AT$2</f>
        <v>魔龙之心</v>
      </c>
      <c r="D8852" s="224">
        <f>参数调整!$K$39*怪物掉落配置方案!$D4748</f>
        <v>5.486887312871609E-4</v>
      </c>
    </row>
    <row r="8853" spans="1:4" ht="16.5" hidden="1" x14ac:dyDescent="0.3">
      <c r="A8853" s="10" t="str">
        <f>基本属性!$B$25&amp;"|"&amp;基本属性!$C$25</f>
        <v>220|15</v>
      </c>
      <c r="B8853" s="10" t="str">
        <f>参数调整!$J$39</f>
        <v>新增怪物种类4掉落</v>
      </c>
      <c r="C8853" s="8" t="str">
        <f>材料产出!$AT$2</f>
        <v>魔龙之心</v>
      </c>
      <c r="D8853" s="224">
        <f>参数调整!$K$39*怪物掉落配置方案!$D4749</f>
        <v>6.1382522638449017E-4</v>
      </c>
    </row>
    <row r="8854" spans="1:4" ht="16.5" hidden="1" x14ac:dyDescent="0.3">
      <c r="A8854" s="10" t="str">
        <f>基本属性!$B$26&amp;"|"&amp;基本属性!$C$26</f>
        <v>230|16</v>
      </c>
      <c r="B8854" s="10" t="str">
        <f>参数调整!$J$39</f>
        <v>新增怪物种类4掉落</v>
      </c>
      <c r="C8854" s="8" t="str">
        <f>材料产出!$AT$2</f>
        <v>魔龙之心</v>
      </c>
      <c r="D8854" s="224">
        <f>参数调整!$K$39*怪物掉落配置方案!$D4750</f>
        <v>6.8261423522559498E-4</v>
      </c>
    </row>
    <row r="8855" spans="1:4" ht="16.5" hidden="1" x14ac:dyDescent="0.3">
      <c r="A8855" s="10" t="str">
        <f>基本属性!$B$27&amp;"|"&amp;基本属性!$C$27</f>
        <v>230|17</v>
      </c>
      <c r="B8855" s="10" t="str">
        <f>参数调整!$J$39</f>
        <v>新增怪物种类4掉落</v>
      </c>
      <c r="C8855" s="8" t="str">
        <f>材料产出!$AT$2</f>
        <v>魔龙之心</v>
      </c>
      <c r="D8855" s="224">
        <f>参数调整!$K$39*怪物掉落配置方案!$D4751</f>
        <v>7.5505575781047531E-4</v>
      </c>
    </row>
    <row r="8856" spans="1:4" ht="16.5" hidden="1" x14ac:dyDescent="0.3">
      <c r="A8856" s="10" t="str">
        <f>基本属性!$B$28&amp;"|"&amp;基本属性!$C$28</f>
        <v>240|18</v>
      </c>
      <c r="B8856" s="10" t="str">
        <f>参数调整!$J$39</f>
        <v>新增怪物种类4掉落</v>
      </c>
      <c r="C8856" s="8" t="str">
        <f>材料产出!$AT$2</f>
        <v>魔龙之心</v>
      </c>
      <c r="D8856" s="224">
        <f>参数调整!$K$39*怪物掉落配置方案!$D4752</f>
        <v>8.311497941391314E-4</v>
      </c>
    </row>
    <row r="8857" spans="1:4" ht="16.5" hidden="1" x14ac:dyDescent="0.3">
      <c r="A8857" s="10" t="str">
        <f>基本属性!$B$29&amp;"|"&amp;基本属性!$C$29</f>
        <v>240|19</v>
      </c>
      <c r="B8857" s="10" t="str">
        <f>参数调整!$J$39</f>
        <v>新增怪物种类4掉落</v>
      </c>
      <c r="C8857" s="8" t="str">
        <f>材料产出!$AT$2</f>
        <v>魔龙之心</v>
      </c>
      <c r="D8857" s="224">
        <f>参数调整!$K$39*怪物掉落配置方案!$D4753</f>
        <v>9.108963442115628E-4</v>
      </c>
    </row>
    <row r="8858" spans="1:4" ht="16.5" hidden="1" x14ac:dyDescent="0.3">
      <c r="A8858" s="10" t="str">
        <f>基本属性!$B$30&amp;"|"&amp;基本属性!$C$30</f>
        <v>250|20</v>
      </c>
      <c r="B8858" s="10" t="str">
        <f>参数调整!$J$39</f>
        <v>新增怪物种类4掉落</v>
      </c>
      <c r="C8858" s="8" t="str">
        <f>材料产出!$AT$2</f>
        <v>魔龙之心</v>
      </c>
      <c r="D8858" s="224">
        <f>参数调整!$K$39*怪物掉落配置方案!$D4754</f>
        <v>9.942954080277692E-4</v>
      </c>
    </row>
    <row r="8859" spans="1:4" ht="16.5" hidden="1" x14ac:dyDescent="0.3">
      <c r="A8859" s="10" t="str">
        <f>基本属性!$B$4&amp;"|"&amp;基本属性!$C$4</f>
        <v>35|0</v>
      </c>
      <c r="B8859" s="10" t="str">
        <f>参数调整!$J$39</f>
        <v>新增怪物种类4掉落</v>
      </c>
      <c r="C8859" s="8" t="str">
        <f>材料产出!$X$2</f>
        <v>龍の心</v>
      </c>
      <c r="D8859" s="224">
        <f>参数调整!$K$39*怪物掉落配置方案!$D4755</f>
        <v>2.3629737585192999E-3</v>
      </c>
    </row>
    <row r="8860" spans="1:4" ht="16.5" hidden="1" x14ac:dyDescent="0.3">
      <c r="A8860" s="10" t="str">
        <f>基本属性!$B$5&amp;"|"&amp;基本属性!$C$5</f>
        <v>40|0</v>
      </c>
      <c r="B8860" s="10" t="str">
        <f>参数调整!$J$39</f>
        <v>新增怪物种类4掉落</v>
      </c>
      <c r="C8860" s="8" t="str">
        <f>材料产出!$X$2</f>
        <v>龍の心</v>
      </c>
      <c r="D8860" s="224">
        <f>参数调整!$K$39*怪物掉落配置方案!$D4756</f>
        <v>2.9906386631259889E-3</v>
      </c>
    </row>
    <row r="8861" spans="1:4" ht="16.5" hidden="1" x14ac:dyDescent="0.3">
      <c r="A8861" s="10" t="str">
        <f>基本属性!$B$6&amp;"|"&amp;基本属性!$C$6</f>
        <v>50|0</v>
      </c>
      <c r="B8861" s="10" t="str">
        <f>参数调整!$J$39</f>
        <v>新增怪物种类4掉落</v>
      </c>
      <c r="C8861" s="8" t="str">
        <f>材料产出!$X$2</f>
        <v>龍の心</v>
      </c>
      <c r="D8861" s="224">
        <f>参数调整!$K$39*怪物掉落配置方案!$D4757</f>
        <v>3.6921464976864059E-3</v>
      </c>
    </row>
    <row r="8862" spans="1:4" ht="16.5" hidden="1" x14ac:dyDescent="0.3">
      <c r="A8862" s="10" t="str">
        <f>基本属性!$B$7&amp;"|"&amp;基本属性!$C$7</f>
        <v>60|0</v>
      </c>
      <c r="B8862" s="10" t="str">
        <f>参数调整!$J$39</f>
        <v>新增怪物种类4掉落</v>
      </c>
      <c r="C8862" s="8" t="str">
        <f>材料产出!$X$2</f>
        <v>龍の心</v>
      </c>
      <c r="D8862" s="224">
        <f>参数调整!$K$39*怪物掉落配置方案!$D4758</f>
        <v>4.467497262200552E-3</v>
      </c>
    </row>
    <row r="8863" spans="1:4" ht="16.5" hidden="1" x14ac:dyDescent="0.3">
      <c r="A8863" s="10" t="str">
        <f>基本属性!$B$8&amp;"|"&amp;基本属性!$C$8</f>
        <v>65|0</v>
      </c>
      <c r="B8863" s="10" t="str">
        <f>参数调整!$J$39</f>
        <v>新增怪物种类4掉落</v>
      </c>
      <c r="C8863" s="8" t="str">
        <f>材料产出!$X$2</f>
        <v>龍の心</v>
      </c>
      <c r="D8863" s="224">
        <f>参数调整!$K$39*怪物掉落配置方案!$D4759</f>
        <v>5.3166909566684248E-3</v>
      </c>
    </row>
    <row r="8864" spans="1:4" ht="16.5" hidden="1" x14ac:dyDescent="0.3">
      <c r="A8864" s="10" t="str">
        <f>基本属性!$B$9&amp;"|"&amp;基本属性!$C$9</f>
        <v>70|0</v>
      </c>
      <c r="B8864" s="10" t="str">
        <f>参数调整!$J$39</f>
        <v>新增怪物种类4掉落</v>
      </c>
      <c r="C8864" s="8" t="str">
        <f>材料产出!$X$2</f>
        <v>龍の心</v>
      </c>
      <c r="D8864" s="224">
        <f>参数调整!$K$39*怪物掉落配置方案!$D4760</f>
        <v>6.2397275810900264E-3</v>
      </c>
    </row>
    <row r="8865" spans="1:4" ht="16.5" hidden="1" x14ac:dyDescent="0.3">
      <c r="A8865" s="10" t="str">
        <f>基本属性!$B$10&amp;"|"&amp;基本属性!$C$10</f>
        <v>75|0</v>
      </c>
      <c r="B8865" s="10" t="str">
        <f>参数调整!$J$39</f>
        <v>新增怪物种类4掉落</v>
      </c>
      <c r="C8865" s="8" t="str">
        <f>材料产出!$X$2</f>
        <v>龍の心</v>
      </c>
      <c r="D8865" s="224">
        <f>参数调整!$K$39*怪物掉落配置方案!$D4761</f>
        <v>7.236607135465355E-3</v>
      </c>
    </row>
    <row r="8866" spans="1:4" ht="16.5" hidden="1" x14ac:dyDescent="0.3">
      <c r="A8866" s="10" t="str">
        <f>基本属性!$B$11&amp;"|"&amp;基本属性!$C$11</f>
        <v>80|1</v>
      </c>
      <c r="B8866" s="10" t="str">
        <f>参数调整!$J$39</f>
        <v>新增怪物种类4掉落</v>
      </c>
      <c r="C8866" s="8" t="str">
        <f>材料产出!$X$2</f>
        <v>龍の心</v>
      </c>
      <c r="D8866" s="224">
        <f>参数调整!$K$39*怪物掉落配置方案!$D4762</f>
        <v>8.3073296197944142E-3</v>
      </c>
    </row>
    <row r="8867" spans="1:4" ht="16.5" hidden="1" x14ac:dyDescent="0.3">
      <c r="A8867" s="10" t="str">
        <f>基本属性!$B$12&amp;"|"&amp;基本属性!$C$12</f>
        <v>90|2</v>
      </c>
      <c r="B8867" s="10" t="str">
        <f>参数调整!$J$39</f>
        <v>新增怪物种类4掉落</v>
      </c>
      <c r="C8867" s="8" t="str">
        <f>材料产出!$X$2</f>
        <v>龍の心</v>
      </c>
      <c r="D8867" s="224">
        <f>参数调整!$K$39*怪物掉落配置方案!$D4763</f>
        <v>9.4518950340772012E-3</v>
      </c>
    </row>
    <row r="8868" spans="1:4" ht="16.5" hidden="1" x14ac:dyDescent="0.3">
      <c r="A8868" s="10" t="str">
        <f>基本属性!$B$13&amp;"|"&amp;基本属性!$C$13</f>
        <v>100|3</v>
      </c>
      <c r="B8868" s="10" t="str">
        <f>参数调整!$J$39</f>
        <v>新增怪物种类4掉落</v>
      </c>
      <c r="C8868" s="8" t="str">
        <f>材料产出!$X$2</f>
        <v>龍の心</v>
      </c>
      <c r="D8868" s="224">
        <f>参数调整!$K$39*怪物掉落配置方案!$D4764</f>
        <v>1.1962554652503957E-2</v>
      </c>
    </row>
    <row r="8869" spans="1:4" ht="16.5" hidden="1" x14ac:dyDescent="0.3">
      <c r="A8869" s="10" t="str">
        <f>基本属性!$B$14&amp;"|"&amp;基本属性!$C$14</f>
        <v>105|4</v>
      </c>
      <c r="B8869" s="10" t="str">
        <f>参数调整!$J$39</f>
        <v>新增怪物种类4掉落</v>
      </c>
      <c r="C8869" s="8" t="str">
        <f>材料产出!$X$2</f>
        <v>龍の心</v>
      </c>
      <c r="D8869" s="224">
        <f>参数调整!$K$39*怪物掉落配置方案!$D4765</f>
        <v>1.4768585990745623E-2</v>
      </c>
    </row>
    <row r="8870" spans="1:4" ht="16.5" hidden="1" x14ac:dyDescent="0.3">
      <c r="A8870" s="10" t="str">
        <f>基本属性!$B$15&amp;"|"&amp;基本属性!$C$15</f>
        <v>110|5</v>
      </c>
      <c r="B8870" s="10" t="str">
        <f>参数调整!$J$39</f>
        <v>新增怪物种类4掉落</v>
      </c>
      <c r="C8870" s="8" t="str">
        <f>材料产出!$X$2</f>
        <v>龍の心</v>
      </c>
      <c r="D8870" s="224">
        <f>参数调整!$K$39*怪物掉落配置方案!$D4766</f>
        <v>1.7869989048802208E-2</v>
      </c>
    </row>
    <row r="8871" spans="1:4" ht="16.5" hidden="1" x14ac:dyDescent="0.3">
      <c r="A8871" s="10" t="str">
        <f>基本属性!$B$16&amp;"|"&amp;基本属性!$C$16</f>
        <v>120|6</v>
      </c>
      <c r="B8871" s="10" t="str">
        <f>参数调整!$J$39</f>
        <v>新增怪物种类4掉落</v>
      </c>
      <c r="C8871" s="8" t="str">
        <f>材料产出!$X$2</f>
        <v>龍の心</v>
      </c>
      <c r="D8871" s="224">
        <f>参数调整!$K$39*怪物掉落配置方案!$D4767</f>
        <v>2.3075915610540038E-2</v>
      </c>
    </row>
    <row r="8872" spans="1:4" ht="16.5" hidden="1" x14ac:dyDescent="0.3">
      <c r="A8872" s="10" t="str">
        <f>基本属性!$B$17&amp;"|"&amp;基本属性!$C$17</f>
        <v>135|7</v>
      </c>
      <c r="B8872" s="10" t="str">
        <f>参数调整!$J$39</f>
        <v>新增怪物种类4掉落</v>
      </c>
      <c r="C8872" s="8" t="str">
        <f>材料产出!$X$2</f>
        <v>龍の心</v>
      </c>
      <c r="D8872" s="224">
        <f>参数调整!$K$39*怪物掉落配置方案!$D4768</f>
        <v>3.3229318479177657E-2</v>
      </c>
    </row>
    <row r="8873" spans="1:4" ht="16.5" hidden="1" x14ac:dyDescent="0.3">
      <c r="A8873" s="10" t="str">
        <f>基本属性!$B$18&amp;"|"&amp;基本属性!$C$18</f>
        <v>155|8</v>
      </c>
      <c r="B8873" s="10" t="str">
        <f>参数调整!$J$39</f>
        <v>新增怪物种类4掉落</v>
      </c>
      <c r="C8873" s="8" t="str">
        <f>材料产出!$X$2</f>
        <v>龍の心</v>
      </c>
      <c r="D8873" s="224">
        <f>参数调整!$K$39*怪物掉落配置方案!$D4769</f>
        <v>4.5228794596658482E-2</v>
      </c>
    </row>
    <row r="8874" spans="1:4" ht="16.5" hidden="1" x14ac:dyDescent="0.3">
      <c r="A8874" s="10" t="str">
        <f>基本属性!$B$19&amp;"|"&amp;基本属性!$C$19</f>
        <v>190|9</v>
      </c>
      <c r="B8874" s="10" t="str">
        <f>参数调整!$J$39</f>
        <v>新增怪物种类4掉落</v>
      </c>
      <c r="C8874" s="8" t="str">
        <f>材料产出!$X$2</f>
        <v>龍の心</v>
      </c>
      <c r="D8874" s="224">
        <f>参数调整!$K$39*怪物掉落配置方案!$D4770</f>
        <v>5.0545485553326906E-2</v>
      </c>
    </row>
    <row r="8875" spans="1:4" ht="16.5" hidden="1" x14ac:dyDescent="0.3">
      <c r="A8875" s="10" t="str">
        <f>基本属性!$B$20&amp;"|"&amp;基本属性!$C$20</f>
        <v>200|10</v>
      </c>
      <c r="B8875" s="10" t="str">
        <f>参数调整!$J$39</f>
        <v>新增怪物种类4掉落</v>
      </c>
      <c r="C8875" s="8" t="str">
        <f>材料产出!$X$2</f>
        <v>龍の心</v>
      </c>
      <c r="D8875" s="224">
        <f>参数调整!$K$39*怪物掉落配置方案!$D4771</f>
        <v>5.9074343962982494E-2</v>
      </c>
    </row>
    <row r="8876" spans="1:4" ht="16.5" hidden="1" x14ac:dyDescent="0.3">
      <c r="A8876" s="10" t="str">
        <f>基本属性!$B$21&amp;"|"&amp;基本属性!$C$21</f>
        <v>200|11</v>
      </c>
      <c r="B8876" s="10" t="str">
        <f>参数调整!$J$39</f>
        <v>新增怪物种类4掉落</v>
      </c>
      <c r="C8876" s="8" t="str">
        <f>材料产出!$X$2</f>
        <v>龍の心</v>
      </c>
      <c r="D8876" s="224">
        <f>参数调整!$K$39*怪物掉落配置方案!$D4772</f>
        <v>6.8267788742221627E-2</v>
      </c>
    </row>
    <row r="8877" spans="1:4" ht="16.5" hidden="1" x14ac:dyDescent="0.3">
      <c r="A8877" s="10" t="str">
        <f>基本属性!$B$22&amp;"|"&amp;基本属性!$C$22</f>
        <v>210|12</v>
      </c>
      <c r="B8877" s="10" t="str">
        <f>参数调整!$J$39</f>
        <v>新增怪物种类4掉落</v>
      </c>
      <c r="C8877" s="8" t="str">
        <f>材料产出!$X$2</f>
        <v>龍の心</v>
      </c>
      <c r="D8877" s="224">
        <f>参数调整!$K$39*怪物掉落配置方案!$D4773</f>
        <v>7.8125819891044335E-2</v>
      </c>
    </row>
    <row r="8878" spans="1:4" ht="16.5" hidden="1" x14ac:dyDescent="0.3">
      <c r="A8878" s="10" t="str">
        <f>基本属性!$B$23&amp;"|"&amp;基本属性!$C$23</f>
        <v>210|13</v>
      </c>
      <c r="B8878" s="10" t="str">
        <f>参数调整!$J$39</f>
        <v>新增怪物种类4掉落</v>
      </c>
      <c r="C8878" s="8" t="str">
        <f>材料产出!$X$2</f>
        <v>龍の心</v>
      </c>
      <c r="D8878" s="224">
        <f>参数调整!$K$39*怪物掉落配置方案!$D4774</f>
        <v>8.8648437409450623E-2</v>
      </c>
    </row>
    <row r="8879" spans="1:4" ht="16.5" hidden="1" x14ac:dyDescent="0.3">
      <c r="A8879" s="10" t="str">
        <f>基本属性!$B$24&amp;"|"&amp;基本属性!$C$24</f>
        <v>220|14</v>
      </c>
      <c r="B8879" s="10" t="str">
        <f>参数调整!$J$39</f>
        <v>新增怪物种类4掉落</v>
      </c>
      <c r="C8879" s="8" t="str">
        <f>材料产出!$X$2</f>
        <v>龍の心</v>
      </c>
      <c r="D8879" s="224">
        <f>参数调整!$K$39*怪物掉落配置方案!$D4775</f>
        <v>9.9835641297440422E-2</v>
      </c>
    </row>
    <row r="8880" spans="1:4" ht="16.5" hidden="1" x14ac:dyDescent="0.3">
      <c r="A8880" s="10" t="str">
        <f>基本属性!$B$25&amp;"|"&amp;基本属性!$C$25</f>
        <v>220|15</v>
      </c>
      <c r="B8880" s="10" t="str">
        <f>参数调整!$J$39</f>
        <v>新增怪物种类4掉落</v>
      </c>
      <c r="C8880" s="8" t="str">
        <f>材料产出!$X$2</f>
        <v>龍の心</v>
      </c>
      <c r="D8880" s="224">
        <f>参数调整!$K$39*怪物掉落配置方案!$D4776</f>
        <v>0.11168743155501377</v>
      </c>
    </row>
    <row r="8881" spans="1:4" ht="16.5" hidden="1" x14ac:dyDescent="0.3">
      <c r="A8881" s="10" t="str">
        <f>基本属性!$B$26&amp;"|"&amp;基本属性!$C$26</f>
        <v>230|16</v>
      </c>
      <c r="B8881" s="10" t="str">
        <f>参数调整!$J$39</f>
        <v>新增怪物种类4掉落</v>
      </c>
      <c r="C8881" s="8" t="str">
        <f>材料产出!$X$2</f>
        <v>龍の心</v>
      </c>
      <c r="D8881" s="224">
        <f>参数调整!$K$39*怪物掉落配置方案!$D4777</f>
        <v>0.12420380818217069</v>
      </c>
    </row>
    <row r="8882" spans="1:4" ht="16.5" hidden="1" x14ac:dyDescent="0.3">
      <c r="A8882" s="10" t="str">
        <f>基本属性!$B$27&amp;"|"&amp;基本属性!$C$27</f>
        <v>230|17</v>
      </c>
      <c r="B8882" s="10" t="str">
        <f>参数调整!$J$39</f>
        <v>新增怪物种类4掉落</v>
      </c>
      <c r="C8882" s="8" t="str">
        <f>材料产出!$X$2</f>
        <v>龍の心</v>
      </c>
      <c r="D8882" s="224">
        <f>参数调整!$K$39*怪物掉落配置方案!$D4778</f>
        <v>0.13738477117891115</v>
      </c>
    </row>
    <row r="8883" spans="1:4" ht="16.5" hidden="1" x14ac:dyDescent="0.3">
      <c r="A8883" s="10" t="str">
        <f>基本属性!$B$28&amp;"|"&amp;基本属性!$C$28</f>
        <v>240|18</v>
      </c>
      <c r="B8883" s="10" t="str">
        <f>参数调整!$J$39</f>
        <v>新增怪物种类4掉落</v>
      </c>
      <c r="C8883" s="8" t="str">
        <f>材料产出!$X$2</f>
        <v>龍の心</v>
      </c>
      <c r="D8883" s="224">
        <f>参数调整!$K$39*怪物掉落配置方案!$D4779</f>
        <v>0.15123032054523522</v>
      </c>
    </row>
    <row r="8884" spans="1:4" ht="16.5" hidden="1" x14ac:dyDescent="0.3">
      <c r="A8884" s="10" t="str">
        <f>基本属性!$B$29&amp;"|"&amp;基本属性!$C$29</f>
        <v>240|19</v>
      </c>
      <c r="B8884" s="10" t="str">
        <f>参数调整!$J$39</f>
        <v>新增怪物种类4掉落</v>
      </c>
      <c r="C8884" s="8" t="str">
        <f>材料产出!$X$2</f>
        <v>龍の心</v>
      </c>
      <c r="D8884" s="224">
        <f>参数调整!$K$39*怪物掉落配置方案!$D4780</f>
        <v>0.16574045628114278</v>
      </c>
    </row>
    <row r="8885" spans="1:4" ht="16.5" hidden="1" x14ac:dyDescent="0.3">
      <c r="A8885" s="10" t="str">
        <f>基本属性!$B$30&amp;"|"&amp;基本属性!$C$30</f>
        <v>250|20</v>
      </c>
      <c r="B8885" s="10" t="str">
        <f>参数调整!$J$39</f>
        <v>新增怪物种类4掉落</v>
      </c>
      <c r="C8885" s="8" t="str">
        <f>材料产出!$X$2</f>
        <v>龍の心</v>
      </c>
      <c r="D8885" s="224">
        <f>参数调整!$K$39*怪物掉落配置方案!$D4781</f>
        <v>0.18091517838663387</v>
      </c>
    </row>
    <row r="8886" spans="1:4" ht="16.5" hidden="1" x14ac:dyDescent="0.3">
      <c r="A8886" s="10" t="str">
        <f>基本属性!$B$4&amp;"|"&amp;基本属性!$C$4</f>
        <v>35|0</v>
      </c>
      <c r="B8886" s="10" t="str">
        <f>参数调整!$J$39</f>
        <v>新增怪物种类4掉落</v>
      </c>
      <c r="C8886" s="8" t="str">
        <f>材料产出!$V$2</f>
        <v>龍の魄</v>
      </c>
      <c r="D8886" s="224">
        <f>参数调整!$K$39*怪物掉落配置方案!$D4782</f>
        <v>2.3629737585192999E-3</v>
      </c>
    </row>
    <row r="8887" spans="1:4" ht="16.5" hidden="1" x14ac:dyDescent="0.3">
      <c r="A8887" s="10" t="str">
        <f>基本属性!$B$5&amp;"|"&amp;基本属性!$C$5</f>
        <v>40|0</v>
      </c>
      <c r="B8887" s="10" t="str">
        <f>参数调整!$J$39</f>
        <v>新增怪物种类4掉落</v>
      </c>
      <c r="C8887" s="8" t="str">
        <f>材料产出!$V$2</f>
        <v>龍の魄</v>
      </c>
      <c r="D8887" s="224">
        <f>参数调整!$K$39*怪物掉落配置方案!$D4783</f>
        <v>2.9906386631259889E-3</v>
      </c>
    </row>
    <row r="8888" spans="1:4" ht="16.5" hidden="1" x14ac:dyDescent="0.3">
      <c r="A8888" s="10" t="str">
        <f>基本属性!$B$6&amp;"|"&amp;基本属性!$C$6</f>
        <v>50|0</v>
      </c>
      <c r="B8888" s="10" t="str">
        <f>参数调整!$J$39</f>
        <v>新增怪物种类4掉落</v>
      </c>
      <c r="C8888" s="8" t="str">
        <f>材料产出!$V$2</f>
        <v>龍の魄</v>
      </c>
      <c r="D8888" s="224">
        <f>参数调整!$K$39*怪物掉落配置方案!$D4784</f>
        <v>3.6921464976864059E-3</v>
      </c>
    </row>
    <row r="8889" spans="1:4" ht="16.5" hidden="1" x14ac:dyDescent="0.3">
      <c r="A8889" s="10" t="str">
        <f>基本属性!$B$7&amp;"|"&amp;基本属性!$C$7</f>
        <v>60|0</v>
      </c>
      <c r="B8889" s="10" t="str">
        <f>参数调整!$J$39</f>
        <v>新增怪物种类4掉落</v>
      </c>
      <c r="C8889" s="8" t="str">
        <f>材料产出!$V$2</f>
        <v>龍の魄</v>
      </c>
      <c r="D8889" s="224">
        <f>参数调整!$K$39*怪物掉落配置方案!$D4785</f>
        <v>4.467497262200552E-3</v>
      </c>
    </row>
    <row r="8890" spans="1:4" ht="16.5" hidden="1" x14ac:dyDescent="0.3">
      <c r="A8890" s="10" t="str">
        <f>基本属性!$B$8&amp;"|"&amp;基本属性!$C$8</f>
        <v>65|0</v>
      </c>
      <c r="B8890" s="10" t="str">
        <f>参数调整!$J$39</f>
        <v>新增怪物种类4掉落</v>
      </c>
      <c r="C8890" s="8" t="str">
        <f>材料产出!$V$2</f>
        <v>龍の魄</v>
      </c>
      <c r="D8890" s="224">
        <f>参数调整!$K$39*怪物掉落配置方案!$D4786</f>
        <v>5.3166909566684248E-3</v>
      </c>
    </row>
    <row r="8891" spans="1:4" ht="16.5" hidden="1" x14ac:dyDescent="0.3">
      <c r="A8891" s="10" t="str">
        <f>基本属性!$B$9&amp;"|"&amp;基本属性!$C$9</f>
        <v>70|0</v>
      </c>
      <c r="B8891" s="10" t="str">
        <f>参数调整!$J$39</f>
        <v>新增怪物种类4掉落</v>
      </c>
      <c r="C8891" s="8" t="str">
        <f>材料产出!$V$2</f>
        <v>龍の魄</v>
      </c>
      <c r="D8891" s="224">
        <f>参数调整!$K$39*怪物掉落配置方案!$D4787</f>
        <v>6.2397275810900264E-3</v>
      </c>
    </row>
    <row r="8892" spans="1:4" ht="16.5" hidden="1" x14ac:dyDescent="0.3">
      <c r="A8892" s="10" t="str">
        <f>基本属性!$B$10&amp;"|"&amp;基本属性!$C$10</f>
        <v>75|0</v>
      </c>
      <c r="B8892" s="10" t="str">
        <f>参数调整!$J$39</f>
        <v>新增怪物种类4掉落</v>
      </c>
      <c r="C8892" s="8" t="str">
        <f>材料产出!$V$2</f>
        <v>龍の魄</v>
      </c>
      <c r="D8892" s="224">
        <f>参数调整!$K$39*怪物掉落配置方案!$D4788</f>
        <v>7.236607135465355E-3</v>
      </c>
    </row>
    <row r="8893" spans="1:4" ht="16.5" hidden="1" x14ac:dyDescent="0.3">
      <c r="A8893" s="10" t="str">
        <f>基本属性!$B$11&amp;"|"&amp;基本属性!$C$11</f>
        <v>80|1</v>
      </c>
      <c r="B8893" s="10" t="str">
        <f>参数调整!$J$39</f>
        <v>新增怪物种类4掉落</v>
      </c>
      <c r="C8893" s="8" t="str">
        <f>材料产出!$V$2</f>
        <v>龍の魄</v>
      </c>
      <c r="D8893" s="224">
        <f>参数调整!$K$39*怪物掉落配置方案!$D4789</f>
        <v>8.3073296197944142E-3</v>
      </c>
    </row>
    <row r="8894" spans="1:4" ht="16.5" hidden="1" x14ac:dyDescent="0.3">
      <c r="A8894" s="10" t="str">
        <f>基本属性!$B$12&amp;"|"&amp;基本属性!$C$12</f>
        <v>90|2</v>
      </c>
      <c r="B8894" s="10" t="str">
        <f>参数调整!$J$39</f>
        <v>新增怪物种类4掉落</v>
      </c>
      <c r="C8894" s="8" t="str">
        <f>材料产出!$V$2</f>
        <v>龍の魄</v>
      </c>
      <c r="D8894" s="224">
        <f>参数调整!$K$39*怪物掉落配置方案!$D4790</f>
        <v>9.4518950340772012E-3</v>
      </c>
    </row>
    <row r="8895" spans="1:4" ht="16.5" hidden="1" x14ac:dyDescent="0.3">
      <c r="A8895" s="10" t="str">
        <f>基本属性!$B$13&amp;"|"&amp;基本属性!$C$13</f>
        <v>100|3</v>
      </c>
      <c r="B8895" s="10" t="str">
        <f>参数调整!$J$39</f>
        <v>新增怪物种类4掉落</v>
      </c>
      <c r="C8895" s="8" t="str">
        <f>材料产出!$V$2</f>
        <v>龍の魄</v>
      </c>
      <c r="D8895" s="224">
        <f>参数调整!$K$39*怪物掉落配置方案!$D4791</f>
        <v>1.1962554652503957E-2</v>
      </c>
    </row>
    <row r="8896" spans="1:4" ht="16.5" hidden="1" x14ac:dyDescent="0.3">
      <c r="A8896" s="10" t="str">
        <f>基本属性!$B$14&amp;"|"&amp;基本属性!$C$14</f>
        <v>105|4</v>
      </c>
      <c r="B8896" s="10" t="str">
        <f>参数调整!$J$39</f>
        <v>新增怪物种类4掉落</v>
      </c>
      <c r="C8896" s="8" t="str">
        <f>材料产出!$V$2</f>
        <v>龍の魄</v>
      </c>
      <c r="D8896" s="224">
        <f>参数调整!$K$39*怪物掉落配置方案!$D4792</f>
        <v>1.4768585990745623E-2</v>
      </c>
    </row>
    <row r="8897" spans="1:4" ht="16.5" hidden="1" x14ac:dyDescent="0.3">
      <c r="A8897" s="10" t="str">
        <f>基本属性!$B$15&amp;"|"&amp;基本属性!$C$15</f>
        <v>110|5</v>
      </c>
      <c r="B8897" s="10" t="str">
        <f>参数调整!$J$39</f>
        <v>新增怪物种类4掉落</v>
      </c>
      <c r="C8897" s="8" t="str">
        <f>材料产出!$V$2</f>
        <v>龍の魄</v>
      </c>
      <c r="D8897" s="224">
        <f>参数调整!$K$39*怪物掉落配置方案!$D4793</f>
        <v>1.7869989048802208E-2</v>
      </c>
    </row>
    <row r="8898" spans="1:4" ht="16.5" hidden="1" x14ac:dyDescent="0.3">
      <c r="A8898" s="10" t="str">
        <f>基本属性!$B$16&amp;"|"&amp;基本属性!$C$16</f>
        <v>120|6</v>
      </c>
      <c r="B8898" s="10" t="str">
        <f>参数调整!$J$39</f>
        <v>新增怪物种类4掉落</v>
      </c>
      <c r="C8898" s="8" t="str">
        <f>材料产出!$V$2</f>
        <v>龍の魄</v>
      </c>
      <c r="D8898" s="224">
        <f>参数调整!$K$39*怪物掉落配置方案!$D4794</f>
        <v>2.3075915610540038E-2</v>
      </c>
    </row>
    <row r="8899" spans="1:4" ht="16.5" hidden="1" x14ac:dyDescent="0.3">
      <c r="A8899" s="10" t="str">
        <f>基本属性!$B$17&amp;"|"&amp;基本属性!$C$17</f>
        <v>135|7</v>
      </c>
      <c r="B8899" s="10" t="str">
        <f>参数调整!$J$39</f>
        <v>新增怪物种类4掉落</v>
      </c>
      <c r="C8899" s="8" t="str">
        <f>材料产出!$V$2</f>
        <v>龍の魄</v>
      </c>
      <c r="D8899" s="224">
        <f>参数调整!$K$39*怪物掉落配置方案!$D4795</f>
        <v>3.3229318479177657E-2</v>
      </c>
    </row>
    <row r="8900" spans="1:4" ht="16.5" hidden="1" x14ac:dyDescent="0.3">
      <c r="A8900" s="10" t="str">
        <f>基本属性!$B$18&amp;"|"&amp;基本属性!$C$18</f>
        <v>155|8</v>
      </c>
      <c r="B8900" s="10" t="str">
        <f>参数调整!$J$39</f>
        <v>新增怪物种类4掉落</v>
      </c>
      <c r="C8900" s="8" t="str">
        <f>材料产出!$V$2</f>
        <v>龍の魄</v>
      </c>
      <c r="D8900" s="224">
        <f>参数调整!$K$39*怪物掉落配置方案!$D4796</f>
        <v>4.5228794596658482E-2</v>
      </c>
    </row>
    <row r="8901" spans="1:4" ht="16.5" hidden="1" x14ac:dyDescent="0.3">
      <c r="A8901" s="10" t="str">
        <f>基本属性!$B$19&amp;"|"&amp;基本属性!$C$19</f>
        <v>190|9</v>
      </c>
      <c r="B8901" s="10" t="str">
        <f>参数调整!$J$39</f>
        <v>新增怪物种类4掉落</v>
      </c>
      <c r="C8901" s="8" t="str">
        <f>材料产出!$V$2</f>
        <v>龍の魄</v>
      </c>
      <c r="D8901" s="224">
        <f>参数调整!$K$39*怪物掉落配置方案!$D4797</f>
        <v>5.0545485553326906E-2</v>
      </c>
    </row>
    <row r="8902" spans="1:4" ht="16.5" hidden="1" x14ac:dyDescent="0.3">
      <c r="A8902" s="10" t="str">
        <f>基本属性!$B$20&amp;"|"&amp;基本属性!$C$20</f>
        <v>200|10</v>
      </c>
      <c r="B8902" s="10" t="str">
        <f>参数调整!$J$39</f>
        <v>新增怪物种类4掉落</v>
      </c>
      <c r="C8902" s="8" t="str">
        <f>材料产出!$V$2</f>
        <v>龍の魄</v>
      </c>
      <c r="D8902" s="224">
        <f>参数调整!$K$39*怪物掉落配置方案!$D4798</f>
        <v>5.9074343962982494E-2</v>
      </c>
    </row>
    <row r="8903" spans="1:4" ht="16.5" hidden="1" x14ac:dyDescent="0.3">
      <c r="A8903" s="10" t="str">
        <f>基本属性!$B$21&amp;"|"&amp;基本属性!$C$21</f>
        <v>200|11</v>
      </c>
      <c r="B8903" s="10" t="str">
        <f>参数调整!$J$39</f>
        <v>新增怪物种类4掉落</v>
      </c>
      <c r="C8903" s="8" t="str">
        <f>材料产出!$V$2</f>
        <v>龍の魄</v>
      </c>
      <c r="D8903" s="224">
        <f>参数调整!$K$39*怪物掉落配置方案!$D4799</f>
        <v>6.8267788742221627E-2</v>
      </c>
    </row>
    <row r="8904" spans="1:4" ht="16.5" hidden="1" x14ac:dyDescent="0.3">
      <c r="A8904" s="10" t="str">
        <f>基本属性!$B$22&amp;"|"&amp;基本属性!$C$22</f>
        <v>210|12</v>
      </c>
      <c r="B8904" s="10" t="str">
        <f>参数调整!$J$39</f>
        <v>新增怪物种类4掉落</v>
      </c>
      <c r="C8904" s="8" t="str">
        <f>材料产出!$V$2</f>
        <v>龍の魄</v>
      </c>
      <c r="D8904" s="224">
        <f>参数调整!$K$39*怪物掉落配置方案!$D4800</f>
        <v>7.8125819891044335E-2</v>
      </c>
    </row>
    <row r="8905" spans="1:4" ht="16.5" hidden="1" x14ac:dyDescent="0.3">
      <c r="A8905" s="10" t="str">
        <f>基本属性!$B$23&amp;"|"&amp;基本属性!$C$23</f>
        <v>210|13</v>
      </c>
      <c r="B8905" s="10" t="str">
        <f>参数调整!$J$39</f>
        <v>新增怪物种类4掉落</v>
      </c>
      <c r="C8905" s="8" t="str">
        <f>材料产出!$V$2</f>
        <v>龍の魄</v>
      </c>
      <c r="D8905" s="224">
        <f>参数调整!$K$39*怪物掉落配置方案!$D4801</f>
        <v>8.8648437409450623E-2</v>
      </c>
    </row>
    <row r="8906" spans="1:4" ht="16.5" hidden="1" x14ac:dyDescent="0.3">
      <c r="A8906" s="10" t="str">
        <f>基本属性!$B$24&amp;"|"&amp;基本属性!$C$24</f>
        <v>220|14</v>
      </c>
      <c r="B8906" s="10" t="str">
        <f>参数调整!$J$39</f>
        <v>新增怪物种类4掉落</v>
      </c>
      <c r="C8906" s="8" t="str">
        <f>材料产出!$V$2</f>
        <v>龍の魄</v>
      </c>
      <c r="D8906" s="224">
        <f>参数调整!$K$39*怪物掉落配置方案!$D4802</f>
        <v>9.9835641297440422E-2</v>
      </c>
    </row>
    <row r="8907" spans="1:4" ht="16.5" hidden="1" x14ac:dyDescent="0.3">
      <c r="A8907" s="10" t="str">
        <f>基本属性!$B$25&amp;"|"&amp;基本属性!$C$25</f>
        <v>220|15</v>
      </c>
      <c r="B8907" s="10" t="str">
        <f>参数调整!$J$39</f>
        <v>新增怪物种类4掉落</v>
      </c>
      <c r="C8907" s="8" t="str">
        <f>材料产出!$V$2</f>
        <v>龍の魄</v>
      </c>
      <c r="D8907" s="224">
        <f>参数调整!$K$39*怪物掉落配置方案!$D4803</f>
        <v>0.11168743155501377</v>
      </c>
    </row>
    <row r="8908" spans="1:4" ht="16.5" hidden="1" x14ac:dyDescent="0.3">
      <c r="A8908" s="10" t="str">
        <f>基本属性!$B$26&amp;"|"&amp;基本属性!$C$26</f>
        <v>230|16</v>
      </c>
      <c r="B8908" s="10" t="str">
        <f>参数调整!$J$39</f>
        <v>新增怪物种类4掉落</v>
      </c>
      <c r="C8908" s="8" t="str">
        <f>材料产出!$V$2</f>
        <v>龍の魄</v>
      </c>
      <c r="D8908" s="224">
        <f>参数调整!$K$39*怪物掉落配置方案!$D4804</f>
        <v>0.12420380818217069</v>
      </c>
    </row>
    <row r="8909" spans="1:4" ht="16.5" hidden="1" x14ac:dyDescent="0.3">
      <c r="A8909" s="10" t="str">
        <f>基本属性!$B$27&amp;"|"&amp;基本属性!$C$27</f>
        <v>230|17</v>
      </c>
      <c r="B8909" s="10" t="str">
        <f>参数调整!$J$39</f>
        <v>新增怪物种类4掉落</v>
      </c>
      <c r="C8909" s="8" t="str">
        <f>材料产出!$V$2</f>
        <v>龍の魄</v>
      </c>
      <c r="D8909" s="224">
        <f>参数调整!$K$39*怪物掉落配置方案!$D4805</f>
        <v>0.13738477117891115</v>
      </c>
    </row>
    <row r="8910" spans="1:4" ht="16.5" hidden="1" x14ac:dyDescent="0.3">
      <c r="A8910" s="10" t="str">
        <f>基本属性!$B$28&amp;"|"&amp;基本属性!$C$28</f>
        <v>240|18</v>
      </c>
      <c r="B8910" s="10" t="str">
        <f>参数调整!$J$39</f>
        <v>新增怪物种类4掉落</v>
      </c>
      <c r="C8910" s="8" t="str">
        <f>材料产出!$V$2</f>
        <v>龍の魄</v>
      </c>
      <c r="D8910" s="224">
        <f>参数调整!$K$39*怪物掉落配置方案!$D4806</f>
        <v>0.15123032054523522</v>
      </c>
    </row>
    <row r="8911" spans="1:4" ht="16.5" hidden="1" x14ac:dyDescent="0.3">
      <c r="A8911" s="10" t="str">
        <f>基本属性!$B$29&amp;"|"&amp;基本属性!$C$29</f>
        <v>240|19</v>
      </c>
      <c r="B8911" s="10" t="str">
        <f>参数调整!$J$39</f>
        <v>新增怪物种类4掉落</v>
      </c>
      <c r="C8911" s="8" t="str">
        <f>材料产出!$V$2</f>
        <v>龍の魄</v>
      </c>
      <c r="D8911" s="224">
        <f>参数调整!$K$39*怪物掉落配置方案!$D4807</f>
        <v>0.16574045628114278</v>
      </c>
    </row>
    <row r="8912" spans="1:4" ht="16.5" hidden="1" x14ac:dyDescent="0.3">
      <c r="A8912" s="10" t="str">
        <f>基本属性!$B$30&amp;"|"&amp;基本属性!$C$30</f>
        <v>250|20</v>
      </c>
      <c r="B8912" s="10" t="str">
        <f>参数调整!$J$39</f>
        <v>新增怪物种类4掉落</v>
      </c>
      <c r="C8912" s="8" t="str">
        <f>材料产出!$V$2</f>
        <v>龍の魄</v>
      </c>
      <c r="D8912" s="224">
        <f>参数调整!$K$39*怪物掉落配置方案!$D4808</f>
        <v>0.18091517838663387</v>
      </c>
    </row>
    <row r="8913" spans="1:4" ht="16.5" hidden="1" x14ac:dyDescent="0.3">
      <c r="A8913" s="10" t="str">
        <f>基本属性!$B$4&amp;"|"&amp;基本属性!$C$4</f>
        <v>35|0</v>
      </c>
      <c r="B8913" s="10" t="str">
        <f>参数调整!$J$39</f>
        <v>新增怪物种类4掉落</v>
      </c>
      <c r="C8913" s="8" t="str">
        <f>材料产出!$AB$2</f>
        <v>龙晶碎片</v>
      </c>
      <c r="D8913" s="224">
        <f>参数调整!$K$39*怪物掉落配置方案!$D4809</f>
        <v>6.0572528753103309E-2</v>
      </c>
    </row>
    <row r="8914" spans="1:4" ht="16.5" hidden="1" x14ac:dyDescent="0.3">
      <c r="A8914" s="10" t="str">
        <f>基本属性!$B$5&amp;"|"&amp;基本属性!$C$5</f>
        <v>40|0</v>
      </c>
      <c r="B8914" s="10" t="str">
        <f>参数调整!$J$39</f>
        <v>新增怪物种类4掉落</v>
      </c>
      <c r="C8914" s="8" t="str">
        <f>材料产出!$AB$2</f>
        <v>龙晶碎片</v>
      </c>
      <c r="D8914" s="224">
        <f>参数调整!$K$39*怪物掉落配置方案!$D4810</f>
        <v>7.6662106703146382E-2</v>
      </c>
    </row>
    <row r="8915" spans="1:4" ht="16.5" hidden="1" x14ac:dyDescent="0.3">
      <c r="A8915" s="10" t="str">
        <f>基本属性!$B$6&amp;"|"&amp;基本属性!$C$6</f>
        <v>50|0</v>
      </c>
      <c r="B8915" s="10" t="str">
        <f>参数调整!$J$39</f>
        <v>新增怪物种类4掉落</v>
      </c>
      <c r="C8915" s="8" t="str">
        <f>材料产出!$AB$2</f>
        <v>龙晶碎片</v>
      </c>
      <c r="D8915" s="224">
        <f>参数调整!$K$39*怪物掉落配置方案!$D4811</f>
        <v>9.4644576176723921E-2</v>
      </c>
    </row>
    <row r="8916" spans="1:4" ht="16.5" hidden="1" x14ac:dyDescent="0.3">
      <c r="A8916" s="10" t="str">
        <f>基本属性!$B$7&amp;"|"&amp;基本属性!$C$7</f>
        <v>60|0</v>
      </c>
      <c r="B8916" s="10" t="str">
        <f>参数调整!$J$39</f>
        <v>新增怪物种类4掉落</v>
      </c>
      <c r="C8916" s="8" t="str">
        <f>材料产出!$AB$2</f>
        <v>龙晶碎片</v>
      </c>
      <c r="D8916" s="224">
        <f>参数调整!$K$39*怪物掉落配置方案!$D4812</f>
        <v>0.11451993717383596</v>
      </c>
    </row>
    <row r="8917" spans="1:4" ht="16.5" hidden="1" x14ac:dyDescent="0.3">
      <c r="A8917" s="10" t="str">
        <f>基本属性!$B$8&amp;"|"&amp;基本属性!$C$8</f>
        <v>65|0</v>
      </c>
      <c r="B8917" s="10" t="str">
        <f>参数调整!$J$39</f>
        <v>新增怪物种类4掉落</v>
      </c>
      <c r="C8917" s="8" t="str">
        <f>材料产出!$AB$2</f>
        <v>龙晶碎片</v>
      </c>
      <c r="D8917" s="224">
        <f>参数调整!$K$39*怪物掉落配置方案!$D4813</f>
        <v>0.13628818969448245</v>
      </c>
    </row>
    <row r="8918" spans="1:4" ht="16.5" hidden="1" x14ac:dyDescent="0.3">
      <c r="A8918" s="10" t="str">
        <f>基本属性!$B$9&amp;"|"&amp;基本属性!$C$9</f>
        <v>70|0</v>
      </c>
      <c r="B8918" s="10" t="str">
        <f>参数调整!$J$39</f>
        <v>新增怪物种类4掉落</v>
      </c>
      <c r="C8918" s="8" t="str">
        <f>材料产出!$AB$2</f>
        <v>龙晶碎片</v>
      </c>
      <c r="D8918" s="224">
        <f>参数调整!$K$39*怪物掉落配置方案!$D4814</f>
        <v>0.15994933373866341</v>
      </c>
    </row>
    <row r="8919" spans="1:4" ht="16.5" hidden="1" x14ac:dyDescent="0.3">
      <c r="A8919" s="10" t="str">
        <f>基本属性!$B$10&amp;"|"&amp;基本属性!$C$10</f>
        <v>75|0</v>
      </c>
      <c r="B8919" s="10" t="str">
        <f>参数调整!$J$39</f>
        <v>新增怪物种类4掉落</v>
      </c>
      <c r="C8919" s="8" t="str">
        <f>材料产出!$AB$2</f>
        <v>龙晶碎片</v>
      </c>
      <c r="D8919" s="224">
        <f>参数调整!$K$39*怪物掉落配置方案!$D4815</f>
        <v>0.18550336930637884</v>
      </c>
    </row>
    <row r="8920" spans="1:4" ht="16.5" hidden="1" x14ac:dyDescent="0.3">
      <c r="A8920" s="10" t="str">
        <f>基本属性!$B$11&amp;"|"&amp;基本属性!$C$11</f>
        <v>80|1</v>
      </c>
      <c r="B8920" s="10" t="str">
        <f>参数调整!$J$39</f>
        <v>新增怪物种类4掉落</v>
      </c>
      <c r="C8920" s="8" t="str">
        <f>材料产出!$AB$2</f>
        <v>龙晶碎片</v>
      </c>
      <c r="D8920" s="224">
        <f>参数调整!$K$39*怪物掉落配置方案!$D4816</f>
        <v>0.2129502963976288</v>
      </c>
    </row>
    <row r="8921" spans="1:4" ht="16.5" hidden="1" x14ac:dyDescent="0.3">
      <c r="A8921" s="10" t="str">
        <f>基本属性!$B$12&amp;"|"&amp;基本属性!$C$12</f>
        <v>90|2</v>
      </c>
      <c r="B8921" s="10" t="str">
        <f>参数调整!$J$39</f>
        <v>新增怪物种类4掉落</v>
      </c>
      <c r="C8921" s="8" t="str">
        <f>材料产出!$AB$2</f>
        <v>龙晶碎片</v>
      </c>
      <c r="D8921" s="224">
        <f>参数调整!$K$39*怪物掉落配置方案!$D4817</f>
        <v>0.24229011501241327</v>
      </c>
    </row>
    <row r="8922" spans="1:4" ht="16.5" hidden="1" x14ac:dyDescent="0.3">
      <c r="A8922" s="10" t="str">
        <f>基本属性!$B$13&amp;"|"&amp;基本属性!$C$13</f>
        <v>100|3</v>
      </c>
      <c r="B8922" s="10" t="str">
        <f>参数调整!$J$39</f>
        <v>新增怪物种类4掉落</v>
      </c>
      <c r="C8922" s="8" t="str">
        <f>材料产出!$AB$2</f>
        <v>龙晶碎片</v>
      </c>
      <c r="D8922" s="224">
        <f>参数调整!$K$39*怪物掉落配置方案!$D4818</f>
        <v>0.30664842681258553</v>
      </c>
    </row>
    <row r="8923" spans="1:4" ht="16.5" hidden="1" x14ac:dyDescent="0.3">
      <c r="A8923" s="10" t="str">
        <f>基本属性!$B$14&amp;"|"&amp;基本属性!$C$14</f>
        <v>105|4</v>
      </c>
      <c r="B8923" s="10" t="str">
        <f>参数调整!$J$39</f>
        <v>新增怪物种类4掉落</v>
      </c>
      <c r="C8923" s="8" t="str">
        <f>材料产出!$AB$2</f>
        <v>龙晶碎片</v>
      </c>
      <c r="D8923" s="224">
        <f>参数调整!$K$39*怪物掉落配置方案!$D4819</f>
        <v>0.37857830470689574</v>
      </c>
    </row>
    <row r="8924" spans="1:4" ht="16.5" hidden="1" x14ac:dyDescent="0.3">
      <c r="A8924" s="10" t="str">
        <f>基本属性!$B$15&amp;"|"&amp;基本属性!$C$15</f>
        <v>110|5</v>
      </c>
      <c r="B8924" s="10" t="str">
        <f>参数调整!$J$39</f>
        <v>新增怪物种类4掉落</v>
      </c>
      <c r="C8924" s="8" t="str">
        <f>材料产出!$AB$2</f>
        <v>龙晶碎片</v>
      </c>
      <c r="D8924" s="224">
        <f>参数调整!$K$39*怪物掉落配置方案!$D4820</f>
        <v>0.4580797486953439</v>
      </c>
    </row>
    <row r="8925" spans="1:4" ht="16.5" hidden="1" x14ac:dyDescent="0.3">
      <c r="A8925" s="10" t="str">
        <f>基本属性!$B$16&amp;"|"&amp;基本属性!$C$16</f>
        <v>120|6</v>
      </c>
      <c r="B8925" s="10" t="str">
        <f>参数调整!$J$39</f>
        <v>新增怪物种类4掉落</v>
      </c>
      <c r="C8925" s="8" t="str">
        <f>材料产出!$AB$2</f>
        <v>龙晶碎片</v>
      </c>
      <c r="D8925" s="224">
        <f>参数调整!$K$39*怪物掉落配置方案!$D4821</f>
        <v>0.59152860110452443</v>
      </c>
    </row>
    <row r="8926" spans="1:4" ht="16.5" hidden="1" x14ac:dyDescent="0.3">
      <c r="A8926" s="10" t="str">
        <f>基本属性!$B$17&amp;"|"&amp;基本属性!$C$17</f>
        <v>135|7</v>
      </c>
      <c r="B8926" s="10" t="str">
        <f>参数调整!$J$39</f>
        <v>新增怪物种类4掉落</v>
      </c>
      <c r="C8926" s="8" t="str">
        <f>材料产出!$AB$2</f>
        <v>龙晶碎片</v>
      </c>
      <c r="D8926" s="224">
        <f>参数调整!$K$39*怪物掉落配置方案!$D4822</f>
        <v>0.85180118559051521</v>
      </c>
    </row>
    <row r="8927" spans="1:4" ht="16.5" hidden="1" x14ac:dyDescent="0.3">
      <c r="A8927" s="10" t="str">
        <f>基本属性!$B$18&amp;"|"&amp;基本属性!$C$18</f>
        <v>155|8</v>
      </c>
      <c r="B8927" s="10" t="str">
        <f>参数调整!$J$39</f>
        <v>新增怪物种类4掉落</v>
      </c>
      <c r="C8927" s="8" t="str">
        <f>材料产出!$AB$2</f>
        <v>龙晶碎片</v>
      </c>
      <c r="D8927" s="224">
        <f>参数调整!$K$39*怪物掉落配置方案!$D4823</f>
        <v>1.1593960581648681</v>
      </c>
    </row>
    <row r="8928" spans="1:4" ht="16.5" hidden="1" x14ac:dyDescent="0.3">
      <c r="A8928" s="10" t="str">
        <f>基本属性!$B$19&amp;"|"&amp;基本属性!$C$19</f>
        <v>190|9</v>
      </c>
      <c r="B8928" s="10" t="str">
        <f>参数调整!$J$39</f>
        <v>新增怪物种类4掉落</v>
      </c>
      <c r="C8928" s="8" t="str">
        <f>材料产出!$AB$2</f>
        <v>龙晶碎片</v>
      </c>
      <c r="D8928" s="224">
        <f>参数调整!$K$39*怪物掉落配置方案!$D4824</f>
        <v>1.2956842478593507</v>
      </c>
    </row>
    <row r="8929" spans="1:4" ht="16.5" hidden="1" x14ac:dyDescent="0.3">
      <c r="A8929" s="10" t="str">
        <f>基本属性!$B$20&amp;"|"&amp;基本属性!$C$20</f>
        <v>200|10</v>
      </c>
      <c r="B8929" s="10" t="str">
        <f>参数调整!$J$39</f>
        <v>新增怪物种类4掉落</v>
      </c>
      <c r="C8929" s="8" t="str">
        <f>材料产出!$AB$2</f>
        <v>龙晶碎片</v>
      </c>
      <c r="D8929" s="224">
        <f>参数调整!$K$39*怪物掉落配置方案!$D4825</f>
        <v>1.514313218827583</v>
      </c>
    </row>
    <row r="8930" spans="1:4" ht="16.5" hidden="1" x14ac:dyDescent="0.3">
      <c r="A8930" s="10" t="str">
        <f>基本属性!$B$21&amp;"|"&amp;基本属性!$C$21</f>
        <v>200|11</v>
      </c>
      <c r="B8930" s="10" t="str">
        <f>参数调整!$J$39</f>
        <v>新增怪物种类4掉落</v>
      </c>
      <c r="C8930" s="8" t="str">
        <f>材料产出!$AB$2</f>
        <v>龙晶碎片</v>
      </c>
      <c r="D8930" s="224">
        <f>参数调整!$K$39*怪物掉落配置方案!$D4826</f>
        <v>1.7499782135076247</v>
      </c>
    </row>
    <row r="8931" spans="1:4" ht="16.5" hidden="1" x14ac:dyDescent="0.3">
      <c r="A8931" s="10" t="str">
        <f>基本属性!$B$22&amp;"|"&amp;基本属性!$C$22</f>
        <v>210|12</v>
      </c>
      <c r="B8931" s="10" t="str">
        <f>参数调整!$J$39</f>
        <v>新增怪物种类4掉落</v>
      </c>
      <c r="C8931" s="8" t="str">
        <f>材料产出!$AB$2</f>
        <v>龙晶碎片</v>
      </c>
      <c r="D8931" s="224">
        <f>参数调整!$K$39*怪物掉落配置方案!$D4827</f>
        <v>2.0026792318994779</v>
      </c>
    </row>
    <row r="8932" spans="1:4" ht="16.5" hidden="1" x14ac:dyDescent="0.3">
      <c r="A8932" s="10" t="str">
        <f>基本属性!$B$23&amp;"|"&amp;基本属性!$C$23</f>
        <v>210|13</v>
      </c>
      <c r="B8932" s="10" t="str">
        <f>参数调整!$J$39</f>
        <v>新增怪物种类4掉落</v>
      </c>
      <c r="C8932" s="8" t="str">
        <f>材料产出!$AB$2</f>
        <v>龙晶碎片</v>
      </c>
      <c r="D8932" s="224">
        <f>参数调整!$K$39*怪物掉落配置方案!$D4828</f>
        <v>2.2724162740031413</v>
      </c>
    </row>
    <row r="8933" spans="1:4" ht="16.5" hidden="1" x14ac:dyDescent="0.3">
      <c r="A8933" s="10" t="str">
        <f>基本属性!$B$24&amp;"|"&amp;基本属性!$C$24</f>
        <v>220|14</v>
      </c>
      <c r="B8933" s="10" t="str">
        <f>参数调整!$J$39</f>
        <v>新增怪物种类4掉落</v>
      </c>
      <c r="C8933" s="8" t="str">
        <f>材料产出!$AB$2</f>
        <v>龙晶碎片</v>
      </c>
      <c r="D8933" s="224">
        <f>参数调整!$K$39*怪物掉落配置方案!$D4829</f>
        <v>2.559189339818615</v>
      </c>
    </row>
    <row r="8934" spans="1:4" ht="16.5" hidden="1" x14ac:dyDescent="0.3">
      <c r="A8934" s="10" t="str">
        <f>基本属性!$B$25&amp;"|"&amp;基本属性!$C$25</f>
        <v>220|15</v>
      </c>
      <c r="B8934" s="10" t="str">
        <f>参数调整!$J$39</f>
        <v>新增怪物种类4掉落</v>
      </c>
      <c r="C8934" s="8" t="str">
        <f>材料产出!$AB$2</f>
        <v>龙晶碎片</v>
      </c>
      <c r="D8934" s="224">
        <f>参数调整!$K$39*怪物掉落配置方案!$D4830</f>
        <v>2.8629984293458981</v>
      </c>
    </row>
    <row r="8935" spans="1:4" ht="16.5" hidden="1" x14ac:dyDescent="0.3">
      <c r="A8935" s="10" t="str">
        <f>基本属性!$B$26&amp;"|"&amp;基本属性!$C$26</f>
        <v>230|16</v>
      </c>
      <c r="B8935" s="10" t="str">
        <f>参数调整!$J$39</f>
        <v>新增怪物种类4掉落</v>
      </c>
      <c r="C8935" s="8" t="str">
        <f>材料产出!$AB$2</f>
        <v>龙晶碎片</v>
      </c>
      <c r="D8935" s="224">
        <f>参数调整!$K$39*怪物掉落配置方案!$D4831</f>
        <v>3.1838435425849925</v>
      </c>
    </row>
    <row r="8936" spans="1:4" ht="16.5" hidden="1" x14ac:dyDescent="0.3">
      <c r="A8936" s="10" t="str">
        <f>基本属性!$B$27&amp;"|"&amp;基本属性!$C$27</f>
        <v>230|17</v>
      </c>
      <c r="B8936" s="10" t="str">
        <f>参数调整!$J$39</f>
        <v>新增怪物种类4掉落</v>
      </c>
      <c r="C8936" s="8" t="str">
        <f>材料产出!$AB$2</f>
        <v>龙晶碎片</v>
      </c>
      <c r="D8936" s="224">
        <f>参数调整!$K$39*怪物掉落配置方案!$D4832</f>
        <v>3.5217246795358967</v>
      </c>
    </row>
    <row r="8937" spans="1:4" ht="16.5" hidden="1" x14ac:dyDescent="0.3">
      <c r="A8937" s="10" t="str">
        <f>基本属性!$B$28&amp;"|"&amp;基本属性!$C$28</f>
        <v>240|18</v>
      </c>
      <c r="B8937" s="10" t="str">
        <f>参数调整!$J$39</f>
        <v>新增怪物种类4掉落</v>
      </c>
      <c r="C8937" s="8" t="str">
        <f>材料产出!$AB$2</f>
        <v>龙晶碎片</v>
      </c>
      <c r="D8937" s="224">
        <f>参数调整!$K$39*怪物掉落配置方案!$D4833</f>
        <v>3.8766418401986122</v>
      </c>
    </row>
    <row r="8938" spans="1:4" ht="16.5" hidden="1" x14ac:dyDescent="0.3">
      <c r="A8938" s="10" t="str">
        <f>基本属性!$B$29&amp;"|"&amp;基本属性!$C$29</f>
        <v>240|19</v>
      </c>
      <c r="B8938" s="10" t="str">
        <f>参数调整!$J$39</f>
        <v>新增怪物种类4掉落</v>
      </c>
      <c r="C8938" s="8" t="str">
        <f>材料产出!$AB$2</f>
        <v>龙晶碎片</v>
      </c>
      <c r="D8938" s="224">
        <f>参数调整!$K$39*怪物掉落配置方案!$D4834</f>
        <v>4.2485950245731372</v>
      </c>
    </row>
    <row r="8939" spans="1:4" ht="16.5" hidden="1" x14ac:dyDescent="0.3">
      <c r="A8939" s="10" t="str">
        <f>基本属性!$B$30&amp;"|"&amp;基本属性!$C$30</f>
        <v>250|20</v>
      </c>
      <c r="B8939" s="10" t="str">
        <f>参数调整!$J$39</f>
        <v>新增怪物种类4掉落</v>
      </c>
      <c r="C8939" s="8" t="str">
        <f>材料产出!$AB$2</f>
        <v>龙晶碎片</v>
      </c>
      <c r="D8939" s="224">
        <f>参数调整!$K$39*怪物掉落配置方案!$D4835</f>
        <v>4.6375842326594707</v>
      </c>
    </row>
    <row r="8940" spans="1:4" ht="16.5" hidden="1" x14ac:dyDescent="0.3">
      <c r="A8940" s="10" t="str">
        <f>基本属性!$B$4&amp;"|"&amp;基本属性!$C$4</f>
        <v>35|0</v>
      </c>
      <c r="B8940" s="10" t="str">
        <f>参数调整!$J$39</f>
        <v>新增怪物种类4掉落</v>
      </c>
      <c r="C8940" s="8" t="str">
        <f>材料产出!$AX$2</f>
        <v>烈焰玄铁</v>
      </c>
      <c r="D8940" s="224">
        <f>参数调整!$K$39*怪物掉落配置方案!$D4836</f>
        <v>3.5713467716915799E-4</v>
      </c>
    </row>
    <row r="8941" spans="1:4" ht="16.5" hidden="1" x14ac:dyDescent="0.3">
      <c r="A8941" s="10" t="str">
        <f>基本属性!$B$5&amp;"|"&amp;基本属性!$C$5</f>
        <v>40|0</v>
      </c>
      <c r="B8941" s="10" t="str">
        <f>参数调整!$J$39</f>
        <v>新增怪物种类4掉落</v>
      </c>
      <c r="C8941" s="8" t="str">
        <f>材料产出!$AX$2</f>
        <v>烈焰玄铁</v>
      </c>
      <c r="D8941" s="224">
        <f>参数调整!$K$39*怪物掉落配置方案!$D4837</f>
        <v>4.5199857579221551E-4</v>
      </c>
    </row>
    <row r="8942" spans="1:4" ht="16.5" hidden="1" x14ac:dyDescent="0.3">
      <c r="A8942" s="10" t="str">
        <f>基本属性!$B$6&amp;"|"&amp;基本属性!$C$6</f>
        <v>50|0</v>
      </c>
      <c r="B8942" s="10" t="str">
        <f>参数调整!$J$39</f>
        <v>新增怪物种类4掉落</v>
      </c>
      <c r="C8942" s="8" t="str">
        <f>材料产出!$AX$2</f>
        <v>烈焰玄铁</v>
      </c>
      <c r="D8942" s="224">
        <f>参数调整!$K$39*怪物掉落配置方案!$D4838</f>
        <v>5.5802293307680932E-4</v>
      </c>
    </row>
    <row r="8943" spans="1:4" ht="16.5" hidden="1" x14ac:dyDescent="0.3">
      <c r="A8943" s="10" t="str">
        <f>基本属性!$B$7&amp;"|"&amp;基本属性!$C$7</f>
        <v>60|0</v>
      </c>
      <c r="B8943" s="10" t="str">
        <f>参数调整!$J$39</f>
        <v>新增怪物种类4掉落</v>
      </c>
      <c r="C8943" s="8" t="str">
        <f>材料产出!$AX$2</f>
        <v>烈焰玄铁</v>
      </c>
      <c r="D8943" s="224">
        <f>参数调整!$K$39*怪物掉落配置方案!$D4839</f>
        <v>6.7520774902293942E-4</v>
      </c>
    </row>
    <row r="8944" spans="1:4" ht="16.5" hidden="1" x14ac:dyDescent="0.3">
      <c r="A8944" s="10" t="str">
        <f>基本属性!$B$8&amp;"|"&amp;基本属性!$C$8</f>
        <v>65|0</v>
      </c>
      <c r="B8944" s="10" t="str">
        <f>参数调整!$J$39</f>
        <v>新增怪物种类4掉落</v>
      </c>
      <c r="C8944" s="8" t="str">
        <f>材料产出!$AX$2</f>
        <v>烈焰玄铁</v>
      </c>
      <c r="D8944" s="224">
        <f>参数调整!$K$39*怪物掉落配置方案!$D4840</f>
        <v>8.0355302363060543E-4</v>
      </c>
    </row>
    <row r="8945" spans="1:4" ht="16.5" hidden="1" x14ac:dyDescent="0.3">
      <c r="A8945" s="10" t="str">
        <f>基本属性!$B$9&amp;"|"&amp;基本属性!$C$9</f>
        <v>70|0</v>
      </c>
      <c r="B8945" s="10" t="str">
        <f>参数调整!$J$39</f>
        <v>新增怪物种类4掉落</v>
      </c>
      <c r="C8945" s="8" t="str">
        <f>材料产出!$AX$2</f>
        <v>烈焰玄铁</v>
      </c>
      <c r="D8945" s="224">
        <f>参数调整!$K$39*怪物掉落配置方案!$D4841</f>
        <v>9.4305875689980789E-4</v>
      </c>
    </row>
    <row r="8946" spans="1:4" ht="16.5" hidden="1" x14ac:dyDescent="0.3">
      <c r="A8946" s="10" t="str">
        <f>基本属性!$B$10&amp;"|"&amp;基本属性!$C$10</f>
        <v>75|0</v>
      </c>
      <c r="B8946" s="10" t="str">
        <f>参数调整!$J$39</f>
        <v>新增怪物种类4掉落</v>
      </c>
      <c r="C8946" s="8" t="str">
        <f>材料产出!$AX$2</f>
        <v>烈焰玄铁</v>
      </c>
      <c r="D8946" s="224">
        <f>参数调整!$K$39*怪物掉落配置方案!$D4842</f>
        <v>1.0937249488305462E-3</v>
      </c>
    </row>
    <row r="8947" spans="1:4" ht="16.5" hidden="1" x14ac:dyDescent="0.3">
      <c r="A8947" s="10" t="str">
        <f>基本属性!$B$11&amp;"|"&amp;基本属性!$C$11</f>
        <v>80|1</v>
      </c>
      <c r="B8947" s="10" t="str">
        <f>参数调整!$J$39</f>
        <v>新增怪物种类4掉落</v>
      </c>
      <c r="C8947" s="8" t="str">
        <f>材料产出!$AX$2</f>
        <v>烈焰玄铁</v>
      </c>
      <c r="D8947" s="224">
        <f>参数调整!$K$39*怪物掉落配置方案!$D4843</f>
        <v>1.255551599422821E-3</v>
      </c>
    </row>
    <row r="8948" spans="1:4" ht="16.5" hidden="1" x14ac:dyDescent="0.3">
      <c r="A8948" s="10" t="str">
        <f>基本属性!$B$12&amp;"|"&amp;基本属性!$C$12</f>
        <v>90|2</v>
      </c>
      <c r="B8948" s="10" t="str">
        <f>参数调整!$J$39</f>
        <v>新增怪物种类4掉落</v>
      </c>
      <c r="C8948" s="8" t="str">
        <f>材料产出!$AX$2</f>
        <v>烈焰玄铁</v>
      </c>
      <c r="D8948" s="224">
        <f>参数调整!$K$39*怪物掉落配置方案!$D4844</f>
        <v>1.4285387086766322E-3</v>
      </c>
    </row>
    <row r="8949" spans="1:4" ht="16.5" hidden="1" x14ac:dyDescent="0.3">
      <c r="A8949" s="10" t="str">
        <f>基本属性!$B$13&amp;"|"&amp;基本属性!$C$13</f>
        <v>100|3</v>
      </c>
      <c r="B8949" s="10" t="str">
        <f>参数调整!$J$39</f>
        <v>新增怪物种类4掉落</v>
      </c>
      <c r="C8949" s="8" t="str">
        <f>材料产出!$AX$2</f>
        <v>烈焰玄铁</v>
      </c>
      <c r="D8949" s="224">
        <f>参数调整!$K$39*怪物掉落配置方案!$D4845</f>
        <v>1.8079943031688625E-3</v>
      </c>
    </row>
    <row r="8950" spans="1:4" ht="16.5" hidden="1" x14ac:dyDescent="0.3">
      <c r="A8950" s="10" t="str">
        <f>基本属性!$B$14&amp;"|"&amp;基本属性!$C$14</f>
        <v>105|4</v>
      </c>
      <c r="B8950" s="10" t="str">
        <f>参数调整!$J$39</f>
        <v>新增怪物种类4掉落</v>
      </c>
      <c r="C8950" s="8" t="str">
        <f>材料产出!$AX$2</f>
        <v>烈焰玄铁</v>
      </c>
      <c r="D8950" s="224">
        <f>参数调整!$K$39*怪物掉落配置方案!$D4846</f>
        <v>2.2320917323072377E-3</v>
      </c>
    </row>
    <row r="8951" spans="1:4" ht="16.5" hidden="1" x14ac:dyDescent="0.3">
      <c r="A8951" s="10" t="str">
        <f>基本属性!$B$15&amp;"|"&amp;基本属性!$C$15</f>
        <v>110|5</v>
      </c>
      <c r="B8951" s="10" t="str">
        <f>参数调整!$J$39</f>
        <v>新增怪物种类4掉落</v>
      </c>
      <c r="C8951" s="8" t="str">
        <f>材料产出!$AX$2</f>
        <v>烈焰玄铁</v>
      </c>
      <c r="D8951" s="224">
        <f>参数调整!$K$39*怪物掉落配置方案!$D4847</f>
        <v>2.7008309960917581E-3</v>
      </c>
    </row>
    <row r="8952" spans="1:4" ht="16.5" hidden="1" x14ac:dyDescent="0.3">
      <c r="A8952" s="10" t="str">
        <f>基本属性!$B$16&amp;"|"&amp;基本属性!$C$16</f>
        <v>120|6</v>
      </c>
      <c r="B8952" s="10" t="str">
        <f>参数调整!$J$39</f>
        <v>新增怪物种类4掉落</v>
      </c>
      <c r="C8952" s="8" t="str">
        <f>材料产出!$AX$2</f>
        <v>烈焰玄铁</v>
      </c>
      <c r="D8952" s="224">
        <f>参数调整!$K$39*怪物掉落配置方案!$D4848</f>
        <v>3.4876433317300583E-3</v>
      </c>
    </row>
    <row r="8953" spans="1:4" ht="16.5" hidden="1" x14ac:dyDescent="0.3">
      <c r="A8953" s="10" t="str">
        <f>基本属性!$B$17&amp;"|"&amp;基本属性!$C$17</f>
        <v>135|7</v>
      </c>
      <c r="B8953" s="10" t="str">
        <f>参数调整!$J$39</f>
        <v>新增怪物种类4掉落</v>
      </c>
      <c r="C8953" s="8" t="str">
        <f>材料产出!$AX$2</f>
        <v>烈焰玄铁</v>
      </c>
      <c r="D8953" s="224">
        <f>参数调整!$K$39*怪物掉落配置方案!$D4849</f>
        <v>5.022206397691284E-3</v>
      </c>
    </row>
    <row r="8954" spans="1:4" ht="16.5" hidden="1" x14ac:dyDescent="0.3">
      <c r="A8954" s="10" t="str">
        <f>基本属性!$B$18&amp;"|"&amp;基本属性!$C$18</f>
        <v>155|8</v>
      </c>
      <c r="B8954" s="10" t="str">
        <f>参数调整!$J$39</f>
        <v>新增怪物种类4掉落</v>
      </c>
      <c r="C8954" s="8" t="str">
        <f>材料产出!$AX$2</f>
        <v>烈焰玄铁</v>
      </c>
      <c r="D8954" s="224">
        <f>参数调整!$K$39*怪物掉落配置方案!$D4850</f>
        <v>6.8357809301909152E-3</v>
      </c>
    </row>
    <row r="8955" spans="1:4" ht="16.5" hidden="1" x14ac:dyDescent="0.3">
      <c r="A8955" s="10" t="str">
        <f>基本属性!$B$19&amp;"|"&amp;基本属性!$C$19</f>
        <v>190|9</v>
      </c>
      <c r="B8955" s="10" t="str">
        <f>参数调整!$J$39</f>
        <v>新增怪物种类4掉落</v>
      </c>
      <c r="C8955" s="8" t="str">
        <f>材料产出!$AX$2</f>
        <v>烈焰玄铁</v>
      </c>
      <c r="D8955" s="224">
        <f>参数调整!$K$39*怪物掉落配置方案!$D4851</f>
        <v>7.6393339538215208E-3</v>
      </c>
    </row>
    <row r="8956" spans="1:4" ht="16.5" hidden="1" x14ac:dyDescent="0.3">
      <c r="A8956" s="10" t="str">
        <f>基本属性!$B$20&amp;"|"&amp;基本属性!$C$20</f>
        <v>200|10</v>
      </c>
      <c r="B8956" s="10" t="str">
        <f>参数调整!$J$39</f>
        <v>新增怪物种类4掉落</v>
      </c>
      <c r="C8956" s="8" t="str">
        <f>材料产出!$AX$2</f>
        <v>烈焰玄铁</v>
      </c>
      <c r="D8956" s="224">
        <f>参数调整!$K$39*怪物掉落配置方案!$D4852</f>
        <v>8.9283669292289508E-3</v>
      </c>
    </row>
    <row r="8957" spans="1:4" ht="16.5" hidden="1" x14ac:dyDescent="0.3">
      <c r="A8957" s="10" t="str">
        <f>基本属性!$B$21&amp;"|"&amp;基本属性!$C$21</f>
        <v>200|11</v>
      </c>
      <c r="B8957" s="10" t="str">
        <f>参数调整!$J$39</f>
        <v>新增怪物种类4掉落</v>
      </c>
      <c r="C8957" s="8" t="str">
        <f>材料产出!$AX$2</f>
        <v>烈焰玄铁</v>
      </c>
      <c r="D8957" s="224">
        <f>参数调整!$K$39*怪物掉落配置方案!$D4853</f>
        <v>1.0317844032590203E-2</v>
      </c>
    </row>
    <row r="8958" spans="1:4" ht="16.5" hidden="1" x14ac:dyDescent="0.3">
      <c r="A8958" s="10" t="str">
        <f>基本属性!$B$22&amp;"|"&amp;基本属性!$C$22</f>
        <v>210|12</v>
      </c>
      <c r="B8958" s="10" t="str">
        <f>参数调整!$J$39</f>
        <v>新增怪物种类4掉落</v>
      </c>
      <c r="C8958" s="8" t="str">
        <f>材料产出!$AX$2</f>
        <v>烈焰玄铁</v>
      </c>
      <c r="D8958" s="224">
        <f>参数调整!$K$39*怪物掉落配置方案!$D4854</f>
        <v>1.1807765263905283E-2</v>
      </c>
    </row>
    <row r="8959" spans="1:4" ht="16.5" hidden="1" x14ac:dyDescent="0.3">
      <c r="A8959" s="10" t="str">
        <f>基本属性!$B$23&amp;"|"&amp;基本属性!$C$23</f>
        <v>210|13</v>
      </c>
      <c r="B8959" s="10" t="str">
        <f>参数调整!$J$39</f>
        <v>新增怪物种类4掉落</v>
      </c>
      <c r="C8959" s="8" t="str">
        <f>材料产出!$AX$2</f>
        <v>烈焰玄铁</v>
      </c>
      <c r="D8959" s="224">
        <f>参数调整!$K$39*怪物掉落配置方案!$D4855</f>
        <v>1.3398130623174194E-2</v>
      </c>
    </row>
    <row r="8960" spans="1:4" ht="16.5" hidden="1" x14ac:dyDescent="0.3">
      <c r="A8960" s="10" t="str">
        <f>基本属性!$B$24&amp;"|"&amp;基本属性!$C$24</f>
        <v>220|14</v>
      </c>
      <c r="B8960" s="10" t="str">
        <f>参数调整!$J$39</f>
        <v>新增怪物种类4掉落</v>
      </c>
      <c r="C8960" s="8" t="str">
        <f>材料产出!$AX$2</f>
        <v>烈焰玄铁</v>
      </c>
      <c r="D8960" s="224">
        <f>参数调整!$K$39*怪物掉落配置方案!$D4856</f>
        <v>1.5088940110396925E-2</v>
      </c>
    </row>
    <row r="8961" spans="1:4" ht="16.5" hidden="1" x14ac:dyDescent="0.3">
      <c r="A8961" s="10" t="str">
        <f>基本属性!$B$25&amp;"|"&amp;基本属性!$C$25</f>
        <v>220|15</v>
      </c>
      <c r="B8961" s="10" t="str">
        <f>参数调整!$J$39</f>
        <v>新增怪物种类4掉落</v>
      </c>
      <c r="C8961" s="8" t="str">
        <f>材料产出!$AX$2</f>
        <v>烈焰玄铁</v>
      </c>
      <c r="D8961" s="224">
        <f>参数调整!$K$39*怪物掉落配置方案!$D4857</f>
        <v>1.6880193725573481E-2</v>
      </c>
    </row>
    <row r="8962" spans="1:4" ht="16.5" hidden="1" x14ac:dyDescent="0.3">
      <c r="A8962" s="10" t="str">
        <f>基本属性!$B$26&amp;"|"&amp;基本属性!$C$26</f>
        <v>230|16</v>
      </c>
      <c r="B8962" s="10" t="str">
        <f>参数调整!$J$39</f>
        <v>新增怪物种类4掉落</v>
      </c>
      <c r="C8962" s="8" t="str">
        <f>材料产出!$AX$2</f>
        <v>烈焰玄铁</v>
      </c>
      <c r="D8962" s="224">
        <f>参数调整!$K$39*怪物掉落配置方案!$D4858</f>
        <v>1.8771891468703863E-2</v>
      </c>
    </row>
    <row r="8963" spans="1:4" ht="16.5" hidden="1" x14ac:dyDescent="0.3">
      <c r="A8963" s="10" t="str">
        <f>基本属性!$B$27&amp;"|"&amp;基本属性!$C$27</f>
        <v>230|17</v>
      </c>
      <c r="B8963" s="10" t="str">
        <f>参数调整!$J$39</f>
        <v>新增怪物种类4掉落</v>
      </c>
      <c r="C8963" s="8" t="str">
        <f>材料产出!$AX$2</f>
        <v>烈焰玄铁</v>
      </c>
      <c r="D8963" s="224">
        <f>参数调整!$K$39*怪物掉落配置方案!$D4859</f>
        <v>2.076403333978807E-2</v>
      </c>
    </row>
    <row r="8964" spans="1:4" ht="16.5" hidden="1" x14ac:dyDescent="0.3">
      <c r="A8964" s="10" t="str">
        <f>基本属性!$B$28&amp;"|"&amp;基本属性!$C$28</f>
        <v>240|18</v>
      </c>
      <c r="B8964" s="10" t="str">
        <f>参数调整!$J$39</f>
        <v>新增怪物种类4掉落</v>
      </c>
      <c r="C8964" s="8" t="str">
        <f>材料产出!$AX$2</f>
        <v>烈焰玄铁</v>
      </c>
      <c r="D8964" s="224">
        <f>参数调整!$K$39*怪物掉落配置方案!$D4860</f>
        <v>2.2856619338826115E-2</v>
      </c>
    </row>
    <row r="8965" spans="1:4" ht="16.5" hidden="1" x14ac:dyDescent="0.3">
      <c r="A8965" s="10" t="str">
        <f>基本属性!$B$29&amp;"|"&amp;基本属性!$C$29</f>
        <v>240|19</v>
      </c>
      <c r="B8965" s="10" t="str">
        <f>参数调整!$J$39</f>
        <v>新增怪物种类4掉落</v>
      </c>
      <c r="C8965" s="8" t="str">
        <f>材料产出!$AX$2</f>
        <v>烈焰玄铁</v>
      </c>
      <c r="D8965" s="224">
        <f>参数调整!$K$39*怪物掉落配置方案!$D4861</f>
        <v>2.5049649465817971E-2</v>
      </c>
    </row>
    <row r="8966" spans="1:4" ht="16.5" hidden="1" x14ac:dyDescent="0.3">
      <c r="A8966" s="10" t="str">
        <f>基本属性!$B$30&amp;"|"&amp;基本属性!$C$30</f>
        <v>250|20</v>
      </c>
      <c r="B8966" s="10" t="str">
        <f>参数调整!$J$39</f>
        <v>新增怪物种类4掉落</v>
      </c>
      <c r="C8966" s="8" t="str">
        <f>材料产出!$AX$2</f>
        <v>烈焰玄铁</v>
      </c>
      <c r="D8966" s="224">
        <f>参数调整!$K$39*怪物掉落配置方案!$D4862</f>
        <v>2.7343123720763654E-2</v>
      </c>
    </row>
    <row r="8967" spans="1:4" ht="16.5" hidden="1" x14ac:dyDescent="0.3">
      <c r="A8967" s="10" t="str">
        <f>基本属性!$B$4&amp;"|"&amp;基本属性!$C$4</f>
        <v>35|0</v>
      </c>
      <c r="B8967" s="10" t="str">
        <f>参数调整!$J$39</f>
        <v>新增怪物种类4掉落</v>
      </c>
      <c r="C8967" s="8" t="str">
        <f>材料产出!$H$2</f>
        <v>经验</v>
      </c>
      <c r="D8967" s="224">
        <f>参数调整!$K$39*怪物掉落配置方案!$D4863</f>
        <v>3332</v>
      </c>
    </row>
    <row r="8968" spans="1:4" ht="16.5" hidden="1" x14ac:dyDescent="0.3">
      <c r="A8968" s="10" t="str">
        <f>基本属性!$B$5&amp;"|"&amp;基本属性!$C$5</f>
        <v>40|0</v>
      </c>
      <c r="B8968" s="10" t="str">
        <f>参数调整!$J$39</f>
        <v>新增怪物种类4掉落</v>
      </c>
      <c r="C8968" s="8" t="str">
        <f>材料产出!$H$2</f>
        <v>经验</v>
      </c>
      <c r="D8968" s="224">
        <f>参数调整!$K$39*怪物掉落配置方案!$D4864</f>
        <v>6388</v>
      </c>
    </row>
    <row r="8969" spans="1:4" ht="16.5" hidden="1" x14ac:dyDescent="0.3">
      <c r="A8969" s="10" t="str">
        <f>基本属性!$B$6&amp;"|"&amp;基本属性!$C$6</f>
        <v>50|0</v>
      </c>
      <c r="B8969" s="10" t="str">
        <f>参数调整!$J$39</f>
        <v>新增怪物种类4掉落</v>
      </c>
      <c r="C8969" s="8" t="str">
        <f>材料产出!$H$2</f>
        <v>经验</v>
      </c>
      <c r="D8969" s="224">
        <f>参数调整!$K$39*怪物掉落配置方案!$D4865</f>
        <v>17332</v>
      </c>
    </row>
    <row r="8970" spans="1:4" ht="16.5" hidden="1" x14ac:dyDescent="0.3">
      <c r="A8970" s="10" t="str">
        <f>基本属性!$B$7&amp;"|"&amp;基本属性!$C$7</f>
        <v>60|0</v>
      </c>
      <c r="B8970" s="10" t="str">
        <f>参数调整!$J$39</f>
        <v>新增怪物种类4掉落</v>
      </c>
      <c r="C8970" s="8" t="str">
        <f>材料产出!$H$2</f>
        <v>经验</v>
      </c>
      <c r="D8970" s="224">
        <f>参数调整!$K$39*怪物掉落配置方案!$D4866</f>
        <v>21668</v>
      </c>
    </row>
    <row r="8971" spans="1:4" ht="16.5" hidden="1" x14ac:dyDescent="0.3">
      <c r="A8971" s="10" t="str">
        <f>基本属性!$B$8&amp;"|"&amp;基本属性!$C$8</f>
        <v>65|0</v>
      </c>
      <c r="B8971" s="10" t="str">
        <f>参数调整!$J$39</f>
        <v>新增怪物种类4掉落</v>
      </c>
      <c r="C8971" s="8" t="str">
        <f>材料产出!$H$2</f>
        <v>经验</v>
      </c>
      <c r="D8971" s="224">
        <f>参数调整!$K$39*怪物掉落配置方案!$D4867</f>
        <v>21776</v>
      </c>
    </row>
    <row r="8972" spans="1:4" ht="16.5" hidden="1" x14ac:dyDescent="0.3">
      <c r="A8972" s="10" t="str">
        <f>基本属性!$B$9&amp;"|"&amp;基本属性!$C$9</f>
        <v>70|0</v>
      </c>
      <c r="B8972" s="10" t="str">
        <f>参数调整!$J$39</f>
        <v>新增怪物种类4掉落</v>
      </c>
      <c r="C8972" s="8" t="str">
        <f>材料产出!$H$2</f>
        <v>经验</v>
      </c>
      <c r="D8972" s="224">
        <f>参数调整!$K$39*怪物掉落配置方案!$D4868</f>
        <v>22296</v>
      </c>
    </row>
    <row r="8973" spans="1:4" ht="16.5" hidden="1" x14ac:dyDescent="0.3">
      <c r="A8973" s="10" t="str">
        <f>基本属性!$B$10&amp;"|"&amp;基本属性!$C$10</f>
        <v>75|0</v>
      </c>
      <c r="B8973" s="10" t="str">
        <f>参数调整!$J$39</f>
        <v>新增怪物种类4掉落</v>
      </c>
      <c r="C8973" s="8" t="str">
        <f>材料产出!$H$2</f>
        <v>经验</v>
      </c>
      <c r="D8973" s="224">
        <f>参数调整!$K$39*怪物掉落配置方案!$D4869</f>
        <v>25164</v>
      </c>
    </row>
    <row r="8974" spans="1:4" ht="16.5" hidden="1" x14ac:dyDescent="0.3">
      <c r="A8974" s="10" t="str">
        <f>基本属性!$B$11&amp;"|"&amp;基本属性!$C$11</f>
        <v>80|1</v>
      </c>
      <c r="B8974" s="10" t="str">
        <f>参数调整!$J$39</f>
        <v>新增怪物种类4掉落</v>
      </c>
      <c r="C8974" s="8" t="str">
        <f>材料产出!$H$2</f>
        <v>经验</v>
      </c>
      <c r="D8974" s="224">
        <f>参数调整!$K$39*怪物掉落配置方案!$D4870</f>
        <v>40324</v>
      </c>
    </row>
    <row r="8975" spans="1:4" ht="16.5" hidden="1" x14ac:dyDescent="0.3">
      <c r="A8975" s="10" t="str">
        <f>基本属性!$B$12&amp;"|"&amp;基本属性!$C$12</f>
        <v>90|2</v>
      </c>
      <c r="B8975" s="10" t="str">
        <f>参数调整!$J$39</f>
        <v>新增怪物种类4掉落</v>
      </c>
      <c r="C8975" s="8" t="str">
        <f>材料产出!$H$2</f>
        <v>经验</v>
      </c>
      <c r="D8975" s="224">
        <f>参数调整!$K$39*怪物掉落配置方案!$D4871</f>
        <v>69340</v>
      </c>
    </row>
    <row r="8976" spans="1:4" ht="16.5" hidden="1" x14ac:dyDescent="0.3">
      <c r="A8976" s="10" t="str">
        <f>基本属性!$B$13&amp;"|"&amp;基本属性!$C$13</f>
        <v>100|3</v>
      </c>
      <c r="B8976" s="10" t="str">
        <f>参数调整!$J$39</f>
        <v>新增怪物种类4掉落</v>
      </c>
      <c r="C8976" s="8" t="str">
        <f>材料产出!$H$2</f>
        <v>经验</v>
      </c>
      <c r="D8976" s="224">
        <f>参数调整!$K$39*怪物掉落配置方案!$D4872</f>
        <v>81588</v>
      </c>
    </row>
    <row r="8977" spans="1:4" ht="16.5" hidden="1" x14ac:dyDescent="0.3">
      <c r="A8977" s="10" t="str">
        <f>基本属性!$B$14&amp;"|"&amp;基本属性!$C$14</f>
        <v>105|4</v>
      </c>
      <c r="B8977" s="10" t="str">
        <f>参数调整!$J$39</f>
        <v>新增怪物种类4掉落</v>
      </c>
      <c r="C8977" s="8" t="str">
        <f>材料产出!$H$2</f>
        <v>经验</v>
      </c>
      <c r="D8977" s="224">
        <f>参数调整!$K$39*怪物掉落配置方案!$D4873</f>
        <v>126000</v>
      </c>
    </row>
    <row r="8978" spans="1:4" ht="16.5" hidden="1" x14ac:dyDescent="0.3">
      <c r="A8978" s="10" t="str">
        <f>基本属性!$B$15&amp;"|"&amp;基本属性!$C$15</f>
        <v>110|5</v>
      </c>
      <c r="B8978" s="10" t="str">
        <f>参数调整!$J$39</f>
        <v>新增怪物种类4掉落</v>
      </c>
      <c r="C8978" s="8" t="str">
        <f>材料产出!$H$2</f>
        <v>经验</v>
      </c>
      <c r="D8978" s="224">
        <f>参数调整!$K$39*怪物掉落配置方案!$D4874</f>
        <v>130224</v>
      </c>
    </row>
    <row r="8979" spans="1:4" ht="16.5" hidden="1" x14ac:dyDescent="0.3">
      <c r="A8979" s="10" t="str">
        <f>基本属性!$B$16&amp;"|"&amp;基本属性!$C$16</f>
        <v>120|6</v>
      </c>
      <c r="B8979" s="10" t="str">
        <f>参数调整!$J$39</f>
        <v>新增怪物种类4掉落</v>
      </c>
      <c r="C8979" s="8" t="str">
        <f>材料产出!$H$2</f>
        <v>经验</v>
      </c>
      <c r="D8979" s="224">
        <f>参数调整!$K$39*怪物掉落配置方案!$D4875</f>
        <v>519256</v>
      </c>
    </row>
    <row r="8980" spans="1:4" ht="16.5" hidden="1" x14ac:dyDescent="0.3">
      <c r="A8980" s="10" t="str">
        <f>基本属性!$B$17&amp;"|"&amp;基本属性!$C$17</f>
        <v>135|7</v>
      </c>
      <c r="B8980" s="10" t="str">
        <f>参数调整!$J$39</f>
        <v>新增怪物种类4掉落</v>
      </c>
      <c r="C8980" s="8" t="str">
        <f>材料产出!$H$2</f>
        <v>经验</v>
      </c>
      <c r="D8980" s="224">
        <f>参数调整!$K$39*怪物掉落配置方案!$D4876</f>
        <v>1777668</v>
      </c>
    </row>
    <row r="8981" spans="1:4" ht="16.5" hidden="1" x14ac:dyDescent="0.3">
      <c r="A8981" s="10" t="str">
        <f>基本属性!$B$18&amp;"|"&amp;基本属性!$C$18</f>
        <v>155|8</v>
      </c>
      <c r="B8981" s="10" t="str">
        <f>参数调整!$J$39</f>
        <v>新增怪物种类4掉落</v>
      </c>
      <c r="C8981" s="8" t="str">
        <f>材料产出!$H$2</f>
        <v>经验</v>
      </c>
      <c r="D8981" s="224">
        <f>参数调整!$K$39*怪物掉落配置方案!$D4877</f>
        <v>21473556</v>
      </c>
    </row>
    <row r="8982" spans="1:4" ht="16.5" hidden="1" x14ac:dyDescent="0.3">
      <c r="A8982" s="10" t="str">
        <f>基本属性!$B$19&amp;"|"&amp;基本属性!$C$19</f>
        <v>190|9</v>
      </c>
      <c r="B8982" s="10" t="str">
        <f>参数调整!$J$39</f>
        <v>新增怪物种类4掉落</v>
      </c>
      <c r="C8982" s="8" t="str">
        <f>材料产出!$H$2</f>
        <v>经验</v>
      </c>
      <c r="D8982" s="224">
        <f>参数调整!$K$39*怪物掉落配置方案!$D4878</f>
        <v>19525868</v>
      </c>
    </row>
    <row r="8983" spans="1:4" ht="16.5" hidden="1" x14ac:dyDescent="0.3">
      <c r="A8983" s="10" t="str">
        <f>基本属性!$B$20&amp;"|"&amp;基本属性!$C$20</f>
        <v>200|10</v>
      </c>
      <c r="B8983" s="10" t="str">
        <f>参数调整!$J$39</f>
        <v>新增怪物种类4掉落</v>
      </c>
      <c r="C8983" s="8" t="str">
        <f>材料产出!$H$2</f>
        <v>经验</v>
      </c>
      <c r="D8983" s="224">
        <f>参数调整!$K$39*怪物掉落配置方案!$D4879</f>
        <v>23333332</v>
      </c>
    </row>
    <row r="8984" spans="1:4" ht="16.5" hidden="1" x14ac:dyDescent="0.3">
      <c r="A8984" s="10" t="str">
        <f>基本属性!$B$21&amp;"|"&amp;基本属性!$C$21</f>
        <v>200|11</v>
      </c>
      <c r="B8984" s="10" t="str">
        <f>参数调整!$J$39</f>
        <v>新增怪物种类4掉落</v>
      </c>
      <c r="C8984" s="8" t="str">
        <f>材料产出!$H$2</f>
        <v>经验</v>
      </c>
      <c r="D8984" s="224">
        <f>参数调整!$K$39*怪物掉落配置方案!$D4880</f>
        <v>4666668</v>
      </c>
    </row>
    <row r="8985" spans="1:4" ht="16.5" hidden="1" x14ac:dyDescent="0.3">
      <c r="A8985" s="10" t="str">
        <f>基本属性!$B$22&amp;"|"&amp;基本属性!$C$22</f>
        <v>210|12</v>
      </c>
      <c r="B8985" s="10" t="str">
        <f>参数调整!$J$39</f>
        <v>新增怪物种类4掉落</v>
      </c>
      <c r="C8985" s="8" t="str">
        <f>材料产出!$H$2</f>
        <v>经验</v>
      </c>
      <c r="D8985" s="224">
        <f>参数调整!$K$39*怪物掉落配置方案!$D4881</f>
        <v>4666668</v>
      </c>
    </row>
    <row r="8986" spans="1:4" ht="16.5" hidden="1" x14ac:dyDescent="0.3">
      <c r="A8986" s="10" t="str">
        <f>基本属性!$B$23&amp;"|"&amp;基本属性!$C$23</f>
        <v>210|13</v>
      </c>
      <c r="B8986" s="10" t="str">
        <f>参数调整!$J$39</f>
        <v>新增怪物种类4掉落</v>
      </c>
      <c r="C8986" s="8" t="str">
        <f>材料产出!$H$2</f>
        <v>经验</v>
      </c>
      <c r="D8986" s="224">
        <f>参数调整!$K$39*怪物掉落配置方案!$D4882</f>
        <v>4666668</v>
      </c>
    </row>
    <row r="8987" spans="1:4" ht="16.5" hidden="1" x14ac:dyDescent="0.3">
      <c r="A8987" s="10" t="str">
        <f>基本属性!$B$24&amp;"|"&amp;基本属性!$C$24</f>
        <v>220|14</v>
      </c>
      <c r="B8987" s="10" t="str">
        <f>参数调整!$J$39</f>
        <v>新增怪物种类4掉落</v>
      </c>
      <c r="C8987" s="8" t="str">
        <f>材料产出!$H$2</f>
        <v>经验</v>
      </c>
      <c r="D8987" s="224">
        <f>参数调整!$K$39*怪物掉落配置方案!$D4883</f>
        <v>4666668</v>
      </c>
    </row>
    <row r="8988" spans="1:4" ht="16.5" hidden="1" x14ac:dyDescent="0.3">
      <c r="A8988" s="10" t="str">
        <f>基本属性!$B$25&amp;"|"&amp;基本属性!$C$25</f>
        <v>220|15</v>
      </c>
      <c r="B8988" s="10" t="str">
        <f>参数调整!$J$39</f>
        <v>新增怪物种类4掉落</v>
      </c>
      <c r="C8988" s="8" t="str">
        <f>材料产出!$H$2</f>
        <v>经验</v>
      </c>
      <c r="D8988" s="224">
        <f>参数调整!$K$39*怪物掉落配置方案!$D4884</f>
        <v>4666668</v>
      </c>
    </row>
    <row r="8989" spans="1:4" ht="16.5" hidden="1" x14ac:dyDescent="0.3">
      <c r="A8989" s="10" t="str">
        <f>基本属性!$B$26&amp;"|"&amp;基本属性!$C$26</f>
        <v>230|16</v>
      </c>
      <c r="B8989" s="10" t="str">
        <f>参数调整!$J$39</f>
        <v>新增怪物种类4掉落</v>
      </c>
      <c r="C8989" s="8" t="str">
        <f>材料产出!$H$2</f>
        <v>经验</v>
      </c>
      <c r="D8989" s="224">
        <f>参数调整!$K$39*怪物掉落配置方案!$D4885</f>
        <v>2333332</v>
      </c>
    </row>
    <row r="8990" spans="1:4" ht="16.5" hidden="1" x14ac:dyDescent="0.3">
      <c r="A8990" s="10" t="str">
        <f>基本属性!$B$27&amp;"|"&amp;基本属性!$C$27</f>
        <v>230|17</v>
      </c>
      <c r="B8990" s="10" t="str">
        <f>参数调整!$J$39</f>
        <v>新增怪物种类4掉落</v>
      </c>
      <c r="C8990" s="8" t="str">
        <f>材料产出!$H$2</f>
        <v>经验</v>
      </c>
      <c r="D8990" s="224">
        <f>参数调整!$K$39*怪物掉落配置方案!$D4886</f>
        <v>2333332</v>
      </c>
    </row>
    <row r="8991" spans="1:4" ht="16.5" hidden="1" x14ac:dyDescent="0.3">
      <c r="A8991" s="10" t="str">
        <f>基本属性!$B$28&amp;"|"&amp;基本属性!$C$28</f>
        <v>240|18</v>
      </c>
      <c r="B8991" s="10" t="str">
        <f>参数调整!$J$39</f>
        <v>新增怪物种类4掉落</v>
      </c>
      <c r="C8991" s="8" t="str">
        <f>材料产出!$H$2</f>
        <v>经验</v>
      </c>
      <c r="D8991" s="224">
        <f>参数调整!$K$39*怪物掉落配置方案!$D4887</f>
        <v>2333332</v>
      </c>
    </row>
    <row r="8992" spans="1:4" ht="16.5" hidden="1" x14ac:dyDescent="0.3">
      <c r="A8992" s="10" t="str">
        <f>基本属性!$B$29&amp;"|"&amp;基本属性!$C$29</f>
        <v>240|19</v>
      </c>
      <c r="B8992" s="10" t="str">
        <f>参数调整!$J$39</f>
        <v>新增怪物种类4掉落</v>
      </c>
      <c r="C8992" s="8" t="str">
        <f>材料产出!$H$2</f>
        <v>经验</v>
      </c>
      <c r="D8992" s="224">
        <f>参数调整!$K$39*怪物掉落配置方案!$D4888</f>
        <v>2333332</v>
      </c>
    </row>
    <row r="8993" spans="1:4" ht="16.5" hidden="1" x14ac:dyDescent="0.3">
      <c r="A8993" s="10" t="str">
        <f>基本属性!$B$30&amp;"|"&amp;基本属性!$C$30</f>
        <v>250|20</v>
      </c>
      <c r="B8993" s="10" t="str">
        <f>参数调整!$J$39</f>
        <v>新增怪物种类4掉落</v>
      </c>
      <c r="C8993" s="8" t="str">
        <f>材料产出!$H$2</f>
        <v>经验</v>
      </c>
      <c r="D8993" s="224">
        <f>参数调整!$K$39*怪物掉落配置方案!$D4889</f>
        <v>2333332</v>
      </c>
    </row>
    <row r="8994" spans="1:4" ht="16.5" hidden="1" x14ac:dyDescent="0.3">
      <c r="A8994" s="10" t="str">
        <f>基本属性!$B$4&amp;"|"&amp;基本属性!$C$4</f>
        <v>35|0</v>
      </c>
      <c r="B8994" s="10" t="str">
        <f>参数调整!$J$39</f>
        <v>新增怪物种类4掉落</v>
      </c>
      <c r="C8994" s="8" t="str">
        <f>材料产出!$AN$2</f>
        <v>极品注灵石</v>
      </c>
      <c r="D8994" s="224">
        <f>参数调整!$K$39*怪物掉落配置方案!$D4890</f>
        <v>2.0737641157694267E-3</v>
      </c>
    </row>
    <row r="8995" spans="1:4" ht="16.5" hidden="1" x14ac:dyDescent="0.3">
      <c r="A8995" s="10" t="str">
        <f>基本属性!$B$5&amp;"|"&amp;基本属性!$C$5</f>
        <v>40|0</v>
      </c>
      <c r="B8995" s="10" t="str">
        <f>参数调整!$J$39</f>
        <v>新增怪物种类4掉落</v>
      </c>
      <c r="C8995" s="8" t="str">
        <f>材料产出!$AN$2</f>
        <v>极品注灵石</v>
      </c>
      <c r="D8995" s="224">
        <f>参数调整!$K$39*怪物掉落配置方案!$D4891</f>
        <v>2.6246077090206804E-3</v>
      </c>
    </row>
    <row r="8996" spans="1:4" ht="16.5" hidden="1" x14ac:dyDescent="0.3">
      <c r="A8996" s="10" t="str">
        <f>基本属性!$B$6&amp;"|"&amp;基本属性!$C$6</f>
        <v>50|0</v>
      </c>
      <c r="B8996" s="10" t="str">
        <f>参数调整!$J$39</f>
        <v>新增怪物种类4掉落</v>
      </c>
      <c r="C8996" s="8" t="str">
        <f>材料产出!$AN$2</f>
        <v>极品注灵石</v>
      </c>
      <c r="D8996" s="224">
        <f>参数调整!$K$39*怪物掉落配置方案!$D4892</f>
        <v>3.2402564308897292E-3</v>
      </c>
    </row>
    <row r="8997" spans="1:4" ht="16.5" hidden="1" x14ac:dyDescent="0.3">
      <c r="A8997" s="10" t="str">
        <f>基本属性!$B$7&amp;"|"&amp;基本属性!$C$7</f>
        <v>60|0</v>
      </c>
      <c r="B8997" s="10" t="str">
        <f>参数调整!$J$39</f>
        <v>新增怪物种类4掉落</v>
      </c>
      <c r="C8997" s="8" t="str">
        <f>材料产出!$AN$2</f>
        <v>极品注灵石</v>
      </c>
      <c r="D8997" s="224">
        <f>参数调整!$K$39*怪物掉落配置方案!$D4893</f>
        <v>3.9207102813765731E-3</v>
      </c>
    </row>
    <row r="8998" spans="1:4" ht="16.5" hidden="1" x14ac:dyDescent="0.3">
      <c r="A8998" s="10" t="str">
        <f>基本属性!$B$8&amp;"|"&amp;基本属性!$C$8</f>
        <v>65|0</v>
      </c>
      <c r="B8998" s="10" t="str">
        <f>参数调整!$J$39</f>
        <v>新增怪物种类4掉落</v>
      </c>
      <c r="C8998" s="8" t="str">
        <f>材料产出!$AN$2</f>
        <v>极品注灵石</v>
      </c>
      <c r="D8998" s="224">
        <f>参数调整!$K$39*怪物掉落配置方案!$D4894</f>
        <v>4.6659692604812094E-3</v>
      </c>
    </row>
    <row r="8999" spans="1:4" ht="16.5" hidden="1" x14ac:dyDescent="0.3">
      <c r="A8999" s="10" t="str">
        <f>基本属性!$B$9&amp;"|"&amp;基本属性!$C$9</f>
        <v>70|0</v>
      </c>
      <c r="B8999" s="10" t="str">
        <f>参数调整!$J$39</f>
        <v>新增怪物种类4掉落</v>
      </c>
      <c r="C8999" s="8" t="str">
        <f>材料产出!$AN$2</f>
        <v>极品注灵石</v>
      </c>
      <c r="D8999" s="224">
        <f>参数调整!$K$39*怪物掉落配置方案!$D4895</f>
        <v>5.4760333682036429E-3</v>
      </c>
    </row>
    <row r="9000" spans="1:4" ht="16.5" hidden="1" x14ac:dyDescent="0.3">
      <c r="A9000" s="10" t="str">
        <f>基本属性!$B$10&amp;"|"&amp;基本属性!$C$10</f>
        <v>75|0</v>
      </c>
      <c r="B9000" s="10" t="str">
        <f>参数调整!$J$39</f>
        <v>新增怪物种类4掉落</v>
      </c>
      <c r="C9000" s="8" t="str">
        <f>材料产出!$AN$2</f>
        <v>极品注灵石</v>
      </c>
      <c r="D9000" s="224">
        <f>参数调整!$K$39*怪物掉落配置方案!$D4896</f>
        <v>6.3509026045438675E-3</v>
      </c>
    </row>
    <row r="9001" spans="1:4" ht="16.5" hidden="1" x14ac:dyDescent="0.3">
      <c r="A9001" s="10" t="str">
        <f>基本属性!$B$11&amp;"|"&amp;基本属性!$C$11</f>
        <v>80|1</v>
      </c>
      <c r="B9001" s="10" t="str">
        <f>参数调整!$J$39</f>
        <v>新增怪物种类4掉落</v>
      </c>
      <c r="C9001" s="8" t="str">
        <f>材料产出!$AN$2</f>
        <v>极品注灵石</v>
      </c>
      <c r="D9001" s="224">
        <f>参数调整!$K$39*怪物掉落配置方案!$D4897</f>
        <v>7.2905769695018911E-3</v>
      </c>
    </row>
    <row r="9002" spans="1:4" ht="16.5" hidden="1" x14ac:dyDescent="0.3">
      <c r="A9002" s="10" t="str">
        <f>基本属性!$B$12&amp;"|"&amp;基本属性!$C$12</f>
        <v>90|2</v>
      </c>
      <c r="B9002" s="10" t="str">
        <f>参数调整!$J$39</f>
        <v>新增怪物种类4掉落</v>
      </c>
      <c r="C9002" s="8" t="str">
        <f>材料产出!$AN$2</f>
        <v>极品注灵石</v>
      </c>
      <c r="D9002" s="224">
        <f>参数调整!$K$39*怪物掉落配置方案!$D4898</f>
        <v>8.2950564630777084E-3</v>
      </c>
    </row>
    <row r="9003" spans="1:4" ht="16.5" hidden="1" x14ac:dyDescent="0.3">
      <c r="A9003" s="10" t="str">
        <f>基本属性!$B$13&amp;"|"&amp;基本属性!$C$13</f>
        <v>100|3</v>
      </c>
      <c r="B9003" s="10" t="str">
        <f>参数调整!$J$39</f>
        <v>新增怪物种类4掉落</v>
      </c>
      <c r="C9003" s="8" t="str">
        <f>材料产出!$AN$2</f>
        <v>极品注灵石</v>
      </c>
      <c r="D9003" s="224">
        <f>参数调整!$K$39*怪物掉落配置方案!$D4899</f>
        <v>1.0498430836082723E-2</v>
      </c>
    </row>
    <row r="9004" spans="1:4" ht="16.5" hidden="1" x14ac:dyDescent="0.3">
      <c r="A9004" s="10" t="str">
        <f>基本属性!$B$14&amp;"|"&amp;基本属性!$C$14</f>
        <v>105|4</v>
      </c>
      <c r="B9004" s="10" t="str">
        <f>参数调整!$J$39</f>
        <v>新增怪物种类4掉落</v>
      </c>
      <c r="C9004" s="8" t="str">
        <f>材料产出!$AN$2</f>
        <v>极品注灵石</v>
      </c>
      <c r="D9004" s="224">
        <f>参数调整!$K$39*怪物掉落配置方案!$D4900</f>
        <v>1.2961025723558917E-2</v>
      </c>
    </row>
    <row r="9005" spans="1:4" ht="16.5" hidden="1" x14ac:dyDescent="0.3">
      <c r="A9005" s="10" t="str">
        <f>基本属性!$B$15&amp;"|"&amp;基本属性!$C$15</f>
        <v>110|5</v>
      </c>
      <c r="B9005" s="10" t="str">
        <f>参数调整!$J$39</f>
        <v>新增怪物种类4掉落</v>
      </c>
      <c r="C9005" s="8" t="str">
        <f>材料产出!$AN$2</f>
        <v>极品注灵石</v>
      </c>
      <c r="D9005" s="224">
        <f>参数调整!$K$39*怪物掉落配置方案!$D4901</f>
        <v>1.5682841125506292E-2</v>
      </c>
    </row>
    <row r="9006" spans="1:4" ht="16.5" hidden="1" x14ac:dyDescent="0.3">
      <c r="A9006" s="10" t="str">
        <f>基本属性!$B$16&amp;"|"&amp;基本属性!$C$16</f>
        <v>120|6</v>
      </c>
      <c r="B9006" s="10" t="str">
        <f>参数调整!$J$39</f>
        <v>新增怪物种类4掉落</v>
      </c>
      <c r="C9006" s="8" t="str">
        <f>材料产出!$AN$2</f>
        <v>极品注灵石</v>
      </c>
      <c r="D9006" s="224">
        <f>参数调整!$K$39*怪物掉落配置方案!$D4902</f>
        <v>2.0251602693060807E-2</v>
      </c>
    </row>
    <row r="9007" spans="1:4" ht="16.5" hidden="1" x14ac:dyDescent="0.3">
      <c r="A9007" s="10" t="str">
        <f>基本属性!$B$17&amp;"|"&amp;基本属性!$C$17</f>
        <v>135|7</v>
      </c>
      <c r="B9007" s="10" t="str">
        <f>参数调整!$J$39</f>
        <v>新增怪物种类4掉落</v>
      </c>
      <c r="C9007" s="8" t="str">
        <f>材料产出!$AN$2</f>
        <v>极品注灵石</v>
      </c>
      <c r="D9007" s="224">
        <f>参数调整!$K$39*怪物掉落配置方案!$D4903</f>
        <v>2.9162307878007561E-2</v>
      </c>
    </row>
    <row r="9008" spans="1:4" ht="16.5" hidden="1" x14ac:dyDescent="0.3">
      <c r="A9008" s="10" t="str">
        <f>基本属性!$B$18&amp;"|"&amp;基本属性!$C$18</f>
        <v>155|8</v>
      </c>
      <c r="B9008" s="10" t="str">
        <f>参数调整!$J$39</f>
        <v>新增怪物种类4掉落</v>
      </c>
      <c r="C9008" s="8" t="str">
        <f>材料产出!$AN$2</f>
        <v>极品注灵石</v>
      </c>
      <c r="D9008" s="224">
        <f>参数调整!$K$39*怪物掉落配置方案!$D4904</f>
        <v>3.9693141278399187E-2</v>
      </c>
    </row>
    <row r="9009" spans="1:4" ht="16.5" hidden="1" x14ac:dyDescent="0.3">
      <c r="A9009" s="10" t="str">
        <f>基本属性!$B$19&amp;"|"&amp;基本属性!$C$19</f>
        <v>190|9</v>
      </c>
      <c r="B9009" s="10" t="str">
        <f>参数调整!$J$39</f>
        <v>新增怪物种类4掉落</v>
      </c>
      <c r="C9009" s="8" t="str">
        <f>材料产出!$AN$2</f>
        <v>极品注灵石</v>
      </c>
      <c r="D9009" s="224">
        <f>参数调整!$K$39*怪物掉落配置方案!$D4905</f>
        <v>4.4359110538880399E-2</v>
      </c>
    </row>
    <row r="9010" spans="1:4" ht="16.5" hidden="1" x14ac:dyDescent="0.3">
      <c r="A9010" s="10" t="str">
        <f>基本属性!$B$20&amp;"|"&amp;基本属性!$C$20</f>
        <v>200|10</v>
      </c>
      <c r="B9010" s="10" t="str">
        <f>参数调整!$J$39</f>
        <v>新增怪物种类4掉落</v>
      </c>
      <c r="C9010" s="8" t="str">
        <f>材料产出!$AN$2</f>
        <v>极品注灵石</v>
      </c>
      <c r="D9010" s="224">
        <f>参数调整!$K$39*怪物掉落配置方案!$D4906</f>
        <v>5.1844102894235668E-2</v>
      </c>
    </row>
    <row r="9011" spans="1:4" ht="16.5" hidden="1" x14ac:dyDescent="0.3">
      <c r="A9011" s="10" t="str">
        <f>基本属性!$B$21&amp;"|"&amp;基本属性!$C$21</f>
        <v>200|11</v>
      </c>
      <c r="B9011" s="10" t="str">
        <f>参数调整!$J$39</f>
        <v>新增怪物种类4掉落</v>
      </c>
      <c r="C9011" s="8" t="str">
        <f>材料产出!$AN$2</f>
        <v>极品注灵石</v>
      </c>
      <c r="D9011" s="224">
        <f>参数调整!$K$39*怪物掉落配置方案!$D4907</f>
        <v>5.9912341407151078E-2</v>
      </c>
    </row>
    <row r="9012" spans="1:4" ht="16.5" hidden="1" x14ac:dyDescent="0.3">
      <c r="A9012" s="10" t="str">
        <f>基本属性!$B$22&amp;"|"&amp;基本属性!$C$22</f>
        <v>210|12</v>
      </c>
      <c r="B9012" s="10" t="str">
        <f>参数调整!$J$39</f>
        <v>新增怪物种类4掉落</v>
      </c>
      <c r="C9012" s="8" t="str">
        <f>材料产出!$AN$2</f>
        <v>极品注灵石</v>
      </c>
      <c r="D9012" s="224">
        <f>参数调整!$K$39*怪物掉落配置方案!$D4908</f>
        <v>6.8563826077626663E-2</v>
      </c>
    </row>
    <row r="9013" spans="1:4" ht="16.5" hidden="1" x14ac:dyDescent="0.3">
      <c r="A9013" s="10" t="str">
        <f>基本属性!$B$23&amp;"|"&amp;基本属性!$C$23</f>
        <v>210|13</v>
      </c>
      <c r="B9013" s="10" t="str">
        <f>参数调整!$J$39</f>
        <v>新增怪物种类4掉落</v>
      </c>
      <c r="C9013" s="8" t="str">
        <f>材料产出!$AN$2</f>
        <v>极品注灵石</v>
      </c>
      <c r="D9013" s="224">
        <f>参数调整!$K$39*怪物掉落配置方案!$D4909</f>
        <v>7.7798556905662397E-2</v>
      </c>
    </row>
    <row r="9014" spans="1:4" ht="16.5" hidden="1" x14ac:dyDescent="0.3">
      <c r="A9014" s="10" t="str">
        <f>基本属性!$B$24&amp;"|"&amp;基本属性!$C$24</f>
        <v>220|14</v>
      </c>
      <c r="B9014" s="10" t="str">
        <f>参数调整!$J$39</f>
        <v>新增怪物种类4掉落</v>
      </c>
      <c r="C9014" s="8" t="str">
        <f>材料产出!$AN$2</f>
        <v>极品注灵石</v>
      </c>
      <c r="D9014" s="224">
        <f>参数调整!$K$39*怪物掉落配置方案!$D4910</f>
        <v>8.7616533891258286E-2</v>
      </c>
    </row>
    <row r="9015" spans="1:4" ht="16.5" hidden="1" x14ac:dyDescent="0.3">
      <c r="A9015" s="10" t="str">
        <f>基本属性!$B$25&amp;"|"&amp;基本属性!$C$25</f>
        <v>220|15</v>
      </c>
      <c r="B9015" s="10" t="str">
        <f>参数调整!$J$39</f>
        <v>新增怪物种类4掉落</v>
      </c>
      <c r="C9015" s="8" t="str">
        <f>材料产出!$AN$2</f>
        <v>极品注灵石</v>
      </c>
      <c r="D9015" s="224">
        <f>参数调整!$K$39*怪物掉落配置方案!$D4911</f>
        <v>9.8017757034414288E-2</v>
      </c>
    </row>
    <row r="9016" spans="1:4" ht="16.5" hidden="1" x14ac:dyDescent="0.3">
      <c r="A9016" s="10" t="str">
        <f>基本属性!$B$26&amp;"|"&amp;基本属性!$C$26</f>
        <v>230|16</v>
      </c>
      <c r="B9016" s="10" t="str">
        <f>参数调整!$J$39</f>
        <v>新增怪物种类4掉落</v>
      </c>
      <c r="C9016" s="8" t="str">
        <f>材料产出!$AN$2</f>
        <v>极品注灵石</v>
      </c>
      <c r="D9016" s="224">
        <f>参数调整!$K$39*怪物掉落配置方案!$D4912</f>
        <v>0.10900222633513047</v>
      </c>
    </row>
    <row r="9017" spans="1:4" ht="16.5" hidden="1" x14ac:dyDescent="0.3">
      <c r="A9017" s="10" t="str">
        <f>基本属性!$B$27&amp;"|"&amp;基本属性!$C$27</f>
        <v>230|17</v>
      </c>
      <c r="B9017" s="10" t="str">
        <f>参数调整!$J$39</f>
        <v>新增怪物种类4掉落</v>
      </c>
      <c r="C9017" s="8" t="str">
        <f>材料产出!$AN$2</f>
        <v>极品注灵石</v>
      </c>
      <c r="D9017" s="224">
        <f>参数调整!$K$39*怪物掉落配置方案!$D4913</f>
        <v>0.1205699417934068</v>
      </c>
    </row>
    <row r="9018" spans="1:4" ht="16.5" hidden="1" x14ac:dyDescent="0.3">
      <c r="A9018" s="10" t="str">
        <f>基本属性!$B$28&amp;"|"&amp;基本属性!$C$28</f>
        <v>240|18</v>
      </c>
      <c r="B9018" s="10" t="str">
        <f>参数调整!$J$39</f>
        <v>新增怪物种类4掉落</v>
      </c>
      <c r="C9018" s="8" t="str">
        <f>材料产出!$AN$2</f>
        <v>极品注灵石</v>
      </c>
      <c r="D9018" s="224">
        <f>参数调整!$K$39*怪物掉落配置方案!$D4914</f>
        <v>0.13272090340924333</v>
      </c>
    </row>
    <row r="9019" spans="1:4" ht="16.5" hidden="1" x14ac:dyDescent="0.3">
      <c r="A9019" s="10" t="str">
        <f>基本属性!$B$29&amp;"|"&amp;基本属性!$C$29</f>
        <v>240|19</v>
      </c>
      <c r="B9019" s="10" t="str">
        <f>参数调整!$J$39</f>
        <v>新增怪物种类4掉落</v>
      </c>
      <c r="C9019" s="8" t="str">
        <f>材料产出!$AN$2</f>
        <v>极品注灵石</v>
      </c>
      <c r="D9019" s="224">
        <f>参数调整!$K$39*怪物掉落配置方案!$D4915</f>
        <v>0.14545511118263996</v>
      </c>
    </row>
    <row r="9020" spans="1:4" ht="16.5" hidden="1" x14ac:dyDescent="0.3">
      <c r="A9020" s="10" t="str">
        <f>基本属性!$B$30&amp;"|"&amp;基本属性!$C$30</f>
        <v>250|20</v>
      </c>
      <c r="B9020" s="10" t="str">
        <f>参数调整!$J$39</f>
        <v>新增怪物种类4掉落</v>
      </c>
      <c r="C9020" s="8" t="str">
        <f>材料产出!$AN$2</f>
        <v>极品注灵石</v>
      </c>
      <c r="D9020" s="224">
        <f>参数调整!$K$39*怪物掉落配置方案!$D4916</f>
        <v>0.15877256511359669</v>
      </c>
    </row>
    <row r="9021" spans="1:4" ht="16.5" hidden="1" x14ac:dyDescent="0.3">
      <c r="A9021" s="10" t="str">
        <f>基本属性!$B$4&amp;"|"&amp;基本属性!$C$4</f>
        <v>35|0</v>
      </c>
      <c r="B9021" s="10" t="str">
        <f>参数调整!$J$39</f>
        <v>新增怪物种类4掉落</v>
      </c>
      <c r="C9021" s="8" t="str">
        <f>材料产出!$HV$2</f>
        <v>基本装备</v>
      </c>
      <c r="D9021" s="224">
        <f>参数调整!$K$39*怪物掉落配置方案!$D4917</f>
        <v>0</v>
      </c>
    </row>
    <row r="9022" spans="1:4" ht="16.5" hidden="1" x14ac:dyDescent="0.3">
      <c r="A9022" s="10" t="str">
        <f>基本属性!$B$5&amp;"|"&amp;基本属性!$C$5</f>
        <v>40|0</v>
      </c>
      <c r="B9022" s="10" t="str">
        <f>参数调整!$J$39</f>
        <v>新增怪物种类4掉落</v>
      </c>
      <c r="C9022" s="8" t="str">
        <f>材料产出!$HV$2</f>
        <v>基本装备</v>
      </c>
      <c r="D9022" s="224">
        <f>参数调整!$K$39*怪物掉落配置方案!$D4918</f>
        <v>0</v>
      </c>
    </row>
    <row r="9023" spans="1:4" ht="16.5" hidden="1" x14ac:dyDescent="0.3">
      <c r="A9023" s="10" t="str">
        <f>基本属性!$B$6&amp;"|"&amp;基本属性!$C$6</f>
        <v>50|0</v>
      </c>
      <c r="B9023" s="10" t="str">
        <f>参数调整!$J$39</f>
        <v>新增怪物种类4掉落</v>
      </c>
      <c r="C9023" s="8" t="str">
        <f>材料产出!$HV$2</f>
        <v>基本装备</v>
      </c>
      <c r="D9023" s="224">
        <f>参数调整!$K$39*怪物掉落配置方案!$D4919</f>
        <v>0</v>
      </c>
    </row>
    <row r="9024" spans="1:4" ht="16.5" hidden="1" x14ac:dyDescent="0.3">
      <c r="A9024" s="10" t="str">
        <f>基本属性!$B$7&amp;"|"&amp;基本属性!$C$7</f>
        <v>60|0</v>
      </c>
      <c r="B9024" s="10" t="str">
        <f>参数调整!$J$39</f>
        <v>新增怪物种类4掉落</v>
      </c>
      <c r="C9024" s="8" t="str">
        <f>材料产出!$HV$2</f>
        <v>基本装备</v>
      </c>
      <c r="D9024" s="224">
        <f>参数调整!$K$39*怪物掉落配置方案!$D4920</f>
        <v>0</v>
      </c>
    </row>
    <row r="9025" spans="1:4" ht="16.5" hidden="1" x14ac:dyDescent="0.3">
      <c r="A9025" s="10" t="str">
        <f>基本属性!$B$8&amp;"|"&amp;基本属性!$C$8</f>
        <v>65|0</v>
      </c>
      <c r="B9025" s="10" t="str">
        <f>参数调整!$J$39</f>
        <v>新增怪物种类4掉落</v>
      </c>
      <c r="C9025" s="8" t="str">
        <f>材料产出!$HV$2</f>
        <v>基本装备</v>
      </c>
      <c r="D9025" s="224">
        <f>参数调整!$K$39*怪物掉落配置方案!$D4921</f>
        <v>0</v>
      </c>
    </row>
    <row r="9026" spans="1:4" ht="16.5" hidden="1" x14ac:dyDescent="0.3">
      <c r="A9026" s="10" t="str">
        <f>基本属性!$B$9&amp;"|"&amp;基本属性!$C$9</f>
        <v>70|0</v>
      </c>
      <c r="B9026" s="10" t="str">
        <f>参数调整!$J$39</f>
        <v>新增怪物种类4掉落</v>
      </c>
      <c r="C9026" s="8" t="str">
        <f>材料产出!$HV$2</f>
        <v>基本装备</v>
      </c>
      <c r="D9026" s="224">
        <f>参数调整!$K$39*怪物掉落配置方案!$D4922</f>
        <v>0</v>
      </c>
    </row>
    <row r="9027" spans="1:4" ht="16.5" hidden="1" x14ac:dyDescent="0.3">
      <c r="A9027" s="10" t="str">
        <f>基本属性!$B$10&amp;"|"&amp;基本属性!$C$10</f>
        <v>75|0</v>
      </c>
      <c r="B9027" s="10" t="str">
        <f>参数调整!$J$39</f>
        <v>新增怪物种类4掉落</v>
      </c>
      <c r="C9027" s="8" t="str">
        <f>材料产出!$HV$2</f>
        <v>基本装备</v>
      </c>
      <c r="D9027" s="224">
        <f>参数调整!$K$39*怪物掉落配置方案!$D4923</f>
        <v>0</v>
      </c>
    </row>
    <row r="9028" spans="1:4" ht="16.5" hidden="1" x14ac:dyDescent="0.3">
      <c r="A9028" s="10" t="str">
        <f>基本属性!$B$11&amp;"|"&amp;基本属性!$C$11</f>
        <v>80|1</v>
      </c>
      <c r="B9028" s="10" t="str">
        <f>参数调整!$J$39</f>
        <v>新增怪物种类4掉落</v>
      </c>
      <c r="C9028" s="8" t="str">
        <f>材料产出!$HV$2</f>
        <v>基本装备</v>
      </c>
      <c r="D9028" s="224">
        <f>参数调整!$K$39*怪物掉落配置方案!$D4924</f>
        <v>0</v>
      </c>
    </row>
    <row r="9029" spans="1:4" ht="16.5" hidden="1" x14ac:dyDescent="0.3">
      <c r="A9029" s="10" t="str">
        <f>基本属性!$B$12&amp;"|"&amp;基本属性!$C$12</f>
        <v>90|2</v>
      </c>
      <c r="B9029" s="10" t="str">
        <f>参数调整!$J$39</f>
        <v>新增怪物种类4掉落</v>
      </c>
      <c r="C9029" s="8" t="str">
        <f>材料产出!$HV$2</f>
        <v>基本装备</v>
      </c>
      <c r="D9029" s="224">
        <f>参数调整!$K$39*怪物掉落配置方案!$D4925</f>
        <v>0</v>
      </c>
    </row>
    <row r="9030" spans="1:4" ht="16.5" hidden="1" x14ac:dyDescent="0.3">
      <c r="A9030" s="10" t="str">
        <f>基本属性!$B$13&amp;"|"&amp;基本属性!$C$13</f>
        <v>100|3</v>
      </c>
      <c r="B9030" s="10" t="str">
        <f>参数调整!$J$39</f>
        <v>新增怪物种类4掉落</v>
      </c>
      <c r="C9030" s="8" t="str">
        <f>材料产出!$HV$2</f>
        <v>基本装备</v>
      </c>
      <c r="D9030" s="224">
        <f>参数调整!$K$39*怪物掉落配置方案!$D4926</f>
        <v>0</v>
      </c>
    </row>
    <row r="9031" spans="1:4" ht="16.5" hidden="1" x14ac:dyDescent="0.3">
      <c r="A9031" s="10" t="str">
        <f>基本属性!$B$14&amp;"|"&amp;基本属性!$C$14</f>
        <v>105|4</v>
      </c>
      <c r="B9031" s="10" t="str">
        <f>参数调整!$J$39</f>
        <v>新增怪物种类4掉落</v>
      </c>
      <c r="C9031" s="8" t="str">
        <f>材料产出!$HV$2</f>
        <v>基本装备</v>
      </c>
      <c r="D9031" s="224">
        <f>参数调整!$K$39*怪物掉落配置方案!$D4927</f>
        <v>0</v>
      </c>
    </row>
    <row r="9032" spans="1:4" ht="16.5" hidden="1" x14ac:dyDescent="0.3">
      <c r="A9032" s="10" t="str">
        <f>基本属性!$B$15&amp;"|"&amp;基本属性!$C$15</f>
        <v>110|5</v>
      </c>
      <c r="B9032" s="10" t="str">
        <f>参数调整!$J$39</f>
        <v>新增怪物种类4掉落</v>
      </c>
      <c r="C9032" s="8" t="str">
        <f>材料产出!$HV$2</f>
        <v>基本装备</v>
      </c>
      <c r="D9032" s="224">
        <f>参数调整!$K$39*怪物掉落配置方案!$D4928</f>
        <v>0</v>
      </c>
    </row>
    <row r="9033" spans="1:4" ht="16.5" hidden="1" x14ac:dyDescent="0.3">
      <c r="A9033" s="10" t="str">
        <f>基本属性!$B$16&amp;"|"&amp;基本属性!$C$16</f>
        <v>120|6</v>
      </c>
      <c r="B9033" s="10" t="str">
        <f>参数调整!$J$39</f>
        <v>新增怪物种类4掉落</v>
      </c>
      <c r="C9033" s="8" t="str">
        <f>材料产出!$HV$2</f>
        <v>基本装备</v>
      </c>
      <c r="D9033" s="224">
        <f>参数调整!$K$39*怪物掉落配置方案!$D4929</f>
        <v>0</v>
      </c>
    </row>
    <row r="9034" spans="1:4" ht="16.5" hidden="1" x14ac:dyDescent="0.3">
      <c r="A9034" s="10" t="str">
        <f>基本属性!$B$17&amp;"|"&amp;基本属性!$C$17</f>
        <v>135|7</v>
      </c>
      <c r="B9034" s="10" t="str">
        <f>参数调整!$J$39</f>
        <v>新增怪物种类4掉落</v>
      </c>
      <c r="C9034" s="8" t="str">
        <f>材料产出!$HV$2</f>
        <v>基本装备</v>
      </c>
      <c r="D9034" s="224">
        <f>参数调整!$K$39*怪物掉落配置方案!$D4930</f>
        <v>0</v>
      </c>
    </row>
    <row r="9035" spans="1:4" ht="16.5" hidden="1" x14ac:dyDescent="0.3">
      <c r="A9035" s="10" t="str">
        <f>基本属性!$B$18&amp;"|"&amp;基本属性!$C$18</f>
        <v>155|8</v>
      </c>
      <c r="B9035" s="10" t="str">
        <f>参数调整!$J$39</f>
        <v>新增怪物种类4掉落</v>
      </c>
      <c r="C9035" s="8" t="str">
        <f>材料产出!$HV$2</f>
        <v>基本装备</v>
      </c>
      <c r="D9035" s="224">
        <f>参数调整!$K$39*怪物掉落配置方案!$D4931</f>
        <v>0</v>
      </c>
    </row>
    <row r="9036" spans="1:4" ht="16.5" hidden="1" x14ac:dyDescent="0.3">
      <c r="A9036" s="10" t="str">
        <f>基本属性!$B$19&amp;"|"&amp;基本属性!$C$19</f>
        <v>190|9</v>
      </c>
      <c r="B9036" s="10" t="str">
        <f>参数调整!$J$39</f>
        <v>新增怪物种类4掉落</v>
      </c>
      <c r="C9036" s="8" t="str">
        <f>材料产出!$HV$2</f>
        <v>基本装备</v>
      </c>
      <c r="D9036" s="224">
        <f>参数调整!$K$39*怪物掉落配置方案!$D4932</f>
        <v>0</v>
      </c>
    </row>
    <row r="9037" spans="1:4" ht="16.5" hidden="1" x14ac:dyDescent="0.3">
      <c r="A9037" s="10" t="str">
        <f>基本属性!$B$20&amp;"|"&amp;基本属性!$C$20</f>
        <v>200|10</v>
      </c>
      <c r="B9037" s="10" t="str">
        <f>参数调整!$J$39</f>
        <v>新增怪物种类4掉落</v>
      </c>
      <c r="C9037" s="8" t="str">
        <f>材料产出!$HV$2</f>
        <v>基本装备</v>
      </c>
      <c r="D9037" s="224">
        <f>参数调整!$K$39*怪物掉落配置方案!$D4933</f>
        <v>0</v>
      </c>
    </row>
    <row r="9038" spans="1:4" ht="16.5" hidden="1" x14ac:dyDescent="0.3">
      <c r="A9038" s="10" t="str">
        <f>基本属性!$B$21&amp;"|"&amp;基本属性!$C$21</f>
        <v>200|11</v>
      </c>
      <c r="B9038" s="10" t="str">
        <f>参数调整!$J$39</f>
        <v>新增怪物种类4掉落</v>
      </c>
      <c r="C9038" s="8" t="str">
        <f>材料产出!$HV$2</f>
        <v>基本装备</v>
      </c>
      <c r="D9038" s="224">
        <f>参数调整!$K$39*怪物掉落配置方案!$D4934</f>
        <v>0</v>
      </c>
    </row>
    <row r="9039" spans="1:4" ht="16.5" hidden="1" x14ac:dyDescent="0.3">
      <c r="A9039" s="10" t="str">
        <f>基本属性!$B$22&amp;"|"&amp;基本属性!$C$22</f>
        <v>210|12</v>
      </c>
      <c r="B9039" s="10" t="str">
        <f>参数调整!$J$39</f>
        <v>新增怪物种类4掉落</v>
      </c>
      <c r="C9039" s="8" t="str">
        <f>材料产出!$HV$2</f>
        <v>基本装备</v>
      </c>
      <c r="D9039" s="224">
        <f>参数调整!$K$39*怪物掉落配置方案!$D4935</f>
        <v>0</v>
      </c>
    </row>
    <row r="9040" spans="1:4" ht="16.5" hidden="1" x14ac:dyDescent="0.3">
      <c r="A9040" s="10" t="str">
        <f>基本属性!$B$23&amp;"|"&amp;基本属性!$C$23</f>
        <v>210|13</v>
      </c>
      <c r="B9040" s="10" t="str">
        <f>参数调整!$J$39</f>
        <v>新增怪物种类4掉落</v>
      </c>
      <c r="C9040" s="8" t="str">
        <f>材料产出!$HV$2</f>
        <v>基本装备</v>
      </c>
      <c r="D9040" s="224">
        <f>参数调整!$K$39*怪物掉落配置方案!$D4936</f>
        <v>0</v>
      </c>
    </row>
    <row r="9041" spans="1:4" ht="16.5" hidden="1" x14ac:dyDescent="0.3">
      <c r="A9041" s="10" t="str">
        <f>基本属性!$B$24&amp;"|"&amp;基本属性!$C$24</f>
        <v>220|14</v>
      </c>
      <c r="B9041" s="10" t="str">
        <f>参数调整!$J$39</f>
        <v>新增怪物种类4掉落</v>
      </c>
      <c r="C9041" s="8" t="str">
        <f>材料产出!$HV$2</f>
        <v>基本装备</v>
      </c>
      <c r="D9041" s="224">
        <f>参数调整!$K$39*怪物掉落配置方案!$D4937</f>
        <v>0</v>
      </c>
    </row>
    <row r="9042" spans="1:4" ht="16.5" hidden="1" x14ac:dyDescent="0.3">
      <c r="A9042" s="10" t="str">
        <f>基本属性!$B$25&amp;"|"&amp;基本属性!$C$25</f>
        <v>220|15</v>
      </c>
      <c r="B9042" s="10" t="str">
        <f>参数调整!$J$39</f>
        <v>新增怪物种类4掉落</v>
      </c>
      <c r="C9042" s="8" t="str">
        <f>材料产出!$HV$2</f>
        <v>基本装备</v>
      </c>
      <c r="D9042" s="224">
        <f>参数调整!$K$39*怪物掉落配置方案!$D4938</f>
        <v>0</v>
      </c>
    </row>
    <row r="9043" spans="1:4" ht="16.5" hidden="1" x14ac:dyDescent="0.3">
      <c r="A9043" s="10" t="str">
        <f>基本属性!$B$26&amp;"|"&amp;基本属性!$C$26</f>
        <v>230|16</v>
      </c>
      <c r="B9043" s="10" t="str">
        <f>参数调整!$J$39</f>
        <v>新增怪物种类4掉落</v>
      </c>
      <c r="C9043" s="8" t="str">
        <f>材料产出!$HV$2</f>
        <v>基本装备</v>
      </c>
      <c r="D9043" s="224">
        <f>参数调整!$K$39*怪物掉落配置方案!$D4939</f>
        <v>0</v>
      </c>
    </row>
    <row r="9044" spans="1:4" ht="16.5" hidden="1" x14ac:dyDescent="0.3">
      <c r="A9044" s="10" t="str">
        <f>基本属性!$B$27&amp;"|"&amp;基本属性!$C$27</f>
        <v>230|17</v>
      </c>
      <c r="B9044" s="10" t="str">
        <f>参数调整!$J$39</f>
        <v>新增怪物种类4掉落</v>
      </c>
      <c r="C9044" s="8" t="str">
        <f>材料产出!$HV$2</f>
        <v>基本装备</v>
      </c>
      <c r="D9044" s="224">
        <f>参数调整!$K$39*怪物掉落配置方案!$D4940</f>
        <v>0</v>
      </c>
    </row>
    <row r="9045" spans="1:4" ht="16.5" hidden="1" x14ac:dyDescent="0.3">
      <c r="A9045" s="10" t="str">
        <f>基本属性!$B$28&amp;"|"&amp;基本属性!$C$28</f>
        <v>240|18</v>
      </c>
      <c r="B9045" s="10" t="str">
        <f>参数调整!$J$39</f>
        <v>新增怪物种类4掉落</v>
      </c>
      <c r="C9045" s="8" t="str">
        <f>材料产出!$HV$2</f>
        <v>基本装备</v>
      </c>
      <c r="D9045" s="224">
        <f>参数调整!$K$39*怪物掉落配置方案!$D4941</f>
        <v>0</v>
      </c>
    </row>
    <row r="9046" spans="1:4" ht="16.5" hidden="1" x14ac:dyDescent="0.3">
      <c r="A9046" s="10" t="str">
        <f>基本属性!$B$29&amp;"|"&amp;基本属性!$C$29</f>
        <v>240|19</v>
      </c>
      <c r="B9046" s="10" t="str">
        <f>参数调整!$J$39</f>
        <v>新增怪物种类4掉落</v>
      </c>
      <c r="C9046" s="8" t="str">
        <f>材料产出!$HV$2</f>
        <v>基本装备</v>
      </c>
      <c r="D9046" s="224">
        <f>参数调整!$K$39*怪物掉落配置方案!$D4942</f>
        <v>0</v>
      </c>
    </row>
    <row r="9047" spans="1:4" ht="16.5" hidden="1" x14ac:dyDescent="0.3">
      <c r="A9047" s="10" t="str">
        <f>基本属性!$B$30&amp;"|"&amp;基本属性!$C$30</f>
        <v>250|20</v>
      </c>
      <c r="B9047" s="10" t="str">
        <f>参数调整!$J$39</f>
        <v>新增怪物种类4掉落</v>
      </c>
      <c r="C9047" s="8" t="str">
        <f>材料产出!$HV$2</f>
        <v>基本装备</v>
      </c>
      <c r="D9047" s="224">
        <f>参数调整!$K$39*怪物掉落配置方案!$D4943</f>
        <v>0</v>
      </c>
    </row>
    <row r="9048" spans="1:4" ht="16.5" hidden="1" x14ac:dyDescent="0.3">
      <c r="A9048" s="10" t="str">
        <f>基本属性!$B$4&amp;"|"&amp;基本属性!$C$4</f>
        <v>35|0</v>
      </c>
      <c r="B9048" s="10" t="str">
        <f>参数调整!$J$39</f>
        <v>新增怪物种类4掉落</v>
      </c>
      <c r="C9048" s="8" t="str">
        <f>材料产出!$AP$2</f>
        <v>火龙气息</v>
      </c>
      <c r="D9048" s="224">
        <f>参数调整!$K$39*怪物掉落配置方案!$D4944</f>
        <v>9.8387349645183398E-4</v>
      </c>
    </row>
    <row r="9049" spans="1:4" ht="16.5" hidden="1" x14ac:dyDescent="0.3">
      <c r="A9049" s="10" t="str">
        <f>基本属性!$B$5&amp;"|"&amp;基本属性!$C$5</f>
        <v>40|0</v>
      </c>
      <c r="B9049" s="10" t="str">
        <f>参数调整!$J$39</f>
        <v>新增怪物种类4掉落</v>
      </c>
      <c r="C9049" s="8" t="str">
        <f>材料产出!$AP$2</f>
        <v>火龙气息</v>
      </c>
      <c r="D9049" s="224">
        <f>参数调整!$K$39*怪物掉落配置方案!$D4945</f>
        <v>1.2452148939468524E-3</v>
      </c>
    </row>
    <row r="9050" spans="1:4" ht="16.5" hidden="1" x14ac:dyDescent="0.3">
      <c r="A9050" s="10" t="str">
        <f>基本属性!$B$6&amp;"|"&amp;基本属性!$C$6</f>
        <v>50|0</v>
      </c>
      <c r="B9050" s="10" t="str">
        <f>参数调整!$J$39</f>
        <v>新增怪物种类4掉落</v>
      </c>
      <c r="C9050" s="8" t="str">
        <f>材料产出!$AP$2</f>
        <v>火龙气息</v>
      </c>
      <c r="D9050" s="224">
        <f>参数调整!$K$39*怪物掉落配置方案!$D4946</f>
        <v>1.5373023382059907E-3</v>
      </c>
    </row>
    <row r="9051" spans="1:4" ht="16.5" hidden="1" x14ac:dyDescent="0.3">
      <c r="A9051" s="10" t="str">
        <f>基本属性!$B$7&amp;"|"&amp;基本属性!$C$7</f>
        <v>60|0</v>
      </c>
      <c r="B9051" s="10" t="str">
        <f>参数调整!$J$39</f>
        <v>新增怪物种类4掉落</v>
      </c>
      <c r="C9051" s="8" t="str">
        <f>材料产出!$AP$2</f>
        <v>火龙气息</v>
      </c>
      <c r="D9051" s="224">
        <f>参数调整!$K$39*怪物掉落配置方案!$D4947</f>
        <v>1.860135829229249E-3</v>
      </c>
    </row>
    <row r="9052" spans="1:4" ht="16.5" hidden="1" x14ac:dyDescent="0.3">
      <c r="A9052" s="10" t="str">
        <f>基本属性!$B$8&amp;"|"&amp;基本属性!$C$8</f>
        <v>65|0</v>
      </c>
      <c r="B9052" s="10" t="str">
        <f>参数调整!$J$39</f>
        <v>新增怪物种类4掉落</v>
      </c>
      <c r="C9052" s="8" t="str">
        <f>材料产出!$AP$2</f>
        <v>火龙气息</v>
      </c>
      <c r="D9052" s="224">
        <f>参数调整!$K$39*怪物掉落配置方案!$D4948</f>
        <v>2.2137153670166265E-3</v>
      </c>
    </row>
    <row r="9053" spans="1:4" ht="16.5" hidden="1" x14ac:dyDescent="0.3">
      <c r="A9053" s="10" t="str">
        <f>基本属性!$B$9&amp;"|"&amp;基本属性!$C$9</f>
        <v>70|0</v>
      </c>
      <c r="B9053" s="10" t="str">
        <f>参数调整!$J$39</f>
        <v>新增怪物种类4掉落</v>
      </c>
      <c r="C9053" s="8" t="str">
        <f>材料产出!$AP$2</f>
        <v>火龙气息</v>
      </c>
      <c r="D9053" s="224">
        <f>参数调整!$K$39*怪物掉落配置方案!$D4949</f>
        <v>2.598040951568124E-3</v>
      </c>
    </row>
    <row r="9054" spans="1:4" ht="16.5" hidden="1" x14ac:dyDescent="0.3">
      <c r="A9054" s="10" t="str">
        <f>基本属性!$B$10&amp;"|"&amp;基本属性!$C$10</f>
        <v>75|0</v>
      </c>
      <c r="B9054" s="10" t="str">
        <f>参数调整!$J$39</f>
        <v>新增怪物种类4掉落</v>
      </c>
      <c r="C9054" s="8" t="str">
        <f>材料产出!$AP$2</f>
        <v>火龙气息</v>
      </c>
      <c r="D9054" s="224">
        <f>参数调整!$K$39*怪物掉落配置方案!$D4950</f>
        <v>3.0131125828837409E-3</v>
      </c>
    </row>
    <row r="9055" spans="1:4" ht="16.5" hidden="1" x14ac:dyDescent="0.3">
      <c r="A9055" s="10" t="str">
        <f>基本属性!$B$11&amp;"|"&amp;基本属性!$C$11</f>
        <v>80|1</v>
      </c>
      <c r="B9055" s="10" t="str">
        <f>参数调整!$J$39</f>
        <v>新增怪物种类4掉落</v>
      </c>
      <c r="C9055" s="8" t="str">
        <f>材料产出!$AP$2</f>
        <v>火龙气息</v>
      </c>
      <c r="D9055" s="224">
        <f>参数调整!$K$39*怪物掉落配置方案!$D4951</f>
        <v>3.4589302609634789E-3</v>
      </c>
    </row>
    <row r="9056" spans="1:4" ht="16.5" hidden="1" x14ac:dyDescent="0.3">
      <c r="A9056" s="10" t="str">
        <f>基本属性!$B$12&amp;"|"&amp;基本属性!$C$12</f>
        <v>90|2</v>
      </c>
      <c r="B9056" s="10" t="str">
        <f>参数调整!$J$39</f>
        <v>新增怪物种类4掉落</v>
      </c>
      <c r="C9056" s="8" t="str">
        <f>材料产出!$AP$2</f>
        <v>火龙气息</v>
      </c>
      <c r="D9056" s="224">
        <f>参数调整!$K$39*怪物掉落配置方案!$D4952</f>
        <v>3.9354939858073359E-3</v>
      </c>
    </row>
    <row r="9057" spans="1:4" ht="16.5" hidden="1" x14ac:dyDescent="0.3">
      <c r="A9057" s="10" t="str">
        <f>基本属性!$B$13&amp;"|"&amp;基本属性!$C$13</f>
        <v>100|3</v>
      </c>
      <c r="B9057" s="10" t="str">
        <f>参数调整!$J$39</f>
        <v>新增怪物种类4掉落</v>
      </c>
      <c r="C9057" s="8" t="str">
        <f>材料产出!$AP$2</f>
        <v>火龙气息</v>
      </c>
      <c r="D9057" s="224">
        <f>参数调整!$K$39*怪物掉落配置方案!$D4953</f>
        <v>4.9808595757874097E-3</v>
      </c>
    </row>
    <row r="9058" spans="1:4" ht="16.5" hidden="1" x14ac:dyDescent="0.3">
      <c r="A9058" s="10" t="str">
        <f>基本属性!$B$14&amp;"|"&amp;基本属性!$C$14</f>
        <v>105|4</v>
      </c>
      <c r="B9058" s="10" t="str">
        <f>参数调整!$J$39</f>
        <v>新增怪物种类4掉落</v>
      </c>
      <c r="C9058" s="8" t="str">
        <f>材料产出!$AP$2</f>
        <v>火龙气息</v>
      </c>
      <c r="D9058" s="224">
        <f>参数调整!$K$39*怪物掉落配置方案!$D4954</f>
        <v>6.1492093528239629E-3</v>
      </c>
    </row>
    <row r="9059" spans="1:4" ht="16.5" hidden="1" x14ac:dyDescent="0.3">
      <c r="A9059" s="10" t="str">
        <f>基本属性!$B$15&amp;"|"&amp;基本属性!$C$15</f>
        <v>110|5</v>
      </c>
      <c r="B9059" s="10" t="str">
        <f>参数调整!$J$39</f>
        <v>新增怪物种类4掉落</v>
      </c>
      <c r="C9059" s="8" t="str">
        <f>材料产出!$AP$2</f>
        <v>火龙气息</v>
      </c>
      <c r="D9059" s="224">
        <f>参数调整!$K$39*怪物掉落配置方案!$D4955</f>
        <v>7.4405433169169961E-3</v>
      </c>
    </row>
    <row r="9060" spans="1:4" ht="16.5" hidden="1" x14ac:dyDescent="0.3">
      <c r="A9060" s="10" t="str">
        <f>基本属性!$B$16&amp;"|"&amp;基本属性!$C$16</f>
        <v>120|6</v>
      </c>
      <c r="B9060" s="10" t="str">
        <f>参数调整!$J$39</f>
        <v>新增怪物种类4掉落</v>
      </c>
      <c r="C9060" s="8" t="str">
        <f>材料产出!$AP$2</f>
        <v>火龙气息</v>
      </c>
      <c r="D9060" s="224">
        <f>参数调整!$K$39*怪物掉落配置方案!$D4956</f>
        <v>9.6081396137874409E-3</v>
      </c>
    </row>
    <row r="9061" spans="1:4" ht="16.5" hidden="1" x14ac:dyDescent="0.3">
      <c r="A9061" s="10" t="str">
        <f>基本属性!$B$17&amp;"|"&amp;基本属性!$C$17</f>
        <v>135|7</v>
      </c>
      <c r="B9061" s="10" t="str">
        <f>参数调整!$J$39</f>
        <v>新增怪物种类4掉落</v>
      </c>
      <c r="C9061" s="8" t="str">
        <f>材料产出!$AP$2</f>
        <v>火龙气息</v>
      </c>
      <c r="D9061" s="224">
        <f>参数调整!$K$39*怪物掉落配置方案!$D4957</f>
        <v>1.3835721043853916E-2</v>
      </c>
    </row>
    <row r="9062" spans="1:4" ht="16.5" hidden="1" x14ac:dyDescent="0.3">
      <c r="A9062" s="10" t="str">
        <f>基本属性!$B$18&amp;"|"&amp;基本属性!$C$18</f>
        <v>155|8</v>
      </c>
      <c r="B9062" s="10" t="str">
        <f>参数调整!$J$39</f>
        <v>新增怪物种类4掉落</v>
      </c>
      <c r="C9062" s="8" t="str">
        <f>材料产出!$AP$2</f>
        <v>火龙气息</v>
      </c>
      <c r="D9062" s="224">
        <f>参数调整!$K$39*怪物掉落配置方案!$D4958</f>
        <v>1.8831953643023387E-2</v>
      </c>
    </row>
    <row r="9063" spans="1:4" ht="16.5" hidden="1" x14ac:dyDescent="0.3">
      <c r="A9063" s="10" t="str">
        <f>基本属性!$B$19&amp;"|"&amp;基本属性!$C$19</f>
        <v>190|9</v>
      </c>
      <c r="B9063" s="10" t="str">
        <f>参数调整!$J$39</f>
        <v>新增怪物种类4掉落</v>
      </c>
      <c r="C9063" s="8" t="str">
        <f>材料产出!$AP$2</f>
        <v>火龙气息</v>
      </c>
      <c r="D9063" s="224">
        <f>参数调整!$K$39*怪物掉落配置方案!$D4959</f>
        <v>2.1045669010040013E-2</v>
      </c>
    </row>
    <row r="9064" spans="1:4" ht="16.5" hidden="1" x14ac:dyDescent="0.3">
      <c r="A9064" s="10" t="str">
        <f>基本属性!$B$20&amp;"|"&amp;基本属性!$C$20</f>
        <v>200|10</v>
      </c>
      <c r="B9064" s="10" t="str">
        <f>参数调整!$J$39</f>
        <v>新增怪物种类4掉落</v>
      </c>
      <c r="C9064" s="8" t="str">
        <f>材料产出!$AP$2</f>
        <v>火龙气息</v>
      </c>
      <c r="D9064" s="224">
        <f>参数调整!$K$39*怪物掉落配置方案!$D4960</f>
        <v>2.4596837411295851E-2</v>
      </c>
    </row>
    <row r="9065" spans="1:4" ht="16.5" hidden="1" x14ac:dyDescent="0.3">
      <c r="A9065" s="10" t="str">
        <f>基本属性!$B$21&amp;"|"&amp;基本属性!$C$21</f>
        <v>200|11</v>
      </c>
      <c r="B9065" s="10" t="str">
        <f>参数调整!$J$39</f>
        <v>新增怪物种类4掉落</v>
      </c>
      <c r="C9065" s="8" t="str">
        <f>材料产出!$AP$2</f>
        <v>火龙气息</v>
      </c>
      <c r="D9065" s="224">
        <f>参数调整!$K$39*怪物掉落配置方案!$D4961</f>
        <v>2.8424720233428763E-2</v>
      </c>
    </row>
    <row r="9066" spans="1:4" ht="16.5" hidden="1" x14ac:dyDescent="0.3">
      <c r="A9066" s="10" t="str">
        <f>基本属性!$B$22&amp;"|"&amp;基本属性!$C$22</f>
        <v>210|12</v>
      </c>
      <c r="B9066" s="10" t="str">
        <f>参数调整!$J$39</f>
        <v>新增怪物种类4掉落</v>
      </c>
      <c r="C9066" s="8" t="str">
        <f>材料产出!$AP$2</f>
        <v>火龙气息</v>
      </c>
      <c r="D9066" s="224">
        <f>参数调整!$K$39*怪物掉落配置方案!$D4962</f>
        <v>3.2529317476438752E-2</v>
      </c>
    </row>
    <row r="9067" spans="1:4" ht="16.5" hidden="1" x14ac:dyDescent="0.3">
      <c r="A9067" s="10" t="str">
        <f>基本属性!$B$23&amp;"|"&amp;基本属性!$C$23</f>
        <v>210|13</v>
      </c>
      <c r="B9067" s="10" t="str">
        <f>参数调整!$J$39</f>
        <v>新增怪物种类4掉落</v>
      </c>
      <c r="C9067" s="8" t="str">
        <f>材料产出!$AP$2</f>
        <v>火龙气息</v>
      </c>
      <c r="D9067" s="224">
        <f>参数调整!$K$39*怪物掉落配置方案!$D4963</f>
        <v>3.6910629140325842E-2</v>
      </c>
    </row>
    <row r="9068" spans="1:4" ht="16.5" hidden="1" x14ac:dyDescent="0.3">
      <c r="A9068" s="10" t="str">
        <f>基本属性!$B$24&amp;"|"&amp;基本属性!$C$24</f>
        <v>220|14</v>
      </c>
      <c r="B9068" s="10" t="str">
        <f>参数调整!$J$39</f>
        <v>新增怪物种类4掉落</v>
      </c>
      <c r="C9068" s="8" t="str">
        <f>材料产出!$AP$2</f>
        <v>火龙气息</v>
      </c>
      <c r="D9068" s="224">
        <f>参数调整!$K$39*怪物掉落配置方案!$D4964</f>
        <v>4.1568655225089984E-2</v>
      </c>
    </row>
    <row r="9069" spans="1:4" ht="16.5" hidden="1" x14ac:dyDescent="0.3">
      <c r="A9069" s="10" t="str">
        <f>基本属性!$B$25&amp;"|"&amp;基本属性!$C$25</f>
        <v>220|15</v>
      </c>
      <c r="B9069" s="10" t="str">
        <f>参数调整!$J$39</f>
        <v>新增怪物种类4掉落</v>
      </c>
      <c r="C9069" s="8" t="str">
        <f>材料产出!$AP$2</f>
        <v>火龙气息</v>
      </c>
      <c r="D9069" s="224">
        <f>参数调整!$K$39*怪物掉落配置方案!$D4965</f>
        <v>4.6503395730731215E-2</v>
      </c>
    </row>
    <row r="9070" spans="1:4" ht="16.5" hidden="1" x14ac:dyDescent="0.3">
      <c r="A9070" s="10" t="str">
        <f>基本属性!$B$26&amp;"|"&amp;基本属性!$C$26</f>
        <v>230|16</v>
      </c>
      <c r="B9070" s="10" t="str">
        <f>参数调整!$J$39</f>
        <v>新增怪物种类4掉落</v>
      </c>
      <c r="C9070" s="8" t="str">
        <f>材料产出!$AP$2</f>
        <v>火龙气息</v>
      </c>
      <c r="D9070" s="224">
        <f>参数调整!$K$39*怪物掉落配置方案!$D4966</f>
        <v>5.1714850657249518E-2</v>
      </c>
    </row>
    <row r="9071" spans="1:4" ht="16.5" hidden="1" x14ac:dyDescent="0.3">
      <c r="A9071" s="10" t="str">
        <f>基本属性!$B$27&amp;"|"&amp;基本属性!$C$27</f>
        <v>230|17</v>
      </c>
      <c r="B9071" s="10" t="str">
        <f>参数调整!$J$39</f>
        <v>新增怪物种类4掉落</v>
      </c>
      <c r="C9071" s="8" t="str">
        <f>材料产出!$AP$2</f>
        <v>火龙气息</v>
      </c>
      <c r="D9071" s="224">
        <f>参数调整!$K$39*怪物掉落配置方案!$D4967</f>
        <v>5.7203020004644903E-2</v>
      </c>
    </row>
    <row r="9072" spans="1:4" ht="16.5" hidden="1" x14ac:dyDescent="0.3">
      <c r="A9072" s="10" t="str">
        <f>基本属性!$B$28&amp;"|"&amp;基本属性!$C$28</f>
        <v>240|18</v>
      </c>
      <c r="B9072" s="10" t="str">
        <f>参数调整!$J$39</f>
        <v>新增怪物种类4掉落</v>
      </c>
      <c r="C9072" s="8" t="str">
        <f>材料产出!$AP$2</f>
        <v>火龙气息</v>
      </c>
      <c r="D9072" s="224">
        <f>参数调整!$K$39*怪物掉落配置方案!$D4968</f>
        <v>6.2967903772917375E-2</v>
      </c>
    </row>
    <row r="9073" spans="1:4" ht="16.5" hidden="1" x14ac:dyDescent="0.3">
      <c r="A9073" s="10" t="str">
        <f>基本属性!$B$29&amp;"|"&amp;基本属性!$C$29</f>
        <v>240|19</v>
      </c>
      <c r="B9073" s="10" t="str">
        <f>参数调整!$J$39</f>
        <v>新增怪物种类4掉落</v>
      </c>
      <c r="C9073" s="8" t="str">
        <f>材料产出!$AP$2</f>
        <v>火龙气息</v>
      </c>
      <c r="D9073" s="224">
        <f>参数调整!$K$39*怪物掉落配置方案!$D4969</f>
        <v>6.9009501962066927E-2</v>
      </c>
    </row>
    <row r="9074" spans="1:4" ht="16.5" hidden="1" x14ac:dyDescent="0.3">
      <c r="A9074" s="10" t="str">
        <f>基本属性!$B$30&amp;"|"&amp;基本属性!$C$30</f>
        <v>250|20</v>
      </c>
      <c r="B9074" s="10" t="str">
        <f>参数调整!$J$39</f>
        <v>新增怪物种类4掉落</v>
      </c>
      <c r="C9074" s="8" t="str">
        <f>材料产出!$AP$2</f>
        <v>火龙气息</v>
      </c>
      <c r="D9074" s="224">
        <f>参数调整!$K$39*怪物掉落配置方案!$D4970</f>
        <v>7.5327814572093532E-2</v>
      </c>
    </row>
    <row r="9075" spans="1:4" ht="16.5" hidden="1" x14ac:dyDescent="0.3">
      <c r="A9075" s="10" t="str">
        <f>基本属性!$B$4&amp;"|"&amp;基本属性!$C$4</f>
        <v>35|0</v>
      </c>
      <c r="B9075" s="10" t="str">
        <f>参数调整!$J$39</f>
        <v>新增怪物种类4掉落</v>
      </c>
      <c r="C9075" s="8" t="str">
        <f>材料产出!$N$2</f>
        <v>火龙凭证</v>
      </c>
      <c r="D9075" s="224">
        <f>参数调整!$K$39*怪物掉落配置方案!$D4971</f>
        <v>2.5980037493033389E-2</v>
      </c>
    </row>
    <row r="9076" spans="1:4" ht="16.5" hidden="1" x14ac:dyDescent="0.3">
      <c r="A9076" s="10" t="str">
        <f>基本属性!$B$5&amp;"|"&amp;基本属性!$C$5</f>
        <v>40|0</v>
      </c>
      <c r="B9076" s="10" t="str">
        <f>参数调整!$J$39</f>
        <v>新增怪物种类4掉落</v>
      </c>
      <c r="C9076" s="8" t="str">
        <f>材料产出!$N$2</f>
        <v>火龙凭证</v>
      </c>
      <c r="D9076" s="224">
        <f>参数调整!$K$39*怪物掉落配置方案!$D4972</f>
        <v>3.2880984952120385E-2</v>
      </c>
    </row>
    <row r="9077" spans="1:4" ht="16.5" hidden="1" x14ac:dyDescent="0.3">
      <c r="A9077" s="10" t="str">
        <f>基本属性!$B$6&amp;"|"&amp;基本属性!$C$6</f>
        <v>50|0</v>
      </c>
      <c r="B9077" s="10" t="str">
        <f>参数调整!$J$39</f>
        <v>新增怪物种类4掉落</v>
      </c>
      <c r="C9077" s="8" t="str">
        <f>材料产出!$N$2</f>
        <v>火龙凭证</v>
      </c>
      <c r="D9077" s="224">
        <f>参数调整!$K$39*怪物掉落配置方案!$D4973</f>
        <v>4.0593808582864668E-2</v>
      </c>
    </row>
    <row r="9078" spans="1:4" ht="16.5" hidden="1" x14ac:dyDescent="0.3">
      <c r="A9078" s="10" t="str">
        <f>基本属性!$B$7&amp;"|"&amp;基本属性!$C$7</f>
        <v>60|0</v>
      </c>
      <c r="B9078" s="10" t="str">
        <f>参数调整!$J$39</f>
        <v>新增怪物种类4掉落</v>
      </c>
      <c r="C9078" s="8" t="str">
        <f>材料产出!$N$2</f>
        <v>火龙凭证</v>
      </c>
      <c r="D9078" s="224">
        <f>参数调整!$K$39*怪物掉落配置方案!$D4974</f>
        <v>4.9118508385266255E-2</v>
      </c>
    </row>
    <row r="9079" spans="1:4" ht="16.5" hidden="1" x14ac:dyDescent="0.3">
      <c r="A9079" s="10" t="str">
        <f>基本属性!$B$8&amp;"|"&amp;基本属性!$C$8</f>
        <v>65|0</v>
      </c>
      <c r="B9079" s="10" t="str">
        <f>参数调整!$J$39</f>
        <v>新增怪物种类4掉落</v>
      </c>
      <c r="C9079" s="8" t="str">
        <f>材料产出!$N$2</f>
        <v>火龙凭证</v>
      </c>
      <c r="D9079" s="224">
        <f>参数调整!$K$39*怪物掉落配置方案!$D4975</f>
        <v>5.8455084359325123E-2</v>
      </c>
    </row>
    <row r="9080" spans="1:4" ht="16.5" hidden="1" x14ac:dyDescent="0.3">
      <c r="A9080" s="10" t="str">
        <f>基本属性!$B$9&amp;"|"&amp;基本属性!$C$9</f>
        <v>70|0</v>
      </c>
      <c r="B9080" s="10" t="str">
        <f>参数调整!$J$39</f>
        <v>新增怪物种类4掉落</v>
      </c>
      <c r="C9080" s="8" t="str">
        <f>材料产出!$N$2</f>
        <v>火龙凭证</v>
      </c>
      <c r="D9080" s="224">
        <f>参数调整!$K$39*怪物掉落配置方案!$D4976</f>
        <v>6.8603536505041293E-2</v>
      </c>
    </row>
    <row r="9081" spans="1:4" ht="16.5" hidden="1" x14ac:dyDescent="0.3">
      <c r="A9081" s="10" t="str">
        <f>基本属性!$B$10&amp;"|"&amp;基本属性!$C$10</f>
        <v>75|0</v>
      </c>
      <c r="B9081" s="10" t="str">
        <f>参数调整!$J$39</f>
        <v>新增怪物种类4掉落</v>
      </c>
      <c r="C9081" s="8" t="str">
        <f>材料产出!$N$2</f>
        <v>火龙凭证</v>
      </c>
      <c r="D9081" s="224">
        <f>参数调整!$K$39*怪物掉落配置方案!$D4977</f>
        <v>7.9563864822414745E-2</v>
      </c>
    </row>
    <row r="9082" spans="1:4" ht="16.5" hidden="1" x14ac:dyDescent="0.3">
      <c r="A9082" s="10" t="str">
        <f>基本属性!$B$11&amp;"|"&amp;基本属性!$C$11</f>
        <v>80|1</v>
      </c>
      <c r="B9082" s="10" t="str">
        <f>参数调整!$J$39</f>
        <v>新增怪物种类4掉落</v>
      </c>
      <c r="C9082" s="8" t="str">
        <f>材料产出!$N$2</f>
        <v>火龙凭证</v>
      </c>
      <c r="D9082" s="224">
        <f>参数调整!$K$39*怪物掉落配置方案!$D4978</f>
        <v>9.13360693114455E-2</v>
      </c>
    </row>
    <row r="9083" spans="1:4" ht="16.5" hidden="1" x14ac:dyDescent="0.3">
      <c r="A9083" s="10" t="str">
        <f>基本属性!$B$12&amp;"|"&amp;基本属性!$C$12</f>
        <v>90|2</v>
      </c>
      <c r="B9083" s="10" t="str">
        <f>参数调整!$J$39</f>
        <v>新增怪物种类4掉落</v>
      </c>
      <c r="C9083" s="8" t="str">
        <f>材料产出!$N$2</f>
        <v>火龙凭证</v>
      </c>
      <c r="D9083" s="224">
        <f>参数调整!$K$39*怪物掉落配置方案!$D4979</f>
        <v>0.10392014997213357</v>
      </c>
    </row>
    <row r="9084" spans="1:4" ht="16.5" hidden="1" x14ac:dyDescent="0.3">
      <c r="A9084" s="10" t="str">
        <f>基本属性!$B$13&amp;"|"&amp;基本属性!$C$13</f>
        <v>100|3</v>
      </c>
      <c r="B9084" s="10" t="str">
        <f>参数调整!$J$39</f>
        <v>新增怪物种类4掉落</v>
      </c>
      <c r="C9084" s="8" t="str">
        <f>材料产出!$N$2</f>
        <v>火龙凭证</v>
      </c>
      <c r="D9084" s="224">
        <f>参数调整!$K$39*怪物掉落配置方案!$D4980</f>
        <v>0.13152393980848154</v>
      </c>
    </row>
    <row r="9085" spans="1:4" ht="16.5" hidden="1" x14ac:dyDescent="0.3">
      <c r="A9085" s="10" t="str">
        <f>基本属性!$B$14&amp;"|"&amp;基本属性!$C$14</f>
        <v>105|4</v>
      </c>
      <c r="B9085" s="10" t="str">
        <f>参数调整!$J$39</f>
        <v>新增怪物种类4掉落</v>
      </c>
      <c r="C9085" s="8" t="str">
        <f>材料产出!$N$2</f>
        <v>火龙凭证</v>
      </c>
      <c r="D9085" s="224">
        <f>参数调整!$K$39*怪物掉落配置方案!$D4981</f>
        <v>0.1623752343314587</v>
      </c>
    </row>
    <row r="9086" spans="1:4" ht="16.5" hidden="1" x14ac:dyDescent="0.3">
      <c r="A9086" s="10" t="str">
        <f>基本属性!$B$15&amp;"|"&amp;基本属性!$C$15</f>
        <v>110|5</v>
      </c>
      <c r="B9086" s="10" t="str">
        <f>参数调整!$J$39</f>
        <v>新增怪物种类4掉落</v>
      </c>
      <c r="C9086" s="8" t="str">
        <f>材料产出!$N$2</f>
        <v>火龙凭证</v>
      </c>
      <c r="D9086" s="224">
        <f>参数调整!$K$39*怪物掉落配置方案!$D4982</f>
        <v>0.19647403354106502</v>
      </c>
    </row>
    <row r="9087" spans="1:4" ht="16.5" hidden="1" x14ac:dyDescent="0.3">
      <c r="A9087" s="10" t="str">
        <f>基本属性!$B$16&amp;"|"&amp;基本属性!$C$16</f>
        <v>120|6</v>
      </c>
      <c r="B9087" s="10" t="str">
        <f>参数调整!$J$39</f>
        <v>新增怪物种类4掉落</v>
      </c>
      <c r="C9087" s="8" t="str">
        <f>材料产出!$N$2</f>
        <v>火龙凭证</v>
      </c>
      <c r="D9087" s="224">
        <f>参数调整!$K$39*怪物掉落配置方案!$D4983</f>
        <v>0.25371130364290417</v>
      </c>
    </row>
    <row r="9088" spans="1:4" ht="16.5" hidden="1" x14ac:dyDescent="0.3">
      <c r="A9088" s="10" t="str">
        <f>基本属性!$B$17&amp;"|"&amp;基本属性!$C$17</f>
        <v>135|7</v>
      </c>
      <c r="B9088" s="10" t="str">
        <f>参数调整!$J$39</f>
        <v>新增怪物种类4掉落</v>
      </c>
      <c r="C9088" s="8" t="str">
        <f>材料产出!$N$2</f>
        <v>火龙凭证</v>
      </c>
      <c r="D9088" s="224">
        <f>参数调整!$K$39*怪物掉落配置方案!$D4984</f>
        <v>0.365344277245782</v>
      </c>
    </row>
    <row r="9089" spans="1:4" ht="16.5" hidden="1" x14ac:dyDescent="0.3">
      <c r="A9089" s="10" t="str">
        <f>基本属性!$B$18&amp;"|"&amp;基本属性!$C$18</f>
        <v>155|8</v>
      </c>
      <c r="B9089" s="10" t="str">
        <f>参数调整!$J$39</f>
        <v>新增怪物种类4掉落</v>
      </c>
      <c r="C9089" s="8" t="str">
        <f>材料产出!$N$2</f>
        <v>火龙凭证</v>
      </c>
      <c r="D9089" s="224">
        <f>参数调整!$K$39*怪物掉落配置方案!$D4985</f>
        <v>0.49727415514009221</v>
      </c>
    </row>
    <row r="9090" spans="1:4" ht="16.5" hidden="1" x14ac:dyDescent="0.3">
      <c r="A9090" s="10" t="str">
        <f>基本属性!$B$19&amp;"|"&amp;基本属性!$C$19</f>
        <v>190|9</v>
      </c>
      <c r="B9090" s="10" t="str">
        <f>参数调整!$J$39</f>
        <v>新增怪物种类4掉落</v>
      </c>
      <c r="C9090" s="8" t="str">
        <f>材料产出!$N$2</f>
        <v>火龙凭证</v>
      </c>
      <c r="D9090" s="224">
        <f>参数调整!$K$39*怪物掉落配置方案!$D4986</f>
        <v>0.55572923949941744</v>
      </c>
    </row>
    <row r="9091" spans="1:4" ht="16.5" hidden="1" x14ac:dyDescent="0.3">
      <c r="A9091" s="10" t="str">
        <f>基本属性!$B$20&amp;"|"&amp;基本属性!$C$20</f>
        <v>200|10</v>
      </c>
      <c r="B9091" s="10" t="str">
        <f>参数调整!$J$39</f>
        <v>新增怪物种类4掉落</v>
      </c>
      <c r="C9091" s="8" t="str">
        <f>材料产出!$N$2</f>
        <v>火龙凭证</v>
      </c>
      <c r="D9091" s="224">
        <f>参数调整!$K$39*怪物掉落配置方案!$D4987</f>
        <v>0.6495009373258348</v>
      </c>
    </row>
    <row r="9092" spans="1:4" ht="16.5" hidden="1" x14ac:dyDescent="0.3">
      <c r="A9092" s="10" t="str">
        <f>基本属性!$B$21&amp;"|"&amp;基本属性!$C$21</f>
        <v>200|11</v>
      </c>
      <c r="B9092" s="10" t="str">
        <f>参数调整!$J$39</f>
        <v>新增怪物种类4掉落</v>
      </c>
      <c r="C9092" s="8" t="str">
        <f>材料产出!$N$2</f>
        <v>火龙凭证</v>
      </c>
      <c r="D9092" s="224">
        <f>参数调整!$K$39*怪物掉落配置方案!$D4988</f>
        <v>0.7505795206971676</v>
      </c>
    </row>
    <row r="9093" spans="1:4" ht="16.5" hidden="1" x14ac:dyDescent="0.3">
      <c r="A9093" s="10" t="str">
        <f>基本属性!$B$22&amp;"|"&amp;基本属性!$C$22</f>
        <v>210|12</v>
      </c>
      <c r="B9093" s="10" t="str">
        <f>参数调整!$J$39</f>
        <v>新增怪物种类4掉落</v>
      </c>
      <c r="C9093" s="8" t="str">
        <f>材料产出!$N$2</f>
        <v>火龙凭证</v>
      </c>
      <c r="D9093" s="224">
        <f>参数调整!$K$39*怪物掉落配置方案!$D4989</f>
        <v>0.85896498961341616</v>
      </c>
    </row>
    <row r="9094" spans="1:4" ht="16.5" hidden="1" x14ac:dyDescent="0.3">
      <c r="A9094" s="10" t="str">
        <f>基本属性!$B$23&amp;"|"&amp;基本属性!$C$23</f>
        <v>210|13</v>
      </c>
      <c r="B9094" s="10" t="str">
        <f>参数调整!$J$39</f>
        <v>新增怪物种类4掉落</v>
      </c>
      <c r="C9094" s="8" t="str">
        <f>材料产出!$N$2</f>
        <v>火龙凭证</v>
      </c>
      <c r="D9094" s="224">
        <f>参数调整!$K$39*怪物掉落配置方案!$D4990</f>
        <v>0.97465734407458093</v>
      </c>
    </row>
    <row r="9095" spans="1:4" ht="16.5" hidden="1" x14ac:dyDescent="0.3">
      <c r="A9095" s="10" t="str">
        <f>基本属性!$B$24&amp;"|"&amp;基本属性!$C$24</f>
        <v>220|14</v>
      </c>
      <c r="B9095" s="10" t="str">
        <f>参数调整!$J$39</f>
        <v>新增怪物种类4掉落</v>
      </c>
      <c r="C9095" s="8" t="str">
        <f>材料产出!$N$2</f>
        <v>火龙凭证</v>
      </c>
      <c r="D9095" s="224">
        <f>参数调整!$K$39*怪物掉落配置方案!$D4991</f>
        <v>1.0976565840806607</v>
      </c>
    </row>
    <row r="9096" spans="1:4" ht="16.5" hidden="1" x14ac:dyDescent="0.3">
      <c r="A9096" s="10" t="str">
        <f>基本属性!$B$25&amp;"|"&amp;基本属性!$C$25</f>
        <v>220|15</v>
      </c>
      <c r="B9096" s="10" t="str">
        <f>参数调整!$J$39</f>
        <v>新增怪物种类4掉落</v>
      </c>
      <c r="C9096" s="8" t="str">
        <f>材料产出!$N$2</f>
        <v>火龙凭证</v>
      </c>
      <c r="D9096" s="224">
        <f>参数调整!$K$39*怪物掉落配置方案!$D4992</f>
        <v>1.2279627096316561</v>
      </c>
    </row>
    <row r="9097" spans="1:4" ht="16.5" hidden="1" x14ac:dyDescent="0.3">
      <c r="A9097" s="10" t="str">
        <f>基本属性!$B$26&amp;"|"&amp;基本属性!$C$26</f>
        <v>230|16</v>
      </c>
      <c r="B9097" s="10" t="str">
        <f>参数调整!$J$39</f>
        <v>新增怪物种类4掉落</v>
      </c>
      <c r="C9097" s="8" t="str">
        <f>材料产出!$N$2</f>
        <v>火龙凭证</v>
      </c>
      <c r="D9097" s="224">
        <f>参数调整!$K$39*怪物掉落配置方案!$D4993</f>
        <v>1.3655757207275676</v>
      </c>
    </row>
    <row r="9098" spans="1:4" ht="16.5" hidden="1" x14ac:dyDescent="0.3">
      <c r="A9098" s="10" t="str">
        <f>基本属性!$B$27&amp;"|"&amp;基本属性!$C$27</f>
        <v>230|17</v>
      </c>
      <c r="B9098" s="10" t="str">
        <f>参数调整!$J$39</f>
        <v>新增怪物种类4掉落</v>
      </c>
      <c r="C9098" s="8" t="str">
        <f>材料产出!$N$2</f>
        <v>火龙凭证</v>
      </c>
      <c r="D9098" s="224">
        <f>参数调整!$K$39*怪物掉落配置方案!$D4994</f>
        <v>1.5104956173683941</v>
      </c>
    </row>
    <row r="9099" spans="1:4" ht="16.5" hidden="1" x14ac:dyDescent="0.3">
      <c r="A9099" s="10" t="str">
        <f>基本属性!$B$28&amp;"|"&amp;基本属性!$C$28</f>
        <v>240|18</v>
      </c>
      <c r="B9099" s="10" t="str">
        <f>参数调整!$J$39</f>
        <v>新增怪物种类4掉落</v>
      </c>
      <c r="C9099" s="8" t="str">
        <f>材料产出!$N$2</f>
        <v>火龙凭证</v>
      </c>
      <c r="D9099" s="224">
        <f>参数调整!$K$39*怪物掉落配置方案!$D4995</f>
        <v>1.6627223995541371</v>
      </c>
    </row>
    <row r="9100" spans="1:4" ht="16.5" hidden="1" x14ac:dyDescent="0.3">
      <c r="A9100" s="10" t="str">
        <f>基本属性!$B$29&amp;"|"&amp;基本属性!$C$29</f>
        <v>240|19</v>
      </c>
      <c r="B9100" s="10" t="str">
        <f>参数调整!$J$39</f>
        <v>新增怪物种类4掉落</v>
      </c>
      <c r="C9100" s="8" t="str">
        <f>材料产出!$N$2</f>
        <v>火龙凭证</v>
      </c>
      <c r="D9100" s="224">
        <f>参数调整!$K$39*怪物掉落配置方案!$D4996</f>
        <v>1.8222560672847952</v>
      </c>
    </row>
    <row r="9101" spans="1:4" ht="16.5" hidden="1" x14ac:dyDescent="0.3">
      <c r="A9101" s="10" t="str">
        <f>基本属性!$B$30&amp;"|"&amp;基本属性!$C$30</f>
        <v>250|20</v>
      </c>
      <c r="B9101" s="10" t="str">
        <f>参数调整!$J$39</f>
        <v>新增怪物种类4掉落</v>
      </c>
      <c r="C9101" s="8" t="str">
        <f>材料产出!$N$2</f>
        <v>火龙凭证</v>
      </c>
      <c r="D9101" s="224">
        <f>参数调整!$K$39*怪物掉落配置方案!$D4997</f>
        <v>1.9890966205603684</v>
      </c>
    </row>
    <row r="9102" spans="1:4" ht="16.5" hidden="1" x14ac:dyDescent="0.3">
      <c r="A9102" s="10" t="str">
        <f>基本属性!$B$4&amp;"|"&amp;基本属性!$C$4</f>
        <v>35|0</v>
      </c>
      <c r="B9102" s="10" t="str">
        <f>参数调整!$J$39</f>
        <v>新增怪物种类4掉落</v>
      </c>
      <c r="C9102" s="8" t="str">
        <f>材料产出!$AR$2</f>
        <v>火龙精魄</v>
      </c>
      <c r="D9102" s="224">
        <f>参数调整!$K$39*怪物掉落配置方案!$D4998</f>
        <v>1.2986715533423928E-5</v>
      </c>
    </row>
    <row r="9103" spans="1:4" ht="16.5" hidden="1" x14ac:dyDescent="0.3">
      <c r="A9103" s="10" t="str">
        <f>基本属性!$B$5&amp;"|"&amp;基本属性!$C$5</f>
        <v>40|0</v>
      </c>
      <c r="B9103" s="10" t="str">
        <f>参数调整!$J$39</f>
        <v>新增怪物种类4掉落</v>
      </c>
      <c r="C9103" s="8" t="str">
        <f>材料产出!$AR$2</f>
        <v>火龙精魄</v>
      </c>
      <c r="D9103" s="224">
        <f>参数调整!$K$39*怪物掉落配置方案!$D4999</f>
        <v>1.6436311846989658E-5</v>
      </c>
    </row>
    <row r="9104" spans="1:4" ht="16.5" hidden="1" x14ac:dyDescent="0.3">
      <c r="A9104" s="10" t="str">
        <f>基本属性!$B$6&amp;"|"&amp;基本属性!$C$6</f>
        <v>50|0</v>
      </c>
      <c r="B9104" s="10" t="str">
        <f>参数调整!$J$39</f>
        <v>新增怪物种类4掉落</v>
      </c>
      <c r="C9104" s="8" t="str">
        <f>材料产出!$AR$2</f>
        <v>火龙精魄</v>
      </c>
      <c r="D9104" s="224">
        <f>参数调整!$K$39*怪物掉落配置方案!$D5000</f>
        <v>2.0291743020974886E-5</v>
      </c>
    </row>
    <row r="9105" spans="1:4" ht="16.5" hidden="1" x14ac:dyDescent="0.3">
      <c r="A9105" s="10" t="str">
        <f>基本属性!$B$7&amp;"|"&amp;基本属性!$C$7</f>
        <v>60|0</v>
      </c>
      <c r="B9105" s="10" t="str">
        <f>参数调整!$J$39</f>
        <v>新增怪物种类4掉落</v>
      </c>
      <c r="C9105" s="8" t="str">
        <f>材料产出!$AR$2</f>
        <v>火龙精魄</v>
      </c>
      <c r="D9105" s="224">
        <f>参数调整!$K$39*怪物掉落配置方案!$D5001</f>
        <v>2.4553009055379619E-5</v>
      </c>
    </row>
    <row r="9106" spans="1:4" ht="16.5" hidden="1" x14ac:dyDescent="0.3">
      <c r="A9106" s="10" t="str">
        <f>基本属性!$B$8&amp;"|"&amp;基本属性!$C$8</f>
        <v>65|0</v>
      </c>
      <c r="B9106" s="10" t="str">
        <f>参数调整!$J$39</f>
        <v>新增怪物种类4掉落</v>
      </c>
      <c r="C9106" s="8" t="str">
        <f>材料产出!$AR$2</f>
        <v>火龙精魄</v>
      </c>
      <c r="D9106" s="224">
        <f>参数调整!$K$39*怪物掉落配置方案!$D5002</f>
        <v>2.9220109950203833E-5</v>
      </c>
    </row>
    <row r="9107" spans="1:4" ht="16.5" hidden="1" x14ac:dyDescent="0.3">
      <c r="A9107" s="10" t="str">
        <f>基本属性!$B$9&amp;"|"&amp;基本属性!$C$9</f>
        <v>70|0</v>
      </c>
      <c r="B9107" s="10" t="str">
        <f>参数调整!$J$39</f>
        <v>新增怪物种类4掉落</v>
      </c>
      <c r="C9107" s="8" t="str">
        <f>材料产出!$AR$2</f>
        <v>火龙精魄</v>
      </c>
      <c r="D9107" s="224">
        <f>参数调整!$K$39*怪物掉落配置方案!$D5003</f>
        <v>3.4293045705447556E-5</v>
      </c>
    </row>
    <row r="9108" spans="1:4" ht="16.5" hidden="1" x14ac:dyDescent="0.3">
      <c r="A9108" s="10" t="str">
        <f>基本属性!$B$10&amp;"|"&amp;基本属性!$C$10</f>
        <v>75|0</v>
      </c>
      <c r="B9108" s="10" t="str">
        <f>参数调整!$J$39</f>
        <v>新增怪物种类4掉落</v>
      </c>
      <c r="C9108" s="8" t="str">
        <f>材料产出!$AR$2</f>
        <v>火龙精魄</v>
      </c>
      <c r="D9108" s="224">
        <f>参数调整!$K$39*怪物掉落配置方案!$D5004</f>
        <v>3.9771816321110768E-5</v>
      </c>
    </row>
    <row r="9109" spans="1:4" ht="16.5" hidden="1" x14ac:dyDescent="0.3">
      <c r="A9109" s="10" t="str">
        <f>基本属性!$B$11&amp;"|"&amp;基本属性!$C$11</f>
        <v>80|1</v>
      </c>
      <c r="B9109" s="10" t="str">
        <f>参数调整!$J$39</f>
        <v>新增怪物种类4掉落</v>
      </c>
      <c r="C9109" s="8" t="str">
        <f>材料产出!$AR$2</f>
        <v>火龙精魄</v>
      </c>
      <c r="D9109" s="224">
        <f>参数调整!$K$39*怪物掉落配置方案!$D5005</f>
        <v>4.5656421797193484E-5</v>
      </c>
    </row>
    <row r="9110" spans="1:4" ht="16.5" hidden="1" x14ac:dyDescent="0.3">
      <c r="A9110" s="10" t="str">
        <f>基本属性!$B$12&amp;"|"&amp;基本属性!$C$12</f>
        <v>90|2</v>
      </c>
      <c r="B9110" s="10" t="str">
        <f>参数调整!$J$39</f>
        <v>新增怪物种类4掉落</v>
      </c>
      <c r="C9110" s="8" t="str">
        <f>材料产出!$AR$2</f>
        <v>火龙精魄</v>
      </c>
      <c r="D9110" s="224">
        <f>参数调整!$K$39*怪物掉落配置方案!$D5006</f>
        <v>5.1946862133695719E-5</v>
      </c>
    </row>
    <row r="9111" spans="1:4" ht="16.5" hidden="1" x14ac:dyDescent="0.3">
      <c r="A9111" s="10" t="str">
        <f>基本属性!$B$13&amp;"|"&amp;基本属性!$C$13</f>
        <v>100|3</v>
      </c>
      <c r="B9111" s="10" t="str">
        <f>参数调整!$J$39</f>
        <v>新增怪物种类4掉落</v>
      </c>
      <c r="C9111" s="8" t="str">
        <f>材料产出!$AR$2</f>
        <v>火龙精魄</v>
      </c>
      <c r="D9111" s="224">
        <f>参数调整!$K$39*怪物掉落配置方案!$D5007</f>
        <v>6.5745247387958644E-5</v>
      </c>
    </row>
    <row r="9112" spans="1:4" ht="16.5" hidden="1" x14ac:dyDescent="0.3">
      <c r="A9112" s="10" t="str">
        <f>基本属性!$B$14&amp;"|"&amp;基本属性!$C$14</f>
        <v>105|4</v>
      </c>
      <c r="B9112" s="10" t="str">
        <f>参数调整!$J$39</f>
        <v>新增怪物种类4掉落</v>
      </c>
      <c r="C9112" s="8" t="str">
        <f>材料产出!$AR$2</f>
        <v>火龙精魄</v>
      </c>
      <c r="D9112" s="224">
        <f>参数调整!$K$39*怪物掉落配置方案!$D5008</f>
        <v>8.1166972083899542E-5</v>
      </c>
    </row>
    <row r="9113" spans="1:4" ht="16.5" hidden="1" x14ac:dyDescent="0.3">
      <c r="A9113" s="10" t="str">
        <f>基本属性!$B$15&amp;"|"&amp;基本属性!$C$15</f>
        <v>110|5</v>
      </c>
      <c r="B9113" s="10" t="str">
        <f>参数调整!$J$39</f>
        <v>新增怪物种类4掉落</v>
      </c>
      <c r="C9113" s="8" t="str">
        <f>材料产出!$AR$2</f>
        <v>火龙精魄</v>
      </c>
      <c r="D9113" s="224">
        <f>参数调整!$K$39*怪物掉落配置方案!$D5009</f>
        <v>9.8212036221518475E-5</v>
      </c>
    </row>
    <row r="9114" spans="1:4" ht="16.5" hidden="1" x14ac:dyDescent="0.3">
      <c r="A9114" s="10" t="str">
        <f>基本属性!$B$16&amp;"|"&amp;基本属性!$C$16</f>
        <v>120|6</v>
      </c>
      <c r="B9114" s="10" t="str">
        <f>参数调整!$J$39</f>
        <v>新增怪物种类4掉落</v>
      </c>
      <c r="C9114" s="8" t="str">
        <f>材料产出!$AR$2</f>
        <v>火龙精魄</v>
      </c>
      <c r="D9114" s="224">
        <f>参数调整!$K$39*怪物掉落配置方案!$D5010</f>
        <v>1.2682339388109305E-4</v>
      </c>
    </row>
    <row r="9115" spans="1:4" ht="16.5" hidden="1" x14ac:dyDescent="0.3">
      <c r="A9115" s="10" t="str">
        <f>基本属性!$B$17&amp;"|"&amp;基本属性!$C$17</f>
        <v>135|7</v>
      </c>
      <c r="B9115" s="10" t="str">
        <f>参数调整!$J$39</f>
        <v>新增怪物种类4掉落</v>
      </c>
      <c r="C9115" s="8" t="str">
        <f>材料产出!$AR$2</f>
        <v>火龙精魄</v>
      </c>
      <c r="D9115" s="224">
        <f>参数调整!$K$39*怪物掉落配置方案!$D5011</f>
        <v>1.8262568718877396E-4</v>
      </c>
    </row>
    <row r="9116" spans="1:4" ht="16.5" hidden="1" x14ac:dyDescent="0.3">
      <c r="A9116" s="10" t="str">
        <f>基本属性!$B$18&amp;"|"&amp;基本属性!$C$18</f>
        <v>155|8</v>
      </c>
      <c r="B9116" s="10" t="str">
        <f>参数调整!$J$39</f>
        <v>新增怪物种类4掉落</v>
      </c>
      <c r="C9116" s="8" t="str">
        <f>材料产出!$AR$2</f>
        <v>火龙精魄</v>
      </c>
      <c r="D9116" s="224">
        <f>参数调整!$K$39*怪物掉落配置方案!$D5012</f>
        <v>2.4857385200694241E-4</v>
      </c>
    </row>
    <row r="9117" spans="1:4" ht="16.5" hidden="1" x14ac:dyDescent="0.3">
      <c r="A9117" s="10" t="str">
        <f>基本属性!$B$19&amp;"|"&amp;基本属性!$C$19</f>
        <v>190|9</v>
      </c>
      <c r="B9117" s="10" t="str">
        <f>参数调整!$J$39</f>
        <v>新增怪物种类4掉落</v>
      </c>
      <c r="C9117" s="8" t="str">
        <f>材料产出!$AR$2</f>
        <v>火龙精魄</v>
      </c>
      <c r="D9117" s="224">
        <f>参数调整!$K$39*怪物掉落配置方案!$D5013</f>
        <v>2.7779396195714618E-4</v>
      </c>
    </row>
    <row r="9118" spans="1:4" ht="16.5" hidden="1" x14ac:dyDescent="0.3">
      <c r="A9118" s="10" t="str">
        <f>基本属性!$B$20&amp;"|"&amp;基本属性!$C$20</f>
        <v>200|10</v>
      </c>
      <c r="B9118" s="10" t="str">
        <f>参数调整!$J$39</f>
        <v>新增怪物种类4掉落</v>
      </c>
      <c r="C9118" s="8" t="str">
        <f>材料产出!$AR$2</f>
        <v>火龙精魄</v>
      </c>
      <c r="D9118" s="224">
        <f>参数调整!$K$39*怪物掉落配置方案!$D5014</f>
        <v>3.2466788833559817E-4</v>
      </c>
    </row>
    <row r="9119" spans="1:4" ht="16.5" hidden="1" x14ac:dyDescent="0.3">
      <c r="A9119" s="10" t="str">
        <f>基本属性!$B$21&amp;"|"&amp;基本属性!$C$21</f>
        <v>200|11</v>
      </c>
      <c r="B9119" s="10" t="str">
        <f>参数调整!$J$39</f>
        <v>新增怪物种类4掉落</v>
      </c>
      <c r="C9119" s="8" t="str">
        <f>材料产出!$AR$2</f>
        <v>火龙精魄</v>
      </c>
      <c r="D9119" s="224">
        <f>参数调整!$K$39*怪物掉落配置方案!$D5015</f>
        <v>3.7519432845782558E-4</v>
      </c>
    </row>
    <row r="9120" spans="1:4" ht="16.5" hidden="1" x14ac:dyDescent="0.3">
      <c r="A9120" s="10" t="str">
        <f>基本属性!$B$22&amp;"|"&amp;基本属性!$C$22</f>
        <v>210|12</v>
      </c>
      <c r="B9120" s="10" t="str">
        <f>参数调整!$J$39</f>
        <v>新增怪物种类4掉落</v>
      </c>
      <c r="C9120" s="8" t="str">
        <f>材料产出!$AR$2</f>
        <v>火龙精魄</v>
      </c>
      <c r="D9120" s="224">
        <f>参数调整!$K$39*怪物掉落配置方案!$D5016</f>
        <v>4.2937328232382852E-4</v>
      </c>
    </row>
    <row r="9121" spans="1:4" ht="16.5" hidden="1" x14ac:dyDescent="0.3">
      <c r="A9121" s="10" t="str">
        <f>基本属性!$B$23&amp;"|"&amp;基本属性!$C$23</f>
        <v>210|13</v>
      </c>
      <c r="B9121" s="10" t="str">
        <f>参数调整!$J$39</f>
        <v>新增怪物种类4掉落</v>
      </c>
      <c r="C9121" s="8" t="str">
        <f>材料产出!$AR$2</f>
        <v>火龙精魄</v>
      </c>
      <c r="D9121" s="224">
        <f>参数调整!$K$39*怪物掉落配置方案!$D5017</f>
        <v>4.8720474993360711E-4</v>
      </c>
    </row>
    <row r="9122" spans="1:4" ht="16.5" hidden="1" x14ac:dyDescent="0.3">
      <c r="A9122" s="10" t="str">
        <f>基本属性!$B$24&amp;"|"&amp;基本属性!$C$24</f>
        <v>220|14</v>
      </c>
      <c r="B9122" s="10" t="str">
        <f>参数调整!$J$39</f>
        <v>新增怪物种类4掉落</v>
      </c>
      <c r="C9122" s="8" t="str">
        <f>材料产出!$AR$2</f>
        <v>火龙精魄</v>
      </c>
      <c r="D9122" s="224">
        <f>参数调整!$K$39*怪物掉落配置方案!$D5018</f>
        <v>5.486887312871609E-4</v>
      </c>
    </row>
    <row r="9123" spans="1:4" ht="16.5" hidden="1" x14ac:dyDescent="0.3">
      <c r="A9123" s="10" t="str">
        <f>基本属性!$B$25&amp;"|"&amp;基本属性!$C$25</f>
        <v>220|15</v>
      </c>
      <c r="B9123" s="10" t="str">
        <f>参数调整!$J$39</f>
        <v>新增怪物种类4掉落</v>
      </c>
      <c r="C9123" s="8" t="str">
        <f>材料产出!$AR$2</f>
        <v>火龙精魄</v>
      </c>
      <c r="D9123" s="224">
        <f>参数调整!$K$39*怪物掉落配置方案!$D5019</f>
        <v>6.1382522638449017E-4</v>
      </c>
    </row>
    <row r="9124" spans="1:4" ht="16.5" hidden="1" x14ac:dyDescent="0.3">
      <c r="A9124" s="10" t="str">
        <f>基本属性!$B$26&amp;"|"&amp;基本属性!$C$26</f>
        <v>230|16</v>
      </c>
      <c r="B9124" s="10" t="str">
        <f>参数调整!$J$39</f>
        <v>新增怪物种类4掉落</v>
      </c>
      <c r="C9124" s="8" t="str">
        <f>材料产出!$AR$2</f>
        <v>火龙精魄</v>
      </c>
      <c r="D9124" s="224">
        <f>参数调整!$K$39*怪物掉落配置方案!$D5020</f>
        <v>6.8261423522559498E-4</v>
      </c>
    </row>
    <row r="9125" spans="1:4" ht="16.5" hidden="1" x14ac:dyDescent="0.3">
      <c r="A9125" s="10" t="str">
        <f>基本属性!$B$27&amp;"|"&amp;基本属性!$C$27</f>
        <v>230|17</v>
      </c>
      <c r="B9125" s="10" t="str">
        <f>参数调整!$J$39</f>
        <v>新增怪物种类4掉落</v>
      </c>
      <c r="C9125" s="8" t="str">
        <f>材料产出!$AR$2</f>
        <v>火龙精魄</v>
      </c>
      <c r="D9125" s="224">
        <f>参数调整!$K$39*怪物掉落配置方案!$D5021</f>
        <v>7.5505575781047531E-4</v>
      </c>
    </row>
    <row r="9126" spans="1:4" ht="16.5" hidden="1" x14ac:dyDescent="0.3">
      <c r="A9126" s="10" t="str">
        <f>基本属性!$B$28&amp;"|"&amp;基本属性!$C$28</f>
        <v>240|18</v>
      </c>
      <c r="B9126" s="10" t="str">
        <f>参数调整!$J$39</f>
        <v>新增怪物种类4掉落</v>
      </c>
      <c r="C9126" s="8" t="str">
        <f>材料产出!$AR$2</f>
        <v>火龙精魄</v>
      </c>
      <c r="D9126" s="224">
        <f>参数调整!$K$39*怪物掉落配置方案!$D5022</f>
        <v>8.311497941391314E-4</v>
      </c>
    </row>
    <row r="9127" spans="1:4" ht="16.5" hidden="1" x14ac:dyDescent="0.3">
      <c r="A9127" s="10" t="str">
        <f>基本属性!$B$29&amp;"|"&amp;基本属性!$C$29</f>
        <v>240|19</v>
      </c>
      <c r="B9127" s="10" t="str">
        <f>参数调整!$J$39</f>
        <v>新增怪物种类4掉落</v>
      </c>
      <c r="C9127" s="8" t="str">
        <f>材料产出!$AR$2</f>
        <v>火龙精魄</v>
      </c>
      <c r="D9127" s="224">
        <f>参数调整!$K$39*怪物掉落配置方案!$D5023</f>
        <v>9.108963442115628E-4</v>
      </c>
    </row>
    <row r="9128" spans="1:4" ht="16.5" hidden="1" x14ac:dyDescent="0.3">
      <c r="A9128" s="10" t="str">
        <f>基本属性!$B$30&amp;"|"&amp;基本属性!$C$30</f>
        <v>250|20</v>
      </c>
      <c r="B9128" s="10" t="str">
        <f>参数调整!$J$39</f>
        <v>新增怪物种类4掉落</v>
      </c>
      <c r="C9128" s="8" t="str">
        <f>材料产出!$AR$2</f>
        <v>火龙精魄</v>
      </c>
      <c r="D9128" s="224">
        <f>参数调整!$K$39*怪物掉落配置方案!$D5024</f>
        <v>9.942954080277692E-4</v>
      </c>
    </row>
    <row r="9129" spans="1:4" ht="16.5" hidden="1" x14ac:dyDescent="0.3">
      <c r="A9129" s="10" t="str">
        <f>基本属性!$B$4&amp;"|"&amp;基本属性!$C$4</f>
        <v>35|0</v>
      </c>
      <c r="B9129" s="10" t="str">
        <f>参数调整!$J$39</f>
        <v>新增怪物种类4掉落</v>
      </c>
      <c r="C9129" s="8" t="str">
        <f>材料产出!$L$2</f>
        <v>火龙币</v>
      </c>
      <c r="D9129" s="224">
        <f>参数调整!$K$39*怪物掉落配置方案!$D5025</f>
        <v>3.57134677169158E-3</v>
      </c>
    </row>
    <row r="9130" spans="1:4" ht="16.5" hidden="1" x14ac:dyDescent="0.3">
      <c r="A9130" s="10" t="str">
        <f>基本属性!$B$5&amp;"|"&amp;基本属性!$C$5</f>
        <v>40|0</v>
      </c>
      <c r="B9130" s="10" t="str">
        <f>参数调整!$J$39</f>
        <v>新增怪物种类4掉落</v>
      </c>
      <c r="C9130" s="8" t="str">
        <f>材料产出!$L$2</f>
        <v>火龙币</v>
      </c>
      <c r="D9130" s="224">
        <f>参数调整!$K$39*怪物掉落配置方案!$D5026</f>
        <v>4.5199857579221554E-3</v>
      </c>
    </row>
    <row r="9131" spans="1:4" ht="16.5" hidden="1" x14ac:dyDescent="0.3">
      <c r="A9131" s="10" t="str">
        <f>基本属性!$B$6&amp;"|"&amp;基本属性!$C$6</f>
        <v>50|0</v>
      </c>
      <c r="B9131" s="10" t="str">
        <f>参数调整!$J$39</f>
        <v>新增怪物种类4掉落</v>
      </c>
      <c r="C9131" s="8" t="str">
        <f>材料产出!$L$2</f>
        <v>火龙币</v>
      </c>
      <c r="D9131" s="224">
        <f>参数调整!$K$39*怪物掉落配置方案!$D5027</f>
        <v>5.5802293307680934E-3</v>
      </c>
    </row>
    <row r="9132" spans="1:4" ht="16.5" hidden="1" x14ac:dyDescent="0.3">
      <c r="A9132" s="10" t="str">
        <f>基本属性!$B$7&amp;"|"&amp;基本属性!$C$7</f>
        <v>60|0</v>
      </c>
      <c r="B9132" s="10" t="str">
        <f>参数调整!$J$39</f>
        <v>新增怪物种类4掉落</v>
      </c>
      <c r="C9132" s="8" t="str">
        <f>材料产出!$L$2</f>
        <v>火龙币</v>
      </c>
      <c r="D9132" s="224">
        <f>参数调整!$K$39*怪物掉落配置方案!$D5028</f>
        <v>6.7520774902293931E-3</v>
      </c>
    </row>
    <row r="9133" spans="1:4" ht="16.5" hidden="1" x14ac:dyDescent="0.3">
      <c r="A9133" s="10" t="str">
        <f>基本属性!$B$8&amp;"|"&amp;基本属性!$C$8</f>
        <v>65|0</v>
      </c>
      <c r="B9133" s="10" t="str">
        <f>参数调整!$J$39</f>
        <v>新增怪物种类4掉落</v>
      </c>
      <c r="C9133" s="8" t="str">
        <f>材料产出!$L$2</f>
        <v>火龙币</v>
      </c>
      <c r="D9133" s="224">
        <f>参数调整!$K$39*怪物掉落配置方案!$D5029</f>
        <v>8.0355302363060536E-3</v>
      </c>
    </row>
    <row r="9134" spans="1:4" ht="16.5" hidden="1" x14ac:dyDescent="0.3">
      <c r="A9134" s="10" t="str">
        <f>基本属性!$B$9&amp;"|"&amp;基本属性!$C$9</f>
        <v>70|0</v>
      </c>
      <c r="B9134" s="10" t="str">
        <f>参数调整!$J$39</f>
        <v>新增怪物种类4掉落</v>
      </c>
      <c r="C9134" s="8" t="str">
        <f>材料产出!$L$2</f>
        <v>火龙币</v>
      </c>
      <c r="D9134" s="224">
        <f>参数调整!$K$39*怪物掉落配置方案!$D5030</f>
        <v>9.4305875689980768E-3</v>
      </c>
    </row>
    <row r="9135" spans="1:4" ht="16.5" hidden="1" x14ac:dyDescent="0.3">
      <c r="A9135" s="10" t="str">
        <f>基本属性!$B$10&amp;"|"&amp;基本属性!$C$10</f>
        <v>75|0</v>
      </c>
      <c r="B9135" s="10" t="str">
        <f>参数调整!$J$39</f>
        <v>新增怪物种类4掉落</v>
      </c>
      <c r="C9135" s="8" t="str">
        <f>材料产出!$L$2</f>
        <v>火龙币</v>
      </c>
      <c r="D9135" s="224">
        <f>参数调整!$K$39*怪物掉落配置方案!$D5031</f>
        <v>1.093724948830546E-2</v>
      </c>
    </row>
    <row r="9136" spans="1:4" ht="16.5" hidden="1" x14ac:dyDescent="0.3">
      <c r="A9136" s="10" t="str">
        <f>基本属性!$B$11&amp;"|"&amp;基本属性!$C$11</f>
        <v>80|1</v>
      </c>
      <c r="B9136" s="10" t="str">
        <f>参数调整!$J$39</f>
        <v>新增怪物种类4掉落</v>
      </c>
      <c r="C9136" s="8" t="str">
        <f>材料产出!$L$2</f>
        <v>火龙币</v>
      </c>
      <c r="D9136" s="224">
        <f>参数调整!$K$39*怪物掉落配置方案!$D5032</f>
        <v>1.2555515994228208E-2</v>
      </c>
    </row>
    <row r="9137" spans="1:4" ht="16.5" hidden="1" x14ac:dyDescent="0.3">
      <c r="A9137" s="10" t="str">
        <f>基本属性!$B$12&amp;"|"&amp;基本属性!$C$12</f>
        <v>90|2</v>
      </c>
      <c r="B9137" s="10" t="str">
        <f>参数调整!$J$39</f>
        <v>新增怪物种类4掉落</v>
      </c>
      <c r="C9137" s="8" t="str">
        <f>材料产出!$L$2</f>
        <v>火龙币</v>
      </c>
      <c r="D9137" s="224">
        <f>参数调整!$K$39*怪物掉落配置方案!$D5033</f>
        <v>1.4285387086766322E-2</v>
      </c>
    </row>
    <row r="9138" spans="1:4" ht="16.5" hidden="1" x14ac:dyDescent="0.3">
      <c r="A9138" s="10" t="str">
        <f>基本属性!$B$13&amp;"|"&amp;基本属性!$C$13</f>
        <v>100|3</v>
      </c>
      <c r="B9138" s="10" t="str">
        <f>参数调整!$J$39</f>
        <v>新增怪物种类4掉落</v>
      </c>
      <c r="C9138" s="8" t="str">
        <f>材料产出!$L$2</f>
        <v>火龙币</v>
      </c>
      <c r="D9138" s="224">
        <f>参数调整!$K$39*怪物掉落配置方案!$D5034</f>
        <v>1.8079943031688625E-2</v>
      </c>
    </row>
    <row r="9139" spans="1:4" ht="16.5" hidden="1" x14ac:dyDescent="0.3">
      <c r="A9139" s="10" t="str">
        <f>基本属性!$B$14&amp;"|"&amp;基本属性!$C$14</f>
        <v>105|4</v>
      </c>
      <c r="B9139" s="10" t="str">
        <f>参数调整!$J$39</f>
        <v>新增怪物种类4掉落</v>
      </c>
      <c r="C9139" s="8" t="str">
        <f>材料产出!$L$2</f>
        <v>火龙币</v>
      </c>
      <c r="D9139" s="224">
        <f>参数调整!$K$39*怪物掉落配置方案!$D5035</f>
        <v>2.2320917323072374E-2</v>
      </c>
    </row>
    <row r="9140" spans="1:4" ht="16.5" hidden="1" x14ac:dyDescent="0.3">
      <c r="A9140" s="10" t="str">
        <f>基本属性!$B$15&amp;"|"&amp;基本属性!$C$15</f>
        <v>110|5</v>
      </c>
      <c r="B9140" s="10" t="str">
        <f>参数调整!$J$39</f>
        <v>新增怪物种类4掉落</v>
      </c>
      <c r="C9140" s="8" t="str">
        <f>材料产出!$L$2</f>
        <v>火龙币</v>
      </c>
      <c r="D9140" s="224">
        <f>参数调整!$K$39*怪物掉落配置方案!$D5036</f>
        <v>2.7008309960917576E-2</v>
      </c>
    </row>
    <row r="9141" spans="1:4" ht="16.5" hidden="1" x14ac:dyDescent="0.3">
      <c r="A9141" s="10" t="str">
        <f>基本属性!$B$16&amp;"|"&amp;基本属性!$C$16</f>
        <v>120|6</v>
      </c>
      <c r="B9141" s="10" t="str">
        <f>参数调整!$J$39</f>
        <v>新增怪物种类4掉落</v>
      </c>
      <c r="C9141" s="8" t="str">
        <f>材料产出!$L$2</f>
        <v>火龙币</v>
      </c>
      <c r="D9141" s="224">
        <f>参数调整!$K$39*怪物掉落配置方案!$D5037</f>
        <v>3.4876433317300587E-2</v>
      </c>
    </row>
    <row r="9142" spans="1:4" ht="16.5" hidden="1" x14ac:dyDescent="0.3">
      <c r="A9142" s="10" t="str">
        <f>基本属性!$B$17&amp;"|"&amp;基本属性!$C$17</f>
        <v>135|7</v>
      </c>
      <c r="B9142" s="10" t="str">
        <f>参数调整!$J$39</f>
        <v>新增怪物种类4掉落</v>
      </c>
      <c r="C9142" s="8" t="str">
        <f>材料产出!$L$2</f>
        <v>火龙币</v>
      </c>
      <c r="D9142" s="224">
        <f>参数调整!$K$39*怪物掉落配置方案!$D5038</f>
        <v>5.0222063976912833E-2</v>
      </c>
    </row>
    <row r="9143" spans="1:4" ht="16.5" hidden="1" x14ac:dyDescent="0.3">
      <c r="A9143" s="10" t="str">
        <f>基本属性!$B$18&amp;"|"&amp;基本属性!$C$18</f>
        <v>155|8</v>
      </c>
      <c r="B9143" s="10" t="str">
        <f>参数调整!$J$39</f>
        <v>新增怪物种类4掉落</v>
      </c>
      <c r="C9143" s="8" t="str">
        <f>材料产出!$L$2</f>
        <v>火龙币</v>
      </c>
      <c r="D9143" s="224">
        <f>参数调整!$K$39*怪物掉落配置方案!$D5039</f>
        <v>6.8357809301909142E-2</v>
      </c>
    </row>
    <row r="9144" spans="1:4" ht="16.5" hidden="1" x14ac:dyDescent="0.3">
      <c r="A9144" s="10" t="str">
        <f>基本属性!$B$19&amp;"|"&amp;基本属性!$C$19</f>
        <v>190|9</v>
      </c>
      <c r="B9144" s="10" t="str">
        <f>参数调整!$J$39</f>
        <v>新增怪物种类4掉落</v>
      </c>
      <c r="C9144" s="8" t="str">
        <f>材料产出!$L$2</f>
        <v>火龙币</v>
      </c>
      <c r="D9144" s="224">
        <f>参数调整!$K$39*怪物掉落配置方案!$D5040</f>
        <v>7.6393339538215199E-2</v>
      </c>
    </row>
    <row r="9145" spans="1:4" ht="16.5" hidden="1" x14ac:dyDescent="0.3">
      <c r="A9145" s="10" t="str">
        <f>基本属性!$B$20&amp;"|"&amp;基本属性!$C$20</f>
        <v>200|10</v>
      </c>
      <c r="B9145" s="10" t="str">
        <f>参数调整!$J$39</f>
        <v>新增怪物种类4掉落</v>
      </c>
      <c r="C9145" s="8" t="str">
        <f>材料产出!$L$2</f>
        <v>火龙币</v>
      </c>
      <c r="D9145" s="224">
        <f>参数调整!$K$39*怪物掉落配置方案!$D5041</f>
        <v>8.9283669292289494E-2</v>
      </c>
    </row>
    <row r="9146" spans="1:4" ht="16.5" hidden="1" x14ac:dyDescent="0.3">
      <c r="A9146" s="10" t="str">
        <f>基本属性!$B$21&amp;"|"&amp;基本属性!$C$21</f>
        <v>200|11</v>
      </c>
      <c r="B9146" s="10" t="str">
        <f>参数调整!$J$39</f>
        <v>新增怪物种类4掉落</v>
      </c>
      <c r="C9146" s="8" t="str">
        <f>材料产出!$L$2</f>
        <v>火龙币</v>
      </c>
      <c r="D9146" s="224">
        <f>参数调整!$K$39*怪物掉落配置方案!$D5042</f>
        <v>0.10317844032590202</v>
      </c>
    </row>
    <row r="9147" spans="1:4" ht="16.5" hidden="1" x14ac:dyDescent="0.3">
      <c r="A9147" s="10" t="str">
        <f>基本属性!$B$22&amp;"|"&amp;基本属性!$C$22</f>
        <v>210|12</v>
      </c>
      <c r="B9147" s="10" t="str">
        <f>参数调整!$J$39</f>
        <v>新增怪物种类4掉落</v>
      </c>
      <c r="C9147" s="8" t="str">
        <f>材料产出!$L$2</f>
        <v>火龙币</v>
      </c>
      <c r="D9147" s="224">
        <f>参数调整!$K$39*怪物掉落配置方案!$D5043</f>
        <v>0.11807765263905283</v>
      </c>
    </row>
    <row r="9148" spans="1:4" ht="16.5" hidden="1" x14ac:dyDescent="0.3">
      <c r="A9148" s="10" t="str">
        <f>基本属性!$B$23&amp;"|"&amp;基本属性!$C$23</f>
        <v>210|13</v>
      </c>
      <c r="B9148" s="10" t="str">
        <f>参数调整!$J$39</f>
        <v>新增怪物种类4掉落</v>
      </c>
      <c r="C9148" s="8" t="str">
        <f>材料产出!$L$2</f>
        <v>火龙币</v>
      </c>
      <c r="D9148" s="224">
        <f>参数调整!$K$39*怪物掉落配置方案!$D5044</f>
        <v>0.13398130623174193</v>
      </c>
    </row>
    <row r="9149" spans="1:4" ht="16.5" hidden="1" x14ac:dyDescent="0.3">
      <c r="A9149" s="10" t="str">
        <f>基本属性!$B$24&amp;"|"&amp;基本属性!$C$24</f>
        <v>220|14</v>
      </c>
      <c r="B9149" s="10" t="str">
        <f>参数调整!$J$39</f>
        <v>新增怪物种类4掉落</v>
      </c>
      <c r="C9149" s="8" t="str">
        <f>材料产出!$L$2</f>
        <v>火龙币</v>
      </c>
      <c r="D9149" s="224">
        <f>参数调整!$K$39*怪物掉落配置方案!$D5045</f>
        <v>0.15088940110396926</v>
      </c>
    </row>
    <row r="9150" spans="1:4" ht="16.5" hidden="1" x14ac:dyDescent="0.3">
      <c r="A9150" s="10" t="str">
        <f>基本属性!$B$25&amp;"|"&amp;基本属性!$C$25</f>
        <v>220|15</v>
      </c>
      <c r="B9150" s="10" t="str">
        <f>参数调整!$J$39</f>
        <v>新增怪物种类4掉落</v>
      </c>
      <c r="C9150" s="8" t="str">
        <f>材料产出!$L$2</f>
        <v>火龙币</v>
      </c>
      <c r="D9150" s="224">
        <f>参数调整!$K$39*怪物掉落配置方案!$D5046</f>
        <v>0.16880193725573481</v>
      </c>
    </row>
    <row r="9151" spans="1:4" ht="16.5" hidden="1" x14ac:dyDescent="0.3">
      <c r="A9151" s="10" t="str">
        <f>基本属性!$B$26&amp;"|"&amp;基本属性!$C$26</f>
        <v>230|16</v>
      </c>
      <c r="B9151" s="10" t="str">
        <f>参数调整!$J$39</f>
        <v>新增怪物种类4掉落</v>
      </c>
      <c r="C9151" s="8" t="str">
        <f>材料产出!$L$2</f>
        <v>火龙币</v>
      </c>
      <c r="D9151" s="224">
        <f>参数调整!$K$39*怪物掉落配置方案!$D5047</f>
        <v>0.18771891468703863</v>
      </c>
    </row>
    <row r="9152" spans="1:4" ht="16.5" hidden="1" x14ac:dyDescent="0.3">
      <c r="A9152" s="10" t="str">
        <f>基本属性!$B$27&amp;"|"&amp;基本属性!$C$27</f>
        <v>230|17</v>
      </c>
      <c r="B9152" s="10" t="str">
        <f>参数调整!$J$39</f>
        <v>新增怪物种类4掉落</v>
      </c>
      <c r="C9152" s="8" t="str">
        <f>材料产出!$L$2</f>
        <v>火龙币</v>
      </c>
      <c r="D9152" s="224">
        <f>参数调整!$K$39*怪物掉落配置方案!$D5048</f>
        <v>0.20764033339788071</v>
      </c>
    </row>
    <row r="9153" spans="1:4" ht="16.5" hidden="1" x14ac:dyDescent="0.3">
      <c r="A9153" s="10" t="str">
        <f>基本属性!$B$28&amp;"|"&amp;基本属性!$C$28</f>
        <v>240|18</v>
      </c>
      <c r="B9153" s="10" t="str">
        <f>参数调整!$J$39</f>
        <v>新增怪物种类4掉落</v>
      </c>
      <c r="C9153" s="8" t="str">
        <f>材料产出!$L$2</f>
        <v>火龙币</v>
      </c>
      <c r="D9153" s="224">
        <f>参数调整!$K$39*怪物掉落配置方案!$D5049</f>
        <v>0.22856619338826112</v>
      </c>
    </row>
    <row r="9154" spans="1:4" ht="16.5" hidden="1" x14ac:dyDescent="0.3">
      <c r="A9154" s="10" t="str">
        <f>基本属性!$B$29&amp;"|"&amp;基本属性!$C$29</f>
        <v>240|19</v>
      </c>
      <c r="B9154" s="10" t="str">
        <f>参数调整!$J$39</f>
        <v>新增怪物种类4掉落</v>
      </c>
      <c r="C9154" s="8" t="str">
        <f>材料产出!$L$2</f>
        <v>火龙币</v>
      </c>
      <c r="D9154" s="224">
        <f>参数调整!$K$39*怪物掉落配置方案!$D5050</f>
        <v>0.25049649465817969</v>
      </c>
    </row>
    <row r="9155" spans="1:4" ht="16.5" hidden="1" x14ac:dyDescent="0.3">
      <c r="A9155" s="10" t="str">
        <f>基本属性!$B$30&amp;"|"&amp;基本属性!$C$30</f>
        <v>250|20</v>
      </c>
      <c r="B9155" s="10" t="str">
        <f>参数调整!$J$39</f>
        <v>新增怪物种类4掉落</v>
      </c>
      <c r="C9155" s="8" t="str">
        <f>材料产出!$L$2</f>
        <v>火龙币</v>
      </c>
      <c r="D9155" s="224">
        <f>参数调整!$K$39*怪物掉落配置方案!$D5051</f>
        <v>0.27343123720763651</v>
      </c>
    </row>
    <row r="9156" spans="1:4" ht="16.5" hidden="1" x14ac:dyDescent="0.3">
      <c r="A9156" s="10" t="str">
        <f>基本属性!$B$4&amp;"|"&amp;基本属性!$C$4</f>
        <v>35|0</v>
      </c>
      <c r="B9156" s="10" t="str">
        <f>参数调整!$J$39</f>
        <v>新增怪物种类4掉落</v>
      </c>
      <c r="C9156" s="8" t="str">
        <f>材料产出!$BD$2</f>
        <v>防具碎片</v>
      </c>
      <c r="D9156" s="224">
        <f>参数调整!$K$39*怪物掉落配置方案!$D5052</f>
        <v>1.2986715533423927E-4</v>
      </c>
    </row>
    <row r="9157" spans="1:4" ht="16.5" hidden="1" x14ac:dyDescent="0.3">
      <c r="A9157" s="10" t="str">
        <f>基本属性!$B$5&amp;"|"&amp;基本属性!$C$5</f>
        <v>40|0</v>
      </c>
      <c r="B9157" s="10" t="str">
        <f>参数调整!$J$39</f>
        <v>新增怪物种类4掉落</v>
      </c>
      <c r="C9157" s="8" t="str">
        <f>材料产出!$BD$2</f>
        <v>防具碎片</v>
      </c>
      <c r="D9157" s="224">
        <f>参数调整!$K$39*怪物掉落配置方案!$D5053</f>
        <v>1.6436311846989657E-4</v>
      </c>
    </row>
    <row r="9158" spans="1:4" ht="16.5" hidden="1" x14ac:dyDescent="0.3">
      <c r="A9158" s="10" t="str">
        <f>基本属性!$B$6&amp;"|"&amp;基本属性!$C$6</f>
        <v>50|0</v>
      </c>
      <c r="B9158" s="10" t="str">
        <f>参数调整!$J$39</f>
        <v>新增怪物种类4掉落</v>
      </c>
      <c r="C9158" s="8" t="str">
        <f>材料产出!$BD$2</f>
        <v>防具碎片</v>
      </c>
      <c r="D9158" s="224">
        <f>参数调整!$K$39*怪物掉落配置方案!$D5054</f>
        <v>2.0291743020974887E-4</v>
      </c>
    </row>
    <row r="9159" spans="1:4" ht="16.5" hidden="1" x14ac:dyDescent="0.3">
      <c r="A9159" s="10" t="str">
        <f>基本属性!$B$7&amp;"|"&amp;基本属性!$C$7</f>
        <v>60|0</v>
      </c>
      <c r="B9159" s="10" t="str">
        <f>参数调整!$J$39</f>
        <v>新增怪物种类4掉落</v>
      </c>
      <c r="C9159" s="8" t="str">
        <f>材料产出!$BD$2</f>
        <v>防具碎片</v>
      </c>
      <c r="D9159" s="224">
        <f>参数调整!$K$39*怪物掉落配置方案!$D5055</f>
        <v>2.4553009055379611E-4</v>
      </c>
    </row>
    <row r="9160" spans="1:4" ht="16.5" hidden="1" x14ac:dyDescent="0.3">
      <c r="A9160" s="10" t="str">
        <f>基本属性!$B$8&amp;"|"&amp;基本属性!$C$8</f>
        <v>65|0</v>
      </c>
      <c r="B9160" s="10" t="str">
        <f>参数调整!$J$39</f>
        <v>新增怪物种类4掉落</v>
      </c>
      <c r="C9160" s="8" t="str">
        <f>材料产出!$BD$2</f>
        <v>防具碎片</v>
      </c>
      <c r="D9160" s="224">
        <f>参数调整!$K$39*怪物掉落配置方案!$D5056</f>
        <v>2.9220109950203835E-4</v>
      </c>
    </row>
    <row r="9161" spans="1:4" ht="16.5" hidden="1" x14ac:dyDescent="0.3">
      <c r="A9161" s="10" t="str">
        <f>基本属性!$B$9&amp;"|"&amp;基本属性!$C$9</f>
        <v>70|0</v>
      </c>
      <c r="B9161" s="10" t="str">
        <f>参数调整!$J$39</f>
        <v>新增怪物种类4掉落</v>
      </c>
      <c r="C9161" s="8" t="str">
        <f>材料产出!$BD$2</f>
        <v>防具碎片</v>
      </c>
      <c r="D9161" s="224">
        <f>参数调整!$K$39*怪物掉落配置方案!$D5057</f>
        <v>3.4293045705447556E-4</v>
      </c>
    </row>
    <row r="9162" spans="1:4" ht="16.5" hidden="1" x14ac:dyDescent="0.3">
      <c r="A9162" s="10" t="str">
        <f>基本属性!$B$10&amp;"|"&amp;基本属性!$C$10</f>
        <v>75|0</v>
      </c>
      <c r="B9162" s="10" t="str">
        <f>参数调整!$J$39</f>
        <v>新增怪物种类4掉落</v>
      </c>
      <c r="C9162" s="8" t="str">
        <f>材料产出!$BD$2</f>
        <v>防具碎片</v>
      </c>
      <c r="D9162" s="224">
        <f>参数调整!$K$39*怪物掉落配置方案!$D5058</f>
        <v>3.9771816321110769E-4</v>
      </c>
    </row>
    <row r="9163" spans="1:4" ht="16.5" hidden="1" x14ac:dyDescent="0.3">
      <c r="A9163" s="10" t="str">
        <f>基本属性!$B$11&amp;"|"&amp;基本属性!$C$11</f>
        <v>80|1</v>
      </c>
      <c r="B9163" s="10" t="str">
        <f>参数调整!$J$39</f>
        <v>新增怪物种类4掉落</v>
      </c>
      <c r="C9163" s="8" t="str">
        <f>材料产出!$BD$2</f>
        <v>防具碎片</v>
      </c>
      <c r="D9163" s="224">
        <f>参数调整!$K$39*怪物掉落配置方案!$D5059</f>
        <v>4.565642179719349E-4</v>
      </c>
    </row>
    <row r="9164" spans="1:4" ht="16.5" hidden="1" x14ac:dyDescent="0.3">
      <c r="A9164" s="10" t="str">
        <f>基本属性!$B$12&amp;"|"&amp;基本属性!$C$12</f>
        <v>90|2</v>
      </c>
      <c r="B9164" s="10" t="str">
        <f>参数调整!$J$39</f>
        <v>新增怪物种类4掉落</v>
      </c>
      <c r="C9164" s="8" t="str">
        <f>材料产出!$BD$2</f>
        <v>防具碎片</v>
      </c>
      <c r="D9164" s="224">
        <f>参数调整!$K$39*怪物掉落配置方案!$D5060</f>
        <v>5.1946862133695718E-4</v>
      </c>
    </row>
    <row r="9165" spans="1:4" ht="16.5" hidden="1" x14ac:dyDescent="0.3">
      <c r="A9165" s="10" t="str">
        <f>基本属性!$B$13&amp;"|"&amp;基本属性!$C$13</f>
        <v>100|3</v>
      </c>
      <c r="B9165" s="10" t="str">
        <f>参数调整!$J$39</f>
        <v>新增怪物种类4掉落</v>
      </c>
      <c r="C9165" s="8" t="str">
        <f>材料产出!$BD$2</f>
        <v>防具碎片</v>
      </c>
      <c r="D9165" s="224">
        <f>参数调整!$K$39*怪物掉落配置方案!$D5061</f>
        <v>6.5745247387958639E-4</v>
      </c>
    </row>
    <row r="9166" spans="1:4" ht="16.5" hidden="1" x14ac:dyDescent="0.3">
      <c r="A9166" s="10" t="str">
        <f>基本属性!$B$14&amp;"|"&amp;基本属性!$C$14</f>
        <v>105|4</v>
      </c>
      <c r="B9166" s="10" t="str">
        <f>参数调整!$J$39</f>
        <v>新增怪物种类4掉落</v>
      </c>
      <c r="C9166" s="8" t="str">
        <f>材料产出!$BD$2</f>
        <v>防具碎片</v>
      </c>
      <c r="D9166" s="224">
        <f>参数调整!$K$39*怪物掉落配置方案!$D5062</f>
        <v>8.1166972083899548E-4</v>
      </c>
    </row>
    <row r="9167" spans="1:4" ht="16.5" hidden="1" x14ac:dyDescent="0.3">
      <c r="A9167" s="10" t="str">
        <f>基本属性!$B$15&amp;"|"&amp;基本属性!$C$15</f>
        <v>110|5</v>
      </c>
      <c r="B9167" s="10" t="str">
        <f>参数调整!$J$39</f>
        <v>新增怪物种类4掉落</v>
      </c>
      <c r="C9167" s="8" t="str">
        <f>材料产出!$BD$2</f>
        <v>防具碎片</v>
      </c>
      <c r="D9167" s="224">
        <f>参数调整!$K$39*怪物掉落配置方案!$D5063</f>
        <v>9.8212036221518467E-4</v>
      </c>
    </row>
    <row r="9168" spans="1:4" ht="16.5" hidden="1" x14ac:dyDescent="0.3">
      <c r="A9168" s="10" t="str">
        <f>基本属性!$B$16&amp;"|"&amp;基本属性!$C$16</f>
        <v>120|6</v>
      </c>
      <c r="B9168" s="10" t="str">
        <f>参数调整!$J$39</f>
        <v>新增怪物种类4掉落</v>
      </c>
      <c r="C9168" s="8" t="str">
        <f>材料产出!$BD$2</f>
        <v>防具碎片</v>
      </c>
      <c r="D9168" s="224">
        <f>参数调整!$K$39*怪物掉落配置方案!$D5064</f>
        <v>1.2682339388109306E-3</v>
      </c>
    </row>
    <row r="9169" spans="1:4" ht="16.5" hidden="1" x14ac:dyDescent="0.3">
      <c r="A9169" s="10" t="str">
        <f>基本属性!$B$17&amp;"|"&amp;基本属性!$C$17</f>
        <v>135|7</v>
      </c>
      <c r="B9169" s="10" t="str">
        <f>参数调整!$J$39</f>
        <v>新增怪物种类4掉落</v>
      </c>
      <c r="C9169" s="8" t="str">
        <f>材料产出!$BD$2</f>
        <v>防具碎片</v>
      </c>
      <c r="D9169" s="224">
        <f>参数调整!$K$39*怪物掉落配置方案!$D5065</f>
        <v>1.8262568718877396E-3</v>
      </c>
    </row>
    <row r="9170" spans="1:4" ht="16.5" hidden="1" x14ac:dyDescent="0.3">
      <c r="A9170" s="10" t="str">
        <f>基本属性!$B$18&amp;"|"&amp;基本属性!$C$18</f>
        <v>155|8</v>
      </c>
      <c r="B9170" s="10" t="str">
        <f>参数调整!$J$39</f>
        <v>新增怪物种类4掉落</v>
      </c>
      <c r="C9170" s="8" t="str">
        <f>材料产出!$BD$2</f>
        <v>防具碎片</v>
      </c>
      <c r="D9170" s="224">
        <f>参数调整!$K$39*怪物掉落配置方案!$D5066</f>
        <v>2.4857385200694236E-3</v>
      </c>
    </row>
    <row r="9171" spans="1:4" ht="16.5" hidden="1" x14ac:dyDescent="0.3">
      <c r="A9171" s="10" t="str">
        <f>基本属性!$B$19&amp;"|"&amp;基本属性!$C$19</f>
        <v>190|9</v>
      </c>
      <c r="B9171" s="10" t="str">
        <f>参数调整!$J$39</f>
        <v>新增怪物种类4掉落</v>
      </c>
      <c r="C9171" s="8" t="str">
        <f>材料产出!$BD$2</f>
        <v>防具碎片</v>
      </c>
      <c r="D9171" s="224">
        <f>参数调整!$K$39*怪物掉落配置方案!$D5067</f>
        <v>2.7779396195714619E-3</v>
      </c>
    </row>
    <row r="9172" spans="1:4" ht="16.5" hidden="1" x14ac:dyDescent="0.3">
      <c r="A9172" s="10" t="str">
        <f>基本属性!$B$20&amp;"|"&amp;基本属性!$C$20</f>
        <v>200|10</v>
      </c>
      <c r="B9172" s="10" t="str">
        <f>参数调整!$J$39</f>
        <v>新增怪物种类4掉落</v>
      </c>
      <c r="C9172" s="8" t="str">
        <f>材料产出!$BD$2</f>
        <v>防具碎片</v>
      </c>
      <c r="D9172" s="224">
        <f>参数调整!$K$39*怪物掉落配置方案!$D5068</f>
        <v>3.2466788833559819E-3</v>
      </c>
    </row>
    <row r="9173" spans="1:4" ht="16.5" hidden="1" x14ac:dyDescent="0.3">
      <c r="A9173" s="10" t="str">
        <f>基本属性!$B$21&amp;"|"&amp;基本属性!$C$21</f>
        <v>200|11</v>
      </c>
      <c r="B9173" s="10" t="str">
        <f>参数调整!$J$39</f>
        <v>新增怪物种类4掉落</v>
      </c>
      <c r="C9173" s="8" t="str">
        <f>材料产出!$BD$2</f>
        <v>防具碎片</v>
      </c>
      <c r="D9173" s="224">
        <f>参数调整!$K$39*怪物掉落配置方案!$D5069</f>
        <v>3.7519432845782553E-3</v>
      </c>
    </row>
    <row r="9174" spans="1:4" ht="16.5" hidden="1" x14ac:dyDescent="0.3">
      <c r="A9174" s="10" t="str">
        <f>基本属性!$B$22&amp;"|"&amp;基本属性!$C$22</f>
        <v>210|12</v>
      </c>
      <c r="B9174" s="10" t="str">
        <f>参数调整!$J$39</f>
        <v>新增怪物种类4掉落</v>
      </c>
      <c r="C9174" s="8" t="str">
        <f>材料产出!$BD$2</f>
        <v>防具碎片</v>
      </c>
      <c r="D9174" s="224">
        <f>参数调整!$K$39*怪物掉落配置方案!$D5070</f>
        <v>4.2937328232382846E-3</v>
      </c>
    </row>
    <row r="9175" spans="1:4" ht="16.5" hidden="1" x14ac:dyDescent="0.3">
      <c r="A9175" s="10" t="str">
        <f>基本属性!$B$23&amp;"|"&amp;基本属性!$C$23</f>
        <v>210|13</v>
      </c>
      <c r="B9175" s="10" t="str">
        <f>参数调整!$J$39</f>
        <v>新增怪物种类4掉落</v>
      </c>
      <c r="C9175" s="8" t="str">
        <f>材料产出!$BD$2</f>
        <v>防具碎片</v>
      </c>
      <c r="D9175" s="224">
        <f>参数调整!$K$39*怪物掉落配置方案!$D5071</f>
        <v>4.8720474993360708E-3</v>
      </c>
    </row>
    <row r="9176" spans="1:4" ht="16.5" hidden="1" x14ac:dyDescent="0.3">
      <c r="A9176" s="10" t="str">
        <f>基本属性!$B$24&amp;"|"&amp;基本属性!$C$24</f>
        <v>220|14</v>
      </c>
      <c r="B9176" s="10" t="str">
        <f>参数调整!$J$39</f>
        <v>新增怪物种类4掉落</v>
      </c>
      <c r="C9176" s="8" t="str">
        <f>材料产出!$BD$2</f>
        <v>防具碎片</v>
      </c>
      <c r="D9176" s="224">
        <f>参数调整!$K$39*怪物掉落配置方案!$D5072</f>
        <v>5.486887312871609E-3</v>
      </c>
    </row>
    <row r="9177" spans="1:4" ht="16.5" hidden="1" x14ac:dyDescent="0.3">
      <c r="A9177" s="10" t="str">
        <f>基本属性!$B$25&amp;"|"&amp;基本属性!$C$25</f>
        <v>220|15</v>
      </c>
      <c r="B9177" s="10" t="str">
        <f>参数调整!$J$39</f>
        <v>新增怪物种类4掉落</v>
      </c>
      <c r="C9177" s="8" t="str">
        <f>材料产出!$BD$2</f>
        <v>防具碎片</v>
      </c>
      <c r="D9177" s="224">
        <f>参数调整!$K$39*怪物掉落配置方案!$D5073</f>
        <v>6.1382522638449011E-3</v>
      </c>
    </row>
    <row r="9178" spans="1:4" ht="16.5" hidden="1" x14ac:dyDescent="0.3">
      <c r="A9178" s="10" t="str">
        <f>基本属性!$B$26&amp;"|"&amp;基本属性!$C$26</f>
        <v>230|16</v>
      </c>
      <c r="B9178" s="10" t="str">
        <f>参数调整!$J$39</f>
        <v>新增怪物种类4掉落</v>
      </c>
      <c r="C9178" s="8" t="str">
        <f>材料产出!$BD$2</f>
        <v>防具碎片</v>
      </c>
      <c r="D9178" s="224">
        <f>参数调整!$K$39*怪物掉落配置方案!$D5074</f>
        <v>6.8261423522559504E-3</v>
      </c>
    </row>
    <row r="9179" spans="1:4" ht="16.5" hidden="1" x14ac:dyDescent="0.3">
      <c r="A9179" s="10" t="str">
        <f>基本属性!$B$27&amp;"|"&amp;基本属性!$C$27</f>
        <v>230|17</v>
      </c>
      <c r="B9179" s="10" t="str">
        <f>参数调整!$J$39</f>
        <v>新增怪物种类4掉落</v>
      </c>
      <c r="C9179" s="8" t="str">
        <f>材料产出!$BD$2</f>
        <v>防具碎片</v>
      </c>
      <c r="D9179" s="224">
        <f>参数调整!$K$39*怪物掉落配置方案!$D5075</f>
        <v>7.5505575781047536E-3</v>
      </c>
    </row>
    <row r="9180" spans="1:4" ht="16.5" hidden="1" x14ac:dyDescent="0.3">
      <c r="A9180" s="10" t="str">
        <f>基本属性!$B$28&amp;"|"&amp;基本属性!$C$28</f>
        <v>240|18</v>
      </c>
      <c r="B9180" s="10" t="str">
        <f>参数调整!$J$39</f>
        <v>新增怪物种类4掉落</v>
      </c>
      <c r="C9180" s="8" t="str">
        <f>材料产出!$BD$2</f>
        <v>防具碎片</v>
      </c>
      <c r="D9180" s="224">
        <f>参数调整!$K$39*怪物掉落配置方案!$D5076</f>
        <v>8.3114979413913131E-3</v>
      </c>
    </row>
    <row r="9181" spans="1:4" ht="16.5" hidden="1" x14ac:dyDescent="0.3">
      <c r="A9181" s="10" t="str">
        <f>基本属性!$B$29&amp;"|"&amp;基本属性!$C$29</f>
        <v>240|19</v>
      </c>
      <c r="B9181" s="10" t="str">
        <f>参数调整!$J$39</f>
        <v>新增怪物种类4掉落</v>
      </c>
      <c r="C9181" s="8" t="str">
        <f>材料产出!$BD$2</f>
        <v>防具碎片</v>
      </c>
      <c r="D9181" s="224">
        <f>参数调整!$K$39*怪物掉落配置方案!$D5077</f>
        <v>9.1089634421156265E-3</v>
      </c>
    </row>
    <row r="9182" spans="1:4" ht="16.5" hidden="1" x14ac:dyDescent="0.3">
      <c r="A9182" s="10" t="str">
        <f>基本属性!$B$30&amp;"|"&amp;基本属性!$C$30</f>
        <v>250|20</v>
      </c>
      <c r="B9182" s="10" t="str">
        <f>参数调整!$J$39</f>
        <v>新增怪物种类4掉落</v>
      </c>
      <c r="C9182" s="8" t="str">
        <f>材料产出!$BD$2</f>
        <v>防具碎片</v>
      </c>
      <c r="D9182" s="224">
        <f>参数调整!$K$39*怪物掉落配置方案!$D5078</f>
        <v>9.9429540802776911E-3</v>
      </c>
    </row>
    <row r="9183" spans="1:4" ht="16.5" hidden="1" x14ac:dyDescent="0.3">
      <c r="A9183" s="10" t="str">
        <f>基本属性!$B$4&amp;"|"&amp;基本属性!$C$4</f>
        <v>35|0</v>
      </c>
      <c r="B9183" s="10" t="str">
        <f>参数调整!$J$39</f>
        <v>新增怪物种类4掉落</v>
      </c>
      <c r="C9183" s="8" t="str">
        <f>材料产出!$AD$2</f>
        <v>凡品升星石</v>
      </c>
      <c r="D9183" s="224">
        <f>参数调整!$K$39*怪物掉落配置方案!$D5079</f>
        <v>1.8146017047248237E-2</v>
      </c>
    </row>
    <row r="9184" spans="1:4" ht="16.5" hidden="1" x14ac:dyDescent="0.3">
      <c r="A9184" s="10" t="str">
        <f>基本属性!$B$5&amp;"|"&amp;基本属性!$C$5</f>
        <v>40|0</v>
      </c>
      <c r="B9184" s="10" t="str">
        <f>参数调整!$J$39</f>
        <v>新增怪物种类4掉落</v>
      </c>
      <c r="C9184" s="8" t="str">
        <f>材料产出!$AD$2</f>
        <v>凡品升星石</v>
      </c>
      <c r="D9184" s="224">
        <f>参数调整!$K$39*怪物掉落配置方案!$D5080</f>
        <v>2.2966052825423557E-2</v>
      </c>
    </row>
    <row r="9185" spans="1:4" ht="16.5" hidden="1" x14ac:dyDescent="0.3">
      <c r="A9185" s="10" t="str">
        <f>基本属性!$B$6&amp;"|"&amp;基本属性!$C$6</f>
        <v>50|0</v>
      </c>
      <c r="B9185" s="10" t="str">
        <f>参数调整!$J$39</f>
        <v>新增怪物种类4掉落</v>
      </c>
      <c r="C9185" s="8" t="str">
        <f>材料产出!$AD$2</f>
        <v>凡品升星石</v>
      </c>
      <c r="D9185" s="224">
        <f>参数调整!$K$39*怪物掉落配置方案!$D5081</f>
        <v>2.8353151636325374E-2</v>
      </c>
    </row>
    <row r="9186" spans="1:4" ht="16.5" hidden="1" x14ac:dyDescent="0.3">
      <c r="A9186" s="10" t="str">
        <f>基本属性!$B$7&amp;"|"&amp;基本属性!$C$7</f>
        <v>60|0</v>
      </c>
      <c r="B9186" s="10" t="str">
        <f>参数调整!$J$39</f>
        <v>新增怪物种类4掉落</v>
      </c>
      <c r="C9186" s="8" t="str">
        <f>材料产出!$AD$2</f>
        <v>凡品升星石</v>
      </c>
      <c r="D9186" s="224">
        <f>参数调整!$K$39*怪物掉落配置方案!$D5082</f>
        <v>3.4307313479953701E-2</v>
      </c>
    </row>
    <row r="9187" spans="1:4" ht="16.5" hidden="1" x14ac:dyDescent="0.3">
      <c r="A9187" s="10" t="str">
        <f>基本属性!$B$8&amp;"|"&amp;基本属性!$C$8</f>
        <v>65|0</v>
      </c>
      <c r="B9187" s="10" t="str">
        <f>参数调整!$J$39</f>
        <v>新增怪物种类4掉落</v>
      </c>
      <c r="C9187" s="8" t="str">
        <f>材料产出!$AD$2</f>
        <v>凡品升星石</v>
      </c>
      <c r="D9187" s="224">
        <f>参数调整!$K$39*怪物掉落配置方案!$D5083</f>
        <v>4.0828538356308536E-2</v>
      </c>
    </row>
    <row r="9188" spans="1:4" ht="16.5" hidden="1" x14ac:dyDescent="0.3">
      <c r="A9188" s="10" t="str">
        <f>基本属性!$B$9&amp;"|"&amp;基本属性!$C$9</f>
        <v>70|0</v>
      </c>
      <c r="B9188" s="10" t="str">
        <f>参数调整!$J$39</f>
        <v>新增怪物种类4掉落</v>
      </c>
      <c r="C9188" s="8" t="str">
        <f>材料产出!$AD$2</f>
        <v>凡品升星石</v>
      </c>
      <c r="D9188" s="224">
        <f>参数调整!$K$39*怪物掉落配置方案!$D5084</f>
        <v>4.7916826265389879E-2</v>
      </c>
    </row>
    <row r="9189" spans="1:4" ht="16.5" hidden="1" x14ac:dyDescent="0.3">
      <c r="A9189" s="10" t="str">
        <f>基本属性!$B$10&amp;"|"&amp;基本属性!$C$10</f>
        <v>75|0</v>
      </c>
      <c r="B9189" s="10" t="str">
        <f>参数调整!$J$39</f>
        <v>新增怪物种类4掉落</v>
      </c>
      <c r="C9189" s="8" t="str">
        <f>材料产出!$AD$2</f>
        <v>凡品升星石</v>
      </c>
      <c r="D9189" s="224">
        <f>参数调整!$K$39*怪物掉落配置方案!$D5085</f>
        <v>5.5572177207197725E-2</v>
      </c>
    </row>
    <row r="9190" spans="1:4" ht="16.5" hidden="1" x14ac:dyDescent="0.3">
      <c r="A9190" s="10" t="str">
        <f>基本属性!$B$11&amp;"|"&amp;基本属性!$C$11</f>
        <v>80|1</v>
      </c>
      <c r="B9190" s="10" t="str">
        <f>参数调整!$J$39</f>
        <v>新增怪物种类4掉落</v>
      </c>
      <c r="C9190" s="8" t="str">
        <f>材料产出!$AD$2</f>
        <v>凡品升星石</v>
      </c>
      <c r="D9190" s="224">
        <f>参数调整!$K$39*怪物掉落配置方案!$D5086</f>
        <v>6.3794591181732085E-2</v>
      </c>
    </row>
    <row r="9191" spans="1:4" ht="16.5" hidden="1" x14ac:dyDescent="0.3">
      <c r="A9191" s="10" t="str">
        <f>基本属性!$B$12&amp;"|"&amp;基本属性!$C$12</f>
        <v>90|2</v>
      </c>
      <c r="B9191" s="10" t="str">
        <f>参数调整!$J$39</f>
        <v>新增怪物种类4掉落</v>
      </c>
      <c r="C9191" s="8" t="str">
        <f>材料产出!$AD$2</f>
        <v>凡品升星石</v>
      </c>
      <c r="D9191" s="224">
        <f>参数调整!$K$39*怪物掉落配置方案!$D5087</f>
        <v>7.2584068188992976E-2</v>
      </c>
    </row>
    <row r="9192" spans="1:4" ht="16.5" hidden="1" x14ac:dyDescent="0.3">
      <c r="A9192" s="10" t="str">
        <f>基本属性!$B$13&amp;"|"&amp;基本属性!$C$13</f>
        <v>100|3</v>
      </c>
      <c r="B9192" s="10" t="str">
        <f>参数调整!$J$39</f>
        <v>新增怪物种类4掉落</v>
      </c>
      <c r="C9192" s="8" t="str">
        <f>材料产出!$AD$2</f>
        <v>凡品升星石</v>
      </c>
      <c r="D9192" s="224">
        <f>参数调整!$K$39*怪物掉落配置方案!$D5088</f>
        <v>9.1864211301694226E-2</v>
      </c>
    </row>
    <row r="9193" spans="1:4" ht="16.5" hidden="1" x14ac:dyDescent="0.3">
      <c r="A9193" s="10" t="str">
        <f>基本属性!$B$14&amp;"|"&amp;基本属性!$C$14</f>
        <v>105|4</v>
      </c>
      <c r="B9193" s="10" t="str">
        <f>参数调整!$J$39</f>
        <v>新增怪物种类4掉落</v>
      </c>
      <c r="C9193" s="8" t="str">
        <f>材料产出!$AD$2</f>
        <v>凡品升星石</v>
      </c>
      <c r="D9193" s="224">
        <f>参数调整!$K$39*怪物掉落配置方案!$D5089</f>
        <v>0.11341260654530148</v>
      </c>
    </row>
    <row r="9194" spans="1:4" ht="16.5" hidden="1" x14ac:dyDescent="0.3">
      <c r="A9194" s="10" t="str">
        <f>基本属性!$B$15&amp;"|"&amp;基本属性!$C$15</f>
        <v>110|5</v>
      </c>
      <c r="B9194" s="10" t="str">
        <f>参数调整!$J$39</f>
        <v>新增怪物种类4掉落</v>
      </c>
      <c r="C9194" s="8" t="str">
        <f>材料产出!$AD$2</f>
        <v>凡品升星石</v>
      </c>
      <c r="D9194" s="224">
        <f>参数调整!$K$39*怪物掉落配置方案!$D5090</f>
        <v>0.1372292539198148</v>
      </c>
    </row>
    <row r="9195" spans="1:4" ht="16.5" hidden="1" x14ac:dyDescent="0.3">
      <c r="A9195" s="10" t="str">
        <f>基本属性!$B$16&amp;"|"&amp;基本属性!$C$16</f>
        <v>120|6</v>
      </c>
      <c r="B9195" s="10" t="str">
        <f>参数调整!$J$39</f>
        <v>新增怪物种类4掉落</v>
      </c>
      <c r="C9195" s="8" t="str">
        <f>材料产出!$AD$2</f>
        <v>凡品升星石</v>
      </c>
      <c r="D9195" s="224">
        <f>参数调整!$K$39*怪物掉落配置方案!$D5091</f>
        <v>0.17720719772703358</v>
      </c>
    </row>
    <row r="9196" spans="1:4" ht="16.5" hidden="1" x14ac:dyDescent="0.3">
      <c r="A9196" s="10" t="str">
        <f>基本属性!$B$17&amp;"|"&amp;基本属性!$C$17</f>
        <v>135|7</v>
      </c>
      <c r="B9196" s="10" t="str">
        <f>参数调整!$J$39</f>
        <v>新增怪物种类4掉落</v>
      </c>
      <c r="C9196" s="8" t="str">
        <f>材料产出!$AD$2</f>
        <v>凡品升星石</v>
      </c>
      <c r="D9196" s="224">
        <f>参数调整!$K$39*怪物掉落配置方案!$D5092</f>
        <v>0.25517836472692834</v>
      </c>
    </row>
    <row r="9197" spans="1:4" ht="16.5" hidden="1" x14ac:dyDescent="0.3">
      <c r="A9197" s="10" t="str">
        <f>基本属性!$B$18&amp;"|"&amp;基本属性!$C$18</f>
        <v>155|8</v>
      </c>
      <c r="B9197" s="10" t="str">
        <f>参数调整!$J$39</f>
        <v>新增怪物种类4掉落</v>
      </c>
      <c r="C9197" s="8" t="str">
        <f>材料产出!$AD$2</f>
        <v>凡品升星石</v>
      </c>
      <c r="D9197" s="224">
        <f>参数调整!$K$39*怪物掉落配置方案!$D5093</f>
        <v>0.34732610754498588</v>
      </c>
    </row>
    <row r="9198" spans="1:4" ht="16.5" hidden="1" x14ac:dyDescent="0.3">
      <c r="A9198" s="10" t="str">
        <f>基本属性!$B$19&amp;"|"&amp;基本属性!$C$19</f>
        <v>190|9</v>
      </c>
      <c r="B9198" s="10" t="str">
        <f>参数调整!$J$39</f>
        <v>新增怪物种类4掉落</v>
      </c>
      <c r="C9198" s="8" t="str">
        <f>材料产出!$AD$2</f>
        <v>凡品升星石</v>
      </c>
      <c r="D9198" s="224">
        <f>参数调整!$K$39*怪物掉落配置方案!$D5094</f>
        <v>0.38815464590129445</v>
      </c>
    </row>
    <row r="9199" spans="1:4" ht="16.5" hidden="1" x14ac:dyDescent="0.3">
      <c r="A9199" s="10" t="str">
        <f>基本属性!$B$20&amp;"|"&amp;基本属性!$C$20</f>
        <v>200|10</v>
      </c>
      <c r="B9199" s="10" t="str">
        <f>参数调整!$J$39</f>
        <v>新增怪物种类4掉落</v>
      </c>
      <c r="C9199" s="8" t="str">
        <f>材料产出!$AD$2</f>
        <v>凡品升星石</v>
      </c>
      <c r="D9199" s="224">
        <f>参数调整!$K$39*怪物掉落配置方案!$D5095</f>
        <v>0.45365042618120593</v>
      </c>
    </row>
    <row r="9200" spans="1:4" ht="16.5" hidden="1" x14ac:dyDescent="0.3">
      <c r="A9200" s="10" t="str">
        <f>基本属性!$B$21&amp;"|"&amp;基本属性!$C$21</f>
        <v>200|11</v>
      </c>
      <c r="B9200" s="10" t="str">
        <f>参数调整!$J$39</f>
        <v>新增怪物种类4掉落</v>
      </c>
      <c r="C9200" s="8" t="str">
        <f>材料产出!$AD$2</f>
        <v>凡品升星石</v>
      </c>
      <c r="D9200" s="224">
        <f>参数调整!$K$39*怪物掉落配置方案!$D5096</f>
        <v>0.52424977375565607</v>
      </c>
    </row>
    <row r="9201" spans="1:4" ht="16.5" hidden="1" x14ac:dyDescent="0.3">
      <c r="A9201" s="10" t="str">
        <f>基本属性!$B$22&amp;"|"&amp;基本属性!$C$22</f>
        <v>210|12</v>
      </c>
      <c r="B9201" s="10" t="str">
        <f>参数调整!$J$39</f>
        <v>新增怪物种类4掉落</v>
      </c>
      <c r="C9201" s="8" t="str">
        <f>材料产出!$AD$2</f>
        <v>凡品升星石</v>
      </c>
      <c r="D9201" s="224">
        <f>参数调整!$K$39*怪物掉落配置方案!$D5097</f>
        <v>0.59995268862464479</v>
      </c>
    </row>
    <row r="9202" spans="1:4" ht="16.5" hidden="1" x14ac:dyDescent="0.3">
      <c r="A9202" s="10" t="str">
        <f>基本属性!$B$23&amp;"|"&amp;基本属性!$C$23</f>
        <v>210|13</v>
      </c>
      <c r="B9202" s="10" t="str">
        <f>参数调整!$J$39</f>
        <v>新增怪物种类4掉落</v>
      </c>
      <c r="C9202" s="8" t="str">
        <f>材料产出!$AD$2</f>
        <v>凡品升星石</v>
      </c>
      <c r="D9202" s="224">
        <f>参数调整!$K$39*怪物掉落配置方案!$D5098</f>
        <v>0.68075917078817216</v>
      </c>
    </row>
    <row r="9203" spans="1:4" ht="16.5" hidden="1" x14ac:dyDescent="0.3">
      <c r="A9203" s="10" t="str">
        <f>基本属性!$B$24&amp;"|"&amp;基本属性!$C$24</f>
        <v>220|14</v>
      </c>
      <c r="B9203" s="10" t="str">
        <f>参数调整!$J$39</f>
        <v>新增怪物种类4掉落</v>
      </c>
      <c r="C9203" s="8" t="str">
        <f>材料产出!$AD$2</f>
        <v>凡品升星石</v>
      </c>
      <c r="D9203" s="224">
        <f>参数调整!$K$39*怪物掉落配置方案!$D5099</f>
        <v>0.76666922024623818</v>
      </c>
    </row>
    <row r="9204" spans="1:4" ht="16.5" hidden="1" x14ac:dyDescent="0.3">
      <c r="A9204" s="10" t="str">
        <f>基本属性!$B$25&amp;"|"&amp;基本属性!$C$25</f>
        <v>220|15</v>
      </c>
      <c r="B9204" s="10" t="str">
        <f>参数调整!$J$39</f>
        <v>新增怪物种类4掉落</v>
      </c>
      <c r="C9204" s="8" t="str">
        <f>材料产出!$AD$2</f>
        <v>凡品升星石</v>
      </c>
      <c r="D9204" s="224">
        <f>参数调整!$K$39*怪物掉落配置方案!$D5100</f>
        <v>0.85768283699884229</v>
      </c>
    </row>
    <row r="9205" spans="1:4" ht="16.5" hidden="1" x14ac:dyDescent="0.3">
      <c r="A9205" s="10" t="str">
        <f>基本属性!$B$26&amp;"|"&amp;基本属性!$C$26</f>
        <v>230|16</v>
      </c>
      <c r="B9205" s="10" t="str">
        <f>参数调整!$J$39</f>
        <v>新增怪物种类4掉落</v>
      </c>
      <c r="C9205" s="8" t="str">
        <f>材料产出!$AD$2</f>
        <v>凡品升星石</v>
      </c>
      <c r="D9205" s="224">
        <f>参数调整!$K$39*怪物掉落配置方案!$D5101</f>
        <v>0.95380002104598549</v>
      </c>
    </row>
    <row r="9206" spans="1:4" ht="16.5" hidden="1" x14ac:dyDescent="0.3">
      <c r="A9206" s="10" t="str">
        <f>基本属性!$B$27&amp;"|"&amp;基本属性!$C$27</f>
        <v>230|17</v>
      </c>
      <c r="B9206" s="10" t="str">
        <f>参数调整!$J$39</f>
        <v>新增怪物种类4掉落</v>
      </c>
      <c r="C9206" s="8" t="str">
        <f>材料产出!$AD$2</f>
        <v>凡品升星石</v>
      </c>
      <c r="D9206" s="224">
        <f>参数调整!$K$39*怪物掉落配置方案!$D5102</f>
        <v>1.055020772387667</v>
      </c>
    </row>
    <row r="9207" spans="1:4" ht="16.5" hidden="1" x14ac:dyDescent="0.3">
      <c r="A9207" s="10" t="str">
        <f>基本属性!$B$28&amp;"|"&amp;基本属性!$C$28</f>
        <v>240|18</v>
      </c>
      <c r="B9207" s="10" t="str">
        <f>参数调整!$J$39</f>
        <v>新增怪物种类4掉落</v>
      </c>
      <c r="C9207" s="8" t="str">
        <f>材料产出!$AD$2</f>
        <v>凡品升星石</v>
      </c>
      <c r="D9207" s="224">
        <f>参数调整!$K$39*怪物掉落配置方案!$D5103</f>
        <v>1.1613450910238874</v>
      </c>
    </row>
    <row r="9208" spans="1:4" ht="16.5" hidden="1" x14ac:dyDescent="0.3">
      <c r="A9208" s="10" t="str">
        <f>基本属性!$B$29&amp;"|"&amp;基本属性!$C$29</f>
        <v>240|19</v>
      </c>
      <c r="B9208" s="10" t="str">
        <f>参数调整!$J$39</f>
        <v>新增怪物种类4掉落</v>
      </c>
      <c r="C9208" s="8" t="str">
        <f>材料产出!$AD$2</f>
        <v>凡品升星石</v>
      </c>
      <c r="D9208" s="224">
        <f>参数调整!$K$39*怪物掉落配置方案!$D5104</f>
        <v>1.2727729769546461</v>
      </c>
    </row>
    <row r="9209" spans="1:4" ht="16.5" hidden="1" x14ac:dyDescent="0.3">
      <c r="A9209" s="10" t="str">
        <f>基本属性!$B$30&amp;"|"&amp;基本属性!$C$30</f>
        <v>250|20</v>
      </c>
      <c r="B9209" s="10" t="str">
        <f>参数调整!$J$39</f>
        <v>新增怪物种类4掉落</v>
      </c>
      <c r="C9209" s="8" t="str">
        <f>材料产出!$AD$2</f>
        <v>凡品升星石</v>
      </c>
      <c r="D9209" s="224">
        <f>参数调整!$K$39*怪物掉落配置方案!$D5105</f>
        <v>1.3893044301799431</v>
      </c>
    </row>
    <row r="9210" spans="1:4" ht="16.5" hidden="1" x14ac:dyDescent="0.3">
      <c r="A9210" s="10" t="str">
        <f>基本属性!$B$4&amp;"|"&amp;基本属性!$C$4</f>
        <v>35|0</v>
      </c>
      <c r="B9210" s="10" t="str">
        <f>参数调整!$J$39</f>
        <v>新增怪物种类4掉落</v>
      </c>
      <c r="C9210" s="8" t="str">
        <f>材料产出!$Z$2</f>
        <v>恶魔头颅</v>
      </c>
      <c r="D9210" s="224">
        <f>参数调整!$K$39*怪物掉落配置方案!$D5106</f>
        <v>2.3629737585192999E-3</v>
      </c>
    </row>
    <row r="9211" spans="1:4" ht="16.5" hidden="1" x14ac:dyDescent="0.3">
      <c r="A9211" s="10" t="str">
        <f>基本属性!$B$5&amp;"|"&amp;基本属性!$C$5</f>
        <v>40|0</v>
      </c>
      <c r="B9211" s="10" t="str">
        <f>参数调整!$J$39</f>
        <v>新增怪物种类4掉落</v>
      </c>
      <c r="C9211" s="8" t="str">
        <f>材料产出!$Z$2</f>
        <v>恶魔头颅</v>
      </c>
      <c r="D9211" s="224">
        <f>参数调整!$K$39*怪物掉落配置方案!$D5107</f>
        <v>2.9906386631259889E-3</v>
      </c>
    </row>
    <row r="9212" spans="1:4" ht="16.5" hidden="1" x14ac:dyDescent="0.3">
      <c r="A9212" s="10" t="str">
        <f>基本属性!$B$6&amp;"|"&amp;基本属性!$C$6</f>
        <v>50|0</v>
      </c>
      <c r="B9212" s="10" t="str">
        <f>参数调整!$J$39</f>
        <v>新增怪物种类4掉落</v>
      </c>
      <c r="C9212" s="8" t="str">
        <f>材料产出!$Z$2</f>
        <v>恶魔头颅</v>
      </c>
      <c r="D9212" s="224">
        <f>参数调整!$K$39*怪物掉落配置方案!$D5108</f>
        <v>3.6921464976864059E-3</v>
      </c>
    </row>
    <row r="9213" spans="1:4" ht="16.5" hidden="1" x14ac:dyDescent="0.3">
      <c r="A9213" s="10" t="str">
        <f>基本属性!$B$7&amp;"|"&amp;基本属性!$C$7</f>
        <v>60|0</v>
      </c>
      <c r="B9213" s="10" t="str">
        <f>参数调整!$J$39</f>
        <v>新增怪物种类4掉落</v>
      </c>
      <c r="C9213" s="8" t="str">
        <f>材料产出!$Z$2</f>
        <v>恶魔头颅</v>
      </c>
      <c r="D9213" s="224">
        <f>参数调整!$K$39*怪物掉落配置方案!$D5109</f>
        <v>4.467497262200552E-3</v>
      </c>
    </row>
    <row r="9214" spans="1:4" ht="16.5" hidden="1" x14ac:dyDescent="0.3">
      <c r="A9214" s="10" t="str">
        <f>基本属性!$B$8&amp;"|"&amp;基本属性!$C$8</f>
        <v>65|0</v>
      </c>
      <c r="B9214" s="10" t="str">
        <f>参数调整!$J$39</f>
        <v>新增怪物种类4掉落</v>
      </c>
      <c r="C9214" s="8" t="str">
        <f>材料产出!$Z$2</f>
        <v>恶魔头颅</v>
      </c>
      <c r="D9214" s="224">
        <f>参数调整!$K$39*怪物掉落配置方案!$D5110</f>
        <v>5.3166909566684248E-3</v>
      </c>
    </row>
    <row r="9215" spans="1:4" ht="16.5" hidden="1" x14ac:dyDescent="0.3">
      <c r="A9215" s="10" t="str">
        <f>基本属性!$B$9&amp;"|"&amp;基本属性!$C$9</f>
        <v>70|0</v>
      </c>
      <c r="B9215" s="10" t="str">
        <f>参数调整!$J$39</f>
        <v>新增怪物种类4掉落</v>
      </c>
      <c r="C9215" s="8" t="str">
        <f>材料产出!$Z$2</f>
        <v>恶魔头颅</v>
      </c>
      <c r="D9215" s="224">
        <f>参数调整!$K$39*怪物掉落配置方案!$D5111</f>
        <v>6.2397275810900264E-3</v>
      </c>
    </row>
    <row r="9216" spans="1:4" ht="16.5" hidden="1" x14ac:dyDescent="0.3">
      <c r="A9216" s="10" t="str">
        <f>基本属性!$B$10&amp;"|"&amp;基本属性!$C$10</f>
        <v>75|0</v>
      </c>
      <c r="B9216" s="10" t="str">
        <f>参数调整!$J$39</f>
        <v>新增怪物种类4掉落</v>
      </c>
      <c r="C9216" s="8" t="str">
        <f>材料产出!$Z$2</f>
        <v>恶魔头颅</v>
      </c>
      <c r="D9216" s="224">
        <f>参数调整!$K$39*怪物掉落配置方案!$D5112</f>
        <v>7.236607135465355E-3</v>
      </c>
    </row>
    <row r="9217" spans="1:4" ht="16.5" hidden="1" x14ac:dyDescent="0.3">
      <c r="A9217" s="10" t="str">
        <f>基本属性!$B$11&amp;"|"&amp;基本属性!$C$11</f>
        <v>80|1</v>
      </c>
      <c r="B9217" s="10" t="str">
        <f>参数调整!$J$39</f>
        <v>新增怪物种类4掉落</v>
      </c>
      <c r="C9217" s="8" t="str">
        <f>材料产出!$Z$2</f>
        <v>恶魔头颅</v>
      </c>
      <c r="D9217" s="224">
        <f>参数调整!$K$39*怪物掉落配置方案!$D5113</f>
        <v>8.3073296197944142E-3</v>
      </c>
    </row>
    <row r="9218" spans="1:4" ht="16.5" hidden="1" x14ac:dyDescent="0.3">
      <c r="A9218" s="10" t="str">
        <f>基本属性!$B$12&amp;"|"&amp;基本属性!$C$12</f>
        <v>90|2</v>
      </c>
      <c r="B9218" s="10" t="str">
        <f>参数调整!$J$39</f>
        <v>新增怪物种类4掉落</v>
      </c>
      <c r="C9218" s="8" t="str">
        <f>材料产出!$Z$2</f>
        <v>恶魔头颅</v>
      </c>
      <c r="D9218" s="224">
        <f>参数调整!$K$39*怪物掉落配置方案!$D5114</f>
        <v>9.4518950340772012E-3</v>
      </c>
    </row>
    <row r="9219" spans="1:4" ht="16.5" hidden="1" x14ac:dyDescent="0.3">
      <c r="A9219" s="10" t="str">
        <f>基本属性!$B$13&amp;"|"&amp;基本属性!$C$13</f>
        <v>100|3</v>
      </c>
      <c r="B9219" s="10" t="str">
        <f>参数调整!$J$39</f>
        <v>新增怪物种类4掉落</v>
      </c>
      <c r="C9219" s="8" t="str">
        <f>材料产出!$Z$2</f>
        <v>恶魔头颅</v>
      </c>
      <c r="D9219" s="224">
        <f>参数调整!$K$39*怪物掉落配置方案!$D5115</f>
        <v>1.1962554652503957E-2</v>
      </c>
    </row>
    <row r="9220" spans="1:4" ht="16.5" hidden="1" x14ac:dyDescent="0.3">
      <c r="A9220" s="10" t="str">
        <f>基本属性!$B$14&amp;"|"&amp;基本属性!$C$14</f>
        <v>105|4</v>
      </c>
      <c r="B9220" s="10" t="str">
        <f>参数调整!$J$39</f>
        <v>新增怪物种类4掉落</v>
      </c>
      <c r="C9220" s="8" t="str">
        <f>材料产出!$Z$2</f>
        <v>恶魔头颅</v>
      </c>
      <c r="D9220" s="224">
        <f>参数调整!$K$39*怪物掉落配置方案!$D5116</f>
        <v>1.4768585990745623E-2</v>
      </c>
    </row>
    <row r="9221" spans="1:4" ht="16.5" hidden="1" x14ac:dyDescent="0.3">
      <c r="A9221" s="10" t="str">
        <f>基本属性!$B$15&amp;"|"&amp;基本属性!$C$15</f>
        <v>110|5</v>
      </c>
      <c r="B9221" s="10" t="str">
        <f>参数调整!$J$39</f>
        <v>新增怪物种类4掉落</v>
      </c>
      <c r="C9221" s="8" t="str">
        <f>材料产出!$Z$2</f>
        <v>恶魔头颅</v>
      </c>
      <c r="D9221" s="224">
        <f>参数调整!$K$39*怪物掉落配置方案!$D5117</f>
        <v>1.7869989048802208E-2</v>
      </c>
    </row>
    <row r="9222" spans="1:4" ht="16.5" hidden="1" x14ac:dyDescent="0.3">
      <c r="A9222" s="10" t="str">
        <f>基本属性!$B$16&amp;"|"&amp;基本属性!$C$16</f>
        <v>120|6</v>
      </c>
      <c r="B9222" s="10" t="str">
        <f>参数调整!$J$39</f>
        <v>新增怪物种类4掉落</v>
      </c>
      <c r="C9222" s="8" t="str">
        <f>材料产出!$Z$2</f>
        <v>恶魔头颅</v>
      </c>
      <c r="D9222" s="224">
        <f>参数调整!$K$39*怪物掉落配置方案!$D5118</f>
        <v>2.3075915610540038E-2</v>
      </c>
    </row>
    <row r="9223" spans="1:4" ht="16.5" hidden="1" x14ac:dyDescent="0.3">
      <c r="A9223" s="10" t="str">
        <f>基本属性!$B$17&amp;"|"&amp;基本属性!$C$17</f>
        <v>135|7</v>
      </c>
      <c r="B9223" s="10" t="str">
        <f>参数调整!$J$39</f>
        <v>新增怪物种类4掉落</v>
      </c>
      <c r="C9223" s="8" t="str">
        <f>材料产出!$Z$2</f>
        <v>恶魔头颅</v>
      </c>
      <c r="D9223" s="224">
        <f>参数调整!$K$39*怪物掉落配置方案!$D5119</f>
        <v>3.3229318479177657E-2</v>
      </c>
    </row>
    <row r="9224" spans="1:4" ht="16.5" hidden="1" x14ac:dyDescent="0.3">
      <c r="A9224" s="10" t="str">
        <f>基本属性!$B$18&amp;"|"&amp;基本属性!$C$18</f>
        <v>155|8</v>
      </c>
      <c r="B9224" s="10" t="str">
        <f>参数调整!$J$39</f>
        <v>新增怪物种类4掉落</v>
      </c>
      <c r="C9224" s="8" t="str">
        <f>材料产出!$Z$2</f>
        <v>恶魔头颅</v>
      </c>
      <c r="D9224" s="224">
        <f>参数调整!$K$39*怪物掉落配置方案!$D5120</f>
        <v>4.5228794596658482E-2</v>
      </c>
    </row>
    <row r="9225" spans="1:4" ht="16.5" hidden="1" x14ac:dyDescent="0.3">
      <c r="A9225" s="10" t="str">
        <f>基本属性!$B$19&amp;"|"&amp;基本属性!$C$19</f>
        <v>190|9</v>
      </c>
      <c r="B9225" s="10" t="str">
        <f>参数调整!$J$39</f>
        <v>新增怪物种类4掉落</v>
      </c>
      <c r="C9225" s="8" t="str">
        <f>材料产出!$Z$2</f>
        <v>恶魔头颅</v>
      </c>
      <c r="D9225" s="224">
        <f>参数调整!$K$39*怪物掉落配置方案!$D5121</f>
        <v>5.0545485553326906E-2</v>
      </c>
    </row>
    <row r="9226" spans="1:4" ht="16.5" hidden="1" x14ac:dyDescent="0.3">
      <c r="A9226" s="10" t="str">
        <f>基本属性!$B$20&amp;"|"&amp;基本属性!$C$20</f>
        <v>200|10</v>
      </c>
      <c r="B9226" s="10" t="str">
        <f>参数调整!$J$39</f>
        <v>新增怪物种类4掉落</v>
      </c>
      <c r="C9226" s="8" t="str">
        <f>材料产出!$Z$2</f>
        <v>恶魔头颅</v>
      </c>
      <c r="D9226" s="224">
        <f>参数调整!$K$39*怪物掉落配置方案!$D5122</f>
        <v>5.9074343962982494E-2</v>
      </c>
    </row>
    <row r="9227" spans="1:4" ht="16.5" hidden="1" x14ac:dyDescent="0.3">
      <c r="A9227" s="10" t="str">
        <f>基本属性!$B$21&amp;"|"&amp;基本属性!$C$21</f>
        <v>200|11</v>
      </c>
      <c r="B9227" s="10" t="str">
        <f>参数调整!$J$39</f>
        <v>新增怪物种类4掉落</v>
      </c>
      <c r="C9227" s="8" t="str">
        <f>材料产出!$Z$2</f>
        <v>恶魔头颅</v>
      </c>
      <c r="D9227" s="224">
        <f>参数调整!$K$39*怪物掉落配置方案!$D5123</f>
        <v>6.8267788742221627E-2</v>
      </c>
    </row>
    <row r="9228" spans="1:4" ht="16.5" hidden="1" x14ac:dyDescent="0.3">
      <c r="A9228" s="10" t="str">
        <f>基本属性!$B$22&amp;"|"&amp;基本属性!$C$22</f>
        <v>210|12</v>
      </c>
      <c r="B9228" s="10" t="str">
        <f>参数调整!$J$39</f>
        <v>新增怪物种类4掉落</v>
      </c>
      <c r="C9228" s="8" t="str">
        <f>材料产出!$Z$2</f>
        <v>恶魔头颅</v>
      </c>
      <c r="D9228" s="224">
        <f>参数调整!$K$39*怪物掉落配置方案!$D5124</f>
        <v>7.8125819891044335E-2</v>
      </c>
    </row>
    <row r="9229" spans="1:4" ht="16.5" hidden="1" x14ac:dyDescent="0.3">
      <c r="A9229" s="10" t="str">
        <f>基本属性!$B$23&amp;"|"&amp;基本属性!$C$23</f>
        <v>210|13</v>
      </c>
      <c r="B9229" s="10" t="str">
        <f>参数调整!$J$39</f>
        <v>新增怪物种类4掉落</v>
      </c>
      <c r="C9229" s="8" t="str">
        <f>材料产出!$Z$2</f>
        <v>恶魔头颅</v>
      </c>
      <c r="D9229" s="224">
        <f>参数调整!$K$39*怪物掉落配置方案!$D5125</f>
        <v>8.8648437409450623E-2</v>
      </c>
    </row>
    <row r="9230" spans="1:4" ht="16.5" hidden="1" x14ac:dyDescent="0.3">
      <c r="A9230" s="10" t="str">
        <f>基本属性!$B$24&amp;"|"&amp;基本属性!$C$24</f>
        <v>220|14</v>
      </c>
      <c r="B9230" s="10" t="str">
        <f>参数调整!$J$39</f>
        <v>新增怪物种类4掉落</v>
      </c>
      <c r="C9230" s="8" t="str">
        <f>材料产出!$Z$2</f>
        <v>恶魔头颅</v>
      </c>
      <c r="D9230" s="224">
        <f>参数调整!$K$39*怪物掉落配置方案!$D5126</f>
        <v>9.9835641297440422E-2</v>
      </c>
    </row>
    <row r="9231" spans="1:4" ht="16.5" hidden="1" x14ac:dyDescent="0.3">
      <c r="A9231" s="10" t="str">
        <f>基本属性!$B$25&amp;"|"&amp;基本属性!$C$25</f>
        <v>220|15</v>
      </c>
      <c r="B9231" s="10" t="str">
        <f>参数调整!$J$39</f>
        <v>新增怪物种类4掉落</v>
      </c>
      <c r="C9231" s="8" t="str">
        <f>材料产出!$Z$2</f>
        <v>恶魔头颅</v>
      </c>
      <c r="D9231" s="224">
        <f>参数调整!$K$39*怪物掉落配置方案!$D5127</f>
        <v>0.11168743155501377</v>
      </c>
    </row>
    <row r="9232" spans="1:4" ht="16.5" hidden="1" x14ac:dyDescent="0.3">
      <c r="A9232" s="10" t="str">
        <f>基本属性!$B$26&amp;"|"&amp;基本属性!$C$26</f>
        <v>230|16</v>
      </c>
      <c r="B9232" s="10" t="str">
        <f>参数调整!$J$39</f>
        <v>新增怪物种类4掉落</v>
      </c>
      <c r="C9232" s="8" t="str">
        <f>材料产出!$Z$2</f>
        <v>恶魔头颅</v>
      </c>
      <c r="D9232" s="224">
        <f>参数调整!$K$39*怪物掉落配置方案!$D5128</f>
        <v>0.12420380818217069</v>
      </c>
    </row>
    <row r="9233" spans="1:4" ht="16.5" hidden="1" x14ac:dyDescent="0.3">
      <c r="A9233" s="10" t="str">
        <f>基本属性!$B$27&amp;"|"&amp;基本属性!$C$27</f>
        <v>230|17</v>
      </c>
      <c r="B9233" s="10" t="str">
        <f>参数调整!$J$39</f>
        <v>新增怪物种类4掉落</v>
      </c>
      <c r="C9233" s="8" t="str">
        <f>材料产出!$Z$2</f>
        <v>恶魔头颅</v>
      </c>
      <c r="D9233" s="224">
        <f>参数调整!$K$39*怪物掉落配置方案!$D5129</f>
        <v>0.13738477117891115</v>
      </c>
    </row>
    <row r="9234" spans="1:4" ht="16.5" hidden="1" x14ac:dyDescent="0.3">
      <c r="A9234" s="10" t="str">
        <f>基本属性!$B$28&amp;"|"&amp;基本属性!$C$28</f>
        <v>240|18</v>
      </c>
      <c r="B9234" s="10" t="str">
        <f>参数调整!$J$39</f>
        <v>新增怪物种类4掉落</v>
      </c>
      <c r="C9234" s="8" t="str">
        <f>材料产出!$Z$2</f>
        <v>恶魔头颅</v>
      </c>
      <c r="D9234" s="224">
        <f>参数调整!$K$39*怪物掉落配置方案!$D5130</f>
        <v>0.15123032054523522</v>
      </c>
    </row>
    <row r="9235" spans="1:4" ht="16.5" hidden="1" x14ac:dyDescent="0.3">
      <c r="A9235" s="10" t="str">
        <f>基本属性!$B$29&amp;"|"&amp;基本属性!$C$29</f>
        <v>240|19</v>
      </c>
      <c r="B9235" s="10" t="str">
        <f>参数调整!$J$39</f>
        <v>新增怪物种类4掉落</v>
      </c>
      <c r="C9235" s="8" t="str">
        <f>材料产出!$Z$2</f>
        <v>恶魔头颅</v>
      </c>
      <c r="D9235" s="224">
        <f>参数调整!$K$39*怪物掉落配置方案!$D5131</f>
        <v>0.16574045628114278</v>
      </c>
    </row>
    <row r="9236" spans="1:4" ht="16.5" hidden="1" x14ac:dyDescent="0.3">
      <c r="A9236" s="10" t="str">
        <f>基本属性!$B$30&amp;"|"&amp;基本属性!$C$30</f>
        <v>250|20</v>
      </c>
      <c r="B9236" s="10" t="str">
        <f>参数调整!$J$39</f>
        <v>新增怪物种类4掉落</v>
      </c>
      <c r="C9236" s="8" t="str">
        <f>材料产出!$Z$2</f>
        <v>恶魔头颅</v>
      </c>
      <c r="D9236" s="224">
        <f>参数调整!$K$39*怪物掉落配置方案!$D5132</f>
        <v>0.18091517838663387</v>
      </c>
    </row>
    <row r="9237" spans="1:4" ht="16.5" hidden="1" x14ac:dyDescent="0.3">
      <c r="A9237" s="10" t="str">
        <f>基本属性!$B$4&amp;"|"&amp;基本属性!$C$4</f>
        <v>35|0</v>
      </c>
      <c r="B9237" s="10" t="str">
        <f>参数调整!$J$40</f>
        <v>新增怪物种类5掉落</v>
      </c>
      <c r="C9237" s="8" t="str">
        <f>材料产出!$R$2</f>
        <v>转生精华</v>
      </c>
      <c r="D9237" s="224">
        <f>参数调整!$K$40*怪物掉落配置方案!$D4107</f>
        <v>1.9780108425799261E-3</v>
      </c>
    </row>
    <row r="9238" spans="1:4" ht="16.5" hidden="1" x14ac:dyDescent="0.3">
      <c r="A9238" s="10" t="str">
        <f>基本属性!$B$5&amp;"|"&amp;基本属性!$C$5</f>
        <v>40|0</v>
      </c>
      <c r="B9238" s="10" t="str">
        <f>参数调整!$J$40</f>
        <v>新增怪物种类5掉落</v>
      </c>
      <c r="C9238" s="8" t="str">
        <f>材料产出!$R$2</f>
        <v>转生精华</v>
      </c>
      <c r="D9238" s="224">
        <f>参数调整!$K$40*怪物掉落配置方案!$D4108</f>
        <v>2.5034199726402186E-3</v>
      </c>
    </row>
    <row r="9239" spans="1:4" ht="16.5" hidden="1" x14ac:dyDescent="0.3">
      <c r="A9239" s="10" t="str">
        <f>基本属性!$B$6&amp;"|"&amp;基本属性!$C$6</f>
        <v>50|0</v>
      </c>
      <c r="B9239" s="10" t="str">
        <f>参数调整!$J$40</f>
        <v>新增怪物种类5掉落</v>
      </c>
      <c r="C9239" s="8" t="str">
        <f>材料产出!$R$2</f>
        <v>转生精华</v>
      </c>
      <c r="D9239" s="224">
        <f>参数调整!$K$40*怪物掉落配置方案!$D4109</f>
        <v>3.0906419415311346E-3</v>
      </c>
    </row>
    <row r="9240" spans="1:4" ht="16.5" hidden="1" x14ac:dyDescent="0.3">
      <c r="A9240" s="10" t="str">
        <f>基本属性!$B$7&amp;"|"&amp;基本属性!$C$7</f>
        <v>60|0</v>
      </c>
      <c r="B9240" s="10" t="str">
        <f>参数调整!$J$40</f>
        <v>新增怪物种类5掉落</v>
      </c>
      <c r="C9240" s="8" t="str">
        <f>材料产出!$R$2</f>
        <v>转生精华</v>
      </c>
      <c r="D9240" s="224">
        <f>参数调整!$K$40*怪物掉落配置方案!$D4110</f>
        <v>3.7396767492526733E-3</v>
      </c>
    </row>
    <row r="9241" spans="1:4" ht="16.5" hidden="1" x14ac:dyDescent="0.3">
      <c r="A9241" s="10" t="str">
        <f>基本属性!$B$8&amp;"|"&amp;基本属性!$C$8</f>
        <v>65|0</v>
      </c>
      <c r="B9241" s="10" t="str">
        <f>参数调整!$J$40</f>
        <v>新增怪物种类5掉落</v>
      </c>
      <c r="C9241" s="8" t="str">
        <f>材料产出!$R$2</f>
        <v>转生精华</v>
      </c>
      <c r="D9241" s="224">
        <f>参数调整!$K$40*怪物掉落配置方案!$D4111</f>
        <v>4.4505243958048333E-3</v>
      </c>
    </row>
    <row r="9242" spans="1:4" ht="16.5" hidden="1" x14ac:dyDescent="0.3">
      <c r="A9242" s="10" t="str">
        <f>基本属性!$B$9&amp;"|"&amp;基本属性!$C$9</f>
        <v>70|0</v>
      </c>
      <c r="B9242" s="10" t="str">
        <f>参数调整!$J$40</f>
        <v>新增怪物种类5掉落</v>
      </c>
      <c r="C9242" s="8" t="str">
        <f>材料产出!$R$2</f>
        <v>转生精华</v>
      </c>
      <c r="D9242" s="224">
        <f>参数调整!$K$40*怪物掉落配置方案!$D4112</f>
        <v>5.2231848811876164E-3</v>
      </c>
    </row>
    <row r="9243" spans="1:4" ht="16.5" hidden="1" x14ac:dyDescent="0.3">
      <c r="A9243" s="10" t="str">
        <f>基本属性!$B$10&amp;"|"&amp;基本属性!$C$10</f>
        <v>75|0</v>
      </c>
      <c r="B9243" s="10" t="str">
        <f>参数调整!$J$40</f>
        <v>新增怪物种类5掉落</v>
      </c>
      <c r="C9243" s="8" t="str">
        <f>材料产出!$R$2</f>
        <v>转生精华</v>
      </c>
      <c r="D9243" s="224">
        <f>参数调整!$K$40*怪物掉落配置方案!$D4113</f>
        <v>6.0576582054010222E-3</v>
      </c>
    </row>
    <row r="9244" spans="1:4" ht="16.5" hidden="1" x14ac:dyDescent="0.3">
      <c r="A9244" s="10" t="str">
        <f>基本属性!$B$11&amp;"|"&amp;基本属性!$C$11</f>
        <v>80|1</v>
      </c>
      <c r="B9244" s="10" t="str">
        <f>参数调整!$J$40</f>
        <v>新增怪物种类5掉落</v>
      </c>
      <c r="C9244" s="8" t="str">
        <f>材料产出!$R$2</f>
        <v>转生精华</v>
      </c>
      <c r="D9244" s="224">
        <f>参数调整!$K$40*怪物掉落配置方案!$D4114</f>
        <v>6.9539443684450523E-3</v>
      </c>
    </row>
    <row r="9245" spans="1:4" ht="16.5" hidden="1" x14ac:dyDescent="0.3">
      <c r="A9245" s="10" t="str">
        <f>基本属性!$B$12&amp;"|"&amp;基本属性!$C$12</f>
        <v>90|2</v>
      </c>
      <c r="B9245" s="10" t="str">
        <f>参数调整!$J$40</f>
        <v>新增怪物种类5掉落</v>
      </c>
      <c r="C9245" s="8" t="str">
        <f>材料产出!$R$2</f>
        <v>转生精华</v>
      </c>
      <c r="D9245" s="224">
        <f>参数调整!$K$40*怪物掉落配置方案!$D4115</f>
        <v>7.912043370319706E-3</v>
      </c>
    </row>
    <row r="9246" spans="1:4" ht="16.5" hidden="1" x14ac:dyDescent="0.3">
      <c r="A9246" s="10" t="str">
        <f>基本属性!$B$13&amp;"|"&amp;基本属性!$C$13</f>
        <v>100|3</v>
      </c>
      <c r="B9246" s="10" t="str">
        <f>参数调整!$J$40</f>
        <v>新增怪物种类5掉落</v>
      </c>
      <c r="C9246" s="8" t="str">
        <f>材料产出!$R$2</f>
        <v>转生精华</v>
      </c>
      <c r="D9246" s="224">
        <f>参数调整!$K$40*怪物掉落配置方案!$D4116</f>
        <v>1.0013679890560876E-2</v>
      </c>
    </row>
    <row r="9247" spans="1:4" ht="16.5" hidden="1" x14ac:dyDescent="0.3">
      <c r="A9247" s="10" t="str">
        <f>基本属性!$B$14&amp;"|"&amp;基本属性!$C$14</f>
        <v>105|4</v>
      </c>
      <c r="B9247" s="10" t="str">
        <f>参数调整!$J$40</f>
        <v>新增怪物种类5掉落</v>
      </c>
      <c r="C9247" s="8" t="str">
        <f>材料产出!$R$2</f>
        <v>转生精华</v>
      </c>
      <c r="D9247" s="224">
        <f>参数调整!$K$40*怪物掉落配置方案!$D4117</f>
        <v>1.2362567766124538E-2</v>
      </c>
    </row>
    <row r="9248" spans="1:4" ht="16.5" hidden="1" x14ac:dyDescent="0.3">
      <c r="A9248" s="10" t="str">
        <f>基本属性!$B$15&amp;"|"&amp;基本属性!$C$15</f>
        <v>110|5</v>
      </c>
      <c r="B9248" s="10" t="str">
        <f>参数调整!$J$40</f>
        <v>新增怪物种类5掉落</v>
      </c>
      <c r="C9248" s="8" t="str">
        <f>材料产出!$R$2</f>
        <v>转生精华</v>
      </c>
      <c r="D9248" s="224">
        <f>参数调整!$K$40*怪物掉落配置方案!$D4118</f>
        <v>1.4958706997010695E-2</v>
      </c>
    </row>
    <row r="9249" spans="1:4" ht="16.5" hidden="1" x14ac:dyDescent="0.3">
      <c r="A9249" s="10" t="str">
        <f>基本属性!$B$16&amp;"|"&amp;基本属性!$C$16</f>
        <v>120|6</v>
      </c>
      <c r="B9249" s="10" t="str">
        <f>参数调整!$J$40</f>
        <v>新增怪物种类5掉落</v>
      </c>
      <c r="C9249" s="8" t="str">
        <f>材料产出!$R$2</f>
        <v>转生精华</v>
      </c>
      <c r="D9249" s="224">
        <f>参数调整!$K$40*怪物掉落配置方案!$D4119</f>
        <v>1.9316512134569593E-2</v>
      </c>
    </row>
    <row r="9250" spans="1:4" ht="16.5" hidden="1" x14ac:dyDescent="0.3">
      <c r="A9250" s="10" t="str">
        <f>基本属性!$B$17&amp;"|"&amp;基本属性!$C$17</f>
        <v>135|7</v>
      </c>
      <c r="B9250" s="10" t="str">
        <f>参数调整!$J$40</f>
        <v>新增怪物种类5掉落</v>
      </c>
      <c r="C9250" s="8" t="str">
        <f>材料产出!$R$2</f>
        <v>转生精华</v>
      </c>
      <c r="D9250" s="224">
        <f>参数调整!$K$40*怪物掉落配置方案!$D4120</f>
        <v>2.7815777473780209E-2</v>
      </c>
    </row>
    <row r="9251" spans="1:4" ht="16.5" hidden="1" x14ac:dyDescent="0.3">
      <c r="A9251" s="10" t="str">
        <f>基本属性!$B$18&amp;"|"&amp;基本属性!$C$18</f>
        <v>155|8</v>
      </c>
      <c r="B9251" s="10" t="str">
        <f>参数调整!$J$40</f>
        <v>新增怪物种类5掉落</v>
      </c>
      <c r="C9251" s="8" t="str">
        <f>材料产出!$R$2</f>
        <v>转生精华</v>
      </c>
      <c r="D9251" s="224">
        <f>参数调整!$K$40*怪物掉落配置方案!$D4121</f>
        <v>3.7860363783756401E-2</v>
      </c>
    </row>
    <row r="9252" spans="1:4" ht="16.5" hidden="1" x14ac:dyDescent="0.3">
      <c r="A9252" s="10" t="str">
        <f>基本属性!$B$19&amp;"|"&amp;基本属性!$C$19</f>
        <v>190|9</v>
      </c>
      <c r="B9252" s="10" t="str">
        <f>参数调整!$J$40</f>
        <v>新增怪物种类5掉落</v>
      </c>
      <c r="C9252" s="8" t="str">
        <f>材料产出!$R$2</f>
        <v>转生精华</v>
      </c>
      <c r="D9252" s="224">
        <f>参数调整!$K$40*怪物掉落配置方案!$D4122</f>
        <v>4.2310888179561232E-2</v>
      </c>
    </row>
    <row r="9253" spans="1:4" ht="16.5" hidden="1" x14ac:dyDescent="0.3">
      <c r="A9253" s="10" t="str">
        <f>基本属性!$B$20&amp;"|"&amp;基本属性!$C$20</f>
        <v>200|10</v>
      </c>
      <c r="B9253" s="10" t="str">
        <f>参数调整!$J$40</f>
        <v>新增怪物种类5掉落</v>
      </c>
      <c r="C9253" s="8" t="str">
        <f>材料产出!$R$2</f>
        <v>转生精华</v>
      </c>
      <c r="D9253" s="224">
        <f>参数调整!$K$40*怪物掉落配置方案!$D4123</f>
        <v>4.9450271064498154E-2</v>
      </c>
    </row>
    <row r="9254" spans="1:4" ht="16.5" hidden="1" x14ac:dyDescent="0.3">
      <c r="A9254" s="10" t="str">
        <f>基本属性!$B$21&amp;"|"&amp;基本属性!$C$21</f>
        <v>200|11</v>
      </c>
      <c r="B9254" s="10" t="str">
        <f>参数调整!$J$40</f>
        <v>新增怪物种类5掉落</v>
      </c>
      <c r="C9254" s="8" t="str">
        <f>材料产出!$R$2</f>
        <v>转生精华</v>
      </c>
      <c r="D9254" s="224">
        <f>参数调整!$K$40*怪物掉落配置方案!$D4124</f>
        <v>5.7145969498910668E-2</v>
      </c>
    </row>
    <row r="9255" spans="1:4" ht="16.5" hidden="1" x14ac:dyDescent="0.3">
      <c r="A9255" s="10" t="str">
        <f>基本属性!$B$22&amp;"|"&amp;基本属性!$C$22</f>
        <v>210|12</v>
      </c>
      <c r="B9255" s="10" t="str">
        <f>参数调整!$J$40</f>
        <v>新增怪物种类5掉落</v>
      </c>
      <c r="C9255" s="8" t="str">
        <f>材料产出!$R$2</f>
        <v>转生精华</v>
      </c>
      <c r="D9255" s="224">
        <f>参数调整!$K$40*怪物掉落配置方案!$D4125</f>
        <v>6.539798348279878E-2</v>
      </c>
    </row>
    <row r="9256" spans="1:4" ht="16.5" hidden="1" x14ac:dyDescent="0.3">
      <c r="A9256" s="10" t="str">
        <f>基本属性!$B$23&amp;"|"&amp;基本属性!$C$23</f>
        <v>210|13</v>
      </c>
      <c r="B9256" s="10" t="str">
        <f>参数调整!$J$40</f>
        <v>新增怪物种类5掉落</v>
      </c>
      <c r="C9256" s="8" t="str">
        <f>材料产出!$R$2</f>
        <v>转生精华</v>
      </c>
      <c r="D9256" s="224">
        <f>参数调整!$K$40*怪物掉落配置方案!$D4126</f>
        <v>7.4206313016162553E-2</v>
      </c>
    </row>
    <row r="9257" spans="1:4" ht="16.5" hidden="1" x14ac:dyDescent="0.3">
      <c r="A9257" s="10" t="str">
        <f>基本属性!$B$24&amp;"|"&amp;基本属性!$C$24</f>
        <v>220|14</v>
      </c>
      <c r="B9257" s="10" t="str">
        <f>参数调整!$J$40</f>
        <v>新增怪物种类5掉落</v>
      </c>
      <c r="C9257" s="8" t="str">
        <f>材料产出!$R$2</f>
        <v>转生精华</v>
      </c>
      <c r="D9257" s="224">
        <f>参数调整!$K$40*怪物掉落配置方案!$D4127</f>
        <v>8.3570958099001891E-2</v>
      </c>
    </row>
    <row r="9258" spans="1:4" ht="16.5" hidden="1" x14ac:dyDescent="0.3">
      <c r="A9258" s="10" t="str">
        <f>基本属性!$B$25&amp;"|"&amp;基本属性!$C$25</f>
        <v>220|15</v>
      </c>
      <c r="B9258" s="10" t="str">
        <f>参数调整!$J$40</f>
        <v>新增怪物种类5掉落</v>
      </c>
      <c r="C9258" s="8" t="str">
        <f>材料产出!$R$2</f>
        <v>转生精华</v>
      </c>
      <c r="D9258" s="224">
        <f>参数调整!$K$40*怪物掉落配置方案!$D4128</f>
        <v>9.349191873131682E-2</v>
      </c>
    </row>
    <row r="9259" spans="1:4" ht="16.5" hidden="1" x14ac:dyDescent="0.3">
      <c r="A9259" s="10" t="str">
        <f>基本属性!$B$26&amp;"|"&amp;基本属性!$C$26</f>
        <v>230|16</v>
      </c>
      <c r="B9259" s="10" t="str">
        <f>参数调整!$J$40</f>
        <v>新增怪物种类5掉落</v>
      </c>
      <c r="C9259" s="8" t="str">
        <f>材料产出!$R$2</f>
        <v>转生精华</v>
      </c>
      <c r="D9259" s="224">
        <f>参数调整!$K$40*怪物掉落配置方案!$D4129</f>
        <v>0.10396919491310735</v>
      </c>
    </row>
    <row r="9260" spans="1:4" ht="16.5" hidden="1" x14ac:dyDescent="0.3">
      <c r="A9260" s="10" t="str">
        <f>基本属性!$B$27&amp;"|"&amp;基本属性!$C$27</f>
        <v>230|17</v>
      </c>
      <c r="B9260" s="10" t="str">
        <f>参数调整!$J$40</f>
        <v>新增怪物种类5掉落</v>
      </c>
      <c r="C9260" s="8" t="str">
        <f>材料产出!$R$2</f>
        <v>转生精华</v>
      </c>
      <c r="D9260" s="224">
        <f>参数调整!$K$40*怪物掉落配置方案!$D4130</f>
        <v>0.11500278664437349</v>
      </c>
    </row>
    <row r="9261" spans="1:4" ht="16.5" hidden="1" x14ac:dyDescent="0.3">
      <c r="A9261" s="10" t="str">
        <f>基本属性!$B$28&amp;"|"&amp;基本属性!$C$28</f>
        <v>240|18</v>
      </c>
      <c r="B9261" s="10" t="str">
        <f>参数调整!$J$40</f>
        <v>新增怪物种类5掉落</v>
      </c>
      <c r="C9261" s="8" t="str">
        <f>材料产出!$R$2</f>
        <v>转生精华</v>
      </c>
      <c r="D9261" s="224">
        <f>参数调整!$K$40*怪物掉落配置方案!$D4131</f>
        <v>0.12659269392511527</v>
      </c>
    </row>
    <row r="9262" spans="1:4" ht="16.5" hidden="1" x14ac:dyDescent="0.3">
      <c r="A9262" s="10" t="str">
        <f>基本属性!$B$29&amp;"|"&amp;基本属性!$C$29</f>
        <v>240|19</v>
      </c>
      <c r="B9262" s="10" t="str">
        <f>参数调整!$J$40</f>
        <v>新增怪物种类5掉落</v>
      </c>
      <c r="C9262" s="8" t="str">
        <f>材料产出!$R$2</f>
        <v>转生精华</v>
      </c>
      <c r="D9262" s="224">
        <f>参数调整!$K$40*怪物掉落配置方案!$D4132</f>
        <v>0.13873891675533262</v>
      </c>
    </row>
    <row r="9263" spans="1:4" ht="16.5" hidden="1" x14ac:dyDescent="0.3">
      <c r="A9263" s="10" t="str">
        <f>基本属性!$B$30&amp;"|"&amp;基本属性!$C$30</f>
        <v>250|20</v>
      </c>
      <c r="B9263" s="10" t="str">
        <f>参数调整!$J$40</f>
        <v>新增怪物种类5掉落</v>
      </c>
      <c r="C9263" s="8" t="str">
        <f>材料产出!$R$2</f>
        <v>转生精华</v>
      </c>
      <c r="D9263" s="224">
        <f>参数调整!$K$40*怪物掉落配置方案!$D4133</f>
        <v>0.15144145513502555</v>
      </c>
    </row>
    <row r="9264" spans="1:4" ht="16.5" hidden="1" x14ac:dyDescent="0.3">
      <c r="A9264" s="10" t="str">
        <f>基本属性!$B$4&amp;"|"&amp;基本属性!$C$4</f>
        <v>35|0</v>
      </c>
      <c r="B9264" s="10" t="str">
        <f>参数调整!$J$40</f>
        <v>新增怪物种类5掉落</v>
      </c>
      <c r="C9264" s="8" t="str">
        <f>材料产出!$AJ$2</f>
        <v>中品注灵石</v>
      </c>
      <c r="D9264" s="224">
        <f>参数调整!$K$40*怪物掉落配置方案!$D4134</f>
        <v>2.592205144711783E-2</v>
      </c>
    </row>
    <row r="9265" spans="1:4" ht="16.5" hidden="1" x14ac:dyDescent="0.3">
      <c r="A9265" s="10" t="str">
        <f>基本属性!$B$5&amp;"|"&amp;基本属性!$C$5</f>
        <v>40|0</v>
      </c>
      <c r="B9265" s="10" t="str">
        <f>参数调整!$J$40</f>
        <v>新增怪物种类5掉落</v>
      </c>
      <c r="C9265" s="8" t="str">
        <f>材料产出!$AJ$2</f>
        <v>中品注灵石</v>
      </c>
      <c r="D9265" s="224">
        <f>参数调整!$K$40*怪物掉落配置方案!$D4135</f>
        <v>3.2807596362758512E-2</v>
      </c>
    </row>
    <row r="9266" spans="1:4" ht="16.5" hidden="1" x14ac:dyDescent="0.3">
      <c r="A9266" s="10" t="str">
        <f>基本属性!$B$6&amp;"|"&amp;基本属性!$C$6</f>
        <v>50|0</v>
      </c>
      <c r="B9266" s="10" t="str">
        <f>参数调整!$J$40</f>
        <v>新增怪物种类5掉落</v>
      </c>
      <c r="C9266" s="8" t="str">
        <f>材料产出!$AJ$2</f>
        <v>中品注灵石</v>
      </c>
      <c r="D9266" s="224">
        <f>参数调整!$K$40*怪物掉落配置方案!$D4136</f>
        <v>4.0503205386121614E-2</v>
      </c>
    </row>
    <row r="9267" spans="1:4" ht="16.5" hidden="1" x14ac:dyDescent="0.3">
      <c r="A9267" s="10" t="str">
        <f>基本属性!$B$7&amp;"|"&amp;基本属性!$C$7</f>
        <v>60|0</v>
      </c>
      <c r="B9267" s="10" t="str">
        <f>参数调整!$J$40</f>
        <v>新增怪物种类5掉落</v>
      </c>
      <c r="C9267" s="8" t="str">
        <f>材料产出!$AJ$2</f>
        <v>中品注灵石</v>
      </c>
      <c r="D9267" s="224">
        <f>参数调整!$K$40*怪物掉落配置方案!$D4137</f>
        <v>4.9008878517207158E-2</v>
      </c>
    </row>
    <row r="9268" spans="1:4" ht="16.5" hidden="1" x14ac:dyDescent="0.3">
      <c r="A9268" s="10" t="str">
        <f>基本属性!$B$8&amp;"|"&amp;基本属性!$C$8</f>
        <v>65|0</v>
      </c>
      <c r="B9268" s="10" t="str">
        <f>参数调整!$J$40</f>
        <v>新增怪物种类5掉落</v>
      </c>
      <c r="C9268" s="8" t="str">
        <f>材料产出!$AJ$2</f>
        <v>中品注灵石</v>
      </c>
      <c r="D9268" s="224">
        <f>参数调整!$K$40*怪物掉落配置方案!$D4138</f>
        <v>5.8324615756015115E-2</v>
      </c>
    </row>
    <row r="9269" spans="1:4" ht="16.5" hidden="1" x14ac:dyDescent="0.3">
      <c r="A9269" s="10" t="str">
        <f>基本属性!$B$9&amp;"|"&amp;基本属性!$C$9</f>
        <v>70|0</v>
      </c>
      <c r="B9269" s="10" t="str">
        <f>参数调整!$J$40</f>
        <v>新增怪物种类5掉落</v>
      </c>
      <c r="C9269" s="8" t="str">
        <f>材料产出!$AJ$2</f>
        <v>中品注灵石</v>
      </c>
      <c r="D9269" s="224">
        <f>参数调整!$K$40*怪物掉落配置方案!$D4139</f>
        <v>6.8450417102545527E-2</v>
      </c>
    </row>
    <row r="9270" spans="1:4" ht="16.5" hidden="1" x14ac:dyDescent="0.3">
      <c r="A9270" s="10" t="str">
        <f>基本属性!$B$10&amp;"|"&amp;基本属性!$C$10</f>
        <v>75|0</v>
      </c>
      <c r="B9270" s="10" t="str">
        <f>参数调整!$J$40</f>
        <v>新增怪物种类5掉落</v>
      </c>
      <c r="C9270" s="8" t="str">
        <f>材料产出!$AJ$2</f>
        <v>中品注灵石</v>
      </c>
      <c r="D9270" s="224">
        <f>参数调整!$K$40*怪物掉落配置方案!$D4140</f>
        <v>7.9386282556798346E-2</v>
      </c>
    </row>
    <row r="9271" spans="1:4" ht="16.5" hidden="1" x14ac:dyDescent="0.3">
      <c r="A9271" s="10" t="str">
        <f>基本属性!$B$11&amp;"|"&amp;基本属性!$C$11</f>
        <v>80|1</v>
      </c>
      <c r="B9271" s="10" t="str">
        <f>参数调整!$J$40</f>
        <v>新增怪物种类5掉落</v>
      </c>
      <c r="C9271" s="8" t="str">
        <f>材料产出!$AJ$2</f>
        <v>中品注灵石</v>
      </c>
      <c r="D9271" s="224">
        <f>参数调整!$K$40*怪物掉落配置方案!$D4141</f>
        <v>9.1132212118773648E-2</v>
      </c>
    </row>
    <row r="9272" spans="1:4" ht="16.5" hidden="1" x14ac:dyDescent="0.3">
      <c r="A9272" s="10" t="str">
        <f>基本属性!$B$12&amp;"|"&amp;基本属性!$C$12</f>
        <v>90|2</v>
      </c>
      <c r="B9272" s="10" t="str">
        <f>参数调整!$J$40</f>
        <v>新增怪物种类5掉落</v>
      </c>
      <c r="C9272" s="8" t="str">
        <f>材料产出!$AJ$2</f>
        <v>中品注灵石</v>
      </c>
      <c r="D9272" s="224">
        <f>参数调整!$K$40*怪物掉落配置方案!$D4142</f>
        <v>0.10368820578847135</v>
      </c>
    </row>
    <row r="9273" spans="1:4" ht="16.5" hidden="1" x14ac:dyDescent="0.3">
      <c r="A9273" s="10" t="str">
        <f>基本属性!$B$13&amp;"|"&amp;基本属性!$C$13</f>
        <v>100|3</v>
      </c>
      <c r="B9273" s="10" t="str">
        <f>参数调整!$J$40</f>
        <v>新增怪物种类5掉落</v>
      </c>
      <c r="C9273" s="8" t="str">
        <f>材料产出!$AJ$2</f>
        <v>中品注灵石</v>
      </c>
      <c r="D9273" s="224">
        <f>参数调整!$K$40*怪物掉落配置方案!$D4143</f>
        <v>0.13123038545103405</v>
      </c>
    </row>
    <row r="9274" spans="1:4" ht="16.5" hidden="1" x14ac:dyDescent="0.3">
      <c r="A9274" s="10" t="str">
        <f>基本属性!$B$14&amp;"|"&amp;基本属性!$C$14</f>
        <v>105|4</v>
      </c>
      <c r="B9274" s="10" t="str">
        <f>参数调整!$J$40</f>
        <v>新增怪物种类5掉落</v>
      </c>
      <c r="C9274" s="8" t="str">
        <f>材料产出!$AJ$2</f>
        <v>中品注灵石</v>
      </c>
      <c r="D9274" s="224">
        <f>参数调整!$K$40*怪物掉落配置方案!$D4144</f>
        <v>0.16201282154448646</v>
      </c>
    </row>
    <row r="9275" spans="1:4" ht="16.5" hidden="1" x14ac:dyDescent="0.3">
      <c r="A9275" s="10" t="str">
        <f>基本属性!$B$15&amp;"|"&amp;基本属性!$C$15</f>
        <v>110|5</v>
      </c>
      <c r="B9275" s="10" t="str">
        <f>参数调整!$J$40</f>
        <v>新增怪物种类5掉落</v>
      </c>
      <c r="C9275" s="8" t="str">
        <f>材料产出!$AJ$2</f>
        <v>中品注灵石</v>
      </c>
      <c r="D9275" s="224">
        <f>参数调整!$K$40*怪物掉落配置方案!$D4145</f>
        <v>0.19603551406882863</v>
      </c>
    </row>
    <row r="9276" spans="1:4" ht="16.5" hidden="1" x14ac:dyDescent="0.3">
      <c r="A9276" s="10" t="str">
        <f>基本属性!$B$16&amp;"|"&amp;基本属性!$C$16</f>
        <v>120|6</v>
      </c>
      <c r="B9276" s="10" t="str">
        <f>参数调整!$J$40</f>
        <v>新增怪物种类5掉落</v>
      </c>
      <c r="C9276" s="8" t="str">
        <f>材料产出!$AJ$2</f>
        <v>中品注灵石</v>
      </c>
      <c r="D9276" s="224">
        <f>参数调整!$K$40*怪物掉落配置方案!$D4146</f>
        <v>0.25314503366326008</v>
      </c>
    </row>
    <row r="9277" spans="1:4" ht="16.5" hidden="1" x14ac:dyDescent="0.3">
      <c r="A9277" s="10" t="str">
        <f>基本属性!$B$17&amp;"|"&amp;基本属性!$C$17</f>
        <v>135|7</v>
      </c>
      <c r="B9277" s="10" t="str">
        <f>参数调整!$J$40</f>
        <v>新增怪物种类5掉落</v>
      </c>
      <c r="C9277" s="8" t="str">
        <f>材料产出!$AJ$2</f>
        <v>中品注灵石</v>
      </c>
      <c r="D9277" s="224">
        <f>参数调整!$K$40*怪物掉落配置方案!$D4147</f>
        <v>0.36452884847509459</v>
      </c>
    </row>
    <row r="9278" spans="1:4" ht="16.5" hidden="1" x14ac:dyDescent="0.3">
      <c r="A9278" s="10" t="str">
        <f>基本属性!$B$18&amp;"|"&amp;基本属性!$C$18</f>
        <v>155|8</v>
      </c>
      <c r="B9278" s="10" t="str">
        <f>参数调整!$J$40</f>
        <v>新增怪物种类5掉落</v>
      </c>
      <c r="C9278" s="8" t="str">
        <f>材料产出!$AJ$2</f>
        <v>中品注灵石</v>
      </c>
      <c r="D9278" s="224">
        <f>参数调整!$K$40*怪物掉落配置方案!$D4148</f>
        <v>0.49616426597998975</v>
      </c>
    </row>
    <row r="9279" spans="1:4" ht="16.5" hidden="1" x14ac:dyDescent="0.3">
      <c r="A9279" s="10" t="str">
        <f>基本属性!$B$19&amp;"|"&amp;基本属性!$C$19</f>
        <v>190|9</v>
      </c>
      <c r="B9279" s="10" t="str">
        <f>参数调整!$J$40</f>
        <v>新增怪物种类5掉落</v>
      </c>
      <c r="C9279" s="8" t="str">
        <f>材料产出!$AJ$2</f>
        <v>中品注灵石</v>
      </c>
      <c r="D9279" s="224">
        <f>参数调整!$K$40*怪物掉落配置方案!$D4149</f>
        <v>0.55448888173600497</v>
      </c>
    </row>
    <row r="9280" spans="1:4" ht="16.5" hidden="1" x14ac:dyDescent="0.3">
      <c r="A9280" s="10" t="str">
        <f>基本属性!$B$20&amp;"|"&amp;基本属性!$C$20</f>
        <v>200|10</v>
      </c>
      <c r="B9280" s="10" t="str">
        <f>参数调整!$J$40</f>
        <v>新增怪物种类5掉落</v>
      </c>
      <c r="C9280" s="8" t="str">
        <f>材料产出!$AJ$2</f>
        <v>中品注灵石</v>
      </c>
      <c r="D9280" s="224">
        <f>参数调整!$K$40*怪物掉落配置方案!$D4150</f>
        <v>0.64805128617794583</v>
      </c>
    </row>
    <row r="9281" spans="1:4" ht="16.5" hidden="1" x14ac:dyDescent="0.3">
      <c r="A9281" s="10" t="str">
        <f>基本属性!$B$21&amp;"|"&amp;基本属性!$C$21</f>
        <v>200|11</v>
      </c>
      <c r="B9281" s="10" t="str">
        <f>参数调整!$J$40</f>
        <v>新增怪物种类5掉落</v>
      </c>
      <c r="C9281" s="8" t="str">
        <f>材料产出!$AJ$2</f>
        <v>中品注灵石</v>
      </c>
      <c r="D9281" s="224">
        <f>参数调整!$K$40*怪物掉落配置方案!$D4151</f>
        <v>0.74890426758938855</v>
      </c>
    </row>
    <row r="9282" spans="1:4" ht="16.5" hidden="1" x14ac:dyDescent="0.3">
      <c r="A9282" s="10" t="str">
        <f>基本属性!$B$22&amp;"|"&amp;基本属性!$C$22</f>
        <v>210|12</v>
      </c>
      <c r="B9282" s="10" t="str">
        <f>参数调整!$J$40</f>
        <v>新增怪物种类5掉落</v>
      </c>
      <c r="C9282" s="8" t="str">
        <f>材料产出!$AJ$2</f>
        <v>中品注灵石</v>
      </c>
      <c r="D9282" s="224">
        <f>参数调整!$K$40*怪物掉落配置方案!$D4152</f>
        <v>0.85704782597033302</v>
      </c>
    </row>
    <row r="9283" spans="1:4" ht="16.5" hidden="1" x14ac:dyDescent="0.3">
      <c r="A9283" s="10" t="str">
        <f>基本属性!$B$23&amp;"|"&amp;基本属性!$C$23</f>
        <v>210|13</v>
      </c>
      <c r="B9283" s="10" t="str">
        <f>参数调整!$J$40</f>
        <v>新增怪物种类5掉落</v>
      </c>
      <c r="C9283" s="8" t="str">
        <f>材料产出!$AJ$2</f>
        <v>中品注灵石</v>
      </c>
      <c r="D9283" s="224">
        <f>参数调整!$K$40*怪物掉落配置方案!$D4153</f>
        <v>0.97248196132078002</v>
      </c>
    </row>
    <row r="9284" spans="1:4" ht="16.5" hidden="1" x14ac:dyDescent="0.3">
      <c r="A9284" s="10" t="str">
        <f>基本属性!$B$24&amp;"|"&amp;基本属性!$C$24</f>
        <v>220|14</v>
      </c>
      <c r="B9284" s="10" t="str">
        <f>参数调整!$J$40</f>
        <v>新增怪物种类5掉落</v>
      </c>
      <c r="C9284" s="8" t="str">
        <f>材料产出!$AJ$2</f>
        <v>中品注灵石</v>
      </c>
      <c r="D9284" s="224">
        <f>参数调整!$K$40*怪物掉落配置方案!$D4154</f>
        <v>1.0952066736407284</v>
      </c>
    </row>
    <row r="9285" spans="1:4" ht="16.5" hidden="1" x14ac:dyDescent="0.3">
      <c r="A9285" s="10" t="str">
        <f>基本属性!$B$25&amp;"|"&amp;基本属性!$C$25</f>
        <v>220|15</v>
      </c>
      <c r="B9285" s="10" t="str">
        <f>参数调整!$J$40</f>
        <v>新增怪物种类5掉落</v>
      </c>
      <c r="C9285" s="8" t="str">
        <f>材料产出!$AJ$2</f>
        <v>中品注灵石</v>
      </c>
      <c r="D9285" s="224">
        <f>参数调整!$K$40*怪物掉落配置方案!$D4155</f>
        <v>1.2252219629301788</v>
      </c>
    </row>
    <row r="9286" spans="1:4" ht="16.5" hidden="1" x14ac:dyDescent="0.3">
      <c r="A9286" s="10" t="str">
        <f>基本属性!$B$26&amp;"|"&amp;基本属性!$C$26</f>
        <v>230|16</v>
      </c>
      <c r="B9286" s="10" t="str">
        <f>参数调整!$J$40</f>
        <v>新增怪物种类5掉落</v>
      </c>
      <c r="C9286" s="8" t="str">
        <f>材料产出!$AJ$2</f>
        <v>中品注灵石</v>
      </c>
      <c r="D9286" s="224">
        <f>参数调整!$K$40*怪物掉落配置方案!$D4156</f>
        <v>1.3625278291891307</v>
      </c>
    </row>
    <row r="9287" spans="1:4" ht="16.5" hidden="1" x14ac:dyDescent="0.3">
      <c r="A9287" s="10" t="str">
        <f>基本属性!$B$27&amp;"|"&amp;基本属性!$C$27</f>
        <v>230|17</v>
      </c>
      <c r="B9287" s="10" t="str">
        <f>参数调整!$J$40</f>
        <v>新增怪物种类5掉落</v>
      </c>
      <c r="C9287" s="8" t="str">
        <f>材料产出!$AJ$2</f>
        <v>中品注灵石</v>
      </c>
      <c r="D9287" s="224">
        <f>参数调整!$K$40*怪物掉落配置方案!$D4157</f>
        <v>1.5071242724175851</v>
      </c>
    </row>
    <row r="9288" spans="1:4" ht="16.5" hidden="1" x14ac:dyDescent="0.3">
      <c r="A9288" s="10" t="str">
        <f>基本属性!$B$28&amp;"|"&amp;基本属性!$C$28</f>
        <v>240|18</v>
      </c>
      <c r="B9288" s="10" t="str">
        <f>参数调整!$J$40</f>
        <v>新增怪物种类5掉落</v>
      </c>
      <c r="C9288" s="8" t="str">
        <f>材料产出!$AJ$2</f>
        <v>中品注灵石</v>
      </c>
      <c r="D9288" s="224">
        <f>参数调整!$K$40*怪物掉落配置方案!$D4158</f>
        <v>1.6590112926155416</v>
      </c>
    </row>
    <row r="9289" spans="1:4" ht="16.5" hidden="1" x14ac:dyDescent="0.3">
      <c r="A9289" s="10" t="str">
        <f>基本属性!$B$29&amp;"|"&amp;基本属性!$C$29</f>
        <v>240|19</v>
      </c>
      <c r="B9289" s="10" t="str">
        <f>参数调整!$J$40</f>
        <v>新增怪物种类5掉落</v>
      </c>
      <c r="C9289" s="8" t="str">
        <f>材料产出!$AJ$2</f>
        <v>中品注灵石</v>
      </c>
      <c r="D9289" s="224">
        <f>参数调整!$K$40*怪物掉落配置方案!$D4159</f>
        <v>1.8181888897829992</v>
      </c>
    </row>
    <row r="9290" spans="1:4" ht="16.5" hidden="1" x14ac:dyDescent="0.3">
      <c r="A9290" s="10" t="str">
        <f>基本属性!$B$30&amp;"|"&amp;基本属性!$C$30</f>
        <v>250|20</v>
      </c>
      <c r="B9290" s="10" t="str">
        <f>参数调整!$J$40</f>
        <v>新增怪物种类5掉落</v>
      </c>
      <c r="C9290" s="8" t="str">
        <f>材料产出!$AJ$2</f>
        <v>中品注灵石</v>
      </c>
      <c r="D9290" s="224">
        <f>参数调整!$K$40*怪物掉落配置方案!$D4160</f>
        <v>1.984657063919959</v>
      </c>
    </row>
    <row r="9291" spans="1:4" ht="16.5" hidden="1" x14ac:dyDescent="0.3">
      <c r="A9291" s="10" t="str">
        <f>基本属性!$B$4&amp;"|"&amp;基本属性!$C$4</f>
        <v>35|0</v>
      </c>
      <c r="B9291" s="10" t="str">
        <f>参数调整!$J$40</f>
        <v>新增怪物种类5掉落</v>
      </c>
      <c r="C9291" s="8" t="str">
        <f>材料产出!$J$2</f>
        <v>元宝</v>
      </c>
      <c r="D9291" s="224">
        <f>参数调整!$K$40*怪物掉落配置方案!$D4161</f>
        <v>335</v>
      </c>
    </row>
    <row r="9292" spans="1:4" ht="16.5" hidden="1" x14ac:dyDescent="0.3">
      <c r="A9292" s="10" t="str">
        <f>基本属性!$B$5&amp;"|"&amp;基本属性!$C$5</f>
        <v>40|0</v>
      </c>
      <c r="B9292" s="10" t="str">
        <f>参数调整!$J$40</f>
        <v>新增怪物种类5掉落</v>
      </c>
      <c r="C9292" s="8" t="str">
        <f>材料产出!$J$2</f>
        <v>元宝</v>
      </c>
      <c r="D9292" s="224">
        <f>参数调整!$K$40*怪物掉落配置方案!$D4162</f>
        <v>425</v>
      </c>
    </row>
    <row r="9293" spans="1:4" ht="16.5" hidden="1" x14ac:dyDescent="0.3">
      <c r="A9293" s="10" t="str">
        <f>基本属性!$B$6&amp;"|"&amp;基本属性!$C$6</f>
        <v>50|0</v>
      </c>
      <c r="B9293" s="10" t="str">
        <f>参数调整!$J$40</f>
        <v>新增怪物种类5掉落</v>
      </c>
      <c r="C9293" s="8" t="str">
        <f>材料产出!$J$2</f>
        <v>元宝</v>
      </c>
      <c r="D9293" s="224">
        <f>参数调整!$K$40*怪物掉落配置方案!$D4163</f>
        <v>525</v>
      </c>
    </row>
    <row r="9294" spans="1:4" ht="16.5" hidden="1" x14ac:dyDescent="0.3">
      <c r="A9294" s="10" t="str">
        <f>基本属性!$B$7&amp;"|"&amp;基本属性!$C$7</f>
        <v>60|0</v>
      </c>
      <c r="B9294" s="10" t="str">
        <f>参数调整!$J$40</f>
        <v>新增怪物种类5掉落</v>
      </c>
      <c r="C9294" s="8" t="str">
        <f>材料产出!$J$2</f>
        <v>元宝</v>
      </c>
      <c r="D9294" s="224">
        <f>参数调整!$K$40*怪物掉落配置方案!$D4164</f>
        <v>635</v>
      </c>
    </row>
    <row r="9295" spans="1:4" ht="16.5" hidden="1" x14ac:dyDescent="0.3">
      <c r="A9295" s="10" t="str">
        <f>基本属性!$B$8&amp;"|"&amp;基本属性!$C$8</f>
        <v>65|0</v>
      </c>
      <c r="B9295" s="10" t="str">
        <f>参数调整!$J$40</f>
        <v>新增怪物种类5掉落</v>
      </c>
      <c r="C9295" s="8" t="str">
        <f>材料产出!$J$2</f>
        <v>元宝</v>
      </c>
      <c r="D9295" s="224">
        <f>参数调整!$K$40*怪物掉落配置方案!$D4165</f>
        <v>755</v>
      </c>
    </row>
    <row r="9296" spans="1:4" ht="16.5" hidden="1" x14ac:dyDescent="0.3">
      <c r="A9296" s="10" t="str">
        <f>基本属性!$B$9&amp;"|"&amp;基本属性!$C$9</f>
        <v>70|0</v>
      </c>
      <c r="B9296" s="10" t="str">
        <f>参数调整!$J$40</f>
        <v>新增怪物种类5掉落</v>
      </c>
      <c r="C9296" s="8" t="str">
        <f>材料产出!$J$2</f>
        <v>元宝</v>
      </c>
      <c r="D9296" s="224">
        <f>参数调整!$K$40*怪物掉落配置方案!$D4166</f>
        <v>885</v>
      </c>
    </row>
    <row r="9297" spans="1:4" ht="16.5" hidden="1" x14ac:dyDescent="0.3">
      <c r="A9297" s="10" t="str">
        <f>基本属性!$B$10&amp;"|"&amp;基本属性!$C$10</f>
        <v>75|0</v>
      </c>
      <c r="B9297" s="10" t="str">
        <f>参数调整!$J$40</f>
        <v>新增怪物种类5掉落</v>
      </c>
      <c r="C9297" s="8" t="str">
        <f>材料产出!$J$2</f>
        <v>元宝</v>
      </c>
      <c r="D9297" s="224">
        <f>参数调整!$K$40*怪物掉落配置方案!$D4167</f>
        <v>1025</v>
      </c>
    </row>
    <row r="9298" spans="1:4" ht="16.5" hidden="1" x14ac:dyDescent="0.3">
      <c r="A9298" s="10" t="str">
        <f>基本属性!$B$11&amp;"|"&amp;基本属性!$C$11</f>
        <v>80|1</v>
      </c>
      <c r="B9298" s="10" t="str">
        <f>参数调整!$J$40</f>
        <v>新增怪物种类5掉落</v>
      </c>
      <c r="C9298" s="8" t="str">
        <f>材料产出!$J$2</f>
        <v>元宝</v>
      </c>
      <c r="D9298" s="224">
        <f>参数调整!$K$40*怪物掉落配置方案!$D4168</f>
        <v>1180</v>
      </c>
    </row>
    <row r="9299" spans="1:4" ht="16.5" hidden="1" x14ac:dyDescent="0.3">
      <c r="A9299" s="10" t="str">
        <f>基本属性!$B$12&amp;"|"&amp;基本属性!$C$12</f>
        <v>90|2</v>
      </c>
      <c r="B9299" s="10" t="str">
        <f>参数调整!$J$40</f>
        <v>新增怪物种类5掉落</v>
      </c>
      <c r="C9299" s="8" t="str">
        <f>材料产出!$J$2</f>
        <v>元宝</v>
      </c>
      <c r="D9299" s="224">
        <f>参数调整!$K$40*怪物掉落配置方案!$D4169</f>
        <v>1340</v>
      </c>
    </row>
    <row r="9300" spans="1:4" ht="16.5" hidden="1" x14ac:dyDescent="0.3">
      <c r="A9300" s="10" t="str">
        <f>基本属性!$B$13&amp;"|"&amp;基本属性!$C$13</f>
        <v>100|3</v>
      </c>
      <c r="B9300" s="10" t="str">
        <f>参数调整!$J$40</f>
        <v>新增怪物种类5掉落</v>
      </c>
      <c r="C9300" s="8" t="str">
        <f>材料产出!$J$2</f>
        <v>元宝</v>
      </c>
      <c r="D9300" s="224">
        <f>参数调整!$K$40*怪物掉落配置方案!$D4170</f>
        <v>1695</v>
      </c>
    </row>
    <row r="9301" spans="1:4" ht="16.5" hidden="1" x14ac:dyDescent="0.3">
      <c r="A9301" s="10" t="str">
        <f>基本属性!$B$14&amp;"|"&amp;基本属性!$C$14</f>
        <v>105|4</v>
      </c>
      <c r="B9301" s="10" t="str">
        <f>参数调整!$J$40</f>
        <v>新增怪物种类5掉落</v>
      </c>
      <c r="C9301" s="8" t="str">
        <f>材料产出!$J$2</f>
        <v>元宝</v>
      </c>
      <c r="D9301" s="224">
        <f>参数调整!$K$40*怪物掉落配置方案!$D4171</f>
        <v>2095</v>
      </c>
    </row>
    <row r="9302" spans="1:4" ht="16.5" hidden="1" x14ac:dyDescent="0.3">
      <c r="A9302" s="10" t="str">
        <f>基本属性!$B$15&amp;"|"&amp;基本属性!$C$15</f>
        <v>110|5</v>
      </c>
      <c r="B9302" s="10" t="str">
        <f>参数调整!$J$40</f>
        <v>新增怪物种类5掉落</v>
      </c>
      <c r="C9302" s="8" t="str">
        <f>材料产出!$J$2</f>
        <v>元宝</v>
      </c>
      <c r="D9302" s="224">
        <f>参数调整!$K$40*怪物掉落配置方案!$D4172</f>
        <v>2535</v>
      </c>
    </row>
    <row r="9303" spans="1:4" ht="16.5" hidden="1" x14ac:dyDescent="0.3">
      <c r="A9303" s="10" t="str">
        <f>基本属性!$B$16&amp;"|"&amp;基本属性!$C$16</f>
        <v>120|6</v>
      </c>
      <c r="B9303" s="10" t="str">
        <f>参数调整!$J$40</f>
        <v>新增怪物种类5掉落</v>
      </c>
      <c r="C9303" s="8" t="str">
        <f>材料产出!$J$2</f>
        <v>元宝</v>
      </c>
      <c r="D9303" s="224">
        <f>参数调整!$K$40*怪物掉落配置方案!$D4173</f>
        <v>3275</v>
      </c>
    </row>
    <row r="9304" spans="1:4" ht="16.5" hidden="1" x14ac:dyDescent="0.3">
      <c r="A9304" s="10" t="str">
        <f>基本属性!$B$17&amp;"|"&amp;基本属性!$C$17</f>
        <v>135|7</v>
      </c>
      <c r="B9304" s="10" t="str">
        <f>参数调整!$J$40</f>
        <v>新增怪物种类5掉落</v>
      </c>
      <c r="C9304" s="8" t="str">
        <f>材料产出!$J$2</f>
        <v>元宝</v>
      </c>
      <c r="D9304" s="224">
        <f>参数调整!$K$40*怪物掉落配置方案!$D4174</f>
        <v>4715</v>
      </c>
    </row>
    <row r="9305" spans="1:4" ht="16.5" hidden="1" x14ac:dyDescent="0.3">
      <c r="A9305" s="10" t="str">
        <f>基本属性!$B$18&amp;"|"&amp;基本属性!$C$18</f>
        <v>155|8</v>
      </c>
      <c r="B9305" s="10" t="str">
        <f>参数调整!$J$40</f>
        <v>新增怪物种类5掉落</v>
      </c>
      <c r="C9305" s="8" t="str">
        <f>材料产出!$J$2</f>
        <v>元宝</v>
      </c>
      <c r="D9305" s="224">
        <f>参数调整!$K$40*怪物掉落配置方案!$D4175</f>
        <v>6420</v>
      </c>
    </row>
    <row r="9306" spans="1:4" ht="16.5" hidden="1" x14ac:dyDescent="0.3">
      <c r="A9306" s="10" t="str">
        <f>基本属性!$B$19&amp;"|"&amp;基本属性!$C$19</f>
        <v>190|9</v>
      </c>
      <c r="B9306" s="10" t="str">
        <f>参数调整!$J$40</f>
        <v>新增怪物种类5掉落</v>
      </c>
      <c r="C9306" s="8" t="str">
        <f>材料产出!$J$2</f>
        <v>元宝</v>
      </c>
      <c r="D9306" s="224">
        <f>参数调整!$K$40*怪物掉落配置方案!$D4176</f>
        <v>7170</v>
      </c>
    </row>
    <row r="9307" spans="1:4" ht="16.5" hidden="1" x14ac:dyDescent="0.3">
      <c r="A9307" s="10" t="str">
        <f>基本属性!$B$20&amp;"|"&amp;基本属性!$C$20</f>
        <v>200|10</v>
      </c>
      <c r="B9307" s="10" t="str">
        <f>参数调整!$J$40</f>
        <v>新增怪物种类5掉落</v>
      </c>
      <c r="C9307" s="8" t="str">
        <f>材料产出!$J$2</f>
        <v>元宝</v>
      </c>
      <c r="D9307" s="224">
        <f>参数调整!$K$40*怪物掉落配置方案!$D4177</f>
        <v>8385</v>
      </c>
    </row>
    <row r="9308" spans="1:4" ht="16.5" hidden="1" x14ac:dyDescent="0.3">
      <c r="A9308" s="10" t="str">
        <f>基本属性!$B$21&amp;"|"&amp;基本属性!$C$21</f>
        <v>200|11</v>
      </c>
      <c r="B9308" s="10" t="str">
        <f>参数调整!$J$40</f>
        <v>新增怪物种类5掉落</v>
      </c>
      <c r="C9308" s="8" t="str">
        <f>材料产出!$J$2</f>
        <v>元宝</v>
      </c>
      <c r="D9308" s="224">
        <f>参数调整!$K$40*怪物掉落配置方案!$D4178</f>
        <v>9685</v>
      </c>
    </row>
    <row r="9309" spans="1:4" ht="16.5" hidden="1" x14ac:dyDescent="0.3">
      <c r="A9309" s="10" t="str">
        <f>基本属性!$B$22&amp;"|"&amp;基本属性!$C$22</f>
        <v>210|12</v>
      </c>
      <c r="B9309" s="10" t="str">
        <f>参数调整!$J$40</f>
        <v>新增怪物种类5掉落</v>
      </c>
      <c r="C9309" s="8" t="str">
        <f>材料产出!$J$2</f>
        <v>元宝</v>
      </c>
      <c r="D9309" s="224">
        <f>参数调整!$K$40*怪物掉落配置方案!$D4179</f>
        <v>11085</v>
      </c>
    </row>
    <row r="9310" spans="1:4" ht="16.5" hidden="1" x14ac:dyDescent="0.3">
      <c r="A9310" s="10" t="str">
        <f>基本属性!$B$23&amp;"|"&amp;基本属性!$C$23</f>
        <v>210|13</v>
      </c>
      <c r="B9310" s="10" t="str">
        <f>参数调整!$J$40</f>
        <v>新增怪物种类5掉落</v>
      </c>
      <c r="C9310" s="8" t="str">
        <f>材料产出!$J$2</f>
        <v>元宝</v>
      </c>
      <c r="D9310" s="224">
        <f>参数调整!$K$40*怪物掉落配置方案!$D4180</f>
        <v>12580</v>
      </c>
    </row>
    <row r="9311" spans="1:4" ht="16.5" hidden="1" x14ac:dyDescent="0.3">
      <c r="A9311" s="10" t="str">
        <f>基本属性!$B$24&amp;"|"&amp;基本属性!$C$24</f>
        <v>220|14</v>
      </c>
      <c r="B9311" s="10" t="str">
        <f>参数调整!$J$40</f>
        <v>新增怪物种类5掉落</v>
      </c>
      <c r="C9311" s="8" t="str">
        <f>材料产出!$J$2</f>
        <v>元宝</v>
      </c>
      <c r="D9311" s="224">
        <f>参数调整!$K$40*怪物掉落配置方案!$D4181</f>
        <v>14165</v>
      </c>
    </row>
    <row r="9312" spans="1:4" ht="16.5" hidden="1" x14ac:dyDescent="0.3">
      <c r="A9312" s="10" t="str">
        <f>基本属性!$B$25&amp;"|"&amp;基本属性!$C$25</f>
        <v>220|15</v>
      </c>
      <c r="B9312" s="10" t="str">
        <f>参数调整!$J$40</f>
        <v>新增怪物种类5掉落</v>
      </c>
      <c r="C9312" s="8" t="str">
        <f>材料产出!$J$2</f>
        <v>元宝</v>
      </c>
      <c r="D9312" s="224">
        <f>参数调整!$K$40*怪物掉落配置方案!$D4182</f>
        <v>15850</v>
      </c>
    </row>
    <row r="9313" spans="1:4" ht="16.5" hidden="1" x14ac:dyDescent="0.3">
      <c r="A9313" s="10" t="str">
        <f>基本属性!$B$26&amp;"|"&amp;基本属性!$C$26</f>
        <v>230|16</v>
      </c>
      <c r="B9313" s="10" t="str">
        <f>参数调整!$J$40</f>
        <v>新增怪物种类5掉落</v>
      </c>
      <c r="C9313" s="8" t="str">
        <f>材料产出!$J$2</f>
        <v>元宝</v>
      </c>
      <c r="D9313" s="224">
        <f>参数调整!$K$40*怪物掉落配置方案!$D4183</f>
        <v>17625</v>
      </c>
    </row>
    <row r="9314" spans="1:4" ht="16.5" hidden="1" x14ac:dyDescent="0.3">
      <c r="A9314" s="10" t="str">
        <f>基本属性!$B$27&amp;"|"&amp;基本属性!$C$27</f>
        <v>230|17</v>
      </c>
      <c r="B9314" s="10" t="str">
        <f>参数调整!$J$40</f>
        <v>新增怪物种类5掉落</v>
      </c>
      <c r="C9314" s="8" t="str">
        <f>材料产出!$J$2</f>
        <v>元宝</v>
      </c>
      <c r="D9314" s="224">
        <f>参数调整!$K$40*怪物掉落配置方案!$D4184</f>
        <v>19495</v>
      </c>
    </row>
    <row r="9315" spans="1:4" ht="16.5" hidden="1" x14ac:dyDescent="0.3">
      <c r="A9315" s="10" t="str">
        <f>基本属性!$B$28&amp;"|"&amp;基本属性!$C$28</f>
        <v>240|18</v>
      </c>
      <c r="B9315" s="10" t="str">
        <f>参数调整!$J$40</f>
        <v>新增怪物种类5掉落</v>
      </c>
      <c r="C9315" s="8" t="str">
        <f>材料产出!$J$2</f>
        <v>元宝</v>
      </c>
      <c r="D9315" s="224">
        <f>参数调整!$K$40*怪物掉落配置方案!$D4185</f>
        <v>21460</v>
      </c>
    </row>
    <row r="9316" spans="1:4" ht="16.5" hidden="1" x14ac:dyDescent="0.3">
      <c r="A9316" s="10" t="str">
        <f>基本属性!$B$29&amp;"|"&amp;基本属性!$C$29</f>
        <v>240|19</v>
      </c>
      <c r="B9316" s="10" t="str">
        <f>参数调整!$J$40</f>
        <v>新增怪物种类5掉落</v>
      </c>
      <c r="C9316" s="8" t="str">
        <f>材料产出!$J$2</f>
        <v>元宝</v>
      </c>
      <c r="D9316" s="224">
        <f>参数调整!$K$40*怪物掉落配置方案!$D4186</f>
        <v>23520</v>
      </c>
    </row>
    <row r="9317" spans="1:4" ht="16.5" hidden="1" x14ac:dyDescent="0.3">
      <c r="A9317" s="10" t="str">
        <f>基本属性!$B$30&amp;"|"&amp;基本属性!$C$30</f>
        <v>250|20</v>
      </c>
      <c r="B9317" s="10" t="str">
        <f>参数调整!$J$40</f>
        <v>新增怪物种类5掉落</v>
      </c>
      <c r="C9317" s="8" t="str">
        <f>材料产出!$J$2</f>
        <v>元宝</v>
      </c>
      <c r="D9317" s="224">
        <f>参数调整!$K$40*怪物掉落配置方案!$D4187</f>
        <v>25670</v>
      </c>
    </row>
    <row r="9318" spans="1:4" ht="16.5" hidden="1" x14ac:dyDescent="0.3">
      <c r="A9318" s="10" t="str">
        <f>基本属性!$B$4&amp;"|"&amp;基本属性!$C$4</f>
        <v>35|0</v>
      </c>
      <c r="B9318" s="10" t="str">
        <f>参数调整!$J$40</f>
        <v>新增怪物种类5掉落</v>
      </c>
      <c r="C9318" s="8" t="str">
        <f>材料产出!$BB$2</f>
        <v>衣服碎片</v>
      </c>
      <c r="D9318" s="224">
        <f>参数调整!$K$40*怪物掉落配置方案!$D4188</f>
        <v>4.0583486041949771E-5</v>
      </c>
    </row>
    <row r="9319" spans="1:4" ht="16.5" hidden="1" x14ac:dyDescent="0.3">
      <c r="A9319" s="10" t="str">
        <f>基本属性!$B$5&amp;"|"&amp;基本属性!$C$5</f>
        <v>40|0</v>
      </c>
      <c r="B9319" s="10" t="str">
        <f>参数调整!$J$40</f>
        <v>新增怪物种类5掉落</v>
      </c>
      <c r="C9319" s="8" t="str">
        <f>材料产出!$BB$2</f>
        <v>衣服碎片</v>
      </c>
      <c r="D9319" s="224">
        <f>参数调整!$K$40*怪物掉落配置方案!$D4189</f>
        <v>5.136347452184268E-5</v>
      </c>
    </row>
    <row r="9320" spans="1:4" ht="16.5" hidden="1" x14ac:dyDescent="0.3">
      <c r="A9320" s="10" t="str">
        <f>基本属性!$B$6&amp;"|"&amp;基本属性!$C$6</f>
        <v>50|0</v>
      </c>
      <c r="B9320" s="10" t="str">
        <f>参数调整!$J$40</f>
        <v>新增怪物种类5掉落</v>
      </c>
      <c r="C9320" s="8" t="str">
        <f>材料产出!$BB$2</f>
        <v>衣服碎片</v>
      </c>
      <c r="D9320" s="224">
        <f>参数调整!$K$40*怪物掉落配置方案!$D4190</f>
        <v>6.3411696940546527E-5</v>
      </c>
    </row>
    <row r="9321" spans="1:4" ht="16.5" hidden="1" x14ac:dyDescent="0.3">
      <c r="A9321" s="10" t="str">
        <f>基本属性!$B$7&amp;"|"&amp;基本属性!$C$7</f>
        <v>60|0</v>
      </c>
      <c r="B9321" s="10" t="str">
        <f>参数调整!$J$40</f>
        <v>新增怪物种类5掉落</v>
      </c>
      <c r="C9321" s="8" t="str">
        <f>材料产出!$BB$2</f>
        <v>衣服碎片</v>
      </c>
      <c r="D9321" s="224">
        <f>参数调整!$K$40*怪物掉落配置方案!$D4191</f>
        <v>7.6728153298061285E-5</v>
      </c>
    </row>
    <row r="9322" spans="1:4" ht="16.5" hidden="1" x14ac:dyDescent="0.3">
      <c r="A9322" s="10" t="str">
        <f>基本属性!$B$8&amp;"|"&amp;基本属性!$C$8</f>
        <v>65|0</v>
      </c>
      <c r="B9322" s="10" t="str">
        <f>参数调整!$J$40</f>
        <v>新增怪物种类5掉落</v>
      </c>
      <c r="C9322" s="8" t="str">
        <f>材料产出!$BB$2</f>
        <v>衣服碎片</v>
      </c>
      <c r="D9322" s="224">
        <f>参数调整!$K$40*怪物掉落配置方案!$D4192</f>
        <v>9.1312843594386982E-5</v>
      </c>
    </row>
    <row r="9323" spans="1:4" ht="16.5" hidden="1" x14ac:dyDescent="0.3">
      <c r="A9323" s="10" t="str">
        <f>基本属性!$B$9&amp;"|"&amp;基本属性!$C$9</f>
        <v>70|0</v>
      </c>
      <c r="B9323" s="10" t="str">
        <f>参数调整!$J$40</f>
        <v>新增怪物种类5掉落</v>
      </c>
      <c r="C9323" s="8" t="str">
        <f>材料产出!$BB$2</f>
        <v>衣服碎片</v>
      </c>
      <c r="D9323" s="224">
        <f>参数调整!$K$40*怪物掉落配置方案!$D4193</f>
        <v>1.0716576782952362E-4</v>
      </c>
    </row>
    <row r="9324" spans="1:4" ht="16.5" hidden="1" x14ac:dyDescent="0.3">
      <c r="A9324" s="10" t="str">
        <f>基本属性!$B$10&amp;"|"&amp;基本属性!$C$10</f>
        <v>75|0</v>
      </c>
      <c r="B9324" s="10" t="str">
        <f>参数调整!$J$40</f>
        <v>新增怪物种类5掉落</v>
      </c>
      <c r="C9324" s="8" t="str">
        <f>材料产出!$BB$2</f>
        <v>衣服碎片</v>
      </c>
      <c r="D9324" s="224">
        <f>参数调整!$K$40*怪物掉落配置方案!$D4194</f>
        <v>1.2428692600347115E-4</v>
      </c>
    </row>
    <row r="9325" spans="1:4" ht="16.5" hidden="1" x14ac:dyDescent="0.3">
      <c r="A9325" s="10" t="str">
        <f>基本属性!$B$11&amp;"|"&amp;基本属性!$C$11</f>
        <v>80|1</v>
      </c>
      <c r="B9325" s="10" t="str">
        <f>参数调整!$J$40</f>
        <v>新增怪物种类5掉落</v>
      </c>
      <c r="C9325" s="8" t="str">
        <f>材料产出!$BB$2</f>
        <v>衣服碎片</v>
      </c>
      <c r="D9325" s="224">
        <f>参数调整!$K$40*怪物掉落配置方案!$D4195</f>
        <v>1.4267631811622965E-4</v>
      </c>
    </row>
    <row r="9326" spans="1:4" ht="16.5" hidden="1" x14ac:dyDescent="0.3">
      <c r="A9326" s="10" t="str">
        <f>基本属性!$B$12&amp;"|"&amp;基本属性!$C$12</f>
        <v>90|2</v>
      </c>
      <c r="B9326" s="10" t="str">
        <f>参数调整!$J$40</f>
        <v>新增怪物种类5掉落</v>
      </c>
      <c r="C9326" s="8" t="str">
        <f>材料产出!$BB$2</f>
        <v>衣服碎片</v>
      </c>
      <c r="D9326" s="224">
        <f>参数调整!$K$40*怪物掉落配置方案!$D4196</f>
        <v>1.6233394416779911E-4</v>
      </c>
    </row>
    <row r="9327" spans="1:4" ht="16.5" hidden="1" x14ac:dyDescent="0.3">
      <c r="A9327" s="10" t="str">
        <f>基本属性!$B$13&amp;"|"&amp;基本属性!$C$13</f>
        <v>100|3</v>
      </c>
      <c r="B9327" s="10" t="str">
        <f>参数调整!$J$40</f>
        <v>新增怪物种类5掉落</v>
      </c>
      <c r="C9327" s="8" t="str">
        <f>材料产出!$BB$2</f>
        <v>衣服碎片</v>
      </c>
      <c r="D9327" s="224">
        <f>参数调整!$K$40*怪物掉落配置方案!$D4197</f>
        <v>2.0545389808737075E-4</v>
      </c>
    </row>
    <row r="9328" spans="1:4" ht="16.5" hidden="1" x14ac:dyDescent="0.3">
      <c r="A9328" s="10" t="str">
        <f>基本属性!$B$14&amp;"|"&amp;基本属性!$C$14</f>
        <v>105|4</v>
      </c>
      <c r="B9328" s="10" t="str">
        <f>参数调整!$J$40</f>
        <v>新增怪物种类5掉落</v>
      </c>
      <c r="C9328" s="8" t="str">
        <f>材料产出!$BB$2</f>
        <v>衣服碎片</v>
      </c>
      <c r="D9328" s="224">
        <f>参数调整!$K$40*怪物掉落配置方案!$D4198</f>
        <v>2.5364678776218611E-4</v>
      </c>
    </row>
    <row r="9329" spans="1:4" ht="16.5" hidden="1" x14ac:dyDescent="0.3">
      <c r="A9329" s="10" t="str">
        <f>基本属性!$B$15&amp;"|"&amp;基本属性!$C$15</f>
        <v>110|5</v>
      </c>
      <c r="B9329" s="10" t="str">
        <f>参数调整!$J$40</f>
        <v>新增怪物种类5掉落</v>
      </c>
      <c r="C9329" s="8" t="str">
        <f>材料产出!$BB$2</f>
        <v>衣服碎片</v>
      </c>
      <c r="D9329" s="224">
        <f>参数调整!$K$40*怪物掉落配置方案!$D4199</f>
        <v>3.0691261319224519E-4</v>
      </c>
    </row>
    <row r="9330" spans="1:4" ht="16.5" hidden="1" x14ac:dyDescent="0.3">
      <c r="A9330" s="10" t="str">
        <f>基本属性!$B$16&amp;"|"&amp;基本属性!$C$16</f>
        <v>120|6</v>
      </c>
      <c r="B9330" s="10" t="str">
        <f>参数调整!$J$40</f>
        <v>新增怪物种类5掉落</v>
      </c>
      <c r="C9330" s="8" t="str">
        <f>材料产出!$BB$2</f>
        <v>衣服碎片</v>
      </c>
      <c r="D9330" s="224">
        <f>参数调整!$K$40*怪物掉落配置方案!$D4200</f>
        <v>3.9632310587841581E-4</v>
      </c>
    </row>
    <row r="9331" spans="1:4" ht="16.5" hidden="1" x14ac:dyDescent="0.3">
      <c r="A9331" s="10" t="str">
        <f>基本属性!$B$17&amp;"|"&amp;基本属性!$C$17</f>
        <v>135|7</v>
      </c>
      <c r="B9331" s="10" t="str">
        <f>参数调整!$J$40</f>
        <v>新增怪物种类5掉落</v>
      </c>
      <c r="C9331" s="8" t="str">
        <f>材料产出!$BB$2</f>
        <v>衣服碎片</v>
      </c>
      <c r="D9331" s="224">
        <f>参数调整!$K$40*怪物掉落配置方案!$D4201</f>
        <v>5.7070527246491859E-4</v>
      </c>
    </row>
    <row r="9332" spans="1:4" ht="16.5" hidden="1" x14ac:dyDescent="0.3">
      <c r="A9332" s="10" t="str">
        <f>基本属性!$B$18&amp;"|"&amp;基本属性!$C$18</f>
        <v>155|8</v>
      </c>
      <c r="B9332" s="10" t="str">
        <f>参数调整!$J$40</f>
        <v>新增怪物种类5掉落</v>
      </c>
      <c r="C9332" s="8" t="str">
        <f>材料产出!$BB$2</f>
        <v>衣服碎片</v>
      </c>
      <c r="D9332" s="224">
        <f>参数调整!$K$40*怪物掉落配置方案!$D4202</f>
        <v>7.7679328752169484E-4</v>
      </c>
    </row>
    <row r="9333" spans="1:4" ht="16.5" hidden="1" x14ac:dyDescent="0.3">
      <c r="A9333" s="10" t="str">
        <f>基本属性!$B$19&amp;"|"&amp;基本属性!$C$19</f>
        <v>190|9</v>
      </c>
      <c r="B9333" s="10" t="str">
        <f>参数调整!$J$40</f>
        <v>新增怪物种类5掉落</v>
      </c>
      <c r="C9333" s="8" t="str">
        <f>材料产出!$BB$2</f>
        <v>衣服碎片</v>
      </c>
      <c r="D9333" s="224">
        <f>参数调整!$K$40*怪物掉落配置方案!$D4203</f>
        <v>8.6810613111608186E-4</v>
      </c>
    </row>
    <row r="9334" spans="1:4" ht="16.5" hidden="1" x14ac:dyDescent="0.3">
      <c r="A9334" s="10" t="str">
        <f>基本属性!$B$20&amp;"|"&amp;基本属性!$C$20</f>
        <v>200|10</v>
      </c>
      <c r="B9334" s="10" t="str">
        <f>参数调整!$J$40</f>
        <v>新增怪物种类5掉落</v>
      </c>
      <c r="C9334" s="8" t="str">
        <f>材料产出!$BB$2</f>
        <v>衣服碎片</v>
      </c>
      <c r="D9334" s="224">
        <f>参数调整!$K$40*怪物掉落配置方案!$D4204</f>
        <v>1.0145871510487444E-3</v>
      </c>
    </row>
    <row r="9335" spans="1:4" ht="16.5" hidden="1" x14ac:dyDescent="0.3">
      <c r="A9335" s="10" t="str">
        <f>基本属性!$B$21&amp;"|"&amp;基本属性!$C$21</f>
        <v>200|11</v>
      </c>
      <c r="B9335" s="10" t="str">
        <f>参数调整!$J$40</f>
        <v>新增怪物种类5掉落</v>
      </c>
      <c r="C9335" s="8" t="str">
        <f>材料产出!$BB$2</f>
        <v>衣服碎片</v>
      </c>
      <c r="D9335" s="224">
        <f>参数调整!$K$40*怪物掉落配置方案!$D4205</f>
        <v>1.1724822764307048E-3</v>
      </c>
    </row>
    <row r="9336" spans="1:4" ht="16.5" hidden="1" x14ac:dyDescent="0.3">
      <c r="A9336" s="10" t="str">
        <f>基本属性!$B$22&amp;"|"&amp;基本属性!$C$22</f>
        <v>210|12</v>
      </c>
      <c r="B9336" s="10" t="str">
        <f>参数调整!$J$40</f>
        <v>新增怪物种类5掉落</v>
      </c>
      <c r="C9336" s="8" t="str">
        <f>材料产出!$BB$2</f>
        <v>衣服碎片</v>
      </c>
      <c r="D9336" s="224">
        <f>参数调整!$K$40*怪物掉落配置方案!$D4206</f>
        <v>1.3417915072619639E-3</v>
      </c>
    </row>
    <row r="9337" spans="1:4" ht="16.5" hidden="1" x14ac:dyDescent="0.3">
      <c r="A9337" s="10" t="str">
        <f>基本属性!$B$23&amp;"|"&amp;基本属性!$C$23</f>
        <v>210|13</v>
      </c>
      <c r="B9337" s="10" t="str">
        <f>参数调整!$J$40</f>
        <v>新增怪物种类5掉落</v>
      </c>
      <c r="C9337" s="8" t="str">
        <f>材料产出!$BB$2</f>
        <v>衣服碎片</v>
      </c>
      <c r="D9337" s="224">
        <f>参数调整!$K$40*怪物掉落配置方案!$D4207</f>
        <v>1.5225148435425221E-3</v>
      </c>
    </row>
    <row r="9338" spans="1:4" ht="16.5" hidden="1" x14ac:dyDescent="0.3">
      <c r="A9338" s="10" t="str">
        <f>基本属性!$B$24&amp;"|"&amp;基本属性!$C$24</f>
        <v>220|14</v>
      </c>
      <c r="B9338" s="10" t="str">
        <f>参数调整!$J$40</f>
        <v>新增怪物种类5掉落</v>
      </c>
      <c r="C9338" s="8" t="str">
        <f>材料产出!$BB$2</f>
        <v>衣服碎片</v>
      </c>
      <c r="D9338" s="224">
        <f>参数调整!$K$40*怪物掉落配置方案!$D4208</f>
        <v>1.7146522852723779E-3</v>
      </c>
    </row>
    <row r="9339" spans="1:4" ht="16.5" hidden="1" x14ac:dyDescent="0.3">
      <c r="A9339" s="10" t="str">
        <f>基本属性!$B$25&amp;"|"&amp;基本属性!$C$25</f>
        <v>220|15</v>
      </c>
      <c r="B9339" s="10" t="str">
        <f>参数调整!$J$40</f>
        <v>新增怪物种类5掉落</v>
      </c>
      <c r="C9339" s="8" t="str">
        <f>材料产出!$BB$2</f>
        <v>衣服碎片</v>
      </c>
      <c r="D9339" s="224">
        <f>参数调整!$K$40*怪物掉落配置方案!$D4209</f>
        <v>1.9182038324515316E-3</v>
      </c>
    </row>
    <row r="9340" spans="1:4" ht="16.5" hidden="1" x14ac:dyDescent="0.3">
      <c r="A9340" s="10" t="str">
        <f>基本属性!$B$26&amp;"|"&amp;基本属性!$C$26</f>
        <v>230|16</v>
      </c>
      <c r="B9340" s="10" t="str">
        <f>参数调整!$J$40</f>
        <v>新增怪物种类5掉落</v>
      </c>
      <c r="C9340" s="8" t="str">
        <f>材料产出!$BB$2</f>
        <v>衣服碎片</v>
      </c>
      <c r="D9340" s="224">
        <f>参数调整!$K$40*怪物掉落配置方案!$D4210</f>
        <v>2.1331694850799847E-3</v>
      </c>
    </row>
    <row r="9341" spans="1:4" ht="16.5" hidden="1" x14ac:dyDescent="0.3">
      <c r="A9341" s="10" t="str">
        <f>基本属性!$B$27&amp;"|"&amp;基本属性!$C$27</f>
        <v>230|17</v>
      </c>
      <c r="B9341" s="10" t="str">
        <f>参数调整!$J$40</f>
        <v>新增怪物种类5掉落</v>
      </c>
      <c r="C9341" s="8" t="str">
        <f>材料产出!$BB$2</f>
        <v>衣服碎片</v>
      </c>
      <c r="D9341" s="224">
        <f>参数调整!$K$40*怪物掉落配置方案!$D4211</f>
        <v>2.3595492431577355E-3</v>
      </c>
    </row>
    <row r="9342" spans="1:4" ht="16.5" hidden="1" x14ac:dyDescent="0.3">
      <c r="A9342" s="10" t="str">
        <f>基本属性!$B$28&amp;"|"&amp;基本属性!$C$28</f>
        <v>240|18</v>
      </c>
      <c r="B9342" s="10" t="str">
        <f>参数调整!$J$40</f>
        <v>新增怪物种类5掉落</v>
      </c>
      <c r="C9342" s="8" t="str">
        <f>材料产出!$BB$2</f>
        <v>衣服碎片</v>
      </c>
      <c r="D9342" s="224">
        <f>参数调整!$K$40*怪物掉落配置方案!$D4212</f>
        <v>2.5973431066847854E-3</v>
      </c>
    </row>
    <row r="9343" spans="1:4" ht="16.5" hidden="1" x14ac:dyDescent="0.3">
      <c r="A9343" s="10" t="str">
        <f>基本属性!$B$29&amp;"|"&amp;基本属性!$C$29</f>
        <v>240|19</v>
      </c>
      <c r="B9343" s="10" t="str">
        <f>参数调整!$J$40</f>
        <v>新增怪物种类5掉落</v>
      </c>
      <c r="C9343" s="8" t="str">
        <f>材料产出!$BB$2</f>
        <v>衣服碎片</v>
      </c>
      <c r="D9343" s="224">
        <f>参数调整!$K$40*怪物掉落配置方案!$D4213</f>
        <v>2.8465510756611333E-3</v>
      </c>
    </row>
    <row r="9344" spans="1:4" ht="16.5" hidden="1" x14ac:dyDescent="0.3">
      <c r="A9344" s="10" t="str">
        <f>基本属性!$B$30&amp;"|"&amp;基本属性!$C$30</f>
        <v>250|20</v>
      </c>
      <c r="B9344" s="10" t="str">
        <f>参数调整!$J$40</f>
        <v>新增怪物种类5掉落</v>
      </c>
      <c r="C9344" s="8" t="str">
        <f>材料产出!$BB$2</f>
        <v>衣服碎片</v>
      </c>
      <c r="D9344" s="224">
        <f>参数调整!$K$40*怪物掉落配置方案!$D4214</f>
        <v>3.1071731500867785E-3</v>
      </c>
    </row>
    <row r="9345" spans="1:4" ht="16.5" hidden="1" x14ac:dyDescent="0.3">
      <c r="A9345" s="10" t="str">
        <f>基本属性!$B$4&amp;"|"&amp;基本属性!$C$4</f>
        <v>35|0</v>
      </c>
      <c r="B9345" s="10" t="str">
        <f>参数调整!$J$40</f>
        <v>新增怪物种类5掉落</v>
      </c>
      <c r="C9345" s="8" t="str">
        <f>材料产出!$HX$2</f>
        <v>星座装备</v>
      </c>
      <c r="D9345" s="224">
        <f>参数调整!$K$40*怪物掉落配置方案!$D4215</f>
        <v>0</v>
      </c>
    </row>
    <row r="9346" spans="1:4" ht="16.5" hidden="1" x14ac:dyDescent="0.3">
      <c r="A9346" s="10" t="str">
        <f>基本属性!$B$5&amp;"|"&amp;基本属性!$C$5</f>
        <v>40|0</v>
      </c>
      <c r="B9346" s="10" t="str">
        <f>参数调整!$J$40</f>
        <v>新增怪物种类5掉落</v>
      </c>
      <c r="C9346" s="8" t="str">
        <f>材料产出!$HX$2</f>
        <v>星座装备</v>
      </c>
      <c r="D9346" s="224">
        <f>参数调整!$K$40*怪物掉落配置方案!$D4216</f>
        <v>0</v>
      </c>
    </row>
    <row r="9347" spans="1:4" ht="16.5" hidden="1" x14ac:dyDescent="0.3">
      <c r="A9347" s="10" t="str">
        <f>基本属性!$B$6&amp;"|"&amp;基本属性!$C$6</f>
        <v>50|0</v>
      </c>
      <c r="B9347" s="10" t="str">
        <f>参数调整!$J$40</f>
        <v>新增怪物种类5掉落</v>
      </c>
      <c r="C9347" s="8" t="str">
        <f>材料产出!$HX$2</f>
        <v>星座装备</v>
      </c>
      <c r="D9347" s="224">
        <f>参数调整!$K$40*怪物掉落配置方案!$D4217</f>
        <v>0</v>
      </c>
    </row>
    <row r="9348" spans="1:4" ht="16.5" hidden="1" x14ac:dyDescent="0.3">
      <c r="A9348" s="10" t="str">
        <f>基本属性!$B$7&amp;"|"&amp;基本属性!$C$7</f>
        <v>60|0</v>
      </c>
      <c r="B9348" s="10" t="str">
        <f>参数调整!$J$40</f>
        <v>新增怪物种类5掉落</v>
      </c>
      <c r="C9348" s="8" t="str">
        <f>材料产出!$HX$2</f>
        <v>星座装备</v>
      </c>
      <c r="D9348" s="224">
        <f>参数调整!$K$40*怪物掉落配置方案!$D4218</f>
        <v>0</v>
      </c>
    </row>
    <row r="9349" spans="1:4" ht="16.5" hidden="1" x14ac:dyDescent="0.3">
      <c r="A9349" s="10" t="str">
        <f>基本属性!$B$8&amp;"|"&amp;基本属性!$C$8</f>
        <v>65|0</v>
      </c>
      <c r="B9349" s="10" t="str">
        <f>参数调整!$J$40</f>
        <v>新增怪物种类5掉落</v>
      </c>
      <c r="C9349" s="8" t="str">
        <f>材料产出!$HX$2</f>
        <v>星座装备</v>
      </c>
      <c r="D9349" s="224">
        <f>参数调整!$K$40*怪物掉落配置方案!$D4219</f>
        <v>0</v>
      </c>
    </row>
    <row r="9350" spans="1:4" ht="16.5" hidden="1" x14ac:dyDescent="0.3">
      <c r="A9350" s="10" t="str">
        <f>基本属性!$B$9&amp;"|"&amp;基本属性!$C$9</f>
        <v>70|0</v>
      </c>
      <c r="B9350" s="10" t="str">
        <f>参数调整!$J$40</f>
        <v>新增怪物种类5掉落</v>
      </c>
      <c r="C9350" s="8" t="str">
        <f>材料产出!$HX$2</f>
        <v>星座装备</v>
      </c>
      <c r="D9350" s="224">
        <f>参数调整!$K$40*怪物掉落配置方案!$D4220</f>
        <v>0</v>
      </c>
    </row>
    <row r="9351" spans="1:4" ht="16.5" hidden="1" x14ac:dyDescent="0.3">
      <c r="A9351" s="10" t="str">
        <f>基本属性!$B$10&amp;"|"&amp;基本属性!$C$10</f>
        <v>75|0</v>
      </c>
      <c r="B9351" s="10" t="str">
        <f>参数调整!$J$40</f>
        <v>新增怪物种类5掉落</v>
      </c>
      <c r="C9351" s="8" t="str">
        <f>材料产出!$HX$2</f>
        <v>星座装备</v>
      </c>
      <c r="D9351" s="224">
        <f>参数调整!$K$40*怪物掉落配置方案!$D4221</f>
        <v>0</v>
      </c>
    </row>
    <row r="9352" spans="1:4" ht="16.5" hidden="1" x14ac:dyDescent="0.3">
      <c r="A9352" s="10" t="str">
        <f>基本属性!$B$11&amp;"|"&amp;基本属性!$C$11</f>
        <v>80|1</v>
      </c>
      <c r="B9352" s="10" t="str">
        <f>参数调整!$J$40</f>
        <v>新增怪物种类5掉落</v>
      </c>
      <c r="C9352" s="8" t="str">
        <f>材料产出!$HX$2</f>
        <v>星座装备</v>
      </c>
      <c r="D9352" s="224">
        <f>参数调整!$K$40*怪物掉落配置方案!$D4222</f>
        <v>0</v>
      </c>
    </row>
    <row r="9353" spans="1:4" ht="16.5" hidden="1" x14ac:dyDescent="0.3">
      <c r="A9353" s="10" t="str">
        <f>基本属性!$B$12&amp;"|"&amp;基本属性!$C$12</f>
        <v>90|2</v>
      </c>
      <c r="B9353" s="10" t="str">
        <f>参数调整!$J$40</f>
        <v>新增怪物种类5掉落</v>
      </c>
      <c r="C9353" s="8" t="str">
        <f>材料产出!$HX$2</f>
        <v>星座装备</v>
      </c>
      <c r="D9353" s="224">
        <f>参数调整!$K$40*怪物掉落配置方案!$D4223</f>
        <v>0</v>
      </c>
    </row>
    <row r="9354" spans="1:4" ht="16.5" hidden="1" x14ac:dyDescent="0.3">
      <c r="A9354" s="10" t="str">
        <f>基本属性!$B$13&amp;"|"&amp;基本属性!$C$13</f>
        <v>100|3</v>
      </c>
      <c r="B9354" s="10" t="str">
        <f>参数调整!$J$40</f>
        <v>新增怪物种类5掉落</v>
      </c>
      <c r="C9354" s="8" t="str">
        <f>材料产出!$HX$2</f>
        <v>星座装备</v>
      </c>
      <c r="D9354" s="224">
        <f>参数调整!$K$40*怪物掉落配置方案!$D4224</f>
        <v>0</v>
      </c>
    </row>
    <row r="9355" spans="1:4" ht="16.5" hidden="1" x14ac:dyDescent="0.3">
      <c r="A9355" s="10" t="str">
        <f>基本属性!$B$14&amp;"|"&amp;基本属性!$C$14</f>
        <v>105|4</v>
      </c>
      <c r="B9355" s="10" t="str">
        <f>参数调整!$J$40</f>
        <v>新增怪物种类5掉落</v>
      </c>
      <c r="C9355" s="8" t="str">
        <f>材料产出!$HX$2</f>
        <v>星座装备</v>
      </c>
      <c r="D9355" s="224">
        <f>参数调整!$K$40*怪物掉落配置方案!$D4225</f>
        <v>0</v>
      </c>
    </row>
    <row r="9356" spans="1:4" ht="16.5" hidden="1" x14ac:dyDescent="0.3">
      <c r="A9356" s="10" t="str">
        <f>基本属性!$B$15&amp;"|"&amp;基本属性!$C$15</f>
        <v>110|5</v>
      </c>
      <c r="B9356" s="10" t="str">
        <f>参数调整!$J$40</f>
        <v>新增怪物种类5掉落</v>
      </c>
      <c r="C9356" s="8" t="str">
        <f>材料产出!$HX$2</f>
        <v>星座装备</v>
      </c>
      <c r="D9356" s="224">
        <f>参数调整!$K$40*怪物掉落配置方案!$D4226</f>
        <v>0</v>
      </c>
    </row>
    <row r="9357" spans="1:4" ht="16.5" hidden="1" x14ac:dyDescent="0.3">
      <c r="A9357" s="10" t="str">
        <f>基本属性!$B$16&amp;"|"&amp;基本属性!$C$16</f>
        <v>120|6</v>
      </c>
      <c r="B9357" s="10" t="str">
        <f>参数调整!$J$40</f>
        <v>新增怪物种类5掉落</v>
      </c>
      <c r="C9357" s="8" t="str">
        <f>材料产出!$HX$2</f>
        <v>星座装备</v>
      </c>
      <c r="D9357" s="224">
        <f>参数调整!$K$40*怪物掉落配置方案!$D4227</f>
        <v>0</v>
      </c>
    </row>
    <row r="9358" spans="1:4" ht="16.5" hidden="1" x14ac:dyDescent="0.3">
      <c r="A9358" s="10" t="str">
        <f>基本属性!$B$17&amp;"|"&amp;基本属性!$C$17</f>
        <v>135|7</v>
      </c>
      <c r="B9358" s="10" t="str">
        <f>参数调整!$J$40</f>
        <v>新增怪物种类5掉落</v>
      </c>
      <c r="C9358" s="8" t="str">
        <f>材料产出!$HX$2</f>
        <v>星座装备</v>
      </c>
      <c r="D9358" s="224">
        <f>参数调整!$K$40*怪物掉落配置方案!$D4228</f>
        <v>0</v>
      </c>
    </row>
    <row r="9359" spans="1:4" ht="16.5" hidden="1" x14ac:dyDescent="0.3">
      <c r="A9359" s="10" t="str">
        <f>基本属性!$B$18&amp;"|"&amp;基本属性!$C$18</f>
        <v>155|8</v>
      </c>
      <c r="B9359" s="10" t="str">
        <f>参数调整!$J$40</f>
        <v>新增怪物种类5掉落</v>
      </c>
      <c r="C9359" s="8" t="str">
        <f>材料产出!$HX$2</f>
        <v>星座装备</v>
      </c>
      <c r="D9359" s="224">
        <f>参数调整!$K$40*怪物掉落配置方案!$D4229</f>
        <v>0</v>
      </c>
    </row>
    <row r="9360" spans="1:4" ht="16.5" hidden="1" x14ac:dyDescent="0.3">
      <c r="A9360" s="10" t="str">
        <f>基本属性!$B$19&amp;"|"&amp;基本属性!$C$19</f>
        <v>190|9</v>
      </c>
      <c r="B9360" s="10" t="str">
        <f>参数调整!$J$40</f>
        <v>新增怪物种类5掉落</v>
      </c>
      <c r="C9360" s="8" t="str">
        <f>材料产出!$HX$2</f>
        <v>星座装备</v>
      </c>
      <c r="D9360" s="224">
        <f>参数调整!$K$40*怪物掉落配置方案!$D4230</f>
        <v>0</v>
      </c>
    </row>
    <row r="9361" spans="1:4" ht="16.5" hidden="1" x14ac:dyDescent="0.3">
      <c r="A9361" s="10" t="str">
        <f>基本属性!$B$20&amp;"|"&amp;基本属性!$C$20</f>
        <v>200|10</v>
      </c>
      <c r="B9361" s="10" t="str">
        <f>参数调整!$J$40</f>
        <v>新增怪物种类5掉落</v>
      </c>
      <c r="C9361" s="8" t="str">
        <f>材料产出!$HX$2</f>
        <v>星座装备</v>
      </c>
      <c r="D9361" s="224">
        <f>参数调整!$K$40*怪物掉落配置方案!$D4231</f>
        <v>0</v>
      </c>
    </row>
    <row r="9362" spans="1:4" ht="16.5" hidden="1" x14ac:dyDescent="0.3">
      <c r="A9362" s="10" t="str">
        <f>基本属性!$B$21&amp;"|"&amp;基本属性!$C$21</f>
        <v>200|11</v>
      </c>
      <c r="B9362" s="10" t="str">
        <f>参数调整!$J$40</f>
        <v>新增怪物种类5掉落</v>
      </c>
      <c r="C9362" s="8" t="str">
        <f>材料产出!$HX$2</f>
        <v>星座装备</v>
      </c>
      <c r="D9362" s="224">
        <f>参数调整!$K$40*怪物掉落配置方案!$D4232</f>
        <v>0</v>
      </c>
    </row>
    <row r="9363" spans="1:4" ht="16.5" hidden="1" x14ac:dyDescent="0.3">
      <c r="A9363" s="10" t="str">
        <f>基本属性!$B$22&amp;"|"&amp;基本属性!$C$22</f>
        <v>210|12</v>
      </c>
      <c r="B9363" s="10" t="str">
        <f>参数调整!$J$40</f>
        <v>新增怪物种类5掉落</v>
      </c>
      <c r="C9363" s="8" t="str">
        <f>材料产出!$HX$2</f>
        <v>星座装备</v>
      </c>
      <c r="D9363" s="224">
        <f>参数调整!$K$40*怪物掉落配置方案!$D4233</f>
        <v>0</v>
      </c>
    </row>
    <row r="9364" spans="1:4" ht="16.5" hidden="1" x14ac:dyDescent="0.3">
      <c r="A9364" s="10" t="str">
        <f>基本属性!$B$23&amp;"|"&amp;基本属性!$C$23</f>
        <v>210|13</v>
      </c>
      <c r="B9364" s="10" t="str">
        <f>参数调整!$J$40</f>
        <v>新增怪物种类5掉落</v>
      </c>
      <c r="C9364" s="8" t="str">
        <f>材料产出!$HX$2</f>
        <v>星座装备</v>
      </c>
      <c r="D9364" s="224">
        <f>参数调整!$K$40*怪物掉落配置方案!$D4234</f>
        <v>0</v>
      </c>
    </row>
    <row r="9365" spans="1:4" ht="16.5" hidden="1" x14ac:dyDescent="0.3">
      <c r="A9365" s="10" t="str">
        <f>基本属性!$B$24&amp;"|"&amp;基本属性!$C$24</f>
        <v>220|14</v>
      </c>
      <c r="B9365" s="10" t="str">
        <f>参数调整!$J$40</f>
        <v>新增怪物种类5掉落</v>
      </c>
      <c r="C9365" s="8" t="str">
        <f>材料产出!$HX$2</f>
        <v>星座装备</v>
      </c>
      <c r="D9365" s="224">
        <f>参数调整!$K$40*怪物掉落配置方案!$D4235</f>
        <v>0</v>
      </c>
    </row>
    <row r="9366" spans="1:4" ht="16.5" hidden="1" x14ac:dyDescent="0.3">
      <c r="A9366" s="10" t="str">
        <f>基本属性!$B$25&amp;"|"&amp;基本属性!$C$25</f>
        <v>220|15</v>
      </c>
      <c r="B9366" s="10" t="str">
        <f>参数调整!$J$40</f>
        <v>新增怪物种类5掉落</v>
      </c>
      <c r="C9366" s="8" t="str">
        <f>材料产出!$HX$2</f>
        <v>星座装备</v>
      </c>
      <c r="D9366" s="224">
        <f>参数调整!$K$40*怪物掉落配置方案!$D4236</f>
        <v>0</v>
      </c>
    </row>
    <row r="9367" spans="1:4" ht="16.5" hidden="1" x14ac:dyDescent="0.3">
      <c r="A9367" s="10" t="str">
        <f>基本属性!$B$26&amp;"|"&amp;基本属性!$C$26</f>
        <v>230|16</v>
      </c>
      <c r="B9367" s="10" t="str">
        <f>参数调整!$J$40</f>
        <v>新增怪物种类5掉落</v>
      </c>
      <c r="C9367" s="8" t="str">
        <f>材料产出!$HX$2</f>
        <v>星座装备</v>
      </c>
      <c r="D9367" s="224">
        <f>参数调整!$K$40*怪物掉落配置方案!$D4237</f>
        <v>0</v>
      </c>
    </row>
    <row r="9368" spans="1:4" ht="16.5" hidden="1" x14ac:dyDescent="0.3">
      <c r="A9368" s="10" t="str">
        <f>基本属性!$B$27&amp;"|"&amp;基本属性!$C$27</f>
        <v>230|17</v>
      </c>
      <c r="B9368" s="10" t="str">
        <f>参数调整!$J$40</f>
        <v>新增怪物种类5掉落</v>
      </c>
      <c r="C9368" s="8" t="str">
        <f>材料产出!$HX$2</f>
        <v>星座装备</v>
      </c>
      <c r="D9368" s="224">
        <f>参数调整!$K$40*怪物掉落配置方案!$D4238</f>
        <v>0</v>
      </c>
    </row>
    <row r="9369" spans="1:4" ht="16.5" hidden="1" x14ac:dyDescent="0.3">
      <c r="A9369" s="10" t="str">
        <f>基本属性!$B$28&amp;"|"&amp;基本属性!$C$28</f>
        <v>240|18</v>
      </c>
      <c r="B9369" s="10" t="str">
        <f>参数调整!$J$40</f>
        <v>新增怪物种类5掉落</v>
      </c>
      <c r="C9369" s="8" t="str">
        <f>材料产出!$HX$2</f>
        <v>星座装备</v>
      </c>
      <c r="D9369" s="224">
        <f>参数调整!$K$40*怪物掉落配置方案!$D4239</f>
        <v>0</v>
      </c>
    </row>
    <row r="9370" spans="1:4" ht="16.5" hidden="1" x14ac:dyDescent="0.3">
      <c r="A9370" s="10" t="str">
        <f>基本属性!$B$29&amp;"|"&amp;基本属性!$C$29</f>
        <v>240|19</v>
      </c>
      <c r="B9370" s="10" t="str">
        <f>参数调整!$J$40</f>
        <v>新增怪物种类5掉落</v>
      </c>
      <c r="C9370" s="8" t="str">
        <f>材料产出!$HX$2</f>
        <v>星座装备</v>
      </c>
      <c r="D9370" s="224">
        <f>参数调整!$K$40*怪物掉落配置方案!$D4240</f>
        <v>0</v>
      </c>
    </row>
    <row r="9371" spans="1:4" ht="16.5" hidden="1" x14ac:dyDescent="0.3">
      <c r="A9371" s="10" t="str">
        <f>基本属性!$B$30&amp;"|"&amp;基本属性!$C$30</f>
        <v>250|20</v>
      </c>
      <c r="B9371" s="10" t="str">
        <f>参数调整!$J$40</f>
        <v>新增怪物种类5掉落</v>
      </c>
      <c r="C9371" s="8" t="str">
        <f>材料产出!$HX$2</f>
        <v>星座装备</v>
      </c>
      <c r="D9371" s="224">
        <f>参数调整!$K$40*怪物掉落配置方案!$D4241</f>
        <v>0</v>
      </c>
    </row>
    <row r="9372" spans="1:4" ht="16.5" hidden="1" x14ac:dyDescent="0.3">
      <c r="A9372" s="10" t="str">
        <f>基本属性!$B$4&amp;"|"&amp;基本属性!$C$4</f>
        <v>35|0</v>
      </c>
      <c r="B9372" s="10" t="str">
        <f>参数调整!$J$40</f>
        <v>新增怪物种类5掉落</v>
      </c>
      <c r="C9372" s="8" t="str">
        <f>材料产出!$BX$2</f>
        <v>新增材料9</v>
      </c>
      <c r="D9372" s="224">
        <f>参数调整!$K$40*怪物掉落配置方案!$D4242</f>
        <v>0</v>
      </c>
    </row>
    <row r="9373" spans="1:4" ht="16.5" hidden="1" x14ac:dyDescent="0.3">
      <c r="A9373" s="10" t="str">
        <f>基本属性!$B$5&amp;"|"&amp;基本属性!$C$5</f>
        <v>40|0</v>
      </c>
      <c r="B9373" s="10" t="str">
        <f>参数调整!$J$40</f>
        <v>新增怪物种类5掉落</v>
      </c>
      <c r="C9373" s="8" t="str">
        <f>材料产出!$BX$2</f>
        <v>新增材料9</v>
      </c>
      <c r="D9373" s="224">
        <f>参数调整!$K$40*怪物掉落配置方案!$D4243</f>
        <v>0</v>
      </c>
    </row>
    <row r="9374" spans="1:4" ht="16.5" hidden="1" x14ac:dyDescent="0.3">
      <c r="A9374" s="10" t="str">
        <f>基本属性!$B$6&amp;"|"&amp;基本属性!$C$6</f>
        <v>50|0</v>
      </c>
      <c r="B9374" s="10" t="str">
        <f>参数调整!$J$40</f>
        <v>新增怪物种类5掉落</v>
      </c>
      <c r="C9374" s="8" t="str">
        <f>材料产出!$BX$2</f>
        <v>新增材料9</v>
      </c>
      <c r="D9374" s="224">
        <f>参数调整!$K$40*怪物掉落配置方案!$D4244</f>
        <v>0</v>
      </c>
    </row>
    <row r="9375" spans="1:4" ht="16.5" hidden="1" x14ac:dyDescent="0.3">
      <c r="A9375" s="10" t="str">
        <f>基本属性!$B$7&amp;"|"&amp;基本属性!$C$7</f>
        <v>60|0</v>
      </c>
      <c r="B9375" s="10" t="str">
        <f>参数调整!$J$40</f>
        <v>新增怪物种类5掉落</v>
      </c>
      <c r="C9375" s="8" t="str">
        <f>材料产出!$BX$2</f>
        <v>新增材料9</v>
      </c>
      <c r="D9375" s="224">
        <f>参数调整!$K$40*怪物掉落配置方案!$D4245</f>
        <v>0</v>
      </c>
    </row>
    <row r="9376" spans="1:4" ht="16.5" hidden="1" x14ac:dyDescent="0.3">
      <c r="A9376" s="10" t="str">
        <f>基本属性!$B$8&amp;"|"&amp;基本属性!$C$8</f>
        <v>65|0</v>
      </c>
      <c r="B9376" s="10" t="str">
        <f>参数调整!$J$40</f>
        <v>新增怪物种类5掉落</v>
      </c>
      <c r="C9376" s="8" t="str">
        <f>材料产出!$BX$2</f>
        <v>新增材料9</v>
      </c>
      <c r="D9376" s="224">
        <f>参数调整!$K$40*怪物掉落配置方案!$D4246</f>
        <v>0</v>
      </c>
    </row>
    <row r="9377" spans="1:4" ht="16.5" hidden="1" x14ac:dyDescent="0.3">
      <c r="A9377" s="10" t="str">
        <f>基本属性!$B$9&amp;"|"&amp;基本属性!$C$9</f>
        <v>70|0</v>
      </c>
      <c r="B9377" s="10" t="str">
        <f>参数调整!$J$40</f>
        <v>新增怪物种类5掉落</v>
      </c>
      <c r="C9377" s="8" t="str">
        <f>材料产出!$BX$2</f>
        <v>新增材料9</v>
      </c>
      <c r="D9377" s="224">
        <f>参数调整!$K$40*怪物掉落配置方案!$D4247</f>
        <v>0</v>
      </c>
    </row>
    <row r="9378" spans="1:4" ht="16.5" hidden="1" x14ac:dyDescent="0.3">
      <c r="A9378" s="10" t="str">
        <f>基本属性!$B$10&amp;"|"&amp;基本属性!$C$10</f>
        <v>75|0</v>
      </c>
      <c r="B9378" s="10" t="str">
        <f>参数调整!$J$40</f>
        <v>新增怪物种类5掉落</v>
      </c>
      <c r="C9378" s="8" t="str">
        <f>材料产出!$BX$2</f>
        <v>新增材料9</v>
      </c>
      <c r="D9378" s="224">
        <f>参数调整!$K$40*怪物掉落配置方案!$D4248</f>
        <v>0</v>
      </c>
    </row>
    <row r="9379" spans="1:4" ht="16.5" hidden="1" x14ac:dyDescent="0.3">
      <c r="A9379" s="10" t="str">
        <f>基本属性!$B$11&amp;"|"&amp;基本属性!$C$11</f>
        <v>80|1</v>
      </c>
      <c r="B9379" s="10" t="str">
        <f>参数调整!$J$40</f>
        <v>新增怪物种类5掉落</v>
      </c>
      <c r="C9379" s="8" t="str">
        <f>材料产出!$BX$2</f>
        <v>新增材料9</v>
      </c>
      <c r="D9379" s="224">
        <f>参数调整!$K$40*怪物掉落配置方案!$D4249</f>
        <v>0</v>
      </c>
    </row>
    <row r="9380" spans="1:4" ht="16.5" hidden="1" x14ac:dyDescent="0.3">
      <c r="A9380" s="10" t="str">
        <f>基本属性!$B$12&amp;"|"&amp;基本属性!$C$12</f>
        <v>90|2</v>
      </c>
      <c r="B9380" s="10" t="str">
        <f>参数调整!$J$40</f>
        <v>新增怪物种类5掉落</v>
      </c>
      <c r="C9380" s="8" t="str">
        <f>材料产出!$BX$2</f>
        <v>新增材料9</v>
      </c>
      <c r="D9380" s="224">
        <f>参数调整!$K$40*怪物掉落配置方案!$D4250</f>
        <v>0</v>
      </c>
    </row>
    <row r="9381" spans="1:4" ht="16.5" hidden="1" x14ac:dyDescent="0.3">
      <c r="A9381" s="10" t="str">
        <f>基本属性!$B$13&amp;"|"&amp;基本属性!$C$13</f>
        <v>100|3</v>
      </c>
      <c r="B9381" s="10" t="str">
        <f>参数调整!$J$40</f>
        <v>新增怪物种类5掉落</v>
      </c>
      <c r="C9381" s="8" t="str">
        <f>材料产出!$BX$2</f>
        <v>新增材料9</v>
      </c>
      <c r="D9381" s="224">
        <f>参数调整!$K$40*怪物掉落配置方案!$D4251</f>
        <v>0</v>
      </c>
    </row>
    <row r="9382" spans="1:4" ht="16.5" hidden="1" x14ac:dyDescent="0.3">
      <c r="A9382" s="10" t="str">
        <f>基本属性!$B$14&amp;"|"&amp;基本属性!$C$14</f>
        <v>105|4</v>
      </c>
      <c r="B9382" s="10" t="str">
        <f>参数调整!$J$40</f>
        <v>新增怪物种类5掉落</v>
      </c>
      <c r="C9382" s="8" t="str">
        <f>材料产出!$BX$2</f>
        <v>新增材料9</v>
      </c>
      <c r="D9382" s="224">
        <f>参数调整!$K$40*怪物掉落配置方案!$D4252</f>
        <v>0</v>
      </c>
    </row>
    <row r="9383" spans="1:4" ht="16.5" hidden="1" x14ac:dyDescent="0.3">
      <c r="A9383" s="10" t="str">
        <f>基本属性!$B$15&amp;"|"&amp;基本属性!$C$15</f>
        <v>110|5</v>
      </c>
      <c r="B9383" s="10" t="str">
        <f>参数调整!$J$40</f>
        <v>新增怪物种类5掉落</v>
      </c>
      <c r="C9383" s="8" t="str">
        <f>材料产出!$BX$2</f>
        <v>新增材料9</v>
      </c>
      <c r="D9383" s="224">
        <f>参数调整!$K$40*怪物掉落配置方案!$D4253</f>
        <v>0</v>
      </c>
    </row>
    <row r="9384" spans="1:4" ht="16.5" hidden="1" x14ac:dyDescent="0.3">
      <c r="A9384" s="10" t="str">
        <f>基本属性!$B$16&amp;"|"&amp;基本属性!$C$16</f>
        <v>120|6</v>
      </c>
      <c r="B9384" s="10" t="str">
        <f>参数调整!$J$40</f>
        <v>新增怪物种类5掉落</v>
      </c>
      <c r="C9384" s="8" t="str">
        <f>材料产出!$BX$2</f>
        <v>新增材料9</v>
      </c>
      <c r="D9384" s="224">
        <f>参数调整!$K$40*怪物掉落配置方案!$D4254</f>
        <v>0</v>
      </c>
    </row>
    <row r="9385" spans="1:4" ht="16.5" hidden="1" x14ac:dyDescent="0.3">
      <c r="A9385" s="10" t="str">
        <f>基本属性!$B$17&amp;"|"&amp;基本属性!$C$17</f>
        <v>135|7</v>
      </c>
      <c r="B9385" s="10" t="str">
        <f>参数调整!$J$40</f>
        <v>新增怪物种类5掉落</v>
      </c>
      <c r="C9385" s="8" t="str">
        <f>材料产出!$BX$2</f>
        <v>新增材料9</v>
      </c>
      <c r="D9385" s="224">
        <f>参数调整!$K$40*怪物掉落配置方案!$D4255</f>
        <v>0</v>
      </c>
    </row>
    <row r="9386" spans="1:4" ht="16.5" hidden="1" x14ac:dyDescent="0.3">
      <c r="A9386" s="10" t="str">
        <f>基本属性!$B$18&amp;"|"&amp;基本属性!$C$18</f>
        <v>155|8</v>
      </c>
      <c r="B9386" s="10" t="str">
        <f>参数调整!$J$40</f>
        <v>新增怪物种类5掉落</v>
      </c>
      <c r="C9386" s="8" t="str">
        <f>材料产出!$BX$2</f>
        <v>新增材料9</v>
      </c>
      <c r="D9386" s="224">
        <f>参数调整!$K$40*怪物掉落配置方案!$D4256</f>
        <v>0</v>
      </c>
    </row>
    <row r="9387" spans="1:4" ht="16.5" hidden="1" x14ac:dyDescent="0.3">
      <c r="A9387" s="10" t="str">
        <f>基本属性!$B$19&amp;"|"&amp;基本属性!$C$19</f>
        <v>190|9</v>
      </c>
      <c r="B9387" s="10" t="str">
        <f>参数调整!$J$40</f>
        <v>新增怪物种类5掉落</v>
      </c>
      <c r="C9387" s="8" t="str">
        <f>材料产出!$BX$2</f>
        <v>新增材料9</v>
      </c>
      <c r="D9387" s="224">
        <f>参数调整!$K$40*怪物掉落配置方案!$D4257</f>
        <v>0</v>
      </c>
    </row>
    <row r="9388" spans="1:4" ht="16.5" hidden="1" x14ac:dyDescent="0.3">
      <c r="A9388" s="10" t="str">
        <f>基本属性!$B$20&amp;"|"&amp;基本属性!$C$20</f>
        <v>200|10</v>
      </c>
      <c r="B9388" s="10" t="str">
        <f>参数调整!$J$40</f>
        <v>新增怪物种类5掉落</v>
      </c>
      <c r="C9388" s="8" t="str">
        <f>材料产出!$BX$2</f>
        <v>新增材料9</v>
      </c>
      <c r="D9388" s="224">
        <f>参数调整!$K$40*怪物掉落配置方案!$D4258</f>
        <v>0</v>
      </c>
    </row>
    <row r="9389" spans="1:4" ht="16.5" hidden="1" x14ac:dyDescent="0.3">
      <c r="A9389" s="10" t="str">
        <f>基本属性!$B$21&amp;"|"&amp;基本属性!$C$21</f>
        <v>200|11</v>
      </c>
      <c r="B9389" s="10" t="str">
        <f>参数调整!$J$40</f>
        <v>新增怪物种类5掉落</v>
      </c>
      <c r="C9389" s="8" t="str">
        <f>材料产出!$BX$2</f>
        <v>新增材料9</v>
      </c>
      <c r="D9389" s="224">
        <f>参数调整!$K$40*怪物掉落配置方案!$D4259</f>
        <v>0</v>
      </c>
    </row>
    <row r="9390" spans="1:4" ht="16.5" hidden="1" x14ac:dyDescent="0.3">
      <c r="A9390" s="10" t="str">
        <f>基本属性!$B$22&amp;"|"&amp;基本属性!$C$22</f>
        <v>210|12</v>
      </c>
      <c r="B9390" s="10" t="str">
        <f>参数调整!$J$40</f>
        <v>新增怪物种类5掉落</v>
      </c>
      <c r="C9390" s="8" t="str">
        <f>材料产出!$BX$2</f>
        <v>新增材料9</v>
      </c>
      <c r="D9390" s="224">
        <f>参数调整!$K$40*怪物掉落配置方案!$D4260</f>
        <v>0</v>
      </c>
    </row>
    <row r="9391" spans="1:4" ht="16.5" hidden="1" x14ac:dyDescent="0.3">
      <c r="A9391" s="10" t="str">
        <f>基本属性!$B$23&amp;"|"&amp;基本属性!$C$23</f>
        <v>210|13</v>
      </c>
      <c r="B9391" s="10" t="str">
        <f>参数调整!$J$40</f>
        <v>新增怪物种类5掉落</v>
      </c>
      <c r="C9391" s="8" t="str">
        <f>材料产出!$BX$2</f>
        <v>新增材料9</v>
      </c>
      <c r="D9391" s="224">
        <f>参数调整!$K$40*怪物掉落配置方案!$D4261</f>
        <v>0</v>
      </c>
    </row>
    <row r="9392" spans="1:4" ht="16.5" hidden="1" x14ac:dyDescent="0.3">
      <c r="A9392" s="10" t="str">
        <f>基本属性!$B$24&amp;"|"&amp;基本属性!$C$24</f>
        <v>220|14</v>
      </c>
      <c r="B9392" s="10" t="str">
        <f>参数调整!$J$40</f>
        <v>新增怪物种类5掉落</v>
      </c>
      <c r="C9392" s="8" t="str">
        <f>材料产出!$BX$2</f>
        <v>新增材料9</v>
      </c>
      <c r="D9392" s="224">
        <f>参数调整!$K$40*怪物掉落配置方案!$D4262</f>
        <v>0</v>
      </c>
    </row>
    <row r="9393" spans="1:4" ht="16.5" hidden="1" x14ac:dyDescent="0.3">
      <c r="A9393" s="10" t="str">
        <f>基本属性!$B$25&amp;"|"&amp;基本属性!$C$25</f>
        <v>220|15</v>
      </c>
      <c r="B9393" s="10" t="str">
        <f>参数调整!$J$40</f>
        <v>新增怪物种类5掉落</v>
      </c>
      <c r="C9393" s="8" t="str">
        <f>材料产出!$BX$2</f>
        <v>新增材料9</v>
      </c>
      <c r="D9393" s="224">
        <f>参数调整!$K$40*怪物掉落配置方案!$D4263</f>
        <v>0</v>
      </c>
    </row>
    <row r="9394" spans="1:4" ht="16.5" hidden="1" x14ac:dyDescent="0.3">
      <c r="A9394" s="10" t="str">
        <f>基本属性!$B$26&amp;"|"&amp;基本属性!$C$26</f>
        <v>230|16</v>
      </c>
      <c r="B9394" s="10" t="str">
        <f>参数调整!$J$40</f>
        <v>新增怪物种类5掉落</v>
      </c>
      <c r="C9394" s="8" t="str">
        <f>材料产出!$BX$2</f>
        <v>新增材料9</v>
      </c>
      <c r="D9394" s="224">
        <f>参数调整!$K$40*怪物掉落配置方案!$D4264</f>
        <v>0</v>
      </c>
    </row>
    <row r="9395" spans="1:4" ht="16.5" hidden="1" x14ac:dyDescent="0.3">
      <c r="A9395" s="10" t="str">
        <f>基本属性!$B$27&amp;"|"&amp;基本属性!$C$27</f>
        <v>230|17</v>
      </c>
      <c r="B9395" s="10" t="str">
        <f>参数调整!$J$40</f>
        <v>新增怪物种类5掉落</v>
      </c>
      <c r="C9395" s="8" t="str">
        <f>材料产出!$BX$2</f>
        <v>新增材料9</v>
      </c>
      <c r="D9395" s="224">
        <f>参数调整!$K$40*怪物掉落配置方案!$D4265</f>
        <v>0</v>
      </c>
    </row>
    <row r="9396" spans="1:4" ht="16.5" hidden="1" x14ac:dyDescent="0.3">
      <c r="A9396" s="10" t="str">
        <f>基本属性!$B$28&amp;"|"&amp;基本属性!$C$28</f>
        <v>240|18</v>
      </c>
      <c r="B9396" s="10" t="str">
        <f>参数调整!$J$40</f>
        <v>新增怪物种类5掉落</v>
      </c>
      <c r="C9396" s="8" t="str">
        <f>材料产出!$BX$2</f>
        <v>新增材料9</v>
      </c>
      <c r="D9396" s="224">
        <f>参数调整!$K$40*怪物掉落配置方案!$D4266</f>
        <v>0</v>
      </c>
    </row>
    <row r="9397" spans="1:4" ht="16.5" hidden="1" x14ac:dyDescent="0.3">
      <c r="A9397" s="10" t="str">
        <f>基本属性!$B$29&amp;"|"&amp;基本属性!$C$29</f>
        <v>240|19</v>
      </c>
      <c r="B9397" s="10" t="str">
        <f>参数调整!$J$40</f>
        <v>新增怪物种类5掉落</v>
      </c>
      <c r="C9397" s="8" t="str">
        <f>材料产出!$BX$2</f>
        <v>新增材料9</v>
      </c>
      <c r="D9397" s="224">
        <f>参数调整!$K$40*怪物掉落配置方案!$D4267</f>
        <v>0</v>
      </c>
    </row>
    <row r="9398" spans="1:4" ht="16.5" hidden="1" x14ac:dyDescent="0.3">
      <c r="A9398" s="10" t="str">
        <f>基本属性!$B$30&amp;"|"&amp;基本属性!$C$30</f>
        <v>250|20</v>
      </c>
      <c r="B9398" s="10" t="str">
        <f>参数调整!$J$40</f>
        <v>新增怪物种类5掉落</v>
      </c>
      <c r="C9398" s="8" t="str">
        <f>材料产出!$BX$2</f>
        <v>新增材料9</v>
      </c>
      <c r="D9398" s="224">
        <f>参数调整!$K$40*怪物掉落配置方案!$D4268</f>
        <v>0</v>
      </c>
    </row>
    <row r="9399" spans="1:4" ht="16.5" hidden="1" x14ac:dyDescent="0.3">
      <c r="A9399" s="10" t="str">
        <f>基本属性!$B$4&amp;"|"&amp;基本属性!$C$4</f>
        <v>35|0</v>
      </c>
      <c r="B9399" s="10" t="str">
        <f>参数调整!$J$40</f>
        <v>新增怪物种类5掉落</v>
      </c>
      <c r="C9399" s="8" t="str">
        <f>材料产出!$BV$2</f>
        <v>新增材料8</v>
      </c>
      <c r="D9399" s="224">
        <f>参数调整!$K$40*怪物掉落配置方案!$D4269</f>
        <v>0</v>
      </c>
    </row>
    <row r="9400" spans="1:4" ht="16.5" hidden="1" x14ac:dyDescent="0.3">
      <c r="A9400" s="10" t="str">
        <f>基本属性!$B$5&amp;"|"&amp;基本属性!$C$5</f>
        <v>40|0</v>
      </c>
      <c r="B9400" s="10" t="str">
        <f>参数调整!$J$40</f>
        <v>新增怪物种类5掉落</v>
      </c>
      <c r="C9400" s="8" t="str">
        <f>材料产出!$BV$2</f>
        <v>新增材料8</v>
      </c>
      <c r="D9400" s="224">
        <f>参数调整!$K$40*怪物掉落配置方案!$D4270</f>
        <v>0</v>
      </c>
    </row>
    <row r="9401" spans="1:4" ht="16.5" hidden="1" x14ac:dyDescent="0.3">
      <c r="A9401" s="10" t="str">
        <f>基本属性!$B$6&amp;"|"&amp;基本属性!$C$6</f>
        <v>50|0</v>
      </c>
      <c r="B9401" s="10" t="str">
        <f>参数调整!$J$40</f>
        <v>新增怪物种类5掉落</v>
      </c>
      <c r="C9401" s="8" t="str">
        <f>材料产出!$BV$2</f>
        <v>新增材料8</v>
      </c>
      <c r="D9401" s="224">
        <f>参数调整!$K$40*怪物掉落配置方案!$D4271</f>
        <v>0</v>
      </c>
    </row>
    <row r="9402" spans="1:4" ht="16.5" hidden="1" x14ac:dyDescent="0.3">
      <c r="A9402" s="10" t="str">
        <f>基本属性!$B$7&amp;"|"&amp;基本属性!$C$7</f>
        <v>60|0</v>
      </c>
      <c r="B9402" s="10" t="str">
        <f>参数调整!$J$40</f>
        <v>新增怪物种类5掉落</v>
      </c>
      <c r="C9402" s="8" t="str">
        <f>材料产出!$BV$2</f>
        <v>新增材料8</v>
      </c>
      <c r="D9402" s="224">
        <f>参数调整!$K$40*怪物掉落配置方案!$D4272</f>
        <v>0</v>
      </c>
    </row>
    <row r="9403" spans="1:4" ht="16.5" hidden="1" x14ac:dyDescent="0.3">
      <c r="A9403" s="10" t="str">
        <f>基本属性!$B$8&amp;"|"&amp;基本属性!$C$8</f>
        <v>65|0</v>
      </c>
      <c r="B9403" s="10" t="str">
        <f>参数调整!$J$40</f>
        <v>新增怪物种类5掉落</v>
      </c>
      <c r="C9403" s="8" t="str">
        <f>材料产出!$BV$2</f>
        <v>新增材料8</v>
      </c>
      <c r="D9403" s="224">
        <f>参数调整!$K$40*怪物掉落配置方案!$D4273</f>
        <v>0</v>
      </c>
    </row>
    <row r="9404" spans="1:4" ht="16.5" hidden="1" x14ac:dyDescent="0.3">
      <c r="A9404" s="10" t="str">
        <f>基本属性!$B$9&amp;"|"&amp;基本属性!$C$9</f>
        <v>70|0</v>
      </c>
      <c r="B9404" s="10" t="str">
        <f>参数调整!$J$40</f>
        <v>新增怪物种类5掉落</v>
      </c>
      <c r="C9404" s="8" t="str">
        <f>材料产出!$BV$2</f>
        <v>新增材料8</v>
      </c>
      <c r="D9404" s="224">
        <f>参数调整!$K$40*怪物掉落配置方案!$D4274</f>
        <v>0</v>
      </c>
    </row>
    <row r="9405" spans="1:4" ht="16.5" hidden="1" x14ac:dyDescent="0.3">
      <c r="A9405" s="10" t="str">
        <f>基本属性!$B$10&amp;"|"&amp;基本属性!$C$10</f>
        <v>75|0</v>
      </c>
      <c r="B9405" s="10" t="str">
        <f>参数调整!$J$40</f>
        <v>新增怪物种类5掉落</v>
      </c>
      <c r="C9405" s="8" t="str">
        <f>材料产出!$BV$2</f>
        <v>新增材料8</v>
      </c>
      <c r="D9405" s="224">
        <f>参数调整!$K$40*怪物掉落配置方案!$D4275</f>
        <v>0</v>
      </c>
    </row>
    <row r="9406" spans="1:4" ht="16.5" hidden="1" x14ac:dyDescent="0.3">
      <c r="A9406" s="10" t="str">
        <f>基本属性!$B$11&amp;"|"&amp;基本属性!$C$11</f>
        <v>80|1</v>
      </c>
      <c r="B9406" s="10" t="str">
        <f>参数调整!$J$40</f>
        <v>新增怪物种类5掉落</v>
      </c>
      <c r="C9406" s="8" t="str">
        <f>材料产出!$BV$2</f>
        <v>新增材料8</v>
      </c>
      <c r="D9406" s="224">
        <f>参数调整!$K$40*怪物掉落配置方案!$D4276</f>
        <v>0</v>
      </c>
    </row>
    <row r="9407" spans="1:4" ht="16.5" hidden="1" x14ac:dyDescent="0.3">
      <c r="A9407" s="10" t="str">
        <f>基本属性!$B$12&amp;"|"&amp;基本属性!$C$12</f>
        <v>90|2</v>
      </c>
      <c r="B9407" s="10" t="str">
        <f>参数调整!$J$40</f>
        <v>新增怪物种类5掉落</v>
      </c>
      <c r="C9407" s="8" t="str">
        <f>材料产出!$BV$2</f>
        <v>新增材料8</v>
      </c>
      <c r="D9407" s="224">
        <f>参数调整!$K$40*怪物掉落配置方案!$D4277</f>
        <v>0</v>
      </c>
    </row>
    <row r="9408" spans="1:4" ht="16.5" hidden="1" x14ac:dyDescent="0.3">
      <c r="A9408" s="10" t="str">
        <f>基本属性!$B$13&amp;"|"&amp;基本属性!$C$13</f>
        <v>100|3</v>
      </c>
      <c r="B9408" s="10" t="str">
        <f>参数调整!$J$40</f>
        <v>新增怪物种类5掉落</v>
      </c>
      <c r="C9408" s="8" t="str">
        <f>材料产出!$BV$2</f>
        <v>新增材料8</v>
      </c>
      <c r="D9408" s="224">
        <f>参数调整!$K$40*怪物掉落配置方案!$D4278</f>
        <v>0</v>
      </c>
    </row>
    <row r="9409" spans="1:4" ht="16.5" hidden="1" x14ac:dyDescent="0.3">
      <c r="A9409" s="10" t="str">
        <f>基本属性!$B$14&amp;"|"&amp;基本属性!$C$14</f>
        <v>105|4</v>
      </c>
      <c r="B9409" s="10" t="str">
        <f>参数调整!$J$40</f>
        <v>新增怪物种类5掉落</v>
      </c>
      <c r="C9409" s="8" t="str">
        <f>材料产出!$BV$2</f>
        <v>新增材料8</v>
      </c>
      <c r="D9409" s="224">
        <f>参数调整!$K$40*怪物掉落配置方案!$D4279</f>
        <v>0</v>
      </c>
    </row>
    <row r="9410" spans="1:4" ht="16.5" hidden="1" x14ac:dyDescent="0.3">
      <c r="A9410" s="10" t="str">
        <f>基本属性!$B$15&amp;"|"&amp;基本属性!$C$15</f>
        <v>110|5</v>
      </c>
      <c r="B9410" s="10" t="str">
        <f>参数调整!$J$40</f>
        <v>新增怪物种类5掉落</v>
      </c>
      <c r="C9410" s="8" t="str">
        <f>材料产出!$BV$2</f>
        <v>新增材料8</v>
      </c>
      <c r="D9410" s="224">
        <f>参数调整!$K$40*怪物掉落配置方案!$D4280</f>
        <v>0</v>
      </c>
    </row>
    <row r="9411" spans="1:4" ht="16.5" hidden="1" x14ac:dyDescent="0.3">
      <c r="A9411" s="10" t="str">
        <f>基本属性!$B$16&amp;"|"&amp;基本属性!$C$16</f>
        <v>120|6</v>
      </c>
      <c r="B9411" s="10" t="str">
        <f>参数调整!$J$40</f>
        <v>新增怪物种类5掉落</v>
      </c>
      <c r="C9411" s="8" t="str">
        <f>材料产出!$BV$2</f>
        <v>新增材料8</v>
      </c>
      <c r="D9411" s="224">
        <f>参数调整!$K$40*怪物掉落配置方案!$D4281</f>
        <v>0</v>
      </c>
    </row>
    <row r="9412" spans="1:4" ht="16.5" hidden="1" x14ac:dyDescent="0.3">
      <c r="A9412" s="10" t="str">
        <f>基本属性!$B$17&amp;"|"&amp;基本属性!$C$17</f>
        <v>135|7</v>
      </c>
      <c r="B9412" s="10" t="str">
        <f>参数调整!$J$40</f>
        <v>新增怪物种类5掉落</v>
      </c>
      <c r="C9412" s="8" t="str">
        <f>材料产出!$BV$2</f>
        <v>新增材料8</v>
      </c>
      <c r="D9412" s="224">
        <f>参数调整!$K$40*怪物掉落配置方案!$D4282</f>
        <v>0</v>
      </c>
    </row>
    <row r="9413" spans="1:4" ht="16.5" hidden="1" x14ac:dyDescent="0.3">
      <c r="A9413" s="10" t="str">
        <f>基本属性!$B$18&amp;"|"&amp;基本属性!$C$18</f>
        <v>155|8</v>
      </c>
      <c r="B9413" s="10" t="str">
        <f>参数调整!$J$40</f>
        <v>新增怪物种类5掉落</v>
      </c>
      <c r="C9413" s="8" t="str">
        <f>材料产出!$BV$2</f>
        <v>新增材料8</v>
      </c>
      <c r="D9413" s="224">
        <f>参数调整!$K$40*怪物掉落配置方案!$D4283</f>
        <v>0</v>
      </c>
    </row>
    <row r="9414" spans="1:4" ht="16.5" hidden="1" x14ac:dyDescent="0.3">
      <c r="A9414" s="10" t="str">
        <f>基本属性!$B$19&amp;"|"&amp;基本属性!$C$19</f>
        <v>190|9</v>
      </c>
      <c r="B9414" s="10" t="str">
        <f>参数调整!$J$40</f>
        <v>新增怪物种类5掉落</v>
      </c>
      <c r="C9414" s="8" t="str">
        <f>材料产出!$BV$2</f>
        <v>新增材料8</v>
      </c>
      <c r="D9414" s="224">
        <f>参数调整!$K$40*怪物掉落配置方案!$D4284</f>
        <v>0</v>
      </c>
    </row>
    <row r="9415" spans="1:4" ht="16.5" hidden="1" x14ac:dyDescent="0.3">
      <c r="A9415" s="10" t="str">
        <f>基本属性!$B$20&amp;"|"&amp;基本属性!$C$20</f>
        <v>200|10</v>
      </c>
      <c r="B9415" s="10" t="str">
        <f>参数调整!$J$40</f>
        <v>新增怪物种类5掉落</v>
      </c>
      <c r="C9415" s="8" t="str">
        <f>材料产出!$BV$2</f>
        <v>新增材料8</v>
      </c>
      <c r="D9415" s="224">
        <f>参数调整!$K$40*怪物掉落配置方案!$D4285</f>
        <v>0</v>
      </c>
    </row>
    <row r="9416" spans="1:4" ht="16.5" hidden="1" x14ac:dyDescent="0.3">
      <c r="A9416" s="10" t="str">
        <f>基本属性!$B$21&amp;"|"&amp;基本属性!$C$21</f>
        <v>200|11</v>
      </c>
      <c r="B9416" s="10" t="str">
        <f>参数调整!$J$40</f>
        <v>新增怪物种类5掉落</v>
      </c>
      <c r="C9416" s="8" t="str">
        <f>材料产出!$BV$2</f>
        <v>新增材料8</v>
      </c>
      <c r="D9416" s="224">
        <f>参数调整!$K$40*怪物掉落配置方案!$D4286</f>
        <v>0</v>
      </c>
    </row>
    <row r="9417" spans="1:4" ht="16.5" hidden="1" x14ac:dyDescent="0.3">
      <c r="A9417" s="10" t="str">
        <f>基本属性!$B$22&amp;"|"&amp;基本属性!$C$22</f>
        <v>210|12</v>
      </c>
      <c r="B9417" s="10" t="str">
        <f>参数调整!$J$40</f>
        <v>新增怪物种类5掉落</v>
      </c>
      <c r="C9417" s="8" t="str">
        <f>材料产出!$BV$2</f>
        <v>新增材料8</v>
      </c>
      <c r="D9417" s="224">
        <f>参数调整!$K$40*怪物掉落配置方案!$D4287</f>
        <v>0</v>
      </c>
    </row>
    <row r="9418" spans="1:4" ht="16.5" hidden="1" x14ac:dyDescent="0.3">
      <c r="A9418" s="10" t="str">
        <f>基本属性!$B$23&amp;"|"&amp;基本属性!$C$23</f>
        <v>210|13</v>
      </c>
      <c r="B9418" s="10" t="str">
        <f>参数调整!$J$40</f>
        <v>新增怪物种类5掉落</v>
      </c>
      <c r="C9418" s="8" t="str">
        <f>材料产出!$BV$2</f>
        <v>新增材料8</v>
      </c>
      <c r="D9418" s="224">
        <f>参数调整!$K$40*怪物掉落配置方案!$D4288</f>
        <v>0</v>
      </c>
    </row>
    <row r="9419" spans="1:4" ht="16.5" hidden="1" x14ac:dyDescent="0.3">
      <c r="A9419" s="10" t="str">
        <f>基本属性!$B$24&amp;"|"&amp;基本属性!$C$24</f>
        <v>220|14</v>
      </c>
      <c r="B9419" s="10" t="str">
        <f>参数调整!$J$40</f>
        <v>新增怪物种类5掉落</v>
      </c>
      <c r="C9419" s="8" t="str">
        <f>材料产出!$BV$2</f>
        <v>新增材料8</v>
      </c>
      <c r="D9419" s="224">
        <f>参数调整!$K$40*怪物掉落配置方案!$D4289</f>
        <v>0</v>
      </c>
    </row>
    <row r="9420" spans="1:4" ht="16.5" hidden="1" x14ac:dyDescent="0.3">
      <c r="A9420" s="10" t="str">
        <f>基本属性!$B$25&amp;"|"&amp;基本属性!$C$25</f>
        <v>220|15</v>
      </c>
      <c r="B9420" s="10" t="str">
        <f>参数调整!$J$40</f>
        <v>新增怪物种类5掉落</v>
      </c>
      <c r="C9420" s="8" t="str">
        <f>材料产出!$BV$2</f>
        <v>新增材料8</v>
      </c>
      <c r="D9420" s="224">
        <f>参数调整!$K$40*怪物掉落配置方案!$D4290</f>
        <v>0</v>
      </c>
    </row>
    <row r="9421" spans="1:4" ht="16.5" hidden="1" x14ac:dyDescent="0.3">
      <c r="A9421" s="10" t="str">
        <f>基本属性!$B$26&amp;"|"&amp;基本属性!$C$26</f>
        <v>230|16</v>
      </c>
      <c r="B9421" s="10" t="str">
        <f>参数调整!$J$40</f>
        <v>新增怪物种类5掉落</v>
      </c>
      <c r="C9421" s="8" t="str">
        <f>材料产出!$BV$2</f>
        <v>新增材料8</v>
      </c>
      <c r="D9421" s="224">
        <f>参数调整!$K$40*怪物掉落配置方案!$D4291</f>
        <v>0</v>
      </c>
    </row>
    <row r="9422" spans="1:4" ht="16.5" hidden="1" x14ac:dyDescent="0.3">
      <c r="A9422" s="10" t="str">
        <f>基本属性!$B$27&amp;"|"&amp;基本属性!$C$27</f>
        <v>230|17</v>
      </c>
      <c r="B9422" s="10" t="str">
        <f>参数调整!$J$40</f>
        <v>新增怪物种类5掉落</v>
      </c>
      <c r="C9422" s="8" t="str">
        <f>材料产出!$BV$2</f>
        <v>新增材料8</v>
      </c>
      <c r="D9422" s="224">
        <f>参数调整!$K$40*怪物掉落配置方案!$D4292</f>
        <v>0</v>
      </c>
    </row>
    <row r="9423" spans="1:4" ht="16.5" hidden="1" x14ac:dyDescent="0.3">
      <c r="A9423" s="10" t="str">
        <f>基本属性!$B$28&amp;"|"&amp;基本属性!$C$28</f>
        <v>240|18</v>
      </c>
      <c r="B9423" s="10" t="str">
        <f>参数调整!$J$40</f>
        <v>新增怪物种类5掉落</v>
      </c>
      <c r="C9423" s="8" t="str">
        <f>材料产出!$BV$2</f>
        <v>新增材料8</v>
      </c>
      <c r="D9423" s="224">
        <f>参数调整!$K$40*怪物掉落配置方案!$D4293</f>
        <v>0</v>
      </c>
    </row>
    <row r="9424" spans="1:4" ht="16.5" hidden="1" x14ac:dyDescent="0.3">
      <c r="A9424" s="10" t="str">
        <f>基本属性!$B$29&amp;"|"&amp;基本属性!$C$29</f>
        <v>240|19</v>
      </c>
      <c r="B9424" s="10" t="str">
        <f>参数调整!$J$40</f>
        <v>新增怪物种类5掉落</v>
      </c>
      <c r="C9424" s="8" t="str">
        <f>材料产出!$BV$2</f>
        <v>新增材料8</v>
      </c>
      <c r="D9424" s="224">
        <f>参数调整!$K$40*怪物掉落配置方案!$D4294</f>
        <v>0</v>
      </c>
    </row>
    <row r="9425" spans="1:4" ht="16.5" hidden="1" x14ac:dyDescent="0.3">
      <c r="A9425" s="10" t="str">
        <f>基本属性!$B$30&amp;"|"&amp;基本属性!$C$30</f>
        <v>250|20</v>
      </c>
      <c r="B9425" s="10" t="str">
        <f>参数调整!$J$40</f>
        <v>新增怪物种类5掉落</v>
      </c>
      <c r="C9425" s="8" t="str">
        <f>材料产出!$BV$2</f>
        <v>新增材料8</v>
      </c>
      <c r="D9425" s="224">
        <f>参数调整!$K$40*怪物掉落配置方案!$D4295</f>
        <v>0</v>
      </c>
    </row>
    <row r="9426" spans="1:4" ht="16.5" hidden="1" x14ac:dyDescent="0.3">
      <c r="A9426" s="10" t="str">
        <f>基本属性!$B$4&amp;"|"&amp;基本属性!$C$4</f>
        <v>35|0</v>
      </c>
      <c r="B9426" s="10" t="str">
        <f>参数调整!$J$40</f>
        <v>新增怪物种类5掉落</v>
      </c>
      <c r="C9426" s="8" t="str">
        <f>材料产出!$BT$2</f>
        <v>新增材料7</v>
      </c>
      <c r="D9426" s="224">
        <f>参数调整!$K$40*怪物掉落配置方案!$D4296</f>
        <v>0</v>
      </c>
    </row>
    <row r="9427" spans="1:4" ht="16.5" hidden="1" x14ac:dyDescent="0.3">
      <c r="A9427" s="10" t="str">
        <f>基本属性!$B$5&amp;"|"&amp;基本属性!$C$5</f>
        <v>40|0</v>
      </c>
      <c r="B9427" s="10" t="str">
        <f>参数调整!$J$40</f>
        <v>新增怪物种类5掉落</v>
      </c>
      <c r="C9427" s="8" t="str">
        <f>材料产出!$BT$2</f>
        <v>新增材料7</v>
      </c>
      <c r="D9427" s="224">
        <f>参数调整!$K$40*怪物掉落配置方案!$D4297</f>
        <v>0</v>
      </c>
    </row>
    <row r="9428" spans="1:4" ht="16.5" hidden="1" x14ac:dyDescent="0.3">
      <c r="A9428" s="10" t="str">
        <f>基本属性!$B$6&amp;"|"&amp;基本属性!$C$6</f>
        <v>50|0</v>
      </c>
      <c r="B9428" s="10" t="str">
        <f>参数调整!$J$40</f>
        <v>新增怪物种类5掉落</v>
      </c>
      <c r="C9428" s="8" t="str">
        <f>材料产出!$BT$2</f>
        <v>新增材料7</v>
      </c>
      <c r="D9428" s="224">
        <f>参数调整!$K$40*怪物掉落配置方案!$D4298</f>
        <v>0</v>
      </c>
    </row>
    <row r="9429" spans="1:4" ht="16.5" hidden="1" x14ac:dyDescent="0.3">
      <c r="A9429" s="10" t="str">
        <f>基本属性!$B$7&amp;"|"&amp;基本属性!$C$7</f>
        <v>60|0</v>
      </c>
      <c r="B9429" s="10" t="str">
        <f>参数调整!$J$40</f>
        <v>新增怪物种类5掉落</v>
      </c>
      <c r="C9429" s="8" t="str">
        <f>材料产出!$BT$2</f>
        <v>新增材料7</v>
      </c>
      <c r="D9429" s="224">
        <f>参数调整!$K$40*怪物掉落配置方案!$D4299</f>
        <v>0</v>
      </c>
    </row>
    <row r="9430" spans="1:4" ht="16.5" hidden="1" x14ac:dyDescent="0.3">
      <c r="A9430" s="10" t="str">
        <f>基本属性!$B$8&amp;"|"&amp;基本属性!$C$8</f>
        <v>65|0</v>
      </c>
      <c r="B9430" s="10" t="str">
        <f>参数调整!$J$40</f>
        <v>新增怪物种类5掉落</v>
      </c>
      <c r="C9430" s="8" t="str">
        <f>材料产出!$BT$2</f>
        <v>新增材料7</v>
      </c>
      <c r="D9430" s="224">
        <f>参数调整!$K$40*怪物掉落配置方案!$D4300</f>
        <v>0</v>
      </c>
    </row>
    <row r="9431" spans="1:4" ht="16.5" hidden="1" x14ac:dyDescent="0.3">
      <c r="A9431" s="10" t="str">
        <f>基本属性!$B$9&amp;"|"&amp;基本属性!$C$9</f>
        <v>70|0</v>
      </c>
      <c r="B9431" s="10" t="str">
        <f>参数调整!$J$40</f>
        <v>新增怪物种类5掉落</v>
      </c>
      <c r="C9431" s="8" t="str">
        <f>材料产出!$BT$2</f>
        <v>新增材料7</v>
      </c>
      <c r="D9431" s="224">
        <f>参数调整!$K$40*怪物掉落配置方案!$D4301</f>
        <v>0</v>
      </c>
    </row>
    <row r="9432" spans="1:4" ht="16.5" hidden="1" x14ac:dyDescent="0.3">
      <c r="A9432" s="10" t="str">
        <f>基本属性!$B$10&amp;"|"&amp;基本属性!$C$10</f>
        <v>75|0</v>
      </c>
      <c r="B9432" s="10" t="str">
        <f>参数调整!$J$40</f>
        <v>新增怪物种类5掉落</v>
      </c>
      <c r="C9432" s="8" t="str">
        <f>材料产出!$BT$2</f>
        <v>新增材料7</v>
      </c>
      <c r="D9432" s="224">
        <f>参数调整!$K$40*怪物掉落配置方案!$D4302</f>
        <v>0</v>
      </c>
    </row>
    <row r="9433" spans="1:4" ht="16.5" hidden="1" x14ac:dyDescent="0.3">
      <c r="A9433" s="10" t="str">
        <f>基本属性!$B$11&amp;"|"&amp;基本属性!$C$11</f>
        <v>80|1</v>
      </c>
      <c r="B9433" s="10" t="str">
        <f>参数调整!$J$40</f>
        <v>新增怪物种类5掉落</v>
      </c>
      <c r="C9433" s="8" t="str">
        <f>材料产出!$BT$2</f>
        <v>新增材料7</v>
      </c>
      <c r="D9433" s="224">
        <f>参数调整!$K$40*怪物掉落配置方案!$D4303</f>
        <v>0</v>
      </c>
    </row>
    <row r="9434" spans="1:4" ht="16.5" hidden="1" x14ac:dyDescent="0.3">
      <c r="A9434" s="10" t="str">
        <f>基本属性!$B$12&amp;"|"&amp;基本属性!$C$12</f>
        <v>90|2</v>
      </c>
      <c r="B9434" s="10" t="str">
        <f>参数调整!$J$40</f>
        <v>新增怪物种类5掉落</v>
      </c>
      <c r="C9434" s="8" t="str">
        <f>材料产出!$BT$2</f>
        <v>新增材料7</v>
      </c>
      <c r="D9434" s="224">
        <f>参数调整!$K$40*怪物掉落配置方案!$D4304</f>
        <v>0</v>
      </c>
    </row>
    <row r="9435" spans="1:4" ht="16.5" hidden="1" x14ac:dyDescent="0.3">
      <c r="A9435" s="10" t="str">
        <f>基本属性!$B$13&amp;"|"&amp;基本属性!$C$13</f>
        <v>100|3</v>
      </c>
      <c r="B9435" s="10" t="str">
        <f>参数调整!$J$40</f>
        <v>新增怪物种类5掉落</v>
      </c>
      <c r="C9435" s="8" t="str">
        <f>材料产出!$BT$2</f>
        <v>新增材料7</v>
      </c>
      <c r="D9435" s="224">
        <f>参数调整!$K$40*怪物掉落配置方案!$D4305</f>
        <v>0</v>
      </c>
    </row>
    <row r="9436" spans="1:4" ht="16.5" hidden="1" x14ac:dyDescent="0.3">
      <c r="A9436" s="10" t="str">
        <f>基本属性!$B$14&amp;"|"&amp;基本属性!$C$14</f>
        <v>105|4</v>
      </c>
      <c r="B9436" s="10" t="str">
        <f>参数调整!$J$40</f>
        <v>新增怪物种类5掉落</v>
      </c>
      <c r="C9436" s="8" t="str">
        <f>材料产出!$BT$2</f>
        <v>新增材料7</v>
      </c>
      <c r="D9436" s="224">
        <f>参数调整!$K$40*怪物掉落配置方案!$D4306</f>
        <v>0</v>
      </c>
    </row>
    <row r="9437" spans="1:4" ht="16.5" hidden="1" x14ac:dyDescent="0.3">
      <c r="A9437" s="10" t="str">
        <f>基本属性!$B$15&amp;"|"&amp;基本属性!$C$15</f>
        <v>110|5</v>
      </c>
      <c r="B9437" s="10" t="str">
        <f>参数调整!$J$40</f>
        <v>新增怪物种类5掉落</v>
      </c>
      <c r="C9437" s="8" t="str">
        <f>材料产出!$BT$2</f>
        <v>新增材料7</v>
      </c>
      <c r="D9437" s="224">
        <f>参数调整!$K$40*怪物掉落配置方案!$D4307</f>
        <v>0</v>
      </c>
    </row>
    <row r="9438" spans="1:4" ht="16.5" hidden="1" x14ac:dyDescent="0.3">
      <c r="A9438" s="10" t="str">
        <f>基本属性!$B$16&amp;"|"&amp;基本属性!$C$16</f>
        <v>120|6</v>
      </c>
      <c r="B9438" s="10" t="str">
        <f>参数调整!$J$40</f>
        <v>新增怪物种类5掉落</v>
      </c>
      <c r="C9438" s="8" t="str">
        <f>材料产出!$BT$2</f>
        <v>新增材料7</v>
      </c>
      <c r="D9438" s="224">
        <f>参数调整!$K$40*怪物掉落配置方案!$D4308</f>
        <v>0</v>
      </c>
    </row>
    <row r="9439" spans="1:4" ht="16.5" hidden="1" x14ac:dyDescent="0.3">
      <c r="A9439" s="10" t="str">
        <f>基本属性!$B$17&amp;"|"&amp;基本属性!$C$17</f>
        <v>135|7</v>
      </c>
      <c r="B9439" s="10" t="str">
        <f>参数调整!$J$40</f>
        <v>新增怪物种类5掉落</v>
      </c>
      <c r="C9439" s="8" t="str">
        <f>材料产出!$BT$2</f>
        <v>新增材料7</v>
      </c>
      <c r="D9439" s="224">
        <f>参数调整!$K$40*怪物掉落配置方案!$D4309</f>
        <v>0</v>
      </c>
    </row>
    <row r="9440" spans="1:4" ht="16.5" hidden="1" x14ac:dyDescent="0.3">
      <c r="A9440" s="10" t="str">
        <f>基本属性!$B$18&amp;"|"&amp;基本属性!$C$18</f>
        <v>155|8</v>
      </c>
      <c r="B9440" s="10" t="str">
        <f>参数调整!$J$40</f>
        <v>新增怪物种类5掉落</v>
      </c>
      <c r="C9440" s="8" t="str">
        <f>材料产出!$BT$2</f>
        <v>新增材料7</v>
      </c>
      <c r="D9440" s="224">
        <f>参数调整!$K$40*怪物掉落配置方案!$D4310</f>
        <v>0</v>
      </c>
    </row>
    <row r="9441" spans="1:4" ht="16.5" hidden="1" x14ac:dyDescent="0.3">
      <c r="A9441" s="10" t="str">
        <f>基本属性!$B$19&amp;"|"&amp;基本属性!$C$19</f>
        <v>190|9</v>
      </c>
      <c r="B9441" s="10" t="str">
        <f>参数调整!$J$40</f>
        <v>新增怪物种类5掉落</v>
      </c>
      <c r="C9441" s="8" t="str">
        <f>材料产出!$BT$2</f>
        <v>新增材料7</v>
      </c>
      <c r="D9441" s="224">
        <f>参数调整!$K$40*怪物掉落配置方案!$D4311</f>
        <v>0</v>
      </c>
    </row>
    <row r="9442" spans="1:4" ht="16.5" hidden="1" x14ac:dyDescent="0.3">
      <c r="A9442" s="10" t="str">
        <f>基本属性!$B$20&amp;"|"&amp;基本属性!$C$20</f>
        <v>200|10</v>
      </c>
      <c r="B9442" s="10" t="str">
        <f>参数调整!$J$40</f>
        <v>新增怪物种类5掉落</v>
      </c>
      <c r="C9442" s="8" t="str">
        <f>材料产出!$BT$2</f>
        <v>新增材料7</v>
      </c>
      <c r="D9442" s="224">
        <f>参数调整!$K$40*怪物掉落配置方案!$D4312</f>
        <v>0</v>
      </c>
    </row>
    <row r="9443" spans="1:4" ht="16.5" hidden="1" x14ac:dyDescent="0.3">
      <c r="A9443" s="10" t="str">
        <f>基本属性!$B$21&amp;"|"&amp;基本属性!$C$21</f>
        <v>200|11</v>
      </c>
      <c r="B9443" s="10" t="str">
        <f>参数调整!$J$40</f>
        <v>新增怪物种类5掉落</v>
      </c>
      <c r="C9443" s="8" t="str">
        <f>材料产出!$BT$2</f>
        <v>新增材料7</v>
      </c>
      <c r="D9443" s="224">
        <f>参数调整!$K$40*怪物掉落配置方案!$D4313</f>
        <v>0</v>
      </c>
    </row>
    <row r="9444" spans="1:4" ht="16.5" hidden="1" x14ac:dyDescent="0.3">
      <c r="A9444" s="10" t="str">
        <f>基本属性!$B$22&amp;"|"&amp;基本属性!$C$22</f>
        <v>210|12</v>
      </c>
      <c r="B9444" s="10" t="str">
        <f>参数调整!$J$40</f>
        <v>新增怪物种类5掉落</v>
      </c>
      <c r="C9444" s="8" t="str">
        <f>材料产出!$BT$2</f>
        <v>新增材料7</v>
      </c>
      <c r="D9444" s="224">
        <f>参数调整!$K$40*怪物掉落配置方案!$D4314</f>
        <v>0</v>
      </c>
    </row>
    <row r="9445" spans="1:4" ht="16.5" hidden="1" x14ac:dyDescent="0.3">
      <c r="A9445" s="10" t="str">
        <f>基本属性!$B$23&amp;"|"&amp;基本属性!$C$23</f>
        <v>210|13</v>
      </c>
      <c r="B9445" s="10" t="str">
        <f>参数调整!$J$40</f>
        <v>新增怪物种类5掉落</v>
      </c>
      <c r="C9445" s="8" t="str">
        <f>材料产出!$BT$2</f>
        <v>新增材料7</v>
      </c>
      <c r="D9445" s="224">
        <f>参数调整!$K$40*怪物掉落配置方案!$D4315</f>
        <v>0</v>
      </c>
    </row>
    <row r="9446" spans="1:4" ht="16.5" hidden="1" x14ac:dyDescent="0.3">
      <c r="A9446" s="10" t="str">
        <f>基本属性!$B$24&amp;"|"&amp;基本属性!$C$24</f>
        <v>220|14</v>
      </c>
      <c r="B9446" s="10" t="str">
        <f>参数调整!$J$40</f>
        <v>新增怪物种类5掉落</v>
      </c>
      <c r="C9446" s="8" t="str">
        <f>材料产出!$BT$2</f>
        <v>新增材料7</v>
      </c>
      <c r="D9446" s="224">
        <f>参数调整!$K$40*怪物掉落配置方案!$D4316</f>
        <v>0</v>
      </c>
    </row>
    <row r="9447" spans="1:4" ht="16.5" hidden="1" x14ac:dyDescent="0.3">
      <c r="A9447" s="10" t="str">
        <f>基本属性!$B$25&amp;"|"&amp;基本属性!$C$25</f>
        <v>220|15</v>
      </c>
      <c r="B9447" s="10" t="str">
        <f>参数调整!$J$40</f>
        <v>新增怪物种类5掉落</v>
      </c>
      <c r="C9447" s="8" t="str">
        <f>材料产出!$BT$2</f>
        <v>新增材料7</v>
      </c>
      <c r="D9447" s="224">
        <f>参数调整!$K$40*怪物掉落配置方案!$D4317</f>
        <v>0</v>
      </c>
    </row>
    <row r="9448" spans="1:4" ht="16.5" hidden="1" x14ac:dyDescent="0.3">
      <c r="A9448" s="10" t="str">
        <f>基本属性!$B$26&amp;"|"&amp;基本属性!$C$26</f>
        <v>230|16</v>
      </c>
      <c r="B9448" s="10" t="str">
        <f>参数调整!$J$40</f>
        <v>新增怪物种类5掉落</v>
      </c>
      <c r="C9448" s="8" t="str">
        <f>材料产出!$BT$2</f>
        <v>新增材料7</v>
      </c>
      <c r="D9448" s="224">
        <f>参数调整!$K$40*怪物掉落配置方案!$D4318</f>
        <v>0</v>
      </c>
    </row>
    <row r="9449" spans="1:4" ht="16.5" hidden="1" x14ac:dyDescent="0.3">
      <c r="A9449" s="10" t="str">
        <f>基本属性!$B$27&amp;"|"&amp;基本属性!$C$27</f>
        <v>230|17</v>
      </c>
      <c r="B9449" s="10" t="str">
        <f>参数调整!$J$40</f>
        <v>新增怪物种类5掉落</v>
      </c>
      <c r="C9449" s="8" t="str">
        <f>材料产出!$BT$2</f>
        <v>新增材料7</v>
      </c>
      <c r="D9449" s="224">
        <f>参数调整!$K$40*怪物掉落配置方案!$D4319</f>
        <v>0</v>
      </c>
    </row>
    <row r="9450" spans="1:4" ht="16.5" hidden="1" x14ac:dyDescent="0.3">
      <c r="A9450" s="10" t="str">
        <f>基本属性!$B$28&amp;"|"&amp;基本属性!$C$28</f>
        <v>240|18</v>
      </c>
      <c r="B9450" s="10" t="str">
        <f>参数调整!$J$40</f>
        <v>新增怪物种类5掉落</v>
      </c>
      <c r="C9450" s="8" t="str">
        <f>材料产出!$BT$2</f>
        <v>新增材料7</v>
      </c>
      <c r="D9450" s="224">
        <f>参数调整!$K$40*怪物掉落配置方案!$D4320</f>
        <v>0</v>
      </c>
    </row>
    <row r="9451" spans="1:4" ht="16.5" hidden="1" x14ac:dyDescent="0.3">
      <c r="A9451" s="10" t="str">
        <f>基本属性!$B$29&amp;"|"&amp;基本属性!$C$29</f>
        <v>240|19</v>
      </c>
      <c r="B9451" s="10" t="str">
        <f>参数调整!$J$40</f>
        <v>新增怪物种类5掉落</v>
      </c>
      <c r="C9451" s="8" t="str">
        <f>材料产出!$BT$2</f>
        <v>新增材料7</v>
      </c>
      <c r="D9451" s="224">
        <f>参数调整!$K$40*怪物掉落配置方案!$D4321</f>
        <v>0</v>
      </c>
    </row>
    <row r="9452" spans="1:4" ht="16.5" hidden="1" x14ac:dyDescent="0.3">
      <c r="A9452" s="10" t="str">
        <f>基本属性!$B$30&amp;"|"&amp;基本属性!$C$30</f>
        <v>250|20</v>
      </c>
      <c r="B9452" s="10" t="str">
        <f>参数调整!$J$40</f>
        <v>新增怪物种类5掉落</v>
      </c>
      <c r="C9452" s="8" t="str">
        <f>材料产出!$BT$2</f>
        <v>新增材料7</v>
      </c>
      <c r="D9452" s="224">
        <f>参数调整!$K$40*怪物掉落配置方案!$D4322</f>
        <v>0</v>
      </c>
    </row>
    <row r="9453" spans="1:4" ht="16.5" hidden="1" x14ac:dyDescent="0.3">
      <c r="A9453" s="10" t="str">
        <f>基本属性!$B$4&amp;"|"&amp;基本属性!$C$4</f>
        <v>35|0</v>
      </c>
      <c r="B9453" s="10" t="str">
        <f>参数调整!$J$40</f>
        <v>新增怪物种类5掉落</v>
      </c>
      <c r="C9453" s="8" t="str">
        <f>材料产出!$BR$2</f>
        <v>新增材料6</v>
      </c>
      <c r="D9453" s="224">
        <f>参数调整!$K$40*怪物掉落配置方案!$D4323</f>
        <v>0</v>
      </c>
    </row>
    <row r="9454" spans="1:4" ht="16.5" hidden="1" x14ac:dyDescent="0.3">
      <c r="A9454" s="10" t="str">
        <f>基本属性!$B$5&amp;"|"&amp;基本属性!$C$5</f>
        <v>40|0</v>
      </c>
      <c r="B9454" s="10" t="str">
        <f>参数调整!$J$40</f>
        <v>新增怪物种类5掉落</v>
      </c>
      <c r="C9454" s="8" t="str">
        <f>材料产出!$BR$2</f>
        <v>新增材料6</v>
      </c>
      <c r="D9454" s="224">
        <f>参数调整!$K$40*怪物掉落配置方案!$D4324</f>
        <v>0</v>
      </c>
    </row>
    <row r="9455" spans="1:4" ht="16.5" hidden="1" x14ac:dyDescent="0.3">
      <c r="A9455" s="10" t="str">
        <f>基本属性!$B$6&amp;"|"&amp;基本属性!$C$6</f>
        <v>50|0</v>
      </c>
      <c r="B9455" s="10" t="str">
        <f>参数调整!$J$40</f>
        <v>新增怪物种类5掉落</v>
      </c>
      <c r="C9455" s="8" t="str">
        <f>材料产出!$BR$2</f>
        <v>新增材料6</v>
      </c>
      <c r="D9455" s="224">
        <f>参数调整!$K$40*怪物掉落配置方案!$D4325</f>
        <v>0</v>
      </c>
    </row>
    <row r="9456" spans="1:4" ht="16.5" hidden="1" x14ac:dyDescent="0.3">
      <c r="A9456" s="10" t="str">
        <f>基本属性!$B$7&amp;"|"&amp;基本属性!$C$7</f>
        <v>60|0</v>
      </c>
      <c r="B9456" s="10" t="str">
        <f>参数调整!$J$40</f>
        <v>新增怪物种类5掉落</v>
      </c>
      <c r="C9456" s="8" t="str">
        <f>材料产出!$BR$2</f>
        <v>新增材料6</v>
      </c>
      <c r="D9456" s="224">
        <f>参数调整!$K$40*怪物掉落配置方案!$D4326</f>
        <v>0</v>
      </c>
    </row>
    <row r="9457" spans="1:4" ht="16.5" hidden="1" x14ac:dyDescent="0.3">
      <c r="A9457" s="10" t="str">
        <f>基本属性!$B$8&amp;"|"&amp;基本属性!$C$8</f>
        <v>65|0</v>
      </c>
      <c r="B9457" s="10" t="str">
        <f>参数调整!$J$40</f>
        <v>新增怪物种类5掉落</v>
      </c>
      <c r="C9457" s="8" t="str">
        <f>材料产出!$BR$2</f>
        <v>新增材料6</v>
      </c>
      <c r="D9457" s="224">
        <f>参数调整!$K$40*怪物掉落配置方案!$D4327</f>
        <v>0</v>
      </c>
    </row>
    <row r="9458" spans="1:4" ht="16.5" hidden="1" x14ac:dyDescent="0.3">
      <c r="A9458" s="10" t="str">
        <f>基本属性!$B$9&amp;"|"&amp;基本属性!$C$9</f>
        <v>70|0</v>
      </c>
      <c r="B9458" s="10" t="str">
        <f>参数调整!$J$40</f>
        <v>新增怪物种类5掉落</v>
      </c>
      <c r="C9458" s="8" t="str">
        <f>材料产出!$BR$2</f>
        <v>新增材料6</v>
      </c>
      <c r="D9458" s="224">
        <f>参数调整!$K$40*怪物掉落配置方案!$D4328</f>
        <v>0</v>
      </c>
    </row>
    <row r="9459" spans="1:4" ht="16.5" hidden="1" x14ac:dyDescent="0.3">
      <c r="A9459" s="10" t="str">
        <f>基本属性!$B$10&amp;"|"&amp;基本属性!$C$10</f>
        <v>75|0</v>
      </c>
      <c r="B9459" s="10" t="str">
        <f>参数调整!$J$40</f>
        <v>新增怪物种类5掉落</v>
      </c>
      <c r="C9459" s="8" t="str">
        <f>材料产出!$BR$2</f>
        <v>新增材料6</v>
      </c>
      <c r="D9459" s="224">
        <f>参数调整!$K$40*怪物掉落配置方案!$D4329</f>
        <v>0</v>
      </c>
    </row>
    <row r="9460" spans="1:4" ht="16.5" hidden="1" x14ac:dyDescent="0.3">
      <c r="A9460" s="10" t="str">
        <f>基本属性!$B$11&amp;"|"&amp;基本属性!$C$11</f>
        <v>80|1</v>
      </c>
      <c r="B9460" s="10" t="str">
        <f>参数调整!$J$40</f>
        <v>新增怪物种类5掉落</v>
      </c>
      <c r="C9460" s="8" t="str">
        <f>材料产出!$BR$2</f>
        <v>新增材料6</v>
      </c>
      <c r="D9460" s="224">
        <f>参数调整!$K$40*怪物掉落配置方案!$D4330</f>
        <v>0</v>
      </c>
    </row>
    <row r="9461" spans="1:4" ht="16.5" hidden="1" x14ac:dyDescent="0.3">
      <c r="A9461" s="10" t="str">
        <f>基本属性!$B$12&amp;"|"&amp;基本属性!$C$12</f>
        <v>90|2</v>
      </c>
      <c r="B9461" s="10" t="str">
        <f>参数调整!$J$40</f>
        <v>新增怪物种类5掉落</v>
      </c>
      <c r="C9461" s="8" t="str">
        <f>材料产出!$BR$2</f>
        <v>新增材料6</v>
      </c>
      <c r="D9461" s="224">
        <f>参数调整!$K$40*怪物掉落配置方案!$D4331</f>
        <v>0</v>
      </c>
    </row>
    <row r="9462" spans="1:4" ht="16.5" hidden="1" x14ac:dyDescent="0.3">
      <c r="A9462" s="10" t="str">
        <f>基本属性!$B$13&amp;"|"&amp;基本属性!$C$13</f>
        <v>100|3</v>
      </c>
      <c r="B9462" s="10" t="str">
        <f>参数调整!$J$40</f>
        <v>新增怪物种类5掉落</v>
      </c>
      <c r="C9462" s="8" t="str">
        <f>材料产出!$BR$2</f>
        <v>新增材料6</v>
      </c>
      <c r="D9462" s="224">
        <f>参数调整!$K$40*怪物掉落配置方案!$D4332</f>
        <v>0</v>
      </c>
    </row>
    <row r="9463" spans="1:4" ht="16.5" hidden="1" x14ac:dyDescent="0.3">
      <c r="A9463" s="10" t="str">
        <f>基本属性!$B$14&amp;"|"&amp;基本属性!$C$14</f>
        <v>105|4</v>
      </c>
      <c r="B9463" s="10" t="str">
        <f>参数调整!$J$40</f>
        <v>新增怪物种类5掉落</v>
      </c>
      <c r="C9463" s="8" t="str">
        <f>材料产出!$BR$2</f>
        <v>新增材料6</v>
      </c>
      <c r="D9463" s="224">
        <f>参数调整!$K$40*怪物掉落配置方案!$D4333</f>
        <v>0</v>
      </c>
    </row>
    <row r="9464" spans="1:4" ht="16.5" hidden="1" x14ac:dyDescent="0.3">
      <c r="A9464" s="10" t="str">
        <f>基本属性!$B$15&amp;"|"&amp;基本属性!$C$15</f>
        <v>110|5</v>
      </c>
      <c r="B9464" s="10" t="str">
        <f>参数调整!$J$40</f>
        <v>新增怪物种类5掉落</v>
      </c>
      <c r="C9464" s="8" t="str">
        <f>材料产出!$BR$2</f>
        <v>新增材料6</v>
      </c>
      <c r="D9464" s="224">
        <f>参数调整!$K$40*怪物掉落配置方案!$D4334</f>
        <v>0</v>
      </c>
    </row>
    <row r="9465" spans="1:4" ht="16.5" hidden="1" x14ac:dyDescent="0.3">
      <c r="A9465" s="10" t="str">
        <f>基本属性!$B$16&amp;"|"&amp;基本属性!$C$16</f>
        <v>120|6</v>
      </c>
      <c r="B9465" s="10" t="str">
        <f>参数调整!$J$40</f>
        <v>新增怪物种类5掉落</v>
      </c>
      <c r="C9465" s="8" t="str">
        <f>材料产出!$BR$2</f>
        <v>新增材料6</v>
      </c>
      <c r="D9465" s="224">
        <f>参数调整!$K$40*怪物掉落配置方案!$D4335</f>
        <v>0</v>
      </c>
    </row>
    <row r="9466" spans="1:4" ht="16.5" hidden="1" x14ac:dyDescent="0.3">
      <c r="A9466" s="10" t="str">
        <f>基本属性!$B$17&amp;"|"&amp;基本属性!$C$17</f>
        <v>135|7</v>
      </c>
      <c r="B9466" s="10" t="str">
        <f>参数调整!$J$40</f>
        <v>新增怪物种类5掉落</v>
      </c>
      <c r="C9466" s="8" t="str">
        <f>材料产出!$BR$2</f>
        <v>新增材料6</v>
      </c>
      <c r="D9466" s="224">
        <f>参数调整!$K$40*怪物掉落配置方案!$D4336</f>
        <v>0</v>
      </c>
    </row>
    <row r="9467" spans="1:4" ht="16.5" hidden="1" x14ac:dyDescent="0.3">
      <c r="A9467" s="10" t="str">
        <f>基本属性!$B$18&amp;"|"&amp;基本属性!$C$18</f>
        <v>155|8</v>
      </c>
      <c r="B9467" s="10" t="str">
        <f>参数调整!$J$40</f>
        <v>新增怪物种类5掉落</v>
      </c>
      <c r="C9467" s="8" t="str">
        <f>材料产出!$BR$2</f>
        <v>新增材料6</v>
      </c>
      <c r="D9467" s="224">
        <f>参数调整!$K$40*怪物掉落配置方案!$D4337</f>
        <v>0</v>
      </c>
    </row>
    <row r="9468" spans="1:4" ht="16.5" hidden="1" x14ac:dyDescent="0.3">
      <c r="A9468" s="10" t="str">
        <f>基本属性!$B$19&amp;"|"&amp;基本属性!$C$19</f>
        <v>190|9</v>
      </c>
      <c r="B9468" s="10" t="str">
        <f>参数调整!$J$40</f>
        <v>新增怪物种类5掉落</v>
      </c>
      <c r="C9468" s="8" t="str">
        <f>材料产出!$BR$2</f>
        <v>新增材料6</v>
      </c>
      <c r="D9468" s="224">
        <f>参数调整!$K$40*怪物掉落配置方案!$D4338</f>
        <v>0</v>
      </c>
    </row>
    <row r="9469" spans="1:4" ht="16.5" hidden="1" x14ac:dyDescent="0.3">
      <c r="A9469" s="10" t="str">
        <f>基本属性!$B$20&amp;"|"&amp;基本属性!$C$20</f>
        <v>200|10</v>
      </c>
      <c r="B9469" s="10" t="str">
        <f>参数调整!$J$40</f>
        <v>新增怪物种类5掉落</v>
      </c>
      <c r="C9469" s="8" t="str">
        <f>材料产出!$BR$2</f>
        <v>新增材料6</v>
      </c>
      <c r="D9469" s="224">
        <f>参数调整!$K$40*怪物掉落配置方案!$D4339</f>
        <v>0</v>
      </c>
    </row>
    <row r="9470" spans="1:4" ht="16.5" hidden="1" x14ac:dyDescent="0.3">
      <c r="A9470" s="10" t="str">
        <f>基本属性!$B$21&amp;"|"&amp;基本属性!$C$21</f>
        <v>200|11</v>
      </c>
      <c r="B9470" s="10" t="str">
        <f>参数调整!$J$40</f>
        <v>新增怪物种类5掉落</v>
      </c>
      <c r="C9470" s="8" t="str">
        <f>材料产出!$BR$2</f>
        <v>新增材料6</v>
      </c>
      <c r="D9470" s="224">
        <f>参数调整!$K$40*怪物掉落配置方案!$D4340</f>
        <v>0</v>
      </c>
    </row>
    <row r="9471" spans="1:4" ht="16.5" hidden="1" x14ac:dyDescent="0.3">
      <c r="A9471" s="10" t="str">
        <f>基本属性!$B$22&amp;"|"&amp;基本属性!$C$22</f>
        <v>210|12</v>
      </c>
      <c r="B9471" s="10" t="str">
        <f>参数调整!$J$40</f>
        <v>新增怪物种类5掉落</v>
      </c>
      <c r="C9471" s="8" t="str">
        <f>材料产出!$BR$2</f>
        <v>新增材料6</v>
      </c>
      <c r="D9471" s="224">
        <f>参数调整!$K$40*怪物掉落配置方案!$D4341</f>
        <v>0</v>
      </c>
    </row>
    <row r="9472" spans="1:4" ht="16.5" hidden="1" x14ac:dyDescent="0.3">
      <c r="A9472" s="10" t="str">
        <f>基本属性!$B$23&amp;"|"&amp;基本属性!$C$23</f>
        <v>210|13</v>
      </c>
      <c r="B9472" s="10" t="str">
        <f>参数调整!$J$40</f>
        <v>新增怪物种类5掉落</v>
      </c>
      <c r="C9472" s="8" t="str">
        <f>材料产出!$BR$2</f>
        <v>新增材料6</v>
      </c>
      <c r="D9472" s="224">
        <f>参数调整!$K$40*怪物掉落配置方案!$D4342</f>
        <v>0</v>
      </c>
    </row>
    <row r="9473" spans="1:4" ht="16.5" hidden="1" x14ac:dyDescent="0.3">
      <c r="A9473" s="10" t="str">
        <f>基本属性!$B$24&amp;"|"&amp;基本属性!$C$24</f>
        <v>220|14</v>
      </c>
      <c r="B9473" s="10" t="str">
        <f>参数调整!$J$40</f>
        <v>新增怪物种类5掉落</v>
      </c>
      <c r="C9473" s="8" t="str">
        <f>材料产出!$BR$2</f>
        <v>新增材料6</v>
      </c>
      <c r="D9473" s="224">
        <f>参数调整!$K$40*怪物掉落配置方案!$D4343</f>
        <v>0</v>
      </c>
    </row>
    <row r="9474" spans="1:4" ht="16.5" hidden="1" x14ac:dyDescent="0.3">
      <c r="A9474" s="10" t="str">
        <f>基本属性!$B$25&amp;"|"&amp;基本属性!$C$25</f>
        <v>220|15</v>
      </c>
      <c r="B9474" s="10" t="str">
        <f>参数调整!$J$40</f>
        <v>新增怪物种类5掉落</v>
      </c>
      <c r="C9474" s="8" t="str">
        <f>材料产出!$BR$2</f>
        <v>新增材料6</v>
      </c>
      <c r="D9474" s="224">
        <f>参数调整!$K$40*怪物掉落配置方案!$D4344</f>
        <v>0</v>
      </c>
    </row>
    <row r="9475" spans="1:4" ht="16.5" hidden="1" x14ac:dyDescent="0.3">
      <c r="A9475" s="10" t="str">
        <f>基本属性!$B$26&amp;"|"&amp;基本属性!$C$26</f>
        <v>230|16</v>
      </c>
      <c r="B9475" s="10" t="str">
        <f>参数调整!$J$40</f>
        <v>新增怪物种类5掉落</v>
      </c>
      <c r="C9475" s="8" t="str">
        <f>材料产出!$BR$2</f>
        <v>新增材料6</v>
      </c>
      <c r="D9475" s="224">
        <f>参数调整!$K$40*怪物掉落配置方案!$D4345</f>
        <v>0</v>
      </c>
    </row>
    <row r="9476" spans="1:4" ht="16.5" hidden="1" x14ac:dyDescent="0.3">
      <c r="A9476" s="10" t="str">
        <f>基本属性!$B$27&amp;"|"&amp;基本属性!$C$27</f>
        <v>230|17</v>
      </c>
      <c r="B9476" s="10" t="str">
        <f>参数调整!$J$40</f>
        <v>新增怪物种类5掉落</v>
      </c>
      <c r="C9476" s="8" t="str">
        <f>材料产出!$BR$2</f>
        <v>新增材料6</v>
      </c>
      <c r="D9476" s="224">
        <f>参数调整!$K$40*怪物掉落配置方案!$D4346</f>
        <v>0</v>
      </c>
    </row>
    <row r="9477" spans="1:4" ht="16.5" hidden="1" x14ac:dyDescent="0.3">
      <c r="A9477" s="10" t="str">
        <f>基本属性!$B$28&amp;"|"&amp;基本属性!$C$28</f>
        <v>240|18</v>
      </c>
      <c r="B9477" s="10" t="str">
        <f>参数调整!$J$40</f>
        <v>新增怪物种类5掉落</v>
      </c>
      <c r="C9477" s="8" t="str">
        <f>材料产出!$BR$2</f>
        <v>新增材料6</v>
      </c>
      <c r="D9477" s="224">
        <f>参数调整!$K$40*怪物掉落配置方案!$D4347</f>
        <v>0</v>
      </c>
    </row>
    <row r="9478" spans="1:4" ht="16.5" hidden="1" x14ac:dyDescent="0.3">
      <c r="A9478" s="10" t="str">
        <f>基本属性!$B$29&amp;"|"&amp;基本属性!$C$29</f>
        <v>240|19</v>
      </c>
      <c r="B9478" s="10" t="str">
        <f>参数调整!$J$40</f>
        <v>新增怪物种类5掉落</v>
      </c>
      <c r="C9478" s="8" t="str">
        <f>材料产出!$BR$2</f>
        <v>新增材料6</v>
      </c>
      <c r="D9478" s="224">
        <f>参数调整!$K$40*怪物掉落配置方案!$D4348</f>
        <v>0</v>
      </c>
    </row>
    <row r="9479" spans="1:4" ht="16.5" hidden="1" x14ac:dyDescent="0.3">
      <c r="A9479" s="10" t="str">
        <f>基本属性!$B$30&amp;"|"&amp;基本属性!$C$30</f>
        <v>250|20</v>
      </c>
      <c r="B9479" s="10" t="str">
        <f>参数调整!$J$40</f>
        <v>新增怪物种类5掉落</v>
      </c>
      <c r="C9479" s="8" t="str">
        <f>材料产出!$BR$2</f>
        <v>新增材料6</v>
      </c>
      <c r="D9479" s="224">
        <f>参数调整!$K$40*怪物掉落配置方案!$D4349</f>
        <v>0</v>
      </c>
    </row>
    <row r="9480" spans="1:4" ht="16.5" hidden="1" x14ac:dyDescent="0.3">
      <c r="A9480" s="10" t="str">
        <f>基本属性!$B$4&amp;"|"&amp;基本属性!$C$4</f>
        <v>35|0</v>
      </c>
      <c r="B9480" s="10" t="str">
        <f>参数调整!$J$40</f>
        <v>新增怪物种类5掉落</v>
      </c>
      <c r="C9480" s="8" t="str">
        <f>材料产出!$BP$2</f>
        <v>新增材料5</v>
      </c>
      <c r="D9480" s="224">
        <f>参数调整!$K$40*怪物掉落配置方案!$D4350</f>
        <v>0</v>
      </c>
    </row>
    <row r="9481" spans="1:4" ht="16.5" hidden="1" x14ac:dyDescent="0.3">
      <c r="A9481" s="10" t="str">
        <f>基本属性!$B$5&amp;"|"&amp;基本属性!$C$5</f>
        <v>40|0</v>
      </c>
      <c r="B9481" s="10" t="str">
        <f>参数调整!$J$40</f>
        <v>新增怪物种类5掉落</v>
      </c>
      <c r="C9481" s="8" t="str">
        <f>材料产出!$BP$2</f>
        <v>新增材料5</v>
      </c>
      <c r="D9481" s="224">
        <f>参数调整!$K$40*怪物掉落配置方案!$D4351</f>
        <v>0</v>
      </c>
    </row>
    <row r="9482" spans="1:4" ht="16.5" hidden="1" x14ac:dyDescent="0.3">
      <c r="A9482" s="10" t="str">
        <f>基本属性!$B$6&amp;"|"&amp;基本属性!$C$6</f>
        <v>50|0</v>
      </c>
      <c r="B9482" s="10" t="str">
        <f>参数调整!$J$40</f>
        <v>新增怪物种类5掉落</v>
      </c>
      <c r="C9482" s="8" t="str">
        <f>材料产出!$BP$2</f>
        <v>新增材料5</v>
      </c>
      <c r="D9482" s="224">
        <f>参数调整!$K$40*怪物掉落配置方案!$D4352</f>
        <v>0</v>
      </c>
    </row>
    <row r="9483" spans="1:4" ht="16.5" hidden="1" x14ac:dyDescent="0.3">
      <c r="A9483" s="10" t="str">
        <f>基本属性!$B$7&amp;"|"&amp;基本属性!$C$7</f>
        <v>60|0</v>
      </c>
      <c r="B9483" s="10" t="str">
        <f>参数调整!$J$40</f>
        <v>新增怪物种类5掉落</v>
      </c>
      <c r="C9483" s="8" t="str">
        <f>材料产出!$BP$2</f>
        <v>新增材料5</v>
      </c>
      <c r="D9483" s="224">
        <f>参数调整!$K$40*怪物掉落配置方案!$D4353</f>
        <v>0</v>
      </c>
    </row>
    <row r="9484" spans="1:4" ht="16.5" hidden="1" x14ac:dyDescent="0.3">
      <c r="A9484" s="10" t="str">
        <f>基本属性!$B$8&amp;"|"&amp;基本属性!$C$8</f>
        <v>65|0</v>
      </c>
      <c r="B9484" s="10" t="str">
        <f>参数调整!$J$40</f>
        <v>新增怪物种类5掉落</v>
      </c>
      <c r="C9484" s="8" t="str">
        <f>材料产出!$BP$2</f>
        <v>新增材料5</v>
      </c>
      <c r="D9484" s="224">
        <f>参数调整!$K$40*怪物掉落配置方案!$D4354</f>
        <v>0</v>
      </c>
    </row>
    <row r="9485" spans="1:4" ht="16.5" hidden="1" x14ac:dyDescent="0.3">
      <c r="A9485" s="10" t="str">
        <f>基本属性!$B$9&amp;"|"&amp;基本属性!$C$9</f>
        <v>70|0</v>
      </c>
      <c r="B9485" s="10" t="str">
        <f>参数调整!$J$40</f>
        <v>新增怪物种类5掉落</v>
      </c>
      <c r="C9485" s="8" t="str">
        <f>材料产出!$BP$2</f>
        <v>新增材料5</v>
      </c>
      <c r="D9485" s="224">
        <f>参数调整!$K$40*怪物掉落配置方案!$D4355</f>
        <v>0</v>
      </c>
    </row>
    <row r="9486" spans="1:4" ht="16.5" hidden="1" x14ac:dyDescent="0.3">
      <c r="A9486" s="10" t="str">
        <f>基本属性!$B$10&amp;"|"&amp;基本属性!$C$10</f>
        <v>75|0</v>
      </c>
      <c r="B9486" s="10" t="str">
        <f>参数调整!$J$40</f>
        <v>新增怪物种类5掉落</v>
      </c>
      <c r="C9486" s="8" t="str">
        <f>材料产出!$BP$2</f>
        <v>新增材料5</v>
      </c>
      <c r="D9486" s="224">
        <f>参数调整!$K$40*怪物掉落配置方案!$D4356</f>
        <v>0</v>
      </c>
    </row>
    <row r="9487" spans="1:4" ht="16.5" hidden="1" x14ac:dyDescent="0.3">
      <c r="A9487" s="10" t="str">
        <f>基本属性!$B$11&amp;"|"&amp;基本属性!$C$11</f>
        <v>80|1</v>
      </c>
      <c r="B9487" s="10" t="str">
        <f>参数调整!$J$40</f>
        <v>新增怪物种类5掉落</v>
      </c>
      <c r="C9487" s="8" t="str">
        <f>材料产出!$BP$2</f>
        <v>新增材料5</v>
      </c>
      <c r="D9487" s="224">
        <f>参数调整!$K$40*怪物掉落配置方案!$D4357</f>
        <v>0</v>
      </c>
    </row>
    <row r="9488" spans="1:4" ht="16.5" hidden="1" x14ac:dyDescent="0.3">
      <c r="A9488" s="10" t="str">
        <f>基本属性!$B$12&amp;"|"&amp;基本属性!$C$12</f>
        <v>90|2</v>
      </c>
      <c r="B9488" s="10" t="str">
        <f>参数调整!$J$40</f>
        <v>新增怪物种类5掉落</v>
      </c>
      <c r="C9488" s="8" t="str">
        <f>材料产出!$BP$2</f>
        <v>新增材料5</v>
      </c>
      <c r="D9488" s="224">
        <f>参数调整!$K$40*怪物掉落配置方案!$D4358</f>
        <v>0</v>
      </c>
    </row>
    <row r="9489" spans="1:4" ht="16.5" hidden="1" x14ac:dyDescent="0.3">
      <c r="A9489" s="10" t="str">
        <f>基本属性!$B$13&amp;"|"&amp;基本属性!$C$13</f>
        <v>100|3</v>
      </c>
      <c r="B9489" s="10" t="str">
        <f>参数调整!$J$40</f>
        <v>新增怪物种类5掉落</v>
      </c>
      <c r="C9489" s="8" t="str">
        <f>材料产出!$BP$2</f>
        <v>新增材料5</v>
      </c>
      <c r="D9489" s="224">
        <f>参数调整!$K$40*怪物掉落配置方案!$D4359</f>
        <v>0</v>
      </c>
    </row>
    <row r="9490" spans="1:4" ht="16.5" hidden="1" x14ac:dyDescent="0.3">
      <c r="A9490" s="10" t="str">
        <f>基本属性!$B$14&amp;"|"&amp;基本属性!$C$14</f>
        <v>105|4</v>
      </c>
      <c r="B9490" s="10" t="str">
        <f>参数调整!$J$40</f>
        <v>新增怪物种类5掉落</v>
      </c>
      <c r="C9490" s="8" t="str">
        <f>材料产出!$BP$2</f>
        <v>新增材料5</v>
      </c>
      <c r="D9490" s="224">
        <f>参数调整!$K$40*怪物掉落配置方案!$D4360</f>
        <v>0</v>
      </c>
    </row>
    <row r="9491" spans="1:4" ht="16.5" hidden="1" x14ac:dyDescent="0.3">
      <c r="A9491" s="10" t="str">
        <f>基本属性!$B$15&amp;"|"&amp;基本属性!$C$15</f>
        <v>110|5</v>
      </c>
      <c r="B9491" s="10" t="str">
        <f>参数调整!$J$40</f>
        <v>新增怪物种类5掉落</v>
      </c>
      <c r="C9491" s="8" t="str">
        <f>材料产出!$BP$2</f>
        <v>新增材料5</v>
      </c>
      <c r="D9491" s="224">
        <f>参数调整!$K$40*怪物掉落配置方案!$D4361</f>
        <v>0</v>
      </c>
    </row>
    <row r="9492" spans="1:4" ht="16.5" hidden="1" x14ac:dyDescent="0.3">
      <c r="A9492" s="10" t="str">
        <f>基本属性!$B$16&amp;"|"&amp;基本属性!$C$16</f>
        <v>120|6</v>
      </c>
      <c r="B9492" s="10" t="str">
        <f>参数调整!$J$40</f>
        <v>新增怪物种类5掉落</v>
      </c>
      <c r="C9492" s="8" t="str">
        <f>材料产出!$BP$2</f>
        <v>新增材料5</v>
      </c>
      <c r="D9492" s="224">
        <f>参数调整!$K$40*怪物掉落配置方案!$D4362</f>
        <v>0</v>
      </c>
    </row>
    <row r="9493" spans="1:4" ht="16.5" hidden="1" x14ac:dyDescent="0.3">
      <c r="A9493" s="10" t="str">
        <f>基本属性!$B$17&amp;"|"&amp;基本属性!$C$17</f>
        <v>135|7</v>
      </c>
      <c r="B9493" s="10" t="str">
        <f>参数调整!$J$40</f>
        <v>新增怪物种类5掉落</v>
      </c>
      <c r="C9493" s="8" t="str">
        <f>材料产出!$BP$2</f>
        <v>新增材料5</v>
      </c>
      <c r="D9493" s="224">
        <f>参数调整!$K$40*怪物掉落配置方案!$D4363</f>
        <v>0</v>
      </c>
    </row>
    <row r="9494" spans="1:4" ht="16.5" hidden="1" x14ac:dyDescent="0.3">
      <c r="A9494" s="10" t="str">
        <f>基本属性!$B$18&amp;"|"&amp;基本属性!$C$18</f>
        <v>155|8</v>
      </c>
      <c r="B9494" s="10" t="str">
        <f>参数调整!$J$40</f>
        <v>新增怪物种类5掉落</v>
      </c>
      <c r="C9494" s="8" t="str">
        <f>材料产出!$BP$2</f>
        <v>新增材料5</v>
      </c>
      <c r="D9494" s="224">
        <f>参数调整!$K$40*怪物掉落配置方案!$D4364</f>
        <v>0</v>
      </c>
    </row>
    <row r="9495" spans="1:4" ht="16.5" hidden="1" x14ac:dyDescent="0.3">
      <c r="A9495" s="10" t="str">
        <f>基本属性!$B$19&amp;"|"&amp;基本属性!$C$19</f>
        <v>190|9</v>
      </c>
      <c r="B9495" s="10" t="str">
        <f>参数调整!$J$40</f>
        <v>新增怪物种类5掉落</v>
      </c>
      <c r="C9495" s="8" t="str">
        <f>材料产出!$BP$2</f>
        <v>新增材料5</v>
      </c>
      <c r="D9495" s="224">
        <f>参数调整!$K$40*怪物掉落配置方案!$D4365</f>
        <v>0</v>
      </c>
    </row>
    <row r="9496" spans="1:4" ht="16.5" hidden="1" x14ac:dyDescent="0.3">
      <c r="A9496" s="10" t="str">
        <f>基本属性!$B$20&amp;"|"&amp;基本属性!$C$20</f>
        <v>200|10</v>
      </c>
      <c r="B9496" s="10" t="str">
        <f>参数调整!$J$40</f>
        <v>新增怪物种类5掉落</v>
      </c>
      <c r="C9496" s="8" t="str">
        <f>材料产出!$BP$2</f>
        <v>新增材料5</v>
      </c>
      <c r="D9496" s="224">
        <f>参数调整!$K$40*怪物掉落配置方案!$D4366</f>
        <v>0</v>
      </c>
    </row>
    <row r="9497" spans="1:4" ht="16.5" hidden="1" x14ac:dyDescent="0.3">
      <c r="A9497" s="10" t="str">
        <f>基本属性!$B$21&amp;"|"&amp;基本属性!$C$21</f>
        <v>200|11</v>
      </c>
      <c r="B9497" s="10" t="str">
        <f>参数调整!$J$40</f>
        <v>新增怪物种类5掉落</v>
      </c>
      <c r="C9497" s="8" t="str">
        <f>材料产出!$BP$2</f>
        <v>新增材料5</v>
      </c>
      <c r="D9497" s="224">
        <f>参数调整!$K$40*怪物掉落配置方案!$D4367</f>
        <v>0</v>
      </c>
    </row>
    <row r="9498" spans="1:4" ht="16.5" hidden="1" x14ac:dyDescent="0.3">
      <c r="A9498" s="10" t="str">
        <f>基本属性!$B$22&amp;"|"&amp;基本属性!$C$22</f>
        <v>210|12</v>
      </c>
      <c r="B9498" s="10" t="str">
        <f>参数调整!$J$40</f>
        <v>新增怪物种类5掉落</v>
      </c>
      <c r="C9498" s="8" t="str">
        <f>材料产出!$BP$2</f>
        <v>新增材料5</v>
      </c>
      <c r="D9498" s="224">
        <f>参数调整!$K$40*怪物掉落配置方案!$D4368</f>
        <v>0</v>
      </c>
    </row>
    <row r="9499" spans="1:4" ht="16.5" hidden="1" x14ac:dyDescent="0.3">
      <c r="A9499" s="10" t="str">
        <f>基本属性!$B$23&amp;"|"&amp;基本属性!$C$23</f>
        <v>210|13</v>
      </c>
      <c r="B9499" s="10" t="str">
        <f>参数调整!$J$40</f>
        <v>新增怪物种类5掉落</v>
      </c>
      <c r="C9499" s="8" t="str">
        <f>材料产出!$BP$2</f>
        <v>新增材料5</v>
      </c>
      <c r="D9499" s="224">
        <f>参数调整!$K$40*怪物掉落配置方案!$D4369</f>
        <v>0</v>
      </c>
    </row>
    <row r="9500" spans="1:4" ht="16.5" hidden="1" x14ac:dyDescent="0.3">
      <c r="A9500" s="10" t="str">
        <f>基本属性!$B$24&amp;"|"&amp;基本属性!$C$24</f>
        <v>220|14</v>
      </c>
      <c r="B9500" s="10" t="str">
        <f>参数调整!$J$40</f>
        <v>新增怪物种类5掉落</v>
      </c>
      <c r="C9500" s="8" t="str">
        <f>材料产出!$BP$2</f>
        <v>新增材料5</v>
      </c>
      <c r="D9500" s="224">
        <f>参数调整!$K$40*怪物掉落配置方案!$D4370</f>
        <v>0</v>
      </c>
    </row>
    <row r="9501" spans="1:4" ht="16.5" hidden="1" x14ac:dyDescent="0.3">
      <c r="A9501" s="10" t="str">
        <f>基本属性!$B$25&amp;"|"&amp;基本属性!$C$25</f>
        <v>220|15</v>
      </c>
      <c r="B9501" s="10" t="str">
        <f>参数调整!$J$40</f>
        <v>新增怪物种类5掉落</v>
      </c>
      <c r="C9501" s="8" t="str">
        <f>材料产出!$BP$2</f>
        <v>新增材料5</v>
      </c>
      <c r="D9501" s="224">
        <f>参数调整!$K$40*怪物掉落配置方案!$D4371</f>
        <v>0</v>
      </c>
    </row>
    <row r="9502" spans="1:4" ht="16.5" hidden="1" x14ac:dyDescent="0.3">
      <c r="A9502" s="10" t="str">
        <f>基本属性!$B$26&amp;"|"&amp;基本属性!$C$26</f>
        <v>230|16</v>
      </c>
      <c r="B9502" s="10" t="str">
        <f>参数调整!$J$40</f>
        <v>新增怪物种类5掉落</v>
      </c>
      <c r="C9502" s="8" t="str">
        <f>材料产出!$BP$2</f>
        <v>新增材料5</v>
      </c>
      <c r="D9502" s="224">
        <f>参数调整!$K$40*怪物掉落配置方案!$D4372</f>
        <v>0</v>
      </c>
    </row>
    <row r="9503" spans="1:4" ht="16.5" hidden="1" x14ac:dyDescent="0.3">
      <c r="A9503" s="10" t="str">
        <f>基本属性!$B$27&amp;"|"&amp;基本属性!$C$27</f>
        <v>230|17</v>
      </c>
      <c r="B9503" s="10" t="str">
        <f>参数调整!$J$40</f>
        <v>新增怪物种类5掉落</v>
      </c>
      <c r="C9503" s="8" t="str">
        <f>材料产出!$BP$2</f>
        <v>新增材料5</v>
      </c>
      <c r="D9503" s="224">
        <f>参数调整!$K$40*怪物掉落配置方案!$D4373</f>
        <v>0</v>
      </c>
    </row>
    <row r="9504" spans="1:4" ht="16.5" hidden="1" x14ac:dyDescent="0.3">
      <c r="A9504" s="10" t="str">
        <f>基本属性!$B$28&amp;"|"&amp;基本属性!$C$28</f>
        <v>240|18</v>
      </c>
      <c r="B9504" s="10" t="str">
        <f>参数调整!$J$40</f>
        <v>新增怪物种类5掉落</v>
      </c>
      <c r="C9504" s="8" t="str">
        <f>材料产出!$BP$2</f>
        <v>新增材料5</v>
      </c>
      <c r="D9504" s="224">
        <f>参数调整!$K$40*怪物掉落配置方案!$D4374</f>
        <v>0</v>
      </c>
    </row>
    <row r="9505" spans="1:4" ht="16.5" hidden="1" x14ac:dyDescent="0.3">
      <c r="A9505" s="10" t="str">
        <f>基本属性!$B$29&amp;"|"&amp;基本属性!$C$29</f>
        <v>240|19</v>
      </c>
      <c r="B9505" s="10" t="str">
        <f>参数调整!$J$40</f>
        <v>新增怪物种类5掉落</v>
      </c>
      <c r="C9505" s="8" t="str">
        <f>材料产出!$BP$2</f>
        <v>新增材料5</v>
      </c>
      <c r="D9505" s="224">
        <f>参数调整!$K$40*怪物掉落配置方案!$D4375</f>
        <v>0</v>
      </c>
    </row>
    <row r="9506" spans="1:4" ht="16.5" hidden="1" x14ac:dyDescent="0.3">
      <c r="A9506" s="10" t="str">
        <f>基本属性!$B$30&amp;"|"&amp;基本属性!$C$30</f>
        <v>250|20</v>
      </c>
      <c r="B9506" s="10" t="str">
        <f>参数调整!$J$40</f>
        <v>新增怪物种类5掉落</v>
      </c>
      <c r="C9506" s="8" t="str">
        <f>材料产出!$BP$2</f>
        <v>新增材料5</v>
      </c>
      <c r="D9506" s="224">
        <f>参数调整!$K$40*怪物掉落配置方案!$D4376</f>
        <v>0</v>
      </c>
    </row>
    <row r="9507" spans="1:4" ht="16.5" hidden="1" x14ac:dyDescent="0.3">
      <c r="A9507" s="10" t="str">
        <f>基本属性!$B$4&amp;"|"&amp;基本属性!$C$4</f>
        <v>35|0</v>
      </c>
      <c r="B9507" s="10" t="str">
        <f>参数调整!$J$40</f>
        <v>新增怪物种类5掉落</v>
      </c>
      <c r="C9507" s="8" t="str">
        <f>材料产出!$BN$2</f>
        <v>新增材料4</v>
      </c>
      <c r="D9507" s="224">
        <f>参数调整!$K$40*怪物掉落配置方案!$D4377</f>
        <v>0</v>
      </c>
    </row>
    <row r="9508" spans="1:4" ht="16.5" hidden="1" x14ac:dyDescent="0.3">
      <c r="A9508" s="10" t="str">
        <f>基本属性!$B$5&amp;"|"&amp;基本属性!$C$5</f>
        <v>40|0</v>
      </c>
      <c r="B9508" s="10" t="str">
        <f>参数调整!$J$40</f>
        <v>新增怪物种类5掉落</v>
      </c>
      <c r="C9508" s="8" t="str">
        <f>材料产出!$BN$2</f>
        <v>新增材料4</v>
      </c>
      <c r="D9508" s="224">
        <f>参数调整!$K$40*怪物掉落配置方案!$D4378</f>
        <v>0</v>
      </c>
    </row>
    <row r="9509" spans="1:4" ht="16.5" hidden="1" x14ac:dyDescent="0.3">
      <c r="A9509" s="10" t="str">
        <f>基本属性!$B$6&amp;"|"&amp;基本属性!$C$6</f>
        <v>50|0</v>
      </c>
      <c r="B9509" s="10" t="str">
        <f>参数调整!$J$40</f>
        <v>新增怪物种类5掉落</v>
      </c>
      <c r="C9509" s="8" t="str">
        <f>材料产出!$BN$2</f>
        <v>新增材料4</v>
      </c>
      <c r="D9509" s="224">
        <f>参数调整!$K$40*怪物掉落配置方案!$D4379</f>
        <v>0</v>
      </c>
    </row>
    <row r="9510" spans="1:4" ht="16.5" hidden="1" x14ac:dyDescent="0.3">
      <c r="A9510" s="10" t="str">
        <f>基本属性!$B$7&amp;"|"&amp;基本属性!$C$7</f>
        <v>60|0</v>
      </c>
      <c r="B9510" s="10" t="str">
        <f>参数调整!$J$40</f>
        <v>新增怪物种类5掉落</v>
      </c>
      <c r="C9510" s="8" t="str">
        <f>材料产出!$BN$2</f>
        <v>新增材料4</v>
      </c>
      <c r="D9510" s="224">
        <f>参数调整!$K$40*怪物掉落配置方案!$D4380</f>
        <v>0</v>
      </c>
    </row>
    <row r="9511" spans="1:4" ht="16.5" hidden="1" x14ac:dyDescent="0.3">
      <c r="A9511" s="10" t="str">
        <f>基本属性!$B$8&amp;"|"&amp;基本属性!$C$8</f>
        <v>65|0</v>
      </c>
      <c r="B9511" s="10" t="str">
        <f>参数调整!$J$40</f>
        <v>新增怪物种类5掉落</v>
      </c>
      <c r="C9511" s="8" t="str">
        <f>材料产出!$BN$2</f>
        <v>新增材料4</v>
      </c>
      <c r="D9511" s="224">
        <f>参数调整!$K$40*怪物掉落配置方案!$D4381</f>
        <v>0</v>
      </c>
    </row>
    <row r="9512" spans="1:4" ht="16.5" hidden="1" x14ac:dyDescent="0.3">
      <c r="A9512" s="10" t="str">
        <f>基本属性!$B$9&amp;"|"&amp;基本属性!$C$9</f>
        <v>70|0</v>
      </c>
      <c r="B9512" s="10" t="str">
        <f>参数调整!$J$40</f>
        <v>新增怪物种类5掉落</v>
      </c>
      <c r="C9512" s="8" t="str">
        <f>材料产出!$BN$2</f>
        <v>新增材料4</v>
      </c>
      <c r="D9512" s="224">
        <f>参数调整!$K$40*怪物掉落配置方案!$D4382</f>
        <v>0</v>
      </c>
    </row>
    <row r="9513" spans="1:4" ht="16.5" hidden="1" x14ac:dyDescent="0.3">
      <c r="A9513" s="10" t="str">
        <f>基本属性!$B$10&amp;"|"&amp;基本属性!$C$10</f>
        <v>75|0</v>
      </c>
      <c r="B9513" s="10" t="str">
        <f>参数调整!$J$40</f>
        <v>新增怪物种类5掉落</v>
      </c>
      <c r="C9513" s="8" t="str">
        <f>材料产出!$BN$2</f>
        <v>新增材料4</v>
      </c>
      <c r="D9513" s="224">
        <f>参数调整!$K$40*怪物掉落配置方案!$D4383</f>
        <v>0</v>
      </c>
    </row>
    <row r="9514" spans="1:4" ht="16.5" hidden="1" x14ac:dyDescent="0.3">
      <c r="A9514" s="10" t="str">
        <f>基本属性!$B$11&amp;"|"&amp;基本属性!$C$11</f>
        <v>80|1</v>
      </c>
      <c r="B9514" s="10" t="str">
        <f>参数调整!$J$40</f>
        <v>新增怪物种类5掉落</v>
      </c>
      <c r="C9514" s="8" t="str">
        <f>材料产出!$BN$2</f>
        <v>新增材料4</v>
      </c>
      <c r="D9514" s="224">
        <f>参数调整!$K$40*怪物掉落配置方案!$D4384</f>
        <v>0</v>
      </c>
    </row>
    <row r="9515" spans="1:4" ht="16.5" hidden="1" x14ac:dyDescent="0.3">
      <c r="A9515" s="10" t="str">
        <f>基本属性!$B$12&amp;"|"&amp;基本属性!$C$12</f>
        <v>90|2</v>
      </c>
      <c r="B9515" s="10" t="str">
        <f>参数调整!$J$40</f>
        <v>新增怪物种类5掉落</v>
      </c>
      <c r="C9515" s="8" t="str">
        <f>材料产出!$BN$2</f>
        <v>新增材料4</v>
      </c>
      <c r="D9515" s="224">
        <f>参数调整!$K$40*怪物掉落配置方案!$D4385</f>
        <v>0</v>
      </c>
    </row>
    <row r="9516" spans="1:4" ht="16.5" hidden="1" x14ac:dyDescent="0.3">
      <c r="A9516" s="10" t="str">
        <f>基本属性!$B$13&amp;"|"&amp;基本属性!$C$13</f>
        <v>100|3</v>
      </c>
      <c r="B9516" s="10" t="str">
        <f>参数调整!$J$40</f>
        <v>新增怪物种类5掉落</v>
      </c>
      <c r="C9516" s="8" t="str">
        <f>材料产出!$BN$2</f>
        <v>新增材料4</v>
      </c>
      <c r="D9516" s="224">
        <f>参数调整!$K$40*怪物掉落配置方案!$D4386</f>
        <v>0</v>
      </c>
    </row>
    <row r="9517" spans="1:4" ht="16.5" hidden="1" x14ac:dyDescent="0.3">
      <c r="A9517" s="10" t="str">
        <f>基本属性!$B$14&amp;"|"&amp;基本属性!$C$14</f>
        <v>105|4</v>
      </c>
      <c r="B9517" s="10" t="str">
        <f>参数调整!$J$40</f>
        <v>新增怪物种类5掉落</v>
      </c>
      <c r="C9517" s="8" t="str">
        <f>材料产出!$BN$2</f>
        <v>新增材料4</v>
      </c>
      <c r="D9517" s="224">
        <f>参数调整!$K$40*怪物掉落配置方案!$D4387</f>
        <v>0</v>
      </c>
    </row>
    <row r="9518" spans="1:4" ht="16.5" hidden="1" x14ac:dyDescent="0.3">
      <c r="A9518" s="10" t="str">
        <f>基本属性!$B$15&amp;"|"&amp;基本属性!$C$15</f>
        <v>110|5</v>
      </c>
      <c r="B9518" s="10" t="str">
        <f>参数调整!$J$40</f>
        <v>新增怪物种类5掉落</v>
      </c>
      <c r="C9518" s="8" t="str">
        <f>材料产出!$BN$2</f>
        <v>新增材料4</v>
      </c>
      <c r="D9518" s="224">
        <f>参数调整!$K$40*怪物掉落配置方案!$D4388</f>
        <v>0</v>
      </c>
    </row>
    <row r="9519" spans="1:4" ht="16.5" hidden="1" x14ac:dyDescent="0.3">
      <c r="A9519" s="10" t="str">
        <f>基本属性!$B$16&amp;"|"&amp;基本属性!$C$16</f>
        <v>120|6</v>
      </c>
      <c r="B9519" s="10" t="str">
        <f>参数调整!$J$40</f>
        <v>新增怪物种类5掉落</v>
      </c>
      <c r="C9519" s="8" t="str">
        <f>材料产出!$BN$2</f>
        <v>新增材料4</v>
      </c>
      <c r="D9519" s="224">
        <f>参数调整!$K$40*怪物掉落配置方案!$D4389</f>
        <v>0</v>
      </c>
    </row>
    <row r="9520" spans="1:4" ht="16.5" hidden="1" x14ac:dyDescent="0.3">
      <c r="A9520" s="10" t="str">
        <f>基本属性!$B$17&amp;"|"&amp;基本属性!$C$17</f>
        <v>135|7</v>
      </c>
      <c r="B9520" s="10" t="str">
        <f>参数调整!$J$40</f>
        <v>新增怪物种类5掉落</v>
      </c>
      <c r="C9520" s="8" t="str">
        <f>材料产出!$BN$2</f>
        <v>新增材料4</v>
      </c>
      <c r="D9520" s="224">
        <f>参数调整!$K$40*怪物掉落配置方案!$D4390</f>
        <v>0</v>
      </c>
    </row>
    <row r="9521" spans="1:4" ht="16.5" hidden="1" x14ac:dyDescent="0.3">
      <c r="A9521" s="10" t="str">
        <f>基本属性!$B$18&amp;"|"&amp;基本属性!$C$18</f>
        <v>155|8</v>
      </c>
      <c r="B9521" s="10" t="str">
        <f>参数调整!$J$40</f>
        <v>新增怪物种类5掉落</v>
      </c>
      <c r="C9521" s="8" t="str">
        <f>材料产出!$BN$2</f>
        <v>新增材料4</v>
      </c>
      <c r="D9521" s="224">
        <f>参数调整!$K$40*怪物掉落配置方案!$D4391</f>
        <v>0</v>
      </c>
    </row>
    <row r="9522" spans="1:4" ht="16.5" hidden="1" x14ac:dyDescent="0.3">
      <c r="A9522" s="10" t="str">
        <f>基本属性!$B$19&amp;"|"&amp;基本属性!$C$19</f>
        <v>190|9</v>
      </c>
      <c r="B9522" s="10" t="str">
        <f>参数调整!$J$40</f>
        <v>新增怪物种类5掉落</v>
      </c>
      <c r="C9522" s="8" t="str">
        <f>材料产出!$BN$2</f>
        <v>新增材料4</v>
      </c>
      <c r="D9522" s="224">
        <f>参数调整!$K$40*怪物掉落配置方案!$D4392</f>
        <v>0</v>
      </c>
    </row>
    <row r="9523" spans="1:4" ht="16.5" hidden="1" x14ac:dyDescent="0.3">
      <c r="A9523" s="10" t="str">
        <f>基本属性!$B$20&amp;"|"&amp;基本属性!$C$20</f>
        <v>200|10</v>
      </c>
      <c r="B9523" s="10" t="str">
        <f>参数调整!$J$40</f>
        <v>新增怪物种类5掉落</v>
      </c>
      <c r="C9523" s="8" t="str">
        <f>材料产出!$BN$2</f>
        <v>新增材料4</v>
      </c>
      <c r="D9523" s="224">
        <f>参数调整!$K$40*怪物掉落配置方案!$D4393</f>
        <v>0</v>
      </c>
    </row>
    <row r="9524" spans="1:4" ht="16.5" hidden="1" x14ac:dyDescent="0.3">
      <c r="A9524" s="10" t="str">
        <f>基本属性!$B$21&amp;"|"&amp;基本属性!$C$21</f>
        <v>200|11</v>
      </c>
      <c r="B9524" s="10" t="str">
        <f>参数调整!$J$40</f>
        <v>新增怪物种类5掉落</v>
      </c>
      <c r="C9524" s="8" t="str">
        <f>材料产出!$BN$2</f>
        <v>新增材料4</v>
      </c>
      <c r="D9524" s="224">
        <f>参数调整!$K$40*怪物掉落配置方案!$D4394</f>
        <v>0</v>
      </c>
    </row>
    <row r="9525" spans="1:4" ht="16.5" hidden="1" x14ac:dyDescent="0.3">
      <c r="A9525" s="10" t="str">
        <f>基本属性!$B$22&amp;"|"&amp;基本属性!$C$22</f>
        <v>210|12</v>
      </c>
      <c r="B9525" s="10" t="str">
        <f>参数调整!$J$40</f>
        <v>新增怪物种类5掉落</v>
      </c>
      <c r="C9525" s="8" t="str">
        <f>材料产出!$BN$2</f>
        <v>新增材料4</v>
      </c>
      <c r="D9525" s="224">
        <f>参数调整!$K$40*怪物掉落配置方案!$D4395</f>
        <v>0</v>
      </c>
    </row>
    <row r="9526" spans="1:4" ht="16.5" hidden="1" x14ac:dyDescent="0.3">
      <c r="A9526" s="10" t="str">
        <f>基本属性!$B$23&amp;"|"&amp;基本属性!$C$23</f>
        <v>210|13</v>
      </c>
      <c r="B9526" s="10" t="str">
        <f>参数调整!$J$40</f>
        <v>新增怪物种类5掉落</v>
      </c>
      <c r="C9526" s="8" t="str">
        <f>材料产出!$BN$2</f>
        <v>新增材料4</v>
      </c>
      <c r="D9526" s="224">
        <f>参数调整!$K$40*怪物掉落配置方案!$D4396</f>
        <v>0</v>
      </c>
    </row>
    <row r="9527" spans="1:4" ht="16.5" hidden="1" x14ac:dyDescent="0.3">
      <c r="A9527" s="10" t="str">
        <f>基本属性!$B$24&amp;"|"&amp;基本属性!$C$24</f>
        <v>220|14</v>
      </c>
      <c r="B9527" s="10" t="str">
        <f>参数调整!$J$40</f>
        <v>新增怪物种类5掉落</v>
      </c>
      <c r="C9527" s="8" t="str">
        <f>材料产出!$BN$2</f>
        <v>新增材料4</v>
      </c>
      <c r="D9527" s="224">
        <f>参数调整!$K$40*怪物掉落配置方案!$D4397</f>
        <v>0</v>
      </c>
    </row>
    <row r="9528" spans="1:4" ht="16.5" hidden="1" x14ac:dyDescent="0.3">
      <c r="A9528" s="10" t="str">
        <f>基本属性!$B$25&amp;"|"&amp;基本属性!$C$25</f>
        <v>220|15</v>
      </c>
      <c r="B9528" s="10" t="str">
        <f>参数调整!$J$40</f>
        <v>新增怪物种类5掉落</v>
      </c>
      <c r="C9528" s="8" t="str">
        <f>材料产出!$BN$2</f>
        <v>新增材料4</v>
      </c>
      <c r="D9528" s="224">
        <f>参数调整!$K$40*怪物掉落配置方案!$D4398</f>
        <v>0</v>
      </c>
    </row>
    <row r="9529" spans="1:4" ht="16.5" hidden="1" x14ac:dyDescent="0.3">
      <c r="A9529" s="10" t="str">
        <f>基本属性!$B$26&amp;"|"&amp;基本属性!$C$26</f>
        <v>230|16</v>
      </c>
      <c r="B9529" s="10" t="str">
        <f>参数调整!$J$40</f>
        <v>新增怪物种类5掉落</v>
      </c>
      <c r="C9529" s="8" t="str">
        <f>材料产出!$BN$2</f>
        <v>新增材料4</v>
      </c>
      <c r="D9529" s="224">
        <f>参数调整!$K$40*怪物掉落配置方案!$D4399</f>
        <v>0</v>
      </c>
    </row>
    <row r="9530" spans="1:4" ht="16.5" hidden="1" x14ac:dyDescent="0.3">
      <c r="A9530" s="10" t="str">
        <f>基本属性!$B$27&amp;"|"&amp;基本属性!$C$27</f>
        <v>230|17</v>
      </c>
      <c r="B9530" s="10" t="str">
        <f>参数调整!$J$40</f>
        <v>新增怪物种类5掉落</v>
      </c>
      <c r="C9530" s="8" t="str">
        <f>材料产出!$BN$2</f>
        <v>新增材料4</v>
      </c>
      <c r="D9530" s="224">
        <f>参数调整!$K$40*怪物掉落配置方案!$D4400</f>
        <v>0</v>
      </c>
    </row>
    <row r="9531" spans="1:4" ht="16.5" hidden="1" x14ac:dyDescent="0.3">
      <c r="A9531" s="10" t="str">
        <f>基本属性!$B$28&amp;"|"&amp;基本属性!$C$28</f>
        <v>240|18</v>
      </c>
      <c r="B9531" s="10" t="str">
        <f>参数调整!$J$40</f>
        <v>新增怪物种类5掉落</v>
      </c>
      <c r="C9531" s="8" t="str">
        <f>材料产出!$BN$2</f>
        <v>新增材料4</v>
      </c>
      <c r="D9531" s="224">
        <f>参数调整!$K$40*怪物掉落配置方案!$D4401</f>
        <v>0</v>
      </c>
    </row>
    <row r="9532" spans="1:4" ht="16.5" hidden="1" x14ac:dyDescent="0.3">
      <c r="A9532" s="10" t="str">
        <f>基本属性!$B$29&amp;"|"&amp;基本属性!$C$29</f>
        <v>240|19</v>
      </c>
      <c r="B9532" s="10" t="str">
        <f>参数调整!$J$40</f>
        <v>新增怪物种类5掉落</v>
      </c>
      <c r="C9532" s="8" t="str">
        <f>材料产出!$BN$2</f>
        <v>新增材料4</v>
      </c>
      <c r="D9532" s="224">
        <f>参数调整!$K$40*怪物掉落配置方案!$D4402</f>
        <v>0</v>
      </c>
    </row>
    <row r="9533" spans="1:4" ht="16.5" hidden="1" x14ac:dyDescent="0.3">
      <c r="A9533" s="10" t="str">
        <f>基本属性!$B$30&amp;"|"&amp;基本属性!$C$30</f>
        <v>250|20</v>
      </c>
      <c r="B9533" s="10" t="str">
        <f>参数调整!$J$40</f>
        <v>新增怪物种类5掉落</v>
      </c>
      <c r="C9533" s="8" t="str">
        <f>材料产出!$BN$2</f>
        <v>新增材料4</v>
      </c>
      <c r="D9533" s="224">
        <f>参数调整!$K$40*怪物掉落配置方案!$D4403</f>
        <v>0</v>
      </c>
    </row>
    <row r="9534" spans="1:4" ht="16.5" hidden="1" x14ac:dyDescent="0.3">
      <c r="A9534" s="10" t="str">
        <f>基本属性!$B$4&amp;"|"&amp;基本属性!$C$4</f>
        <v>35|0</v>
      </c>
      <c r="B9534" s="10" t="str">
        <f>参数调整!$J$40</f>
        <v>新增怪物种类5掉落</v>
      </c>
      <c r="C9534" s="8" t="str">
        <f>材料产出!$BL$2</f>
        <v>新增材料3</v>
      </c>
      <c r="D9534" s="224">
        <f>参数调整!$K$40*怪物掉落配置方案!$D4404</f>
        <v>0</v>
      </c>
    </row>
    <row r="9535" spans="1:4" ht="16.5" hidden="1" x14ac:dyDescent="0.3">
      <c r="A9535" s="10" t="str">
        <f>基本属性!$B$5&amp;"|"&amp;基本属性!$C$5</f>
        <v>40|0</v>
      </c>
      <c r="B9535" s="10" t="str">
        <f>参数调整!$J$40</f>
        <v>新增怪物种类5掉落</v>
      </c>
      <c r="C9535" s="8" t="str">
        <f>材料产出!$BL$2</f>
        <v>新增材料3</v>
      </c>
      <c r="D9535" s="224">
        <f>参数调整!$K$40*怪物掉落配置方案!$D4405</f>
        <v>0</v>
      </c>
    </row>
    <row r="9536" spans="1:4" ht="16.5" hidden="1" x14ac:dyDescent="0.3">
      <c r="A9536" s="10" t="str">
        <f>基本属性!$B$6&amp;"|"&amp;基本属性!$C$6</f>
        <v>50|0</v>
      </c>
      <c r="B9536" s="10" t="str">
        <f>参数调整!$J$40</f>
        <v>新增怪物种类5掉落</v>
      </c>
      <c r="C9536" s="8" t="str">
        <f>材料产出!$BL$2</f>
        <v>新增材料3</v>
      </c>
      <c r="D9536" s="224">
        <f>参数调整!$K$40*怪物掉落配置方案!$D4406</f>
        <v>0</v>
      </c>
    </row>
    <row r="9537" spans="1:4" ht="16.5" hidden="1" x14ac:dyDescent="0.3">
      <c r="A9537" s="10" t="str">
        <f>基本属性!$B$7&amp;"|"&amp;基本属性!$C$7</f>
        <v>60|0</v>
      </c>
      <c r="B9537" s="10" t="str">
        <f>参数调整!$J$40</f>
        <v>新增怪物种类5掉落</v>
      </c>
      <c r="C9537" s="8" t="str">
        <f>材料产出!$BL$2</f>
        <v>新增材料3</v>
      </c>
      <c r="D9537" s="224">
        <f>参数调整!$K$40*怪物掉落配置方案!$D4407</f>
        <v>0</v>
      </c>
    </row>
    <row r="9538" spans="1:4" ht="16.5" hidden="1" x14ac:dyDescent="0.3">
      <c r="A9538" s="10" t="str">
        <f>基本属性!$B$8&amp;"|"&amp;基本属性!$C$8</f>
        <v>65|0</v>
      </c>
      <c r="B9538" s="10" t="str">
        <f>参数调整!$J$40</f>
        <v>新增怪物种类5掉落</v>
      </c>
      <c r="C9538" s="8" t="str">
        <f>材料产出!$BL$2</f>
        <v>新增材料3</v>
      </c>
      <c r="D9538" s="224">
        <f>参数调整!$K$40*怪物掉落配置方案!$D4408</f>
        <v>0</v>
      </c>
    </row>
    <row r="9539" spans="1:4" ht="16.5" hidden="1" x14ac:dyDescent="0.3">
      <c r="A9539" s="10" t="str">
        <f>基本属性!$B$9&amp;"|"&amp;基本属性!$C$9</f>
        <v>70|0</v>
      </c>
      <c r="B9539" s="10" t="str">
        <f>参数调整!$J$40</f>
        <v>新增怪物种类5掉落</v>
      </c>
      <c r="C9539" s="8" t="str">
        <f>材料产出!$BL$2</f>
        <v>新增材料3</v>
      </c>
      <c r="D9539" s="224">
        <f>参数调整!$K$40*怪物掉落配置方案!$D4409</f>
        <v>0</v>
      </c>
    </row>
    <row r="9540" spans="1:4" ht="16.5" hidden="1" x14ac:dyDescent="0.3">
      <c r="A9540" s="10" t="str">
        <f>基本属性!$B$10&amp;"|"&amp;基本属性!$C$10</f>
        <v>75|0</v>
      </c>
      <c r="B9540" s="10" t="str">
        <f>参数调整!$J$40</f>
        <v>新增怪物种类5掉落</v>
      </c>
      <c r="C9540" s="8" t="str">
        <f>材料产出!$BL$2</f>
        <v>新增材料3</v>
      </c>
      <c r="D9540" s="224">
        <f>参数调整!$K$40*怪物掉落配置方案!$D4410</f>
        <v>0</v>
      </c>
    </row>
    <row r="9541" spans="1:4" ht="16.5" hidden="1" x14ac:dyDescent="0.3">
      <c r="A9541" s="10" t="str">
        <f>基本属性!$B$11&amp;"|"&amp;基本属性!$C$11</f>
        <v>80|1</v>
      </c>
      <c r="B9541" s="10" t="str">
        <f>参数调整!$J$40</f>
        <v>新增怪物种类5掉落</v>
      </c>
      <c r="C9541" s="8" t="str">
        <f>材料产出!$BL$2</f>
        <v>新增材料3</v>
      </c>
      <c r="D9541" s="224">
        <f>参数调整!$K$40*怪物掉落配置方案!$D4411</f>
        <v>0</v>
      </c>
    </row>
    <row r="9542" spans="1:4" ht="16.5" hidden="1" x14ac:dyDescent="0.3">
      <c r="A9542" s="10" t="str">
        <f>基本属性!$B$12&amp;"|"&amp;基本属性!$C$12</f>
        <v>90|2</v>
      </c>
      <c r="B9542" s="10" t="str">
        <f>参数调整!$J$40</f>
        <v>新增怪物种类5掉落</v>
      </c>
      <c r="C9542" s="8" t="str">
        <f>材料产出!$BL$2</f>
        <v>新增材料3</v>
      </c>
      <c r="D9542" s="224">
        <f>参数调整!$K$40*怪物掉落配置方案!$D4412</f>
        <v>0</v>
      </c>
    </row>
    <row r="9543" spans="1:4" ht="16.5" hidden="1" x14ac:dyDescent="0.3">
      <c r="A9543" s="10" t="str">
        <f>基本属性!$B$13&amp;"|"&amp;基本属性!$C$13</f>
        <v>100|3</v>
      </c>
      <c r="B9543" s="10" t="str">
        <f>参数调整!$J$40</f>
        <v>新增怪物种类5掉落</v>
      </c>
      <c r="C9543" s="8" t="str">
        <f>材料产出!$BL$2</f>
        <v>新增材料3</v>
      </c>
      <c r="D9543" s="224">
        <f>参数调整!$K$40*怪物掉落配置方案!$D4413</f>
        <v>0</v>
      </c>
    </row>
    <row r="9544" spans="1:4" ht="16.5" hidden="1" x14ac:dyDescent="0.3">
      <c r="A9544" s="10" t="str">
        <f>基本属性!$B$14&amp;"|"&amp;基本属性!$C$14</f>
        <v>105|4</v>
      </c>
      <c r="B9544" s="10" t="str">
        <f>参数调整!$J$40</f>
        <v>新增怪物种类5掉落</v>
      </c>
      <c r="C9544" s="8" t="str">
        <f>材料产出!$BL$2</f>
        <v>新增材料3</v>
      </c>
      <c r="D9544" s="224">
        <f>参数调整!$K$40*怪物掉落配置方案!$D4414</f>
        <v>0</v>
      </c>
    </row>
    <row r="9545" spans="1:4" ht="16.5" hidden="1" x14ac:dyDescent="0.3">
      <c r="A9545" s="10" t="str">
        <f>基本属性!$B$15&amp;"|"&amp;基本属性!$C$15</f>
        <v>110|5</v>
      </c>
      <c r="B9545" s="10" t="str">
        <f>参数调整!$J$40</f>
        <v>新增怪物种类5掉落</v>
      </c>
      <c r="C9545" s="8" t="str">
        <f>材料产出!$BL$2</f>
        <v>新增材料3</v>
      </c>
      <c r="D9545" s="224">
        <f>参数调整!$K$40*怪物掉落配置方案!$D4415</f>
        <v>0</v>
      </c>
    </row>
    <row r="9546" spans="1:4" ht="16.5" hidden="1" x14ac:dyDescent="0.3">
      <c r="A9546" s="10" t="str">
        <f>基本属性!$B$16&amp;"|"&amp;基本属性!$C$16</f>
        <v>120|6</v>
      </c>
      <c r="B9546" s="10" t="str">
        <f>参数调整!$J$40</f>
        <v>新增怪物种类5掉落</v>
      </c>
      <c r="C9546" s="8" t="str">
        <f>材料产出!$BL$2</f>
        <v>新增材料3</v>
      </c>
      <c r="D9546" s="224">
        <f>参数调整!$K$40*怪物掉落配置方案!$D4416</f>
        <v>0</v>
      </c>
    </row>
    <row r="9547" spans="1:4" ht="16.5" hidden="1" x14ac:dyDescent="0.3">
      <c r="A9547" s="10" t="str">
        <f>基本属性!$B$17&amp;"|"&amp;基本属性!$C$17</f>
        <v>135|7</v>
      </c>
      <c r="B9547" s="10" t="str">
        <f>参数调整!$J$40</f>
        <v>新增怪物种类5掉落</v>
      </c>
      <c r="C9547" s="8" t="str">
        <f>材料产出!$BL$2</f>
        <v>新增材料3</v>
      </c>
      <c r="D9547" s="224">
        <f>参数调整!$K$40*怪物掉落配置方案!$D4417</f>
        <v>0</v>
      </c>
    </row>
    <row r="9548" spans="1:4" ht="16.5" hidden="1" x14ac:dyDescent="0.3">
      <c r="A9548" s="10" t="str">
        <f>基本属性!$B$18&amp;"|"&amp;基本属性!$C$18</f>
        <v>155|8</v>
      </c>
      <c r="B9548" s="10" t="str">
        <f>参数调整!$J$40</f>
        <v>新增怪物种类5掉落</v>
      </c>
      <c r="C9548" s="8" t="str">
        <f>材料产出!$BL$2</f>
        <v>新增材料3</v>
      </c>
      <c r="D9548" s="224">
        <f>参数调整!$K$40*怪物掉落配置方案!$D4418</f>
        <v>0</v>
      </c>
    </row>
    <row r="9549" spans="1:4" ht="16.5" hidden="1" x14ac:dyDescent="0.3">
      <c r="A9549" s="10" t="str">
        <f>基本属性!$B$19&amp;"|"&amp;基本属性!$C$19</f>
        <v>190|9</v>
      </c>
      <c r="B9549" s="10" t="str">
        <f>参数调整!$J$40</f>
        <v>新增怪物种类5掉落</v>
      </c>
      <c r="C9549" s="8" t="str">
        <f>材料产出!$BL$2</f>
        <v>新增材料3</v>
      </c>
      <c r="D9549" s="224">
        <f>参数调整!$K$40*怪物掉落配置方案!$D4419</f>
        <v>0</v>
      </c>
    </row>
    <row r="9550" spans="1:4" ht="16.5" hidden="1" x14ac:dyDescent="0.3">
      <c r="A9550" s="10" t="str">
        <f>基本属性!$B$20&amp;"|"&amp;基本属性!$C$20</f>
        <v>200|10</v>
      </c>
      <c r="B9550" s="10" t="str">
        <f>参数调整!$J$40</f>
        <v>新增怪物种类5掉落</v>
      </c>
      <c r="C9550" s="8" t="str">
        <f>材料产出!$BL$2</f>
        <v>新增材料3</v>
      </c>
      <c r="D9550" s="224">
        <f>参数调整!$K$40*怪物掉落配置方案!$D4420</f>
        <v>0</v>
      </c>
    </row>
    <row r="9551" spans="1:4" ht="16.5" hidden="1" x14ac:dyDescent="0.3">
      <c r="A9551" s="10" t="str">
        <f>基本属性!$B$21&amp;"|"&amp;基本属性!$C$21</f>
        <v>200|11</v>
      </c>
      <c r="B9551" s="10" t="str">
        <f>参数调整!$J$40</f>
        <v>新增怪物种类5掉落</v>
      </c>
      <c r="C9551" s="8" t="str">
        <f>材料产出!$BL$2</f>
        <v>新增材料3</v>
      </c>
      <c r="D9551" s="224">
        <f>参数调整!$K$40*怪物掉落配置方案!$D4421</f>
        <v>0</v>
      </c>
    </row>
    <row r="9552" spans="1:4" ht="16.5" hidden="1" x14ac:dyDescent="0.3">
      <c r="A9552" s="10" t="str">
        <f>基本属性!$B$22&amp;"|"&amp;基本属性!$C$22</f>
        <v>210|12</v>
      </c>
      <c r="B9552" s="10" t="str">
        <f>参数调整!$J$40</f>
        <v>新增怪物种类5掉落</v>
      </c>
      <c r="C9552" s="8" t="str">
        <f>材料产出!$BL$2</f>
        <v>新增材料3</v>
      </c>
      <c r="D9552" s="224">
        <f>参数调整!$K$40*怪物掉落配置方案!$D4422</f>
        <v>0</v>
      </c>
    </row>
    <row r="9553" spans="1:4" ht="16.5" hidden="1" x14ac:dyDescent="0.3">
      <c r="A9553" s="10" t="str">
        <f>基本属性!$B$23&amp;"|"&amp;基本属性!$C$23</f>
        <v>210|13</v>
      </c>
      <c r="B9553" s="10" t="str">
        <f>参数调整!$J$40</f>
        <v>新增怪物种类5掉落</v>
      </c>
      <c r="C9553" s="8" t="str">
        <f>材料产出!$BL$2</f>
        <v>新增材料3</v>
      </c>
      <c r="D9553" s="224">
        <f>参数调整!$K$40*怪物掉落配置方案!$D4423</f>
        <v>0</v>
      </c>
    </row>
    <row r="9554" spans="1:4" ht="16.5" hidden="1" x14ac:dyDescent="0.3">
      <c r="A9554" s="10" t="str">
        <f>基本属性!$B$24&amp;"|"&amp;基本属性!$C$24</f>
        <v>220|14</v>
      </c>
      <c r="B9554" s="10" t="str">
        <f>参数调整!$J$40</f>
        <v>新增怪物种类5掉落</v>
      </c>
      <c r="C9554" s="8" t="str">
        <f>材料产出!$BL$2</f>
        <v>新增材料3</v>
      </c>
      <c r="D9554" s="224">
        <f>参数调整!$K$40*怪物掉落配置方案!$D4424</f>
        <v>0</v>
      </c>
    </row>
    <row r="9555" spans="1:4" ht="16.5" hidden="1" x14ac:dyDescent="0.3">
      <c r="A9555" s="10" t="str">
        <f>基本属性!$B$25&amp;"|"&amp;基本属性!$C$25</f>
        <v>220|15</v>
      </c>
      <c r="B9555" s="10" t="str">
        <f>参数调整!$J$40</f>
        <v>新增怪物种类5掉落</v>
      </c>
      <c r="C9555" s="8" t="str">
        <f>材料产出!$BL$2</f>
        <v>新增材料3</v>
      </c>
      <c r="D9555" s="224">
        <f>参数调整!$K$40*怪物掉落配置方案!$D4425</f>
        <v>0</v>
      </c>
    </row>
    <row r="9556" spans="1:4" ht="16.5" hidden="1" x14ac:dyDescent="0.3">
      <c r="A9556" s="10" t="str">
        <f>基本属性!$B$26&amp;"|"&amp;基本属性!$C$26</f>
        <v>230|16</v>
      </c>
      <c r="B9556" s="10" t="str">
        <f>参数调整!$J$40</f>
        <v>新增怪物种类5掉落</v>
      </c>
      <c r="C9556" s="8" t="str">
        <f>材料产出!$BL$2</f>
        <v>新增材料3</v>
      </c>
      <c r="D9556" s="224">
        <f>参数调整!$K$40*怪物掉落配置方案!$D4426</f>
        <v>0</v>
      </c>
    </row>
    <row r="9557" spans="1:4" ht="16.5" hidden="1" x14ac:dyDescent="0.3">
      <c r="A9557" s="10" t="str">
        <f>基本属性!$B$27&amp;"|"&amp;基本属性!$C$27</f>
        <v>230|17</v>
      </c>
      <c r="B9557" s="10" t="str">
        <f>参数调整!$J$40</f>
        <v>新增怪物种类5掉落</v>
      </c>
      <c r="C9557" s="8" t="str">
        <f>材料产出!$BL$2</f>
        <v>新增材料3</v>
      </c>
      <c r="D9557" s="224">
        <f>参数调整!$K$40*怪物掉落配置方案!$D4427</f>
        <v>0</v>
      </c>
    </row>
    <row r="9558" spans="1:4" ht="16.5" hidden="1" x14ac:dyDescent="0.3">
      <c r="A9558" s="10" t="str">
        <f>基本属性!$B$28&amp;"|"&amp;基本属性!$C$28</f>
        <v>240|18</v>
      </c>
      <c r="B9558" s="10" t="str">
        <f>参数调整!$J$40</f>
        <v>新增怪物种类5掉落</v>
      </c>
      <c r="C9558" s="8" t="str">
        <f>材料产出!$BL$2</f>
        <v>新增材料3</v>
      </c>
      <c r="D9558" s="224">
        <f>参数调整!$K$40*怪物掉落配置方案!$D4428</f>
        <v>0</v>
      </c>
    </row>
    <row r="9559" spans="1:4" ht="16.5" hidden="1" x14ac:dyDescent="0.3">
      <c r="A9559" s="10" t="str">
        <f>基本属性!$B$29&amp;"|"&amp;基本属性!$C$29</f>
        <v>240|19</v>
      </c>
      <c r="B9559" s="10" t="str">
        <f>参数调整!$J$40</f>
        <v>新增怪物种类5掉落</v>
      </c>
      <c r="C9559" s="8" t="str">
        <f>材料产出!$BL$2</f>
        <v>新增材料3</v>
      </c>
      <c r="D9559" s="224">
        <f>参数调整!$K$40*怪物掉落配置方案!$D4429</f>
        <v>0</v>
      </c>
    </row>
    <row r="9560" spans="1:4" ht="16.5" hidden="1" x14ac:dyDescent="0.3">
      <c r="A9560" s="10" t="str">
        <f>基本属性!$B$30&amp;"|"&amp;基本属性!$C$30</f>
        <v>250|20</v>
      </c>
      <c r="B9560" s="10" t="str">
        <f>参数调整!$J$40</f>
        <v>新增怪物种类5掉落</v>
      </c>
      <c r="C9560" s="8" t="str">
        <f>材料产出!$BL$2</f>
        <v>新增材料3</v>
      </c>
      <c r="D9560" s="224">
        <f>参数调整!$K$40*怪物掉落配置方案!$D4430</f>
        <v>0</v>
      </c>
    </row>
    <row r="9561" spans="1:4" ht="16.5" hidden="1" x14ac:dyDescent="0.3">
      <c r="A9561" s="10" t="str">
        <f>基本属性!$B$4&amp;"|"&amp;基本属性!$C$4</f>
        <v>35|0</v>
      </c>
      <c r="B9561" s="10" t="str">
        <f>参数调整!$J$40</f>
        <v>新增怪物种类5掉落</v>
      </c>
      <c r="C9561" s="8" t="str">
        <f>材料产出!$BJ$2</f>
        <v>新增材料2</v>
      </c>
      <c r="D9561" s="224">
        <f>参数调整!$K$40*怪物掉落配置方案!$D4431</f>
        <v>0</v>
      </c>
    </row>
    <row r="9562" spans="1:4" ht="16.5" hidden="1" x14ac:dyDescent="0.3">
      <c r="A9562" s="10" t="str">
        <f>基本属性!$B$5&amp;"|"&amp;基本属性!$C$5</f>
        <v>40|0</v>
      </c>
      <c r="B9562" s="10" t="str">
        <f>参数调整!$J$40</f>
        <v>新增怪物种类5掉落</v>
      </c>
      <c r="C9562" s="8" t="str">
        <f>材料产出!$BJ$2</f>
        <v>新增材料2</v>
      </c>
      <c r="D9562" s="224">
        <f>参数调整!$K$40*怪物掉落配置方案!$D4432</f>
        <v>0</v>
      </c>
    </row>
    <row r="9563" spans="1:4" ht="16.5" hidden="1" x14ac:dyDescent="0.3">
      <c r="A9563" s="10" t="str">
        <f>基本属性!$B$6&amp;"|"&amp;基本属性!$C$6</f>
        <v>50|0</v>
      </c>
      <c r="B9563" s="10" t="str">
        <f>参数调整!$J$40</f>
        <v>新增怪物种类5掉落</v>
      </c>
      <c r="C9563" s="8" t="str">
        <f>材料产出!$BJ$2</f>
        <v>新增材料2</v>
      </c>
      <c r="D9563" s="224">
        <f>参数调整!$K$40*怪物掉落配置方案!$D4433</f>
        <v>0</v>
      </c>
    </row>
    <row r="9564" spans="1:4" ht="16.5" hidden="1" x14ac:dyDescent="0.3">
      <c r="A9564" s="10" t="str">
        <f>基本属性!$B$7&amp;"|"&amp;基本属性!$C$7</f>
        <v>60|0</v>
      </c>
      <c r="B9564" s="10" t="str">
        <f>参数调整!$J$40</f>
        <v>新增怪物种类5掉落</v>
      </c>
      <c r="C9564" s="8" t="str">
        <f>材料产出!$BJ$2</f>
        <v>新增材料2</v>
      </c>
      <c r="D9564" s="224">
        <f>参数调整!$K$40*怪物掉落配置方案!$D4434</f>
        <v>0</v>
      </c>
    </row>
    <row r="9565" spans="1:4" ht="16.5" hidden="1" x14ac:dyDescent="0.3">
      <c r="A9565" s="10" t="str">
        <f>基本属性!$B$8&amp;"|"&amp;基本属性!$C$8</f>
        <v>65|0</v>
      </c>
      <c r="B9565" s="10" t="str">
        <f>参数调整!$J$40</f>
        <v>新增怪物种类5掉落</v>
      </c>
      <c r="C9565" s="8" t="str">
        <f>材料产出!$BJ$2</f>
        <v>新增材料2</v>
      </c>
      <c r="D9565" s="224">
        <f>参数调整!$K$40*怪物掉落配置方案!$D4435</f>
        <v>0</v>
      </c>
    </row>
    <row r="9566" spans="1:4" ht="16.5" hidden="1" x14ac:dyDescent="0.3">
      <c r="A9566" s="10" t="str">
        <f>基本属性!$B$9&amp;"|"&amp;基本属性!$C$9</f>
        <v>70|0</v>
      </c>
      <c r="B9566" s="10" t="str">
        <f>参数调整!$J$40</f>
        <v>新增怪物种类5掉落</v>
      </c>
      <c r="C9566" s="8" t="str">
        <f>材料产出!$BJ$2</f>
        <v>新增材料2</v>
      </c>
      <c r="D9566" s="224">
        <f>参数调整!$K$40*怪物掉落配置方案!$D4436</f>
        <v>0</v>
      </c>
    </row>
    <row r="9567" spans="1:4" ht="16.5" hidden="1" x14ac:dyDescent="0.3">
      <c r="A9567" s="10" t="str">
        <f>基本属性!$B$10&amp;"|"&amp;基本属性!$C$10</f>
        <v>75|0</v>
      </c>
      <c r="B9567" s="10" t="str">
        <f>参数调整!$J$40</f>
        <v>新增怪物种类5掉落</v>
      </c>
      <c r="C9567" s="8" t="str">
        <f>材料产出!$BJ$2</f>
        <v>新增材料2</v>
      </c>
      <c r="D9567" s="224">
        <f>参数调整!$K$40*怪物掉落配置方案!$D4437</f>
        <v>0</v>
      </c>
    </row>
    <row r="9568" spans="1:4" ht="16.5" hidden="1" x14ac:dyDescent="0.3">
      <c r="A9568" s="10" t="str">
        <f>基本属性!$B$11&amp;"|"&amp;基本属性!$C$11</f>
        <v>80|1</v>
      </c>
      <c r="B9568" s="10" t="str">
        <f>参数调整!$J$40</f>
        <v>新增怪物种类5掉落</v>
      </c>
      <c r="C9568" s="8" t="str">
        <f>材料产出!$BJ$2</f>
        <v>新增材料2</v>
      </c>
      <c r="D9568" s="224">
        <f>参数调整!$K$40*怪物掉落配置方案!$D4438</f>
        <v>0</v>
      </c>
    </row>
    <row r="9569" spans="1:4" ht="16.5" hidden="1" x14ac:dyDescent="0.3">
      <c r="A9569" s="10" t="str">
        <f>基本属性!$B$12&amp;"|"&amp;基本属性!$C$12</f>
        <v>90|2</v>
      </c>
      <c r="B9569" s="10" t="str">
        <f>参数调整!$J$40</f>
        <v>新增怪物种类5掉落</v>
      </c>
      <c r="C9569" s="8" t="str">
        <f>材料产出!$BJ$2</f>
        <v>新增材料2</v>
      </c>
      <c r="D9569" s="224">
        <f>参数调整!$K$40*怪物掉落配置方案!$D4439</f>
        <v>0</v>
      </c>
    </row>
    <row r="9570" spans="1:4" ht="16.5" hidden="1" x14ac:dyDescent="0.3">
      <c r="A9570" s="10" t="str">
        <f>基本属性!$B$13&amp;"|"&amp;基本属性!$C$13</f>
        <v>100|3</v>
      </c>
      <c r="B9570" s="10" t="str">
        <f>参数调整!$J$40</f>
        <v>新增怪物种类5掉落</v>
      </c>
      <c r="C9570" s="8" t="str">
        <f>材料产出!$BJ$2</f>
        <v>新增材料2</v>
      </c>
      <c r="D9570" s="224">
        <f>参数调整!$K$40*怪物掉落配置方案!$D4440</f>
        <v>0</v>
      </c>
    </row>
    <row r="9571" spans="1:4" ht="16.5" hidden="1" x14ac:dyDescent="0.3">
      <c r="A9571" s="10" t="str">
        <f>基本属性!$B$14&amp;"|"&amp;基本属性!$C$14</f>
        <v>105|4</v>
      </c>
      <c r="B9571" s="10" t="str">
        <f>参数调整!$J$40</f>
        <v>新增怪物种类5掉落</v>
      </c>
      <c r="C9571" s="8" t="str">
        <f>材料产出!$BJ$2</f>
        <v>新增材料2</v>
      </c>
      <c r="D9571" s="224">
        <f>参数调整!$K$40*怪物掉落配置方案!$D4441</f>
        <v>0</v>
      </c>
    </row>
    <row r="9572" spans="1:4" ht="16.5" hidden="1" x14ac:dyDescent="0.3">
      <c r="A9572" s="10" t="str">
        <f>基本属性!$B$15&amp;"|"&amp;基本属性!$C$15</f>
        <v>110|5</v>
      </c>
      <c r="B9572" s="10" t="str">
        <f>参数调整!$J$40</f>
        <v>新增怪物种类5掉落</v>
      </c>
      <c r="C9572" s="8" t="str">
        <f>材料产出!$BJ$2</f>
        <v>新增材料2</v>
      </c>
      <c r="D9572" s="224">
        <f>参数调整!$K$40*怪物掉落配置方案!$D4442</f>
        <v>0</v>
      </c>
    </row>
    <row r="9573" spans="1:4" ht="16.5" hidden="1" x14ac:dyDescent="0.3">
      <c r="A9573" s="10" t="str">
        <f>基本属性!$B$16&amp;"|"&amp;基本属性!$C$16</f>
        <v>120|6</v>
      </c>
      <c r="B9573" s="10" t="str">
        <f>参数调整!$J$40</f>
        <v>新增怪物种类5掉落</v>
      </c>
      <c r="C9573" s="8" t="str">
        <f>材料产出!$BJ$2</f>
        <v>新增材料2</v>
      </c>
      <c r="D9573" s="224">
        <f>参数调整!$K$40*怪物掉落配置方案!$D4443</f>
        <v>0</v>
      </c>
    </row>
    <row r="9574" spans="1:4" ht="16.5" hidden="1" x14ac:dyDescent="0.3">
      <c r="A9574" s="10" t="str">
        <f>基本属性!$B$17&amp;"|"&amp;基本属性!$C$17</f>
        <v>135|7</v>
      </c>
      <c r="B9574" s="10" t="str">
        <f>参数调整!$J$40</f>
        <v>新增怪物种类5掉落</v>
      </c>
      <c r="C9574" s="8" t="str">
        <f>材料产出!$BJ$2</f>
        <v>新增材料2</v>
      </c>
      <c r="D9574" s="224">
        <f>参数调整!$K$40*怪物掉落配置方案!$D4444</f>
        <v>0</v>
      </c>
    </row>
    <row r="9575" spans="1:4" ht="16.5" hidden="1" x14ac:dyDescent="0.3">
      <c r="A9575" s="10" t="str">
        <f>基本属性!$B$18&amp;"|"&amp;基本属性!$C$18</f>
        <v>155|8</v>
      </c>
      <c r="B9575" s="10" t="str">
        <f>参数调整!$J$40</f>
        <v>新增怪物种类5掉落</v>
      </c>
      <c r="C9575" s="8" t="str">
        <f>材料产出!$BJ$2</f>
        <v>新增材料2</v>
      </c>
      <c r="D9575" s="224">
        <f>参数调整!$K$40*怪物掉落配置方案!$D4445</f>
        <v>0</v>
      </c>
    </row>
    <row r="9576" spans="1:4" ht="16.5" hidden="1" x14ac:dyDescent="0.3">
      <c r="A9576" s="10" t="str">
        <f>基本属性!$B$19&amp;"|"&amp;基本属性!$C$19</f>
        <v>190|9</v>
      </c>
      <c r="B9576" s="10" t="str">
        <f>参数调整!$J$40</f>
        <v>新增怪物种类5掉落</v>
      </c>
      <c r="C9576" s="8" t="str">
        <f>材料产出!$BJ$2</f>
        <v>新增材料2</v>
      </c>
      <c r="D9576" s="224">
        <f>参数调整!$K$40*怪物掉落配置方案!$D4446</f>
        <v>0</v>
      </c>
    </row>
    <row r="9577" spans="1:4" ht="16.5" hidden="1" x14ac:dyDescent="0.3">
      <c r="A9577" s="10" t="str">
        <f>基本属性!$B$20&amp;"|"&amp;基本属性!$C$20</f>
        <v>200|10</v>
      </c>
      <c r="B9577" s="10" t="str">
        <f>参数调整!$J$40</f>
        <v>新增怪物种类5掉落</v>
      </c>
      <c r="C9577" s="8" t="str">
        <f>材料产出!$BJ$2</f>
        <v>新增材料2</v>
      </c>
      <c r="D9577" s="224">
        <f>参数调整!$K$40*怪物掉落配置方案!$D4447</f>
        <v>0</v>
      </c>
    </row>
    <row r="9578" spans="1:4" ht="16.5" hidden="1" x14ac:dyDescent="0.3">
      <c r="A9578" s="10" t="str">
        <f>基本属性!$B$21&amp;"|"&amp;基本属性!$C$21</f>
        <v>200|11</v>
      </c>
      <c r="B9578" s="10" t="str">
        <f>参数调整!$J$40</f>
        <v>新增怪物种类5掉落</v>
      </c>
      <c r="C9578" s="8" t="str">
        <f>材料产出!$BJ$2</f>
        <v>新增材料2</v>
      </c>
      <c r="D9578" s="224">
        <f>参数调整!$K$40*怪物掉落配置方案!$D4448</f>
        <v>0</v>
      </c>
    </row>
    <row r="9579" spans="1:4" ht="16.5" hidden="1" x14ac:dyDescent="0.3">
      <c r="A9579" s="10" t="str">
        <f>基本属性!$B$22&amp;"|"&amp;基本属性!$C$22</f>
        <v>210|12</v>
      </c>
      <c r="B9579" s="10" t="str">
        <f>参数调整!$J$40</f>
        <v>新增怪物种类5掉落</v>
      </c>
      <c r="C9579" s="8" t="str">
        <f>材料产出!$BJ$2</f>
        <v>新增材料2</v>
      </c>
      <c r="D9579" s="224">
        <f>参数调整!$K$40*怪物掉落配置方案!$D4449</f>
        <v>0</v>
      </c>
    </row>
    <row r="9580" spans="1:4" ht="16.5" hidden="1" x14ac:dyDescent="0.3">
      <c r="A9580" s="10" t="str">
        <f>基本属性!$B$23&amp;"|"&amp;基本属性!$C$23</f>
        <v>210|13</v>
      </c>
      <c r="B9580" s="10" t="str">
        <f>参数调整!$J$40</f>
        <v>新增怪物种类5掉落</v>
      </c>
      <c r="C9580" s="8" t="str">
        <f>材料产出!$BJ$2</f>
        <v>新增材料2</v>
      </c>
      <c r="D9580" s="224">
        <f>参数调整!$K$40*怪物掉落配置方案!$D4450</f>
        <v>0</v>
      </c>
    </row>
    <row r="9581" spans="1:4" ht="16.5" hidden="1" x14ac:dyDescent="0.3">
      <c r="A9581" s="10" t="str">
        <f>基本属性!$B$24&amp;"|"&amp;基本属性!$C$24</f>
        <v>220|14</v>
      </c>
      <c r="B9581" s="10" t="str">
        <f>参数调整!$J$40</f>
        <v>新增怪物种类5掉落</v>
      </c>
      <c r="C9581" s="8" t="str">
        <f>材料产出!$BJ$2</f>
        <v>新增材料2</v>
      </c>
      <c r="D9581" s="224">
        <f>参数调整!$K$40*怪物掉落配置方案!$D4451</f>
        <v>0</v>
      </c>
    </row>
    <row r="9582" spans="1:4" ht="16.5" hidden="1" x14ac:dyDescent="0.3">
      <c r="A9582" s="10" t="str">
        <f>基本属性!$B$25&amp;"|"&amp;基本属性!$C$25</f>
        <v>220|15</v>
      </c>
      <c r="B9582" s="10" t="str">
        <f>参数调整!$J$40</f>
        <v>新增怪物种类5掉落</v>
      </c>
      <c r="C9582" s="8" t="str">
        <f>材料产出!$BJ$2</f>
        <v>新增材料2</v>
      </c>
      <c r="D9582" s="224">
        <f>参数调整!$K$40*怪物掉落配置方案!$D4452</f>
        <v>0</v>
      </c>
    </row>
    <row r="9583" spans="1:4" ht="16.5" hidden="1" x14ac:dyDescent="0.3">
      <c r="A9583" s="10" t="str">
        <f>基本属性!$B$26&amp;"|"&amp;基本属性!$C$26</f>
        <v>230|16</v>
      </c>
      <c r="B9583" s="10" t="str">
        <f>参数调整!$J$40</f>
        <v>新增怪物种类5掉落</v>
      </c>
      <c r="C9583" s="8" t="str">
        <f>材料产出!$BJ$2</f>
        <v>新增材料2</v>
      </c>
      <c r="D9583" s="224">
        <f>参数调整!$K$40*怪物掉落配置方案!$D4453</f>
        <v>0</v>
      </c>
    </row>
    <row r="9584" spans="1:4" ht="16.5" hidden="1" x14ac:dyDescent="0.3">
      <c r="A9584" s="10" t="str">
        <f>基本属性!$B$27&amp;"|"&amp;基本属性!$C$27</f>
        <v>230|17</v>
      </c>
      <c r="B9584" s="10" t="str">
        <f>参数调整!$J$40</f>
        <v>新增怪物种类5掉落</v>
      </c>
      <c r="C9584" s="8" t="str">
        <f>材料产出!$BJ$2</f>
        <v>新增材料2</v>
      </c>
      <c r="D9584" s="224">
        <f>参数调整!$K$40*怪物掉落配置方案!$D4454</f>
        <v>0</v>
      </c>
    </row>
    <row r="9585" spans="1:4" ht="16.5" hidden="1" x14ac:dyDescent="0.3">
      <c r="A9585" s="10" t="str">
        <f>基本属性!$B$28&amp;"|"&amp;基本属性!$C$28</f>
        <v>240|18</v>
      </c>
      <c r="B9585" s="10" t="str">
        <f>参数调整!$J$40</f>
        <v>新增怪物种类5掉落</v>
      </c>
      <c r="C9585" s="8" t="str">
        <f>材料产出!$BJ$2</f>
        <v>新增材料2</v>
      </c>
      <c r="D9585" s="224">
        <f>参数调整!$K$40*怪物掉落配置方案!$D4455</f>
        <v>0</v>
      </c>
    </row>
    <row r="9586" spans="1:4" ht="16.5" hidden="1" x14ac:dyDescent="0.3">
      <c r="A9586" s="10" t="str">
        <f>基本属性!$B$29&amp;"|"&amp;基本属性!$C$29</f>
        <v>240|19</v>
      </c>
      <c r="B9586" s="10" t="str">
        <f>参数调整!$J$40</f>
        <v>新增怪物种类5掉落</v>
      </c>
      <c r="C9586" s="8" t="str">
        <f>材料产出!$BJ$2</f>
        <v>新增材料2</v>
      </c>
      <c r="D9586" s="224">
        <f>参数调整!$K$40*怪物掉落配置方案!$D4456</f>
        <v>0</v>
      </c>
    </row>
    <row r="9587" spans="1:4" ht="16.5" hidden="1" x14ac:dyDescent="0.3">
      <c r="A9587" s="10" t="str">
        <f>基本属性!$B$30&amp;"|"&amp;基本属性!$C$30</f>
        <v>250|20</v>
      </c>
      <c r="B9587" s="10" t="str">
        <f>参数调整!$J$40</f>
        <v>新增怪物种类5掉落</v>
      </c>
      <c r="C9587" s="8" t="str">
        <f>材料产出!$BJ$2</f>
        <v>新增材料2</v>
      </c>
      <c r="D9587" s="224">
        <f>参数调整!$K$40*怪物掉落配置方案!$D4457</f>
        <v>0</v>
      </c>
    </row>
    <row r="9588" spans="1:4" ht="16.5" hidden="1" x14ac:dyDescent="0.3">
      <c r="A9588" s="10" t="str">
        <f>基本属性!$B$4&amp;"|"&amp;基本属性!$C$4</f>
        <v>35|0</v>
      </c>
      <c r="B9588" s="10" t="str">
        <f>参数调整!$J$40</f>
        <v>新增怪物种类5掉落</v>
      </c>
      <c r="C9588" s="8" t="str">
        <f>材料产出!$BH$2</f>
        <v>新增材料1</v>
      </c>
      <c r="D9588" s="224">
        <f>参数调整!$K$40*怪物掉落配置方案!$D4458</f>
        <v>0</v>
      </c>
    </row>
    <row r="9589" spans="1:4" ht="16.5" hidden="1" x14ac:dyDescent="0.3">
      <c r="A9589" s="10" t="str">
        <f>基本属性!$B$5&amp;"|"&amp;基本属性!$C$5</f>
        <v>40|0</v>
      </c>
      <c r="B9589" s="10" t="str">
        <f>参数调整!$J$40</f>
        <v>新增怪物种类5掉落</v>
      </c>
      <c r="C9589" s="8" t="str">
        <f>材料产出!$BH$2</f>
        <v>新增材料1</v>
      </c>
      <c r="D9589" s="224">
        <f>参数调整!$K$40*怪物掉落配置方案!$D4459</f>
        <v>0</v>
      </c>
    </row>
    <row r="9590" spans="1:4" ht="16.5" hidden="1" x14ac:dyDescent="0.3">
      <c r="A9590" s="10" t="str">
        <f>基本属性!$B$6&amp;"|"&amp;基本属性!$C$6</f>
        <v>50|0</v>
      </c>
      <c r="B9590" s="10" t="str">
        <f>参数调整!$J$40</f>
        <v>新增怪物种类5掉落</v>
      </c>
      <c r="C9590" s="8" t="str">
        <f>材料产出!$BH$2</f>
        <v>新增材料1</v>
      </c>
      <c r="D9590" s="224">
        <f>参数调整!$K$40*怪物掉落配置方案!$D4460</f>
        <v>0</v>
      </c>
    </row>
    <row r="9591" spans="1:4" ht="16.5" hidden="1" x14ac:dyDescent="0.3">
      <c r="A9591" s="10" t="str">
        <f>基本属性!$B$7&amp;"|"&amp;基本属性!$C$7</f>
        <v>60|0</v>
      </c>
      <c r="B9591" s="10" t="str">
        <f>参数调整!$J$40</f>
        <v>新增怪物种类5掉落</v>
      </c>
      <c r="C9591" s="8" t="str">
        <f>材料产出!$BH$2</f>
        <v>新增材料1</v>
      </c>
      <c r="D9591" s="224">
        <f>参数调整!$K$40*怪物掉落配置方案!$D4461</f>
        <v>0</v>
      </c>
    </row>
    <row r="9592" spans="1:4" ht="16.5" hidden="1" x14ac:dyDescent="0.3">
      <c r="A9592" s="10" t="str">
        <f>基本属性!$B$8&amp;"|"&amp;基本属性!$C$8</f>
        <v>65|0</v>
      </c>
      <c r="B9592" s="10" t="str">
        <f>参数调整!$J$40</f>
        <v>新增怪物种类5掉落</v>
      </c>
      <c r="C9592" s="8" t="str">
        <f>材料产出!$BH$2</f>
        <v>新增材料1</v>
      </c>
      <c r="D9592" s="224">
        <f>参数调整!$K$40*怪物掉落配置方案!$D4462</f>
        <v>0</v>
      </c>
    </row>
    <row r="9593" spans="1:4" ht="16.5" hidden="1" x14ac:dyDescent="0.3">
      <c r="A9593" s="10" t="str">
        <f>基本属性!$B$9&amp;"|"&amp;基本属性!$C$9</f>
        <v>70|0</v>
      </c>
      <c r="B9593" s="10" t="str">
        <f>参数调整!$J$40</f>
        <v>新增怪物种类5掉落</v>
      </c>
      <c r="C9593" s="8" t="str">
        <f>材料产出!$BH$2</f>
        <v>新增材料1</v>
      </c>
      <c r="D9593" s="224">
        <f>参数调整!$K$40*怪物掉落配置方案!$D4463</f>
        <v>0</v>
      </c>
    </row>
    <row r="9594" spans="1:4" ht="16.5" hidden="1" x14ac:dyDescent="0.3">
      <c r="A9594" s="10" t="str">
        <f>基本属性!$B$10&amp;"|"&amp;基本属性!$C$10</f>
        <v>75|0</v>
      </c>
      <c r="B9594" s="10" t="str">
        <f>参数调整!$J$40</f>
        <v>新增怪物种类5掉落</v>
      </c>
      <c r="C9594" s="8" t="str">
        <f>材料产出!$BH$2</f>
        <v>新增材料1</v>
      </c>
      <c r="D9594" s="224">
        <f>参数调整!$K$40*怪物掉落配置方案!$D4464</f>
        <v>0</v>
      </c>
    </row>
    <row r="9595" spans="1:4" ht="16.5" hidden="1" x14ac:dyDescent="0.3">
      <c r="A9595" s="10" t="str">
        <f>基本属性!$B$11&amp;"|"&amp;基本属性!$C$11</f>
        <v>80|1</v>
      </c>
      <c r="B9595" s="10" t="str">
        <f>参数调整!$J$40</f>
        <v>新增怪物种类5掉落</v>
      </c>
      <c r="C9595" s="8" t="str">
        <f>材料产出!$BH$2</f>
        <v>新增材料1</v>
      </c>
      <c r="D9595" s="224">
        <f>参数调整!$K$40*怪物掉落配置方案!$D4465</f>
        <v>0</v>
      </c>
    </row>
    <row r="9596" spans="1:4" ht="16.5" hidden="1" x14ac:dyDescent="0.3">
      <c r="A9596" s="10" t="str">
        <f>基本属性!$B$12&amp;"|"&amp;基本属性!$C$12</f>
        <v>90|2</v>
      </c>
      <c r="B9596" s="10" t="str">
        <f>参数调整!$J$40</f>
        <v>新增怪物种类5掉落</v>
      </c>
      <c r="C9596" s="8" t="str">
        <f>材料产出!$BH$2</f>
        <v>新增材料1</v>
      </c>
      <c r="D9596" s="224">
        <f>参数调整!$K$40*怪物掉落配置方案!$D4466</f>
        <v>0</v>
      </c>
    </row>
    <row r="9597" spans="1:4" ht="16.5" hidden="1" x14ac:dyDescent="0.3">
      <c r="A9597" s="10" t="str">
        <f>基本属性!$B$13&amp;"|"&amp;基本属性!$C$13</f>
        <v>100|3</v>
      </c>
      <c r="B9597" s="10" t="str">
        <f>参数调整!$J$40</f>
        <v>新增怪物种类5掉落</v>
      </c>
      <c r="C9597" s="8" t="str">
        <f>材料产出!$BH$2</f>
        <v>新增材料1</v>
      </c>
      <c r="D9597" s="224">
        <f>参数调整!$K$40*怪物掉落配置方案!$D4467</f>
        <v>0</v>
      </c>
    </row>
    <row r="9598" spans="1:4" ht="16.5" hidden="1" x14ac:dyDescent="0.3">
      <c r="A9598" s="10" t="str">
        <f>基本属性!$B$14&amp;"|"&amp;基本属性!$C$14</f>
        <v>105|4</v>
      </c>
      <c r="B9598" s="10" t="str">
        <f>参数调整!$J$40</f>
        <v>新增怪物种类5掉落</v>
      </c>
      <c r="C9598" s="8" t="str">
        <f>材料产出!$BH$2</f>
        <v>新增材料1</v>
      </c>
      <c r="D9598" s="224">
        <f>参数调整!$K$40*怪物掉落配置方案!$D4468</f>
        <v>0</v>
      </c>
    </row>
    <row r="9599" spans="1:4" ht="16.5" hidden="1" x14ac:dyDescent="0.3">
      <c r="A9599" s="10" t="str">
        <f>基本属性!$B$15&amp;"|"&amp;基本属性!$C$15</f>
        <v>110|5</v>
      </c>
      <c r="B9599" s="10" t="str">
        <f>参数调整!$J$40</f>
        <v>新增怪物种类5掉落</v>
      </c>
      <c r="C9599" s="8" t="str">
        <f>材料产出!$BH$2</f>
        <v>新增材料1</v>
      </c>
      <c r="D9599" s="224">
        <f>参数调整!$K$40*怪物掉落配置方案!$D4469</f>
        <v>0</v>
      </c>
    </row>
    <row r="9600" spans="1:4" ht="16.5" hidden="1" x14ac:dyDescent="0.3">
      <c r="A9600" s="10" t="str">
        <f>基本属性!$B$16&amp;"|"&amp;基本属性!$C$16</f>
        <v>120|6</v>
      </c>
      <c r="B9600" s="10" t="str">
        <f>参数调整!$J$40</f>
        <v>新增怪物种类5掉落</v>
      </c>
      <c r="C9600" s="8" t="str">
        <f>材料产出!$BH$2</f>
        <v>新增材料1</v>
      </c>
      <c r="D9600" s="224">
        <f>参数调整!$K$40*怪物掉落配置方案!$D4470</f>
        <v>0</v>
      </c>
    </row>
    <row r="9601" spans="1:4" ht="16.5" hidden="1" x14ac:dyDescent="0.3">
      <c r="A9601" s="10" t="str">
        <f>基本属性!$B$17&amp;"|"&amp;基本属性!$C$17</f>
        <v>135|7</v>
      </c>
      <c r="B9601" s="10" t="str">
        <f>参数调整!$J$40</f>
        <v>新增怪物种类5掉落</v>
      </c>
      <c r="C9601" s="8" t="str">
        <f>材料产出!$BH$2</f>
        <v>新增材料1</v>
      </c>
      <c r="D9601" s="224">
        <f>参数调整!$K$40*怪物掉落配置方案!$D4471</f>
        <v>0</v>
      </c>
    </row>
    <row r="9602" spans="1:4" ht="16.5" hidden="1" x14ac:dyDescent="0.3">
      <c r="A9602" s="10" t="str">
        <f>基本属性!$B$18&amp;"|"&amp;基本属性!$C$18</f>
        <v>155|8</v>
      </c>
      <c r="B9602" s="10" t="str">
        <f>参数调整!$J$40</f>
        <v>新增怪物种类5掉落</v>
      </c>
      <c r="C9602" s="8" t="str">
        <f>材料产出!$BH$2</f>
        <v>新增材料1</v>
      </c>
      <c r="D9602" s="224">
        <f>参数调整!$K$40*怪物掉落配置方案!$D4472</f>
        <v>0</v>
      </c>
    </row>
    <row r="9603" spans="1:4" ht="16.5" hidden="1" x14ac:dyDescent="0.3">
      <c r="A9603" s="10" t="str">
        <f>基本属性!$B$19&amp;"|"&amp;基本属性!$C$19</f>
        <v>190|9</v>
      </c>
      <c r="B9603" s="10" t="str">
        <f>参数调整!$J$40</f>
        <v>新增怪物种类5掉落</v>
      </c>
      <c r="C9603" s="8" t="str">
        <f>材料产出!$BH$2</f>
        <v>新增材料1</v>
      </c>
      <c r="D9603" s="224">
        <f>参数调整!$K$40*怪物掉落配置方案!$D4473</f>
        <v>0</v>
      </c>
    </row>
    <row r="9604" spans="1:4" ht="16.5" hidden="1" x14ac:dyDescent="0.3">
      <c r="A9604" s="10" t="str">
        <f>基本属性!$B$20&amp;"|"&amp;基本属性!$C$20</f>
        <v>200|10</v>
      </c>
      <c r="B9604" s="10" t="str">
        <f>参数调整!$J$40</f>
        <v>新增怪物种类5掉落</v>
      </c>
      <c r="C9604" s="8" t="str">
        <f>材料产出!$BH$2</f>
        <v>新增材料1</v>
      </c>
      <c r="D9604" s="224">
        <f>参数调整!$K$40*怪物掉落配置方案!$D4474</f>
        <v>0</v>
      </c>
    </row>
    <row r="9605" spans="1:4" ht="16.5" hidden="1" x14ac:dyDescent="0.3">
      <c r="A9605" s="10" t="str">
        <f>基本属性!$B$21&amp;"|"&amp;基本属性!$C$21</f>
        <v>200|11</v>
      </c>
      <c r="B9605" s="10" t="str">
        <f>参数调整!$J$40</f>
        <v>新增怪物种类5掉落</v>
      </c>
      <c r="C9605" s="8" t="str">
        <f>材料产出!$BH$2</f>
        <v>新增材料1</v>
      </c>
      <c r="D9605" s="224">
        <f>参数调整!$K$40*怪物掉落配置方案!$D4475</f>
        <v>0</v>
      </c>
    </row>
    <row r="9606" spans="1:4" ht="16.5" hidden="1" x14ac:dyDescent="0.3">
      <c r="A9606" s="10" t="str">
        <f>基本属性!$B$22&amp;"|"&amp;基本属性!$C$22</f>
        <v>210|12</v>
      </c>
      <c r="B9606" s="10" t="str">
        <f>参数调整!$J$40</f>
        <v>新增怪物种类5掉落</v>
      </c>
      <c r="C9606" s="8" t="str">
        <f>材料产出!$BH$2</f>
        <v>新增材料1</v>
      </c>
      <c r="D9606" s="224">
        <f>参数调整!$K$40*怪物掉落配置方案!$D4476</f>
        <v>0</v>
      </c>
    </row>
    <row r="9607" spans="1:4" ht="16.5" hidden="1" x14ac:dyDescent="0.3">
      <c r="A9607" s="10" t="str">
        <f>基本属性!$B$23&amp;"|"&amp;基本属性!$C$23</f>
        <v>210|13</v>
      </c>
      <c r="B9607" s="10" t="str">
        <f>参数调整!$J$40</f>
        <v>新增怪物种类5掉落</v>
      </c>
      <c r="C9607" s="8" t="str">
        <f>材料产出!$BH$2</f>
        <v>新增材料1</v>
      </c>
      <c r="D9607" s="224">
        <f>参数调整!$K$40*怪物掉落配置方案!$D4477</f>
        <v>0</v>
      </c>
    </row>
    <row r="9608" spans="1:4" ht="16.5" hidden="1" x14ac:dyDescent="0.3">
      <c r="A9608" s="10" t="str">
        <f>基本属性!$B$24&amp;"|"&amp;基本属性!$C$24</f>
        <v>220|14</v>
      </c>
      <c r="B9608" s="10" t="str">
        <f>参数调整!$J$40</f>
        <v>新增怪物种类5掉落</v>
      </c>
      <c r="C9608" s="8" t="str">
        <f>材料产出!$BH$2</f>
        <v>新增材料1</v>
      </c>
      <c r="D9608" s="224">
        <f>参数调整!$K$40*怪物掉落配置方案!$D4478</f>
        <v>0</v>
      </c>
    </row>
    <row r="9609" spans="1:4" ht="16.5" hidden="1" x14ac:dyDescent="0.3">
      <c r="A9609" s="10" t="str">
        <f>基本属性!$B$25&amp;"|"&amp;基本属性!$C$25</f>
        <v>220|15</v>
      </c>
      <c r="B9609" s="10" t="str">
        <f>参数调整!$J$40</f>
        <v>新增怪物种类5掉落</v>
      </c>
      <c r="C9609" s="8" t="str">
        <f>材料产出!$BH$2</f>
        <v>新增材料1</v>
      </c>
      <c r="D9609" s="224">
        <f>参数调整!$K$40*怪物掉落配置方案!$D4479</f>
        <v>0</v>
      </c>
    </row>
    <row r="9610" spans="1:4" ht="16.5" hidden="1" x14ac:dyDescent="0.3">
      <c r="A9610" s="10" t="str">
        <f>基本属性!$B$26&amp;"|"&amp;基本属性!$C$26</f>
        <v>230|16</v>
      </c>
      <c r="B9610" s="10" t="str">
        <f>参数调整!$J$40</f>
        <v>新增怪物种类5掉落</v>
      </c>
      <c r="C9610" s="8" t="str">
        <f>材料产出!$BH$2</f>
        <v>新增材料1</v>
      </c>
      <c r="D9610" s="224">
        <f>参数调整!$K$40*怪物掉落配置方案!$D4480</f>
        <v>0</v>
      </c>
    </row>
    <row r="9611" spans="1:4" ht="16.5" hidden="1" x14ac:dyDescent="0.3">
      <c r="A9611" s="10" t="str">
        <f>基本属性!$B$27&amp;"|"&amp;基本属性!$C$27</f>
        <v>230|17</v>
      </c>
      <c r="B9611" s="10" t="str">
        <f>参数调整!$J$40</f>
        <v>新增怪物种类5掉落</v>
      </c>
      <c r="C9611" s="8" t="str">
        <f>材料产出!$BH$2</f>
        <v>新增材料1</v>
      </c>
      <c r="D9611" s="224">
        <f>参数调整!$K$40*怪物掉落配置方案!$D4481</f>
        <v>0</v>
      </c>
    </row>
    <row r="9612" spans="1:4" ht="16.5" hidden="1" x14ac:dyDescent="0.3">
      <c r="A9612" s="10" t="str">
        <f>基本属性!$B$28&amp;"|"&amp;基本属性!$C$28</f>
        <v>240|18</v>
      </c>
      <c r="B9612" s="10" t="str">
        <f>参数调整!$J$40</f>
        <v>新增怪物种类5掉落</v>
      </c>
      <c r="C9612" s="8" t="str">
        <f>材料产出!$BH$2</f>
        <v>新增材料1</v>
      </c>
      <c r="D9612" s="224">
        <f>参数调整!$K$40*怪物掉落配置方案!$D4482</f>
        <v>0</v>
      </c>
    </row>
    <row r="9613" spans="1:4" ht="16.5" hidden="1" x14ac:dyDescent="0.3">
      <c r="A9613" s="10" t="str">
        <f>基本属性!$B$29&amp;"|"&amp;基本属性!$C$29</f>
        <v>240|19</v>
      </c>
      <c r="B9613" s="10" t="str">
        <f>参数调整!$J$40</f>
        <v>新增怪物种类5掉落</v>
      </c>
      <c r="C9613" s="8" t="str">
        <f>材料产出!$BH$2</f>
        <v>新增材料1</v>
      </c>
      <c r="D9613" s="224">
        <f>参数调整!$K$40*怪物掉落配置方案!$D4483</f>
        <v>0</v>
      </c>
    </row>
    <row r="9614" spans="1:4" ht="16.5" hidden="1" x14ac:dyDescent="0.3">
      <c r="A9614" s="10" t="str">
        <f>基本属性!$B$30&amp;"|"&amp;基本属性!$C$30</f>
        <v>250|20</v>
      </c>
      <c r="B9614" s="10" t="str">
        <f>参数调整!$J$40</f>
        <v>新增怪物种类5掉落</v>
      </c>
      <c r="C9614" s="8" t="str">
        <f>材料产出!$BH$2</f>
        <v>新增材料1</v>
      </c>
      <c r="D9614" s="224">
        <f>参数调整!$K$40*怪物掉落配置方案!$D4484</f>
        <v>0</v>
      </c>
    </row>
    <row r="9615" spans="1:4" ht="16.5" hidden="1" x14ac:dyDescent="0.3">
      <c r="A9615" s="10" t="str">
        <f>基本属性!$B$4&amp;"|"&amp;基本属性!$C$4</f>
        <v>35|0</v>
      </c>
      <c r="B9615" s="10" t="str">
        <f>参数调整!$J$40</f>
        <v>新增怪物种类5掉落</v>
      </c>
      <c r="C9615" s="8" t="str">
        <f>材料产出!$AF$2</f>
        <v>仙品升星石</v>
      </c>
      <c r="D9615" s="224">
        <f>参数调整!$K$40*怪物掉落配置方案!$D4485</f>
        <v>1.1341260654530148E-2</v>
      </c>
    </row>
    <row r="9616" spans="1:4" ht="16.5" hidden="1" x14ac:dyDescent="0.3">
      <c r="A9616" s="10" t="str">
        <f>基本属性!$B$5&amp;"|"&amp;基本属性!$C$5</f>
        <v>40|0</v>
      </c>
      <c r="B9616" s="10" t="str">
        <f>参数调整!$J$40</f>
        <v>新增怪物种类5掉落</v>
      </c>
      <c r="C9616" s="8" t="str">
        <f>材料产出!$AF$2</f>
        <v>仙品升星石</v>
      </c>
      <c r="D9616" s="224">
        <f>参数调整!$K$40*怪物掉落配置方案!$D4486</f>
        <v>1.4353783015889722E-2</v>
      </c>
    </row>
    <row r="9617" spans="1:4" ht="16.5" hidden="1" x14ac:dyDescent="0.3">
      <c r="A9617" s="10" t="str">
        <f>基本属性!$B$6&amp;"|"&amp;基本属性!$C$6</f>
        <v>50|0</v>
      </c>
      <c r="B9617" s="10" t="str">
        <f>参数调整!$J$40</f>
        <v>新增怪物种类5掉落</v>
      </c>
      <c r="C9617" s="8" t="str">
        <f>材料产出!$AF$2</f>
        <v>仙品升星石</v>
      </c>
      <c r="D9617" s="224">
        <f>参数调整!$K$40*怪物掉落配置方案!$D4487</f>
        <v>1.7720719772703359E-2</v>
      </c>
    </row>
    <row r="9618" spans="1:4" ht="16.5" hidden="1" x14ac:dyDescent="0.3">
      <c r="A9618" s="10" t="str">
        <f>基本属性!$B$7&amp;"|"&amp;基本属性!$C$7</f>
        <v>60|0</v>
      </c>
      <c r="B9618" s="10" t="str">
        <f>参数调整!$J$40</f>
        <v>新增怪物种类5掉落</v>
      </c>
      <c r="C9618" s="8" t="str">
        <f>材料产出!$AF$2</f>
        <v>仙品升星石</v>
      </c>
      <c r="D9618" s="224">
        <f>参数调整!$K$40*怪物掉落配置方案!$D4488</f>
        <v>2.1442070924971062E-2</v>
      </c>
    </row>
    <row r="9619" spans="1:4" ht="16.5" hidden="1" x14ac:dyDescent="0.3">
      <c r="A9619" s="10" t="str">
        <f>基本属性!$B$8&amp;"|"&amp;基本属性!$C$8</f>
        <v>65|0</v>
      </c>
      <c r="B9619" s="10" t="str">
        <f>参数调整!$J$40</f>
        <v>新增怪物种类5掉落</v>
      </c>
      <c r="C9619" s="8" t="str">
        <f>材料产出!$AF$2</f>
        <v>仙品升星石</v>
      </c>
      <c r="D9619" s="224">
        <f>参数调整!$K$40*怪物掉落配置方案!$D4489</f>
        <v>2.5517836472692835E-2</v>
      </c>
    </row>
    <row r="9620" spans="1:4" ht="16.5" hidden="1" x14ac:dyDescent="0.3">
      <c r="A9620" s="10" t="str">
        <f>基本属性!$B$9&amp;"|"&amp;基本属性!$C$9</f>
        <v>70|0</v>
      </c>
      <c r="B9620" s="10" t="str">
        <f>参数调整!$J$40</f>
        <v>新增怪物种类5掉落</v>
      </c>
      <c r="C9620" s="8" t="str">
        <f>材料产出!$AF$2</f>
        <v>仙品升星石</v>
      </c>
      <c r="D9620" s="224">
        <f>参数调整!$K$40*怪物掉落配置方案!$D4490</f>
        <v>2.9948016415868674E-2</v>
      </c>
    </row>
    <row r="9621" spans="1:4" ht="16.5" hidden="1" x14ac:dyDescent="0.3">
      <c r="A9621" s="10" t="str">
        <f>基本属性!$B$10&amp;"|"&amp;基本属性!$C$10</f>
        <v>75|0</v>
      </c>
      <c r="B9621" s="10" t="str">
        <f>参数调整!$J$40</f>
        <v>新增怪物种类5掉落</v>
      </c>
      <c r="C9621" s="8" t="str">
        <f>材料产出!$AF$2</f>
        <v>仙品升星石</v>
      </c>
      <c r="D9621" s="224">
        <f>参数调整!$K$40*怪物掉落配置方案!$D4491</f>
        <v>3.4732610754498579E-2</v>
      </c>
    </row>
    <row r="9622" spans="1:4" ht="16.5" hidden="1" x14ac:dyDescent="0.3">
      <c r="A9622" s="10" t="str">
        <f>基本属性!$B$11&amp;"|"&amp;基本属性!$C$11</f>
        <v>80|1</v>
      </c>
      <c r="B9622" s="10" t="str">
        <f>参数调整!$J$40</f>
        <v>新增怪物种类5掉落</v>
      </c>
      <c r="C9622" s="8" t="str">
        <f>材料产出!$AF$2</f>
        <v>仙品升星石</v>
      </c>
      <c r="D9622" s="224">
        <f>参数调整!$K$40*怪物掉落配置方案!$D4492</f>
        <v>3.9871619488582553E-2</v>
      </c>
    </row>
    <row r="9623" spans="1:4" ht="16.5" hidden="1" x14ac:dyDescent="0.3">
      <c r="A9623" s="10" t="str">
        <f>基本属性!$B$12&amp;"|"&amp;基本属性!$C$12</f>
        <v>90|2</v>
      </c>
      <c r="B9623" s="10" t="str">
        <f>参数调整!$J$40</f>
        <v>新增怪物种类5掉落</v>
      </c>
      <c r="C9623" s="8" t="str">
        <f>材料产出!$AF$2</f>
        <v>仙品升星石</v>
      </c>
      <c r="D9623" s="224">
        <f>参数调整!$K$40*怪物掉落配置方案!$D4493</f>
        <v>4.5365042618120612E-2</v>
      </c>
    </row>
    <row r="9624" spans="1:4" ht="16.5" hidden="1" x14ac:dyDescent="0.3">
      <c r="A9624" s="10" t="str">
        <f>基本属性!$B$13&amp;"|"&amp;基本属性!$C$13</f>
        <v>100|3</v>
      </c>
      <c r="B9624" s="10" t="str">
        <f>参数调整!$J$40</f>
        <v>新增怪物种类5掉落</v>
      </c>
      <c r="C9624" s="8" t="str">
        <f>材料产出!$AF$2</f>
        <v>仙品升星石</v>
      </c>
      <c r="D9624" s="224">
        <f>参数调整!$K$40*怪物掉落配置方案!$D4494</f>
        <v>5.7415132063558888E-2</v>
      </c>
    </row>
    <row r="9625" spans="1:4" ht="16.5" hidden="1" x14ac:dyDescent="0.3">
      <c r="A9625" s="10" t="str">
        <f>基本属性!$B$14&amp;"|"&amp;基本属性!$C$14</f>
        <v>105|4</v>
      </c>
      <c r="B9625" s="10" t="str">
        <f>参数调整!$J$40</f>
        <v>新增怪物种类5掉落</v>
      </c>
      <c r="C9625" s="8" t="str">
        <f>材料产出!$AF$2</f>
        <v>仙品升星石</v>
      </c>
      <c r="D9625" s="224">
        <f>参数调整!$K$40*怪物掉落配置方案!$D4495</f>
        <v>7.0882879090813422E-2</v>
      </c>
    </row>
    <row r="9626" spans="1:4" ht="16.5" hidden="1" x14ac:dyDescent="0.3">
      <c r="A9626" s="10" t="str">
        <f>基本属性!$B$15&amp;"|"&amp;基本属性!$C$15</f>
        <v>110|5</v>
      </c>
      <c r="B9626" s="10" t="str">
        <f>参数调整!$J$40</f>
        <v>新增怪物种类5掉落</v>
      </c>
      <c r="C9626" s="8" t="str">
        <f>材料产出!$AF$2</f>
        <v>仙品升星石</v>
      </c>
      <c r="D9626" s="224">
        <f>参数调整!$K$40*怪物掉落配置方案!$D4496</f>
        <v>8.5768283699884248E-2</v>
      </c>
    </row>
    <row r="9627" spans="1:4" ht="16.5" hidden="1" x14ac:dyDescent="0.3">
      <c r="A9627" s="10" t="str">
        <f>基本属性!$B$16&amp;"|"&amp;基本属性!$C$16</f>
        <v>120|6</v>
      </c>
      <c r="B9627" s="10" t="str">
        <f>参数调整!$J$40</f>
        <v>新增怪物种类5掉落</v>
      </c>
      <c r="C9627" s="8" t="str">
        <f>材料产出!$AF$2</f>
        <v>仙品升星石</v>
      </c>
      <c r="D9627" s="224">
        <f>参数调整!$K$40*怪物掉落配置方案!$D4497</f>
        <v>0.11075449857939598</v>
      </c>
    </row>
    <row r="9628" spans="1:4" ht="16.5" hidden="1" x14ac:dyDescent="0.3">
      <c r="A9628" s="10" t="str">
        <f>基本属性!$B$17&amp;"|"&amp;基本属性!$C$17</f>
        <v>135|7</v>
      </c>
      <c r="B9628" s="10" t="str">
        <f>参数调整!$J$40</f>
        <v>新增怪物种类5掉落</v>
      </c>
      <c r="C9628" s="8" t="str">
        <f>材料产出!$AF$2</f>
        <v>仙品升星石</v>
      </c>
      <c r="D9628" s="224">
        <f>参数调整!$K$40*怪物掉落配置方案!$D4498</f>
        <v>0.15948647795433021</v>
      </c>
    </row>
    <row r="9629" spans="1:4" ht="16.5" hidden="1" x14ac:dyDescent="0.3">
      <c r="A9629" s="10" t="str">
        <f>基本属性!$B$18&amp;"|"&amp;基本属性!$C$18</f>
        <v>155|8</v>
      </c>
      <c r="B9629" s="10" t="str">
        <f>参数调整!$J$40</f>
        <v>新增怪物种类5掉落</v>
      </c>
      <c r="C9629" s="8" t="str">
        <f>材料产出!$AF$2</f>
        <v>仙品升星石</v>
      </c>
      <c r="D9629" s="224">
        <f>参数调整!$K$40*怪物掉落配置方案!$D4499</f>
        <v>0.21707881721561617</v>
      </c>
    </row>
    <row r="9630" spans="1:4" ht="16.5" hidden="1" x14ac:dyDescent="0.3">
      <c r="A9630" s="10" t="str">
        <f>基本属性!$B$19&amp;"|"&amp;基本属性!$C$19</f>
        <v>190|9</v>
      </c>
      <c r="B9630" s="10" t="str">
        <f>参数调整!$J$40</f>
        <v>新增怪物种类5掉落</v>
      </c>
      <c r="C9630" s="8" t="str">
        <f>材料产出!$AF$2</f>
        <v>仙品升星石</v>
      </c>
      <c r="D9630" s="224">
        <f>参数调整!$K$40*怪物掉落配置方案!$D4500</f>
        <v>0.24259665368830902</v>
      </c>
    </row>
    <row r="9631" spans="1:4" ht="16.5" hidden="1" x14ac:dyDescent="0.3">
      <c r="A9631" s="10" t="str">
        <f>基本属性!$B$20&amp;"|"&amp;基本属性!$C$20</f>
        <v>200|10</v>
      </c>
      <c r="B9631" s="10" t="str">
        <f>参数调整!$J$40</f>
        <v>新增怪物种类5掉落</v>
      </c>
      <c r="C9631" s="8" t="str">
        <f>材料产出!$AF$2</f>
        <v>仙品升星石</v>
      </c>
      <c r="D9631" s="224">
        <f>参数调整!$K$40*怪物掉落配置方案!$D4501</f>
        <v>0.28353151636325369</v>
      </c>
    </row>
    <row r="9632" spans="1:4" ht="16.5" hidden="1" x14ac:dyDescent="0.3">
      <c r="A9632" s="10" t="str">
        <f>基本属性!$B$21&amp;"|"&amp;基本属性!$C$21</f>
        <v>200|11</v>
      </c>
      <c r="B9632" s="10" t="str">
        <f>参数调整!$J$40</f>
        <v>新增怪物种类5掉落</v>
      </c>
      <c r="C9632" s="8" t="str">
        <f>材料产出!$AF$2</f>
        <v>仙品升星石</v>
      </c>
      <c r="D9632" s="224">
        <f>参数调整!$K$40*怪物掉落配置方案!$D4502</f>
        <v>0.32765610859728506</v>
      </c>
    </row>
    <row r="9633" spans="1:4" ht="16.5" hidden="1" x14ac:dyDescent="0.3">
      <c r="A9633" s="10" t="str">
        <f>基本属性!$B$22&amp;"|"&amp;基本属性!$C$22</f>
        <v>210|12</v>
      </c>
      <c r="B9633" s="10" t="str">
        <f>参数调整!$J$40</f>
        <v>新增怪物种类5掉落</v>
      </c>
      <c r="C9633" s="8" t="str">
        <f>材料产出!$AF$2</f>
        <v>仙品升星石</v>
      </c>
      <c r="D9633" s="224">
        <f>参数调整!$K$40*怪物掉落配置方案!$D4503</f>
        <v>0.37497043039040301</v>
      </c>
    </row>
    <row r="9634" spans="1:4" ht="16.5" hidden="1" x14ac:dyDescent="0.3">
      <c r="A9634" s="10" t="str">
        <f>基本属性!$B$23&amp;"|"&amp;基本属性!$C$23</f>
        <v>210|13</v>
      </c>
      <c r="B9634" s="10" t="str">
        <f>参数调整!$J$40</f>
        <v>新增怪物种类5掉落</v>
      </c>
      <c r="C9634" s="8" t="str">
        <f>材料产出!$AF$2</f>
        <v>仙品升星石</v>
      </c>
      <c r="D9634" s="224">
        <f>参数调整!$K$40*怪物掉落配置方案!$D4504</f>
        <v>0.4254744817426076</v>
      </c>
    </row>
    <row r="9635" spans="1:4" ht="16.5" hidden="1" x14ac:dyDescent="0.3">
      <c r="A9635" s="10" t="str">
        <f>基本属性!$B$24&amp;"|"&amp;基本属性!$C$24</f>
        <v>220|14</v>
      </c>
      <c r="B9635" s="10" t="str">
        <f>参数调整!$J$40</f>
        <v>新增怪物种类5掉落</v>
      </c>
      <c r="C9635" s="8" t="str">
        <f>材料产出!$AF$2</f>
        <v>仙品升星石</v>
      </c>
      <c r="D9635" s="224">
        <f>参数调整!$K$40*怪物掉落配置方案!$D4505</f>
        <v>0.47916826265389889</v>
      </c>
    </row>
    <row r="9636" spans="1:4" ht="16.5" hidden="1" x14ac:dyDescent="0.3">
      <c r="A9636" s="10" t="str">
        <f>基本属性!$B$25&amp;"|"&amp;基本属性!$C$25</f>
        <v>220|15</v>
      </c>
      <c r="B9636" s="10" t="str">
        <f>参数调整!$J$40</f>
        <v>新增怪物种类5掉落</v>
      </c>
      <c r="C9636" s="8" t="str">
        <f>材料产出!$AF$2</f>
        <v>仙品升星石</v>
      </c>
      <c r="D9636" s="224">
        <f>参数调整!$K$40*怪物掉落配置方案!$D4506</f>
        <v>0.53605177312427643</v>
      </c>
    </row>
    <row r="9637" spans="1:4" ht="16.5" hidden="1" x14ac:dyDescent="0.3">
      <c r="A9637" s="10" t="str">
        <f>基本属性!$B$26&amp;"|"&amp;基本属性!$C$26</f>
        <v>230|16</v>
      </c>
      <c r="B9637" s="10" t="str">
        <f>参数调整!$J$40</f>
        <v>新增怪物种类5掉落</v>
      </c>
      <c r="C9637" s="8" t="str">
        <f>材料产出!$AF$2</f>
        <v>仙品升星石</v>
      </c>
      <c r="D9637" s="224">
        <f>参数调整!$K$40*怪物掉落配置方案!$D4507</f>
        <v>0.59612501315374089</v>
      </c>
    </row>
    <row r="9638" spans="1:4" ht="16.5" hidden="1" x14ac:dyDescent="0.3">
      <c r="A9638" s="10" t="str">
        <f>基本属性!$B$27&amp;"|"&amp;基本属性!$C$27</f>
        <v>230|17</v>
      </c>
      <c r="B9638" s="10" t="str">
        <f>参数调整!$J$40</f>
        <v>新增怪物种类5掉落</v>
      </c>
      <c r="C9638" s="8" t="str">
        <f>材料产出!$AF$2</f>
        <v>仙品升星石</v>
      </c>
      <c r="D9638" s="224">
        <f>参数调整!$K$40*怪物掉落配置方案!$D4508</f>
        <v>0.65938798274229193</v>
      </c>
    </row>
    <row r="9639" spans="1:4" ht="16.5" hidden="1" x14ac:dyDescent="0.3">
      <c r="A9639" s="10" t="str">
        <f>基本属性!$B$28&amp;"|"&amp;基本属性!$C$28</f>
        <v>240|18</v>
      </c>
      <c r="B9639" s="10" t="str">
        <f>参数调整!$J$40</f>
        <v>新增怪物种类5掉落</v>
      </c>
      <c r="C9639" s="8" t="str">
        <f>材料产出!$AF$2</f>
        <v>仙品升星石</v>
      </c>
      <c r="D9639" s="224">
        <f>参数调整!$K$40*怪物掉落配置方案!$D4509</f>
        <v>0.72584068188992967</v>
      </c>
    </row>
    <row r="9640" spans="1:4" ht="16.5" hidden="1" x14ac:dyDescent="0.3">
      <c r="A9640" s="10" t="str">
        <f>基本属性!$B$29&amp;"|"&amp;基本属性!$C$29</f>
        <v>240|19</v>
      </c>
      <c r="B9640" s="10" t="str">
        <f>参数调整!$J$40</f>
        <v>新增怪物种类5掉落</v>
      </c>
      <c r="C9640" s="8" t="str">
        <f>材料产出!$AF$2</f>
        <v>仙品升星石</v>
      </c>
      <c r="D9640" s="224">
        <f>参数调整!$K$40*怪物掉落配置方案!$D4510</f>
        <v>0.79548311059665378</v>
      </c>
    </row>
    <row r="9641" spans="1:4" ht="16.5" hidden="1" x14ac:dyDescent="0.3">
      <c r="A9641" s="10" t="str">
        <f>基本属性!$B$30&amp;"|"&amp;基本属性!$C$30</f>
        <v>250|20</v>
      </c>
      <c r="B9641" s="10" t="str">
        <f>参数调整!$J$40</f>
        <v>新增怪物种类5掉落</v>
      </c>
      <c r="C9641" s="8" t="str">
        <f>材料产出!$AF$2</f>
        <v>仙品升星石</v>
      </c>
      <c r="D9641" s="224">
        <f>参数调整!$K$40*怪物掉落配置方案!$D4511</f>
        <v>0.86831526886246446</v>
      </c>
    </row>
    <row r="9642" spans="1:4" ht="16.5" hidden="1" x14ac:dyDescent="0.3">
      <c r="A9642" s="10" t="str">
        <f>基本属性!$B$4&amp;"|"&amp;基本属性!$C$4</f>
        <v>35|0</v>
      </c>
      <c r="B9642" s="10" t="str">
        <f>参数调整!$J$40</f>
        <v>新增怪物种类5掉落</v>
      </c>
      <c r="C9642" s="8" t="str">
        <f>材料产出!$T$2</f>
        <v>洗髓丹</v>
      </c>
      <c r="D9642" s="224">
        <f>参数调整!$K$40*怪物掉落配置方案!$D4512</f>
        <v>2.9537171981491249E-3</v>
      </c>
    </row>
    <row r="9643" spans="1:4" ht="16.5" hidden="1" x14ac:dyDescent="0.3">
      <c r="A9643" s="10" t="str">
        <f>基本属性!$B$5&amp;"|"&amp;基本属性!$C$5</f>
        <v>40|0</v>
      </c>
      <c r="B9643" s="10" t="str">
        <f>参数调整!$J$40</f>
        <v>新增怪物种类5掉落</v>
      </c>
      <c r="C9643" s="8" t="str">
        <f>材料产出!$T$2</f>
        <v>洗髓丹</v>
      </c>
      <c r="D9643" s="224">
        <f>参数调整!$K$40*怪物掉落配置方案!$D4513</f>
        <v>3.738298328907486E-3</v>
      </c>
    </row>
    <row r="9644" spans="1:4" ht="16.5" hidden="1" x14ac:dyDescent="0.3">
      <c r="A9644" s="10" t="str">
        <f>基本属性!$B$6&amp;"|"&amp;基本属性!$C$6</f>
        <v>50|0</v>
      </c>
      <c r="B9644" s="10" t="str">
        <f>参数调整!$J$40</f>
        <v>新增怪物种类5掉落</v>
      </c>
      <c r="C9644" s="8" t="str">
        <f>材料产出!$T$2</f>
        <v>洗髓丹</v>
      </c>
      <c r="D9644" s="224">
        <f>参数调整!$K$40*怪物掉落配置方案!$D4514</f>
        <v>4.615183122108007E-3</v>
      </c>
    </row>
    <row r="9645" spans="1:4" ht="16.5" hidden="1" x14ac:dyDescent="0.3">
      <c r="A9645" s="10" t="str">
        <f>基本属性!$B$7&amp;"|"&amp;基本属性!$C$7</f>
        <v>60|0</v>
      </c>
      <c r="B9645" s="10" t="str">
        <f>参数调整!$J$40</f>
        <v>新增怪物种类5掉落</v>
      </c>
      <c r="C9645" s="8" t="str">
        <f>材料产出!$T$2</f>
        <v>洗髓丹</v>
      </c>
      <c r="D9645" s="224">
        <f>参数调整!$K$40*怪物掉落配置方案!$D4515</f>
        <v>5.5843715777506905E-3</v>
      </c>
    </row>
    <row r="9646" spans="1:4" ht="16.5" hidden="1" x14ac:dyDescent="0.3">
      <c r="A9646" s="10" t="str">
        <f>基本属性!$B$8&amp;"|"&amp;基本属性!$C$8</f>
        <v>65|0</v>
      </c>
      <c r="B9646" s="10" t="str">
        <f>参数调整!$J$40</f>
        <v>新增怪物种类5掉落</v>
      </c>
      <c r="C9646" s="8" t="str">
        <f>材料产出!$T$2</f>
        <v>洗髓丹</v>
      </c>
      <c r="D9646" s="224">
        <f>参数调整!$K$40*怪物掉落配置方案!$D4516</f>
        <v>6.6458636958355308E-3</v>
      </c>
    </row>
    <row r="9647" spans="1:4" ht="16.5" hidden="1" x14ac:dyDescent="0.3">
      <c r="A9647" s="10" t="str">
        <f>基本属性!$B$9&amp;"|"&amp;基本属性!$C$9</f>
        <v>70|0</v>
      </c>
      <c r="B9647" s="10" t="str">
        <f>参数调整!$J$40</f>
        <v>新增怪物种类5掉落</v>
      </c>
      <c r="C9647" s="8" t="str">
        <f>材料产出!$T$2</f>
        <v>洗髓丹</v>
      </c>
      <c r="D9647" s="224">
        <f>参数调整!$K$40*怪物掉落配置方案!$D4517</f>
        <v>7.7996594763625332E-3</v>
      </c>
    </row>
    <row r="9648" spans="1:4" ht="16.5" hidden="1" x14ac:dyDescent="0.3">
      <c r="A9648" s="10" t="str">
        <f>基本属性!$B$10&amp;"|"&amp;基本属性!$C$10</f>
        <v>75|0</v>
      </c>
      <c r="B9648" s="10" t="str">
        <f>参数调整!$J$40</f>
        <v>新增怪物种类5掉落</v>
      </c>
      <c r="C9648" s="8" t="str">
        <f>材料产出!$T$2</f>
        <v>洗髓丹</v>
      </c>
      <c r="D9648" s="224">
        <f>参数调整!$K$40*怪物掉落配置方案!$D4518</f>
        <v>9.0457589193316933E-3</v>
      </c>
    </row>
    <row r="9649" spans="1:4" ht="16.5" hidden="1" x14ac:dyDescent="0.3">
      <c r="A9649" s="10" t="str">
        <f>基本属性!$B$11&amp;"|"&amp;基本属性!$C$11</f>
        <v>80|1</v>
      </c>
      <c r="B9649" s="10" t="str">
        <f>参数调整!$J$40</f>
        <v>新增怪物种类5掉落</v>
      </c>
      <c r="C9649" s="8" t="str">
        <f>材料产出!$T$2</f>
        <v>洗髓丹</v>
      </c>
      <c r="D9649" s="224">
        <f>参数调整!$K$40*怪物掉落配置方案!$D4519</f>
        <v>1.0384162024743017E-2</v>
      </c>
    </row>
    <row r="9650" spans="1:4" ht="16.5" hidden="1" x14ac:dyDescent="0.3">
      <c r="A9650" s="10" t="str">
        <f>基本属性!$B$12&amp;"|"&amp;基本属性!$C$12</f>
        <v>90|2</v>
      </c>
      <c r="B9650" s="10" t="str">
        <f>参数调整!$J$40</f>
        <v>新增怪物种类5掉落</v>
      </c>
      <c r="C9650" s="8" t="str">
        <f>材料产出!$T$2</f>
        <v>洗髓丹</v>
      </c>
      <c r="D9650" s="224">
        <f>参数调整!$K$40*怪物掉落配置方案!$D4520</f>
        <v>1.1814868792596502E-2</v>
      </c>
    </row>
    <row r="9651" spans="1:4" ht="16.5" hidden="1" x14ac:dyDescent="0.3">
      <c r="A9651" s="10" t="str">
        <f>基本属性!$B$13&amp;"|"&amp;基本属性!$C$13</f>
        <v>100|3</v>
      </c>
      <c r="B9651" s="10" t="str">
        <f>参数调整!$J$40</f>
        <v>新增怪物种类5掉落</v>
      </c>
      <c r="C9651" s="8" t="str">
        <f>材料产出!$T$2</f>
        <v>洗髓丹</v>
      </c>
      <c r="D9651" s="224">
        <f>参数调整!$K$40*怪物掉落配置方案!$D4521</f>
        <v>1.4953193315629946E-2</v>
      </c>
    </row>
    <row r="9652" spans="1:4" ht="16.5" hidden="1" x14ac:dyDescent="0.3">
      <c r="A9652" s="10" t="str">
        <f>基本属性!$B$14&amp;"|"&amp;基本属性!$C$14</f>
        <v>105|4</v>
      </c>
      <c r="B9652" s="10" t="str">
        <f>参数调整!$J$40</f>
        <v>新增怪物种类5掉落</v>
      </c>
      <c r="C9652" s="8" t="str">
        <f>材料产出!$T$2</f>
        <v>洗髓丹</v>
      </c>
      <c r="D9652" s="224">
        <f>参数调整!$K$40*怪物掉落配置方案!$D4522</f>
        <v>1.8460732488432028E-2</v>
      </c>
    </row>
    <row r="9653" spans="1:4" ht="16.5" hidden="1" x14ac:dyDescent="0.3">
      <c r="A9653" s="10" t="str">
        <f>基本属性!$B$15&amp;"|"&amp;基本属性!$C$15</f>
        <v>110|5</v>
      </c>
      <c r="B9653" s="10" t="str">
        <f>参数调整!$J$40</f>
        <v>新增怪物种类5掉落</v>
      </c>
      <c r="C9653" s="8" t="str">
        <f>材料产出!$T$2</f>
        <v>洗髓丹</v>
      </c>
      <c r="D9653" s="224">
        <f>参数调整!$K$40*怪物掉落配置方案!$D4523</f>
        <v>2.2337486311002762E-2</v>
      </c>
    </row>
    <row r="9654" spans="1:4" ht="16.5" hidden="1" x14ac:dyDescent="0.3">
      <c r="A9654" s="10" t="str">
        <f>基本属性!$B$16&amp;"|"&amp;基本属性!$C$16</f>
        <v>120|6</v>
      </c>
      <c r="B9654" s="10" t="str">
        <f>参数调整!$J$40</f>
        <v>新增怪物种类5掉落</v>
      </c>
      <c r="C9654" s="8" t="str">
        <f>材料产出!$T$2</f>
        <v>洗髓丹</v>
      </c>
      <c r="D9654" s="224">
        <f>参数调整!$K$40*怪物掉落配置方案!$D4524</f>
        <v>2.8844894513175047E-2</v>
      </c>
    </row>
    <row r="9655" spans="1:4" ht="16.5" hidden="1" x14ac:dyDescent="0.3">
      <c r="A9655" s="10" t="str">
        <f>基本属性!$B$17&amp;"|"&amp;基本属性!$C$17</f>
        <v>135|7</v>
      </c>
      <c r="B9655" s="10" t="str">
        <f>参数调整!$J$40</f>
        <v>新增怪物种类5掉落</v>
      </c>
      <c r="C9655" s="8" t="str">
        <f>材料产出!$T$2</f>
        <v>洗髓丹</v>
      </c>
      <c r="D9655" s="224">
        <f>参数调整!$K$40*怪物掉落配置方案!$D4525</f>
        <v>4.1536648098972069E-2</v>
      </c>
    </row>
    <row r="9656" spans="1:4" ht="16.5" hidden="1" x14ac:dyDescent="0.3">
      <c r="A9656" s="10" t="str">
        <f>基本属性!$B$18&amp;"|"&amp;基本属性!$C$18</f>
        <v>155|8</v>
      </c>
      <c r="B9656" s="10" t="str">
        <f>参数调整!$J$40</f>
        <v>新增怪物种类5掉落</v>
      </c>
      <c r="C9656" s="8" t="str">
        <f>材料产出!$T$2</f>
        <v>洗髓丹</v>
      </c>
      <c r="D9656" s="224">
        <f>参数调整!$K$40*怪物掉落配置方案!$D4526</f>
        <v>5.6535993245823105E-2</v>
      </c>
    </row>
    <row r="9657" spans="1:4" ht="16.5" hidden="1" x14ac:dyDescent="0.3">
      <c r="A9657" s="10" t="str">
        <f>基本属性!$B$19&amp;"|"&amp;基本属性!$C$19</f>
        <v>190|9</v>
      </c>
      <c r="B9657" s="10" t="str">
        <f>参数调整!$J$40</f>
        <v>新增怪物种类5掉落</v>
      </c>
      <c r="C9657" s="8" t="str">
        <f>材料产出!$T$2</f>
        <v>洗髓丹</v>
      </c>
      <c r="D9657" s="224">
        <f>参数调整!$K$40*怪物掉落配置方案!$D4527</f>
        <v>6.3181856941658635E-2</v>
      </c>
    </row>
    <row r="9658" spans="1:4" ht="16.5" hidden="1" x14ac:dyDescent="0.3">
      <c r="A9658" s="10" t="str">
        <f>基本属性!$B$20&amp;"|"&amp;基本属性!$C$20</f>
        <v>200|10</v>
      </c>
      <c r="B9658" s="10" t="str">
        <f>参数调整!$J$40</f>
        <v>新增怪物种类5掉落</v>
      </c>
      <c r="C9658" s="8" t="str">
        <f>材料产出!$T$2</f>
        <v>洗髓丹</v>
      </c>
      <c r="D9658" s="224">
        <f>参数调整!$K$40*怪物掉落配置方案!$D4528</f>
        <v>7.3842929953728112E-2</v>
      </c>
    </row>
    <row r="9659" spans="1:4" ht="16.5" hidden="1" x14ac:dyDescent="0.3">
      <c r="A9659" s="10" t="str">
        <f>基本属性!$B$21&amp;"|"&amp;基本属性!$C$21</f>
        <v>200|11</v>
      </c>
      <c r="B9659" s="10" t="str">
        <f>参数调整!$J$40</f>
        <v>新增怪物种类5掉落</v>
      </c>
      <c r="C9659" s="8" t="str">
        <f>材料产出!$T$2</f>
        <v>洗髓丹</v>
      </c>
      <c r="D9659" s="224">
        <f>参数调整!$K$40*怪物掉落配置方案!$D4529</f>
        <v>8.5334735927777031E-2</v>
      </c>
    </row>
    <row r="9660" spans="1:4" ht="16.5" hidden="1" x14ac:dyDescent="0.3">
      <c r="A9660" s="10" t="str">
        <f>基本属性!$B$22&amp;"|"&amp;基本属性!$C$22</f>
        <v>210|12</v>
      </c>
      <c r="B9660" s="10" t="str">
        <f>参数调整!$J$40</f>
        <v>新增怪物种类5掉落</v>
      </c>
      <c r="C9660" s="8" t="str">
        <f>材料产出!$T$2</f>
        <v>洗髓丹</v>
      </c>
      <c r="D9660" s="224">
        <f>参数调整!$K$40*怪物掉落配置方案!$D4530</f>
        <v>9.7657274863805418E-2</v>
      </c>
    </row>
    <row r="9661" spans="1:4" ht="16.5" hidden="1" x14ac:dyDescent="0.3">
      <c r="A9661" s="10" t="str">
        <f>基本属性!$B$23&amp;"|"&amp;基本属性!$C$23</f>
        <v>210|13</v>
      </c>
      <c r="B9661" s="10" t="str">
        <f>参数调整!$J$40</f>
        <v>新增怪物种类5掉落</v>
      </c>
      <c r="C9661" s="8" t="str">
        <f>材料产出!$T$2</f>
        <v>洗髓丹</v>
      </c>
      <c r="D9661" s="224">
        <f>参数调整!$K$40*怪物掉落配置方案!$D4531</f>
        <v>0.11081054676181328</v>
      </c>
    </row>
    <row r="9662" spans="1:4" ht="16.5" hidden="1" x14ac:dyDescent="0.3">
      <c r="A9662" s="10" t="str">
        <f>基本属性!$B$24&amp;"|"&amp;基本属性!$C$24</f>
        <v>220|14</v>
      </c>
      <c r="B9662" s="10" t="str">
        <f>参数调整!$J$40</f>
        <v>新增怪物种类5掉落</v>
      </c>
      <c r="C9662" s="8" t="str">
        <f>材料产出!$T$2</f>
        <v>洗髓丹</v>
      </c>
      <c r="D9662" s="224">
        <f>参数调整!$K$40*怪物掉落配置方案!$D4532</f>
        <v>0.12479455162180053</v>
      </c>
    </row>
    <row r="9663" spans="1:4" ht="16.5" hidden="1" x14ac:dyDescent="0.3">
      <c r="A9663" s="10" t="str">
        <f>基本属性!$B$25&amp;"|"&amp;基本属性!$C$25</f>
        <v>220|15</v>
      </c>
      <c r="B9663" s="10" t="str">
        <f>参数调整!$J$40</f>
        <v>新增怪物种类5掉落</v>
      </c>
      <c r="C9663" s="8" t="str">
        <f>材料产出!$T$2</f>
        <v>洗髓丹</v>
      </c>
      <c r="D9663" s="224">
        <f>参数调整!$K$40*怪物掉落配置方案!$D4533</f>
        <v>0.13960928944376721</v>
      </c>
    </row>
    <row r="9664" spans="1:4" ht="16.5" hidden="1" x14ac:dyDescent="0.3">
      <c r="A9664" s="10" t="str">
        <f>基本属性!$B$26&amp;"|"&amp;基本属性!$C$26</f>
        <v>230|16</v>
      </c>
      <c r="B9664" s="10" t="str">
        <f>参数调整!$J$40</f>
        <v>新增怪物种类5掉落</v>
      </c>
      <c r="C9664" s="8" t="str">
        <f>材料产出!$T$2</f>
        <v>洗髓丹</v>
      </c>
      <c r="D9664" s="224">
        <f>参数调整!$K$40*怪物掉落配置方案!$D4534</f>
        <v>0.15525476022771337</v>
      </c>
    </row>
    <row r="9665" spans="1:4" ht="16.5" hidden="1" x14ac:dyDescent="0.3">
      <c r="A9665" s="10" t="str">
        <f>基本属性!$B$27&amp;"|"&amp;基本属性!$C$27</f>
        <v>230|17</v>
      </c>
      <c r="B9665" s="10" t="str">
        <f>参数调整!$J$40</f>
        <v>新增怪物种类5掉落</v>
      </c>
      <c r="C9665" s="8" t="str">
        <f>材料产出!$T$2</f>
        <v>洗髓丹</v>
      </c>
      <c r="D9665" s="224">
        <f>参数调整!$K$40*怪物掉落配置方案!$D4535</f>
        <v>0.17173096397363893</v>
      </c>
    </row>
    <row r="9666" spans="1:4" ht="16.5" hidden="1" x14ac:dyDescent="0.3">
      <c r="A9666" s="10" t="str">
        <f>基本属性!$B$28&amp;"|"&amp;基本属性!$C$28</f>
        <v>240|18</v>
      </c>
      <c r="B9666" s="10" t="str">
        <f>参数调整!$J$40</f>
        <v>新增怪物种类5掉落</v>
      </c>
      <c r="C9666" s="8" t="str">
        <f>材料产出!$T$2</f>
        <v>洗髓丹</v>
      </c>
      <c r="D9666" s="224">
        <f>参数调整!$K$40*怪物掉落配置方案!$D4536</f>
        <v>0.18903790068154402</v>
      </c>
    </row>
    <row r="9667" spans="1:4" ht="16.5" hidden="1" x14ac:dyDescent="0.3">
      <c r="A9667" s="10" t="str">
        <f>基本属性!$B$29&amp;"|"&amp;基本属性!$C$29</f>
        <v>240|19</v>
      </c>
      <c r="B9667" s="10" t="str">
        <f>参数调整!$J$40</f>
        <v>新增怪物种类5掉落</v>
      </c>
      <c r="C9667" s="8" t="str">
        <f>材料产出!$T$2</f>
        <v>洗髓丹</v>
      </c>
      <c r="D9667" s="224">
        <f>参数调整!$K$40*怪物掉落配置方案!$D4537</f>
        <v>0.20717557035142847</v>
      </c>
    </row>
    <row r="9668" spans="1:4" ht="16.5" hidden="1" x14ac:dyDescent="0.3">
      <c r="A9668" s="10" t="str">
        <f>基本属性!$B$30&amp;"|"&amp;基本属性!$C$30</f>
        <v>250|20</v>
      </c>
      <c r="B9668" s="10" t="str">
        <f>参数调整!$J$40</f>
        <v>新增怪物种类5掉落</v>
      </c>
      <c r="C9668" s="8" t="str">
        <f>材料产出!$T$2</f>
        <v>洗髓丹</v>
      </c>
      <c r="D9668" s="224">
        <f>参数调整!$K$40*怪物掉落配置方案!$D4538</f>
        <v>0.22614397298329234</v>
      </c>
    </row>
    <row r="9669" spans="1:4" ht="16.5" hidden="1" x14ac:dyDescent="0.3">
      <c r="A9669" s="10" t="str">
        <f>基本属性!$B$4&amp;"|"&amp;基本属性!$C$4</f>
        <v>35|0</v>
      </c>
      <c r="B9669" s="10" t="str">
        <f>参数调整!$J$40</f>
        <v>新增怪物种类5掉落</v>
      </c>
      <c r="C9669" s="8" t="str">
        <f>材料产出!$AZ$2</f>
        <v>武器碎片</v>
      </c>
      <c r="D9669" s="224">
        <f>参数调整!$K$40*怪物掉落配置方案!$D4539</f>
        <v>4.0583486041949771E-5</v>
      </c>
    </row>
    <row r="9670" spans="1:4" ht="16.5" hidden="1" x14ac:dyDescent="0.3">
      <c r="A9670" s="10" t="str">
        <f>基本属性!$B$5&amp;"|"&amp;基本属性!$C$5</f>
        <v>40|0</v>
      </c>
      <c r="B9670" s="10" t="str">
        <f>参数调整!$J$40</f>
        <v>新增怪物种类5掉落</v>
      </c>
      <c r="C9670" s="8" t="str">
        <f>材料产出!$AZ$2</f>
        <v>武器碎片</v>
      </c>
      <c r="D9670" s="224">
        <f>参数调整!$K$40*怪物掉落配置方案!$D4540</f>
        <v>5.136347452184268E-5</v>
      </c>
    </row>
    <row r="9671" spans="1:4" ht="16.5" hidden="1" x14ac:dyDescent="0.3">
      <c r="A9671" s="10" t="str">
        <f>基本属性!$B$6&amp;"|"&amp;基本属性!$C$6</f>
        <v>50|0</v>
      </c>
      <c r="B9671" s="10" t="str">
        <f>参数调整!$J$40</f>
        <v>新增怪物种类5掉落</v>
      </c>
      <c r="C9671" s="8" t="str">
        <f>材料产出!$AZ$2</f>
        <v>武器碎片</v>
      </c>
      <c r="D9671" s="224">
        <f>参数调整!$K$40*怪物掉落配置方案!$D4541</f>
        <v>6.3411696940546527E-5</v>
      </c>
    </row>
    <row r="9672" spans="1:4" ht="16.5" hidden="1" x14ac:dyDescent="0.3">
      <c r="A9672" s="10" t="str">
        <f>基本属性!$B$7&amp;"|"&amp;基本属性!$C$7</f>
        <v>60|0</v>
      </c>
      <c r="B9672" s="10" t="str">
        <f>参数调整!$J$40</f>
        <v>新增怪物种类5掉落</v>
      </c>
      <c r="C9672" s="8" t="str">
        <f>材料产出!$AZ$2</f>
        <v>武器碎片</v>
      </c>
      <c r="D9672" s="224">
        <f>参数调整!$K$40*怪物掉落配置方案!$D4542</f>
        <v>7.6728153298061285E-5</v>
      </c>
    </row>
    <row r="9673" spans="1:4" ht="16.5" hidden="1" x14ac:dyDescent="0.3">
      <c r="A9673" s="10" t="str">
        <f>基本属性!$B$8&amp;"|"&amp;基本属性!$C$8</f>
        <v>65|0</v>
      </c>
      <c r="B9673" s="10" t="str">
        <f>参数调整!$J$40</f>
        <v>新增怪物种类5掉落</v>
      </c>
      <c r="C9673" s="8" t="str">
        <f>材料产出!$AZ$2</f>
        <v>武器碎片</v>
      </c>
      <c r="D9673" s="224">
        <f>参数调整!$K$40*怪物掉落配置方案!$D4543</f>
        <v>9.1312843594386982E-5</v>
      </c>
    </row>
    <row r="9674" spans="1:4" ht="16.5" hidden="1" x14ac:dyDescent="0.3">
      <c r="A9674" s="10" t="str">
        <f>基本属性!$B$9&amp;"|"&amp;基本属性!$C$9</f>
        <v>70|0</v>
      </c>
      <c r="B9674" s="10" t="str">
        <f>参数调整!$J$40</f>
        <v>新增怪物种类5掉落</v>
      </c>
      <c r="C9674" s="8" t="str">
        <f>材料产出!$AZ$2</f>
        <v>武器碎片</v>
      </c>
      <c r="D9674" s="224">
        <f>参数调整!$K$40*怪物掉落配置方案!$D4544</f>
        <v>1.0716576782952362E-4</v>
      </c>
    </row>
    <row r="9675" spans="1:4" ht="16.5" hidden="1" x14ac:dyDescent="0.3">
      <c r="A9675" s="10" t="str">
        <f>基本属性!$B$10&amp;"|"&amp;基本属性!$C$10</f>
        <v>75|0</v>
      </c>
      <c r="B9675" s="10" t="str">
        <f>参数调整!$J$40</f>
        <v>新增怪物种类5掉落</v>
      </c>
      <c r="C9675" s="8" t="str">
        <f>材料产出!$AZ$2</f>
        <v>武器碎片</v>
      </c>
      <c r="D9675" s="224">
        <f>参数调整!$K$40*怪物掉落配置方案!$D4545</f>
        <v>1.2428692600347115E-4</v>
      </c>
    </row>
    <row r="9676" spans="1:4" ht="16.5" hidden="1" x14ac:dyDescent="0.3">
      <c r="A9676" s="10" t="str">
        <f>基本属性!$B$11&amp;"|"&amp;基本属性!$C$11</f>
        <v>80|1</v>
      </c>
      <c r="B9676" s="10" t="str">
        <f>参数调整!$J$40</f>
        <v>新增怪物种类5掉落</v>
      </c>
      <c r="C9676" s="8" t="str">
        <f>材料产出!$AZ$2</f>
        <v>武器碎片</v>
      </c>
      <c r="D9676" s="224">
        <f>参数调整!$K$40*怪物掉落配置方案!$D4546</f>
        <v>1.4267631811622965E-4</v>
      </c>
    </row>
    <row r="9677" spans="1:4" ht="16.5" hidden="1" x14ac:dyDescent="0.3">
      <c r="A9677" s="10" t="str">
        <f>基本属性!$B$12&amp;"|"&amp;基本属性!$C$12</f>
        <v>90|2</v>
      </c>
      <c r="B9677" s="10" t="str">
        <f>参数调整!$J$40</f>
        <v>新增怪物种类5掉落</v>
      </c>
      <c r="C9677" s="8" t="str">
        <f>材料产出!$AZ$2</f>
        <v>武器碎片</v>
      </c>
      <c r="D9677" s="224">
        <f>参数调整!$K$40*怪物掉落配置方案!$D4547</f>
        <v>1.6233394416779911E-4</v>
      </c>
    </row>
    <row r="9678" spans="1:4" ht="16.5" hidden="1" x14ac:dyDescent="0.3">
      <c r="A9678" s="10" t="str">
        <f>基本属性!$B$13&amp;"|"&amp;基本属性!$C$13</f>
        <v>100|3</v>
      </c>
      <c r="B9678" s="10" t="str">
        <f>参数调整!$J$40</f>
        <v>新增怪物种类5掉落</v>
      </c>
      <c r="C9678" s="8" t="str">
        <f>材料产出!$AZ$2</f>
        <v>武器碎片</v>
      </c>
      <c r="D9678" s="224">
        <f>参数调整!$K$40*怪物掉落配置方案!$D4548</f>
        <v>2.0545389808737075E-4</v>
      </c>
    </row>
    <row r="9679" spans="1:4" ht="16.5" hidden="1" x14ac:dyDescent="0.3">
      <c r="A9679" s="10" t="str">
        <f>基本属性!$B$14&amp;"|"&amp;基本属性!$C$14</f>
        <v>105|4</v>
      </c>
      <c r="B9679" s="10" t="str">
        <f>参数调整!$J$40</f>
        <v>新增怪物种类5掉落</v>
      </c>
      <c r="C9679" s="8" t="str">
        <f>材料产出!$AZ$2</f>
        <v>武器碎片</v>
      </c>
      <c r="D9679" s="224">
        <f>参数调整!$K$40*怪物掉落配置方案!$D4549</f>
        <v>2.5364678776218611E-4</v>
      </c>
    </row>
    <row r="9680" spans="1:4" ht="16.5" hidden="1" x14ac:dyDescent="0.3">
      <c r="A9680" s="10" t="str">
        <f>基本属性!$B$15&amp;"|"&amp;基本属性!$C$15</f>
        <v>110|5</v>
      </c>
      <c r="B9680" s="10" t="str">
        <f>参数调整!$J$40</f>
        <v>新增怪物种类5掉落</v>
      </c>
      <c r="C9680" s="8" t="str">
        <f>材料产出!$AZ$2</f>
        <v>武器碎片</v>
      </c>
      <c r="D9680" s="224">
        <f>参数调整!$K$40*怪物掉落配置方案!$D4550</f>
        <v>3.0691261319224519E-4</v>
      </c>
    </row>
    <row r="9681" spans="1:4" ht="16.5" hidden="1" x14ac:dyDescent="0.3">
      <c r="A9681" s="10" t="str">
        <f>基本属性!$B$16&amp;"|"&amp;基本属性!$C$16</f>
        <v>120|6</v>
      </c>
      <c r="B9681" s="10" t="str">
        <f>参数调整!$J$40</f>
        <v>新增怪物种类5掉落</v>
      </c>
      <c r="C9681" s="8" t="str">
        <f>材料产出!$AZ$2</f>
        <v>武器碎片</v>
      </c>
      <c r="D9681" s="224">
        <f>参数调整!$K$40*怪物掉落配置方案!$D4551</f>
        <v>3.9632310587841581E-4</v>
      </c>
    </row>
    <row r="9682" spans="1:4" ht="16.5" hidden="1" x14ac:dyDescent="0.3">
      <c r="A9682" s="10" t="str">
        <f>基本属性!$B$17&amp;"|"&amp;基本属性!$C$17</f>
        <v>135|7</v>
      </c>
      <c r="B9682" s="10" t="str">
        <f>参数调整!$J$40</f>
        <v>新增怪物种类5掉落</v>
      </c>
      <c r="C9682" s="8" t="str">
        <f>材料产出!$AZ$2</f>
        <v>武器碎片</v>
      </c>
      <c r="D9682" s="224">
        <f>参数调整!$K$40*怪物掉落配置方案!$D4552</f>
        <v>5.7070527246491859E-4</v>
      </c>
    </row>
    <row r="9683" spans="1:4" ht="16.5" hidden="1" x14ac:dyDescent="0.3">
      <c r="A9683" s="10" t="str">
        <f>基本属性!$B$18&amp;"|"&amp;基本属性!$C$18</f>
        <v>155|8</v>
      </c>
      <c r="B9683" s="10" t="str">
        <f>参数调整!$J$40</f>
        <v>新增怪物种类5掉落</v>
      </c>
      <c r="C9683" s="8" t="str">
        <f>材料产出!$AZ$2</f>
        <v>武器碎片</v>
      </c>
      <c r="D9683" s="224">
        <f>参数调整!$K$40*怪物掉落配置方案!$D4553</f>
        <v>7.7679328752169484E-4</v>
      </c>
    </row>
    <row r="9684" spans="1:4" ht="16.5" hidden="1" x14ac:dyDescent="0.3">
      <c r="A9684" s="10" t="str">
        <f>基本属性!$B$19&amp;"|"&amp;基本属性!$C$19</f>
        <v>190|9</v>
      </c>
      <c r="B9684" s="10" t="str">
        <f>参数调整!$J$40</f>
        <v>新增怪物种类5掉落</v>
      </c>
      <c r="C9684" s="8" t="str">
        <f>材料产出!$AZ$2</f>
        <v>武器碎片</v>
      </c>
      <c r="D9684" s="224">
        <f>参数调整!$K$40*怪物掉落配置方案!$D4554</f>
        <v>8.6810613111608186E-4</v>
      </c>
    </row>
    <row r="9685" spans="1:4" ht="16.5" hidden="1" x14ac:dyDescent="0.3">
      <c r="A9685" s="10" t="str">
        <f>基本属性!$B$20&amp;"|"&amp;基本属性!$C$20</f>
        <v>200|10</v>
      </c>
      <c r="B9685" s="10" t="str">
        <f>参数调整!$J$40</f>
        <v>新增怪物种类5掉落</v>
      </c>
      <c r="C9685" s="8" t="str">
        <f>材料产出!$AZ$2</f>
        <v>武器碎片</v>
      </c>
      <c r="D9685" s="224">
        <f>参数调整!$K$40*怪物掉落配置方案!$D4555</f>
        <v>1.0145871510487444E-3</v>
      </c>
    </row>
    <row r="9686" spans="1:4" ht="16.5" hidden="1" x14ac:dyDescent="0.3">
      <c r="A9686" s="10" t="str">
        <f>基本属性!$B$21&amp;"|"&amp;基本属性!$C$21</f>
        <v>200|11</v>
      </c>
      <c r="B9686" s="10" t="str">
        <f>参数调整!$J$40</f>
        <v>新增怪物种类5掉落</v>
      </c>
      <c r="C9686" s="8" t="str">
        <f>材料产出!$AZ$2</f>
        <v>武器碎片</v>
      </c>
      <c r="D9686" s="224">
        <f>参数调整!$K$40*怪物掉落配置方案!$D4556</f>
        <v>1.1724822764307048E-3</v>
      </c>
    </row>
    <row r="9687" spans="1:4" ht="16.5" hidden="1" x14ac:dyDescent="0.3">
      <c r="A9687" s="10" t="str">
        <f>基本属性!$B$22&amp;"|"&amp;基本属性!$C$22</f>
        <v>210|12</v>
      </c>
      <c r="B9687" s="10" t="str">
        <f>参数调整!$J$40</f>
        <v>新增怪物种类5掉落</v>
      </c>
      <c r="C9687" s="8" t="str">
        <f>材料产出!$AZ$2</f>
        <v>武器碎片</v>
      </c>
      <c r="D9687" s="224">
        <f>参数调整!$K$40*怪物掉落配置方案!$D4557</f>
        <v>1.3417915072619639E-3</v>
      </c>
    </row>
    <row r="9688" spans="1:4" ht="16.5" hidden="1" x14ac:dyDescent="0.3">
      <c r="A9688" s="10" t="str">
        <f>基本属性!$B$23&amp;"|"&amp;基本属性!$C$23</f>
        <v>210|13</v>
      </c>
      <c r="B9688" s="10" t="str">
        <f>参数调整!$J$40</f>
        <v>新增怪物种类5掉落</v>
      </c>
      <c r="C9688" s="8" t="str">
        <f>材料产出!$AZ$2</f>
        <v>武器碎片</v>
      </c>
      <c r="D9688" s="224">
        <f>参数调整!$K$40*怪物掉落配置方案!$D4558</f>
        <v>1.5225148435425221E-3</v>
      </c>
    </row>
    <row r="9689" spans="1:4" ht="16.5" hidden="1" x14ac:dyDescent="0.3">
      <c r="A9689" s="10" t="str">
        <f>基本属性!$B$24&amp;"|"&amp;基本属性!$C$24</f>
        <v>220|14</v>
      </c>
      <c r="B9689" s="10" t="str">
        <f>参数调整!$J$40</f>
        <v>新增怪物种类5掉落</v>
      </c>
      <c r="C9689" s="8" t="str">
        <f>材料产出!$AZ$2</f>
        <v>武器碎片</v>
      </c>
      <c r="D9689" s="224">
        <f>参数调整!$K$40*怪物掉落配置方案!$D4559</f>
        <v>1.7146522852723779E-3</v>
      </c>
    </row>
    <row r="9690" spans="1:4" ht="16.5" hidden="1" x14ac:dyDescent="0.3">
      <c r="A9690" s="10" t="str">
        <f>基本属性!$B$25&amp;"|"&amp;基本属性!$C$25</f>
        <v>220|15</v>
      </c>
      <c r="B9690" s="10" t="str">
        <f>参数调整!$J$40</f>
        <v>新增怪物种类5掉落</v>
      </c>
      <c r="C9690" s="8" t="str">
        <f>材料产出!$AZ$2</f>
        <v>武器碎片</v>
      </c>
      <c r="D9690" s="224">
        <f>参数调整!$K$40*怪物掉落配置方案!$D4560</f>
        <v>1.9182038324515316E-3</v>
      </c>
    </row>
    <row r="9691" spans="1:4" ht="16.5" hidden="1" x14ac:dyDescent="0.3">
      <c r="A9691" s="10" t="str">
        <f>基本属性!$B$26&amp;"|"&amp;基本属性!$C$26</f>
        <v>230|16</v>
      </c>
      <c r="B9691" s="10" t="str">
        <f>参数调整!$J$40</f>
        <v>新增怪物种类5掉落</v>
      </c>
      <c r="C9691" s="8" t="str">
        <f>材料产出!$AZ$2</f>
        <v>武器碎片</v>
      </c>
      <c r="D9691" s="224">
        <f>参数调整!$K$40*怪物掉落配置方案!$D4561</f>
        <v>2.1331694850799847E-3</v>
      </c>
    </row>
    <row r="9692" spans="1:4" ht="16.5" hidden="1" x14ac:dyDescent="0.3">
      <c r="A9692" s="10" t="str">
        <f>基本属性!$B$27&amp;"|"&amp;基本属性!$C$27</f>
        <v>230|17</v>
      </c>
      <c r="B9692" s="10" t="str">
        <f>参数调整!$J$40</f>
        <v>新增怪物种类5掉落</v>
      </c>
      <c r="C9692" s="8" t="str">
        <f>材料产出!$AZ$2</f>
        <v>武器碎片</v>
      </c>
      <c r="D9692" s="224">
        <f>参数调整!$K$40*怪物掉落配置方案!$D4562</f>
        <v>2.3595492431577355E-3</v>
      </c>
    </row>
    <row r="9693" spans="1:4" ht="16.5" hidden="1" x14ac:dyDescent="0.3">
      <c r="A9693" s="10" t="str">
        <f>基本属性!$B$28&amp;"|"&amp;基本属性!$C$28</f>
        <v>240|18</v>
      </c>
      <c r="B9693" s="10" t="str">
        <f>参数调整!$J$40</f>
        <v>新增怪物种类5掉落</v>
      </c>
      <c r="C9693" s="8" t="str">
        <f>材料产出!$AZ$2</f>
        <v>武器碎片</v>
      </c>
      <c r="D9693" s="224">
        <f>参数调整!$K$40*怪物掉落配置方案!$D4563</f>
        <v>2.5973431066847854E-3</v>
      </c>
    </row>
    <row r="9694" spans="1:4" ht="16.5" hidden="1" x14ac:dyDescent="0.3">
      <c r="A9694" s="10" t="str">
        <f>基本属性!$B$29&amp;"|"&amp;基本属性!$C$29</f>
        <v>240|19</v>
      </c>
      <c r="B9694" s="10" t="str">
        <f>参数调整!$J$40</f>
        <v>新增怪物种类5掉落</v>
      </c>
      <c r="C9694" s="8" t="str">
        <f>材料产出!$AZ$2</f>
        <v>武器碎片</v>
      </c>
      <c r="D9694" s="224">
        <f>参数调整!$K$40*怪物掉落配置方案!$D4564</f>
        <v>2.8465510756611333E-3</v>
      </c>
    </row>
    <row r="9695" spans="1:4" ht="16.5" hidden="1" x14ac:dyDescent="0.3">
      <c r="A9695" s="10" t="str">
        <f>基本属性!$B$30&amp;"|"&amp;基本属性!$C$30</f>
        <v>250|20</v>
      </c>
      <c r="B9695" s="10" t="str">
        <f>参数调整!$J$40</f>
        <v>新增怪物种类5掉落</v>
      </c>
      <c r="C9695" s="8" t="str">
        <f>材料产出!$AZ$2</f>
        <v>武器碎片</v>
      </c>
      <c r="D9695" s="224">
        <f>参数调整!$K$40*怪物掉落配置方案!$D4565</f>
        <v>3.1071731500867785E-3</v>
      </c>
    </row>
    <row r="9696" spans="1:4" ht="16.5" hidden="1" x14ac:dyDescent="0.3">
      <c r="A9696" s="10" t="str">
        <f>基本属性!$B$4&amp;"|"&amp;基本属性!$C$4</f>
        <v>35|0</v>
      </c>
      <c r="B9696" s="10" t="str">
        <f>参数调整!$J$40</f>
        <v>新增怪物种类5掉落</v>
      </c>
      <c r="C9696" s="8" t="str">
        <f>材料产出!$HW$2</f>
        <v>特戒装备</v>
      </c>
      <c r="D9696" s="224">
        <f>参数调整!$K$40*怪物掉落配置方案!$D4566</f>
        <v>0</v>
      </c>
    </row>
    <row r="9697" spans="1:4" ht="16.5" hidden="1" x14ac:dyDescent="0.3">
      <c r="A9697" s="10" t="str">
        <f>基本属性!$B$5&amp;"|"&amp;基本属性!$C$5</f>
        <v>40|0</v>
      </c>
      <c r="B9697" s="10" t="str">
        <f>参数调整!$J$40</f>
        <v>新增怪物种类5掉落</v>
      </c>
      <c r="C9697" s="8" t="str">
        <f>材料产出!$HW$2</f>
        <v>特戒装备</v>
      </c>
      <c r="D9697" s="224">
        <f>参数调整!$K$40*怪物掉落配置方案!$D4567</f>
        <v>0</v>
      </c>
    </row>
    <row r="9698" spans="1:4" ht="16.5" hidden="1" x14ac:dyDescent="0.3">
      <c r="A9698" s="10" t="str">
        <f>基本属性!$B$6&amp;"|"&amp;基本属性!$C$6</f>
        <v>50|0</v>
      </c>
      <c r="B9698" s="10" t="str">
        <f>参数调整!$J$40</f>
        <v>新增怪物种类5掉落</v>
      </c>
      <c r="C9698" s="8" t="str">
        <f>材料产出!$HW$2</f>
        <v>特戒装备</v>
      </c>
      <c r="D9698" s="224">
        <f>参数调整!$K$40*怪物掉落配置方案!$D4568</f>
        <v>0</v>
      </c>
    </row>
    <row r="9699" spans="1:4" ht="16.5" hidden="1" x14ac:dyDescent="0.3">
      <c r="A9699" s="10" t="str">
        <f>基本属性!$B$7&amp;"|"&amp;基本属性!$C$7</f>
        <v>60|0</v>
      </c>
      <c r="B9699" s="10" t="str">
        <f>参数调整!$J$40</f>
        <v>新增怪物种类5掉落</v>
      </c>
      <c r="C9699" s="8" t="str">
        <f>材料产出!$HW$2</f>
        <v>特戒装备</v>
      </c>
      <c r="D9699" s="224">
        <f>参数调整!$K$40*怪物掉落配置方案!$D4569</f>
        <v>0</v>
      </c>
    </row>
    <row r="9700" spans="1:4" ht="16.5" hidden="1" x14ac:dyDescent="0.3">
      <c r="A9700" s="10" t="str">
        <f>基本属性!$B$8&amp;"|"&amp;基本属性!$C$8</f>
        <v>65|0</v>
      </c>
      <c r="B9700" s="10" t="str">
        <f>参数调整!$J$40</f>
        <v>新增怪物种类5掉落</v>
      </c>
      <c r="C9700" s="8" t="str">
        <f>材料产出!$HW$2</f>
        <v>特戒装备</v>
      </c>
      <c r="D9700" s="224">
        <f>参数调整!$K$40*怪物掉落配置方案!$D4570</f>
        <v>0</v>
      </c>
    </row>
    <row r="9701" spans="1:4" ht="16.5" hidden="1" x14ac:dyDescent="0.3">
      <c r="A9701" s="10" t="str">
        <f>基本属性!$B$9&amp;"|"&amp;基本属性!$C$9</f>
        <v>70|0</v>
      </c>
      <c r="B9701" s="10" t="str">
        <f>参数调整!$J$40</f>
        <v>新增怪物种类5掉落</v>
      </c>
      <c r="C9701" s="8" t="str">
        <f>材料产出!$HW$2</f>
        <v>特戒装备</v>
      </c>
      <c r="D9701" s="224">
        <f>参数调整!$K$40*怪物掉落配置方案!$D4571</f>
        <v>0</v>
      </c>
    </row>
    <row r="9702" spans="1:4" ht="16.5" hidden="1" x14ac:dyDescent="0.3">
      <c r="A9702" s="10" t="str">
        <f>基本属性!$B$10&amp;"|"&amp;基本属性!$C$10</f>
        <v>75|0</v>
      </c>
      <c r="B9702" s="10" t="str">
        <f>参数调整!$J$40</f>
        <v>新增怪物种类5掉落</v>
      </c>
      <c r="C9702" s="8" t="str">
        <f>材料产出!$HW$2</f>
        <v>特戒装备</v>
      </c>
      <c r="D9702" s="224">
        <f>参数调整!$K$40*怪物掉落配置方案!$D4572</f>
        <v>0</v>
      </c>
    </row>
    <row r="9703" spans="1:4" ht="16.5" hidden="1" x14ac:dyDescent="0.3">
      <c r="A9703" s="10" t="str">
        <f>基本属性!$B$11&amp;"|"&amp;基本属性!$C$11</f>
        <v>80|1</v>
      </c>
      <c r="B9703" s="10" t="str">
        <f>参数调整!$J$40</f>
        <v>新增怪物种类5掉落</v>
      </c>
      <c r="C9703" s="8" t="str">
        <f>材料产出!$HW$2</f>
        <v>特戒装备</v>
      </c>
      <c r="D9703" s="224">
        <f>参数调整!$K$40*怪物掉落配置方案!$D4573</f>
        <v>0</v>
      </c>
    </row>
    <row r="9704" spans="1:4" ht="16.5" hidden="1" x14ac:dyDescent="0.3">
      <c r="A9704" s="10" t="str">
        <f>基本属性!$B$12&amp;"|"&amp;基本属性!$C$12</f>
        <v>90|2</v>
      </c>
      <c r="B9704" s="10" t="str">
        <f>参数调整!$J$40</f>
        <v>新增怪物种类5掉落</v>
      </c>
      <c r="C9704" s="8" t="str">
        <f>材料产出!$HW$2</f>
        <v>特戒装备</v>
      </c>
      <c r="D9704" s="224">
        <f>参数调整!$K$40*怪物掉落配置方案!$D4574</f>
        <v>0</v>
      </c>
    </row>
    <row r="9705" spans="1:4" ht="16.5" hidden="1" x14ac:dyDescent="0.3">
      <c r="A9705" s="10" t="str">
        <f>基本属性!$B$13&amp;"|"&amp;基本属性!$C$13</f>
        <v>100|3</v>
      </c>
      <c r="B9705" s="10" t="str">
        <f>参数调整!$J$40</f>
        <v>新增怪物种类5掉落</v>
      </c>
      <c r="C9705" s="8" t="str">
        <f>材料产出!$HW$2</f>
        <v>特戒装备</v>
      </c>
      <c r="D9705" s="224">
        <f>参数调整!$K$40*怪物掉落配置方案!$D4575</f>
        <v>0</v>
      </c>
    </row>
    <row r="9706" spans="1:4" ht="16.5" hidden="1" x14ac:dyDescent="0.3">
      <c r="A9706" s="10" t="str">
        <f>基本属性!$B$14&amp;"|"&amp;基本属性!$C$14</f>
        <v>105|4</v>
      </c>
      <c r="B9706" s="10" t="str">
        <f>参数调整!$J$40</f>
        <v>新增怪物种类5掉落</v>
      </c>
      <c r="C9706" s="8" t="str">
        <f>材料产出!$HW$2</f>
        <v>特戒装备</v>
      </c>
      <c r="D9706" s="224">
        <f>参数调整!$K$40*怪物掉落配置方案!$D4576</f>
        <v>0</v>
      </c>
    </row>
    <row r="9707" spans="1:4" ht="16.5" hidden="1" x14ac:dyDescent="0.3">
      <c r="A9707" s="10" t="str">
        <f>基本属性!$B$15&amp;"|"&amp;基本属性!$C$15</f>
        <v>110|5</v>
      </c>
      <c r="B9707" s="10" t="str">
        <f>参数调整!$J$40</f>
        <v>新增怪物种类5掉落</v>
      </c>
      <c r="C9707" s="8" t="str">
        <f>材料产出!$HW$2</f>
        <v>特戒装备</v>
      </c>
      <c r="D9707" s="224">
        <f>参数调整!$K$40*怪物掉落配置方案!$D4577</f>
        <v>0</v>
      </c>
    </row>
    <row r="9708" spans="1:4" ht="16.5" hidden="1" x14ac:dyDescent="0.3">
      <c r="A9708" s="10" t="str">
        <f>基本属性!$B$16&amp;"|"&amp;基本属性!$C$16</f>
        <v>120|6</v>
      </c>
      <c r="B9708" s="10" t="str">
        <f>参数调整!$J$40</f>
        <v>新增怪物种类5掉落</v>
      </c>
      <c r="C9708" s="8" t="str">
        <f>材料产出!$HW$2</f>
        <v>特戒装备</v>
      </c>
      <c r="D9708" s="224">
        <f>参数调整!$K$40*怪物掉落配置方案!$D4578</f>
        <v>0</v>
      </c>
    </row>
    <row r="9709" spans="1:4" ht="16.5" hidden="1" x14ac:dyDescent="0.3">
      <c r="A9709" s="10" t="str">
        <f>基本属性!$B$17&amp;"|"&amp;基本属性!$C$17</f>
        <v>135|7</v>
      </c>
      <c r="B9709" s="10" t="str">
        <f>参数调整!$J$40</f>
        <v>新增怪物种类5掉落</v>
      </c>
      <c r="C9709" s="8" t="str">
        <f>材料产出!$HW$2</f>
        <v>特戒装备</v>
      </c>
      <c r="D9709" s="224">
        <f>参数调整!$K$40*怪物掉落配置方案!$D4579</f>
        <v>0</v>
      </c>
    </row>
    <row r="9710" spans="1:4" ht="16.5" hidden="1" x14ac:dyDescent="0.3">
      <c r="A9710" s="10" t="str">
        <f>基本属性!$B$18&amp;"|"&amp;基本属性!$C$18</f>
        <v>155|8</v>
      </c>
      <c r="B9710" s="10" t="str">
        <f>参数调整!$J$40</f>
        <v>新增怪物种类5掉落</v>
      </c>
      <c r="C9710" s="8" t="str">
        <f>材料产出!$HW$2</f>
        <v>特戒装备</v>
      </c>
      <c r="D9710" s="224">
        <f>参数调整!$K$40*怪物掉落配置方案!$D4580</f>
        <v>0</v>
      </c>
    </row>
    <row r="9711" spans="1:4" ht="16.5" hidden="1" x14ac:dyDescent="0.3">
      <c r="A9711" s="10" t="str">
        <f>基本属性!$B$19&amp;"|"&amp;基本属性!$C$19</f>
        <v>190|9</v>
      </c>
      <c r="B9711" s="10" t="str">
        <f>参数调整!$J$40</f>
        <v>新增怪物种类5掉落</v>
      </c>
      <c r="C9711" s="8" t="str">
        <f>材料产出!$HW$2</f>
        <v>特戒装备</v>
      </c>
      <c r="D9711" s="224">
        <f>参数调整!$K$40*怪物掉落配置方案!$D4581</f>
        <v>0</v>
      </c>
    </row>
    <row r="9712" spans="1:4" ht="16.5" hidden="1" x14ac:dyDescent="0.3">
      <c r="A9712" s="10" t="str">
        <f>基本属性!$B$20&amp;"|"&amp;基本属性!$C$20</f>
        <v>200|10</v>
      </c>
      <c r="B9712" s="10" t="str">
        <f>参数调整!$J$40</f>
        <v>新增怪物种类5掉落</v>
      </c>
      <c r="C9712" s="8" t="str">
        <f>材料产出!$HW$2</f>
        <v>特戒装备</v>
      </c>
      <c r="D9712" s="224">
        <f>参数调整!$K$40*怪物掉落配置方案!$D4582</f>
        <v>0</v>
      </c>
    </row>
    <row r="9713" spans="1:4" ht="16.5" hidden="1" x14ac:dyDescent="0.3">
      <c r="A9713" s="10" t="str">
        <f>基本属性!$B$21&amp;"|"&amp;基本属性!$C$21</f>
        <v>200|11</v>
      </c>
      <c r="B9713" s="10" t="str">
        <f>参数调整!$J$40</f>
        <v>新增怪物种类5掉落</v>
      </c>
      <c r="C9713" s="8" t="str">
        <f>材料产出!$HW$2</f>
        <v>特戒装备</v>
      </c>
      <c r="D9713" s="224">
        <f>参数调整!$K$40*怪物掉落配置方案!$D4583</f>
        <v>0</v>
      </c>
    </row>
    <row r="9714" spans="1:4" ht="16.5" hidden="1" x14ac:dyDescent="0.3">
      <c r="A9714" s="10" t="str">
        <f>基本属性!$B$22&amp;"|"&amp;基本属性!$C$22</f>
        <v>210|12</v>
      </c>
      <c r="B9714" s="10" t="str">
        <f>参数调整!$J$40</f>
        <v>新增怪物种类5掉落</v>
      </c>
      <c r="C9714" s="8" t="str">
        <f>材料产出!$HW$2</f>
        <v>特戒装备</v>
      </c>
      <c r="D9714" s="224">
        <f>参数调整!$K$40*怪物掉落配置方案!$D4584</f>
        <v>0</v>
      </c>
    </row>
    <row r="9715" spans="1:4" ht="16.5" hidden="1" x14ac:dyDescent="0.3">
      <c r="A9715" s="10" t="str">
        <f>基本属性!$B$23&amp;"|"&amp;基本属性!$C$23</f>
        <v>210|13</v>
      </c>
      <c r="B9715" s="10" t="str">
        <f>参数调整!$J$40</f>
        <v>新增怪物种类5掉落</v>
      </c>
      <c r="C9715" s="8" t="str">
        <f>材料产出!$HW$2</f>
        <v>特戒装备</v>
      </c>
      <c r="D9715" s="224">
        <f>参数调整!$K$40*怪物掉落配置方案!$D4585</f>
        <v>0</v>
      </c>
    </row>
    <row r="9716" spans="1:4" ht="16.5" hidden="1" x14ac:dyDescent="0.3">
      <c r="A9716" s="10" t="str">
        <f>基本属性!$B$24&amp;"|"&amp;基本属性!$C$24</f>
        <v>220|14</v>
      </c>
      <c r="B9716" s="10" t="str">
        <f>参数调整!$J$40</f>
        <v>新增怪物种类5掉落</v>
      </c>
      <c r="C9716" s="8" t="str">
        <f>材料产出!$HW$2</f>
        <v>特戒装备</v>
      </c>
      <c r="D9716" s="224">
        <f>参数调整!$K$40*怪物掉落配置方案!$D4586</f>
        <v>0</v>
      </c>
    </row>
    <row r="9717" spans="1:4" ht="16.5" hidden="1" x14ac:dyDescent="0.3">
      <c r="A9717" s="10" t="str">
        <f>基本属性!$B$25&amp;"|"&amp;基本属性!$C$25</f>
        <v>220|15</v>
      </c>
      <c r="B9717" s="10" t="str">
        <f>参数调整!$J$40</f>
        <v>新增怪物种类5掉落</v>
      </c>
      <c r="C9717" s="8" t="str">
        <f>材料产出!$HW$2</f>
        <v>特戒装备</v>
      </c>
      <c r="D9717" s="224">
        <f>参数调整!$K$40*怪物掉落配置方案!$D4587</f>
        <v>0</v>
      </c>
    </row>
    <row r="9718" spans="1:4" ht="16.5" hidden="1" x14ac:dyDescent="0.3">
      <c r="A9718" s="10" t="str">
        <f>基本属性!$B$26&amp;"|"&amp;基本属性!$C$26</f>
        <v>230|16</v>
      </c>
      <c r="B9718" s="10" t="str">
        <f>参数调整!$J$40</f>
        <v>新增怪物种类5掉落</v>
      </c>
      <c r="C9718" s="8" t="str">
        <f>材料产出!$HW$2</f>
        <v>特戒装备</v>
      </c>
      <c r="D9718" s="224">
        <f>参数调整!$K$40*怪物掉落配置方案!$D4588</f>
        <v>0</v>
      </c>
    </row>
    <row r="9719" spans="1:4" ht="16.5" hidden="1" x14ac:dyDescent="0.3">
      <c r="A9719" s="10" t="str">
        <f>基本属性!$B$27&amp;"|"&amp;基本属性!$C$27</f>
        <v>230|17</v>
      </c>
      <c r="B9719" s="10" t="str">
        <f>参数调整!$J$40</f>
        <v>新增怪物种类5掉落</v>
      </c>
      <c r="C9719" s="8" t="str">
        <f>材料产出!$HW$2</f>
        <v>特戒装备</v>
      </c>
      <c r="D9719" s="224">
        <f>参数调整!$K$40*怪物掉落配置方案!$D4589</f>
        <v>0</v>
      </c>
    </row>
    <row r="9720" spans="1:4" ht="16.5" hidden="1" x14ac:dyDescent="0.3">
      <c r="A9720" s="10" t="str">
        <f>基本属性!$B$28&amp;"|"&amp;基本属性!$C$28</f>
        <v>240|18</v>
      </c>
      <c r="B9720" s="10" t="str">
        <f>参数调整!$J$40</f>
        <v>新增怪物种类5掉落</v>
      </c>
      <c r="C9720" s="8" t="str">
        <f>材料产出!$HW$2</f>
        <v>特戒装备</v>
      </c>
      <c r="D9720" s="224">
        <f>参数调整!$K$40*怪物掉落配置方案!$D4590</f>
        <v>0</v>
      </c>
    </row>
    <row r="9721" spans="1:4" ht="16.5" hidden="1" x14ac:dyDescent="0.3">
      <c r="A9721" s="10" t="str">
        <f>基本属性!$B$29&amp;"|"&amp;基本属性!$C$29</f>
        <v>240|19</v>
      </c>
      <c r="B9721" s="10" t="str">
        <f>参数调整!$J$40</f>
        <v>新增怪物种类5掉落</v>
      </c>
      <c r="C9721" s="8" t="str">
        <f>材料产出!$HW$2</f>
        <v>特戒装备</v>
      </c>
      <c r="D9721" s="224">
        <f>参数调整!$K$40*怪物掉落配置方案!$D4591</f>
        <v>0</v>
      </c>
    </row>
    <row r="9722" spans="1:4" ht="16.5" hidden="1" x14ac:dyDescent="0.3">
      <c r="A9722" s="10" t="str">
        <f>基本属性!$B$30&amp;"|"&amp;基本属性!$C$30</f>
        <v>250|20</v>
      </c>
      <c r="B9722" s="10" t="str">
        <f>参数调整!$J$40</f>
        <v>新增怪物种类5掉落</v>
      </c>
      <c r="C9722" s="8" t="str">
        <f>材料产出!$HW$2</f>
        <v>特戒装备</v>
      </c>
      <c r="D9722" s="224">
        <f>参数调整!$K$40*怪物掉落配置方案!$D4592</f>
        <v>0</v>
      </c>
    </row>
    <row r="9723" spans="1:4" ht="16.5" hidden="1" x14ac:dyDescent="0.3">
      <c r="A9723" s="10" t="str">
        <f>基本属性!$B$4&amp;"|"&amp;基本属性!$C$4</f>
        <v>35|0</v>
      </c>
      <c r="B9723" s="10" t="str">
        <f>参数调整!$J$40</f>
        <v>新增怪物种类5掉落</v>
      </c>
      <c r="C9723" s="8" t="str">
        <f>材料产出!$BF$2</f>
        <v>首饰碎片</v>
      </c>
      <c r="D9723" s="224">
        <f>参数调整!$K$40*怪物掉落配置方案!$D4593</f>
        <v>2.0291743020974884E-4</v>
      </c>
    </row>
    <row r="9724" spans="1:4" ht="16.5" hidden="1" x14ac:dyDescent="0.3">
      <c r="A9724" s="10" t="str">
        <f>基本属性!$B$5&amp;"|"&amp;基本属性!$C$5</f>
        <v>40|0</v>
      </c>
      <c r="B9724" s="10" t="str">
        <f>参数调整!$J$40</f>
        <v>新增怪物种类5掉落</v>
      </c>
      <c r="C9724" s="8" t="str">
        <f>材料产出!$BF$2</f>
        <v>首饰碎片</v>
      </c>
      <c r="D9724" s="224">
        <f>参数调整!$K$40*怪物掉落配置方案!$D4594</f>
        <v>2.568173726092134E-4</v>
      </c>
    </row>
    <row r="9725" spans="1:4" ht="16.5" hidden="1" x14ac:dyDescent="0.3">
      <c r="A9725" s="10" t="str">
        <f>基本属性!$B$6&amp;"|"&amp;基本属性!$C$6</f>
        <v>50|0</v>
      </c>
      <c r="B9725" s="10" t="str">
        <f>参数调整!$J$40</f>
        <v>新增怪物种类5掉落</v>
      </c>
      <c r="C9725" s="8" t="str">
        <f>材料产出!$BF$2</f>
        <v>首饰碎片</v>
      </c>
      <c r="D9725" s="224">
        <f>参数调整!$K$40*怪物掉落配置方案!$D4595</f>
        <v>3.1705848470273254E-4</v>
      </c>
    </row>
    <row r="9726" spans="1:4" ht="16.5" hidden="1" x14ac:dyDescent="0.3">
      <c r="A9726" s="10" t="str">
        <f>基本属性!$B$7&amp;"|"&amp;基本属性!$C$7</f>
        <v>60|0</v>
      </c>
      <c r="B9726" s="10" t="str">
        <f>参数调整!$J$40</f>
        <v>新增怪物种类5掉落</v>
      </c>
      <c r="C9726" s="8" t="str">
        <f>材料产出!$BF$2</f>
        <v>首饰碎片</v>
      </c>
      <c r="D9726" s="224">
        <f>参数调整!$K$40*怪物掉落配置方案!$D4596</f>
        <v>3.8364076649030648E-4</v>
      </c>
    </row>
    <row r="9727" spans="1:4" ht="16.5" hidden="1" x14ac:dyDescent="0.3">
      <c r="A9727" s="10" t="str">
        <f>基本属性!$B$8&amp;"|"&amp;基本属性!$C$8</f>
        <v>65|0</v>
      </c>
      <c r="B9727" s="10" t="str">
        <f>参数调整!$J$40</f>
        <v>新增怪物种类5掉落</v>
      </c>
      <c r="C9727" s="8" t="str">
        <f>材料产出!$BF$2</f>
        <v>首饰碎片</v>
      </c>
      <c r="D9727" s="224">
        <f>参数调整!$K$40*怪物掉落配置方案!$D4597</f>
        <v>4.565642179719349E-4</v>
      </c>
    </row>
    <row r="9728" spans="1:4" ht="16.5" hidden="1" x14ac:dyDescent="0.3">
      <c r="A9728" s="10" t="str">
        <f>基本属性!$B$9&amp;"|"&amp;基本属性!$C$9</f>
        <v>70|0</v>
      </c>
      <c r="B9728" s="10" t="str">
        <f>参数调整!$J$40</f>
        <v>新增怪物种类5掉落</v>
      </c>
      <c r="C9728" s="8" t="str">
        <f>材料产出!$BF$2</f>
        <v>首饰碎片</v>
      </c>
      <c r="D9728" s="224">
        <f>参数调整!$K$40*怪物掉落配置方案!$D4598</f>
        <v>5.3582883914761806E-4</v>
      </c>
    </row>
    <row r="9729" spans="1:4" ht="16.5" hidden="1" x14ac:dyDescent="0.3">
      <c r="A9729" s="10" t="str">
        <f>基本属性!$B$10&amp;"|"&amp;基本属性!$C$10</f>
        <v>75|0</v>
      </c>
      <c r="B9729" s="10" t="str">
        <f>参数调整!$J$40</f>
        <v>新增怪物种类5掉落</v>
      </c>
      <c r="C9729" s="8" t="str">
        <f>材料产出!$BF$2</f>
        <v>首饰碎片</v>
      </c>
      <c r="D9729" s="224">
        <f>参数调整!$K$40*怪物掉落配置方案!$D4599</f>
        <v>6.214346300173557E-4</v>
      </c>
    </row>
    <row r="9730" spans="1:4" ht="16.5" hidden="1" x14ac:dyDescent="0.3">
      <c r="A9730" s="10" t="str">
        <f>基本属性!$B$11&amp;"|"&amp;基本属性!$C$11</f>
        <v>80|1</v>
      </c>
      <c r="B9730" s="10" t="str">
        <f>参数调整!$J$40</f>
        <v>新增怪物种类5掉落</v>
      </c>
      <c r="C9730" s="8" t="str">
        <f>材料产出!$BF$2</f>
        <v>首饰碎片</v>
      </c>
      <c r="D9730" s="224">
        <f>参数调整!$K$40*怪物掉落配置方案!$D4600</f>
        <v>7.1338159058114835E-4</v>
      </c>
    </row>
    <row r="9731" spans="1:4" ht="16.5" hidden="1" x14ac:dyDescent="0.3">
      <c r="A9731" s="10" t="str">
        <f>基本属性!$B$12&amp;"|"&amp;基本属性!$C$12</f>
        <v>90|2</v>
      </c>
      <c r="B9731" s="10" t="str">
        <f>参数调整!$J$40</f>
        <v>新增怪物种类5掉落</v>
      </c>
      <c r="C9731" s="8" t="str">
        <f>材料产出!$BF$2</f>
        <v>首饰碎片</v>
      </c>
      <c r="D9731" s="224">
        <f>参数调整!$K$40*怪物掉落配置方案!$D4601</f>
        <v>8.116697208389957E-4</v>
      </c>
    </row>
    <row r="9732" spans="1:4" ht="16.5" hidden="1" x14ac:dyDescent="0.3">
      <c r="A9732" s="10" t="str">
        <f>基本属性!$B$13&amp;"|"&amp;基本属性!$C$13</f>
        <v>100|3</v>
      </c>
      <c r="B9732" s="10" t="str">
        <f>参数调整!$J$40</f>
        <v>新增怪物种类5掉落</v>
      </c>
      <c r="C9732" s="8" t="str">
        <f>材料产出!$BF$2</f>
        <v>首饰碎片</v>
      </c>
      <c r="D9732" s="224">
        <f>参数调整!$K$40*怪物掉落配置方案!$D4602</f>
        <v>1.0272694904368538E-3</v>
      </c>
    </row>
    <row r="9733" spans="1:4" ht="16.5" hidden="1" x14ac:dyDescent="0.3">
      <c r="A9733" s="10" t="str">
        <f>基本属性!$B$14&amp;"|"&amp;基本属性!$C$14</f>
        <v>105|4</v>
      </c>
      <c r="B9733" s="10" t="str">
        <f>参数调整!$J$40</f>
        <v>新增怪物种类5掉落</v>
      </c>
      <c r="C9733" s="8" t="str">
        <f>材料产出!$BF$2</f>
        <v>首饰碎片</v>
      </c>
      <c r="D9733" s="224">
        <f>参数调整!$K$40*怪物掉落配置方案!$D4603</f>
        <v>1.2682339388109306E-3</v>
      </c>
    </row>
    <row r="9734" spans="1:4" ht="16.5" hidden="1" x14ac:dyDescent="0.3">
      <c r="A9734" s="10" t="str">
        <f>基本属性!$B$15&amp;"|"&amp;基本属性!$C$15</f>
        <v>110|5</v>
      </c>
      <c r="B9734" s="10" t="str">
        <f>参数调整!$J$40</f>
        <v>新增怪物种类5掉落</v>
      </c>
      <c r="C9734" s="8" t="str">
        <f>材料产出!$BF$2</f>
        <v>首饰碎片</v>
      </c>
      <c r="D9734" s="224">
        <f>参数调整!$K$40*怪物掉落配置方案!$D4604</f>
        <v>1.5345630659612259E-3</v>
      </c>
    </row>
    <row r="9735" spans="1:4" ht="16.5" hidden="1" x14ac:dyDescent="0.3">
      <c r="A9735" s="10" t="str">
        <f>基本属性!$B$16&amp;"|"&amp;基本属性!$C$16</f>
        <v>120|6</v>
      </c>
      <c r="B9735" s="10" t="str">
        <f>参数调整!$J$40</f>
        <v>新增怪物种类5掉落</v>
      </c>
      <c r="C9735" s="8" t="str">
        <f>材料产出!$BF$2</f>
        <v>首饰碎片</v>
      </c>
      <c r="D9735" s="224">
        <f>参数调整!$K$40*怪物掉落配置方案!$D4605</f>
        <v>1.9816155293920787E-3</v>
      </c>
    </row>
    <row r="9736" spans="1:4" ht="16.5" hidden="1" x14ac:dyDescent="0.3">
      <c r="A9736" s="10" t="str">
        <f>基本属性!$B$17&amp;"|"&amp;基本属性!$C$17</f>
        <v>135|7</v>
      </c>
      <c r="B9736" s="10" t="str">
        <f>参数调整!$J$40</f>
        <v>新增怪物种类5掉落</v>
      </c>
      <c r="C9736" s="8" t="str">
        <f>材料产出!$BF$2</f>
        <v>首饰碎片</v>
      </c>
      <c r="D9736" s="224">
        <f>参数调整!$K$40*怪物掉落配置方案!$D4606</f>
        <v>2.853526362324593E-3</v>
      </c>
    </row>
    <row r="9737" spans="1:4" ht="16.5" hidden="1" x14ac:dyDescent="0.3">
      <c r="A9737" s="10" t="str">
        <f>基本属性!$B$18&amp;"|"&amp;基本属性!$C$18</f>
        <v>155|8</v>
      </c>
      <c r="B9737" s="10" t="str">
        <f>参数调整!$J$40</f>
        <v>新增怪物种类5掉落</v>
      </c>
      <c r="C9737" s="8" t="str">
        <f>材料产出!$BF$2</f>
        <v>首饰碎片</v>
      </c>
      <c r="D9737" s="224">
        <f>参数调整!$K$40*怪物掉落配置方案!$D4607</f>
        <v>3.8839664376084746E-3</v>
      </c>
    </row>
    <row r="9738" spans="1:4" ht="16.5" hidden="1" x14ac:dyDescent="0.3">
      <c r="A9738" s="10" t="str">
        <f>基本属性!$B$19&amp;"|"&amp;基本属性!$C$19</f>
        <v>190|9</v>
      </c>
      <c r="B9738" s="10" t="str">
        <f>参数调整!$J$40</f>
        <v>新增怪物种类5掉落</v>
      </c>
      <c r="C9738" s="8" t="str">
        <f>材料产出!$BF$2</f>
        <v>首饰碎片</v>
      </c>
      <c r="D9738" s="224">
        <f>参数调整!$K$40*怪物掉落配置方案!$D4608</f>
        <v>4.340530655580409E-3</v>
      </c>
    </row>
    <row r="9739" spans="1:4" ht="16.5" hidden="1" x14ac:dyDescent="0.3">
      <c r="A9739" s="10" t="str">
        <f>基本属性!$B$20&amp;"|"&amp;基本属性!$C$20</f>
        <v>200|10</v>
      </c>
      <c r="B9739" s="10" t="str">
        <f>参数调整!$J$40</f>
        <v>新增怪物种类5掉落</v>
      </c>
      <c r="C9739" s="8" t="str">
        <f>材料产出!$BF$2</f>
        <v>首饰碎片</v>
      </c>
      <c r="D9739" s="224">
        <f>参数调整!$K$40*怪物掉落配置方案!$D4609</f>
        <v>5.0729357552437224E-3</v>
      </c>
    </row>
    <row r="9740" spans="1:4" ht="16.5" hidden="1" x14ac:dyDescent="0.3">
      <c r="A9740" s="10" t="str">
        <f>基本属性!$B$21&amp;"|"&amp;基本属性!$C$21</f>
        <v>200|11</v>
      </c>
      <c r="B9740" s="10" t="str">
        <f>参数调整!$J$40</f>
        <v>新增怪物种类5掉落</v>
      </c>
      <c r="C9740" s="8" t="str">
        <f>材料产出!$BF$2</f>
        <v>首饰碎片</v>
      </c>
      <c r="D9740" s="224">
        <f>参数调整!$K$40*怪物掉落配置方案!$D4610</f>
        <v>5.8624113821535238E-3</v>
      </c>
    </row>
    <row r="9741" spans="1:4" ht="16.5" hidden="1" x14ac:dyDescent="0.3">
      <c r="A9741" s="10" t="str">
        <f>基本属性!$B$22&amp;"|"&amp;基本属性!$C$22</f>
        <v>210|12</v>
      </c>
      <c r="B9741" s="10" t="str">
        <f>参数调整!$J$40</f>
        <v>新增怪物种类5掉落</v>
      </c>
      <c r="C9741" s="8" t="str">
        <f>材料产出!$BF$2</f>
        <v>首饰碎片</v>
      </c>
      <c r="D9741" s="224">
        <f>参数调整!$K$40*怪物掉落配置方案!$D4611</f>
        <v>6.7089575363098192E-3</v>
      </c>
    </row>
    <row r="9742" spans="1:4" ht="16.5" hidden="1" x14ac:dyDescent="0.3">
      <c r="A9742" s="10" t="str">
        <f>基本属性!$B$23&amp;"|"&amp;基本属性!$C$23</f>
        <v>210|13</v>
      </c>
      <c r="B9742" s="10" t="str">
        <f>参数调整!$J$40</f>
        <v>新增怪物种类5掉落</v>
      </c>
      <c r="C9742" s="8" t="str">
        <f>材料产出!$BF$2</f>
        <v>首饰碎片</v>
      </c>
      <c r="D9742" s="224">
        <f>参数调整!$K$40*怪物掉落配置方案!$D4612</f>
        <v>7.6125742177126105E-3</v>
      </c>
    </row>
    <row r="9743" spans="1:4" ht="16.5" hidden="1" x14ac:dyDescent="0.3">
      <c r="A9743" s="10" t="str">
        <f>基本属性!$B$24&amp;"|"&amp;基本属性!$C$24</f>
        <v>220|14</v>
      </c>
      <c r="B9743" s="10" t="str">
        <f>参数调整!$J$40</f>
        <v>新增怪物种类5掉落</v>
      </c>
      <c r="C9743" s="8" t="str">
        <f>材料产出!$BF$2</f>
        <v>首饰碎片</v>
      </c>
      <c r="D9743" s="224">
        <f>参数调整!$K$40*怪物掉落配置方案!$D4613</f>
        <v>8.5732614263618889E-3</v>
      </c>
    </row>
    <row r="9744" spans="1:4" ht="16.5" hidden="1" x14ac:dyDescent="0.3">
      <c r="A9744" s="10" t="str">
        <f>基本属性!$B$25&amp;"|"&amp;基本属性!$C$25</f>
        <v>220|15</v>
      </c>
      <c r="B9744" s="10" t="str">
        <f>参数调整!$J$40</f>
        <v>新增怪物种类5掉落</v>
      </c>
      <c r="C9744" s="8" t="str">
        <f>材料产出!$BF$2</f>
        <v>首饰碎片</v>
      </c>
      <c r="D9744" s="224">
        <f>参数调整!$K$40*怪物掉落配置方案!$D4614</f>
        <v>9.5910191622576597E-3</v>
      </c>
    </row>
    <row r="9745" spans="1:4" ht="16.5" hidden="1" x14ac:dyDescent="0.3">
      <c r="A9745" s="10" t="str">
        <f>基本属性!$B$26&amp;"|"&amp;基本属性!$C$26</f>
        <v>230|16</v>
      </c>
      <c r="B9745" s="10" t="str">
        <f>参数调整!$J$40</f>
        <v>新增怪物种类5掉落</v>
      </c>
      <c r="C9745" s="8" t="str">
        <f>材料产出!$BF$2</f>
        <v>首饰碎片</v>
      </c>
      <c r="D9745" s="224">
        <f>参数调整!$K$40*怪物掉落配置方案!$D4615</f>
        <v>1.0665847425399921E-2</v>
      </c>
    </row>
    <row r="9746" spans="1:4" ht="16.5" hidden="1" x14ac:dyDescent="0.3">
      <c r="A9746" s="10" t="str">
        <f>基本属性!$B$27&amp;"|"&amp;基本属性!$C$27</f>
        <v>230|17</v>
      </c>
      <c r="B9746" s="10" t="str">
        <f>参数调整!$J$40</f>
        <v>新增怪物种类5掉落</v>
      </c>
      <c r="C9746" s="8" t="str">
        <f>材料产出!$BF$2</f>
        <v>首饰碎片</v>
      </c>
      <c r="D9746" s="224">
        <f>参数调整!$K$40*怪物掉落配置方案!$D4616</f>
        <v>1.1797746215788678E-2</v>
      </c>
    </row>
    <row r="9747" spans="1:4" ht="16.5" hidden="1" x14ac:dyDescent="0.3">
      <c r="A9747" s="10" t="str">
        <f>基本属性!$B$28&amp;"|"&amp;基本属性!$C$28</f>
        <v>240|18</v>
      </c>
      <c r="B9747" s="10" t="str">
        <f>参数调整!$J$40</f>
        <v>新增怪物种类5掉落</v>
      </c>
      <c r="C9747" s="8" t="str">
        <f>材料产出!$BF$2</f>
        <v>首饰碎片</v>
      </c>
      <c r="D9747" s="224">
        <f>参数调整!$K$40*怪物掉落配置方案!$D4617</f>
        <v>1.2986715533423929E-2</v>
      </c>
    </row>
    <row r="9748" spans="1:4" ht="16.5" hidden="1" x14ac:dyDescent="0.3">
      <c r="A9748" s="10" t="str">
        <f>基本属性!$B$29&amp;"|"&amp;基本属性!$C$29</f>
        <v>240|19</v>
      </c>
      <c r="B9748" s="10" t="str">
        <f>参数调整!$J$40</f>
        <v>新增怪物种类5掉落</v>
      </c>
      <c r="C9748" s="8" t="str">
        <f>材料产出!$BF$2</f>
        <v>首饰碎片</v>
      </c>
      <c r="D9748" s="224">
        <f>参数调整!$K$40*怪物掉落配置方案!$D4618</f>
        <v>1.4232755378305666E-2</v>
      </c>
    </row>
    <row r="9749" spans="1:4" ht="16.5" hidden="1" x14ac:dyDescent="0.3">
      <c r="A9749" s="10" t="str">
        <f>基本属性!$B$30&amp;"|"&amp;基本属性!$C$30</f>
        <v>250|20</v>
      </c>
      <c r="B9749" s="10" t="str">
        <f>参数调整!$J$40</f>
        <v>新增怪物种类5掉落</v>
      </c>
      <c r="C9749" s="8" t="str">
        <f>材料产出!$BF$2</f>
        <v>首饰碎片</v>
      </c>
      <c r="D9749" s="224">
        <f>参数调整!$K$40*怪物掉落配置方案!$D4619</f>
        <v>1.5535865750433895E-2</v>
      </c>
    </row>
    <row r="9750" spans="1:4" ht="16.5" hidden="1" x14ac:dyDescent="0.3">
      <c r="A9750" s="10" t="str">
        <f>基本属性!$B$4&amp;"|"&amp;基本属性!$C$4</f>
        <v>35|0</v>
      </c>
      <c r="B9750" s="10" t="str">
        <f>参数调整!$J$40</f>
        <v>新增怪物种类5掉落</v>
      </c>
      <c r="C9750" s="8" t="str">
        <f>材料产出!$P$2</f>
        <v>声望</v>
      </c>
      <c r="D9750" s="224">
        <f>参数调整!$K$40*怪物掉落配置方案!$D4620</f>
        <v>3.247504686629174E-2</v>
      </c>
    </row>
    <row r="9751" spans="1:4" ht="16.5" hidden="1" x14ac:dyDescent="0.3">
      <c r="A9751" s="10" t="str">
        <f>基本属性!$B$5&amp;"|"&amp;基本属性!$C$5</f>
        <v>40|0</v>
      </c>
      <c r="B9751" s="10" t="str">
        <f>参数调整!$J$40</f>
        <v>新增怪物种类5掉落</v>
      </c>
      <c r="C9751" s="8" t="str">
        <f>材料产出!$P$2</f>
        <v>声望</v>
      </c>
      <c r="D9751" s="224">
        <f>参数调整!$K$40*怪物掉落配置方案!$D4621</f>
        <v>4.1101231190150481E-2</v>
      </c>
    </row>
    <row r="9752" spans="1:4" ht="16.5" hidden="1" x14ac:dyDescent="0.3">
      <c r="A9752" s="10" t="str">
        <f>基本属性!$B$6&amp;"|"&amp;基本属性!$C$6</f>
        <v>50|0</v>
      </c>
      <c r="B9752" s="10" t="str">
        <f>参数调整!$J$40</f>
        <v>新增怪物种类5掉落</v>
      </c>
      <c r="C9752" s="8" t="str">
        <f>材料产出!$P$2</f>
        <v>声望</v>
      </c>
      <c r="D9752" s="224">
        <f>参数调整!$K$40*怪物掉落配置方案!$D4622</f>
        <v>5.0742260728580832E-2</v>
      </c>
    </row>
    <row r="9753" spans="1:4" ht="16.5" hidden="1" x14ac:dyDescent="0.3">
      <c r="A9753" s="10" t="str">
        <f>基本属性!$B$7&amp;"|"&amp;基本属性!$C$7</f>
        <v>60|0</v>
      </c>
      <c r="B9753" s="10" t="str">
        <f>参数调整!$J$40</f>
        <v>新增怪物种类5掉落</v>
      </c>
      <c r="C9753" s="8" t="str">
        <f>材料产出!$P$2</f>
        <v>声望</v>
      </c>
      <c r="D9753" s="224">
        <f>参数调整!$K$40*怪物掉落配置方案!$D4623</f>
        <v>6.1398135481582822E-2</v>
      </c>
    </row>
    <row r="9754" spans="1:4" ht="16.5" hidden="1" x14ac:dyDescent="0.3">
      <c r="A9754" s="10" t="str">
        <f>基本属性!$B$8&amp;"|"&amp;基本属性!$C$8</f>
        <v>65|0</v>
      </c>
      <c r="B9754" s="10" t="str">
        <f>参数调整!$J$40</f>
        <v>新增怪物种类5掉落</v>
      </c>
      <c r="C9754" s="8" t="str">
        <f>材料产出!$P$2</f>
        <v>声望</v>
      </c>
      <c r="D9754" s="224">
        <f>参数调整!$K$40*怪物掉落配置方案!$D4624</f>
        <v>7.3068855449156409E-2</v>
      </c>
    </row>
    <row r="9755" spans="1:4" ht="16.5" hidden="1" x14ac:dyDescent="0.3">
      <c r="A9755" s="10" t="str">
        <f>基本属性!$B$9&amp;"|"&amp;基本属性!$C$9</f>
        <v>70|0</v>
      </c>
      <c r="B9755" s="10" t="str">
        <f>参数调整!$J$40</f>
        <v>新增怪物种类5掉落</v>
      </c>
      <c r="C9755" s="8" t="str">
        <f>材料产出!$P$2</f>
        <v>声望</v>
      </c>
      <c r="D9755" s="224">
        <f>参数调整!$K$40*怪物掉落配置方案!$D4625</f>
        <v>8.575442063130162E-2</v>
      </c>
    </row>
    <row r="9756" spans="1:4" ht="16.5" hidden="1" x14ac:dyDescent="0.3">
      <c r="A9756" s="10" t="str">
        <f>基本属性!$B$10&amp;"|"&amp;基本属性!$C$10</f>
        <v>75|0</v>
      </c>
      <c r="B9756" s="10" t="str">
        <f>参数调整!$J$40</f>
        <v>新增怪物种类5掉落</v>
      </c>
      <c r="C9756" s="8" t="str">
        <f>材料产出!$P$2</f>
        <v>声望</v>
      </c>
      <c r="D9756" s="224">
        <f>参数调整!$K$40*怪物掉落配置方案!$D4626</f>
        <v>9.9454831028018428E-2</v>
      </c>
    </row>
    <row r="9757" spans="1:4" ht="16.5" hidden="1" x14ac:dyDescent="0.3">
      <c r="A9757" s="10" t="str">
        <f>基本属性!$B$11&amp;"|"&amp;基本属性!$C$11</f>
        <v>80|1</v>
      </c>
      <c r="B9757" s="10" t="str">
        <f>参数调整!$J$40</f>
        <v>新增怪物种类5掉落</v>
      </c>
      <c r="C9757" s="8" t="str">
        <f>材料产出!$P$2</f>
        <v>声望</v>
      </c>
      <c r="D9757" s="224">
        <f>参数调整!$K$40*怪物掉落配置方案!$D4627</f>
        <v>0.11417008663930688</v>
      </c>
    </row>
    <row r="9758" spans="1:4" ht="16.5" hidden="1" x14ac:dyDescent="0.3">
      <c r="A9758" s="10" t="str">
        <f>基本属性!$B$12&amp;"|"&amp;基本属性!$C$12</f>
        <v>90|2</v>
      </c>
      <c r="B9758" s="10" t="str">
        <f>参数调整!$J$40</f>
        <v>新增怪物种类5掉落</v>
      </c>
      <c r="C9758" s="8" t="str">
        <f>材料产出!$P$2</f>
        <v>声望</v>
      </c>
      <c r="D9758" s="224">
        <f>参数调整!$K$40*怪物掉落配置方案!$D4628</f>
        <v>0.12990018746516696</v>
      </c>
    </row>
    <row r="9759" spans="1:4" ht="16.5" hidden="1" x14ac:dyDescent="0.3">
      <c r="A9759" s="10" t="str">
        <f>基本属性!$B$13&amp;"|"&amp;基本属性!$C$13</f>
        <v>100|3</v>
      </c>
      <c r="B9759" s="10" t="str">
        <f>参数调整!$J$40</f>
        <v>新增怪物种类5掉落</v>
      </c>
      <c r="C9759" s="8" t="str">
        <f>材料产出!$P$2</f>
        <v>声望</v>
      </c>
      <c r="D9759" s="224">
        <f>参数调整!$K$40*怪物掉落配置方案!$D4629</f>
        <v>0.16440492476060192</v>
      </c>
    </row>
    <row r="9760" spans="1:4" ht="16.5" hidden="1" x14ac:dyDescent="0.3">
      <c r="A9760" s="10" t="str">
        <f>基本属性!$B$14&amp;"|"&amp;基本属性!$C$14</f>
        <v>105|4</v>
      </c>
      <c r="B9760" s="10" t="str">
        <f>参数调整!$J$40</f>
        <v>新增怪物种类5掉落</v>
      </c>
      <c r="C9760" s="8" t="str">
        <f>材料产出!$P$2</f>
        <v>声望</v>
      </c>
      <c r="D9760" s="224">
        <f>参数调整!$K$40*怪物掉落配置方案!$D4630</f>
        <v>0.20296904291432338</v>
      </c>
    </row>
    <row r="9761" spans="1:4" ht="16.5" hidden="1" x14ac:dyDescent="0.3">
      <c r="A9761" s="10" t="str">
        <f>基本属性!$B$15&amp;"|"&amp;基本属性!$C$15</f>
        <v>110|5</v>
      </c>
      <c r="B9761" s="10" t="str">
        <f>参数调整!$J$40</f>
        <v>新增怪物种类5掉落</v>
      </c>
      <c r="C9761" s="8" t="str">
        <f>材料产出!$P$2</f>
        <v>声望</v>
      </c>
      <c r="D9761" s="224">
        <f>参数调整!$K$40*怪物掉落配置方案!$D4631</f>
        <v>0.24559254192633129</v>
      </c>
    </row>
    <row r="9762" spans="1:4" ht="16.5" hidden="1" x14ac:dyDescent="0.3">
      <c r="A9762" s="10" t="str">
        <f>基本属性!$B$16&amp;"|"&amp;基本属性!$C$16</f>
        <v>120|6</v>
      </c>
      <c r="B9762" s="10" t="str">
        <f>参数调整!$J$40</f>
        <v>新增怪物种类5掉落</v>
      </c>
      <c r="C9762" s="8" t="str">
        <f>材料产出!$P$2</f>
        <v>声望</v>
      </c>
      <c r="D9762" s="224">
        <f>参数调整!$K$40*怪物掉落配置方案!$D4632</f>
        <v>0.31713912955363022</v>
      </c>
    </row>
    <row r="9763" spans="1:4" ht="16.5" hidden="1" x14ac:dyDescent="0.3">
      <c r="A9763" s="10" t="str">
        <f>基本属性!$B$17&amp;"|"&amp;基本属性!$C$17</f>
        <v>135|7</v>
      </c>
      <c r="B9763" s="10" t="str">
        <f>参数调整!$J$40</f>
        <v>新增怪物种类5掉落</v>
      </c>
      <c r="C9763" s="8" t="str">
        <f>材料产出!$P$2</f>
        <v>声望</v>
      </c>
      <c r="D9763" s="224">
        <f>参数调整!$K$40*怪物掉落配置方案!$D4633</f>
        <v>0.4566803465572275</v>
      </c>
    </row>
    <row r="9764" spans="1:4" ht="16.5" hidden="1" x14ac:dyDescent="0.3">
      <c r="A9764" s="10" t="str">
        <f>基本属性!$B$18&amp;"|"&amp;基本属性!$C$18</f>
        <v>155|8</v>
      </c>
      <c r="B9764" s="10" t="str">
        <f>参数调整!$J$40</f>
        <v>新增怪物种类5掉落</v>
      </c>
      <c r="C9764" s="8" t="str">
        <f>材料产出!$P$2</f>
        <v>声望</v>
      </c>
      <c r="D9764" s="224">
        <f>参数调整!$K$40*怪物掉落配置方案!$D4634</f>
        <v>0.62159269392511529</v>
      </c>
    </row>
    <row r="9765" spans="1:4" ht="16.5" hidden="1" x14ac:dyDescent="0.3">
      <c r="A9765" s="10" t="str">
        <f>基本属性!$B$19&amp;"|"&amp;基本属性!$C$19</f>
        <v>190|9</v>
      </c>
      <c r="B9765" s="10" t="str">
        <f>参数调整!$J$40</f>
        <v>新增怪物种类5掉落</v>
      </c>
      <c r="C9765" s="8" t="str">
        <f>材料产出!$P$2</f>
        <v>声望</v>
      </c>
      <c r="D9765" s="224">
        <f>参数调整!$K$40*怪物掉落配置方案!$D4635</f>
        <v>0.69466154937427183</v>
      </c>
    </row>
    <row r="9766" spans="1:4" ht="16.5" hidden="1" x14ac:dyDescent="0.3">
      <c r="A9766" s="10" t="str">
        <f>基本属性!$B$20&amp;"|"&amp;基本属性!$C$20</f>
        <v>200|10</v>
      </c>
      <c r="B9766" s="10" t="str">
        <f>参数调整!$J$40</f>
        <v>新增怪物种类5掉落</v>
      </c>
      <c r="C9766" s="8" t="str">
        <f>材料产出!$P$2</f>
        <v>声望</v>
      </c>
      <c r="D9766" s="224">
        <f>参数调整!$K$40*怪物掉落配置方案!$D4636</f>
        <v>0.81187617165729353</v>
      </c>
    </row>
    <row r="9767" spans="1:4" ht="16.5" hidden="1" x14ac:dyDescent="0.3">
      <c r="A9767" s="10" t="str">
        <f>基本属性!$B$21&amp;"|"&amp;基本属性!$C$21</f>
        <v>200|11</v>
      </c>
      <c r="B9767" s="10" t="str">
        <f>参数调整!$J$40</f>
        <v>新增怪物种类5掉落</v>
      </c>
      <c r="C9767" s="8" t="str">
        <f>材料产出!$P$2</f>
        <v>声望</v>
      </c>
      <c r="D9767" s="224">
        <f>参数调整!$K$40*怪物掉落配置方案!$D4637</f>
        <v>0.93822440087145953</v>
      </c>
    </row>
    <row r="9768" spans="1:4" ht="16.5" hidden="1" x14ac:dyDescent="0.3">
      <c r="A9768" s="10" t="str">
        <f>基本属性!$B$22&amp;"|"&amp;基本属性!$C$22</f>
        <v>210|12</v>
      </c>
      <c r="B9768" s="10" t="str">
        <f>参数调整!$J$40</f>
        <v>新增怪物种类5掉落</v>
      </c>
      <c r="C9768" s="8" t="str">
        <f>材料产出!$P$2</f>
        <v>声望</v>
      </c>
      <c r="D9768" s="224">
        <f>参数调整!$K$40*怪物掉落配置方案!$D4638</f>
        <v>1.0737062370167703</v>
      </c>
    </row>
    <row r="9769" spans="1:4" ht="16.5" hidden="1" x14ac:dyDescent="0.3">
      <c r="A9769" s="10" t="str">
        <f>基本属性!$B$23&amp;"|"&amp;基本属性!$C$23</f>
        <v>210|13</v>
      </c>
      <c r="B9769" s="10" t="str">
        <f>参数调整!$J$40</f>
        <v>新增怪物种类5掉落</v>
      </c>
      <c r="C9769" s="8" t="str">
        <f>材料产出!$P$2</f>
        <v>声望</v>
      </c>
      <c r="D9769" s="224">
        <f>参数调整!$K$40*怪物掉落配置方案!$D4639</f>
        <v>1.2183216800932262</v>
      </c>
    </row>
    <row r="9770" spans="1:4" ht="16.5" hidden="1" x14ac:dyDescent="0.3">
      <c r="A9770" s="10" t="str">
        <f>基本属性!$B$24&amp;"|"&amp;基本属性!$C$24</f>
        <v>220|14</v>
      </c>
      <c r="B9770" s="10" t="str">
        <f>参数调整!$J$40</f>
        <v>新增怪物种类5掉落</v>
      </c>
      <c r="C9770" s="8" t="str">
        <f>材料产出!$P$2</f>
        <v>声望</v>
      </c>
      <c r="D9770" s="224">
        <f>参数调整!$K$40*怪物掉落配置方案!$D4640</f>
        <v>1.3720707301008259</v>
      </c>
    </row>
    <row r="9771" spans="1:4" ht="16.5" hidden="1" x14ac:dyDescent="0.3">
      <c r="A9771" s="10" t="str">
        <f>基本属性!$B$25&amp;"|"&amp;基本属性!$C$25</f>
        <v>220|15</v>
      </c>
      <c r="B9771" s="10" t="str">
        <f>参数调整!$J$40</f>
        <v>新增怪物种类5掉落</v>
      </c>
      <c r="C9771" s="8" t="str">
        <f>材料产出!$P$2</f>
        <v>声望</v>
      </c>
      <c r="D9771" s="224">
        <f>参数调整!$K$40*怪物掉落配置方案!$D4641</f>
        <v>1.5349533870395702</v>
      </c>
    </row>
    <row r="9772" spans="1:4" ht="16.5" hidden="1" x14ac:dyDescent="0.3">
      <c r="A9772" s="10" t="str">
        <f>基本属性!$B$26&amp;"|"&amp;基本属性!$C$26</f>
        <v>230|16</v>
      </c>
      <c r="B9772" s="10" t="str">
        <f>参数调整!$J$40</f>
        <v>新增怪物种类5掉落</v>
      </c>
      <c r="C9772" s="8" t="str">
        <f>材料产出!$P$2</f>
        <v>声望</v>
      </c>
      <c r="D9772" s="224">
        <f>参数调整!$K$40*怪物掉落配置方案!$D4642</f>
        <v>1.7069696509094596</v>
      </c>
    </row>
    <row r="9773" spans="1:4" ht="16.5" hidden="1" x14ac:dyDescent="0.3">
      <c r="A9773" s="10" t="str">
        <f>基本属性!$B$27&amp;"|"&amp;基本属性!$C$27</f>
        <v>230|17</v>
      </c>
      <c r="B9773" s="10" t="str">
        <f>参数调整!$J$40</f>
        <v>新增怪物种类5掉落</v>
      </c>
      <c r="C9773" s="8" t="str">
        <f>材料产出!$P$2</f>
        <v>声望</v>
      </c>
      <c r="D9773" s="224">
        <f>参数调整!$K$40*怪物掉落配置方案!$D4643</f>
        <v>1.8881195217104927</v>
      </c>
    </row>
    <row r="9774" spans="1:4" ht="16.5" hidden="1" x14ac:dyDescent="0.3">
      <c r="A9774" s="10" t="str">
        <f>基本属性!$B$28&amp;"|"&amp;基本属性!$C$28</f>
        <v>240|18</v>
      </c>
      <c r="B9774" s="10" t="str">
        <f>参数调整!$J$40</f>
        <v>新增怪物种类5掉落</v>
      </c>
      <c r="C9774" s="8" t="str">
        <f>材料产出!$P$2</f>
        <v>声望</v>
      </c>
      <c r="D9774" s="224">
        <f>参数调整!$K$40*怪物掉落配置方案!$D4644</f>
        <v>2.0784029994426714</v>
      </c>
    </row>
    <row r="9775" spans="1:4" ht="16.5" hidden="1" x14ac:dyDescent="0.3">
      <c r="A9775" s="10" t="str">
        <f>基本属性!$B$29&amp;"|"&amp;基本属性!$C$29</f>
        <v>240|19</v>
      </c>
      <c r="B9775" s="10" t="str">
        <f>参数调整!$J$40</f>
        <v>新增怪物种类5掉落</v>
      </c>
      <c r="C9775" s="8" t="str">
        <f>材料产出!$P$2</f>
        <v>声望</v>
      </c>
      <c r="D9775" s="224">
        <f>参数调整!$K$40*怪物掉落配置方案!$D4645</f>
        <v>2.2778200841059939</v>
      </c>
    </row>
    <row r="9776" spans="1:4" ht="16.5" hidden="1" x14ac:dyDescent="0.3">
      <c r="A9776" s="10" t="str">
        <f>基本属性!$B$30&amp;"|"&amp;基本属性!$C$30</f>
        <v>250|20</v>
      </c>
      <c r="B9776" s="10" t="str">
        <f>参数调整!$J$40</f>
        <v>新增怪物种类5掉落</v>
      </c>
      <c r="C9776" s="8" t="str">
        <f>材料产出!$P$2</f>
        <v>声望</v>
      </c>
      <c r="D9776" s="224">
        <f>参数调整!$K$40*怪物掉落配置方案!$D4646</f>
        <v>2.4863707757004603</v>
      </c>
    </row>
    <row r="9777" spans="1:4" ht="16.5" hidden="1" x14ac:dyDescent="0.3">
      <c r="A9777" s="10" t="str">
        <f>基本属性!$B$4&amp;"|"&amp;基本属性!$C$4</f>
        <v>35|0</v>
      </c>
      <c r="B9777" s="10" t="str">
        <f>参数调整!$J$40</f>
        <v>新增怪物种类5掉落</v>
      </c>
      <c r="C9777" s="8" t="str">
        <f>材料产出!$AV$2</f>
        <v>神器图纸</v>
      </c>
      <c r="D9777" s="224">
        <f>参数调整!$K$40*怪物掉落配置方案!$D4647</f>
        <v>1.4610054975101915E-4</v>
      </c>
    </row>
    <row r="9778" spans="1:4" ht="16.5" hidden="1" x14ac:dyDescent="0.3">
      <c r="A9778" s="10" t="str">
        <f>基本属性!$B$5&amp;"|"&amp;基本属性!$C$5</f>
        <v>40|0</v>
      </c>
      <c r="B9778" s="10" t="str">
        <f>参数调整!$J$40</f>
        <v>新增怪物种类5掉落</v>
      </c>
      <c r="C9778" s="8" t="str">
        <f>材料产出!$AV$2</f>
        <v>神器图纸</v>
      </c>
      <c r="D9778" s="224">
        <f>参数调整!$K$40*怪物掉落配置方案!$D4648</f>
        <v>1.849085082786336E-4</v>
      </c>
    </row>
    <row r="9779" spans="1:4" ht="16.5" hidden="1" x14ac:dyDescent="0.3">
      <c r="A9779" s="10" t="str">
        <f>基本属性!$B$6&amp;"|"&amp;基本属性!$C$6</f>
        <v>50|0</v>
      </c>
      <c r="B9779" s="10" t="str">
        <f>参数调整!$J$40</f>
        <v>新增怪物种类5掉落</v>
      </c>
      <c r="C9779" s="8" t="str">
        <f>材料产出!$AV$2</f>
        <v>神器图纸</v>
      </c>
      <c r="D9779" s="224">
        <f>参数调整!$K$40*怪物掉落配置方案!$D4649</f>
        <v>2.2828210898596742E-4</v>
      </c>
    </row>
    <row r="9780" spans="1:4" ht="16.5" hidden="1" x14ac:dyDescent="0.3">
      <c r="A9780" s="10" t="str">
        <f>基本属性!$B$7&amp;"|"&amp;基本属性!$C$7</f>
        <v>60|0</v>
      </c>
      <c r="B9780" s="10" t="str">
        <f>参数调整!$J$40</f>
        <v>新增怪物种类5掉落</v>
      </c>
      <c r="C9780" s="8" t="str">
        <f>材料产出!$AV$2</f>
        <v>神器图纸</v>
      </c>
      <c r="D9780" s="224">
        <f>参数调整!$K$40*怪物掉落配置方案!$D4650</f>
        <v>2.7622135187302063E-4</v>
      </c>
    </row>
    <row r="9781" spans="1:4" ht="16.5" hidden="1" x14ac:dyDescent="0.3">
      <c r="A9781" s="10" t="str">
        <f>基本属性!$B$8&amp;"|"&amp;基本属性!$C$8</f>
        <v>65|0</v>
      </c>
      <c r="B9781" s="10" t="str">
        <f>参数调整!$J$40</f>
        <v>新增怪物种类5掉落</v>
      </c>
      <c r="C9781" s="8" t="str">
        <f>材料产出!$AV$2</f>
        <v>神器图纸</v>
      </c>
      <c r="D9781" s="224">
        <f>参数调整!$K$40*怪物掉落配置方案!$D4651</f>
        <v>3.2872623693979309E-4</v>
      </c>
    </row>
    <row r="9782" spans="1:4" ht="16.5" hidden="1" x14ac:dyDescent="0.3">
      <c r="A9782" s="10" t="str">
        <f>基本属性!$B$9&amp;"|"&amp;基本属性!$C$9</f>
        <v>70|0</v>
      </c>
      <c r="B9782" s="10" t="str">
        <f>参数调整!$J$40</f>
        <v>新增怪物种类5掉落</v>
      </c>
      <c r="C9782" s="8" t="str">
        <f>材料产出!$AV$2</f>
        <v>神器图纸</v>
      </c>
      <c r="D9782" s="224">
        <f>参数调整!$K$40*怪物掉落配置方案!$D4652</f>
        <v>3.8579676418628499E-4</v>
      </c>
    </row>
    <row r="9783" spans="1:4" ht="16.5" hidden="1" x14ac:dyDescent="0.3">
      <c r="A9783" s="10" t="str">
        <f>基本属性!$B$10&amp;"|"&amp;基本属性!$C$10</f>
        <v>75|0</v>
      </c>
      <c r="B9783" s="10" t="str">
        <f>参数调整!$J$40</f>
        <v>新增怪物种类5掉落</v>
      </c>
      <c r="C9783" s="8" t="str">
        <f>材料产出!$AV$2</f>
        <v>神器图纸</v>
      </c>
      <c r="D9783" s="224">
        <f>参数调整!$K$40*怪物掉落配置方案!$D4653</f>
        <v>4.4743293361249612E-4</v>
      </c>
    </row>
    <row r="9784" spans="1:4" ht="16.5" hidden="1" x14ac:dyDescent="0.3">
      <c r="A9784" s="10" t="str">
        <f>基本属性!$B$11&amp;"|"&amp;基本属性!$C$11</f>
        <v>80|1</v>
      </c>
      <c r="B9784" s="10" t="str">
        <f>参数调整!$J$40</f>
        <v>新增怪物种类5掉落</v>
      </c>
      <c r="C9784" s="8" t="str">
        <f>材料产出!$AV$2</f>
        <v>神器图纸</v>
      </c>
      <c r="D9784" s="224">
        <f>参数调整!$K$40*怪物掉落配置方案!$D4654</f>
        <v>5.1363474521842669E-4</v>
      </c>
    </row>
    <row r="9785" spans="1:4" ht="16.5" hidden="1" x14ac:dyDescent="0.3">
      <c r="A9785" s="10" t="str">
        <f>基本属性!$B$12&amp;"|"&amp;基本属性!$C$12</f>
        <v>90|2</v>
      </c>
      <c r="B9785" s="10" t="str">
        <f>参数调整!$J$40</f>
        <v>新增怪物种类5掉落</v>
      </c>
      <c r="C9785" s="8" t="str">
        <f>材料产出!$AV$2</f>
        <v>神器图纸</v>
      </c>
      <c r="D9785" s="224">
        <f>参数调整!$K$40*怪物掉落配置方案!$D4655</f>
        <v>5.8440219900407671E-4</v>
      </c>
    </row>
    <row r="9786" spans="1:4" ht="16.5" hidden="1" x14ac:dyDescent="0.3">
      <c r="A9786" s="10" t="str">
        <f>基本属性!$B$13&amp;"|"&amp;基本属性!$C$13</f>
        <v>100|3</v>
      </c>
      <c r="B9786" s="10" t="str">
        <f>参数调整!$J$40</f>
        <v>新增怪物种类5掉落</v>
      </c>
      <c r="C9786" s="8" t="str">
        <f>材料产出!$AV$2</f>
        <v>神器图纸</v>
      </c>
      <c r="D9786" s="224">
        <f>参数调整!$K$40*怪物掉落配置方案!$D4656</f>
        <v>7.3963403311453463E-4</v>
      </c>
    </row>
    <row r="9787" spans="1:4" ht="16.5" hidden="1" x14ac:dyDescent="0.3">
      <c r="A9787" s="10" t="str">
        <f>基本属性!$B$14&amp;"|"&amp;基本属性!$C$14</f>
        <v>105|4</v>
      </c>
      <c r="B9787" s="10" t="str">
        <f>参数调整!$J$40</f>
        <v>新增怪物种类5掉落</v>
      </c>
      <c r="C9787" s="8" t="str">
        <f>材料产出!$AV$2</f>
        <v>神器图纸</v>
      </c>
      <c r="D9787" s="224">
        <f>参数调整!$K$40*怪物掉落配置方案!$D4657</f>
        <v>9.1312843594386979E-4</v>
      </c>
    </row>
    <row r="9788" spans="1:4" ht="16.5" hidden="1" x14ac:dyDescent="0.3">
      <c r="A9788" s="10" t="str">
        <f>基本属性!$B$15&amp;"|"&amp;基本属性!$C$15</f>
        <v>110|5</v>
      </c>
      <c r="B9788" s="10" t="str">
        <f>参数调整!$J$40</f>
        <v>新增怪物种类5掉落</v>
      </c>
      <c r="C9788" s="8" t="str">
        <f>材料产出!$AV$2</f>
        <v>神器图纸</v>
      </c>
      <c r="D9788" s="224">
        <f>参数调整!$K$40*怪物掉落配置方案!$D4658</f>
        <v>1.1048854074920825E-3</v>
      </c>
    </row>
    <row r="9789" spans="1:4" ht="16.5" hidden="1" x14ac:dyDescent="0.3">
      <c r="A9789" s="10" t="str">
        <f>基本属性!$B$16&amp;"|"&amp;基本属性!$C$16</f>
        <v>120|6</v>
      </c>
      <c r="B9789" s="10" t="str">
        <f>参数调整!$J$40</f>
        <v>新增怪物种类5掉落</v>
      </c>
      <c r="C9789" s="8" t="str">
        <f>材料产出!$AV$2</f>
        <v>神器图纸</v>
      </c>
      <c r="D9789" s="224">
        <f>参数调整!$K$40*怪物掉落配置方案!$D4659</f>
        <v>1.4267631811622965E-3</v>
      </c>
    </row>
    <row r="9790" spans="1:4" ht="16.5" hidden="1" x14ac:dyDescent="0.3">
      <c r="A9790" s="10" t="str">
        <f>基本属性!$B$17&amp;"|"&amp;基本属性!$C$17</f>
        <v>135|7</v>
      </c>
      <c r="B9790" s="10" t="str">
        <f>参数调整!$J$40</f>
        <v>新增怪物种类5掉落</v>
      </c>
      <c r="C9790" s="8" t="str">
        <f>材料产出!$AV$2</f>
        <v>神器图纸</v>
      </c>
      <c r="D9790" s="224">
        <f>参数调整!$K$40*怪物掉落配置方案!$D4660</f>
        <v>2.0545389808737068E-3</v>
      </c>
    </row>
    <row r="9791" spans="1:4" ht="16.5" hidden="1" x14ac:dyDescent="0.3">
      <c r="A9791" s="10" t="str">
        <f>基本属性!$B$18&amp;"|"&amp;基本属性!$C$18</f>
        <v>155|8</v>
      </c>
      <c r="B9791" s="10" t="str">
        <f>参数调整!$J$40</f>
        <v>新增怪物种类5掉落</v>
      </c>
      <c r="C9791" s="8" t="str">
        <f>材料产出!$AV$2</f>
        <v>神器图纸</v>
      </c>
      <c r="D9791" s="224">
        <f>参数调整!$K$40*怪物掉落配置方案!$D4661</f>
        <v>2.7964558350781011E-3</v>
      </c>
    </row>
    <row r="9792" spans="1:4" ht="16.5" hidden="1" x14ac:dyDescent="0.3">
      <c r="A9792" s="10" t="str">
        <f>基本属性!$B$19&amp;"|"&amp;基本属性!$C$19</f>
        <v>190|9</v>
      </c>
      <c r="B9792" s="10" t="str">
        <f>参数调整!$J$40</f>
        <v>新增怪物种类5掉落</v>
      </c>
      <c r="C9792" s="8" t="str">
        <f>材料产出!$AV$2</f>
        <v>神器图纸</v>
      </c>
      <c r="D9792" s="224">
        <f>参数调整!$K$40*怪物掉落配置方案!$D4662</f>
        <v>3.1251820720178945E-3</v>
      </c>
    </row>
    <row r="9793" spans="1:4" ht="16.5" hidden="1" x14ac:dyDescent="0.3">
      <c r="A9793" s="10" t="str">
        <f>基本属性!$B$20&amp;"|"&amp;基本属性!$C$20</f>
        <v>200|10</v>
      </c>
      <c r="B9793" s="10" t="str">
        <f>参数调整!$J$40</f>
        <v>新增怪物种类5掉落</v>
      </c>
      <c r="C9793" s="8" t="str">
        <f>材料产出!$AV$2</f>
        <v>神器图纸</v>
      </c>
      <c r="D9793" s="224">
        <f>参数调整!$K$40*怪物掉落配置方案!$D4663</f>
        <v>3.6525137437754792E-3</v>
      </c>
    </row>
    <row r="9794" spans="1:4" ht="16.5" hidden="1" x14ac:dyDescent="0.3">
      <c r="A9794" s="10" t="str">
        <f>基本属性!$B$21&amp;"|"&amp;基本属性!$C$21</f>
        <v>200|11</v>
      </c>
      <c r="B9794" s="10" t="str">
        <f>参数调整!$J$40</f>
        <v>新增怪物种类5掉落</v>
      </c>
      <c r="C9794" s="8" t="str">
        <f>材料产出!$AV$2</f>
        <v>神器图纸</v>
      </c>
      <c r="D9794" s="224">
        <f>参数调整!$K$40*怪物掉落配置方案!$D4664</f>
        <v>4.220936195150537E-3</v>
      </c>
    </row>
    <row r="9795" spans="1:4" ht="16.5" hidden="1" x14ac:dyDescent="0.3">
      <c r="A9795" s="10" t="str">
        <f>基本属性!$B$22&amp;"|"&amp;基本属性!$C$22</f>
        <v>210|12</v>
      </c>
      <c r="B9795" s="10" t="str">
        <f>参数调整!$J$40</f>
        <v>新增怪物种类5掉落</v>
      </c>
      <c r="C9795" s="8" t="str">
        <f>材料产出!$AV$2</f>
        <v>神器图纸</v>
      </c>
      <c r="D9795" s="224">
        <f>参数调整!$K$40*怪物掉落配置方案!$D4665</f>
        <v>4.8304494261430693E-3</v>
      </c>
    </row>
    <row r="9796" spans="1:4" ht="16.5" hidden="1" x14ac:dyDescent="0.3">
      <c r="A9796" s="10" t="str">
        <f>基本属性!$B$23&amp;"|"&amp;基本属性!$C$23</f>
        <v>210|13</v>
      </c>
      <c r="B9796" s="10" t="str">
        <f>参数调整!$J$40</f>
        <v>新增怪物种类5掉落</v>
      </c>
      <c r="C9796" s="8" t="str">
        <f>材料产出!$AV$2</f>
        <v>神器图纸</v>
      </c>
      <c r="D9796" s="224">
        <f>参数调整!$K$40*怪物掉落配置方案!$D4666</f>
        <v>5.4810534367530795E-3</v>
      </c>
    </row>
    <row r="9797" spans="1:4" ht="16.5" hidden="1" x14ac:dyDescent="0.3">
      <c r="A9797" s="10" t="str">
        <f>基本属性!$B$24&amp;"|"&amp;基本属性!$C$24</f>
        <v>220|14</v>
      </c>
      <c r="B9797" s="10" t="str">
        <f>参数调整!$J$40</f>
        <v>新增怪物种类5掉落</v>
      </c>
      <c r="C9797" s="8" t="str">
        <f>材料产出!$AV$2</f>
        <v>神器图纸</v>
      </c>
      <c r="D9797" s="224">
        <f>参数调整!$K$40*怪物掉落配置方案!$D4667</f>
        <v>6.1727482269805598E-3</v>
      </c>
    </row>
    <row r="9798" spans="1:4" ht="16.5" hidden="1" x14ac:dyDescent="0.3">
      <c r="A9798" s="10" t="str">
        <f>基本属性!$B$25&amp;"|"&amp;基本属性!$C$25</f>
        <v>220|15</v>
      </c>
      <c r="B9798" s="10" t="str">
        <f>参数调整!$J$40</f>
        <v>新增怪物种类5掉落</v>
      </c>
      <c r="C9798" s="8" t="str">
        <f>材料产出!$AV$2</f>
        <v>神器图纸</v>
      </c>
      <c r="D9798" s="224">
        <f>参数调整!$K$40*怪物掉落配置方案!$D4668</f>
        <v>6.9055337968255137E-3</v>
      </c>
    </row>
    <row r="9799" spans="1:4" ht="16.5" hidden="1" x14ac:dyDescent="0.3">
      <c r="A9799" s="10" t="str">
        <f>基本属性!$B$26&amp;"|"&amp;基本属性!$C$26</f>
        <v>230|16</v>
      </c>
      <c r="B9799" s="10" t="str">
        <f>参数调整!$J$40</f>
        <v>新增怪物种类5掉落</v>
      </c>
      <c r="C9799" s="8" t="str">
        <f>材料产出!$AV$2</f>
        <v>神器图纸</v>
      </c>
      <c r="D9799" s="224">
        <f>参数调整!$K$40*怪物掉落配置方案!$D4669</f>
        <v>7.6794101462879429E-3</v>
      </c>
    </row>
    <row r="9800" spans="1:4" ht="16.5" hidden="1" x14ac:dyDescent="0.3">
      <c r="A9800" s="10" t="str">
        <f>基本属性!$B$27&amp;"|"&amp;基本属性!$C$27</f>
        <v>230|17</v>
      </c>
      <c r="B9800" s="10" t="str">
        <f>参数调整!$J$40</f>
        <v>新增怪物种类5掉落</v>
      </c>
      <c r="C9800" s="8" t="str">
        <f>材料产出!$AV$2</f>
        <v>神器图纸</v>
      </c>
      <c r="D9800" s="224">
        <f>参数调整!$K$40*怪物掉落配置方案!$D4670</f>
        <v>8.4943772753678475E-3</v>
      </c>
    </row>
    <row r="9801" spans="1:4" ht="16.5" hidden="1" x14ac:dyDescent="0.3">
      <c r="A9801" s="10" t="str">
        <f>基本属性!$B$28&amp;"|"&amp;基本属性!$C$28</f>
        <v>240|18</v>
      </c>
      <c r="B9801" s="10" t="str">
        <f>参数调整!$J$40</f>
        <v>新增怪物种类5掉落</v>
      </c>
      <c r="C9801" s="8" t="str">
        <f>材料产出!$AV$2</f>
        <v>神器图纸</v>
      </c>
      <c r="D9801" s="224">
        <f>参数调整!$K$40*怪物掉落配置方案!$D4671</f>
        <v>9.3504351840652273E-3</v>
      </c>
    </row>
    <row r="9802" spans="1:4" ht="16.5" hidden="1" x14ac:dyDescent="0.3">
      <c r="A9802" s="10" t="str">
        <f>基本属性!$B$29&amp;"|"&amp;基本属性!$C$29</f>
        <v>240|19</v>
      </c>
      <c r="B9802" s="10" t="str">
        <f>参数调整!$J$40</f>
        <v>新增怪物种类5掉落</v>
      </c>
      <c r="C9802" s="8" t="str">
        <f>材料产出!$AV$2</f>
        <v>神器图纸</v>
      </c>
      <c r="D9802" s="224">
        <f>参数调整!$K$40*怪物掉落配置方案!$D4672</f>
        <v>1.0247583872380079E-2</v>
      </c>
    </row>
    <row r="9803" spans="1:4" ht="16.5" hidden="1" x14ac:dyDescent="0.3">
      <c r="A9803" s="10" t="str">
        <f>基本属性!$B$30&amp;"|"&amp;基本属性!$C$30</f>
        <v>250|20</v>
      </c>
      <c r="B9803" s="10" t="str">
        <f>参数调整!$J$40</f>
        <v>新增怪物种类5掉落</v>
      </c>
      <c r="C9803" s="8" t="str">
        <f>材料产出!$AV$2</f>
        <v>神器图纸</v>
      </c>
      <c r="D9803" s="224">
        <f>参数调整!$K$40*怪物掉落配置方案!$D4673</f>
        <v>1.1185823340312403E-2</v>
      </c>
    </row>
    <row r="9804" spans="1:4" ht="16.5" hidden="1" x14ac:dyDescent="0.3">
      <c r="A9804" s="10" t="str">
        <f>基本属性!$B$4&amp;"|"&amp;基本属性!$C$4</f>
        <v>35|0</v>
      </c>
      <c r="B9804" s="10" t="str">
        <f>参数调整!$J$40</f>
        <v>新增怪物种类5掉落</v>
      </c>
      <c r="C9804" s="8" t="str">
        <f>材料产出!$AH$2</f>
        <v>神品升星石</v>
      </c>
      <c r="D9804" s="224">
        <f>参数调整!$K$40*怪物掉落配置方案!$D4674</f>
        <v>2.2682521309060296E-3</v>
      </c>
    </row>
    <row r="9805" spans="1:4" ht="16.5" hidden="1" x14ac:dyDescent="0.3">
      <c r="A9805" s="10" t="str">
        <f>基本属性!$B$5&amp;"|"&amp;基本属性!$C$5</f>
        <v>40|0</v>
      </c>
      <c r="B9805" s="10" t="str">
        <f>参数调整!$J$40</f>
        <v>新增怪物种类5掉落</v>
      </c>
      <c r="C9805" s="8" t="str">
        <f>材料产出!$AH$2</f>
        <v>神品升星石</v>
      </c>
      <c r="D9805" s="224">
        <f>参数调整!$K$40*怪物掉落配置方案!$D4675</f>
        <v>2.8707566031779437E-3</v>
      </c>
    </row>
    <row r="9806" spans="1:4" ht="16.5" hidden="1" x14ac:dyDescent="0.3">
      <c r="A9806" s="10" t="str">
        <f>基本属性!$B$6&amp;"|"&amp;基本属性!$C$6</f>
        <v>50|0</v>
      </c>
      <c r="B9806" s="10" t="str">
        <f>参数调整!$J$40</f>
        <v>新增怪物种类5掉落</v>
      </c>
      <c r="C9806" s="8" t="str">
        <f>材料产出!$AH$2</f>
        <v>神品升星石</v>
      </c>
      <c r="D9806" s="224">
        <f>参数调整!$K$40*怪物掉落配置方案!$D4676</f>
        <v>3.5441439545406709E-3</v>
      </c>
    </row>
    <row r="9807" spans="1:4" ht="16.5" hidden="1" x14ac:dyDescent="0.3">
      <c r="A9807" s="10" t="str">
        <f>基本属性!$B$7&amp;"|"&amp;基本属性!$C$7</f>
        <v>60|0</v>
      </c>
      <c r="B9807" s="10" t="str">
        <f>参数调整!$J$40</f>
        <v>新增怪物种类5掉落</v>
      </c>
      <c r="C9807" s="8" t="str">
        <f>材料产出!$AH$2</f>
        <v>神品升星石</v>
      </c>
      <c r="D9807" s="224">
        <f>参数调整!$K$40*怪物掉落配置方案!$D4677</f>
        <v>4.2884141849942126E-3</v>
      </c>
    </row>
    <row r="9808" spans="1:4" ht="16.5" hidden="1" x14ac:dyDescent="0.3">
      <c r="A9808" s="10" t="str">
        <f>基本属性!$B$8&amp;"|"&amp;基本属性!$C$8</f>
        <v>65|0</v>
      </c>
      <c r="B9808" s="10" t="str">
        <f>参数调整!$J$40</f>
        <v>新增怪物种类5掉落</v>
      </c>
      <c r="C9808" s="8" t="str">
        <f>材料产出!$AH$2</f>
        <v>神品升星石</v>
      </c>
      <c r="D9808" s="224">
        <f>参数调整!$K$40*怪物掉落配置方案!$D4678</f>
        <v>5.103567294538567E-3</v>
      </c>
    </row>
    <row r="9809" spans="1:4" ht="16.5" hidden="1" x14ac:dyDescent="0.3">
      <c r="A9809" s="10" t="str">
        <f>基本属性!$B$9&amp;"|"&amp;基本属性!$C$9</f>
        <v>70|0</v>
      </c>
      <c r="B9809" s="10" t="str">
        <f>参数调整!$J$40</f>
        <v>新增怪物种类5掉落</v>
      </c>
      <c r="C9809" s="8" t="str">
        <f>材料产出!$AH$2</f>
        <v>神品升星石</v>
      </c>
      <c r="D9809" s="224">
        <f>参数调整!$K$40*怪物掉落配置方案!$D4679</f>
        <v>5.9896032831737358E-3</v>
      </c>
    </row>
    <row r="9810" spans="1:4" ht="16.5" hidden="1" x14ac:dyDescent="0.3">
      <c r="A9810" s="10" t="str">
        <f>基本属性!$B$10&amp;"|"&amp;基本属性!$C$10</f>
        <v>75|0</v>
      </c>
      <c r="B9810" s="10" t="str">
        <f>参数调整!$J$40</f>
        <v>新增怪物种类5掉落</v>
      </c>
      <c r="C9810" s="8" t="str">
        <f>材料产出!$AH$2</f>
        <v>神品升星石</v>
      </c>
      <c r="D9810" s="224">
        <f>参数调整!$K$40*怪物掉落配置方案!$D4680</f>
        <v>6.9465221508997147E-3</v>
      </c>
    </row>
    <row r="9811" spans="1:4" ht="16.5" hidden="1" x14ac:dyDescent="0.3">
      <c r="A9811" s="10" t="str">
        <f>基本属性!$B$11&amp;"|"&amp;基本属性!$C$11</f>
        <v>80|1</v>
      </c>
      <c r="B9811" s="10" t="str">
        <f>参数调整!$J$40</f>
        <v>新增怪物种类5掉落</v>
      </c>
      <c r="C9811" s="8" t="str">
        <f>材料产出!$AH$2</f>
        <v>神品升星石</v>
      </c>
      <c r="D9811" s="224">
        <f>参数调整!$K$40*怪物掉落配置方案!$D4681</f>
        <v>7.9743238977165107E-3</v>
      </c>
    </row>
    <row r="9812" spans="1:4" ht="16.5" hidden="1" x14ac:dyDescent="0.3">
      <c r="A9812" s="10" t="str">
        <f>基本属性!$B$12&amp;"|"&amp;基本属性!$C$12</f>
        <v>90|2</v>
      </c>
      <c r="B9812" s="10" t="str">
        <f>参数调整!$J$40</f>
        <v>新增怪物种类5掉落</v>
      </c>
      <c r="C9812" s="8" t="str">
        <f>材料产出!$AH$2</f>
        <v>神品升星石</v>
      </c>
      <c r="D9812" s="224">
        <f>参数调整!$K$40*怪物掉落配置方案!$D4682</f>
        <v>9.0730085236241202E-3</v>
      </c>
    </row>
    <row r="9813" spans="1:4" ht="16.5" hidden="1" x14ac:dyDescent="0.3">
      <c r="A9813" s="10" t="str">
        <f>基本属性!$B$13&amp;"|"&amp;基本属性!$C$13</f>
        <v>100|3</v>
      </c>
      <c r="B9813" s="10" t="str">
        <f>参数调整!$J$40</f>
        <v>新增怪物种类5掉落</v>
      </c>
      <c r="C9813" s="8" t="str">
        <f>材料产出!$AH$2</f>
        <v>神品升星石</v>
      </c>
      <c r="D9813" s="224">
        <f>参数调整!$K$40*怪物掉落配置方案!$D4683</f>
        <v>1.1483026412711778E-2</v>
      </c>
    </row>
    <row r="9814" spans="1:4" ht="16.5" hidden="1" x14ac:dyDescent="0.3">
      <c r="A9814" s="10" t="str">
        <f>基本属性!$B$14&amp;"|"&amp;基本属性!$C$14</f>
        <v>105|4</v>
      </c>
      <c r="B9814" s="10" t="str">
        <f>参数调整!$J$40</f>
        <v>新增怪物种类5掉落</v>
      </c>
      <c r="C9814" s="8" t="str">
        <f>材料产出!$AH$2</f>
        <v>神品升星石</v>
      </c>
      <c r="D9814" s="224">
        <f>参数调整!$K$40*怪物掉落配置方案!$D4684</f>
        <v>1.4176575818162684E-2</v>
      </c>
    </row>
    <row r="9815" spans="1:4" ht="16.5" hidden="1" x14ac:dyDescent="0.3">
      <c r="A9815" s="10" t="str">
        <f>基本属性!$B$15&amp;"|"&amp;基本属性!$C$15</f>
        <v>110|5</v>
      </c>
      <c r="B9815" s="10" t="str">
        <f>参数调整!$J$40</f>
        <v>新增怪物种类5掉落</v>
      </c>
      <c r="C9815" s="8" t="str">
        <f>材料产出!$AH$2</f>
        <v>神品升星石</v>
      </c>
      <c r="D9815" s="224">
        <f>参数调整!$K$40*怪物掉落配置方案!$D4685</f>
        <v>1.7153656739976854E-2</v>
      </c>
    </row>
    <row r="9816" spans="1:4" ht="16.5" hidden="1" x14ac:dyDescent="0.3">
      <c r="A9816" s="10" t="str">
        <f>基本属性!$B$16&amp;"|"&amp;基本属性!$C$16</f>
        <v>120|6</v>
      </c>
      <c r="B9816" s="10" t="str">
        <f>参数调整!$J$40</f>
        <v>新增怪物种类5掉落</v>
      </c>
      <c r="C9816" s="8" t="str">
        <f>材料产出!$AH$2</f>
        <v>神品升星石</v>
      </c>
      <c r="D9816" s="224">
        <f>参数调整!$K$40*怪物掉落配置方案!$D4686</f>
        <v>2.2150899715879205E-2</v>
      </c>
    </row>
    <row r="9817" spans="1:4" ht="16.5" hidden="1" x14ac:dyDescent="0.3">
      <c r="A9817" s="10" t="str">
        <f>基本属性!$B$17&amp;"|"&amp;基本属性!$C$17</f>
        <v>135|7</v>
      </c>
      <c r="B9817" s="10" t="str">
        <f>参数调整!$J$40</f>
        <v>新增怪物种类5掉落</v>
      </c>
      <c r="C9817" s="8" t="str">
        <f>材料产出!$AH$2</f>
        <v>神品升星石</v>
      </c>
      <c r="D9817" s="224">
        <f>参数调整!$K$40*怪物掉落配置方案!$D4687</f>
        <v>3.1897295590866043E-2</v>
      </c>
    </row>
    <row r="9818" spans="1:4" ht="16.5" hidden="1" x14ac:dyDescent="0.3">
      <c r="A9818" s="10" t="str">
        <f>基本属性!$B$18&amp;"|"&amp;基本属性!$C$18</f>
        <v>155|8</v>
      </c>
      <c r="B9818" s="10" t="str">
        <f>参数调整!$J$40</f>
        <v>新增怪物种类5掉落</v>
      </c>
      <c r="C9818" s="8" t="str">
        <f>材料产出!$AH$2</f>
        <v>神品升星石</v>
      </c>
      <c r="D9818" s="224">
        <f>参数调整!$K$40*怪物掉落配置方案!$D4688</f>
        <v>4.3415763443123229E-2</v>
      </c>
    </row>
    <row r="9819" spans="1:4" ht="16.5" hidden="1" x14ac:dyDescent="0.3">
      <c r="A9819" s="10" t="str">
        <f>基本属性!$B$19&amp;"|"&amp;基本属性!$C$19</f>
        <v>190|9</v>
      </c>
      <c r="B9819" s="10" t="str">
        <f>参数调整!$J$40</f>
        <v>新增怪物种类5掉落</v>
      </c>
      <c r="C9819" s="8" t="str">
        <f>材料产出!$AH$2</f>
        <v>神品升星石</v>
      </c>
      <c r="D9819" s="224">
        <f>参数调整!$K$40*怪物掉落配置方案!$D4689</f>
        <v>4.8519330737661799E-2</v>
      </c>
    </row>
    <row r="9820" spans="1:4" ht="16.5" hidden="1" x14ac:dyDescent="0.3">
      <c r="A9820" s="10" t="str">
        <f>基本属性!$B$20&amp;"|"&amp;基本属性!$C$20</f>
        <v>200|10</v>
      </c>
      <c r="B9820" s="10" t="str">
        <f>参数调整!$J$40</f>
        <v>新增怪物种类5掉落</v>
      </c>
      <c r="C9820" s="8" t="str">
        <f>材料产出!$AH$2</f>
        <v>神品升星石</v>
      </c>
      <c r="D9820" s="224">
        <f>参数调整!$K$40*怪物掉落配置方案!$D4690</f>
        <v>5.6706303272650735E-2</v>
      </c>
    </row>
    <row r="9821" spans="1:4" ht="16.5" hidden="1" x14ac:dyDescent="0.3">
      <c r="A9821" s="10" t="str">
        <f>基本属性!$B$21&amp;"|"&amp;基本属性!$C$21</f>
        <v>200|11</v>
      </c>
      <c r="B9821" s="10" t="str">
        <f>参数调整!$J$40</f>
        <v>新增怪物种类5掉落</v>
      </c>
      <c r="C9821" s="8" t="str">
        <f>材料产出!$AH$2</f>
        <v>神品升星石</v>
      </c>
      <c r="D9821" s="224">
        <f>参数调整!$K$40*怪物掉落配置方案!$D4691</f>
        <v>6.5531221719457008E-2</v>
      </c>
    </row>
    <row r="9822" spans="1:4" ht="16.5" hidden="1" x14ac:dyDescent="0.3">
      <c r="A9822" s="10" t="str">
        <f>基本属性!$B$22&amp;"|"&amp;基本属性!$C$22</f>
        <v>210|12</v>
      </c>
      <c r="B9822" s="10" t="str">
        <f>参数调整!$J$40</f>
        <v>新增怪物种类5掉落</v>
      </c>
      <c r="C9822" s="8" t="str">
        <f>材料产出!$AH$2</f>
        <v>神品升星石</v>
      </c>
      <c r="D9822" s="224">
        <f>参数调整!$K$40*怪物掉落配置方案!$D4692</f>
        <v>7.4994086078080585E-2</v>
      </c>
    </row>
    <row r="9823" spans="1:4" ht="16.5" hidden="1" x14ac:dyDescent="0.3">
      <c r="A9823" s="10" t="str">
        <f>基本属性!$B$23&amp;"|"&amp;基本属性!$C$23</f>
        <v>210|13</v>
      </c>
      <c r="B9823" s="10" t="str">
        <f>参数调整!$J$40</f>
        <v>新增怪物种类5掉落</v>
      </c>
      <c r="C9823" s="8" t="str">
        <f>材料产出!$AH$2</f>
        <v>神品升星石</v>
      </c>
      <c r="D9823" s="224">
        <f>参数调整!$K$40*怪物掉落配置方案!$D4693</f>
        <v>8.5094896348521534E-2</v>
      </c>
    </row>
    <row r="9824" spans="1:4" ht="16.5" hidden="1" x14ac:dyDescent="0.3">
      <c r="A9824" s="10" t="str">
        <f>基本属性!$B$24&amp;"|"&amp;基本属性!$C$24</f>
        <v>220|14</v>
      </c>
      <c r="B9824" s="10" t="str">
        <f>参数调整!$J$40</f>
        <v>新增怪物种类5掉落</v>
      </c>
      <c r="C9824" s="8" t="str">
        <f>材料产出!$AH$2</f>
        <v>神品升星石</v>
      </c>
      <c r="D9824" s="224">
        <f>参数调整!$K$40*怪物掉落配置方案!$D4694</f>
        <v>9.5833652530779773E-2</v>
      </c>
    </row>
    <row r="9825" spans="1:4" ht="16.5" hidden="1" x14ac:dyDescent="0.3">
      <c r="A9825" s="10" t="str">
        <f>基本属性!$B$25&amp;"|"&amp;基本属性!$C$25</f>
        <v>220|15</v>
      </c>
      <c r="B9825" s="10" t="str">
        <f>参数调整!$J$40</f>
        <v>新增怪物种类5掉落</v>
      </c>
      <c r="C9825" s="8" t="str">
        <f>材料产出!$AH$2</f>
        <v>神品升星石</v>
      </c>
      <c r="D9825" s="224">
        <f>参数调整!$K$40*怪物掉落配置方案!$D4695</f>
        <v>0.10721035462485531</v>
      </c>
    </row>
    <row r="9826" spans="1:4" ht="16.5" hidden="1" x14ac:dyDescent="0.3">
      <c r="A9826" s="10" t="str">
        <f>基本属性!$B$26&amp;"|"&amp;基本属性!$C$26</f>
        <v>230|16</v>
      </c>
      <c r="B9826" s="10" t="str">
        <f>参数调整!$J$40</f>
        <v>新增怪物种类5掉落</v>
      </c>
      <c r="C9826" s="8" t="str">
        <f>材料产出!$AH$2</f>
        <v>神品升星石</v>
      </c>
      <c r="D9826" s="224">
        <f>参数调整!$K$40*怪物掉落配置方案!$D4696</f>
        <v>0.11922500263074817</v>
      </c>
    </row>
    <row r="9827" spans="1:4" ht="16.5" hidden="1" x14ac:dyDescent="0.3">
      <c r="A9827" s="10" t="str">
        <f>基本属性!$B$27&amp;"|"&amp;基本属性!$C$27</f>
        <v>230|17</v>
      </c>
      <c r="B9827" s="10" t="str">
        <f>参数调整!$J$40</f>
        <v>新增怪物种类5掉落</v>
      </c>
      <c r="C9827" s="8" t="str">
        <f>材料产出!$AH$2</f>
        <v>神品升星石</v>
      </c>
      <c r="D9827" s="224">
        <f>参数调整!$K$40*怪物掉落配置方案!$D4697</f>
        <v>0.13187759654845838</v>
      </c>
    </row>
    <row r="9828" spans="1:4" ht="16.5" hidden="1" x14ac:dyDescent="0.3">
      <c r="A9828" s="10" t="str">
        <f>基本属性!$B$28&amp;"|"&amp;基本属性!$C$28</f>
        <v>240|18</v>
      </c>
      <c r="B9828" s="10" t="str">
        <f>参数调整!$J$40</f>
        <v>新增怪物种类5掉落</v>
      </c>
      <c r="C9828" s="8" t="str">
        <f>材料产出!$AH$2</f>
        <v>神品升星石</v>
      </c>
      <c r="D9828" s="224">
        <f>参数调整!$K$40*怪物掉落配置方案!$D4698</f>
        <v>0.1451681363779859</v>
      </c>
    </row>
    <row r="9829" spans="1:4" ht="16.5" hidden="1" x14ac:dyDescent="0.3">
      <c r="A9829" s="10" t="str">
        <f>基本属性!$B$29&amp;"|"&amp;基本属性!$C$29</f>
        <v>240|19</v>
      </c>
      <c r="B9829" s="10" t="str">
        <f>参数调整!$J$40</f>
        <v>新增怪物种类5掉落</v>
      </c>
      <c r="C9829" s="8" t="str">
        <f>材料产出!$AH$2</f>
        <v>神品升星石</v>
      </c>
      <c r="D9829" s="224">
        <f>参数调整!$K$40*怪物掉落配置方案!$D4699</f>
        <v>0.15909662211933076</v>
      </c>
    </row>
    <row r="9830" spans="1:4" ht="16.5" hidden="1" x14ac:dyDescent="0.3">
      <c r="A9830" s="10" t="str">
        <f>基本属性!$B$30&amp;"|"&amp;基本属性!$C$30</f>
        <v>250|20</v>
      </c>
      <c r="B9830" s="10" t="str">
        <f>参数调整!$J$40</f>
        <v>新增怪物种类5掉落</v>
      </c>
      <c r="C9830" s="8" t="str">
        <f>材料产出!$AH$2</f>
        <v>神品升星石</v>
      </c>
      <c r="D9830" s="224">
        <f>参数调整!$K$40*怪物掉落配置方案!$D4700</f>
        <v>0.17366305377249286</v>
      </c>
    </row>
    <row r="9831" spans="1:4" ht="16.5" hidden="1" x14ac:dyDescent="0.3">
      <c r="A9831" s="10" t="str">
        <f>基本属性!$B$4&amp;"|"&amp;基本属性!$C$4</f>
        <v>35|0</v>
      </c>
      <c r="B9831" s="10" t="str">
        <f>参数调整!$J$40</f>
        <v>新增怪物种类5掉落</v>
      </c>
      <c r="C9831" s="8" t="str">
        <f>材料产出!$AL$2</f>
        <v>上品注灵石</v>
      </c>
      <c r="D9831" s="224">
        <f>参数调整!$K$40*怪物掉落配置方案!$D4701</f>
        <v>1.2961025723558915E-2</v>
      </c>
    </row>
    <row r="9832" spans="1:4" ht="16.5" hidden="1" x14ac:dyDescent="0.3">
      <c r="A9832" s="10" t="str">
        <f>基本属性!$B$5&amp;"|"&amp;基本属性!$C$5</f>
        <v>40|0</v>
      </c>
      <c r="B9832" s="10" t="str">
        <f>参数调整!$J$40</f>
        <v>新增怪物种类5掉落</v>
      </c>
      <c r="C9832" s="8" t="str">
        <f>材料产出!$AL$2</f>
        <v>上品注灵石</v>
      </c>
      <c r="D9832" s="224">
        <f>参数调整!$K$40*怪物掉落配置方案!$D4702</f>
        <v>1.6403798181379256E-2</v>
      </c>
    </row>
    <row r="9833" spans="1:4" ht="16.5" hidden="1" x14ac:dyDescent="0.3">
      <c r="A9833" s="10" t="str">
        <f>基本属性!$B$6&amp;"|"&amp;基本属性!$C$6</f>
        <v>50|0</v>
      </c>
      <c r="B9833" s="10" t="str">
        <f>参数调整!$J$40</f>
        <v>新增怪物种类5掉落</v>
      </c>
      <c r="C9833" s="8" t="str">
        <f>材料产出!$AL$2</f>
        <v>上品注灵石</v>
      </c>
      <c r="D9833" s="224">
        <f>参数调整!$K$40*怪物掉落配置方案!$D4703</f>
        <v>2.0251602693060807E-2</v>
      </c>
    </row>
    <row r="9834" spans="1:4" ht="16.5" hidden="1" x14ac:dyDescent="0.3">
      <c r="A9834" s="10" t="str">
        <f>基本属性!$B$7&amp;"|"&amp;基本属性!$C$7</f>
        <v>60|0</v>
      </c>
      <c r="B9834" s="10" t="str">
        <f>参数调整!$J$40</f>
        <v>新增怪物种类5掉落</v>
      </c>
      <c r="C9834" s="8" t="str">
        <f>材料产出!$AL$2</f>
        <v>上品注灵石</v>
      </c>
      <c r="D9834" s="224">
        <f>参数调整!$K$40*怪物掉落配置方案!$D4704</f>
        <v>2.4504439258603579E-2</v>
      </c>
    </row>
    <row r="9835" spans="1:4" ht="16.5" hidden="1" x14ac:dyDescent="0.3">
      <c r="A9835" s="10" t="str">
        <f>基本属性!$B$8&amp;"|"&amp;基本属性!$C$8</f>
        <v>65|0</v>
      </c>
      <c r="B9835" s="10" t="str">
        <f>参数调整!$J$40</f>
        <v>新增怪物种类5掉落</v>
      </c>
      <c r="C9835" s="8" t="str">
        <f>材料产出!$AL$2</f>
        <v>上品注灵石</v>
      </c>
      <c r="D9835" s="224">
        <f>参数调整!$K$40*怪物掉落配置方案!$D4705</f>
        <v>2.9162307878007557E-2</v>
      </c>
    </row>
    <row r="9836" spans="1:4" ht="16.5" hidden="1" x14ac:dyDescent="0.3">
      <c r="A9836" s="10" t="str">
        <f>基本属性!$B$9&amp;"|"&amp;基本属性!$C$9</f>
        <v>70|0</v>
      </c>
      <c r="B9836" s="10" t="str">
        <f>参数调整!$J$40</f>
        <v>新增怪物种类5掉落</v>
      </c>
      <c r="C9836" s="8" t="str">
        <f>材料产出!$AL$2</f>
        <v>上品注灵石</v>
      </c>
      <c r="D9836" s="224">
        <f>参数调整!$K$40*怪物掉落配置方案!$D4706</f>
        <v>3.4225208551272764E-2</v>
      </c>
    </row>
    <row r="9837" spans="1:4" ht="16.5" hidden="1" x14ac:dyDescent="0.3">
      <c r="A9837" s="10" t="str">
        <f>基本属性!$B$10&amp;"|"&amp;基本属性!$C$10</f>
        <v>75|0</v>
      </c>
      <c r="B9837" s="10" t="str">
        <f>参数调整!$J$40</f>
        <v>新增怪物种类5掉落</v>
      </c>
      <c r="C9837" s="8" t="str">
        <f>材料产出!$AL$2</f>
        <v>上品注灵石</v>
      </c>
      <c r="D9837" s="224">
        <f>参数调整!$K$40*怪物掉落配置方案!$D4707</f>
        <v>3.9693141278399173E-2</v>
      </c>
    </row>
    <row r="9838" spans="1:4" ht="16.5" hidden="1" x14ac:dyDescent="0.3">
      <c r="A9838" s="10" t="str">
        <f>基本属性!$B$11&amp;"|"&amp;基本属性!$C$11</f>
        <v>80|1</v>
      </c>
      <c r="B9838" s="10" t="str">
        <f>参数调整!$J$40</f>
        <v>新增怪物种类5掉落</v>
      </c>
      <c r="C9838" s="8" t="str">
        <f>材料产出!$AL$2</f>
        <v>上品注灵石</v>
      </c>
      <c r="D9838" s="224">
        <f>参数调整!$K$40*怪物掉落配置方案!$D4708</f>
        <v>4.5566106059386824E-2</v>
      </c>
    </row>
    <row r="9839" spans="1:4" ht="16.5" hidden="1" x14ac:dyDescent="0.3">
      <c r="A9839" s="10" t="str">
        <f>基本属性!$B$12&amp;"|"&amp;基本属性!$C$12</f>
        <v>90|2</v>
      </c>
      <c r="B9839" s="10" t="str">
        <f>参数调整!$J$40</f>
        <v>新增怪物种类5掉落</v>
      </c>
      <c r="C9839" s="8" t="str">
        <f>材料产出!$AL$2</f>
        <v>上品注灵石</v>
      </c>
      <c r="D9839" s="224">
        <f>参数调整!$K$40*怪物掉落配置方案!$D4709</f>
        <v>5.1844102894235675E-2</v>
      </c>
    </row>
    <row r="9840" spans="1:4" ht="16.5" hidden="1" x14ac:dyDescent="0.3">
      <c r="A9840" s="10" t="str">
        <f>基本属性!$B$13&amp;"|"&amp;基本属性!$C$13</f>
        <v>100|3</v>
      </c>
      <c r="B9840" s="10" t="str">
        <f>参数调整!$J$40</f>
        <v>新增怪物种类5掉落</v>
      </c>
      <c r="C9840" s="8" t="str">
        <f>材料产出!$AL$2</f>
        <v>上品注灵石</v>
      </c>
      <c r="D9840" s="224">
        <f>参数调整!$K$40*怪物掉落配置方案!$D4710</f>
        <v>6.5615192725517024E-2</v>
      </c>
    </row>
    <row r="9841" spans="1:4" ht="16.5" hidden="1" x14ac:dyDescent="0.3">
      <c r="A9841" s="10" t="str">
        <f>基本属性!$B$14&amp;"|"&amp;基本属性!$C$14</f>
        <v>105|4</v>
      </c>
      <c r="B9841" s="10" t="str">
        <f>参数调整!$J$40</f>
        <v>新增怪物种类5掉落</v>
      </c>
      <c r="C9841" s="8" t="str">
        <f>材料产出!$AL$2</f>
        <v>上品注灵石</v>
      </c>
      <c r="D9841" s="224">
        <f>参数调整!$K$40*怪物掉落配置方案!$D4711</f>
        <v>8.1006410772243229E-2</v>
      </c>
    </row>
    <row r="9842" spans="1:4" ht="16.5" hidden="1" x14ac:dyDescent="0.3">
      <c r="A9842" s="10" t="str">
        <f>基本属性!$B$15&amp;"|"&amp;基本属性!$C$15</f>
        <v>110|5</v>
      </c>
      <c r="B9842" s="10" t="str">
        <f>参数调整!$J$40</f>
        <v>新增怪物种类5掉落</v>
      </c>
      <c r="C9842" s="8" t="str">
        <f>材料产出!$AL$2</f>
        <v>上品注灵石</v>
      </c>
      <c r="D9842" s="224">
        <f>参数调整!$K$40*怪物掉落配置方案!$D4712</f>
        <v>9.8017757034414316E-2</v>
      </c>
    </row>
    <row r="9843" spans="1:4" ht="16.5" hidden="1" x14ac:dyDescent="0.3">
      <c r="A9843" s="10" t="str">
        <f>基本属性!$B$16&amp;"|"&amp;基本属性!$C$16</f>
        <v>120|6</v>
      </c>
      <c r="B9843" s="10" t="str">
        <f>参数调整!$J$40</f>
        <v>新增怪物种类5掉落</v>
      </c>
      <c r="C9843" s="8" t="str">
        <f>材料产出!$AL$2</f>
        <v>上品注灵石</v>
      </c>
      <c r="D9843" s="224">
        <f>参数调整!$K$40*怪物掉落配置方案!$D4713</f>
        <v>0.12657251683163004</v>
      </c>
    </row>
    <row r="9844" spans="1:4" ht="16.5" hidden="1" x14ac:dyDescent="0.3">
      <c r="A9844" s="10" t="str">
        <f>基本属性!$B$17&amp;"|"&amp;基本属性!$C$17</f>
        <v>135|7</v>
      </c>
      <c r="B9844" s="10" t="str">
        <f>参数调整!$J$40</f>
        <v>新增怪物种类5掉落</v>
      </c>
      <c r="C9844" s="8" t="str">
        <f>材料产出!$AL$2</f>
        <v>上品注灵石</v>
      </c>
      <c r="D9844" s="224">
        <f>参数调整!$K$40*怪物掉落配置方案!$D4714</f>
        <v>0.1822644242375473</v>
      </c>
    </row>
    <row r="9845" spans="1:4" ht="16.5" hidden="1" x14ac:dyDescent="0.3">
      <c r="A9845" s="10" t="str">
        <f>基本属性!$B$18&amp;"|"&amp;基本属性!$C$18</f>
        <v>155|8</v>
      </c>
      <c r="B9845" s="10" t="str">
        <f>参数调整!$J$40</f>
        <v>新增怪物种类5掉落</v>
      </c>
      <c r="C9845" s="8" t="str">
        <f>材料产出!$AL$2</f>
        <v>上品注灵石</v>
      </c>
      <c r="D9845" s="224">
        <f>参数调整!$K$40*怪物掉落配置方案!$D4715</f>
        <v>0.24808213298999487</v>
      </c>
    </row>
    <row r="9846" spans="1:4" ht="16.5" hidden="1" x14ac:dyDescent="0.3">
      <c r="A9846" s="10" t="str">
        <f>基本属性!$B$19&amp;"|"&amp;基本属性!$C$19</f>
        <v>190|9</v>
      </c>
      <c r="B9846" s="10" t="str">
        <f>参数调整!$J$40</f>
        <v>新增怪物种类5掉落</v>
      </c>
      <c r="C9846" s="8" t="str">
        <f>材料产出!$AL$2</f>
        <v>上品注灵石</v>
      </c>
      <c r="D9846" s="224">
        <f>参数调整!$K$40*怪物掉落配置方案!$D4716</f>
        <v>0.27724444086800248</v>
      </c>
    </row>
    <row r="9847" spans="1:4" ht="16.5" hidden="1" x14ac:dyDescent="0.3">
      <c r="A9847" s="10" t="str">
        <f>基本属性!$B$20&amp;"|"&amp;基本属性!$C$20</f>
        <v>200|10</v>
      </c>
      <c r="B9847" s="10" t="str">
        <f>参数调整!$J$40</f>
        <v>新增怪物种类5掉落</v>
      </c>
      <c r="C9847" s="8" t="str">
        <f>材料产出!$AL$2</f>
        <v>上品注灵石</v>
      </c>
      <c r="D9847" s="224">
        <f>参数调整!$K$40*怪物掉落配置方案!$D4717</f>
        <v>0.32402564308897291</v>
      </c>
    </row>
    <row r="9848" spans="1:4" ht="16.5" hidden="1" x14ac:dyDescent="0.3">
      <c r="A9848" s="10" t="str">
        <f>基本属性!$B$21&amp;"|"&amp;基本属性!$C$21</f>
        <v>200|11</v>
      </c>
      <c r="B9848" s="10" t="str">
        <f>参数调整!$J$40</f>
        <v>新增怪物种类5掉落</v>
      </c>
      <c r="C9848" s="8" t="str">
        <f>材料产出!$AL$2</f>
        <v>上品注灵石</v>
      </c>
      <c r="D9848" s="224">
        <f>参数调整!$K$40*怪物掉落配置方案!$D4718</f>
        <v>0.37445213379469428</v>
      </c>
    </row>
    <row r="9849" spans="1:4" ht="16.5" hidden="1" x14ac:dyDescent="0.3">
      <c r="A9849" s="10" t="str">
        <f>基本属性!$B$22&amp;"|"&amp;基本属性!$C$22</f>
        <v>210|12</v>
      </c>
      <c r="B9849" s="10" t="str">
        <f>参数调整!$J$40</f>
        <v>新增怪物种类5掉落</v>
      </c>
      <c r="C9849" s="8" t="str">
        <f>材料产出!$AL$2</f>
        <v>上品注灵石</v>
      </c>
      <c r="D9849" s="224">
        <f>参数调整!$K$40*怪物掉落配置方案!$D4719</f>
        <v>0.42852391298516651</v>
      </c>
    </row>
    <row r="9850" spans="1:4" ht="16.5" hidden="1" x14ac:dyDescent="0.3">
      <c r="A9850" s="10" t="str">
        <f>基本属性!$B$23&amp;"|"&amp;基本属性!$C$23</f>
        <v>210|13</v>
      </c>
      <c r="B9850" s="10" t="str">
        <f>参数调整!$J$40</f>
        <v>新增怪物种类5掉落</v>
      </c>
      <c r="C9850" s="8" t="str">
        <f>材料产出!$AL$2</f>
        <v>上品注灵石</v>
      </c>
      <c r="D9850" s="224">
        <f>参数调整!$K$40*怪物掉落配置方案!$D4720</f>
        <v>0.48624098066039001</v>
      </c>
    </row>
    <row r="9851" spans="1:4" ht="16.5" hidden="1" x14ac:dyDescent="0.3">
      <c r="A9851" s="10" t="str">
        <f>基本属性!$B$24&amp;"|"&amp;基本属性!$C$24</f>
        <v>220|14</v>
      </c>
      <c r="B9851" s="10" t="str">
        <f>参数调整!$J$40</f>
        <v>新增怪物种类5掉落</v>
      </c>
      <c r="C9851" s="8" t="str">
        <f>材料产出!$AL$2</f>
        <v>上品注灵石</v>
      </c>
      <c r="D9851" s="224">
        <f>参数调整!$K$40*怪物掉落配置方案!$D4721</f>
        <v>0.54760333682036422</v>
      </c>
    </row>
    <row r="9852" spans="1:4" ht="16.5" hidden="1" x14ac:dyDescent="0.3">
      <c r="A9852" s="10" t="str">
        <f>基本属性!$B$25&amp;"|"&amp;基本属性!$C$25</f>
        <v>220|15</v>
      </c>
      <c r="B9852" s="10" t="str">
        <f>参数调整!$J$40</f>
        <v>新增怪物种类5掉落</v>
      </c>
      <c r="C9852" s="8" t="str">
        <f>材料产出!$AL$2</f>
        <v>上品注灵石</v>
      </c>
      <c r="D9852" s="224">
        <f>参数调整!$K$40*怪物掉落配置方案!$D4722</f>
        <v>0.61261098146508941</v>
      </c>
    </row>
    <row r="9853" spans="1:4" ht="16.5" hidden="1" x14ac:dyDescent="0.3">
      <c r="A9853" s="10" t="str">
        <f>基本属性!$B$26&amp;"|"&amp;基本属性!$C$26</f>
        <v>230|16</v>
      </c>
      <c r="B9853" s="10" t="str">
        <f>参数调整!$J$40</f>
        <v>新增怪物种类5掉落</v>
      </c>
      <c r="C9853" s="8" t="str">
        <f>材料产出!$AL$2</f>
        <v>上品注灵石</v>
      </c>
      <c r="D9853" s="224">
        <f>参数调整!$K$40*怪物掉落配置方案!$D4723</f>
        <v>0.68126391459456537</v>
      </c>
    </row>
    <row r="9854" spans="1:4" ht="16.5" hidden="1" x14ac:dyDescent="0.3">
      <c r="A9854" s="10" t="str">
        <f>基本属性!$B$27&amp;"|"&amp;基本属性!$C$27</f>
        <v>230|17</v>
      </c>
      <c r="B9854" s="10" t="str">
        <f>参数调整!$J$40</f>
        <v>新增怪物种类5掉落</v>
      </c>
      <c r="C9854" s="8" t="str">
        <f>材料产出!$AL$2</f>
        <v>上品注灵石</v>
      </c>
      <c r="D9854" s="224">
        <f>参数调整!$K$40*怪物掉落配置方案!$D4724</f>
        <v>0.75356213620879253</v>
      </c>
    </row>
    <row r="9855" spans="1:4" ht="16.5" hidden="1" x14ac:dyDescent="0.3">
      <c r="A9855" s="10" t="str">
        <f>基本属性!$B$28&amp;"|"&amp;基本属性!$C$28</f>
        <v>240|18</v>
      </c>
      <c r="B9855" s="10" t="str">
        <f>参数调整!$J$40</f>
        <v>新增怪物种类5掉落</v>
      </c>
      <c r="C9855" s="8" t="str">
        <f>材料产出!$AL$2</f>
        <v>上品注灵石</v>
      </c>
      <c r="D9855" s="224">
        <f>参数调整!$K$40*怪物掉落配置方案!$D4725</f>
        <v>0.82950564630777079</v>
      </c>
    </row>
    <row r="9856" spans="1:4" ht="16.5" hidden="1" x14ac:dyDescent="0.3">
      <c r="A9856" s="10" t="str">
        <f>基本属性!$B$29&amp;"|"&amp;基本属性!$C$29</f>
        <v>240|19</v>
      </c>
      <c r="B9856" s="10" t="str">
        <f>参数调整!$J$40</f>
        <v>新增怪物种类5掉落</v>
      </c>
      <c r="C9856" s="8" t="str">
        <f>材料产出!$AL$2</f>
        <v>上品注灵石</v>
      </c>
      <c r="D9856" s="224">
        <f>参数调整!$K$40*怪物掉落配置方案!$D4726</f>
        <v>0.9090944448914996</v>
      </c>
    </row>
    <row r="9857" spans="1:4" ht="16.5" hidden="1" x14ac:dyDescent="0.3">
      <c r="A9857" s="10" t="str">
        <f>基本属性!$B$30&amp;"|"&amp;基本属性!$C$30</f>
        <v>250|20</v>
      </c>
      <c r="B9857" s="10" t="str">
        <f>参数调整!$J$40</f>
        <v>新增怪物种类5掉落</v>
      </c>
      <c r="C9857" s="8" t="str">
        <f>材料产出!$AL$2</f>
        <v>上品注灵石</v>
      </c>
      <c r="D9857" s="224">
        <f>参数调整!$K$40*怪物掉落配置方案!$D4727</f>
        <v>0.9923285319599795</v>
      </c>
    </row>
    <row r="9858" spans="1:4" ht="16.5" hidden="1" x14ac:dyDescent="0.3">
      <c r="A9858" s="10" t="str">
        <f>基本属性!$B$4&amp;"|"&amp;基本属性!$C$4</f>
        <v>35|0</v>
      </c>
      <c r="B9858" s="10" t="str">
        <f>参数调整!$J$40</f>
        <v>新增怪物种类5掉落</v>
      </c>
      <c r="C9858" s="8" t="str">
        <f>材料产出!$AT$2</f>
        <v>魔龙之心</v>
      </c>
      <c r="D9858" s="224">
        <f>参数调整!$K$40*怪物掉落配置方案!$D4728</f>
        <v>1.6233394416779908E-5</v>
      </c>
    </row>
    <row r="9859" spans="1:4" ht="16.5" hidden="1" x14ac:dyDescent="0.3">
      <c r="A9859" s="10" t="str">
        <f>基本属性!$B$5&amp;"|"&amp;基本属性!$C$5</f>
        <v>40|0</v>
      </c>
      <c r="B9859" s="10" t="str">
        <f>参数调整!$J$40</f>
        <v>新增怪物种类5掉落</v>
      </c>
      <c r="C9859" s="8" t="str">
        <f>材料产出!$AT$2</f>
        <v>魔龙之心</v>
      </c>
      <c r="D9859" s="224">
        <f>参数调整!$K$40*怪物掉落配置方案!$D4729</f>
        <v>2.0545389808737071E-5</v>
      </c>
    </row>
    <row r="9860" spans="1:4" ht="16.5" hidden="1" x14ac:dyDescent="0.3">
      <c r="A9860" s="10" t="str">
        <f>基本属性!$B$6&amp;"|"&amp;基本属性!$C$6</f>
        <v>50|0</v>
      </c>
      <c r="B9860" s="10" t="str">
        <f>参数调整!$J$40</f>
        <v>新增怪物种类5掉落</v>
      </c>
      <c r="C9860" s="8" t="str">
        <f>材料产出!$AT$2</f>
        <v>魔龙之心</v>
      </c>
      <c r="D9860" s="224">
        <f>参数调整!$K$40*怪物掉落配置方案!$D4730</f>
        <v>2.5364678776218605E-5</v>
      </c>
    </row>
    <row r="9861" spans="1:4" ht="16.5" hidden="1" x14ac:dyDescent="0.3">
      <c r="A9861" s="10" t="str">
        <f>基本属性!$B$7&amp;"|"&amp;基本属性!$C$7</f>
        <v>60|0</v>
      </c>
      <c r="B9861" s="10" t="str">
        <f>参数调整!$J$40</f>
        <v>新增怪物种类5掉落</v>
      </c>
      <c r="C9861" s="8" t="str">
        <f>材料产出!$AT$2</f>
        <v>魔龙之心</v>
      </c>
      <c r="D9861" s="224">
        <f>参数调整!$K$40*怪物掉落配置方案!$D4731</f>
        <v>3.0691261319224521E-5</v>
      </c>
    </row>
    <row r="9862" spans="1:4" ht="16.5" hidden="1" x14ac:dyDescent="0.3">
      <c r="A9862" s="10" t="str">
        <f>基本属性!$B$8&amp;"|"&amp;基本属性!$C$8</f>
        <v>65|0</v>
      </c>
      <c r="B9862" s="10" t="str">
        <f>参数调整!$J$40</f>
        <v>新增怪物种类5掉落</v>
      </c>
      <c r="C9862" s="8" t="str">
        <f>材料产出!$AT$2</f>
        <v>魔龙之心</v>
      </c>
      <c r="D9862" s="224">
        <f>参数调整!$K$40*怪物掉落配置方案!$D4732</f>
        <v>3.6525137437754794E-5</v>
      </c>
    </row>
    <row r="9863" spans="1:4" ht="16.5" hidden="1" x14ac:dyDescent="0.3">
      <c r="A9863" s="10" t="str">
        <f>基本属性!$B$9&amp;"|"&amp;基本属性!$C$9</f>
        <v>70|0</v>
      </c>
      <c r="B9863" s="10" t="str">
        <f>参数调整!$J$40</f>
        <v>新增怪物种类5掉落</v>
      </c>
      <c r="C9863" s="8" t="str">
        <f>材料产出!$AT$2</f>
        <v>魔龙之心</v>
      </c>
      <c r="D9863" s="224">
        <f>参数调整!$K$40*怪物掉落配置方案!$D4733</f>
        <v>4.2866307131809445E-5</v>
      </c>
    </row>
    <row r="9864" spans="1:4" ht="16.5" hidden="1" x14ac:dyDescent="0.3">
      <c r="A9864" s="10" t="str">
        <f>基本属性!$B$10&amp;"|"&amp;基本属性!$C$10</f>
        <v>75|0</v>
      </c>
      <c r="B9864" s="10" t="str">
        <f>参数调整!$J$40</f>
        <v>新增怪物种类5掉落</v>
      </c>
      <c r="C9864" s="8" t="str">
        <f>材料产出!$AT$2</f>
        <v>魔龙之心</v>
      </c>
      <c r="D9864" s="224">
        <f>参数调整!$K$40*怪物掉落配置方案!$D4734</f>
        <v>4.9714770401388461E-5</v>
      </c>
    </row>
    <row r="9865" spans="1:4" ht="16.5" hidden="1" x14ac:dyDescent="0.3">
      <c r="A9865" s="10" t="str">
        <f>基本属性!$B$11&amp;"|"&amp;基本属性!$C$11</f>
        <v>80|1</v>
      </c>
      <c r="B9865" s="10" t="str">
        <f>参数调整!$J$40</f>
        <v>新增怪物种类5掉落</v>
      </c>
      <c r="C9865" s="8" t="str">
        <f>材料产出!$AT$2</f>
        <v>魔龙之心</v>
      </c>
      <c r="D9865" s="224">
        <f>参数调整!$K$40*怪物掉落配置方案!$D4735</f>
        <v>5.7070527246491855E-5</v>
      </c>
    </row>
    <row r="9866" spans="1:4" ht="16.5" hidden="1" x14ac:dyDescent="0.3">
      <c r="A9866" s="10" t="str">
        <f>基本属性!$B$12&amp;"|"&amp;基本属性!$C$12</f>
        <v>90|2</v>
      </c>
      <c r="B9866" s="10" t="str">
        <f>参数调整!$J$40</f>
        <v>新增怪物种类5掉落</v>
      </c>
      <c r="C9866" s="8" t="str">
        <f>材料产出!$AT$2</f>
        <v>魔龙之心</v>
      </c>
      <c r="D9866" s="224">
        <f>参数调整!$K$40*怪物掉落配置方案!$D4736</f>
        <v>6.4933577667119648E-5</v>
      </c>
    </row>
    <row r="9867" spans="1:4" ht="16.5" hidden="1" x14ac:dyDescent="0.3">
      <c r="A9867" s="10" t="str">
        <f>基本属性!$B$13&amp;"|"&amp;基本属性!$C$13</f>
        <v>100|3</v>
      </c>
      <c r="B9867" s="10" t="str">
        <f>参数调整!$J$40</f>
        <v>新增怪物种类5掉落</v>
      </c>
      <c r="C9867" s="8" t="str">
        <f>材料产出!$AT$2</f>
        <v>魔龙之心</v>
      </c>
      <c r="D9867" s="224">
        <f>参数调整!$K$40*怪物掉落配置方案!$D4737</f>
        <v>8.2181559234948299E-5</v>
      </c>
    </row>
    <row r="9868" spans="1:4" ht="16.5" hidden="1" x14ac:dyDescent="0.3">
      <c r="A9868" s="10" t="str">
        <f>基本属性!$B$14&amp;"|"&amp;基本属性!$C$14</f>
        <v>105|4</v>
      </c>
      <c r="B9868" s="10" t="str">
        <f>参数调整!$J$40</f>
        <v>新增怪物种类5掉落</v>
      </c>
      <c r="C9868" s="8" t="str">
        <f>材料产出!$AT$2</f>
        <v>魔龙之心</v>
      </c>
      <c r="D9868" s="224">
        <f>参数调整!$K$40*怪物掉落配置方案!$D4738</f>
        <v>1.0145871510487442E-4</v>
      </c>
    </row>
    <row r="9869" spans="1:4" ht="16.5" hidden="1" x14ac:dyDescent="0.3">
      <c r="A9869" s="10" t="str">
        <f>基本属性!$B$15&amp;"|"&amp;基本属性!$C$15</f>
        <v>110|5</v>
      </c>
      <c r="B9869" s="10" t="str">
        <f>参数调整!$J$40</f>
        <v>新增怪物种类5掉落</v>
      </c>
      <c r="C9869" s="8" t="str">
        <f>材料产出!$AT$2</f>
        <v>魔龙之心</v>
      </c>
      <c r="D9869" s="224">
        <f>参数调整!$K$40*怪物掉落配置方案!$D4739</f>
        <v>1.2276504527689808E-4</v>
      </c>
    </row>
    <row r="9870" spans="1:4" ht="16.5" hidden="1" x14ac:dyDescent="0.3">
      <c r="A9870" s="10" t="str">
        <f>基本属性!$B$16&amp;"|"&amp;基本属性!$C$16</f>
        <v>120|6</v>
      </c>
      <c r="B9870" s="10" t="str">
        <f>参数调整!$J$40</f>
        <v>新增怪物种类5掉落</v>
      </c>
      <c r="C9870" s="8" t="str">
        <f>材料产出!$AT$2</f>
        <v>魔龙之心</v>
      </c>
      <c r="D9870" s="224">
        <f>参数调整!$K$40*怪物掉落配置方案!$D4740</f>
        <v>1.5852924235136632E-4</v>
      </c>
    </row>
    <row r="9871" spans="1:4" ht="16.5" hidden="1" x14ac:dyDescent="0.3">
      <c r="A9871" s="10" t="str">
        <f>基本属性!$B$17&amp;"|"&amp;基本属性!$C$17</f>
        <v>135|7</v>
      </c>
      <c r="B9871" s="10" t="str">
        <f>参数调整!$J$40</f>
        <v>新增怪物种类5掉落</v>
      </c>
      <c r="C9871" s="8" t="str">
        <f>材料产出!$AT$2</f>
        <v>魔龙之心</v>
      </c>
      <c r="D9871" s="224">
        <f>参数调整!$K$40*怪物掉落配置方案!$D4741</f>
        <v>2.2828210898596745E-4</v>
      </c>
    </row>
    <row r="9872" spans="1:4" ht="16.5" hidden="1" x14ac:dyDescent="0.3">
      <c r="A9872" s="10" t="str">
        <f>基本属性!$B$18&amp;"|"&amp;基本属性!$C$18</f>
        <v>155|8</v>
      </c>
      <c r="B9872" s="10" t="str">
        <f>参数调整!$J$40</f>
        <v>新增怪物种类5掉落</v>
      </c>
      <c r="C9872" s="8" t="str">
        <f>材料产出!$AT$2</f>
        <v>魔龙之心</v>
      </c>
      <c r="D9872" s="224">
        <f>参数调整!$K$40*怪物掉落配置方案!$D4742</f>
        <v>3.1071731500867801E-4</v>
      </c>
    </row>
    <row r="9873" spans="1:4" ht="16.5" hidden="1" x14ac:dyDescent="0.3">
      <c r="A9873" s="10" t="str">
        <f>基本属性!$B$19&amp;"|"&amp;基本属性!$C$19</f>
        <v>190|9</v>
      </c>
      <c r="B9873" s="10" t="str">
        <f>参数调整!$J$40</f>
        <v>新增怪物种类5掉落</v>
      </c>
      <c r="C9873" s="8" t="str">
        <f>材料产出!$AT$2</f>
        <v>魔龙之心</v>
      </c>
      <c r="D9873" s="224">
        <f>参数调整!$K$40*怪物掉落配置方案!$D4743</f>
        <v>3.4724245244643274E-4</v>
      </c>
    </row>
    <row r="9874" spans="1:4" ht="16.5" hidden="1" x14ac:dyDescent="0.3">
      <c r="A9874" s="10" t="str">
        <f>基本属性!$B$20&amp;"|"&amp;基本属性!$C$20</f>
        <v>200|10</v>
      </c>
      <c r="B9874" s="10" t="str">
        <f>参数调整!$J$40</f>
        <v>新增怪物种类5掉落</v>
      </c>
      <c r="C9874" s="8" t="str">
        <f>材料产出!$AT$2</f>
        <v>魔龙之心</v>
      </c>
      <c r="D9874" s="224">
        <f>参数调整!$K$40*怪物掉落配置方案!$D4744</f>
        <v>4.0583486041949769E-4</v>
      </c>
    </row>
    <row r="9875" spans="1:4" ht="16.5" hidden="1" x14ac:dyDescent="0.3">
      <c r="A9875" s="10" t="str">
        <f>基本属性!$B$21&amp;"|"&amp;基本属性!$C$21</f>
        <v>200|11</v>
      </c>
      <c r="B9875" s="10" t="str">
        <f>参数调整!$J$40</f>
        <v>新增怪物种类5掉落</v>
      </c>
      <c r="C9875" s="8" t="str">
        <f>材料产出!$AT$2</f>
        <v>魔龙之心</v>
      </c>
      <c r="D9875" s="224">
        <f>参数调整!$K$40*怪物掉落配置方案!$D4745</f>
        <v>4.6899291057228196E-4</v>
      </c>
    </row>
    <row r="9876" spans="1:4" ht="16.5" hidden="1" x14ac:dyDescent="0.3">
      <c r="A9876" s="10" t="str">
        <f>基本属性!$B$22&amp;"|"&amp;基本属性!$C$22</f>
        <v>210|12</v>
      </c>
      <c r="B9876" s="10" t="str">
        <f>参数调整!$J$40</f>
        <v>新增怪物种类5掉落</v>
      </c>
      <c r="C9876" s="8" t="str">
        <f>材料产出!$AT$2</f>
        <v>魔龙之心</v>
      </c>
      <c r="D9876" s="224">
        <f>参数调整!$K$40*怪物掉落配置方案!$D4746</f>
        <v>5.3671660290478568E-4</v>
      </c>
    </row>
    <row r="9877" spans="1:4" ht="16.5" hidden="1" x14ac:dyDescent="0.3">
      <c r="A9877" s="10" t="str">
        <f>基本属性!$B$23&amp;"|"&amp;基本属性!$C$23</f>
        <v>210|13</v>
      </c>
      <c r="B9877" s="10" t="str">
        <f>参数调整!$J$40</f>
        <v>新增怪物种类5掉落</v>
      </c>
      <c r="C9877" s="8" t="str">
        <f>材料产出!$AT$2</f>
        <v>魔龙之心</v>
      </c>
      <c r="D9877" s="224">
        <f>参数调整!$K$40*怪物掉落配置方案!$D4747</f>
        <v>6.0900593741700885E-4</v>
      </c>
    </row>
    <row r="9878" spans="1:4" ht="16.5" hidden="1" x14ac:dyDescent="0.3">
      <c r="A9878" s="10" t="str">
        <f>基本属性!$B$24&amp;"|"&amp;基本属性!$C$24</f>
        <v>220|14</v>
      </c>
      <c r="B9878" s="10" t="str">
        <f>参数调整!$J$40</f>
        <v>新增怪物种类5掉落</v>
      </c>
      <c r="C9878" s="8" t="str">
        <f>材料产出!$AT$2</f>
        <v>魔龙之心</v>
      </c>
      <c r="D9878" s="224">
        <f>参数调整!$K$40*怪物掉落配置方案!$D4748</f>
        <v>6.8586091410895113E-4</v>
      </c>
    </row>
    <row r="9879" spans="1:4" ht="16.5" hidden="1" x14ac:dyDescent="0.3">
      <c r="A9879" s="10" t="str">
        <f>基本属性!$B$25&amp;"|"&amp;基本属性!$C$25</f>
        <v>220|15</v>
      </c>
      <c r="B9879" s="10" t="str">
        <f>参数调整!$J$40</f>
        <v>新增怪物种类5掉落</v>
      </c>
      <c r="C9879" s="8" t="str">
        <f>材料产出!$AT$2</f>
        <v>魔龙之心</v>
      </c>
      <c r="D9879" s="224">
        <f>参数调整!$K$40*怪物掉落配置方案!$D4749</f>
        <v>7.6728153298061274E-4</v>
      </c>
    </row>
    <row r="9880" spans="1:4" ht="16.5" hidden="1" x14ac:dyDescent="0.3">
      <c r="A9880" s="10" t="str">
        <f>基本属性!$B$26&amp;"|"&amp;基本属性!$C$26</f>
        <v>230|16</v>
      </c>
      <c r="B9880" s="10" t="str">
        <f>参数调整!$J$40</f>
        <v>新增怪物种类5掉落</v>
      </c>
      <c r="C9880" s="8" t="str">
        <f>材料产出!$AT$2</f>
        <v>魔龙之心</v>
      </c>
      <c r="D9880" s="224">
        <f>参数调整!$K$40*怪物掉落配置方案!$D4750</f>
        <v>8.5326779403199369E-4</v>
      </c>
    </row>
    <row r="9881" spans="1:4" ht="16.5" hidden="1" x14ac:dyDescent="0.3">
      <c r="A9881" s="10" t="str">
        <f>基本属性!$B$27&amp;"|"&amp;基本属性!$C$27</f>
        <v>230|17</v>
      </c>
      <c r="B9881" s="10" t="str">
        <f>参数调整!$J$40</f>
        <v>新增怪物种类5掉落</v>
      </c>
      <c r="C9881" s="8" t="str">
        <f>材料产出!$AT$2</f>
        <v>魔龙之心</v>
      </c>
      <c r="D9881" s="224">
        <f>参数调整!$K$40*怪物掉落配置方案!$D4751</f>
        <v>9.4381969726309409E-4</v>
      </c>
    </row>
    <row r="9882" spans="1:4" ht="16.5" hidden="1" x14ac:dyDescent="0.3">
      <c r="A9882" s="10" t="str">
        <f>基本属性!$B$28&amp;"|"&amp;基本属性!$C$28</f>
        <v>240|18</v>
      </c>
      <c r="B9882" s="10" t="str">
        <f>参数调整!$J$40</f>
        <v>新增怪物种类5掉落</v>
      </c>
      <c r="C9882" s="8" t="str">
        <f>材料产出!$AT$2</f>
        <v>魔龙之心</v>
      </c>
      <c r="D9882" s="224">
        <f>参数调整!$K$40*怪物掉落配置方案!$D4752</f>
        <v>1.0389372426739141E-3</v>
      </c>
    </row>
    <row r="9883" spans="1:4" ht="16.5" hidden="1" x14ac:dyDescent="0.3">
      <c r="A9883" s="10" t="str">
        <f>基本属性!$B$29&amp;"|"&amp;基本属性!$C$29</f>
        <v>240|19</v>
      </c>
      <c r="B9883" s="10" t="str">
        <f>参数调整!$J$40</f>
        <v>新增怪物种类5掉落</v>
      </c>
      <c r="C9883" s="8" t="str">
        <f>材料产出!$AT$2</f>
        <v>魔龙之心</v>
      </c>
      <c r="D9883" s="224">
        <f>参数调整!$K$40*怪物掉落配置方案!$D4753</f>
        <v>1.1386204302644535E-3</v>
      </c>
    </row>
    <row r="9884" spans="1:4" ht="16.5" hidden="1" x14ac:dyDescent="0.3">
      <c r="A9884" s="10" t="str">
        <f>基本属性!$B$30&amp;"|"&amp;基本属性!$C$30</f>
        <v>250|20</v>
      </c>
      <c r="B9884" s="10" t="str">
        <f>参数调整!$J$40</f>
        <v>新增怪物种类5掉落</v>
      </c>
      <c r="C9884" s="8" t="str">
        <f>材料产出!$AT$2</f>
        <v>魔龙之心</v>
      </c>
      <c r="D9884" s="224">
        <f>参数调整!$K$40*怪物掉落配置方案!$D4754</f>
        <v>1.2428692600347114E-3</v>
      </c>
    </row>
    <row r="9885" spans="1:4" ht="16.5" hidden="1" x14ac:dyDescent="0.3">
      <c r="A9885" s="10" t="str">
        <f>基本属性!$B$4&amp;"|"&amp;基本属性!$C$4</f>
        <v>35|0</v>
      </c>
      <c r="B9885" s="10" t="str">
        <f>参数调整!$J$40</f>
        <v>新增怪物种类5掉落</v>
      </c>
      <c r="C9885" s="8" t="str">
        <f>材料产出!$X$2</f>
        <v>龍の心</v>
      </c>
      <c r="D9885" s="224">
        <f>参数调整!$K$40*怪物掉落配置方案!$D4755</f>
        <v>2.9537171981491249E-3</v>
      </c>
    </row>
    <row r="9886" spans="1:4" ht="16.5" hidden="1" x14ac:dyDescent="0.3">
      <c r="A9886" s="10" t="str">
        <f>基本属性!$B$5&amp;"|"&amp;基本属性!$C$5</f>
        <v>40|0</v>
      </c>
      <c r="B9886" s="10" t="str">
        <f>参数调整!$J$40</f>
        <v>新增怪物种类5掉落</v>
      </c>
      <c r="C9886" s="8" t="str">
        <f>材料产出!$X$2</f>
        <v>龍の心</v>
      </c>
      <c r="D9886" s="224">
        <f>参数调整!$K$40*怪物掉落配置方案!$D4756</f>
        <v>3.738298328907486E-3</v>
      </c>
    </row>
    <row r="9887" spans="1:4" ht="16.5" hidden="1" x14ac:dyDescent="0.3">
      <c r="A9887" s="10" t="str">
        <f>基本属性!$B$6&amp;"|"&amp;基本属性!$C$6</f>
        <v>50|0</v>
      </c>
      <c r="B9887" s="10" t="str">
        <f>参数调整!$J$40</f>
        <v>新增怪物种类5掉落</v>
      </c>
      <c r="C9887" s="8" t="str">
        <f>材料产出!$X$2</f>
        <v>龍の心</v>
      </c>
      <c r="D9887" s="224">
        <f>参数调整!$K$40*怪物掉落配置方案!$D4757</f>
        <v>4.615183122108007E-3</v>
      </c>
    </row>
    <row r="9888" spans="1:4" ht="16.5" hidden="1" x14ac:dyDescent="0.3">
      <c r="A9888" s="10" t="str">
        <f>基本属性!$B$7&amp;"|"&amp;基本属性!$C$7</f>
        <v>60|0</v>
      </c>
      <c r="B9888" s="10" t="str">
        <f>参数调整!$J$40</f>
        <v>新增怪物种类5掉落</v>
      </c>
      <c r="C9888" s="8" t="str">
        <f>材料产出!$X$2</f>
        <v>龍の心</v>
      </c>
      <c r="D9888" s="224">
        <f>参数调整!$K$40*怪物掉落配置方案!$D4758</f>
        <v>5.5843715777506905E-3</v>
      </c>
    </row>
    <row r="9889" spans="1:4" ht="16.5" hidden="1" x14ac:dyDescent="0.3">
      <c r="A9889" s="10" t="str">
        <f>基本属性!$B$8&amp;"|"&amp;基本属性!$C$8</f>
        <v>65|0</v>
      </c>
      <c r="B9889" s="10" t="str">
        <f>参数调整!$J$40</f>
        <v>新增怪物种类5掉落</v>
      </c>
      <c r="C9889" s="8" t="str">
        <f>材料产出!$X$2</f>
        <v>龍の心</v>
      </c>
      <c r="D9889" s="224">
        <f>参数调整!$K$40*怪物掉落配置方案!$D4759</f>
        <v>6.6458636958355308E-3</v>
      </c>
    </row>
    <row r="9890" spans="1:4" ht="16.5" hidden="1" x14ac:dyDescent="0.3">
      <c r="A9890" s="10" t="str">
        <f>基本属性!$B$9&amp;"|"&amp;基本属性!$C$9</f>
        <v>70|0</v>
      </c>
      <c r="B9890" s="10" t="str">
        <f>参数调整!$J$40</f>
        <v>新增怪物种类5掉落</v>
      </c>
      <c r="C9890" s="8" t="str">
        <f>材料产出!$X$2</f>
        <v>龍の心</v>
      </c>
      <c r="D9890" s="224">
        <f>参数调整!$K$40*怪物掉落配置方案!$D4760</f>
        <v>7.7996594763625332E-3</v>
      </c>
    </row>
    <row r="9891" spans="1:4" ht="16.5" hidden="1" x14ac:dyDescent="0.3">
      <c r="A9891" s="10" t="str">
        <f>基本属性!$B$10&amp;"|"&amp;基本属性!$C$10</f>
        <v>75|0</v>
      </c>
      <c r="B9891" s="10" t="str">
        <f>参数调整!$J$40</f>
        <v>新增怪物种类5掉落</v>
      </c>
      <c r="C9891" s="8" t="str">
        <f>材料产出!$X$2</f>
        <v>龍の心</v>
      </c>
      <c r="D9891" s="224">
        <f>参数调整!$K$40*怪物掉落配置方案!$D4761</f>
        <v>9.0457589193316933E-3</v>
      </c>
    </row>
    <row r="9892" spans="1:4" ht="16.5" hidden="1" x14ac:dyDescent="0.3">
      <c r="A9892" s="10" t="str">
        <f>基本属性!$B$11&amp;"|"&amp;基本属性!$C$11</f>
        <v>80|1</v>
      </c>
      <c r="B9892" s="10" t="str">
        <f>参数调整!$J$40</f>
        <v>新增怪物种类5掉落</v>
      </c>
      <c r="C9892" s="8" t="str">
        <f>材料产出!$X$2</f>
        <v>龍の心</v>
      </c>
      <c r="D9892" s="224">
        <f>参数调整!$K$40*怪物掉落配置方案!$D4762</f>
        <v>1.0384162024743017E-2</v>
      </c>
    </row>
    <row r="9893" spans="1:4" ht="16.5" hidden="1" x14ac:dyDescent="0.3">
      <c r="A9893" s="10" t="str">
        <f>基本属性!$B$12&amp;"|"&amp;基本属性!$C$12</f>
        <v>90|2</v>
      </c>
      <c r="B9893" s="10" t="str">
        <f>参数调整!$J$40</f>
        <v>新增怪物种类5掉落</v>
      </c>
      <c r="C9893" s="8" t="str">
        <f>材料产出!$X$2</f>
        <v>龍の心</v>
      </c>
      <c r="D9893" s="224">
        <f>参数调整!$K$40*怪物掉落配置方案!$D4763</f>
        <v>1.1814868792596502E-2</v>
      </c>
    </row>
    <row r="9894" spans="1:4" ht="16.5" hidden="1" x14ac:dyDescent="0.3">
      <c r="A9894" s="10" t="str">
        <f>基本属性!$B$13&amp;"|"&amp;基本属性!$C$13</f>
        <v>100|3</v>
      </c>
      <c r="B9894" s="10" t="str">
        <f>参数调整!$J$40</f>
        <v>新增怪物种类5掉落</v>
      </c>
      <c r="C9894" s="8" t="str">
        <f>材料产出!$X$2</f>
        <v>龍の心</v>
      </c>
      <c r="D9894" s="224">
        <f>参数调整!$K$40*怪物掉落配置方案!$D4764</f>
        <v>1.4953193315629946E-2</v>
      </c>
    </row>
    <row r="9895" spans="1:4" ht="16.5" hidden="1" x14ac:dyDescent="0.3">
      <c r="A9895" s="10" t="str">
        <f>基本属性!$B$14&amp;"|"&amp;基本属性!$C$14</f>
        <v>105|4</v>
      </c>
      <c r="B9895" s="10" t="str">
        <f>参数调整!$J$40</f>
        <v>新增怪物种类5掉落</v>
      </c>
      <c r="C9895" s="8" t="str">
        <f>材料产出!$X$2</f>
        <v>龍の心</v>
      </c>
      <c r="D9895" s="224">
        <f>参数调整!$K$40*怪物掉落配置方案!$D4765</f>
        <v>1.8460732488432028E-2</v>
      </c>
    </row>
    <row r="9896" spans="1:4" ht="16.5" hidden="1" x14ac:dyDescent="0.3">
      <c r="A9896" s="10" t="str">
        <f>基本属性!$B$15&amp;"|"&amp;基本属性!$C$15</f>
        <v>110|5</v>
      </c>
      <c r="B9896" s="10" t="str">
        <f>参数调整!$J$40</f>
        <v>新增怪物种类5掉落</v>
      </c>
      <c r="C9896" s="8" t="str">
        <f>材料产出!$X$2</f>
        <v>龍の心</v>
      </c>
      <c r="D9896" s="224">
        <f>参数调整!$K$40*怪物掉落配置方案!$D4766</f>
        <v>2.2337486311002762E-2</v>
      </c>
    </row>
    <row r="9897" spans="1:4" ht="16.5" hidden="1" x14ac:dyDescent="0.3">
      <c r="A9897" s="10" t="str">
        <f>基本属性!$B$16&amp;"|"&amp;基本属性!$C$16</f>
        <v>120|6</v>
      </c>
      <c r="B9897" s="10" t="str">
        <f>参数调整!$J$40</f>
        <v>新增怪物种类5掉落</v>
      </c>
      <c r="C9897" s="8" t="str">
        <f>材料产出!$X$2</f>
        <v>龍の心</v>
      </c>
      <c r="D9897" s="224">
        <f>参数调整!$K$40*怪物掉落配置方案!$D4767</f>
        <v>2.8844894513175047E-2</v>
      </c>
    </row>
    <row r="9898" spans="1:4" ht="16.5" hidden="1" x14ac:dyDescent="0.3">
      <c r="A9898" s="10" t="str">
        <f>基本属性!$B$17&amp;"|"&amp;基本属性!$C$17</f>
        <v>135|7</v>
      </c>
      <c r="B9898" s="10" t="str">
        <f>参数调整!$J$40</f>
        <v>新增怪物种类5掉落</v>
      </c>
      <c r="C9898" s="8" t="str">
        <f>材料产出!$X$2</f>
        <v>龍の心</v>
      </c>
      <c r="D9898" s="224">
        <f>参数调整!$K$40*怪物掉落配置方案!$D4768</f>
        <v>4.1536648098972069E-2</v>
      </c>
    </row>
    <row r="9899" spans="1:4" ht="16.5" hidden="1" x14ac:dyDescent="0.3">
      <c r="A9899" s="10" t="str">
        <f>基本属性!$B$18&amp;"|"&amp;基本属性!$C$18</f>
        <v>155|8</v>
      </c>
      <c r="B9899" s="10" t="str">
        <f>参数调整!$J$40</f>
        <v>新增怪物种类5掉落</v>
      </c>
      <c r="C9899" s="8" t="str">
        <f>材料产出!$X$2</f>
        <v>龍の心</v>
      </c>
      <c r="D9899" s="224">
        <f>参数调整!$K$40*怪物掉落配置方案!$D4769</f>
        <v>5.6535993245823105E-2</v>
      </c>
    </row>
    <row r="9900" spans="1:4" ht="16.5" hidden="1" x14ac:dyDescent="0.3">
      <c r="A9900" s="10" t="str">
        <f>基本属性!$B$19&amp;"|"&amp;基本属性!$C$19</f>
        <v>190|9</v>
      </c>
      <c r="B9900" s="10" t="str">
        <f>参数调整!$J$40</f>
        <v>新增怪物种类5掉落</v>
      </c>
      <c r="C9900" s="8" t="str">
        <f>材料产出!$X$2</f>
        <v>龍の心</v>
      </c>
      <c r="D9900" s="224">
        <f>参数调整!$K$40*怪物掉落配置方案!$D4770</f>
        <v>6.3181856941658635E-2</v>
      </c>
    </row>
    <row r="9901" spans="1:4" ht="16.5" hidden="1" x14ac:dyDescent="0.3">
      <c r="A9901" s="10" t="str">
        <f>基本属性!$B$20&amp;"|"&amp;基本属性!$C$20</f>
        <v>200|10</v>
      </c>
      <c r="B9901" s="10" t="str">
        <f>参数调整!$J$40</f>
        <v>新增怪物种类5掉落</v>
      </c>
      <c r="C9901" s="8" t="str">
        <f>材料产出!$X$2</f>
        <v>龍の心</v>
      </c>
      <c r="D9901" s="224">
        <f>参数调整!$K$40*怪物掉落配置方案!$D4771</f>
        <v>7.3842929953728112E-2</v>
      </c>
    </row>
    <row r="9902" spans="1:4" ht="16.5" hidden="1" x14ac:dyDescent="0.3">
      <c r="A9902" s="10" t="str">
        <f>基本属性!$B$21&amp;"|"&amp;基本属性!$C$21</f>
        <v>200|11</v>
      </c>
      <c r="B9902" s="10" t="str">
        <f>参数调整!$J$40</f>
        <v>新增怪物种类5掉落</v>
      </c>
      <c r="C9902" s="8" t="str">
        <f>材料产出!$X$2</f>
        <v>龍の心</v>
      </c>
      <c r="D9902" s="224">
        <f>参数调整!$K$40*怪物掉落配置方案!$D4772</f>
        <v>8.5334735927777031E-2</v>
      </c>
    </row>
    <row r="9903" spans="1:4" ht="16.5" hidden="1" x14ac:dyDescent="0.3">
      <c r="A9903" s="10" t="str">
        <f>基本属性!$B$22&amp;"|"&amp;基本属性!$C$22</f>
        <v>210|12</v>
      </c>
      <c r="B9903" s="10" t="str">
        <f>参数调整!$J$40</f>
        <v>新增怪物种类5掉落</v>
      </c>
      <c r="C9903" s="8" t="str">
        <f>材料产出!$X$2</f>
        <v>龍の心</v>
      </c>
      <c r="D9903" s="224">
        <f>参数调整!$K$40*怪物掉落配置方案!$D4773</f>
        <v>9.7657274863805418E-2</v>
      </c>
    </row>
    <row r="9904" spans="1:4" ht="16.5" hidden="1" x14ac:dyDescent="0.3">
      <c r="A9904" s="10" t="str">
        <f>基本属性!$B$23&amp;"|"&amp;基本属性!$C$23</f>
        <v>210|13</v>
      </c>
      <c r="B9904" s="10" t="str">
        <f>参数调整!$J$40</f>
        <v>新增怪物种类5掉落</v>
      </c>
      <c r="C9904" s="8" t="str">
        <f>材料产出!$X$2</f>
        <v>龍の心</v>
      </c>
      <c r="D9904" s="224">
        <f>参数调整!$K$40*怪物掉落配置方案!$D4774</f>
        <v>0.11081054676181328</v>
      </c>
    </row>
    <row r="9905" spans="1:4" ht="16.5" hidden="1" x14ac:dyDescent="0.3">
      <c r="A9905" s="10" t="str">
        <f>基本属性!$B$24&amp;"|"&amp;基本属性!$C$24</f>
        <v>220|14</v>
      </c>
      <c r="B9905" s="10" t="str">
        <f>参数调整!$J$40</f>
        <v>新增怪物种类5掉落</v>
      </c>
      <c r="C9905" s="8" t="str">
        <f>材料产出!$X$2</f>
        <v>龍の心</v>
      </c>
      <c r="D9905" s="224">
        <f>参数调整!$K$40*怪物掉落配置方案!$D4775</f>
        <v>0.12479455162180053</v>
      </c>
    </row>
    <row r="9906" spans="1:4" ht="16.5" hidden="1" x14ac:dyDescent="0.3">
      <c r="A9906" s="10" t="str">
        <f>基本属性!$B$25&amp;"|"&amp;基本属性!$C$25</f>
        <v>220|15</v>
      </c>
      <c r="B9906" s="10" t="str">
        <f>参数调整!$J$40</f>
        <v>新增怪物种类5掉落</v>
      </c>
      <c r="C9906" s="8" t="str">
        <f>材料产出!$X$2</f>
        <v>龍の心</v>
      </c>
      <c r="D9906" s="224">
        <f>参数调整!$K$40*怪物掉落配置方案!$D4776</f>
        <v>0.13960928944376721</v>
      </c>
    </row>
    <row r="9907" spans="1:4" ht="16.5" hidden="1" x14ac:dyDescent="0.3">
      <c r="A9907" s="10" t="str">
        <f>基本属性!$B$26&amp;"|"&amp;基本属性!$C$26</f>
        <v>230|16</v>
      </c>
      <c r="B9907" s="10" t="str">
        <f>参数调整!$J$40</f>
        <v>新增怪物种类5掉落</v>
      </c>
      <c r="C9907" s="8" t="str">
        <f>材料产出!$X$2</f>
        <v>龍の心</v>
      </c>
      <c r="D9907" s="224">
        <f>参数调整!$K$40*怪物掉落配置方案!$D4777</f>
        <v>0.15525476022771337</v>
      </c>
    </row>
    <row r="9908" spans="1:4" ht="16.5" hidden="1" x14ac:dyDescent="0.3">
      <c r="A9908" s="10" t="str">
        <f>基本属性!$B$27&amp;"|"&amp;基本属性!$C$27</f>
        <v>230|17</v>
      </c>
      <c r="B9908" s="10" t="str">
        <f>参数调整!$J$40</f>
        <v>新增怪物种类5掉落</v>
      </c>
      <c r="C9908" s="8" t="str">
        <f>材料产出!$X$2</f>
        <v>龍の心</v>
      </c>
      <c r="D9908" s="224">
        <f>参数调整!$K$40*怪物掉落配置方案!$D4778</f>
        <v>0.17173096397363893</v>
      </c>
    </row>
    <row r="9909" spans="1:4" ht="16.5" hidden="1" x14ac:dyDescent="0.3">
      <c r="A9909" s="10" t="str">
        <f>基本属性!$B$28&amp;"|"&amp;基本属性!$C$28</f>
        <v>240|18</v>
      </c>
      <c r="B9909" s="10" t="str">
        <f>参数调整!$J$40</f>
        <v>新增怪物种类5掉落</v>
      </c>
      <c r="C9909" s="8" t="str">
        <f>材料产出!$X$2</f>
        <v>龍の心</v>
      </c>
      <c r="D9909" s="224">
        <f>参数调整!$K$40*怪物掉落配置方案!$D4779</f>
        <v>0.18903790068154402</v>
      </c>
    </row>
    <row r="9910" spans="1:4" ht="16.5" hidden="1" x14ac:dyDescent="0.3">
      <c r="A9910" s="10" t="str">
        <f>基本属性!$B$29&amp;"|"&amp;基本属性!$C$29</f>
        <v>240|19</v>
      </c>
      <c r="B9910" s="10" t="str">
        <f>参数调整!$J$40</f>
        <v>新增怪物种类5掉落</v>
      </c>
      <c r="C9910" s="8" t="str">
        <f>材料产出!$X$2</f>
        <v>龍の心</v>
      </c>
      <c r="D9910" s="224">
        <f>参数调整!$K$40*怪物掉落配置方案!$D4780</f>
        <v>0.20717557035142847</v>
      </c>
    </row>
    <row r="9911" spans="1:4" ht="16.5" hidden="1" x14ac:dyDescent="0.3">
      <c r="A9911" s="10" t="str">
        <f>基本属性!$B$30&amp;"|"&amp;基本属性!$C$30</f>
        <v>250|20</v>
      </c>
      <c r="B9911" s="10" t="str">
        <f>参数调整!$J$40</f>
        <v>新增怪物种类5掉落</v>
      </c>
      <c r="C9911" s="8" t="str">
        <f>材料产出!$X$2</f>
        <v>龍の心</v>
      </c>
      <c r="D9911" s="224">
        <f>参数调整!$K$40*怪物掉落配置方案!$D4781</f>
        <v>0.22614397298329234</v>
      </c>
    </row>
    <row r="9912" spans="1:4" ht="16.5" hidden="1" x14ac:dyDescent="0.3">
      <c r="A9912" s="10" t="str">
        <f>基本属性!$B$4&amp;"|"&amp;基本属性!$C$4</f>
        <v>35|0</v>
      </c>
      <c r="B9912" s="10" t="str">
        <f>参数调整!$J$40</f>
        <v>新增怪物种类5掉落</v>
      </c>
      <c r="C9912" s="8" t="str">
        <f>材料产出!$V$2</f>
        <v>龍の魄</v>
      </c>
      <c r="D9912" s="224">
        <f>参数调整!$K$40*怪物掉落配置方案!$D4782</f>
        <v>2.9537171981491249E-3</v>
      </c>
    </row>
    <row r="9913" spans="1:4" ht="16.5" hidden="1" x14ac:dyDescent="0.3">
      <c r="A9913" s="10" t="str">
        <f>基本属性!$B$5&amp;"|"&amp;基本属性!$C$5</f>
        <v>40|0</v>
      </c>
      <c r="B9913" s="10" t="str">
        <f>参数调整!$J$40</f>
        <v>新增怪物种类5掉落</v>
      </c>
      <c r="C9913" s="8" t="str">
        <f>材料产出!$V$2</f>
        <v>龍の魄</v>
      </c>
      <c r="D9913" s="224">
        <f>参数调整!$K$40*怪物掉落配置方案!$D4783</f>
        <v>3.738298328907486E-3</v>
      </c>
    </row>
    <row r="9914" spans="1:4" ht="16.5" hidden="1" x14ac:dyDescent="0.3">
      <c r="A9914" s="10" t="str">
        <f>基本属性!$B$6&amp;"|"&amp;基本属性!$C$6</f>
        <v>50|0</v>
      </c>
      <c r="B9914" s="10" t="str">
        <f>参数调整!$J$40</f>
        <v>新增怪物种类5掉落</v>
      </c>
      <c r="C9914" s="8" t="str">
        <f>材料产出!$V$2</f>
        <v>龍の魄</v>
      </c>
      <c r="D9914" s="224">
        <f>参数调整!$K$40*怪物掉落配置方案!$D4784</f>
        <v>4.615183122108007E-3</v>
      </c>
    </row>
    <row r="9915" spans="1:4" ht="16.5" hidden="1" x14ac:dyDescent="0.3">
      <c r="A9915" s="10" t="str">
        <f>基本属性!$B$7&amp;"|"&amp;基本属性!$C$7</f>
        <v>60|0</v>
      </c>
      <c r="B9915" s="10" t="str">
        <f>参数调整!$J$40</f>
        <v>新增怪物种类5掉落</v>
      </c>
      <c r="C9915" s="8" t="str">
        <f>材料产出!$V$2</f>
        <v>龍の魄</v>
      </c>
      <c r="D9915" s="224">
        <f>参数调整!$K$40*怪物掉落配置方案!$D4785</f>
        <v>5.5843715777506905E-3</v>
      </c>
    </row>
    <row r="9916" spans="1:4" ht="16.5" hidden="1" x14ac:dyDescent="0.3">
      <c r="A9916" s="10" t="str">
        <f>基本属性!$B$8&amp;"|"&amp;基本属性!$C$8</f>
        <v>65|0</v>
      </c>
      <c r="B9916" s="10" t="str">
        <f>参数调整!$J$40</f>
        <v>新增怪物种类5掉落</v>
      </c>
      <c r="C9916" s="8" t="str">
        <f>材料产出!$V$2</f>
        <v>龍の魄</v>
      </c>
      <c r="D9916" s="224">
        <f>参数调整!$K$40*怪物掉落配置方案!$D4786</f>
        <v>6.6458636958355308E-3</v>
      </c>
    </row>
    <row r="9917" spans="1:4" ht="16.5" hidden="1" x14ac:dyDescent="0.3">
      <c r="A9917" s="10" t="str">
        <f>基本属性!$B$9&amp;"|"&amp;基本属性!$C$9</f>
        <v>70|0</v>
      </c>
      <c r="B9917" s="10" t="str">
        <f>参数调整!$J$40</f>
        <v>新增怪物种类5掉落</v>
      </c>
      <c r="C9917" s="8" t="str">
        <f>材料产出!$V$2</f>
        <v>龍の魄</v>
      </c>
      <c r="D9917" s="224">
        <f>参数调整!$K$40*怪物掉落配置方案!$D4787</f>
        <v>7.7996594763625332E-3</v>
      </c>
    </row>
    <row r="9918" spans="1:4" ht="16.5" hidden="1" x14ac:dyDescent="0.3">
      <c r="A9918" s="10" t="str">
        <f>基本属性!$B$10&amp;"|"&amp;基本属性!$C$10</f>
        <v>75|0</v>
      </c>
      <c r="B9918" s="10" t="str">
        <f>参数调整!$J$40</f>
        <v>新增怪物种类5掉落</v>
      </c>
      <c r="C9918" s="8" t="str">
        <f>材料产出!$V$2</f>
        <v>龍の魄</v>
      </c>
      <c r="D9918" s="224">
        <f>参数调整!$K$40*怪物掉落配置方案!$D4788</f>
        <v>9.0457589193316933E-3</v>
      </c>
    </row>
    <row r="9919" spans="1:4" ht="16.5" hidden="1" x14ac:dyDescent="0.3">
      <c r="A9919" s="10" t="str">
        <f>基本属性!$B$11&amp;"|"&amp;基本属性!$C$11</f>
        <v>80|1</v>
      </c>
      <c r="B9919" s="10" t="str">
        <f>参数调整!$J$40</f>
        <v>新增怪物种类5掉落</v>
      </c>
      <c r="C9919" s="8" t="str">
        <f>材料产出!$V$2</f>
        <v>龍の魄</v>
      </c>
      <c r="D9919" s="224">
        <f>参数调整!$K$40*怪物掉落配置方案!$D4789</f>
        <v>1.0384162024743017E-2</v>
      </c>
    </row>
    <row r="9920" spans="1:4" ht="16.5" hidden="1" x14ac:dyDescent="0.3">
      <c r="A9920" s="10" t="str">
        <f>基本属性!$B$12&amp;"|"&amp;基本属性!$C$12</f>
        <v>90|2</v>
      </c>
      <c r="B9920" s="10" t="str">
        <f>参数调整!$J$40</f>
        <v>新增怪物种类5掉落</v>
      </c>
      <c r="C9920" s="8" t="str">
        <f>材料产出!$V$2</f>
        <v>龍の魄</v>
      </c>
      <c r="D9920" s="224">
        <f>参数调整!$K$40*怪物掉落配置方案!$D4790</f>
        <v>1.1814868792596502E-2</v>
      </c>
    </row>
    <row r="9921" spans="1:4" ht="16.5" hidden="1" x14ac:dyDescent="0.3">
      <c r="A9921" s="10" t="str">
        <f>基本属性!$B$13&amp;"|"&amp;基本属性!$C$13</f>
        <v>100|3</v>
      </c>
      <c r="B9921" s="10" t="str">
        <f>参数调整!$J$40</f>
        <v>新增怪物种类5掉落</v>
      </c>
      <c r="C9921" s="8" t="str">
        <f>材料产出!$V$2</f>
        <v>龍の魄</v>
      </c>
      <c r="D9921" s="224">
        <f>参数调整!$K$40*怪物掉落配置方案!$D4791</f>
        <v>1.4953193315629946E-2</v>
      </c>
    </row>
    <row r="9922" spans="1:4" ht="16.5" hidden="1" x14ac:dyDescent="0.3">
      <c r="A9922" s="10" t="str">
        <f>基本属性!$B$14&amp;"|"&amp;基本属性!$C$14</f>
        <v>105|4</v>
      </c>
      <c r="B9922" s="10" t="str">
        <f>参数调整!$J$40</f>
        <v>新增怪物种类5掉落</v>
      </c>
      <c r="C9922" s="8" t="str">
        <f>材料产出!$V$2</f>
        <v>龍の魄</v>
      </c>
      <c r="D9922" s="224">
        <f>参数调整!$K$40*怪物掉落配置方案!$D4792</f>
        <v>1.8460732488432028E-2</v>
      </c>
    </row>
    <row r="9923" spans="1:4" ht="16.5" hidden="1" x14ac:dyDescent="0.3">
      <c r="A9923" s="10" t="str">
        <f>基本属性!$B$15&amp;"|"&amp;基本属性!$C$15</f>
        <v>110|5</v>
      </c>
      <c r="B9923" s="10" t="str">
        <f>参数调整!$J$40</f>
        <v>新增怪物种类5掉落</v>
      </c>
      <c r="C9923" s="8" t="str">
        <f>材料产出!$V$2</f>
        <v>龍の魄</v>
      </c>
      <c r="D9923" s="224">
        <f>参数调整!$K$40*怪物掉落配置方案!$D4793</f>
        <v>2.2337486311002762E-2</v>
      </c>
    </row>
    <row r="9924" spans="1:4" ht="16.5" hidden="1" x14ac:dyDescent="0.3">
      <c r="A9924" s="10" t="str">
        <f>基本属性!$B$16&amp;"|"&amp;基本属性!$C$16</f>
        <v>120|6</v>
      </c>
      <c r="B9924" s="10" t="str">
        <f>参数调整!$J$40</f>
        <v>新增怪物种类5掉落</v>
      </c>
      <c r="C9924" s="8" t="str">
        <f>材料产出!$V$2</f>
        <v>龍の魄</v>
      </c>
      <c r="D9924" s="224">
        <f>参数调整!$K$40*怪物掉落配置方案!$D4794</f>
        <v>2.8844894513175047E-2</v>
      </c>
    </row>
    <row r="9925" spans="1:4" ht="16.5" hidden="1" x14ac:dyDescent="0.3">
      <c r="A9925" s="10" t="str">
        <f>基本属性!$B$17&amp;"|"&amp;基本属性!$C$17</f>
        <v>135|7</v>
      </c>
      <c r="B9925" s="10" t="str">
        <f>参数调整!$J$40</f>
        <v>新增怪物种类5掉落</v>
      </c>
      <c r="C9925" s="8" t="str">
        <f>材料产出!$V$2</f>
        <v>龍の魄</v>
      </c>
      <c r="D9925" s="224">
        <f>参数调整!$K$40*怪物掉落配置方案!$D4795</f>
        <v>4.1536648098972069E-2</v>
      </c>
    </row>
    <row r="9926" spans="1:4" ht="16.5" hidden="1" x14ac:dyDescent="0.3">
      <c r="A9926" s="10" t="str">
        <f>基本属性!$B$18&amp;"|"&amp;基本属性!$C$18</f>
        <v>155|8</v>
      </c>
      <c r="B9926" s="10" t="str">
        <f>参数调整!$J$40</f>
        <v>新增怪物种类5掉落</v>
      </c>
      <c r="C9926" s="8" t="str">
        <f>材料产出!$V$2</f>
        <v>龍の魄</v>
      </c>
      <c r="D9926" s="224">
        <f>参数调整!$K$40*怪物掉落配置方案!$D4796</f>
        <v>5.6535993245823105E-2</v>
      </c>
    </row>
    <row r="9927" spans="1:4" ht="16.5" hidden="1" x14ac:dyDescent="0.3">
      <c r="A9927" s="10" t="str">
        <f>基本属性!$B$19&amp;"|"&amp;基本属性!$C$19</f>
        <v>190|9</v>
      </c>
      <c r="B9927" s="10" t="str">
        <f>参数调整!$J$40</f>
        <v>新增怪物种类5掉落</v>
      </c>
      <c r="C9927" s="8" t="str">
        <f>材料产出!$V$2</f>
        <v>龍の魄</v>
      </c>
      <c r="D9927" s="224">
        <f>参数调整!$K$40*怪物掉落配置方案!$D4797</f>
        <v>6.3181856941658635E-2</v>
      </c>
    </row>
    <row r="9928" spans="1:4" ht="16.5" hidden="1" x14ac:dyDescent="0.3">
      <c r="A9928" s="10" t="str">
        <f>基本属性!$B$20&amp;"|"&amp;基本属性!$C$20</f>
        <v>200|10</v>
      </c>
      <c r="B9928" s="10" t="str">
        <f>参数调整!$J$40</f>
        <v>新增怪物种类5掉落</v>
      </c>
      <c r="C9928" s="8" t="str">
        <f>材料产出!$V$2</f>
        <v>龍の魄</v>
      </c>
      <c r="D9928" s="224">
        <f>参数调整!$K$40*怪物掉落配置方案!$D4798</f>
        <v>7.3842929953728112E-2</v>
      </c>
    </row>
    <row r="9929" spans="1:4" ht="16.5" hidden="1" x14ac:dyDescent="0.3">
      <c r="A9929" s="10" t="str">
        <f>基本属性!$B$21&amp;"|"&amp;基本属性!$C$21</f>
        <v>200|11</v>
      </c>
      <c r="B9929" s="10" t="str">
        <f>参数调整!$J$40</f>
        <v>新增怪物种类5掉落</v>
      </c>
      <c r="C9929" s="8" t="str">
        <f>材料产出!$V$2</f>
        <v>龍の魄</v>
      </c>
      <c r="D9929" s="224">
        <f>参数调整!$K$40*怪物掉落配置方案!$D4799</f>
        <v>8.5334735927777031E-2</v>
      </c>
    </row>
    <row r="9930" spans="1:4" ht="16.5" hidden="1" x14ac:dyDescent="0.3">
      <c r="A9930" s="10" t="str">
        <f>基本属性!$B$22&amp;"|"&amp;基本属性!$C$22</f>
        <v>210|12</v>
      </c>
      <c r="B9930" s="10" t="str">
        <f>参数调整!$J$40</f>
        <v>新增怪物种类5掉落</v>
      </c>
      <c r="C9930" s="8" t="str">
        <f>材料产出!$V$2</f>
        <v>龍の魄</v>
      </c>
      <c r="D9930" s="224">
        <f>参数调整!$K$40*怪物掉落配置方案!$D4800</f>
        <v>9.7657274863805418E-2</v>
      </c>
    </row>
    <row r="9931" spans="1:4" ht="16.5" hidden="1" x14ac:dyDescent="0.3">
      <c r="A9931" s="10" t="str">
        <f>基本属性!$B$23&amp;"|"&amp;基本属性!$C$23</f>
        <v>210|13</v>
      </c>
      <c r="B9931" s="10" t="str">
        <f>参数调整!$J$40</f>
        <v>新增怪物种类5掉落</v>
      </c>
      <c r="C9931" s="8" t="str">
        <f>材料产出!$V$2</f>
        <v>龍の魄</v>
      </c>
      <c r="D9931" s="224">
        <f>参数调整!$K$40*怪物掉落配置方案!$D4801</f>
        <v>0.11081054676181328</v>
      </c>
    </row>
    <row r="9932" spans="1:4" ht="16.5" hidden="1" x14ac:dyDescent="0.3">
      <c r="A9932" s="10" t="str">
        <f>基本属性!$B$24&amp;"|"&amp;基本属性!$C$24</f>
        <v>220|14</v>
      </c>
      <c r="B9932" s="10" t="str">
        <f>参数调整!$J$40</f>
        <v>新增怪物种类5掉落</v>
      </c>
      <c r="C9932" s="8" t="str">
        <f>材料产出!$V$2</f>
        <v>龍の魄</v>
      </c>
      <c r="D9932" s="224">
        <f>参数调整!$K$40*怪物掉落配置方案!$D4802</f>
        <v>0.12479455162180053</v>
      </c>
    </row>
    <row r="9933" spans="1:4" ht="16.5" hidden="1" x14ac:dyDescent="0.3">
      <c r="A9933" s="10" t="str">
        <f>基本属性!$B$25&amp;"|"&amp;基本属性!$C$25</f>
        <v>220|15</v>
      </c>
      <c r="B9933" s="10" t="str">
        <f>参数调整!$J$40</f>
        <v>新增怪物种类5掉落</v>
      </c>
      <c r="C9933" s="8" t="str">
        <f>材料产出!$V$2</f>
        <v>龍の魄</v>
      </c>
      <c r="D9933" s="224">
        <f>参数调整!$K$40*怪物掉落配置方案!$D4803</f>
        <v>0.13960928944376721</v>
      </c>
    </row>
    <row r="9934" spans="1:4" ht="16.5" hidden="1" x14ac:dyDescent="0.3">
      <c r="A9934" s="10" t="str">
        <f>基本属性!$B$26&amp;"|"&amp;基本属性!$C$26</f>
        <v>230|16</v>
      </c>
      <c r="B9934" s="10" t="str">
        <f>参数调整!$J$40</f>
        <v>新增怪物种类5掉落</v>
      </c>
      <c r="C9934" s="8" t="str">
        <f>材料产出!$V$2</f>
        <v>龍の魄</v>
      </c>
      <c r="D9934" s="224">
        <f>参数调整!$K$40*怪物掉落配置方案!$D4804</f>
        <v>0.15525476022771337</v>
      </c>
    </row>
    <row r="9935" spans="1:4" ht="16.5" hidden="1" x14ac:dyDescent="0.3">
      <c r="A9935" s="10" t="str">
        <f>基本属性!$B$27&amp;"|"&amp;基本属性!$C$27</f>
        <v>230|17</v>
      </c>
      <c r="B9935" s="10" t="str">
        <f>参数调整!$J$40</f>
        <v>新增怪物种类5掉落</v>
      </c>
      <c r="C9935" s="8" t="str">
        <f>材料产出!$V$2</f>
        <v>龍の魄</v>
      </c>
      <c r="D9935" s="224">
        <f>参数调整!$K$40*怪物掉落配置方案!$D4805</f>
        <v>0.17173096397363893</v>
      </c>
    </row>
    <row r="9936" spans="1:4" ht="16.5" hidden="1" x14ac:dyDescent="0.3">
      <c r="A9936" s="10" t="str">
        <f>基本属性!$B$28&amp;"|"&amp;基本属性!$C$28</f>
        <v>240|18</v>
      </c>
      <c r="B9936" s="10" t="str">
        <f>参数调整!$J$40</f>
        <v>新增怪物种类5掉落</v>
      </c>
      <c r="C9936" s="8" t="str">
        <f>材料产出!$V$2</f>
        <v>龍の魄</v>
      </c>
      <c r="D9936" s="224">
        <f>参数调整!$K$40*怪物掉落配置方案!$D4806</f>
        <v>0.18903790068154402</v>
      </c>
    </row>
    <row r="9937" spans="1:4" ht="16.5" hidden="1" x14ac:dyDescent="0.3">
      <c r="A9937" s="10" t="str">
        <f>基本属性!$B$29&amp;"|"&amp;基本属性!$C$29</f>
        <v>240|19</v>
      </c>
      <c r="B9937" s="10" t="str">
        <f>参数调整!$J$40</f>
        <v>新增怪物种类5掉落</v>
      </c>
      <c r="C9937" s="8" t="str">
        <f>材料产出!$V$2</f>
        <v>龍の魄</v>
      </c>
      <c r="D9937" s="224">
        <f>参数调整!$K$40*怪物掉落配置方案!$D4807</f>
        <v>0.20717557035142847</v>
      </c>
    </row>
    <row r="9938" spans="1:4" ht="16.5" hidden="1" x14ac:dyDescent="0.3">
      <c r="A9938" s="10" t="str">
        <f>基本属性!$B$30&amp;"|"&amp;基本属性!$C$30</f>
        <v>250|20</v>
      </c>
      <c r="B9938" s="10" t="str">
        <f>参数调整!$J$40</f>
        <v>新增怪物种类5掉落</v>
      </c>
      <c r="C9938" s="8" t="str">
        <f>材料产出!$V$2</f>
        <v>龍の魄</v>
      </c>
      <c r="D9938" s="224">
        <f>参数调整!$K$40*怪物掉落配置方案!$D4808</f>
        <v>0.22614397298329234</v>
      </c>
    </row>
    <row r="9939" spans="1:4" ht="16.5" hidden="1" x14ac:dyDescent="0.3">
      <c r="A9939" s="10" t="str">
        <f>基本属性!$B$4&amp;"|"&amp;基本属性!$C$4</f>
        <v>35|0</v>
      </c>
      <c r="B9939" s="10" t="str">
        <f>参数调整!$J$40</f>
        <v>新增怪物种类5掉落</v>
      </c>
      <c r="C9939" s="8" t="str">
        <f>材料产出!$AB$2</f>
        <v>龙晶碎片</v>
      </c>
      <c r="D9939" s="224">
        <f>参数调整!$K$40*怪物掉落配置方案!$D4809</f>
        <v>7.5715660941379131E-2</v>
      </c>
    </row>
    <row r="9940" spans="1:4" ht="16.5" hidden="1" x14ac:dyDescent="0.3">
      <c r="A9940" s="10" t="str">
        <f>基本属性!$B$5&amp;"|"&amp;基本属性!$C$5</f>
        <v>40|0</v>
      </c>
      <c r="B9940" s="10" t="str">
        <f>参数调整!$J$40</f>
        <v>新增怪物种类5掉落</v>
      </c>
      <c r="C9940" s="8" t="str">
        <f>材料产出!$AB$2</f>
        <v>龙晶碎片</v>
      </c>
      <c r="D9940" s="224">
        <f>参数调整!$K$40*怪物掉落配置方案!$D4810</f>
        <v>9.5827633378932978E-2</v>
      </c>
    </row>
    <row r="9941" spans="1:4" ht="16.5" hidden="1" x14ac:dyDescent="0.3">
      <c r="A9941" s="10" t="str">
        <f>基本属性!$B$6&amp;"|"&amp;基本属性!$C$6</f>
        <v>50|0</v>
      </c>
      <c r="B9941" s="10" t="str">
        <f>参数调整!$J$40</f>
        <v>新增怪物种类5掉落</v>
      </c>
      <c r="C9941" s="8" t="str">
        <f>材料产出!$AB$2</f>
        <v>龙晶碎片</v>
      </c>
      <c r="D9941" s="224">
        <f>参数调整!$K$40*怪物掉落配置方案!$D4811</f>
        <v>0.11830572022090491</v>
      </c>
    </row>
    <row r="9942" spans="1:4" ht="16.5" hidden="1" x14ac:dyDescent="0.3">
      <c r="A9942" s="10" t="str">
        <f>基本属性!$B$7&amp;"|"&amp;基本属性!$C$7</f>
        <v>60|0</v>
      </c>
      <c r="B9942" s="10" t="str">
        <f>参数调整!$J$40</f>
        <v>新增怪物种类5掉落</v>
      </c>
      <c r="C9942" s="8" t="str">
        <f>材料产出!$AB$2</f>
        <v>龙晶碎片</v>
      </c>
      <c r="D9942" s="224">
        <f>参数调整!$K$40*怪物掉落配置方案!$D4812</f>
        <v>0.14314992146729494</v>
      </c>
    </row>
    <row r="9943" spans="1:4" ht="16.5" hidden="1" x14ac:dyDescent="0.3">
      <c r="A9943" s="10" t="str">
        <f>基本属性!$B$8&amp;"|"&amp;基本属性!$C$8</f>
        <v>65|0</v>
      </c>
      <c r="B9943" s="10" t="str">
        <f>参数调整!$J$40</f>
        <v>新增怪物种类5掉落</v>
      </c>
      <c r="C9943" s="8" t="str">
        <f>材料产出!$AB$2</f>
        <v>龙晶碎片</v>
      </c>
      <c r="D9943" s="224">
        <f>参数调整!$K$40*怪物掉落配置方案!$D4813</f>
        <v>0.17036023711810305</v>
      </c>
    </row>
    <row r="9944" spans="1:4" ht="16.5" hidden="1" x14ac:dyDescent="0.3">
      <c r="A9944" s="10" t="str">
        <f>基本属性!$B$9&amp;"|"&amp;基本属性!$C$9</f>
        <v>70|0</v>
      </c>
      <c r="B9944" s="10" t="str">
        <f>参数调整!$J$40</f>
        <v>新增怪物种类5掉落</v>
      </c>
      <c r="C9944" s="8" t="str">
        <f>材料产出!$AB$2</f>
        <v>龙晶碎片</v>
      </c>
      <c r="D9944" s="224">
        <f>参数调整!$K$40*怪物掉落配置方案!$D4814</f>
        <v>0.19993666717332925</v>
      </c>
    </row>
    <row r="9945" spans="1:4" ht="16.5" hidden="1" x14ac:dyDescent="0.3">
      <c r="A9945" s="10" t="str">
        <f>基本属性!$B$10&amp;"|"&amp;基本属性!$C$10</f>
        <v>75|0</v>
      </c>
      <c r="B9945" s="10" t="str">
        <f>参数调整!$J$40</f>
        <v>新增怪物种类5掉落</v>
      </c>
      <c r="C9945" s="8" t="str">
        <f>材料产出!$AB$2</f>
        <v>龙晶碎片</v>
      </c>
      <c r="D9945" s="224">
        <f>参数调整!$K$40*怪物掉落配置方案!$D4815</f>
        <v>0.23187921163297354</v>
      </c>
    </row>
    <row r="9946" spans="1:4" ht="16.5" hidden="1" x14ac:dyDescent="0.3">
      <c r="A9946" s="10" t="str">
        <f>基本属性!$B$11&amp;"|"&amp;基本属性!$C$11</f>
        <v>80|1</v>
      </c>
      <c r="B9946" s="10" t="str">
        <f>参数调整!$J$40</f>
        <v>新增怪物种类5掉落</v>
      </c>
      <c r="C9946" s="8" t="str">
        <f>材料产出!$AB$2</f>
        <v>龙晶碎片</v>
      </c>
      <c r="D9946" s="224">
        <f>参数调整!$K$40*怪物掉落配置方案!$D4816</f>
        <v>0.26618787049703602</v>
      </c>
    </row>
    <row r="9947" spans="1:4" ht="16.5" hidden="1" x14ac:dyDescent="0.3">
      <c r="A9947" s="10" t="str">
        <f>基本属性!$B$12&amp;"|"&amp;基本属性!$C$12</f>
        <v>90|2</v>
      </c>
      <c r="B9947" s="10" t="str">
        <f>参数调整!$J$40</f>
        <v>新增怪物种类5掉落</v>
      </c>
      <c r="C9947" s="8" t="str">
        <f>材料产出!$AB$2</f>
        <v>龙晶碎片</v>
      </c>
      <c r="D9947" s="224">
        <f>参数调整!$K$40*怪物掉落配置方案!$D4817</f>
        <v>0.30286264376551658</v>
      </c>
    </row>
    <row r="9948" spans="1:4" ht="16.5" hidden="1" x14ac:dyDescent="0.3">
      <c r="A9948" s="10" t="str">
        <f>基本属性!$B$13&amp;"|"&amp;基本属性!$C$13</f>
        <v>100|3</v>
      </c>
      <c r="B9948" s="10" t="str">
        <f>参数调整!$J$40</f>
        <v>新增怪物种类5掉落</v>
      </c>
      <c r="C9948" s="8" t="str">
        <f>材料产出!$AB$2</f>
        <v>龙晶碎片</v>
      </c>
      <c r="D9948" s="224">
        <f>参数调整!$K$40*怪物掉落配置方案!$D4818</f>
        <v>0.38331053351573191</v>
      </c>
    </row>
    <row r="9949" spans="1:4" ht="16.5" hidden="1" x14ac:dyDescent="0.3">
      <c r="A9949" s="10" t="str">
        <f>基本属性!$B$14&amp;"|"&amp;基本属性!$C$14</f>
        <v>105|4</v>
      </c>
      <c r="B9949" s="10" t="str">
        <f>参数调整!$J$40</f>
        <v>新增怪物种类5掉落</v>
      </c>
      <c r="C9949" s="8" t="str">
        <f>材料产出!$AB$2</f>
        <v>龙晶碎片</v>
      </c>
      <c r="D9949" s="224">
        <f>参数调整!$K$40*怪物掉落配置方案!$D4819</f>
        <v>0.47322288088361969</v>
      </c>
    </row>
    <row r="9950" spans="1:4" ht="16.5" hidden="1" x14ac:dyDescent="0.3">
      <c r="A9950" s="10" t="str">
        <f>基本属性!$B$15&amp;"|"&amp;基本属性!$C$15</f>
        <v>110|5</v>
      </c>
      <c r="B9950" s="10" t="str">
        <f>参数调整!$J$40</f>
        <v>新增怪物种类5掉落</v>
      </c>
      <c r="C9950" s="8" t="str">
        <f>材料产出!$AB$2</f>
        <v>龙晶碎片</v>
      </c>
      <c r="D9950" s="224">
        <f>参数调整!$K$40*怪物掉落配置方案!$D4820</f>
        <v>0.57259968586917986</v>
      </c>
    </row>
    <row r="9951" spans="1:4" ht="16.5" hidden="1" x14ac:dyDescent="0.3">
      <c r="A9951" s="10" t="str">
        <f>基本属性!$B$16&amp;"|"&amp;基本属性!$C$16</f>
        <v>120|6</v>
      </c>
      <c r="B9951" s="10" t="str">
        <f>参数调整!$J$40</f>
        <v>新增怪物种类5掉落</v>
      </c>
      <c r="C9951" s="8" t="str">
        <f>材料产出!$AB$2</f>
        <v>龙晶碎片</v>
      </c>
      <c r="D9951" s="224">
        <f>参数调整!$K$40*怪物掉落配置方案!$D4821</f>
        <v>0.7394107513806556</v>
      </c>
    </row>
    <row r="9952" spans="1:4" ht="16.5" hidden="1" x14ac:dyDescent="0.3">
      <c r="A9952" s="10" t="str">
        <f>基本属性!$B$17&amp;"|"&amp;基本属性!$C$17</f>
        <v>135|7</v>
      </c>
      <c r="B9952" s="10" t="str">
        <f>参数调整!$J$40</f>
        <v>新增怪物种类5掉落</v>
      </c>
      <c r="C9952" s="8" t="str">
        <f>材料产出!$AB$2</f>
        <v>龙晶碎片</v>
      </c>
      <c r="D9952" s="224">
        <f>参数调整!$K$40*怪物掉落配置方案!$D4822</f>
        <v>1.0647514819881441</v>
      </c>
    </row>
    <row r="9953" spans="1:4" ht="16.5" hidden="1" x14ac:dyDescent="0.3">
      <c r="A9953" s="10" t="str">
        <f>基本属性!$B$18&amp;"|"&amp;基本属性!$C$18</f>
        <v>155|8</v>
      </c>
      <c r="B9953" s="10" t="str">
        <f>参数调整!$J$40</f>
        <v>新增怪物种类5掉落</v>
      </c>
      <c r="C9953" s="8" t="str">
        <f>材料产出!$AB$2</f>
        <v>龙晶碎片</v>
      </c>
      <c r="D9953" s="224">
        <f>参数调整!$K$40*怪物掉落配置方案!$D4823</f>
        <v>1.449245072706085</v>
      </c>
    </row>
    <row r="9954" spans="1:4" ht="16.5" hidden="1" x14ac:dyDescent="0.3">
      <c r="A9954" s="10" t="str">
        <f>基本属性!$B$19&amp;"|"&amp;基本属性!$C$19</f>
        <v>190|9</v>
      </c>
      <c r="B9954" s="10" t="str">
        <f>参数调整!$J$40</f>
        <v>新增怪物种类5掉落</v>
      </c>
      <c r="C9954" s="8" t="str">
        <f>材料产出!$AB$2</f>
        <v>龙晶碎片</v>
      </c>
      <c r="D9954" s="224">
        <f>参数调整!$K$40*怪物掉落配置方案!$D4824</f>
        <v>1.6196053098241883</v>
      </c>
    </row>
    <row r="9955" spans="1:4" ht="16.5" hidden="1" x14ac:dyDescent="0.3">
      <c r="A9955" s="10" t="str">
        <f>基本属性!$B$20&amp;"|"&amp;基本属性!$C$20</f>
        <v>200|10</v>
      </c>
      <c r="B9955" s="10" t="str">
        <f>参数调整!$J$40</f>
        <v>新增怪物种类5掉落</v>
      </c>
      <c r="C9955" s="8" t="str">
        <f>材料产出!$AB$2</f>
        <v>龙晶碎片</v>
      </c>
      <c r="D9955" s="224">
        <f>参数调整!$K$40*怪物掉落配置方案!$D4825</f>
        <v>1.8928915235344788</v>
      </c>
    </row>
    <row r="9956" spans="1:4" ht="16.5" hidden="1" x14ac:dyDescent="0.3">
      <c r="A9956" s="10" t="str">
        <f>基本属性!$B$21&amp;"|"&amp;基本属性!$C$21</f>
        <v>200|11</v>
      </c>
      <c r="B9956" s="10" t="str">
        <f>参数调整!$J$40</f>
        <v>新增怪物种类5掉落</v>
      </c>
      <c r="C9956" s="8" t="str">
        <f>材料产出!$AB$2</f>
        <v>龙晶碎片</v>
      </c>
      <c r="D9956" s="224">
        <f>参数调整!$K$40*怪物掉落配置方案!$D4826</f>
        <v>2.1874727668845311</v>
      </c>
    </row>
    <row r="9957" spans="1:4" ht="16.5" hidden="1" x14ac:dyDescent="0.3">
      <c r="A9957" s="10" t="str">
        <f>基本属性!$B$22&amp;"|"&amp;基本属性!$C$22</f>
        <v>210|12</v>
      </c>
      <c r="B9957" s="10" t="str">
        <f>参数调整!$J$40</f>
        <v>新增怪物种类5掉落</v>
      </c>
      <c r="C9957" s="8" t="str">
        <f>材料产出!$AB$2</f>
        <v>龙晶碎片</v>
      </c>
      <c r="D9957" s="224">
        <f>参数调整!$K$40*怪物掉落配置方案!$D4827</f>
        <v>2.5033490398743474</v>
      </c>
    </row>
    <row r="9958" spans="1:4" ht="16.5" hidden="1" x14ac:dyDescent="0.3">
      <c r="A9958" s="10" t="str">
        <f>基本属性!$B$23&amp;"|"&amp;基本属性!$C$23</f>
        <v>210|13</v>
      </c>
      <c r="B9958" s="10" t="str">
        <f>参数调整!$J$40</f>
        <v>新增怪物种类5掉落</v>
      </c>
      <c r="C9958" s="8" t="str">
        <f>材料产出!$AB$2</f>
        <v>龙晶碎片</v>
      </c>
      <c r="D9958" s="224">
        <f>参数调整!$K$40*怪物掉落配置方案!$D4828</f>
        <v>2.8405203425039267</v>
      </c>
    </row>
    <row r="9959" spans="1:4" ht="16.5" hidden="1" x14ac:dyDescent="0.3">
      <c r="A9959" s="10" t="str">
        <f>基本属性!$B$24&amp;"|"&amp;基本属性!$C$24</f>
        <v>220|14</v>
      </c>
      <c r="B9959" s="10" t="str">
        <f>参数调整!$J$40</f>
        <v>新增怪物种类5掉落</v>
      </c>
      <c r="C9959" s="8" t="str">
        <f>材料产出!$AB$2</f>
        <v>龙晶碎片</v>
      </c>
      <c r="D9959" s="224">
        <f>参数调整!$K$40*怪物掉落配置方案!$D4829</f>
        <v>3.1989866747732689</v>
      </c>
    </row>
    <row r="9960" spans="1:4" ht="16.5" hidden="1" x14ac:dyDescent="0.3">
      <c r="A9960" s="10" t="str">
        <f>基本属性!$B$25&amp;"|"&amp;基本属性!$C$25</f>
        <v>220|15</v>
      </c>
      <c r="B9960" s="10" t="str">
        <f>参数调整!$J$40</f>
        <v>新增怪物种类5掉落</v>
      </c>
      <c r="C9960" s="8" t="str">
        <f>材料产出!$AB$2</f>
        <v>龙晶碎片</v>
      </c>
      <c r="D9960" s="224">
        <f>参数调整!$K$40*怪物掉落配置方案!$D4830</f>
        <v>3.5787480366823727</v>
      </c>
    </row>
    <row r="9961" spans="1:4" ht="16.5" hidden="1" x14ac:dyDescent="0.3">
      <c r="A9961" s="10" t="str">
        <f>基本属性!$B$26&amp;"|"&amp;基本属性!$C$26</f>
        <v>230|16</v>
      </c>
      <c r="B9961" s="10" t="str">
        <f>参数调整!$J$40</f>
        <v>新增怪物种类5掉落</v>
      </c>
      <c r="C9961" s="8" t="str">
        <f>材料产出!$AB$2</f>
        <v>龙晶碎片</v>
      </c>
      <c r="D9961" s="224">
        <f>参数调整!$K$40*怪物掉落配置方案!$D4831</f>
        <v>3.9798044282312404</v>
      </c>
    </row>
    <row r="9962" spans="1:4" ht="16.5" hidden="1" x14ac:dyDescent="0.3">
      <c r="A9962" s="10" t="str">
        <f>基本属性!$B$27&amp;"|"&amp;基本属性!$C$27</f>
        <v>230|17</v>
      </c>
      <c r="B9962" s="10" t="str">
        <f>参数调整!$J$40</f>
        <v>新增怪物种类5掉落</v>
      </c>
      <c r="C9962" s="8" t="str">
        <f>材料产出!$AB$2</f>
        <v>龙晶碎片</v>
      </c>
      <c r="D9962" s="224">
        <f>参数调整!$K$40*怪物掉落配置方案!$D4832</f>
        <v>4.4021558494198709</v>
      </c>
    </row>
    <row r="9963" spans="1:4" ht="16.5" hidden="1" x14ac:dyDescent="0.3">
      <c r="A9963" s="10" t="str">
        <f>基本属性!$B$28&amp;"|"&amp;基本属性!$C$28</f>
        <v>240|18</v>
      </c>
      <c r="B9963" s="10" t="str">
        <f>参数调整!$J$40</f>
        <v>新增怪物种类5掉落</v>
      </c>
      <c r="C9963" s="8" t="str">
        <f>材料产出!$AB$2</f>
        <v>龙晶碎片</v>
      </c>
      <c r="D9963" s="224">
        <f>参数调整!$K$40*怪物掉落配置方案!$D4833</f>
        <v>4.8458023002482653</v>
      </c>
    </row>
    <row r="9964" spans="1:4" ht="16.5" hidden="1" x14ac:dyDescent="0.3">
      <c r="A9964" s="10" t="str">
        <f>基本属性!$B$29&amp;"|"&amp;基本属性!$C$29</f>
        <v>240|19</v>
      </c>
      <c r="B9964" s="10" t="str">
        <f>参数调整!$J$40</f>
        <v>新增怪物种类5掉落</v>
      </c>
      <c r="C9964" s="8" t="str">
        <f>材料产出!$AB$2</f>
        <v>龙晶碎片</v>
      </c>
      <c r="D9964" s="224">
        <f>参数调整!$K$40*怪物掉落配置方案!$D4834</f>
        <v>5.3107437807164217</v>
      </c>
    </row>
    <row r="9965" spans="1:4" ht="16.5" hidden="1" x14ac:dyDescent="0.3">
      <c r="A9965" s="10" t="str">
        <f>基本属性!$B$30&amp;"|"&amp;基本属性!$C$30</f>
        <v>250|20</v>
      </c>
      <c r="B9965" s="10" t="str">
        <f>参数调整!$J$40</f>
        <v>新增怪物种类5掉落</v>
      </c>
      <c r="C9965" s="8" t="str">
        <f>材料产出!$AB$2</f>
        <v>龙晶碎片</v>
      </c>
      <c r="D9965" s="224">
        <f>参数调整!$K$40*怪物掉落配置方案!$D4835</f>
        <v>5.7969802908243384</v>
      </c>
    </row>
    <row r="9966" spans="1:4" ht="16.5" hidden="1" x14ac:dyDescent="0.3">
      <c r="A9966" s="10" t="str">
        <f>基本属性!$B$4&amp;"|"&amp;基本属性!$C$4</f>
        <v>35|0</v>
      </c>
      <c r="B9966" s="10" t="str">
        <f>参数调整!$J$40</f>
        <v>新增怪物种类5掉落</v>
      </c>
      <c r="C9966" s="8" t="str">
        <f>材料产出!$AX$2</f>
        <v>烈焰玄铁</v>
      </c>
      <c r="D9966" s="224">
        <f>参数调整!$K$40*怪物掉落配置方案!$D4836</f>
        <v>4.464183464614475E-4</v>
      </c>
    </row>
    <row r="9967" spans="1:4" ht="16.5" hidden="1" x14ac:dyDescent="0.3">
      <c r="A9967" s="10" t="str">
        <f>基本属性!$B$5&amp;"|"&amp;基本属性!$C$5</f>
        <v>40|0</v>
      </c>
      <c r="B9967" s="10" t="str">
        <f>参数调整!$J$40</f>
        <v>新增怪物种类5掉落</v>
      </c>
      <c r="C9967" s="8" t="str">
        <f>材料产出!$AX$2</f>
        <v>烈焰玄铁</v>
      </c>
      <c r="D9967" s="224">
        <f>参数调整!$K$40*怪物掉落配置方案!$D4837</f>
        <v>5.6499821974026942E-4</v>
      </c>
    </row>
    <row r="9968" spans="1:4" ht="16.5" hidden="1" x14ac:dyDescent="0.3">
      <c r="A9968" s="10" t="str">
        <f>基本属性!$B$6&amp;"|"&amp;基本属性!$C$6</f>
        <v>50|0</v>
      </c>
      <c r="B9968" s="10" t="str">
        <f>参数调整!$J$40</f>
        <v>新增怪物种类5掉落</v>
      </c>
      <c r="C9968" s="8" t="str">
        <f>材料产出!$AX$2</f>
        <v>烈焰玄铁</v>
      </c>
      <c r="D9968" s="224">
        <f>参数调整!$K$40*怪物掉落配置方案!$D4838</f>
        <v>6.9752866634601167E-4</v>
      </c>
    </row>
    <row r="9969" spans="1:4" ht="16.5" hidden="1" x14ac:dyDescent="0.3">
      <c r="A9969" s="10" t="str">
        <f>基本属性!$B$7&amp;"|"&amp;基本属性!$C$7</f>
        <v>60|0</v>
      </c>
      <c r="B9969" s="10" t="str">
        <f>参数调整!$J$40</f>
        <v>新增怪物种类5掉落</v>
      </c>
      <c r="C9969" s="8" t="str">
        <f>材料产出!$AX$2</f>
        <v>烈焰玄铁</v>
      </c>
      <c r="D9969" s="224">
        <f>参数调整!$K$40*怪物掉落配置方案!$D4839</f>
        <v>8.4400968627867425E-4</v>
      </c>
    </row>
    <row r="9970" spans="1:4" ht="16.5" hidden="1" x14ac:dyDescent="0.3">
      <c r="A9970" s="10" t="str">
        <f>基本属性!$B$8&amp;"|"&amp;基本属性!$C$8</f>
        <v>65|0</v>
      </c>
      <c r="B9970" s="10" t="str">
        <f>参数调整!$J$40</f>
        <v>新增怪物种类5掉落</v>
      </c>
      <c r="C9970" s="8" t="str">
        <f>材料产出!$AX$2</f>
        <v>烈焰玄铁</v>
      </c>
      <c r="D9970" s="224">
        <f>参数调整!$K$40*怪物掉落配置方案!$D4840</f>
        <v>1.0044412795382567E-3</v>
      </c>
    </row>
    <row r="9971" spans="1:4" ht="16.5" hidden="1" x14ac:dyDescent="0.3">
      <c r="A9971" s="10" t="str">
        <f>基本属性!$B$9&amp;"|"&amp;基本属性!$C$9</f>
        <v>70|0</v>
      </c>
      <c r="B9971" s="10" t="str">
        <f>参数调整!$J$40</f>
        <v>新增怪物种类5掉落</v>
      </c>
      <c r="C9971" s="8" t="str">
        <f>材料产出!$AX$2</f>
        <v>烈焰玄铁</v>
      </c>
      <c r="D9971" s="224">
        <f>参数调整!$K$40*怪物掉落配置方案!$D4841</f>
        <v>1.1788234461247598E-3</v>
      </c>
    </row>
    <row r="9972" spans="1:4" ht="16.5" hidden="1" x14ac:dyDescent="0.3">
      <c r="A9972" s="10" t="str">
        <f>基本属性!$B$10&amp;"|"&amp;基本属性!$C$10</f>
        <v>75|0</v>
      </c>
      <c r="B9972" s="10" t="str">
        <f>参数调整!$J$40</f>
        <v>新增怪物种类5掉落</v>
      </c>
      <c r="C9972" s="8" t="str">
        <f>材料产出!$AX$2</f>
        <v>烈焰玄铁</v>
      </c>
      <c r="D9972" s="224">
        <f>参数调整!$K$40*怪物掉落配置方案!$D4842</f>
        <v>1.3671561860381827E-3</v>
      </c>
    </row>
    <row r="9973" spans="1:4" ht="16.5" hidden="1" x14ac:dyDescent="0.3">
      <c r="A9973" s="10" t="str">
        <f>基本属性!$B$11&amp;"|"&amp;基本属性!$C$11</f>
        <v>80|1</v>
      </c>
      <c r="B9973" s="10" t="str">
        <f>参数调整!$J$40</f>
        <v>新增怪物种类5掉落</v>
      </c>
      <c r="C9973" s="8" t="str">
        <f>材料产出!$AX$2</f>
        <v>烈焰玄铁</v>
      </c>
      <c r="D9973" s="224">
        <f>参数调整!$K$40*怪物掉落配置方案!$D4843</f>
        <v>1.5694394992785262E-3</v>
      </c>
    </row>
    <row r="9974" spans="1:4" ht="16.5" hidden="1" x14ac:dyDescent="0.3">
      <c r="A9974" s="10" t="str">
        <f>基本属性!$B$12&amp;"|"&amp;基本属性!$C$12</f>
        <v>90|2</v>
      </c>
      <c r="B9974" s="10" t="str">
        <f>参数调整!$J$40</f>
        <v>新增怪物种类5掉落</v>
      </c>
      <c r="C9974" s="8" t="str">
        <f>材料产出!$AX$2</f>
        <v>烈焰玄铁</v>
      </c>
      <c r="D9974" s="224">
        <f>参数调整!$K$40*怪物掉落配置方案!$D4844</f>
        <v>1.7856733858457902E-3</v>
      </c>
    </row>
    <row r="9975" spans="1:4" ht="16.5" hidden="1" x14ac:dyDescent="0.3">
      <c r="A9975" s="10" t="str">
        <f>基本属性!$B$13&amp;"|"&amp;基本属性!$C$13</f>
        <v>100|3</v>
      </c>
      <c r="B9975" s="10" t="str">
        <f>参数调整!$J$40</f>
        <v>新增怪物种类5掉落</v>
      </c>
      <c r="C9975" s="8" t="str">
        <f>材料产出!$AX$2</f>
        <v>烈焰玄铁</v>
      </c>
      <c r="D9975" s="224">
        <f>参数调整!$K$40*怪物掉落配置方案!$D4845</f>
        <v>2.2599928789610781E-3</v>
      </c>
    </row>
    <row r="9976" spans="1:4" ht="16.5" hidden="1" x14ac:dyDescent="0.3">
      <c r="A9976" s="10" t="str">
        <f>基本属性!$B$14&amp;"|"&amp;基本属性!$C$14</f>
        <v>105|4</v>
      </c>
      <c r="B9976" s="10" t="str">
        <f>参数调整!$J$40</f>
        <v>新增怪物种类5掉落</v>
      </c>
      <c r="C9976" s="8" t="str">
        <f>材料产出!$AX$2</f>
        <v>烈焰玄铁</v>
      </c>
      <c r="D9976" s="224">
        <f>参数调整!$K$40*怪物掉落配置方案!$D4846</f>
        <v>2.7901146653840471E-3</v>
      </c>
    </row>
    <row r="9977" spans="1:4" ht="16.5" hidden="1" x14ac:dyDescent="0.3">
      <c r="A9977" s="10" t="str">
        <f>基本属性!$B$15&amp;"|"&amp;基本属性!$C$15</f>
        <v>110|5</v>
      </c>
      <c r="B9977" s="10" t="str">
        <f>参数调整!$J$40</f>
        <v>新增怪物种类5掉落</v>
      </c>
      <c r="C9977" s="8" t="str">
        <f>材料产出!$AX$2</f>
        <v>烈焰玄铁</v>
      </c>
      <c r="D9977" s="224">
        <f>参数调整!$K$40*怪物掉落配置方案!$D4847</f>
        <v>3.3760387451146978E-3</v>
      </c>
    </row>
    <row r="9978" spans="1:4" ht="16.5" hidden="1" x14ac:dyDescent="0.3">
      <c r="A9978" s="10" t="str">
        <f>基本属性!$B$16&amp;"|"&amp;基本属性!$C$16</f>
        <v>120|6</v>
      </c>
      <c r="B9978" s="10" t="str">
        <f>参数调整!$J$40</f>
        <v>新增怪物种类5掉落</v>
      </c>
      <c r="C9978" s="8" t="str">
        <f>材料产出!$AX$2</f>
        <v>烈焰玄铁</v>
      </c>
      <c r="D9978" s="224">
        <f>参数调整!$K$40*怪物掉落配置方案!$D4848</f>
        <v>4.3595541646625725E-3</v>
      </c>
    </row>
    <row r="9979" spans="1:4" ht="16.5" hidden="1" x14ac:dyDescent="0.3">
      <c r="A9979" s="10" t="str">
        <f>基本属性!$B$17&amp;"|"&amp;基本属性!$C$17</f>
        <v>135|7</v>
      </c>
      <c r="B9979" s="10" t="str">
        <f>参数调整!$J$40</f>
        <v>新增怪物种类5掉落</v>
      </c>
      <c r="C9979" s="8" t="str">
        <f>材料产出!$AX$2</f>
        <v>烈焰玄铁</v>
      </c>
      <c r="D9979" s="224">
        <f>参数调整!$K$40*怪物掉落配置方案!$D4849</f>
        <v>6.277757997114105E-3</v>
      </c>
    </row>
    <row r="9980" spans="1:4" ht="16.5" hidden="1" x14ac:dyDescent="0.3">
      <c r="A9980" s="10" t="str">
        <f>基本属性!$B$18&amp;"|"&amp;基本属性!$C$18</f>
        <v>155|8</v>
      </c>
      <c r="B9980" s="10" t="str">
        <f>参数调整!$J$40</f>
        <v>新增怪物种类5掉落</v>
      </c>
      <c r="C9980" s="8" t="str">
        <f>材料产出!$AX$2</f>
        <v>烈焰玄铁</v>
      </c>
      <c r="D9980" s="224">
        <f>参数调整!$K$40*怪物掉落配置方案!$D4850</f>
        <v>8.5447261627386445E-3</v>
      </c>
    </row>
    <row r="9981" spans="1:4" ht="16.5" hidden="1" x14ac:dyDescent="0.3">
      <c r="A9981" s="10" t="str">
        <f>基本属性!$B$19&amp;"|"&amp;基本属性!$C$19</f>
        <v>190|9</v>
      </c>
      <c r="B9981" s="10" t="str">
        <f>参数调整!$J$40</f>
        <v>新增怪物种类5掉落</v>
      </c>
      <c r="C9981" s="8" t="str">
        <f>材料产出!$AX$2</f>
        <v>烈焰玄铁</v>
      </c>
      <c r="D9981" s="224">
        <f>参数调整!$K$40*怪物掉落配置方案!$D4851</f>
        <v>9.5491674422769016E-3</v>
      </c>
    </row>
    <row r="9982" spans="1:4" ht="16.5" hidden="1" x14ac:dyDescent="0.3">
      <c r="A9982" s="10" t="str">
        <f>基本属性!$B$20&amp;"|"&amp;基本属性!$C$20</f>
        <v>200|10</v>
      </c>
      <c r="B9982" s="10" t="str">
        <f>参数调整!$J$40</f>
        <v>新增怪物种类5掉落</v>
      </c>
      <c r="C9982" s="8" t="str">
        <f>材料产出!$AX$2</f>
        <v>烈焰玄铁</v>
      </c>
      <c r="D9982" s="224">
        <f>参数调整!$K$40*怪物掉落配置方案!$D4852</f>
        <v>1.1160458661536189E-2</v>
      </c>
    </row>
    <row r="9983" spans="1:4" ht="16.5" hidden="1" x14ac:dyDescent="0.3">
      <c r="A9983" s="10" t="str">
        <f>基本属性!$B$21&amp;"|"&amp;基本属性!$C$21</f>
        <v>200|11</v>
      </c>
      <c r="B9983" s="10" t="str">
        <f>参数调整!$J$40</f>
        <v>新增怪物种类5掉落</v>
      </c>
      <c r="C9983" s="8" t="str">
        <f>材料产出!$AX$2</f>
        <v>烈焰玄铁</v>
      </c>
      <c r="D9983" s="224">
        <f>参数调整!$K$40*怪物掉落配置方案!$D4853</f>
        <v>1.2897305040737753E-2</v>
      </c>
    </row>
    <row r="9984" spans="1:4" ht="16.5" hidden="1" x14ac:dyDescent="0.3">
      <c r="A9984" s="10" t="str">
        <f>基本属性!$B$22&amp;"|"&amp;基本属性!$C$22</f>
        <v>210|12</v>
      </c>
      <c r="B9984" s="10" t="str">
        <f>参数调整!$J$40</f>
        <v>新增怪物种类5掉落</v>
      </c>
      <c r="C9984" s="8" t="str">
        <f>材料产出!$AX$2</f>
        <v>烈焰玄铁</v>
      </c>
      <c r="D9984" s="224">
        <f>参数调整!$K$40*怪物掉落配置方案!$D4854</f>
        <v>1.4759706579881604E-2</v>
      </c>
    </row>
    <row r="9985" spans="1:4" ht="16.5" hidden="1" x14ac:dyDescent="0.3">
      <c r="A9985" s="10" t="str">
        <f>基本属性!$B$23&amp;"|"&amp;基本属性!$C$23</f>
        <v>210|13</v>
      </c>
      <c r="B9985" s="10" t="str">
        <f>参数调整!$J$40</f>
        <v>新增怪物种类5掉落</v>
      </c>
      <c r="C9985" s="8" t="str">
        <f>材料产出!$AX$2</f>
        <v>烈焰玄铁</v>
      </c>
      <c r="D9985" s="224">
        <f>参数调整!$K$40*怪物掉落配置方案!$D4855</f>
        <v>1.6747663278967741E-2</v>
      </c>
    </row>
    <row r="9986" spans="1:4" ht="16.5" hidden="1" x14ac:dyDescent="0.3">
      <c r="A9986" s="10" t="str">
        <f>基本属性!$B$24&amp;"|"&amp;基本属性!$C$24</f>
        <v>220|14</v>
      </c>
      <c r="B9986" s="10" t="str">
        <f>参数调整!$J$40</f>
        <v>新增怪物种类5掉落</v>
      </c>
      <c r="C9986" s="8" t="str">
        <f>材料产出!$AX$2</f>
        <v>烈焰玄铁</v>
      </c>
      <c r="D9986" s="224">
        <f>参数调整!$K$40*怪物掉落配置方案!$D4856</f>
        <v>1.8861175137996157E-2</v>
      </c>
    </row>
    <row r="9987" spans="1:4" ht="16.5" hidden="1" x14ac:dyDescent="0.3">
      <c r="A9987" s="10" t="str">
        <f>基本属性!$B$25&amp;"|"&amp;基本属性!$C$25</f>
        <v>220|15</v>
      </c>
      <c r="B9987" s="10" t="str">
        <f>参数调整!$J$40</f>
        <v>新增怪物种类5掉落</v>
      </c>
      <c r="C9987" s="8" t="str">
        <f>材料产出!$AX$2</f>
        <v>烈焰玄铁</v>
      </c>
      <c r="D9987" s="224">
        <f>参数调整!$K$40*怪物掉落配置方案!$D4857</f>
        <v>2.1100242156966851E-2</v>
      </c>
    </row>
    <row r="9988" spans="1:4" ht="16.5" hidden="1" x14ac:dyDescent="0.3">
      <c r="A9988" s="10" t="str">
        <f>基本属性!$B$26&amp;"|"&amp;基本属性!$C$26</f>
        <v>230|16</v>
      </c>
      <c r="B9988" s="10" t="str">
        <f>参数调整!$J$40</f>
        <v>新增怪物种类5掉落</v>
      </c>
      <c r="C9988" s="8" t="str">
        <f>材料产出!$AX$2</f>
        <v>烈焰玄铁</v>
      </c>
      <c r="D9988" s="224">
        <f>参数调整!$K$40*怪物掉落配置方案!$D4858</f>
        <v>2.3464864335879829E-2</v>
      </c>
    </row>
    <row r="9989" spans="1:4" ht="16.5" hidden="1" x14ac:dyDescent="0.3">
      <c r="A9989" s="10" t="str">
        <f>基本属性!$B$27&amp;"|"&amp;基本属性!$C$27</f>
        <v>230|17</v>
      </c>
      <c r="B9989" s="10" t="str">
        <f>参数调整!$J$40</f>
        <v>新增怪物种类5掉落</v>
      </c>
      <c r="C9989" s="8" t="str">
        <f>材料产出!$AX$2</f>
        <v>烈焰玄铁</v>
      </c>
      <c r="D9989" s="224">
        <f>参数调整!$K$40*怪物掉落配置方案!$D4859</f>
        <v>2.5955041674735089E-2</v>
      </c>
    </row>
    <row r="9990" spans="1:4" ht="16.5" hidden="1" x14ac:dyDescent="0.3">
      <c r="A9990" s="10" t="str">
        <f>基本属性!$B$28&amp;"|"&amp;基本属性!$C$28</f>
        <v>240|18</v>
      </c>
      <c r="B9990" s="10" t="str">
        <f>参数调整!$J$40</f>
        <v>新增怪物种类5掉落</v>
      </c>
      <c r="C9990" s="8" t="str">
        <f>材料产出!$AX$2</f>
        <v>烈焰玄铁</v>
      </c>
      <c r="D9990" s="224">
        <f>参数调整!$K$40*怪物掉落配置方案!$D4860</f>
        <v>2.8570774173532643E-2</v>
      </c>
    </row>
    <row r="9991" spans="1:4" ht="16.5" hidden="1" x14ac:dyDescent="0.3">
      <c r="A9991" s="10" t="str">
        <f>基本属性!$B$29&amp;"|"&amp;基本属性!$C$29</f>
        <v>240|19</v>
      </c>
      <c r="B9991" s="10" t="str">
        <f>参数调整!$J$40</f>
        <v>新增怪物种类5掉落</v>
      </c>
      <c r="C9991" s="8" t="str">
        <f>材料产出!$AX$2</f>
        <v>烈焰玄铁</v>
      </c>
      <c r="D9991" s="224">
        <f>参数调整!$K$40*怪物掉落配置方案!$D4861</f>
        <v>3.1312061832272461E-2</v>
      </c>
    </row>
    <row r="9992" spans="1:4" ht="16.5" hidden="1" x14ac:dyDescent="0.3">
      <c r="A9992" s="10" t="str">
        <f>基本属性!$B$30&amp;"|"&amp;基本属性!$C$30</f>
        <v>250|20</v>
      </c>
      <c r="B9992" s="10" t="str">
        <f>参数调整!$J$40</f>
        <v>新增怪物种类5掉落</v>
      </c>
      <c r="C9992" s="8" t="str">
        <f>材料产出!$AX$2</f>
        <v>烈焰玄铁</v>
      </c>
      <c r="D9992" s="224">
        <f>参数调整!$K$40*怪物掉落配置方案!$D4862</f>
        <v>3.4178904650954564E-2</v>
      </c>
    </row>
    <row r="9993" spans="1:4" ht="16.5" hidden="1" x14ac:dyDescent="0.3">
      <c r="A9993" s="10" t="str">
        <f>基本属性!$B$4&amp;"|"&amp;基本属性!$C$4</f>
        <v>35|0</v>
      </c>
      <c r="B9993" s="10" t="str">
        <f>参数调整!$J$40</f>
        <v>新增怪物种类5掉落</v>
      </c>
      <c r="C9993" s="8" t="str">
        <f>材料产出!$H$2</f>
        <v>经验</v>
      </c>
      <c r="D9993" s="224">
        <f>参数调整!$K$40*怪物掉落配置方案!$D4863</f>
        <v>4165</v>
      </c>
    </row>
    <row r="9994" spans="1:4" ht="16.5" hidden="1" x14ac:dyDescent="0.3">
      <c r="A9994" s="10" t="str">
        <f>基本属性!$B$5&amp;"|"&amp;基本属性!$C$5</f>
        <v>40|0</v>
      </c>
      <c r="B9994" s="10" t="str">
        <f>参数调整!$J$40</f>
        <v>新增怪物种类5掉落</v>
      </c>
      <c r="C9994" s="8" t="str">
        <f>材料产出!$H$2</f>
        <v>经验</v>
      </c>
      <c r="D9994" s="224">
        <f>参数调整!$K$40*怪物掉落配置方案!$D4864</f>
        <v>7985</v>
      </c>
    </row>
    <row r="9995" spans="1:4" ht="16.5" hidden="1" x14ac:dyDescent="0.3">
      <c r="A9995" s="10" t="str">
        <f>基本属性!$B$6&amp;"|"&amp;基本属性!$C$6</f>
        <v>50|0</v>
      </c>
      <c r="B9995" s="10" t="str">
        <f>参数调整!$J$40</f>
        <v>新增怪物种类5掉落</v>
      </c>
      <c r="C9995" s="8" t="str">
        <f>材料产出!$H$2</f>
        <v>经验</v>
      </c>
      <c r="D9995" s="224">
        <f>参数调整!$K$40*怪物掉落配置方案!$D4865</f>
        <v>21665</v>
      </c>
    </row>
    <row r="9996" spans="1:4" ht="16.5" hidden="1" x14ac:dyDescent="0.3">
      <c r="A9996" s="10" t="str">
        <f>基本属性!$B$7&amp;"|"&amp;基本属性!$C$7</f>
        <v>60|0</v>
      </c>
      <c r="B9996" s="10" t="str">
        <f>参数调整!$J$40</f>
        <v>新增怪物种类5掉落</v>
      </c>
      <c r="C9996" s="8" t="str">
        <f>材料产出!$H$2</f>
        <v>经验</v>
      </c>
      <c r="D9996" s="224">
        <f>参数调整!$K$40*怪物掉落配置方案!$D4866</f>
        <v>27085</v>
      </c>
    </row>
    <row r="9997" spans="1:4" ht="16.5" hidden="1" x14ac:dyDescent="0.3">
      <c r="A9997" s="10" t="str">
        <f>基本属性!$B$8&amp;"|"&amp;基本属性!$C$8</f>
        <v>65|0</v>
      </c>
      <c r="B9997" s="10" t="str">
        <f>参数调整!$J$40</f>
        <v>新增怪物种类5掉落</v>
      </c>
      <c r="C9997" s="8" t="str">
        <f>材料产出!$H$2</f>
        <v>经验</v>
      </c>
      <c r="D9997" s="224">
        <f>参数调整!$K$40*怪物掉落配置方案!$D4867</f>
        <v>27220</v>
      </c>
    </row>
    <row r="9998" spans="1:4" ht="16.5" hidden="1" x14ac:dyDescent="0.3">
      <c r="A9998" s="10" t="str">
        <f>基本属性!$B$9&amp;"|"&amp;基本属性!$C$9</f>
        <v>70|0</v>
      </c>
      <c r="B9998" s="10" t="str">
        <f>参数调整!$J$40</f>
        <v>新增怪物种类5掉落</v>
      </c>
      <c r="C9998" s="8" t="str">
        <f>材料产出!$H$2</f>
        <v>经验</v>
      </c>
      <c r="D9998" s="224">
        <f>参数调整!$K$40*怪物掉落配置方案!$D4868</f>
        <v>27870</v>
      </c>
    </row>
    <row r="9999" spans="1:4" ht="16.5" hidden="1" x14ac:dyDescent="0.3">
      <c r="A9999" s="10" t="str">
        <f>基本属性!$B$10&amp;"|"&amp;基本属性!$C$10</f>
        <v>75|0</v>
      </c>
      <c r="B9999" s="10" t="str">
        <f>参数调整!$J$40</f>
        <v>新增怪物种类5掉落</v>
      </c>
      <c r="C9999" s="8" t="str">
        <f>材料产出!$H$2</f>
        <v>经验</v>
      </c>
      <c r="D9999" s="224">
        <f>参数调整!$K$40*怪物掉落配置方案!$D4869</f>
        <v>31455</v>
      </c>
    </row>
    <row r="10000" spans="1:4" ht="16.5" hidden="1" x14ac:dyDescent="0.3">
      <c r="A10000" s="10" t="str">
        <f>基本属性!$B$11&amp;"|"&amp;基本属性!$C$11</f>
        <v>80|1</v>
      </c>
      <c r="B10000" s="10" t="str">
        <f>参数调整!$J$40</f>
        <v>新增怪物种类5掉落</v>
      </c>
      <c r="C10000" s="8" t="str">
        <f>材料产出!$H$2</f>
        <v>经验</v>
      </c>
      <c r="D10000" s="224">
        <f>参数调整!$K$40*怪物掉落配置方案!$D4870</f>
        <v>50405</v>
      </c>
    </row>
    <row r="10001" spans="1:4" ht="16.5" hidden="1" x14ac:dyDescent="0.3">
      <c r="A10001" s="10" t="str">
        <f>基本属性!$B$12&amp;"|"&amp;基本属性!$C$12</f>
        <v>90|2</v>
      </c>
      <c r="B10001" s="10" t="str">
        <f>参数调整!$J$40</f>
        <v>新增怪物种类5掉落</v>
      </c>
      <c r="C10001" s="8" t="str">
        <f>材料产出!$H$2</f>
        <v>经验</v>
      </c>
      <c r="D10001" s="224">
        <f>参数调整!$K$40*怪物掉落配置方案!$D4871</f>
        <v>86675</v>
      </c>
    </row>
    <row r="10002" spans="1:4" ht="16.5" hidden="1" x14ac:dyDescent="0.3">
      <c r="A10002" s="10" t="str">
        <f>基本属性!$B$13&amp;"|"&amp;基本属性!$C$13</f>
        <v>100|3</v>
      </c>
      <c r="B10002" s="10" t="str">
        <f>参数调整!$J$40</f>
        <v>新增怪物种类5掉落</v>
      </c>
      <c r="C10002" s="8" t="str">
        <f>材料产出!$H$2</f>
        <v>经验</v>
      </c>
      <c r="D10002" s="224">
        <f>参数调整!$K$40*怪物掉落配置方案!$D4872</f>
        <v>101985</v>
      </c>
    </row>
    <row r="10003" spans="1:4" ht="16.5" hidden="1" x14ac:dyDescent="0.3">
      <c r="A10003" s="10" t="str">
        <f>基本属性!$B$14&amp;"|"&amp;基本属性!$C$14</f>
        <v>105|4</v>
      </c>
      <c r="B10003" s="10" t="str">
        <f>参数调整!$J$40</f>
        <v>新增怪物种类5掉落</v>
      </c>
      <c r="C10003" s="8" t="str">
        <f>材料产出!$H$2</f>
        <v>经验</v>
      </c>
      <c r="D10003" s="224">
        <f>参数调整!$K$40*怪物掉落配置方案!$D4873</f>
        <v>157500</v>
      </c>
    </row>
    <row r="10004" spans="1:4" ht="16.5" hidden="1" x14ac:dyDescent="0.3">
      <c r="A10004" s="10" t="str">
        <f>基本属性!$B$15&amp;"|"&amp;基本属性!$C$15</f>
        <v>110|5</v>
      </c>
      <c r="B10004" s="10" t="str">
        <f>参数调整!$J$40</f>
        <v>新增怪物种类5掉落</v>
      </c>
      <c r="C10004" s="8" t="str">
        <f>材料产出!$H$2</f>
        <v>经验</v>
      </c>
      <c r="D10004" s="224">
        <f>参数调整!$K$40*怪物掉落配置方案!$D4874</f>
        <v>162780</v>
      </c>
    </row>
    <row r="10005" spans="1:4" ht="16.5" hidden="1" x14ac:dyDescent="0.3">
      <c r="A10005" s="10" t="str">
        <f>基本属性!$B$16&amp;"|"&amp;基本属性!$C$16</f>
        <v>120|6</v>
      </c>
      <c r="B10005" s="10" t="str">
        <f>参数调整!$J$40</f>
        <v>新增怪物种类5掉落</v>
      </c>
      <c r="C10005" s="8" t="str">
        <f>材料产出!$H$2</f>
        <v>经验</v>
      </c>
      <c r="D10005" s="224">
        <f>参数调整!$K$40*怪物掉落配置方案!$D4875</f>
        <v>649070</v>
      </c>
    </row>
    <row r="10006" spans="1:4" ht="16.5" hidden="1" x14ac:dyDescent="0.3">
      <c r="A10006" s="10" t="str">
        <f>基本属性!$B$17&amp;"|"&amp;基本属性!$C$17</f>
        <v>135|7</v>
      </c>
      <c r="B10006" s="10" t="str">
        <f>参数调整!$J$40</f>
        <v>新增怪物种类5掉落</v>
      </c>
      <c r="C10006" s="8" t="str">
        <f>材料产出!$H$2</f>
        <v>经验</v>
      </c>
      <c r="D10006" s="224">
        <f>参数调整!$K$40*怪物掉落配置方案!$D4876</f>
        <v>2222085</v>
      </c>
    </row>
    <row r="10007" spans="1:4" ht="16.5" hidden="1" x14ac:dyDescent="0.3">
      <c r="A10007" s="10" t="str">
        <f>基本属性!$B$18&amp;"|"&amp;基本属性!$C$18</f>
        <v>155|8</v>
      </c>
      <c r="B10007" s="10" t="str">
        <f>参数调整!$J$40</f>
        <v>新增怪物种类5掉落</v>
      </c>
      <c r="C10007" s="8" t="str">
        <f>材料产出!$H$2</f>
        <v>经验</v>
      </c>
      <c r="D10007" s="224">
        <f>参数调整!$K$40*怪物掉落配置方案!$D4877</f>
        <v>26841945</v>
      </c>
    </row>
    <row r="10008" spans="1:4" ht="16.5" hidden="1" x14ac:dyDescent="0.3">
      <c r="A10008" s="10" t="str">
        <f>基本属性!$B$19&amp;"|"&amp;基本属性!$C$19</f>
        <v>190|9</v>
      </c>
      <c r="B10008" s="10" t="str">
        <f>参数调整!$J$40</f>
        <v>新增怪物种类5掉落</v>
      </c>
      <c r="C10008" s="8" t="str">
        <f>材料产出!$H$2</f>
        <v>经验</v>
      </c>
      <c r="D10008" s="224">
        <f>参数调整!$K$40*怪物掉落配置方案!$D4878</f>
        <v>24407335</v>
      </c>
    </row>
    <row r="10009" spans="1:4" ht="16.5" hidden="1" x14ac:dyDescent="0.3">
      <c r="A10009" s="10" t="str">
        <f>基本属性!$B$20&amp;"|"&amp;基本属性!$C$20</f>
        <v>200|10</v>
      </c>
      <c r="B10009" s="10" t="str">
        <f>参数调整!$J$40</f>
        <v>新增怪物种类5掉落</v>
      </c>
      <c r="C10009" s="8" t="str">
        <f>材料产出!$H$2</f>
        <v>经验</v>
      </c>
      <c r="D10009" s="224">
        <f>参数调整!$K$40*怪物掉落配置方案!$D4879</f>
        <v>29166665</v>
      </c>
    </row>
    <row r="10010" spans="1:4" ht="16.5" hidden="1" x14ac:dyDescent="0.3">
      <c r="A10010" s="10" t="str">
        <f>基本属性!$B$21&amp;"|"&amp;基本属性!$C$21</f>
        <v>200|11</v>
      </c>
      <c r="B10010" s="10" t="str">
        <f>参数调整!$J$40</f>
        <v>新增怪物种类5掉落</v>
      </c>
      <c r="C10010" s="8" t="str">
        <f>材料产出!$H$2</f>
        <v>经验</v>
      </c>
      <c r="D10010" s="224">
        <f>参数调整!$K$40*怪物掉落配置方案!$D4880</f>
        <v>5833335</v>
      </c>
    </row>
    <row r="10011" spans="1:4" ht="16.5" hidden="1" x14ac:dyDescent="0.3">
      <c r="A10011" s="10" t="str">
        <f>基本属性!$B$22&amp;"|"&amp;基本属性!$C$22</f>
        <v>210|12</v>
      </c>
      <c r="B10011" s="10" t="str">
        <f>参数调整!$J$40</f>
        <v>新增怪物种类5掉落</v>
      </c>
      <c r="C10011" s="8" t="str">
        <f>材料产出!$H$2</f>
        <v>经验</v>
      </c>
      <c r="D10011" s="224">
        <f>参数调整!$K$40*怪物掉落配置方案!$D4881</f>
        <v>5833335</v>
      </c>
    </row>
    <row r="10012" spans="1:4" ht="16.5" hidden="1" x14ac:dyDescent="0.3">
      <c r="A10012" s="10" t="str">
        <f>基本属性!$B$23&amp;"|"&amp;基本属性!$C$23</f>
        <v>210|13</v>
      </c>
      <c r="B10012" s="10" t="str">
        <f>参数调整!$J$40</f>
        <v>新增怪物种类5掉落</v>
      </c>
      <c r="C10012" s="8" t="str">
        <f>材料产出!$H$2</f>
        <v>经验</v>
      </c>
      <c r="D10012" s="224">
        <f>参数调整!$K$40*怪物掉落配置方案!$D4882</f>
        <v>5833335</v>
      </c>
    </row>
    <row r="10013" spans="1:4" ht="16.5" hidden="1" x14ac:dyDescent="0.3">
      <c r="A10013" s="10" t="str">
        <f>基本属性!$B$24&amp;"|"&amp;基本属性!$C$24</f>
        <v>220|14</v>
      </c>
      <c r="B10013" s="10" t="str">
        <f>参数调整!$J$40</f>
        <v>新增怪物种类5掉落</v>
      </c>
      <c r="C10013" s="8" t="str">
        <f>材料产出!$H$2</f>
        <v>经验</v>
      </c>
      <c r="D10013" s="224">
        <f>参数调整!$K$40*怪物掉落配置方案!$D4883</f>
        <v>5833335</v>
      </c>
    </row>
    <row r="10014" spans="1:4" ht="16.5" hidden="1" x14ac:dyDescent="0.3">
      <c r="A10014" s="10" t="str">
        <f>基本属性!$B$25&amp;"|"&amp;基本属性!$C$25</f>
        <v>220|15</v>
      </c>
      <c r="B10014" s="10" t="str">
        <f>参数调整!$J$40</f>
        <v>新增怪物种类5掉落</v>
      </c>
      <c r="C10014" s="8" t="str">
        <f>材料产出!$H$2</f>
        <v>经验</v>
      </c>
      <c r="D10014" s="224">
        <f>参数调整!$K$40*怪物掉落配置方案!$D4884</f>
        <v>5833335</v>
      </c>
    </row>
    <row r="10015" spans="1:4" ht="16.5" hidden="1" x14ac:dyDescent="0.3">
      <c r="A10015" s="10" t="str">
        <f>基本属性!$B$26&amp;"|"&amp;基本属性!$C$26</f>
        <v>230|16</v>
      </c>
      <c r="B10015" s="10" t="str">
        <f>参数调整!$J$40</f>
        <v>新增怪物种类5掉落</v>
      </c>
      <c r="C10015" s="8" t="str">
        <f>材料产出!$H$2</f>
        <v>经验</v>
      </c>
      <c r="D10015" s="224">
        <f>参数调整!$K$40*怪物掉落配置方案!$D4885</f>
        <v>2916665</v>
      </c>
    </row>
    <row r="10016" spans="1:4" ht="16.5" hidden="1" x14ac:dyDescent="0.3">
      <c r="A10016" s="10" t="str">
        <f>基本属性!$B$27&amp;"|"&amp;基本属性!$C$27</f>
        <v>230|17</v>
      </c>
      <c r="B10016" s="10" t="str">
        <f>参数调整!$J$40</f>
        <v>新增怪物种类5掉落</v>
      </c>
      <c r="C10016" s="8" t="str">
        <f>材料产出!$H$2</f>
        <v>经验</v>
      </c>
      <c r="D10016" s="224">
        <f>参数调整!$K$40*怪物掉落配置方案!$D4886</f>
        <v>2916665</v>
      </c>
    </row>
    <row r="10017" spans="1:4" ht="16.5" hidden="1" x14ac:dyDescent="0.3">
      <c r="A10017" s="10" t="str">
        <f>基本属性!$B$28&amp;"|"&amp;基本属性!$C$28</f>
        <v>240|18</v>
      </c>
      <c r="B10017" s="10" t="str">
        <f>参数调整!$J$40</f>
        <v>新增怪物种类5掉落</v>
      </c>
      <c r="C10017" s="8" t="str">
        <f>材料产出!$H$2</f>
        <v>经验</v>
      </c>
      <c r="D10017" s="224">
        <f>参数调整!$K$40*怪物掉落配置方案!$D4887</f>
        <v>2916665</v>
      </c>
    </row>
    <row r="10018" spans="1:4" ht="16.5" hidden="1" x14ac:dyDescent="0.3">
      <c r="A10018" s="10" t="str">
        <f>基本属性!$B$29&amp;"|"&amp;基本属性!$C$29</f>
        <v>240|19</v>
      </c>
      <c r="B10018" s="10" t="str">
        <f>参数调整!$J$40</f>
        <v>新增怪物种类5掉落</v>
      </c>
      <c r="C10018" s="8" t="str">
        <f>材料产出!$H$2</f>
        <v>经验</v>
      </c>
      <c r="D10018" s="224">
        <f>参数调整!$K$40*怪物掉落配置方案!$D4888</f>
        <v>2916665</v>
      </c>
    </row>
    <row r="10019" spans="1:4" ht="16.5" hidden="1" x14ac:dyDescent="0.3">
      <c r="A10019" s="10" t="str">
        <f>基本属性!$B$30&amp;"|"&amp;基本属性!$C$30</f>
        <v>250|20</v>
      </c>
      <c r="B10019" s="10" t="str">
        <f>参数调整!$J$40</f>
        <v>新增怪物种类5掉落</v>
      </c>
      <c r="C10019" s="8" t="str">
        <f>材料产出!$H$2</f>
        <v>经验</v>
      </c>
      <c r="D10019" s="224">
        <f>参数调整!$K$40*怪物掉落配置方案!$D4889</f>
        <v>2916665</v>
      </c>
    </row>
    <row r="10020" spans="1:4" ht="16.5" hidden="1" x14ac:dyDescent="0.3">
      <c r="A10020" s="10" t="str">
        <f>基本属性!$B$4&amp;"|"&amp;基本属性!$C$4</f>
        <v>35|0</v>
      </c>
      <c r="B10020" s="10" t="str">
        <f>参数调整!$J$40</f>
        <v>新增怪物种类5掉落</v>
      </c>
      <c r="C10020" s="8" t="str">
        <f>材料产出!$AN$2</f>
        <v>极品注灵石</v>
      </c>
      <c r="D10020" s="224">
        <f>参数调整!$K$40*怪物掉落配置方案!$D4890</f>
        <v>2.5922051447117836E-3</v>
      </c>
    </row>
    <row r="10021" spans="1:4" ht="16.5" hidden="1" x14ac:dyDescent="0.3">
      <c r="A10021" s="10" t="str">
        <f>基本属性!$B$5&amp;"|"&amp;基本属性!$C$5</f>
        <v>40|0</v>
      </c>
      <c r="B10021" s="10" t="str">
        <f>参数调整!$J$40</f>
        <v>新增怪物种类5掉落</v>
      </c>
      <c r="C10021" s="8" t="str">
        <f>材料产出!$AN$2</f>
        <v>极品注灵石</v>
      </c>
      <c r="D10021" s="224">
        <f>参数调整!$K$40*怪物掉落配置方案!$D4891</f>
        <v>3.2807596362758504E-3</v>
      </c>
    </row>
    <row r="10022" spans="1:4" ht="16.5" hidden="1" x14ac:dyDescent="0.3">
      <c r="A10022" s="10" t="str">
        <f>基本属性!$B$6&amp;"|"&amp;基本属性!$C$6</f>
        <v>50|0</v>
      </c>
      <c r="B10022" s="10" t="str">
        <f>参数调整!$J$40</f>
        <v>新增怪物种类5掉落</v>
      </c>
      <c r="C10022" s="8" t="str">
        <f>材料产出!$AN$2</f>
        <v>极品注灵石</v>
      </c>
      <c r="D10022" s="224">
        <f>参数调整!$K$40*怪物掉落配置方案!$D4892</f>
        <v>4.0503205386121614E-3</v>
      </c>
    </row>
    <row r="10023" spans="1:4" ht="16.5" hidden="1" x14ac:dyDescent="0.3">
      <c r="A10023" s="10" t="str">
        <f>基本属性!$B$7&amp;"|"&amp;基本属性!$C$7</f>
        <v>60|0</v>
      </c>
      <c r="B10023" s="10" t="str">
        <f>参数调整!$J$40</f>
        <v>新增怪物种类5掉落</v>
      </c>
      <c r="C10023" s="8" t="str">
        <f>材料产出!$AN$2</f>
        <v>极品注灵石</v>
      </c>
      <c r="D10023" s="224">
        <f>参数调整!$K$40*怪物掉落配置方案!$D4893</f>
        <v>4.9008878517207161E-3</v>
      </c>
    </row>
    <row r="10024" spans="1:4" ht="16.5" hidden="1" x14ac:dyDescent="0.3">
      <c r="A10024" s="10" t="str">
        <f>基本属性!$B$8&amp;"|"&amp;基本属性!$C$8</f>
        <v>65|0</v>
      </c>
      <c r="B10024" s="10" t="str">
        <f>参数调整!$J$40</f>
        <v>新增怪物种类5掉落</v>
      </c>
      <c r="C10024" s="8" t="str">
        <f>材料产出!$AN$2</f>
        <v>极品注灵石</v>
      </c>
      <c r="D10024" s="224">
        <f>参数调整!$K$40*怪物掉落配置方案!$D4894</f>
        <v>5.8324615756015115E-3</v>
      </c>
    </row>
    <row r="10025" spans="1:4" ht="16.5" hidden="1" x14ac:dyDescent="0.3">
      <c r="A10025" s="10" t="str">
        <f>基本属性!$B$9&amp;"|"&amp;基本属性!$C$9</f>
        <v>70|0</v>
      </c>
      <c r="B10025" s="10" t="str">
        <f>参数调整!$J$40</f>
        <v>新增怪物种类5掉落</v>
      </c>
      <c r="C10025" s="8" t="str">
        <f>材料产出!$AN$2</f>
        <v>极品注灵石</v>
      </c>
      <c r="D10025" s="224">
        <f>参数调整!$K$40*怪物掉落配置方案!$D4895</f>
        <v>6.8450417102545536E-3</v>
      </c>
    </row>
    <row r="10026" spans="1:4" ht="16.5" hidden="1" x14ac:dyDescent="0.3">
      <c r="A10026" s="10" t="str">
        <f>基本属性!$B$10&amp;"|"&amp;基本属性!$C$10</f>
        <v>75|0</v>
      </c>
      <c r="B10026" s="10" t="str">
        <f>参数调整!$J$40</f>
        <v>新增怪物种类5掉落</v>
      </c>
      <c r="C10026" s="8" t="str">
        <f>材料产出!$AN$2</f>
        <v>极品注灵石</v>
      </c>
      <c r="D10026" s="224">
        <f>参数调整!$K$40*怪物掉落配置方案!$D4896</f>
        <v>7.9386282556798346E-3</v>
      </c>
    </row>
    <row r="10027" spans="1:4" ht="16.5" hidden="1" x14ac:dyDescent="0.3">
      <c r="A10027" s="10" t="str">
        <f>基本属性!$B$11&amp;"|"&amp;基本属性!$C$11</f>
        <v>80|1</v>
      </c>
      <c r="B10027" s="10" t="str">
        <f>参数调整!$J$40</f>
        <v>新增怪物种类5掉落</v>
      </c>
      <c r="C10027" s="8" t="str">
        <f>材料产出!$AN$2</f>
        <v>极品注灵石</v>
      </c>
      <c r="D10027" s="224">
        <f>参数调整!$K$40*怪物掉落配置方案!$D4897</f>
        <v>9.1132212118773641E-3</v>
      </c>
    </row>
    <row r="10028" spans="1:4" ht="16.5" hidden="1" x14ac:dyDescent="0.3">
      <c r="A10028" s="10" t="str">
        <f>基本属性!$B$12&amp;"|"&amp;基本属性!$C$12</f>
        <v>90|2</v>
      </c>
      <c r="B10028" s="10" t="str">
        <f>参数调整!$J$40</f>
        <v>新增怪物种类5掉落</v>
      </c>
      <c r="C10028" s="8" t="str">
        <f>材料产出!$AN$2</f>
        <v>极品注灵石</v>
      </c>
      <c r="D10028" s="224">
        <f>参数调整!$K$40*怪物掉落配置方案!$D4898</f>
        <v>1.0368820578847136E-2</v>
      </c>
    </row>
    <row r="10029" spans="1:4" ht="16.5" hidden="1" x14ac:dyDescent="0.3">
      <c r="A10029" s="10" t="str">
        <f>基本属性!$B$13&amp;"|"&amp;基本属性!$C$13</f>
        <v>100|3</v>
      </c>
      <c r="B10029" s="10" t="str">
        <f>参数调整!$J$40</f>
        <v>新增怪物种类5掉落</v>
      </c>
      <c r="C10029" s="8" t="str">
        <f>材料产出!$AN$2</f>
        <v>极品注灵石</v>
      </c>
      <c r="D10029" s="224">
        <f>参数调整!$K$40*怪物掉落配置方案!$D4899</f>
        <v>1.3123038545103403E-2</v>
      </c>
    </row>
    <row r="10030" spans="1:4" ht="16.5" hidden="1" x14ac:dyDescent="0.3">
      <c r="A10030" s="10" t="str">
        <f>基本属性!$B$14&amp;"|"&amp;基本属性!$C$14</f>
        <v>105|4</v>
      </c>
      <c r="B10030" s="10" t="str">
        <f>参数调整!$J$40</f>
        <v>新增怪物种类5掉落</v>
      </c>
      <c r="C10030" s="8" t="str">
        <f>材料产出!$AN$2</f>
        <v>极品注灵石</v>
      </c>
      <c r="D10030" s="224">
        <f>参数调整!$K$40*怪物掉落配置方案!$D4900</f>
        <v>1.6201282154448646E-2</v>
      </c>
    </row>
    <row r="10031" spans="1:4" ht="16.5" hidden="1" x14ac:dyDescent="0.3">
      <c r="A10031" s="10" t="str">
        <f>基本属性!$B$15&amp;"|"&amp;基本属性!$C$15</f>
        <v>110|5</v>
      </c>
      <c r="B10031" s="10" t="str">
        <f>参数调整!$J$40</f>
        <v>新增怪物种类5掉落</v>
      </c>
      <c r="C10031" s="8" t="str">
        <f>材料产出!$AN$2</f>
        <v>极品注灵石</v>
      </c>
      <c r="D10031" s="224">
        <f>参数调整!$K$40*怪物掉落配置方案!$D4901</f>
        <v>1.9603551406882865E-2</v>
      </c>
    </row>
    <row r="10032" spans="1:4" ht="16.5" hidden="1" x14ac:dyDescent="0.3">
      <c r="A10032" s="10" t="str">
        <f>基本属性!$B$16&amp;"|"&amp;基本属性!$C$16</f>
        <v>120|6</v>
      </c>
      <c r="B10032" s="10" t="str">
        <f>参数调整!$J$40</f>
        <v>新增怪物种类5掉落</v>
      </c>
      <c r="C10032" s="8" t="str">
        <f>材料产出!$AN$2</f>
        <v>极品注灵石</v>
      </c>
      <c r="D10032" s="224">
        <f>参数调整!$K$40*怪物掉落配置方案!$D4902</f>
        <v>2.531450336632601E-2</v>
      </c>
    </row>
    <row r="10033" spans="1:4" ht="16.5" hidden="1" x14ac:dyDescent="0.3">
      <c r="A10033" s="10" t="str">
        <f>基本属性!$B$17&amp;"|"&amp;基本属性!$C$17</f>
        <v>135|7</v>
      </c>
      <c r="B10033" s="10" t="str">
        <f>参数调整!$J$40</f>
        <v>新增怪物种类5掉落</v>
      </c>
      <c r="C10033" s="8" t="str">
        <f>材料产出!$AN$2</f>
        <v>极品注灵石</v>
      </c>
      <c r="D10033" s="224">
        <f>参数调整!$K$40*怪物掉落配置方案!$D4903</f>
        <v>3.6452884847509449E-2</v>
      </c>
    </row>
    <row r="10034" spans="1:4" ht="16.5" hidden="1" x14ac:dyDescent="0.3">
      <c r="A10034" s="10" t="str">
        <f>基本属性!$B$18&amp;"|"&amp;基本属性!$C$18</f>
        <v>155|8</v>
      </c>
      <c r="B10034" s="10" t="str">
        <f>参数调整!$J$40</f>
        <v>新增怪物种类5掉落</v>
      </c>
      <c r="C10034" s="8" t="str">
        <f>材料产出!$AN$2</f>
        <v>极品注灵石</v>
      </c>
      <c r="D10034" s="224">
        <f>参数调整!$K$40*怪物掉落配置方案!$D4904</f>
        <v>4.9616426597998982E-2</v>
      </c>
    </row>
    <row r="10035" spans="1:4" ht="16.5" hidden="1" x14ac:dyDescent="0.3">
      <c r="A10035" s="10" t="str">
        <f>基本属性!$B$19&amp;"|"&amp;基本属性!$C$19</f>
        <v>190|9</v>
      </c>
      <c r="B10035" s="10" t="str">
        <f>参数调整!$J$40</f>
        <v>新增怪物种类5掉落</v>
      </c>
      <c r="C10035" s="8" t="str">
        <f>材料产出!$AN$2</f>
        <v>极品注灵石</v>
      </c>
      <c r="D10035" s="224">
        <f>参数调整!$K$40*怪物掉落配置方案!$D4905</f>
        <v>5.5448888173600497E-2</v>
      </c>
    </row>
    <row r="10036" spans="1:4" ht="16.5" hidden="1" x14ac:dyDescent="0.3">
      <c r="A10036" s="10" t="str">
        <f>基本属性!$B$20&amp;"|"&amp;基本属性!$C$20</f>
        <v>200|10</v>
      </c>
      <c r="B10036" s="10" t="str">
        <f>参数调整!$J$40</f>
        <v>新增怪物种类5掉落</v>
      </c>
      <c r="C10036" s="8" t="str">
        <f>材料产出!$AN$2</f>
        <v>极品注灵石</v>
      </c>
      <c r="D10036" s="224">
        <f>参数调整!$K$40*怪物掉落配置方案!$D4906</f>
        <v>6.4805128617794583E-2</v>
      </c>
    </row>
    <row r="10037" spans="1:4" ht="16.5" hidden="1" x14ac:dyDescent="0.3">
      <c r="A10037" s="10" t="str">
        <f>基本属性!$B$21&amp;"|"&amp;基本属性!$C$21</f>
        <v>200|11</v>
      </c>
      <c r="B10037" s="10" t="str">
        <f>参数调整!$J$40</f>
        <v>新增怪物种类5掉落</v>
      </c>
      <c r="C10037" s="8" t="str">
        <f>材料产出!$AN$2</f>
        <v>极品注灵石</v>
      </c>
      <c r="D10037" s="224">
        <f>参数调整!$K$40*怪物掉落配置方案!$D4907</f>
        <v>7.4890426758938852E-2</v>
      </c>
    </row>
    <row r="10038" spans="1:4" ht="16.5" hidden="1" x14ac:dyDescent="0.3">
      <c r="A10038" s="10" t="str">
        <f>基本属性!$B$22&amp;"|"&amp;基本属性!$C$22</f>
        <v>210|12</v>
      </c>
      <c r="B10038" s="10" t="str">
        <f>参数调整!$J$40</f>
        <v>新增怪物种类5掉落</v>
      </c>
      <c r="C10038" s="8" t="str">
        <f>材料产出!$AN$2</f>
        <v>极品注灵石</v>
      </c>
      <c r="D10038" s="224">
        <f>参数调整!$K$40*怪物掉落配置方案!$D4908</f>
        <v>8.5704782597033333E-2</v>
      </c>
    </row>
    <row r="10039" spans="1:4" ht="16.5" hidden="1" x14ac:dyDescent="0.3">
      <c r="A10039" s="10" t="str">
        <f>基本属性!$B$23&amp;"|"&amp;基本属性!$C$23</f>
        <v>210|13</v>
      </c>
      <c r="B10039" s="10" t="str">
        <f>参数调整!$J$40</f>
        <v>新增怪物种类5掉落</v>
      </c>
      <c r="C10039" s="8" t="str">
        <f>材料产出!$AN$2</f>
        <v>极品注灵石</v>
      </c>
      <c r="D10039" s="224">
        <f>参数调整!$K$40*怪物掉落配置方案!$D4909</f>
        <v>9.7248196132077996E-2</v>
      </c>
    </row>
    <row r="10040" spans="1:4" ht="16.5" hidden="1" x14ac:dyDescent="0.3">
      <c r="A10040" s="10" t="str">
        <f>基本属性!$B$24&amp;"|"&amp;基本属性!$C$24</f>
        <v>220|14</v>
      </c>
      <c r="B10040" s="10" t="str">
        <f>参数调整!$J$40</f>
        <v>新增怪物种类5掉落</v>
      </c>
      <c r="C10040" s="8" t="str">
        <f>材料产出!$AN$2</f>
        <v>极品注灵石</v>
      </c>
      <c r="D10040" s="224">
        <f>参数调整!$K$40*怪物掉落配置方案!$D4910</f>
        <v>0.10952066736407286</v>
      </c>
    </row>
    <row r="10041" spans="1:4" ht="16.5" hidden="1" x14ac:dyDescent="0.3">
      <c r="A10041" s="10" t="str">
        <f>基本属性!$B$25&amp;"|"&amp;基本属性!$C$25</f>
        <v>220|15</v>
      </c>
      <c r="B10041" s="10" t="str">
        <f>参数调整!$J$40</f>
        <v>新增怪物种类5掉落</v>
      </c>
      <c r="C10041" s="8" t="str">
        <f>材料产出!$AN$2</f>
        <v>极品注灵石</v>
      </c>
      <c r="D10041" s="224">
        <f>参数调整!$K$40*怪物掉落配置方案!$D4911</f>
        <v>0.12252219629301786</v>
      </c>
    </row>
    <row r="10042" spans="1:4" ht="16.5" hidden="1" x14ac:dyDescent="0.3">
      <c r="A10042" s="10" t="str">
        <f>基本属性!$B$26&amp;"|"&amp;基本属性!$C$26</f>
        <v>230|16</v>
      </c>
      <c r="B10042" s="10" t="str">
        <f>参数调整!$J$40</f>
        <v>新增怪物种类5掉落</v>
      </c>
      <c r="C10042" s="8" t="str">
        <f>材料产出!$AN$2</f>
        <v>极品注灵石</v>
      </c>
      <c r="D10042" s="224">
        <f>参数调整!$K$40*怪物掉落配置方案!$D4912</f>
        <v>0.1362527829189131</v>
      </c>
    </row>
    <row r="10043" spans="1:4" ht="16.5" hidden="1" x14ac:dyDescent="0.3">
      <c r="A10043" s="10" t="str">
        <f>基本属性!$B$27&amp;"|"&amp;基本属性!$C$27</f>
        <v>230|17</v>
      </c>
      <c r="B10043" s="10" t="str">
        <f>参数调整!$J$40</f>
        <v>新增怪物种类5掉落</v>
      </c>
      <c r="C10043" s="8" t="str">
        <f>材料产出!$AN$2</f>
        <v>极品注灵石</v>
      </c>
      <c r="D10043" s="224">
        <f>参数调整!$K$40*怪物掉落配置方案!$D4913</f>
        <v>0.15071242724175848</v>
      </c>
    </row>
    <row r="10044" spans="1:4" ht="16.5" hidden="1" x14ac:dyDescent="0.3">
      <c r="A10044" s="10" t="str">
        <f>基本属性!$B$28&amp;"|"&amp;基本属性!$C$28</f>
        <v>240|18</v>
      </c>
      <c r="B10044" s="10" t="str">
        <f>参数调整!$J$40</f>
        <v>新增怪物种类5掉落</v>
      </c>
      <c r="C10044" s="8" t="str">
        <f>材料产出!$AN$2</f>
        <v>极品注灵石</v>
      </c>
      <c r="D10044" s="224">
        <f>参数调整!$K$40*怪物掉落配置方案!$D4914</f>
        <v>0.16590112926155418</v>
      </c>
    </row>
    <row r="10045" spans="1:4" ht="16.5" hidden="1" x14ac:dyDescent="0.3">
      <c r="A10045" s="10" t="str">
        <f>基本属性!$B$29&amp;"|"&amp;基本属性!$C$29</f>
        <v>240|19</v>
      </c>
      <c r="B10045" s="10" t="str">
        <f>参数调整!$J$40</f>
        <v>新增怪物种类5掉落</v>
      </c>
      <c r="C10045" s="8" t="str">
        <f>材料产出!$AN$2</f>
        <v>极品注灵石</v>
      </c>
      <c r="D10045" s="224">
        <f>参数调整!$K$40*怪物掉落配置方案!$D4915</f>
        <v>0.18181888897829995</v>
      </c>
    </row>
    <row r="10046" spans="1:4" ht="16.5" hidden="1" x14ac:dyDescent="0.3">
      <c r="A10046" s="10" t="str">
        <f>基本属性!$B$30&amp;"|"&amp;基本属性!$C$30</f>
        <v>250|20</v>
      </c>
      <c r="B10046" s="10" t="str">
        <f>参数调整!$J$40</f>
        <v>新增怪物种类5掉落</v>
      </c>
      <c r="C10046" s="8" t="str">
        <f>材料产出!$AN$2</f>
        <v>极品注灵石</v>
      </c>
      <c r="D10046" s="224">
        <f>参数调整!$K$40*怪物掉落配置方案!$D4916</f>
        <v>0.19846570639199587</v>
      </c>
    </row>
    <row r="10047" spans="1:4" ht="16.5" hidden="1" x14ac:dyDescent="0.3">
      <c r="A10047" s="10" t="str">
        <f>基本属性!$B$4&amp;"|"&amp;基本属性!$C$4</f>
        <v>35|0</v>
      </c>
      <c r="B10047" s="10" t="str">
        <f>参数调整!$J$40</f>
        <v>新增怪物种类5掉落</v>
      </c>
      <c r="C10047" s="8" t="str">
        <f>材料产出!$HV$2</f>
        <v>基本装备</v>
      </c>
      <c r="D10047" s="224">
        <f>参数调整!$K$40*怪物掉落配置方案!$D4917</f>
        <v>0</v>
      </c>
    </row>
    <row r="10048" spans="1:4" ht="16.5" hidden="1" x14ac:dyDescent="0.3">
      <c r="A10048" s="10" t="str">
        <f>基本属性!$B$5&amp;"|"&amp;基本属性!$C$5</f>
        <v>40|0</v>
      </c>
      <c r="B10048" s="10" t="str">
        <f>参数调整!$J$40</f>
        <v>新增怪物种类5掉落</v>
      </c>
      <c r="C10048" s="8" t="str">
        <f>材料产出!$HV$2</f>
        <v>基本装备</v>
      </c>
      <c r="D10048" s="224">
        <f>参数调整!$K$40*怪物掉落配置方案!$D4918</f>
        <v>0</v>
      </c>
    </row>
    <row r="10049" spans="1:4" ht="16.5" hidden="1" x14ac:dyDescent="0.3">
      <c r="A10049" s="10" t="str">
        <f>基本属性!$B$6&amp;"|"&amp;基本属性!$C$6</f>
        <v>50|0</v>
      </c>
      <c r="B10049" s="10" t="str">
        <f>参数调整!$J$40</f>
        <v>新增怪物种类5掉落</v>
      </c>
      <c r="C10049" s="8" t="str">
        <f>材料产出!$HV$2</f>
        <v>基本装备</v>
      </c>
      <c r="D10049" s="224">
        <f>参数调整!$K$40*怪物掉落配置方案!$D4919</f>
        <v>0</v>
      </c>
    </row>
    <row r="10050" spans="1:4" ht="16.5" hidden="1" x14ac:dyDescent="0.3">
      <c r="A10050" s="10" t="str">
        <f>基本属性!$B$7&amp;"|"&amp;基本属性!$C$7</f>
        <v>60|0</v>
      </c>
      <c r="B10050" s="10" t="str">
        <f>参数调整!$J$40</f>
        <v>新增怪物种类5掉落</v>
      </c>
      <c r="C10050" s="8" t="str">
        <f>材料产出!$HV$2</f>
        <v>基本装备</v>
      </c>
      <c r="D10050" s="224">
        <f>参数调整!$K$40*怪物掉落配置方案!$D4920</f>
        <v>0</v>
      </c>
    </row>
    <row r="10051" spans="1:4" ht="16.5" hidden="1" x14ac:dyDescent="0.3">
      <c r="A10051" s="10" t="str">
        <f>基本属性!$B$8&amp;"|"&amp;基本属性!$C$8</f>
        <v>65|0</v>
      </c>
      <c r="B10051" s="10" t="str">
        <f>参数调整!$J$40</f>
        <v>新增怪物种类5掉落</v>
      </c>
      <c r="C10051" s="8" t="str">
        <f>材料产出!$HV$2</f>
        <v>基本装备</v>
      </c>
      <c r="D10051" s="224">
        <f>参数调整!$K$40*怪物掉落配置方案!$D4921</f>
        <v>0</v>
      </c>
    </row>
    <row r="10052" spans="1:4" ht="16.5" hidden="1" x14ac:dyDescent="0.3">
      <c r="A10052" s="10" t="str">
        <f>基本属性!$B$9&amp;"|"&amp;基本属性!$C$9</f>
        <v>70|0</v>
      </c>
      <c r="B10052" s="10" t="str">
        <f>参数调整!$J$40</f>
        <v>新增怪物种类5掉落</v>
      </c>
      <c r="C10052" s="8" t="str">
        <f>材料产出!$HV$2</f>
        <v>基本装备</v>
      </c>
      <c r="D10052" s="224">
        <f>参数调整!$K$40*怪物掉落配置方案!$D4922</f>
        <v>0</v>
      </c>
    </row>
    <row r="10053" spans="1:4" ht="16.5" hidden="1" x14ac:dyDescent="0.3">
      <c r="A10053" s="10" t="str">
        <f>基本属性!$B$10&amp;"|"&amp;基本属性!$C$10</f>
        <v>75|0</v>
      </c>
      <c r="B10053" s="10" t="str">
        <f>参数调整!$J$40</f>
        <v>新增怪物种类5掉落</v>
      </c>
      <c r="C10053" s="8" t="str">
        <f>材料产出!$HV$2</f>
        <v>基本装备</v>
      </c>
      <c r="D10053" s="224">
        <f>参数调整!$K$40*怪物掉落配置方案!$D4923</f>
        <v>0</v>
      </c>
    </row>
    <row r="10054" spans="1:4" ht="16.5" hidden="1" x14ac:dyDescent="0.3">
      <c r="A10054" s="10" t="str">
        <f>基本属性!$B$11&amp;"|"&amp;基本属性!$C$11</f>
        <v>80|1</v>
      </c>
      <c r="B10054" s="10" t="str">
        <f>参数调整!$J$40</f>
        <v>新增怪物种类5掉落</v>
      </c>
      <c r="C10054" s="8" t="str">
        <f>材料产出!$HV$2</f>
        <v>基本装备</v>
      </c>
      <c r="D10054" s="224">
        <f>参数调整!$K$40*怪物掉落配置方案!$D4924</f>
        <v>0</v>
      </c>
    </row>
    <row r="10055" spans="1:4" ht="16.5" hidden="1" x14ac:dyDescent="0.3">
      <c r="A10055" s="10" t="str">
        <f>基本属性!$B$12&amp;"|"&amp;基本属性!$C$12</f>
        <v>90|2</v>
      </c>
      <c r="B10055" s="10" t="str">
        <f>参数调整!$J$40</f>
        <v>新增怪物种类5掉落</v>
      </c>
      <c r="C10055" s="8" t="str">
        <f>材料产出!$HV$2</f>
        <v>基本装备</v>
      </c>
      <c r="D10055" s="224">
        <f>参数调整!$K$40*怪物掉落配置方案!$D4925</f>
        <v>0</v>
      </c>
    </row>
    <row r="10056" spans="1:4" ht="16.5" hidden="1" x14ac:dyDescent="0.3">
      <c r="A10056" s="10" t="str">
        <f>基本属性!$B$13&amp;"|"&amp;基本属性!$C$13</f>
        <v>100|3</v>
      </c>
      <c r="B10056" s="10" t="str">
        <f>参数调整!$J$40</f>
        <v>新增怪物种类5掉落</v>
      </c>
      <c r="C10056" s="8" t="str">
        <f>材料产出!$HV$2</f>
        <v>基本装备</v>
      </c>
      <c r="D10056" s="224">
        <f>参数调整!$K$40*怪物掉落配置方案!$D4926</f>
        <v>0</v>
      </c>
    </row>
    <row r="10057" spans="1:4" ht="16.5" hidden="1" x14ac:dyDescent="0.3">
      <c r="A10057" s="10" t="str">
        <f>基本属性!$B$14&amp;"|"&amp;基本属性!$C$14</f>
        <v>105|4</v>
      </c>
      <c r="B10057" s="10" t="str">
        <f>参数调整!$J$40</f>
        <v>新增怪物种类5掉落</v>
      </c>
      <c r="C10057" s="8" t="str">
        <f>材料产出!$HV$2</f>
        <v>基本装备</v>
      </c>
      <c r="D10057" s="224">
        <f>参数调整!$K$40*怪物掉落配置方案!$D4927</f>
        <v>0</v>
      </c>
    </row>
    <row r="10058" spans="1:4" ht="16.5" hidden="1" x14ac:dyDescent="0.3">
      <c r="A10058" s="10" t="str">
        <f>基本属性!$B$15&amp;"|"&amp;基本属性!$C$15</f>
        <v>110|5</v>
      </c>
      <c r="B10058" s="10" t="str">
        <f>参数调整!$J$40</f>
        <v>新增怪物种类5掉落</v>
      </c>
      <c r="C10058" s="8" t="str">
        <f>材料产出!$HV$2</f>
        <v>基本装备</v>
      </c>
      <c r="D10058" s="224">
        <f>参数调整!$K$40*怪物掉落配置方案!$D4928</f>
        <v>0</v>
      </c>
    </row>
    <row r="10059" spans="1:4" ht="16.5" hidden="1" x14ac:dyDescent="0.3">
      <c r="A10059" s="10" t="str">
        <f>基本属性!$B$16&amp;"|"&amp;基本属性!$C$16</f>
        <v>120|6</v>
      </c>
      <c r="B10059" s="10" t="str">
        <f>参数调整!$J$40</f>
        <v>新增怪物种类5掉落</v>
      </c>
      <c r="C10059" s="8" t="str">
        <f>材料产出!$HV$2</f>
        <v>基本装备</v>
      </c>
      <c r="D10059" s="224">
        <f>参数调整!$K$40*怪物掉落配置方案!$D4929</f>
        <v>0</v>
      </c>
    </row>
    <row r="10060" spans="1:4" ht="16.5" hidden="1" x14ac:dyDescent="0.3">
      <c r="A10060" s="10" t="str">
        <f>基本属性!$B$17&amp;"|"&amp;基本属性!$C$17</f>
        <v>135|7</v>
      </c>
      <c r="B10060" s="10" t="str">
        <f>参数调整!$J$40</f>
        <v>新增怪物种类5掉落</v>
      </c>
      <c r="C10060" s="8" t="str">
        <f>材料产出!$HV$2</f>
        <v>基本装备</v>
      </c>
      <c r="D10060" s="224">
        <f>参数调整!$K$40*怪物掉落配置方案!$D4930</f>
        <v>0</v>
      </c>
    </row>
    <row r="10061" spans="1:4" ht="16.5" hidden="1" x14ac:dyDescent="0.3">
      <c r="A10061" s="10" t="str">
        <f>基本属性!$B$18&amp;"|"&amp;基本属性!$C$18</f>
        <v>155|8</v>
      </c>
      <c r="B10061" s="10" t="str">
        <f>参数调整!$J$40</f>
        <v>新增怪物种类5掉落</v>
      </c>
      <c r="C10061" s="8" t="str">
        <f>材料产出!$HV$2</f>
        <v>基本装备</v>
      </c>
      <c r="D10061" s="224">
        <f>参数调整!$K$40*怪物掉落配置方案!$D4931</f>
        <v>0</v>
      </c>
    </row>
    <row r="10062" spans="1:4" ht="16.5" hidden="1" x14ac:dyDescent="0.3">
      <c r="A10062" s="10" t="str">
        <f>基本属性!$B$19&amp;"|"&amp;基本属性!$C$19</f>
        <v>190|9</v>
      </c>
      <c r="B10062" s="10" t="str">
        <f>参数调整!$J$40</f>
        <v>新增怪物种类5掉落</v>
      </c>
      <c r="C10062" s="8" t="str">
        <f>材料产出!$HV$2</f>
        <v>基本装备</v>
      </c>
      <c r="D10062" s="224">
        <f>参数调整!$K$40*怪物掉落配置方案!$D4932</f>
        <v>0</v>
      </c>
    </row>
    <row r="10063" spans="1:4" ht="16.5" hidden="1" x14ac:dyDescent="0.3">
      <c r="A10063" s="10" t="str">
        <f>基本属性!$B$20&amp;"|"&amp;基本属性!$C$20</f>
        <v>200|10</v>
      </c>
      <c r="B10063" s="10" t="str">
        <f>参数调整!$J$40</f>
        <v>新增怪物种类5掉落</v>
      </c>
      <c r="C10063" s="8" t="str">
        <f>材料产出!$HV$2</f>
        <v>基本装备</v>
      </c>
      <c r="D10063" s="224">
        <f>参数调整!$K$40*怪物掉落配置方案!$D4933</f>
        <v>0</v>
      </c>
    </row>
    <row r="10064" spans="1:4" ht="16.5" hidden="1" x14ac:dyDescent="0.3">
      <c r="A10064" s="10" t="str">
        <f>基本属性!$B$21&amp;"|"&amp;基本属性!$C$21</f>
        <v>200|11</v>
      </c>
      <c r="B10064" s="10" t="str">
        <f>参数调整!$J$40</f>
        <v>新增怪物种类5掉落</v>
      </c>
      <c r="C10064" s="8" t="str">
        <f>材料产出!$HV$2</f>
        <v>基本装备</v>
      </c>
      <c r="D10064" s="224">
        <f>参数调整!$K$40*怪物掉落配置方案!$D4934</f>
        <v>0</v>
      </c>
    </row>
    <row r="10065" spans="1:4" ht="16.5" hidden="1" x14ac:dyDescent="0.3">
      <c r="A10065" s="10" t="str">
        <f>基本属性!$B$22&amp;"|"&amp;基本属性!$C$22</f>
        <v>210|12</v>
      </c>
      <c r="B10065" s="10" t="str">
        <f>参数调整!$J$40</f>
        <v>新增怪物种类5掉落</v>
      </c>
      <c r="C10065" s="8" t="str">
        <f>材料产出!$HV$2</f>
        <v>基本装备</v>
      </c>
      <c r="D10065" s="224">
        <f>参数调整!$K$40*怪物掉落配置方案!$D4935</f>
        <v>0</v>
      </c>
    </row>
    <row r="10066" spans="1:4" ht="16.5" hidden="1" x14ac:dyDescent="0.3">
      <c r="A10066" s="10" t="str">
        <f>基本属性!$B$23&amp;"|"&amp;基本属性!$C$23</f>
        <v>210|13</v>
      </c>
      <c r="B10066" s="10" t="str">
        <f>参数调整!$J$40</f>
        <v>新增怪物种类5掉落</v>
      </c>
      <c r="C10066" s="8" t="str">
        <f>材料产出!$HV$2</f>
        <v>基本装备</v>
      </c>
      <c r="D10066" s="224">
        <f>参数调整!$K$40*怪物掉落配置方案!$D4936</f>
        <v>0</v>
      </c>
    </row>
    <row r="10067" spans="1:4" ht="16.5" hidden="1" x14ac:dyDescent="0.3">
      <c r="A10067" s="10" t="str">
        <f>基本属性!$B$24&amp;"|"&amp;基本属性!$C$24</f>
        <v>220|14</v>
      </c>
      <c r="B10067" s="10" t="str">
        <f>参数调整!$J$40</f>
        <v>新增怪物种类5掉落</v>
      </c>
      <c r="C10067" s="8" t="str">
        <f>材料产出!$HV$2</f>
        <v>基本装备</v>
      </c>
      <c r="D10067" s="224">
        <f>参数调整!$K$40*怪物掉落配置方案!$D4937</f>
        <v>0</v>
      </c>
    </row>
    <row r="10068" spans="1:4" ht="16.5" hidden="1" x14ac:dyDescent="0.3">
      <c r="A10068" s="10" t="str">
        <f>基本属性!$B$25&amp;"|"&amp;基本属性!$C$25</f>
        <v>220|15</v>
      </c>
      <c r="B10068" s="10" t="str">
        <f>参数调整!$J$40</f>
        <v>新增怪物种类5掉落</v>
      </c>
      <c r="C10068" s="8" t="str">
        <f>材料产出!$HV$2</f>
        <v>基本装备</v>
      </c>
      <c r="D10068" s="224">
        <f>参数调整!$K$40*怪物掉落配置方案!$D4938</f>
        <v>0</v>
      </c>
    </row>
    <row r="10069" spans="1:4" ht="16.5" hidden="1" x14ac:dyDescent="0.3">
      <c r="A10069" s="10" t="str">
        <f>基本属性!$B$26&amp;"|"&amp;基本属性!$C$26</f>
        <v>230|16</v>
      </c>
      <c r="B10069" s="10" t="str">
        <f>参数调整!$J$40</f>
        <v>新增怪物种类5掉落</v>
      </c>
      <c r="C10069" s="8" t="str">
        <f>材料产出!$HV$2</f>
        <v>基本装备</v>
      </c>
      <c r="D10069" s="224">
        <f>参数调整!$K$40*怪物掉落配置方案!$D4939</f>
        <v>0</v>
      </c>
    </row>
    <row r="10070" spans="1:4" ht="16.5" hidden="1" x14ac:dyDescent="0.3">
      <c r="A10070" s="10" t="str">
        <f>基本属性!$B$27&amp;"|"&amp;基本属性!$C$27</f>
        <v>230|17</v>
      </c>
      <c r="B10070" s="10" t="str">
        <f>参数调整!$J$40</f>
        <v>新增怪物种类5掉落</v>
      </c>
      <c r="C10070" s="8" t="str">
        <f>材料产出!$HV$2</f>
        <v>基本装备</v>
      </c>
      <c r="D10070" s="224">
        <f>参数调整!$K$40*怪物掉落配置方案!$D4940</f>
        <v>0</v>
      </c>
    </row>
    <row r="10071" spans="1:4" ht="16.5" hidden="1" x14ac:dyDescent="0.3">
      <c r="A10071" s="10" t="str">
        <f>基本属性!$B$28&amp;"|"&amp;基本属性!$C$28</f>
        <v>240|18</v>
      </c>
      <c r="B10071" s="10" t="str">
        <f>参数调整!$J$40</f>
        <v>新增怪物种类5掉落</v>
      </c>
      <c r="C10071" s="8" t="str">
        <f>材料产出!$HV$2</f>
        <v>基本装备</v>
      </c>
      <c r="D10071" s="224">
        <f>参数调整!$K$40*怪物掉落配置方案!$D4941</f>
        <v>0</v>
      </c>
    </row>
    <row r="10072" spans="1:4" ht="16.5" hidden="1" x14ac:dyDescent="0.3">
      <c r="A10072" s="10" t="str">
        <f>基本属性!$B$29&amp;"|"&amp;基本属性!$C$29</f>
        <v>240|19</v>
      </c>
      <c r="B10072" s="10" t="str">
        <f>参数调整!$J$40</f>
        <v>新增怪物种类5掉落</v>
      </c>
      <c r="C10072" s="8" t="str">
        <f>材料产出!$HV$2</f>
        <v>基本装备</v>
      </c>
      <c r="D10072" s="224">
        <f>参数调整!$K$40*怪物掉落配置方案!$D4942</f>
        <v>0</v>
      </c>
    </row>
    <row r="10073" spans="1:4" ht="16.5" hidden="1" x14ac:dyDescent="0.3">
      <c r="A10073" s="10" t="str">
        <f>基本属性!$B$30&amp;"|"&amp;基本属性!$C$30</f>
        <v>250|20</v>
      </c>
      <c r="B10073" s="10" t="str">
        <f>参数调整!$J$40</f>
        <v>新增怪物种类5掉落</v>
      </c>
      <c r="C10073" s="8" t="str">
        <f>材料产出!$HV$2</f>
        <v>基本装备</v>
      </c>
      <c r="D10073" s="224">
        <f>参数调整!$K$40*怪物掉落配置方案!$D4943</f>
        <v>0</v>
      </c>
    </row>
    <row r="10074" spans="1:4" ht="16.5" hidden="1" x14ac:dyDescent="0.3">
      <c r="A10074" s="10" t="str">
        <f>基本属性!$B$4&amp;"|"&amp;基本属性!$C$4</f>
        <v>35|0</v>
      </c>
      <c r="B10074" s="10" t="str">
        <f>参数调整!$J$40</f>
        <v>新增怪物种类5掉落</v>
      </c>
      <c r="C10074" s="8" t="str">
        <f>材料产出!$AP$2</f>
        <v>火龙气息</v>
      </c>
      <c r="D10074" s="224">
        <f>参数调整!$K$40*怪物掉落配置方案!$D4944</f>
        <v>1.2298418705647925E-3</v>
      </c>
    </row>
    <row r="10075" spans="1:4" ht="16.5" hidden="1" x14ac:dyDescent="0.3">
      <c r="A10075" s="10" t="str">
        <f>基本属性!$B$5&amp;"|"&amp;基本属性!$C$5</f>
        <v>40|0</v>
      </c>
      <c r="B10075" s="10" t="str">
        <f>参数调整!$J$40</f>
        <v>新增怪物种类5掉落</v>
      </c>
      <c r="C10075" s="8" t="str">
        <f>材料产出!$AP$2</f>
        <v>火龙气息</v>
      </c>
      <c r="D10075" s="224">
        <f>参数调整!$K$40*怪物掉落配置方案!$D4945</f>
        <v>1.5565186174335654E-3</v>
      </c>
    </row>
    <row r="10076" spans="1:4" ht="16.5" hidden="1" x14ac:dyDescent="0.3">
      <c r="A10076" s="10" t="str">
        <f>基本属性!$B$6&amp;"|"&amp;基本属性!$C$6</f>
        <v>50|0</v>
      </c>
      <c r="B10076" s="10" t="str">
        <f>参数调整!$J$40</f>
        <v>新增怪物种类5掉落</v>
      </c>
      <c r="C10076" s="8" t="str">
        <f>材料产出!$AP$2</f>
        <v>火龙气息</v>
      </c>
      <c r="D10076" s="224">
        <f>参数调整!$K$40*怪物掉落配置方案!$D4946</f>
        <v>1.9216279227574884E-3</v>
      </c>
    </row>
    <row r="10077" spans="1:4" ht="16.5" hidden="1" x14ac:dyDescent="0.3">
      <c r="A10077" s="10" t="str">
        <f>基本属性!$B$7&amp;"|"&amp;基本属性!$C$7</f>
        <v>60|0</v>
      </c>
      <c r="B10077" s="10" t="str">
        <f>参数调整!$J$40</f>
        <v>新增怪物种类5掉落</v>
      </c>
      <c r="C10077" s="8" t="str">
        <f>材料产出!$AP$2</f>
        <v>火龙气息</v>
      </c>
      <c r="D10077" s="224">
        <f>参数调整!$K$40*怪物掉落配置方案!$D4947</f>
        <v>2.3251697865365613E-3</v>
      </c>
    </row>
    <row r="10078" spans="1:4" ht="16.5" hidden="1" x14ac:dyDescent="0.3">
      <c r="A10078" s="10" t="str">
        <f>基本属性!$B$8&amp;"|"&amp;基本属性!$C$8</f>
        <v>65|0</v>
      </c>
      <c r="B10078" s="10" t="str">
        <f>参数调整!$J$40</f>
        <v>新增怪物种类5掉落</v>
      </c>
      <c r="C10078" s="8" t="str">
        <f>材料产出!$AP$2</f>
        <v>火龙气息</v>
      </c>
      <c r="D10078" s="224">
        <f>参数调整!$K$40*怪物掉落配置方案!$D4948</f>
        <v>2.7671442087707832E-3</v>
      </c>
    </row>
    <row r="10079" spans="1:4" ht="16.5" hidden="1" x14ac:dyDescent="0.3">
      <c r="A10079" s="10" t="str">
        <f>基本属性!$B$9&amp;"|"&amp;基本属性!$C$9</f>
        <v>70|0</v>
      </c>
      <c r="B10079" s="10" t="str">
        <f>参数调整!$J$40</f>
        <v>新增怪物种类5掉落</v>
      </c>
      <c r="C10079" s="8" t="str">
        <f>材料产出!$AP$2</f>
        <v>火龙气息</v>
      </c>
      <c r="D10079" s="224">
        <f>参数调整!$K$40*怪物掉落配置方案!$D4949</f>
        <v>3.247551189460155E-3</v>
      </c>
    </row>
    <row r="10080" spans="1:4" ht="16.5" hidden="1" x14ac:dyDescent="0.3">
      <c r="A10080" s="10" t="str">
        <f>基本属性!$B$10&amp;"|"&amp;基本属性!$C$10</f>
        <v>75|0</v>
      </c>
      <c r="B10080" s="10" t="str">
        <f>参数调整!$J$40</f>
        <v>新增怪物种类5掉落</v>
      </c>
      <c r="C10080" s="8" t="str">
        <f>材料产出!$AP$2</f>
        <v>火龙气息</v>
      </c>
      <c r="D10080" s="224">
        <f>参数调整!$K$40*怪物掉落配置方案!$D4950</f>
        <v>3.7663907286046763E-3</v>
      </c>
    </row>
    <row r="10081" spans="1:4" ht="16.5" hidden="1" x14ac:dyDescent="0.3">
      <c r="A10081" s="10" t="str">
        <f>基本属性!$B$11&amp;"|"&amp;基本属性!$C$11</f>
        <v>80|1</v>
      </c>
      <c r="B10081" s="10" t="str">
        <f>参数调整!$J$40</f>
        <v>新增怪物种类5掉落</v>
      </c>
      <c r="C10081" s="8" t="str">
        <f>材料产出!$AP$2</f>
        <v>火龙气息</v>
      </c>
      <c r="D10081" s="224">
        <f>参数调整!$K$40*怪物掉落配置方案!$D4951</f>
        <v>4.3236628262043487E-3</v>
      </c>
    </row>
    <row r="10082" spans="1:4" ht="16.5" hidden="1" x14ac:dyDescent="0.3">
      <c r="A10082" s="10" t="str">
        <f>基本属性!$B$12&amp;"|"&amp;基本属性!$C$12</f>
        <v>90|2</v>
      </c>
      <c r="B10082" s="10" t="str">
        <f>参数调整!$J$40</f>
        <v>新增怪物种类5掉落</v>
      </c>
      <c r="C10082" s="8" t="str">
        <f>材料产出!$AP$2</f>
        <v>火龙气息</v>
      </c>
      <c r="D10082" s="224">
        <f>参数调整!$K$40*怪物掉落配置方案!$D4952</f>
        <v>4.9193674822591701E-3</v>
      </c>
    </row>
    <row r="10083" spans="1:4" ht="16.5" hidden="1" x14ac:dyDescent="0.3">
      <c r="A10083" s="10" t="str">
        <f>基本属性!$B$13&amp;"|"&amp;基本属性!$C$13</f>
        <v>100|3</v>
      </c>
      <c r="B10083" s="10" t="str">
        <f>参数调整!$J$40</f>
        <v>新增怪物种类5掉落</v>
      </c>
      <c r="C10083" s="8" t="str">
        <f>材料产出!$AP$2</f>
        <v>火龙气息</v>
      </c>
      <c r="D10083" s="224">
        <f>参数调整!$K$40*怪物掉落配置方案!$D4953</f>
        <v>6.2260744697342617E-3</v>
      </c>
    </row>
    <row r="10084" spans="1:4" ht="16.5" hidden="1" x14ac:dyDescent="0.3">
      <c r="A10084" s="10" t="str">
        <f>基本属性!$B$14&amp;"|"&amp;基本属性!$C$14</f>
        <v>105|4</v>
      </c>
      <c r="B10084" s="10" t="str">
        <f>参数调整!$J$40</f>
        <v>新增怪物种类5掉落</v>
      </c>
      <c r="C10084" s="8" t="str">
        <f>材料产出!$AP$2</f>
        <v>火龙气息</v>
      </c>
      <c r="D10084" s="224">
        <f>参数调整!$K$40*怪物掉落配置方案!$D4954</f>
        <v>7.6865116910299538E-3</v>
      </c>
    </row>
    <row r="10085" spans="1:4" ht="16.5" hidden="1" x14ac:dyDescent="0.3">
      <c r="A10085" s="10" t="str">
        <f>基本属性!$B$15&amp;"|"&amp;基本属性!$C$15</f>
        <v>110|5</v>
      </c>
      <c r="B10085" s="10" t="str">
        <f>参数调整!$J$40</f>
        <v>新增怪物种类5掉落</v>
      </c>
      <c r="C10085" s="8" t="str">
        <f>材料产出!$AP$2</f>
        <v>火龙气息</v>
      </c>
      <c r="D10085" s="224">
        <f>参数调整!$K$40*怪物掉落配置方案!$D4955</f>
        <v>9.3006791461462453E-3</v>
      </c>
    </row>
    <row r="10086" spans="1:4" ht="16.5" hidden="1" x14ac:dyDescent="0.3">
      <c r="A10086" s="10" t="str">
        <f>基本属性!$B$16&amp;"|"&amp;基本属性!$C$16</f>
        <v>120|6</v>
      </c>
      <c r="B10086" s="10" t="str">
        <f>参数调整!$J$40</f>
        <v>新增怪物种类5掉落</v>
      </c>
      <c r="C10086" s="8" t="str">
        <f>材料产出!$AP$2</f>
        <v>火龙气息</v>
      </c>
      <c r="D10086" s="224">
        <f>参数调整!$K$40*怪物掉落配置方案!$D4956</f>
        <v>1.2010174517234301E-2</v>
      </c>
    </row>
    <row r="10087" spans="1:4" ht="16.5" hidden="1" x14ac:dyDescent="0.3">
      <c r="A10087" s="10" t="str">
        <f>基本属性!$B$17&amp;"|"&amp;基本属性!$C$17</f>
        <v>135|7</v>
      </c>
      <c r="B10087" s="10" t="str">
        <f>参数调整!$J$40</f>
        <v>新增怪物种类5掉落</v>
      </c>
      <c r="C10087" s="8" t="str">
        <f>材料产出!$AP$2</f>
        <v>火龙气息</v>
      </c>
      <c r="D10087" s="224">
        <f>参数调整!$K$40*怪物掉落配置方案!$D4957</f>
        <v>1.7294651304817395E-2</v>
      </c>
    </row>
    <row r="10088" spans="1:4" ht="16.5" hidden="1" x14ac:dyDescent="0.3">
      <c r="A10088" s="10" t="str">
        <f>基本属性!$B$18&amp;"|"&amp;基本属性!$C$18</f>
        <v>155|8</v>
      </c>
      <c r="B10088" s="10" t="str">
        <f>参数调整!$J$40</f>
        <v>新增怪物种类5掉落</v>
      </c>
      <c r="C10088" s="8" t="str">
        <f>材料产出!$AP$2</f>
        <v>火龙气息</v>
      </c>
      <c r="D10088" s="224">
        <f>参数调整!$K$40*怪物掉落配置方案!$D4958</f>
        <v>2.3539942053779232E-2</v>
      </c>
    </row>
    <row r="10089" spans="1:4" ht="16.5" hidden="1" x14ac:dyDescent="0.3">
      <c r="A10089" s="10" t="str">
        <f>基本属性!$B$19&amp;"|"&amp;基本属性!$C$19</f>
        <v>190|9</v>
      </c>
      <c r="B10089" s="10" t="str">
        <f>参数调整!$J$40</f>
        <v>新增怪物种类5掉落</v>
      </c>
      <c r="C10089" s="8" t="str">
        <f>材料产出!$AP$2</f>
        <v>火龙气息</v>
      </c>
      <c r="D10089" s="224">
        <f>参数调整!$K$40*怪物掉落配置方案!$D4959</f>
        <v>2.6307086262550017E-2</v>
      </c>
    </row>
    <row r="10090" spans="1:4" ht="16.5" hidden="1" x14ac:dyDescent="0.3">
      <c r="A10090" s="10" t="str">
        <f>基本属性!$B$20&amp;"|"&amp;基本属性!$C$20</f>
        <v>200|10</v>
      </c>
      <c r="B10090" s="10" t="str">
        <f>参数调整!$J$40</f>
        <v>新增怪物种类5掉落</v>
      </c>
      <c r="C10090" s="8" t="str">
        <f>材料产出!$AP$2</f>
        <v>火龙气息</v>
      </c>
      <c r="D10090" s="224">
        <f>参数调整!$K$40*怪物掉落配置方案!$D4960</f>
        <v>3.0746046764119815E-2</v>
      </c>
    </row>
    <row r="10091" spans="1:4" ht="16.5" hidden="1" x14ac:dyDescent="0.3">
      <c r="A10091" s="10" t="str">
        <f>基本属性!$B$21&amp;"|"&amp;基本属性!$C$21</f>
        <v>200|11</v>
      </c>
      <c r="B10091" s="10" t="str">
        <f>参数调整!$J$40</f>
        <v>新增怪物种类5掉落</v>
      </c>
      <c r="C10091" s="8" t="str">
        <f>材料产出!$AP$2</f>
        <v>火龙气息</v>
      </c>
      <c r="D10091" s="224">
        <f>参数调整!$K$40*怪物掉落配置方案!$D4961</f>
        <v>3.5530900291785954E-2</v>
      </c>
    </row>
    <row r="10092" spans="1:4" ht="16.5" hidden="1" x14ac:dyDescent="0.3">
      <c r="A10092" s="10" t="str">
        <f>基本属性!$B$22&amp;"|"&amp;基本属性!$C$22</f>
        <v>210|12</v>
      </c>
      <c r="B10092" s="10" t="str">
        <f>参数调整!$J$40</f>
        <v>新增怪物种类5掉落</v>
      </c>
      <c r="C10092" s="8" t="str">
        <f>材料产出!$AP$2</f>
        <v>火龙气息</v>
      </c>
      <c r="D10092" s="224">
        <f>参数调整!$K$40*怪物掉落配置方案!$D4962</f>
        <v>4.0661646845548439E-2</v>
      </c>
    </row>
    <row r="10093" spans="1:4" ht="16.5" hidden="1" x14ac:dyDescent="0.3">
      <c r="A10093" s="10" t="str">
        <f>基本属性!$B$23&amp;"|"&amp;基本属性!$C$23</f>
        <v>210|13</v>
      </c>
      <c r="B10093" s="10" t="str">
        <f>参数调整!$J$40</f>
        <v>新增怪物种类5掉落</v>
      </c>
      <c r="C10093" s="8" t="str">
        <f>材料产出!$AP$2</f>
        <v>火龙气息</v>
      </c>
      <c r="D10093" s="224">
        <f>参数调整!$K$40*怪物掉落配置方案!$D4963</f>
        <v>4.61382864254073E-2</v>
      </c>
    </row>
    <row r="10094" spans="1:4" ht="16.5" hidden="1" x14ac:dyDescent="0.3">
      <c r="A10094" s="10" t="str">
        <f>基本属性!$B$24&amp;"|"&amp;基本属性!$C$24</f>
        <v>220|14</v>
      </c>
      <c r="B10094" s="10" t="str">
        <f>参数调整!$J$40</f>
        <v>新增怪物种类5掉落</v>
      </c>
      <c r="C10094" s="8" t="str">
        <f>材料产出!$AP$2</f>
        <v>火龙气息</v>
      </c>
      <c r="D10094" s="224">
        <f>参数调整!$K$40*怪物掉落配置方案!$D4964</f>
        <v>5.196081903136248E-2</v>
      </c>
    </row>
    <row r="10095" spans="1:4" ht="16.5" hidden="1" x14ac:dyDescent="0.3">
      <c r="A10095" s="10" t="str">
        <f>基本属性!$B$25&amp;"|"&amp;基本属性!$C$25</f>
        <v>220|15</v>
      </c>
      <c r="B10095" s="10" t="str">
        <f>参数调整!$J$40</f>
        <v>新增怪物种类5掉落</v>
      </c>
      <c r="C10095" s="8" t="str">
        <f>材料产出!$AP$2</f>
        <v>火龙气息</v>
      </c>
      <c r="D10095" s="224">
        <f>参数调整!$K$40*怪物掉落配置方案!$D4965</f>
        <v>5.8129244663414015E-2</v>
      </c>
    </row>
    <row r="10096" spans="1:4" ht="16.5" hidden="1" x14ac:dyDescent="0.3">
      <c r="A10096" s="10" t="str">
        <f>基本属性!$B$26&amp;"|"&amp;基本属性!$C$26</f>
        <v>230|16</v>
      </c>
      <c r="B10096" s="10" t="str">
        <f>参数调整!$J$40</f>
        <v>新增怪物种类5掉落</v>
      </c>
      <c r="C10096" s="8" t="str">
        <f>材料产出!$AP$2</f>
        <v>火龙气息</v>
      </c>
      <c r="D10096" s="224">
        <f>参数调整!$K$40*怪物掉落配置方案!$D4966</f>
        <v>6.4643563321561903E-2</v>
      </c>
    </row>
    <row r="10097" spans="1:4" ht="16.5" hidden="1" x14ac:dyDescent="0.3">
      <c r="A10097" s="10" t="str">
        <f>基本属性!$B$27&amp;"|"&amp;基本属性!$C$27</f>
        <v>230|17</v>
      </c>
      <c r="B10097" s="10" t="str">
        <f>参数调整!$J$40</f>
        <v>新增怪物种类5掉落</v>
      </c>
      <c r="C10097" s="8" t="str">
        <f>材料产出!$AP$2</f>
        <v>火龙气息</v>
      </c>
      <c r="D10097" s="224">
        <f>参数调整!$K$40*怪物掉落配置方案!$D4967</f>
        <v>7.1503775005806125E-2</v>
      </c>
    </row>
    <row r="10098" spans="1:4" ht="16.5" hidden="1" x14ac:dyDescent="0.3">
      <c r="A10098" s="10" t="str">
        <f>基本属性!$B$28&amp;"|"&amp;基本属性!$C$28</f>
        <v>240|18</v>
      </c>
      <c r="B10098" s="10" t="str">
        <f>参数调整!$J$40</f>
        <v>新增怪物种类5掉落</v>
      </c>
      <c r="C10098" s="8" t="str">
        <f>材料产出!$AP$2</f>
        <v>火龙气息</v>
      </c>
      <c r="D10098" s="224">
        <f>参数调整!$K$40*怪物掉落配置方案!$D4968</f>
        <v>7.8709879716146722E-2</v>
      </c>
    </row>
    <row r="10099" spans="1:4" ht="16.5" hidden="1" x14ac:dyDescent="0.3">
      <c r="A10099" s="10" t="str">
        <f>基本属性!$B$29&amp;"|"&amp;基本属性!$C$29</f>
        <v>240|19</v>
      </c>
      <c r="B10099" s="10" t="str">
        <f>参数调整!$J$40</f>
        <v>新增怪物种类5掉落</v>
      </c>
      <c r="C10099" s="8" t="str">
        <f>材料产出!$AP$2</f>
        <v>火龙气息</v>
      </c>
      <c r="D10099" s="224">
        <f>参数调整!$K$40*怪物掉落配置方案!$D4969</f>
        <v>8.6261877452583652E-2</v>
      </c>
    </row>
    <row r="10100" spans="1:4" ht="16.5" hidden="1" x14ac:dyDescent="0.3">
      <c r="A10100" s="10" t="str">
        <f>基本属性!$B$30&amp;"|"&amp;基本属性!$C$30</f>
        <v>250|20</v>
      </c>
      <c r="B10100" s="10" t="str">
        <f>参数调整!$J$40</f>
        <v>新增怪物种类5掉落</v>
      </c>
      <c r="C10100" s="8" t="str">
        <f>材料产出!$AP$2</f>
        <v>火龙气息</v>
      </c>
      <c r="D10100" s="224">
        <f>参数调整!$K$40*怪物掉落配置方案!$D4970</f>
        <v>9.4159768215116915E-2</v>
      </c>
    </row>
    <row r="10101" spans="1:4" ht="16.5" hidden="1" x14ac:dyDescent="0.3">
      <c r="A10101" s="10" t="str">
        <f>基本属性!$B$4&amp;"|"&amp;基本属性!$C$4</f>
        <v>35|0</v>
      </c>
      <c r="B10101" s="10" t="str">
        <f>参数调整!$J$40</f>
        <v>新增怪物种类5掉落</v>
      </c>
      <c r="C10101" s="8" t="str">
        <f>材料产出!$N$2</f>
        <v>火龙凭证</v>
      </c>
      <c r="D10101" s="224">
        <f>参数调整!$K$40*怪物掉落配置方案!$D4971</f>
        <v>3.247504686629174E-2</v>
      </c>
    </row>
    <row r="10102" spans="1:4" ht="16.5" hidden="1" x14ac:dyDescent="0.3">
      <c r="A10102" s="10" t="str">
        <f>基本属性!$B$5&amp;"|"&amp;基本属性!$C$5</f>
        <v>40|0</v>
      </c>
      <c r="B10102" s="10" t="str">
        <f>参数调整!$J$40</f>
        <v>新增怪物种类5掉落</v>
      </c>
      <c r="C10102" s="8" t="str">
        <f>材料产出!$N$2</f>
        <v>火龙凭证</v>
      </c>
      <c r="D10102" s="224">
        <f>参数调整!$K$40*怪物掉落配置方案!$D4972</f>
        <v>4.1101231190150481E-2</v>
      </c>
    </row>
    <row r="10103" spans="1:4" ht="16.5" hidden="1" x14ac:dyDescent="0.3">
      <c r="A10103" s="10" t="str">
        <f>基本属性!$B$6&amp;"|"&amp;基本属性!$C$6</f>
        <v>50|0</v>
      </c>
      <c r="B10103" s="10" t="str">
        <f>参数调整!$J$40</f>
        <v>新增怪物种类5掉落</v>
      </c>
      <c r="C10103" s="8" t="str">
        <f>材料产出!$N$2</f>
        <v>火龙凭证</v>
      </c>
      <c r="D10103" s="224">
        <f>参数调整!$K$40*怪物掉落配置方案!$D4973</f>
        <v>5.0742260728580832E-2</v>
      </c>
    </row>
    <row r="10104" spans="1:4" ht="16.5" hidden="1" x14ac:dyDescent="0.3">
      <c r="A10104" s="10" t="str">
        <f>基本属性!$B$7&amp;"|"&amp;基本属性!$C$7</f>
        <v>60|0</v>
      </c>
      <c r="B10104" s="10" t="str">
        <f>参数调整!$J$40</f>
        <v>新增怪物种类5掉落</v>
      </c>
      <c r="C10104" s="8" t="str">
        <f>材料产出!$N$2</f>
        <v>火龙凭证</v>
      </c>
      <c r="D10104" s="224">
        <f>参数调整!$K$40*怪物掉落配置方案!$D4974</f>
        <v>6.1398135481582822E-2</v>
      </c>
    </row>
    <row r="10105" spans="1:4" ht="16.5" hidden="1" x14ac:dyDescent="0.3">
      <c r="A10105" s="10" t="str">
        <f>基本属性!$B$8&amp;"|"&amp;基本属性!$C$8</f>
        <v>65|0</v>
      </c>
      <c r="B10105" s="10" t="str">
        <f>参数调整!$J$40</f>
        <v>新增怪物种类5掉落</v>
      </c>
      <c r="C10105" s="8" t="str">
        <f>材料产出!$N$2</f>
        <v>火龙凭证</v>
      </c>
      <c r="D10105" s="224">
        <f>参数调整!$K$40*怪物掉落配置方案!$D4975</f>
        <v>7.3068855449156409E-2</v>
      </c>
    </row>
    <row r="10106" spans="1:4" ht="16.5" hidden="1" x14ac:dyDescent="0.3">
      <c r="A10106" s="10" t="str">
        <f>基本属性!$B$9&amp;"|"&amp;基本属性!$C$9</f>
        <v>70|0</v>
      </c>
      <c r="B10106" s="10" t="str">
        <f>参数调整!$J$40</f>
        <v>新增怪物种类5掉落</v>
      </c>
      <c r="C10106" s="8" t="str">
        <f>材料产出!$N$2</f>
        <v>火龙凭证</v>
      </c>
      <c r="D10106" s="224">
        <f>参数调整!$K$40*怪物掉落配置方案!$D4976</f>
        <v>8.575442063130162E-2</v>
      </c>
    </row>
    <row r="10107" spans="1:4" ht="16.5" hidden="1" x14ac:dyDescent="0.3">
      <c r="A10107" s="10" t="str">
        <f>基本属性!$B$10&amp;"|"&amp;基本属性!$C$10</f>
        <v>75|0</v>
      </c>
      <c r="B10107" s="10" t="str">
        <f>参数调整!$J$40</f>
        <v>新增怪物种类5掉落</v>
      </c>
      <c r="C10107" s="8" t="str">
        <f>材料产出!$N$2</f>
        <v>火龙凭证</v>
      </c>
      <c r="D10107" s="224">
        <f>参数调整!$K$40*怪物掉落配置方案!$D4977</f>
        <v>9.9454831028018428E-2</v>
      </c>
    </row>
    <row r="10108" spans="1:4" ht="16.5" hidden="1" x14ac:dyDescent="0.3">
      <c r="A10108" s="10" t="str">
        <f>基本属性!$B$11&amp;"|"&amp;基本属性!$C$11</f>
        <v>80|1</v>
      </c>
      <c r="B10108" s="10" t="str">
        <f>参数调整!$J$40</f>
        <v>新增怪物种类5掉落</v>
      </c>
      <c r="C10108" s="8" t="str">
        <f>材料产出!$N$2</f>
        <v>火龙凭证</v>
      </c>
      <c r="D10108" s="224">
        <f>参数调整!$K$40*怪物掉落配置方案!$D4978</f>
        <v>0.11417008663930688</v>
      </c>
    </row>
    <row r="10109" spans="1:4" ht="16.5" hidden="1" x14ac:dyDescent="0.3">
      <c r="A10109" s="10" t="str">
        <f>基本属性!$B$12&amp;"|"&amp;基本属性!$C$12</f>
        <v>90|2</v>
      </c>
      <c r="B10109" s="10" t="str">
        <f>参数调整!$J$40</f>
        <v>新增怪物种类5掉落</v>
      </c>
      <c r="C10109" s="8" t="str">
        <f>材料产出!$N$2</f>
        <v>火龙凭证</v>
      </c>
      <c r="D10109" s="224">
        <f>参数调整!$K$40*怪物掉落配置方案!$D4979</f>
        <v>0.12990018746516696</v>
      </c>
    </row>
    <row r="10110" spans="1:4" ht="16.5" hidden="1" x14ac:dyDescent="0.3">
      <c r="A10110" s="10" t="str">
        <f>基本属性!$B$13&amp;"|"&amp;基本属性!$C$13</f>
        <v>100|3</v>
      </c>
      <c r="B10110" s="10" t="str">
        <f>参数调整!$J$40</f>
        <v>新增怪物种类5掉落</v>
      </c>
      <c r="C10110" s="8" t="str">
        <f>材料产出!$N$2</f>
        <v>火龙凭证</v>
      </c>
      <c r="D10110" s="224">
        <f>参数调整!$K$40*怪物掉落配置方案!$D4980</f>
        <v>0.16440492476060192</v>
      </c>
    </row>
    <row r="10111" spans="1:4" ht="16.5" hidden="1" x14ac:dyDescent="0.3">
      <c r="A10111" s="10" t="str">
        <f>基本属性!$B$14&amp;"|"&amp;基本属性!$C$14</f>
        <v>105|4</v>
      </c>
      <c r="B10111" s="10" t="str">
        <f>参数调整!$J$40</f>
        <v>新增怪物种类5掉落</v>
      </c>
      <c r="C10111" s="8" t="str">
        <f>材料产出!$N$2</f>
        <v>火龙凭证</v>
      </c>
      <c r="D10111" s="224">
        <f>参数调整!$K$40*怪物掉落配置方案!$D4981</f>
        <v>0.20296904291432338</v>
      </c>
    </row>
    <row r="10112" spans="1:4" ht="16.5" hidden="1" x14ac:dyDescent="0.3">
      <c r="A10112" s="10" t="str">
        <f>基本属性!$B$15&amp;"|"&amp;基本属性!$C$15</f>
        <v>110|5</v>
      </c>
      <c r="B10112" s="10" t="str">
        <f>参数调整!$J$40</f>
        <v>新增怪物种类5掉落</v>
      </c>
      <c r="C10112" s="8" t="str">
        <f>材料产出!$N$2</f>
        <v>火龙凭证</v>
      </c>
      <c r="D10112" s="224">
        <f>参数调整!$K$40*怪物掉落配置方案!$D4982</f>
        <v>0.24559254192633129</v>
      </c>
    </row>
    <row r="10113" spans="1:4" ht="16.5" hidden="1" x14ac:dyDescent="0.3">
      <c r="A10113" s="10" t="str">
        <f>基本属性!$B$16&amp;"|"&amp;基本属性!$C$16</f>
        <v>120|6</v>
      </c>
      <c r="B10113" s="10" t="str">
        <f>参数调整!$J$40</f>
        <v>新增怪物种类5掉落</v>
      </c>
      <c r="C10113" s="8" t="str">
        <f>材料产出!$N$2</f>
        <v>火龙凭证</v>
      </c>
      <c r="D10113" s="224">
        <f>参数调整!$K$40*怪物掉落配置方案!$D4983</f>
        <v>0.31713912955363022</v>
      </c>
    </row>
    <row r="10114" spans="1:4" ht="16.5" hidden="1" x14ac:dyDescent="0.3">
      <c r="A10114" s="10" t="str">
        <f>基本属性!$B$17&amp;"|"&amp;基本属性!$C$17</f>
        <v>135|7</v>
      </c>
      <c r="B10114" s="10" t="str">
        <f>参数调整!$J$40</f>
        <v>新增怪物种类5掉落</v>
      </c>
      <c r="C10114" s="8" t="str">
        <f>材料产出!$N$2</f>
        <v>火龙凭证</v>
      </c>
      <c r="D10114" s="224">
        <f>参数调整!$K$40*怪物掉落配置方案!$D4984</f>
        <v>0.4566803465572275</v>
      </c>
    </row>
    <row r="10115" spans="1:4" ht="16.5" hidden="1" x14ac:dyDescent="0.3">
      <c r="A10115" s="10" t="str">
        <f>基本属性!$B$18&amp;"|"&amp;基本属性!$C$18</f>
        <v>155|8</v>
      </c>
      <c r="B10115" s="10" t="str">
        <f>参数调整!$J$40</f>
        <v>新增怪物种类5掉落</v>
      </c>
      <c r="C10115" s="8" t="str">
        <f>材料产出!$N$2</f>
        <v>火龙凭证</v>
      </c>
      <c r="D10115" s="224">
        <f>参数调整!$K$40*怪物掉落配置方案!$D4985</f>
        <v>0.62159269392511529</v>
      </c>
    </row>
    <row r="10116" spans="1:4" ht="16.5" hidden="1" x14ac:dyDescent="0.3">
      <c r="A10116" s="10" t="str">
        <f>基本属性!$B$19&amp;"|"&amp;基本属性!$C$19</f>
        <v>190|9</v>
      </c>
      <c r="B10116" s="10" t="str">
        <f>参数调整!$J$40</f>
        <v>新增怪物种类5掉落</v>
      </c>
      <c r="C10116" s="8" t="str">
        <f>材料产出!$N$2</f>
        <v>火龙凭证</v>
      </c>
      <c r="D10116" s="224">
        <f>参数调整!$K$40*怪物掉落配置方案!$D4986</f>
        <v>0.69466154937427183</v>
      </c>
    </row>
    <row r="10117" spans="1:4" ht="16.5" hidden="1" x14ac:dyDescent="0.3">
      <c r="A10117" s="10" t="str">
        <f>基本属性!$B$20&amp;"|"&amp;基本属性!$C$20</f>
        <v>200|10</v>
      </c>
      <c r="B10117" s="10" t="str">
        <f>参数调整!$J$40</f>
        <v>新增怪物种类5掉落</v>
      </c>
      <c r="C10117" s="8" t="str">
        <f>材料产出!$N$2</f>
        <v>火龙凭证</v>
      </c>
      <c r="D10117" s="224">
        <f>参数调整!$K$40*怪物掉落配置方案!$D4987</f>
        <v>0.81187617165729353</v>
      </c>
    </row>
    <row r="10118" spans="1:4" ht="16.5" hidden="1" x14ac:dyDescent="0.3">
      <c r="A10118" s="10" t="str">
        <f>基本属性!$B$21&amp;"|"&amp;基本属性!$C$21</f>
        <v>200|11</v>
      </c>
      <c r="B10118" s="10" t="str">
        <f>参数调整!$J$40</f>
        <v>新增怪物种类5掉落</v>
      </c>
      <c r="C10118" s="8" t="str">
        <f>材料产出!$N$2</f>
        <v>火龙凭证</v>
      </c>
      <c r="D10118" s="224">
        <f>参数调整!$K$40*怪物掉落配置方案!$D4988</f>
        <v>0.93822440087145953</v>
      </c>
    </row>
    <row r="10119" spans="1:4" ht="16.5" hidden="1" x14ac:dyDescent="0.3">
      <c r="A10119" s="10" t="str">
        <f>基本属性!$B$22&amp;"|"&amp;基本属性!$C$22</f>
        <v>210|12</v>
      </c>
      <c r="B10119" s="10" t="str">
        <f>参数调整!$J$40</f>
        <v>新增怪物种类5掉落</v>
      </c>
      <c r="C10119" s="8" t="str">
        <f>材料产出!$N$2</f>
        <v>火龙凭证</v>
      </c>
      <c r="D10119" s="224">
        <f>参数调整!$K$40*怪物掉落配置方案!$D4989</f>
        <v>1.0737062370167703</v>
      </c>
    </row>
    <row r="10120" spans="1:4" ht="16.5" hidden="1" x14ac:dyDescent="0.3">
      <c r="A10120" s="10" t="str">
        <f>基本属性!$B$23&amp;"|"&amp;基本属性!$C$23</f>
        <v>210|13</v>
      </c>
      <c r="B10120" s="10" t="str">
        <f>参数调整!$J$40</f>
        <v>新增怪物种类5掉落</v>
      </c>
      <c r="C10120" s="8" t="str">
        <f>材料产出!$N$2</f>
        <v>火龙凭证</v>
      </c>
      <c r="D10120" s="224">
        <f>参数调整!$K$40*怪物掉落配置方案!$D4990</f>
        <v>1.2183216800932262</v>
      </c>
    </row>
    <row r="10121" spans="1:4" ht="16.5" hidden="1" x14ac:dyDescent="0.3">
      <c r="A10121" s="10" t="str">
        <f>基本属性!$B$24&amp;"|"&amp;基本属性!$C$24</f>
        <v>220|14</v>
      </c>
      <c r="B10121" s="10" t="str">
        <f>参数调整!$J$40</f>
        <v>新增怪物种类5掉落</v>
      </c>
      <c r="C10121" s="8" t="str">
        <f>材料产出!$N$2</f>
        <v>火龙凭证</v>
      </c>
      <c r="D10121" s="224">
        <f>参数调整!$K$40*怪物掉落配置方案!$D4991</f>
        <v>1.3720707301008259</v>
      </c>
    </row>
    <row r="10122" spans="1:4" ht="16.5" hidden="1" x14ac:dyDescent="0.3">
      <c r="A10122" s="10" t="str">
        <f>基本属性!$B$25&amp;"|"&amp;基本属性!$C$25</f>
        <v>220|15</v>
      </c>
      <c r="B10122" s="10" t="str">
        <f>参数调整!$J$40</f>
        <v>新增怪物种类5掉落</v>
      </c>
      <c r="C10122" s="8" t="str">
        <f>材料产出!$N$2</f>
        <v>火龙凭证</v>
      </c>
      <c r="D10122" s="224">
        <f>参数调整!$K$40*怪物掉落配置方案!$D4992</f>
        <v>1.5349533870395702</v>
      </c>
    </row>
    <row r="10123" spans="1:4" ht="16.5" hidden="1" x14ac:dyDescent="0.3">
      <c r="A10123" s="10" t="str">
        <f>基本属性!$B$26&amp;"|"&amp;基本属性!$C$26</f>
        <v>230|16</v>
      </c>
      <c r="B10123" s="10" t="str">
        <f>参数调整!$J$40</f>
        <v>新增怪物种类5掉落</v>
      </c>
      <c r="C10123" s="8" t="str">
        <f>材料产出!$N$2</f>
        <v>火龙凭证</v>
      </c>
      <c r="D10123" s="224">
        <f>参数调整!$K$40*怪物掉落配置方案!$D4993</f>
        <v>1.7069696509094596</v>
      </c>
    </row>
    <row r="10124" spans="1:4" ht="16.5" hidden="1" x14ac:dyDescent="0.3">
      <c r="A10124" s="10" t="str">
        <f>基本属性!$B$27&amp;"|"&amp;基本属性!$C$27</f>
        <v>230|17</v>
      </c>
      <c r="B10124" s="10" t="str">
        <f>参数调整!$J$40</f>
        <v>新增怪物种类5掉落</v>
      </c>
      <c r="C10124" s="8" t="str">
        <f>材料产出!$N$2</f>
        <v>火龙凭证</v>
      </c>
      <c r="D10124" s="224">
        <f>参数调整!$K$40*怪物掉落配置方案!$D4994</f>
        <v>1.8881195217104927</v>
      </c>
    </row>
    <row r="10125" spans="1:4" ht="16.5" hidden="1" x14ac:dyDescent="0.3">
      <c r="A10125" s="10" t="str">
        <f>基本属性!$B$28&amp;"|"&amp;基本属性!$C$28</f>
        <v>240|18</v>
      </c>
      <c r="B10125" s="10" t="str">
        <f>参数调整!$J$40</f>
        <v>新增怪物种类5掉落</v>
      </c>
      <c r="C10125" s="8" t="str">
        <f>材料产出!$N$2</f>
        <v>火龙凭证</v>
      </c>
      <c r="D10125" s="224">
        <f>参数调整!$K$40*怪物掉落配置方案!$D4995</f>
        <v>2.0784029994426714</v>
      </c>
    </row>
    <row r="10126" spans="1:4" ht="16.5" hidden="1" x14ac:dyDescent="0.3">
      <c r="A10126" s="10" t="str">
        <f>基本属性!$B$29&amp;"|"&amp;基本属性!$C$29</f>
        <v>240|19</v>
      </c>
      <c r="B10126" s="10" t="str">
        <f>参数调整!$J$40</f>
        <v>新增怪物种类5掉落</v>
      </c>
      <c r="C10126" s="8" t="str">
        <f>材料产出!$N$2</f>
        <v>火龙凭证</v>
      </c>
      <c r="D10126" s="224">
        <f>参数调整!$K$40*怪物掉落配置方案!$D4996</f>
        <v>2.2778200841059939</v>
      </c>
    </row>
    <row r="10127" spans="1:4" ht="16.5" hidden="1" x14ac:dyDescent="0.3">
      <c r="A10127" s="10" t="str">
        <f>基本属性!$B$30&amp;"|"&amp;基本属性!$C$30</f>
        <v>250|20</v>
      </c>
      <c r="B10127" s="10" t="str">
        <f>参数调整!$J$40</f>
        <v>新增怪物种类5掉落</v>
      </c>
      <c r="C10127" s="8" t="str">
        <f>材料产出!$N$2</f>
        <v>火龙凭证</v>
      </c>
      <c r="D10127" s="224">
        <f>参数调整!$K$40*怪物掉落配置方案!$D4997</f>
        <v>2.4863707757004603</v>
      </c>
    </row>
    <row r="10128" spans="1:4" ht="16.5" hidden="1" x14ac:dyDescent="0.3">
      <c r="A10128" s="10" t="str">
        <f>基本属性!$B$4&amp;"|"&amp;基本属性!$C$4</f>
        <v>35|0</v>
      </c>
      <c r="B10128" s="10" t="str">
        <f>参数调整!$J$40</f>
        <v>新增怪物种类5掉落</v>
      </c>
      <c r="C10128" s="8" t="str">
        <f>材料产出!$AR$2</f>
        <v>火龙精魄</v>
      </c>
      <c r="D10128" s="224">
        <f>参数调整!$K$40*怪物掉落配置方案!$D4998</f>
        <v>1.6233394416779908E-5</v>
      </c>
    </row>
    <row r="10129" spans="1:4" ht="16.5" hidden="1" x14ac:dyDescent="0.3">
      <c r="A10129" s="10" t="str">
        <f>基本属性!$B$5&amp;"|"&amp;基本属性!$C$5</f>
        <v>40|0</v>
      </c>
      <c r="B10129" s="10" t="str">
        <f>参数调整!$J$40</f>
        <v>新增怪物种类5掉落</v>
      </c>
      <c r="C10129" s="8" t="str">
        <f>材料产出!$AR$2</f>
        <v>火龙精魄</v>
      </c>
      <c r="D10129" s="224">
        <f>参数调整!$K$40*怪物掉落配置方案!$D4999</f>
        <v>2.0545389808737071E-5</v>
      </c>
    </row>
    <row r="10130" spans="1:4" ht="16.5" hidden="1" x14ac:dyDescent="0.3">
      <c r="A10130" s="10" t="str">
        <f>基本属性!$B$6&amp;"|"&amp;基本属性!$C$6</f>
        <v>50|0</v>
      </c>
      <c r="B10130" s="10" t="str">
        <f>参数调整!$J$40</f>
        <v>新增怪物种类5掉落</v>
      </c>
      <c r="C10130" s="8" t="str">
        <f>材料产出!$AR$2</f>
        <v>火龙精魄</v>
      </c>
      <c r="D10130" s="224">
        <f>参数调整!$K$40*怪物掉落配置方案!$D5000</f>
        <v>2.5364678776218605E-5</v>
      </c>
    </row>
    <row r="10131" spans="1:4" ht="16.5" hidden="1" x14ac:dyDescent="0.3">
      <c r="A10131" s="10" t="str">
        <f>基本属性!$B$7&amp;"|"&amp;基本属性!$C$7</f>
        <v>60|0</v>
      </c>
      <c r="B10131" s="10" t="str">
        <f>参数调整!$J$40</f>
        <v>新增怪物种类5掉落</v>
      </c>
      <c r="C10131" s="8" t="str">
        <f>材料产出!$AR$2</f>
        <v>火龙精魄</v>
      </c>
      <c r="D10131" s="224">
        <f>参数调整!$K$40*怪物掉落配置方案!$D5001</f>
        <v>3.0691261319224521E-5</v>
      </c>
    </row>
    <row r="10132" spans="1:4" ht="16.5" hidden="1" x14ac:dyDescent="0.3">
      <c r="A10132" s="10" t="str">
        <f>基本属性!$B$8&amp;"|"&amp;基本属性!$C$8</f>
        <v>65|0</v>
      </c>
      <c r="B10132" s="10" t="str">
        <f>参数调整!$J$40</f>
        <v>新增怪物种类5掉落</v>
      </c>
      <c r="C10132" s="8" t="str">
        <f>材料产出!$AR$2</f>
        <v>火龙精魄</v>
      </c>
      <c r="D10132" s="224">
        <f>参数调整!$K$40*怪物掉落配置方案!$D5002</f>
        <v>3.6525137437754794E-5</v>
      </c>
    </row>
    <row r="10133" spans="1:4" ht="16.5" hidden="1" x14ac:dyDescent="0.3">
      <c r="A10133" s="10" t="str">
        <f>基本属性!$B$9&amp;"|"&amp;基本属性!$C$9</f>
        <v>70|0</v>
      </c>
      <c r="B10133" s="10" t="str">
        <f>参数调整!$J$40</f>
        <v>新增怪物种类5掉落</v>
      </c>
      <c r="C10133" s="8" t="str">
        <f>材料产出!$AR$2</f>
        <v>火龙精魄</v>
      </c>
      <c r="D10133" s="224">
        <f>参数调整!$K$40*怪物掉落配置方案!$D5003</f>
        <v>4.2866307131809445E-5</v>
      </c>
    </row>
    <row r="10134" spans="1:4" ht="16.5" hidden="1" x14ac:dyDescent="0.3">
      <c r="A10134" s="10" t="str">
        <f>基本属性!$B$10&amp;"|"&amp;基本属性!$C$10</f>
        <v>75|0</v>
      </c>
      <c r="B10134" s="10" t="str">
        <f>参数调整!$J$40</f>
        <v>新增怪物种类5掉落</v>
      </c>
      <c r="C10134" s="8" t="str">
        <f>材料产出!$AR$2</f>
        <v>火龙精魄</v>
      </c>
      <c r="D10134" s="224">
        <f>参数调整!$K$40*怪物掉落配置方案!$D5004</f>
        <v>4.9714770401388461E-5</v>
      </c>
    </row>
    <row r="10135" spans="1:4" ht="16.5" hidden="1" x14ac:dyDescent="0.3">
      <c r="A10135" s="10" t="str">
        <f>基本属性!$B$11&amp;"|"&amp;基本属性!$C$11</f>
        <v>80|1</v>
      </c>
      <c r="B10135" s="10" t="str">
        <f>参数调整!$J$40</f>
        <v>新增怪物种类5掉落</v>
      </c>
      <c r="C10135" s="8" t="str">
        <f>材料产出!$AR$2</f>
        <v>火龙精魄</v>
      </c>
      <c r="D10135" s="224">
        <f>参数调整!$K$40*怪物掉落配置方案!$D5005</f>
        <v>5.7070527246491855E-5</v>
      </c>
    </row>
    <row r="10136" spans="1:4" ht="16.5" hidden="1" x14ac:dyDescent="0.3">
      <c r="A10136" s="10" t="str">
        <f>基本属性!$B$12&amp;"|"&amp;基本属性!$C$12</f>
        <v>90|2</v>
      </c>
      <c r="B10136" s="10" t="str">
        <f>参数调整!$J$40</f>
        <v>新增怪物种类5掉落</v>
      </c>
      <c r="C10136" s="8" t="str">
        <f>材料产出!$AR$2</f>
        <v>火龙精魄</v>
      </c>
      <c r="D10136" s="224">
        <f>参数调整!$K$40*怪物掉落配置方案!$D5006</f>
        <v>6.4933577667119648E-5</v>
      </c>
    </row>
    <row r="10137" spans="1:4" ht="16.5" hidden="1" x14ac:dyDescent="0.3">
      <c r="A10137" s="10" t="str">
        <f>基本属性!$B$13&amp;"|"&amp;基本属性!$C$13</f>
        <v>100|3</v>
      </c>
      <c r="B10137" s="10" t="str">
        <f>参数调整!$J$40</f>
        <v>新增怪物种类5掉落</v>
      </c>
      <c r="C10137" s="8" t="str">
        <f>材料产出!$AR$2</f>
        <v>火龙精魄</v>
      </c>
      <c r="D10137" s="224">
        <f>参数调整!$K$40*怪物掉落配置方案!$D5007</f>
        <v>8.2181559234948299E-5</v>
      </c>
    </row>
    <row r="10138" spans="1:4" ht="16.5" hidden="1" x14ac:dyDescent="0.3">
      <c r="A10138" s="10" t="str">
        <f>基本属性!$B$14&amp;"|"&amp;基本属性!$C$14</f>
        <v>105|4</v>
      </c>
      <c r="B10138" s="10" t="str">
        <f>参数调整!$J$40</f>
        <v>新增怪物种类5掉落</v>
      </c>
      <c r="C10138" s="8" t="str">
        <f>材料产出!$AR$2</f>
        <v>火龙精魄</v>
      </c>
      <c r="D10138" s="224">
        <f>参数调整!$K$40*怪物掉落配置方案!$D5008</f>
        <v>1.0145871510487442E-4</v>
      </c>
    </row>
    <row r="10139" spans="1:4" ht="16.5" hidden="1" x14ac:dyDescent="0.3">
      <c r="A10139" s="10" t="str">
        <f>基本属性!$B$15&amp;"|"&amp;基本属性!$C$15</f>
        <v>110|5</v>
      </c>
      <c r="B10139" s="10" t="str">
        <f>参数调整!$J$40</f>
        <v>新增怪物种类5掉落</v>
      </c>
      <c r="C10139" s="8" t="str">
        <f>材料产出!$AR$2</f>
        <v>火龙精魄</v>
      </c>
      <c r="D10139" s="224">
        <f>参数调整!$K$40*怪物掉落配置方案!$D5009</f>
        <v>1.2276504527689808E-4</v>
      </c>
    </row>
    <row r="10140" spans="1:4" ht="16.5" hidden="1" x14ac:dyDescent="0.3">
      <c r="A10140" s="10" t="str">
        <f>基本属性!$B$16&amp;"|"&amp;基本属性!$C$16</f>
        <v>120|6</v>
      </c>
      <c r="B10140" s="10" t="str">
        <f>参数调整!$J$40</f>
        <v>新增怪物种类5掉落</v>
      </c>
      <c r="C10140" s="8" t="str">
        <f>材料产出!$AR$2</f>
        <v>火龙精魄</v>
      </c>
      <c r="D10140" s="224">
        <f>参数调整!$K$40*怪物掉落配置方案!$D5010</f>
        <v>1.5852924235136632E-4</v>
      </c>
    </row>
    <row r="10141" spans="1:4" ht="16.5" hidden="1" x14ac:dyDescent="0.3">
      <c r="A10141" s="10" t="str">
        <f>基本属性!$B$17&amp;"|"&amp;基本属性!$C$17</f>
        <v>135|7</v>
      </c>
      <c r="B10141" s="10" t="str">
        <f>参数调整!$J$40</f>
        <v>新增怪物种类5掉落</v>
      </c>
      <c r="C10141" s="8" t="str">
        <f>材料产出!$AR$2</f>
        <v>火龙精魄</v>
      </c>
      <c r="D10141" s="224">
        <f>参数调整!$K$40*怪物掉落配置方案!$D5011</f>
        <v>2.2828210898596745E-4</v>
      </c>
    </row>
    <row r="10142" spans="1:4" ht="16.5" hidden="1" x14ac:dyDescent="0.3">
      <c r="A10142" s="10" t="str">
        <f>基本属性!$B$18&amp;"|"&amp;基本属性!$C$18</f>
        <v>155|8</v>
      </c>
      <c r="B10142" s="10" t="str">
        <f>参数调整!$J$40</f>
        <v>新增怪物种类5掉落</v>
      </c>
      <c r="C10142" s="8" t="str">
        <f>材料产出!$AR$2</f>
        <v>火龙精魄</v>
      </c>
      <c r="D10142" s="224">
        <f>参数调整!$K$40*怪物掉落配置方案!$D5012</f>
        <v>3.1071731500867801E-4</v>
      </c>
    </row>
    <row r="10143" spans="1:4" ht="16.5" hidden="1" x14ac:dyDescent="0.3">
      <c r="A10143" s="10" t="str">
        <f>基本属性!$B$19&amp;"|"&amp;基本属性!$C$19</f>
        <v>190|9</v>
      </c>
      <c r="B10143" s="10" t="str">
        <f>参数调整!$J$40</f>
        <v>新增怪物种类5掉落</v>
      </c>
      <c r="C10143" s="8" t="str">
        <f>材料产出!$AR$2</f>
        <v>火龙精魄</v>
      </c>
      <c r="D10143" s="224">
        <f>参数调整!$K$40*怪物掉落配置方案!$D5013</f>
        <v>3.4724245244643274E-4</v>
      </c>
    </row>
    <row r="10144" spans="1:4" ht="16.5" hidden="1" x14ac:dyDescent="0.3">
      <c r="A10144" s="10" t="str">
        <f>基本属性!$B$20&amp;"|"&amp;基本属性!$C$20</f>
        <v>200|10</v>
      </c>
      <c r="B10144" s="10" t="str">
        <f>参数调整!$J$40</f>
        <v>新增怪物种类5掉落</v>
      </c>
      <c r="C10144" s="8" t="str">
        <f>材料产出!$AR$2</f>
        <v>火龙精魄</v>
      </c>
      <c r="D10144" s="224">
        <f>参数调整!$K$40*怪物掉落配置方案!$D5014</f>
        <v>4.0583486041949769E-4</v>
      </c>
    </row>
    <row r="10145" spans="1:4" ht="16.5" hidden="1" x14ac:dyDescent="0.3">
      <c r="A10145" s="10" t="str">
        <f>基本属性!$B$21&amp;"|"&amp;基本属性!$C$21</f>
        <v>200|11</v>
      </c>
      <c r="B10145" s="10" t="str">
        <f>参数调整!$J$40</f>
        <v>新增怪物种类5掉落</v>
      </c>
      <c r="C10145" s="8" t="str">
        <f>材料产出!$AR$2</f>
        <v>火龙精魄</v>
      </c>
      <c r="D10145" s="224">
        <f>参数调整!$K$40*怪物掉落配置方案!$D5015</f>
        <v>4.6899291057228196E-4</v>
      </c>
    </row>
    <row r="10146" spans="1:4" ht="16.5" hidden="1" x14ac:dyDescent="0.3">
      <c r="A10146" s="10" t="str">
        <f>基本属性!$B$22&amp;"|"&amp;基本属性!$C$22</f>
        <v>210|12</v>
      </c>
      <c r="B10146" s="10" t="str">
        <f>参数调整!$J$40</f>
        <v>新增怪物种类5掉落</v>
      </c>
      <c r="C10146" s="8" t="str">
        <f>材料产出!$AR$2</f>
        <v>火龙精魄</v>
      </c>
      <c r="D10146" s="224">
        <f>参数调整!$K$40*怪物掉落配置方案!$D5016</f>
        <v>5.3671660290478568E-4</v>
      </c>
    </row>
    <row r="10147" spans="1:4" ht="16.5" hidden="1" x14ac:dyDescent="0.3">
      <c r="A10147" s="10" t="str">
        <f>基本属性!$B$23&amp;"|"&amp;基本属性!$C$23</f>
        <v>210|13</v>
      </c>
      <c r="B10147" s="10" t="str">
        <f>参数调整!$J$40</f>
        <v>新增怪物种类5掉落</v>
      </c>
      <c r="C10147" s="8" t="str">
        <f>材料产出!$AR$2</f>
        <v>火龙精魄</v>
      </c>
      <c r="D10147" s="224">
        <f>参数调整!$K$40*怪物掉落配置方案!$D5017</f>
        <v>6.0900593741700885E-4</v>
      </c>
    </row>
    <row r="10148" spans="1:4" ht="16.5" hidden="1" x14ac:dyDescent="0.3">
      <c r="A10148" s="10" t="str">
        <f>基本属性!$B$24&amp;"|"&amp;基本属性!$C$24</f>
        <v>220|14</v>
      </c>
      <c r="B10148" s="10" t="str">
        <f>参数调整!$J$40</f>
        <v>新增怪物种类5掉落</v>
      </c>
      <c r="C10148" s="8" t="str">
        <f>材料产出!$AR$2</f>
        <v>火龙精魄</v>
      </c>
      <c r="D10148" s="224">
        <f>参数调整!$K$40*怪物掉落配置方案!$D5018</f>
        <v>6.8586091410895113E-4</v>
      </c>
    </row>
    <row r="10149" spans="1:4" ht="16.5" hidden="1" x14ac:dyDescent="0.3">
      <c r="A10149" s="10" t="str">
        <f>基本属性!$B$25&amp;"|"&amp;基本属性!$C$25</f>
        <v>220|15</v>
      </c>
      <c r="B10149" s="10" t="str">
        <f>参数调整!$J$40</f>
        <v>新增怪物种类5掉落</v>
      </c>
      <c r="C10149" s="8" t="str">
        <f>材料产出!$AR$2</f>
        <v>火龙精魄</v>
      </c>
      <c r="D10149" s="224">
        <f>参数调整!$K$40*怪物掉落配置方案!$D5019</f>
        <v>7.6728153298061274E-4</v>
      </c>
    </row>
    <row r="10150" spans="1:4" ht="16.5" hidden="1" x14ac:dyDescent="0.3">
      <c r="A10150" s="10" t="str">
        <f>基本属性!$B$26&amp;"|"&amp;基本属性!$C$26</f>
        <v>230|16</v>
      </c>
      <c r="B10150" s="10" t="str">
        <f>参数调整!$J$40</f>
        <v>新增怪物种类5掉落</v>
      </c>
      <c r="C10150" s="8" t="str">
        <f>材料产出!$AR$2</f>
        <v>火龙精魄</v>
      </c>
      <c r="D10150" s="224">
        <f>参数调整!$K$40*怪物掉落配置方案!$D5020</f>
        <v>8.5326779403199369E-4</v>
      </c>
    </row>
    <row r="10151" spans="1:4" ht="16.5" hidden="1" x14ac:dyDescent="0.3">
      <c r="A10151" s="10" t="str">
        <f>基本属性!$B$27&amp;"|"&amp;基本属性!$C$27</f>
        <v>230|17</v>
      </c>
      <c r="B10151" s="10" t="str">
        <f>参数调整!$J$40</f>
        <v>新增怪物种类5掉落</v>
      </c>
      <c r="C10151" s="8" t="str">
        <f>材料产出!$AR$2</f>
        <v>火龙精魄</v>
      </c>
      <c r="D10151" s="224">
        <f>参数调整!$K$40*怪物掉落配置方案!$D5021</f>
        <v>9.4381969726309409E-4</v>
      </c>
    </row>
    <row r="10152" spans="1:4" ht="16.5" hidden="1" x14ac:dyDescent="0.3">
      <c r="A10152" s="10" t="str">
        <f>基本属性!$B$28&amp;"|"&amp;基本属性!$C$28</f>
        <v>240|18</v>
      </c>
      <c r="B10152" s="10" t="str">
        <f>参数调整!$J$40</f>
        <v>新增怪物种类5掉落</v>
      </c>
      <c r="C10152" s="8" t="str">
        <f>材料产出!$AR$2</f>
        <v>火龙精魄</v>
      </c>
      <c r="D10152" s="224">
        <f>参数调整!$K$40*怪物掉落配置方案!$D5022</f>
        <v>1.0389372426739141E-3</v>
      </c>
    </row>
    <row r="10153" spans="1:4" ht="16.5" hidden="1" x14ac:dyDescent="0.3">
      <c r="A10153" s="10" t="str">
        <f>基本属性!$B$29&amp;"|"&amp;基本属性!$C$29</f>
        <v>240|19</v>
      </c>
      <c r="B10153" s="10" t="str">
        <f>参数调整!$J$40</f>
        <v>新增怪物种类5掉落</v>
      </c>
      <c r="C10153" s="8" t="str">
        <f>材料产出!$AR$2</f>
        <v>火龙精魄</v>
      </c>
      <c r="D10153" s="224">
        <f>参数调整!$K$40*怪物掉落配置方案!$D5023</f>
        <v>1.1386204302644535E-3</v>
      </c>
    </row>
    <row r="10154" spans="1:4" ht="16.5" hidden="1" x14ac:dyDescent="0.3">
      <c r="A10154" s="10" t="str">
        <f>基本属性!$B$30&amp;"|"&amp;基本属性!$C$30</f>
        <v>250|20</v>
      </c>
      <c r="B10154" s="10" t="str">
        <f>参数调整!$J$40</f>
        <v>新增怪物种类5掉落</v>
      </c>
      <c r="C10154" s="8" t="str">
        <f>材料产出!$AR$2</f>
        <v>火龙精魄</v>
      </c>
      <c r="D10154" s="224">
        <f>参数调整!$K$40*怪物掉落配置方案!$D5024</f>
        <v>1.2428692600347114E-3</v>
      </c>
    </row>
    <row r="10155" spans="1:4" ht="16.5" hidden="1" x14ac:dyDescent="0.3">
      <c r="A10155" s="10" t="str">
        <f>基本属性!$B$4&amp;"|"&amp;基本属性!$C$4</f>
        <v>35|0</v>
      </c>
      <c r="B10155" s="10" t="str">
        <f>参数调整!$J$40</f>
        <v>新增怪物种类5掉落</v>
      </c>
      <c r="C10155" s="8" t="str">
        <f>材料产出!$L$2</f>
        <v>火龙币</v>
      </c>
      <c r="D10155" s="224">
        <f>参数调整!$K$40*怪物掉落配置方案!$D5025</f>
        <v>4.4641834646144754E-3</v>
      </c>
    </row>
    <row r="10156" spans="1:4" ht="16.5" hidden="1" x14ac:dyDescent="0.3">
      <c r="A10156" s="10" t="str">
        <f>基本属性!$B$5&amp;"|"&amp;基本属性!$C$5</f>
        <v>40|0</v>
      </c>
      <c r="B10156" s="10" t="str">
        <f>参数调整!$J$40</f>
        <v>新增怪物种类5掉落</v>
      </c>
      <c r="C10156" s="8" t="str">
        <f>材料产出!$L$2</f>
        <v>火龙币</v>
      </c>
      <c r="D10156" s="224">
        <f>参数调整!$K$40*怪物掉落配置方案!$D5026</f>
        <v>5.6499821974026945E-3</v>
      </c>
    </row>
    <row r="10157" spans="1:4" ht="16.5" hidden="1" x14ac:dyDescent="0.3">
      <c r="A10157" s="10" t="str">
        <f>基本属性!$B$6&amp;"|"&amp;基本属性!$C$6</f>
        <v>50|0</v>
      </c>
      <c r="B10157" s="10" t="str">
        <f>参数调整!$J$40</f>
        <v>新增怪物种类5掉落</v>
      </c>
      <c r="C10157" s="8" t="str">
        <f>材料产出!$L$2</f>
        <v>火龙币</v>
      </c>
      <c r="D10157" s="224">
        <f>参数调整!$K$40*怪物掉落配置方案!$D5027</f>
        <v>6.9752866634601165E-3</v>
      </c>
    </row>
    <row r="10158" spans="1:4" ht="16.5" hidden="1" x14ac:dyDescent="0.3">
      <c r="A10158" s="10" t="str">
        <f>基本属性!$B$7&amp;"|"&amp;基本属性!$C$7</f>
        <v>60|0</v>
      </c>
      <c r="B10158" s="10" t="str">
        <f>参数调整!$J$40</f>
        <v>新增怪物种类5掉落</v>
      </c>
      <c r="C10158" s="8" t="str">
        <f>材料产出!$L$2</f>
        <v>火龙币</v>
      </c>
      <c r="D10158" s="224">
        <f>参数调整!$K$40*怪物掉落配置方案!$D5028</f>
        <v>8.4400968627867407E-3</v>
      </c>
    </row>
    <row r="10159" spans="1:4" ht="16.5" hidden="1" x14ac:dyDescent="0.3">
      <c r="A10159" s="10" t="str">
        <f>基本属性!$B$8&amp;"|"&amp;基本属性!$C$8</f>
        <v>65|0</v>
      </c>
      <c r="B10159" s="10" t="str">
        <f>参数调整!$J$40</f>
        <v>新增怪物种类5掉落</v>
      </c>
      <c r="C10159" s="8" t="str">
        <f>材料产出!$L$2</f>
        <v>火龙币</v>
      </c>
      <c r="D10159" s="224">
        <f>参数调整!$K$40*怪物掉落配置方案!$D5029</f>
        <v>1.0044412795382568E-2</v>
      </c>
    </row>
    <row r="10160" spans="1:4" ht="16.5" hidden="1" x14ac:dyDescent="0.3">
      <c r="A10160" s="10" t="str">
        <f>基本属性!$B$9&amp;"|"&amp;基本属性!$C$9</f>
        <v>70|0</v>
      </c>
      <c r="B10160" s="10" t="str">
        <f>参数调整!$J$40</f>
        <v>新增怪物种类5掉落</v>
      </c>
      <c r="C10160" s="8" t="str">
        <f>材料产出!$L$2</f>
        <v>火龙币</v>
      </c>
      <c r="D10160" s="224">
        <f>参数调整!$K$40*怪物掉落配置方案!$D5030</f>
        <v>1.1788234461247596E-2</v>
      </c>
    </row>
    <row r="10161" spans="1:4" ht="16.5" hidden="1" x14ac:dyDescent="0.3">
      <c r="A10161" s="10" t="str">
        <f>基本属性!$B$10&amp;"|"&amp;基本属性!$C$10</f>
        <v>75|0</v>
      </c>
      <c r="B10161" s="10" t="str">
        <f>参数调整!$J$40</f>
        <v>新增怪物种类5掉落</v>
      </c>
      <c r="C10161" s="8" t="str">
        <f>材料产出!$L$2</f>
        <v>火龙币</v>
      </c>
      <c r="D10161" s="224">
        <f>参数调整!$K$40*怪物掉落配置方案!$D5031</f>
        <v>1.3671561860381825E-2</v>
      </c>
    </row>
    <row r="10162" spans="1:4" ht="16.5" hidden="1" x14ac:dyDescent="0.3">
      <c r="A10162" s="10" t="str">
        <f>基本属性!$B$11&amp;"|"&amp;基本属性!$C$11</f>
        <v>80|1</v>
      </c>
      <c r="B10162" s="10" t="str">
        <f>参数调整!$J$40</f>
        <v>新增怪物种类5掉落</v>
      </c>
      <c r="C10162" s="8" t="str">
        <f>材料产出!$L$2</f>
        <v>火龙币</v>
      </c>
      <c r="D10162" s="224">
        <f>参数调整!$K$40*怪物掉落配置方案!$D5032</f>
        <v>1.5694394992785261E-2</v>
      </c>
    </row>
    <row r="10163" spans="1:4" ht="16.5" hidden="1" x14ac:dyDescent="0.3">
      <c r="A10163" s="10" t="str">
        <f>基本属性!$B$12&amp;"|"&amp;基本属性!$C$12</f>
        <v>90|2</v>
      </c>
      <c r="B10163" s="10" t="str">
        <f>参数调整!$J$40</f>
        <v>新增怪物种类5掉落</v>
      </c>
      <c r="C10163" s="8" t="str">
        <f>材料产出!$L$2</f>
        <v>火龙币</v>
      </c>
      <c r="D10163" s="224">
        <f>参数调整!$K$40*怪物掉落配置方案!$D5033</f>
        <v>1.7856733858457902E-2</v>
      </c>
    </row>
    <row r="10164" spans="1:4" ht="16.5" hidden="1" x14ac:dyDescent="0.3">
      <c r="A10164" s="10" t="str">
        <f>基本属性!$B$13&amp;"|"&amp;基本属性!$C$13</f>
        <v>100|3</v>
      </c>
      <c r="B10164" s="10" t="str">
        <f>参数调整!$J$40</f>
        <v>新增怪物种类5掉落</v>
      </c>
      <c r="C10164" s="8" t="str">
        <f>材料产出!$L$2</f>
        <v>火龙币</v>
      </c>
      <c r="D10164" s="224">
        <f>参数调整!$K$40*怪物掉落配置方案!$D5034</f>
        <v>2.2599928789610781E-2</v>
      </c>
    </row>
    <row r="10165" spans="1:4" ht="16.5" hidden="1" x14ac:dyDescent="0.3">
      <c r="A10165" s="10" t="str">
        <f>基本属性!$B$14&amp;"|"&amp;基本属性!$C$14</f>
        <v>105|4</v>
      </c>
      <c r="B10165" s="10" t="str">
        <f>参数调整!$J$40</f>
        <v>新增怪物种类5掉落</v>
      </c>
      <c r="C10165" s="8" t="str">
        <f>材料产出!$L$2</f>
        <v>火龙币</v>
      </c>
      <c r="D10165" s="224">
        <f>参数调整!$K$40*怪物掉落配置方案!$D5035</f>
        <v>2.7901146653840466E-2</v>
      </c>
    </row>
    <row r="10166" spans="1:4" ht="16.5" hidden="1" x14ac:dyDescent="0.3">
      <c r="A10166" s="10" t="str">
        <f>基本属性!$B$15&amp;"|"&amp;基本属性!$C$15</f>
        <v>110|5</v>
      </c>
      <c r="B10166" s="10" t="str">
        <f>参数调整!$J$40</f>
        <v>新增怪物种类5掉落</v>
      </c>
      <c r="C10166" s="8" t="str">
        <f>材料产出!$L$2</f>
        <v>火龙币</v>
      </c>
      <c r="D10166" s="224">
        <f>参数调整!$K$40*怪物掉落配置方案!$D5036</f>
        <v>3.376038745114697E-2</v>
      </c>
    </row>
    <row r="10167" spans="1:4" ht="16.5" hidden="1" x14ac:dyDescent="0.3">
      <c r="A10167" s="10" t="str">
        <f>基本属性!$B$16&amp;"|"&amp;基本属性!$C$16</f>
        <v>120|6</v>
      </c>
      <c r="B10167" s="10" t="str">
        <f>参数调整!$J$40</f>
        <v>新增怪物种类5掉落</v>
      </c>
      <c r="C10167" s="8" t="str">
        <f>材料产出!$L$2</f>
        <v>火龙币</v>
      </c>
      <c r="D10167" s="224">
        <f>参数调整!$K$40*怪物掉落配置方案!$D5037</f>
        <v>4.3595541646625734E-2</v>
      </c>
    </row>
    <row r="10168" spans="1:4" ht="16.5" hidden="1" x14ac:dyDescent="0.3">
      <c r="A10168" s="10" t="str">
        <f>基本属性!$B$17&amp;"|"&amp;基本属性!$C$17</f>
        <v>135|7</v>
      </c>
      <c r="B10168" s="10" t="str">
        <f>参数调整!$J$40</f>
        <v>新增怪物种类5掉落</v>
      </c>
      <c r="C10168" s="8" t="str">
        <f>材料产出!$L$2</f>
        <v>火龙币</v>
      </c>
      <c r="D10168" s="224">
        <f>参数调整!$K$40*怪物掉落配置方案!$D5038</f>
        <v>6.2777579971141043E-2</v>
      </c>
    </row>
    <row r="10169" spans="1:4" ht="16.5" hidden="1" x14ac:dyDescent="0.3">
      <c r="A10169" s="10" t="str">
        <f>基本属性!$B$18&amp;"|"&amp;基本属性!$C$18</f>
        <v>155|8</v>
      </c>
      <c r="B10169" s="10" t="str">
        <f>参数调整!$J$40</f>
        <v>新增怪物种类5掉落</v>
      </c>
      <c r="C10169" s="8" t="str">
        <f>材料产出!$L$2</f>
        <v>火龙币</v>
      </c>
      <c r="D10169" s="224">
        <f>参数调整!$K$40*怪物掉落配置方案!$D5039</f>
        <v>8.5447261627386431E-2</v>
      </c>
    </row>
    <row r="10170" spans="1:4" ht="16.5" hidden="1" x14ac:dyDescent="0.3">
      <c r="A10170" s="10" t="str">
        <f>基本属性!$B$19&amp;"|"&amp;基本属性!$C$19</f>
        <v>190|9</v>
      </c>
      <c r="B10170" s="10" t="str">
        <f>参数调整!$J$40</f>
        <v>新增怪物种类5掉落</v>
      </c>
      <c r="C10170" s="8" t="str">
        <f>材料产出!$L$2</f>
        <v>火龙币</v>
      </c>
      <c r="D10170" s="224">
        <f>参数调整!$K$40*怪物掉落配置方案!$D5040</f>
        <v>9.5491674422768999E-2</v>
      </c>
    </row>
    <row r="10171" spans="1:4" ht="16.5" hidden="1" x14ac:dyDescent="0.3">
      <c r="A10171" s="10" t="str">
        <f>基本属性!$B$20&amp;"|"&amp;基本属性!$C$20</f>
        <v>200|10</v>
      </c>
      <c r="B10171" s="10" t="str">
        <f>参数调整!$J$40</f>
        <v>新增怪物种类5掉落</v>
      </c>
      <c r="C10171" s="8" t="str">
        <f>材料产出!$L$2</f>
        <v>火龙币</v>
      </c>
      <c r="D10171" s="224">
        <f>参数调整!$K$40*怪物掉落配置方案!$D5041</f>
        <v>0.11160458661536186</v>
      </c>
    </row>
    <row r="10172" spans="1:4" ht="16.5" hidden="1" x14ac:dyDescent="0.3">
      <c r="A10172" s="10" t="str">
        <f>基本属性!$B$21&amp;"|"&amp;基本属性!$C$21</f>
        <v>200|11</v>
      </c>
      <c r="B10172" s="10" t="str">
        <f>参数调整!$J$40</f>
        <v>新增怪物种类5掉落</v>
      </c>
      <c r="C10172" s="8" t="str">
        <f>材料产出!$L$2</f>
        <v>火龙币</v>
      </c>
      <c r="D10172" s="224">
        <f>参数调整!$K$40*怪物掉落配置方案!$D5042</f>
        <v>0.12897305040737753</v>
      </c>
    </row>
    <row r="10173" spans="1:4" ht="16.5" hidden="1" x14ac:dyDescent="0.3">
      <c r="A10173" s="10" t="str">
        <f>基本属性!$B$22&amp;"|"&amp;基本属性!$C$22</f>
        <v>210|12</v>
      </c>
      <c r="B10173" s="10" t="str">
        <f>参数调整!$J$40</f>
        <v>新增怪物种类5掉落</v>
      </c>
      <c r="C10173" s="8" t="str">
        <f>材料产出!$L$2</f>
        <v>火龙币</v>
      </c>
      <c r="D10173" s="224">
        <f>参数调整!$K$40*怪物掉落配置方案!$D5043</f>
        <v>0.14759706579881604</v>
      </c>
    </row>
    <row r="10174" spans="1:4" ht="16.5" hidden="1" x14ac:dyDescent="0.3">
      <c r="A10174" s="10" t="str">
        <f>基本属性!$B$23&amp;"|"&amp;基本属性!$C$23</f>
        <v>210|13</v>
      </c>
      <c r="B10174" s="10" t="str">
        <f>参数调整!$J$40</f>
        <v>新增怪物种类5掉落</v>
      </c>
      <c r="C10174" s="8" t="str">
        <f>材料产出!$L$2</f>
        <v>火龙币</v>
      </c>
      <c r="D10174" s="224">
        <f>参数调整!$K$40*怪物掉落配置方案!$D5044</f>
        <v>0.16747663278967739</v>
      </c>
    </row>
    <row r="10175" spans="1:4" ht="16.5" hidden="1" x14ac:dyDescent="0.3">
      <c r="A10175" s="10" t="str">
        <f>基本属性!$B$24&amp;"|"&amp;基本属性!$C$24</f>
        <v>220|14</v>
      </c>
      <c r="B10175" s="10" t="str">
        <f>参数调整!$J$40</f>
        <v>新增怪物种类5掉落</v>
      </c>
      <c r="C10175" s="8" t="str">
        <f>材料产出!$L$2</f>
        <v>火龙币</v>
      </c>
      <c r="D10175" s="224">
        <f>参数调整!$K$40*怪物掉落配置方案!$D5045</f>
        <v>0.18861175137996156</v>
      </c>
    </row>
    <row r="10176" spans="1:4" ht="16.5" hidden="1" x14ac:dyDescent="0.3">
      <c r="A10176" s="10" t="str">
        <f>基本属性!$B$25&amp;"|"&amp;基本属性!$C$25</f>
        <v>220|15</v>
      </c>
      <c r="B10176" s="10" t="str">
        <f>参数调整!$J$40</f>
        <v>新增怪物种类5掉落</v>
      </c>
      <c r="C10176" s="8" t="str">
        <f>材料产出!$L$2</f>
        <v>火龙币</v>
      </c>
      <c r="D10176" s="224">
        <f>参数调整!$K$40*怪物掉落配置方案!$D5046</f>
        <v>0.2110024215696685</v>
      </c>
    </row>
    <row r="10177" spans="1:4" ht="16.5" hidden="1" x14ac:dyDescent="0.3">
      <c r="A10177" s="10" t="str">
        <f>基本属性!$B$26&amp;"|"&amp;基本属性!$C$26</f>
        <v>230|16</v>
      </c>
      <c r="B10177" s="10" t="str">
        <f>参数调整!$J$40</f>
        <v>新增怪物种类5掉落</v>
      </c>
      <c r="C10177" s="8" t="str">
        <f>材料产出!$L$2</f>
        <v>火龙币</v>
      </c>
      <c r="D10177" s="224">
        <f>参数调整!$K$40*怪物掉落配置方案!$D5047</f>
        <v>0.23464864335879829</v>
      </c>
    </row>
    <row r="10178" spans="1:4" ht="16.5" hidden="1" x14ac:dyDescent="0.3">
      <c r="A10178" s="10" t="str">
        <f>基本属性!$B$27&amp;"|"&amp;基本属性!$C$27</f>
        <v>230|17</v>
      </c>
      <c r="B10178" s="10" t="str">
        <f>参数调整!$J$40</f>
        <v>新增怪物种类5掉落</v>
      </c>
      <c r="C10178" s="8" t="str">
        <f>材料产出!$L$2</f>
        <v>火龙币</v>
      </c>
      <c r="D10178" s="224">
        <f>参数调整!$K$40*怪物掉落配置方案!$D5048</f>
        <v>0.25955041674735091</v>
      </c>
    </row>
    <row r="10179" spans="1:4" ht="16.5" hidden="1" x14ac:dyDescent="0.3">
      <c r="A10179" s="10" t="str">
        <f>基本属性!$B$28&amp;"|"&amp;基本属性!$C$28</f>
        <v>240|18</v>
      </c>
      <c r="B10179" s="10" t="str">
        <f>参数调整!$J$40</f>
        <v>新增怪物种类5掉落</v>
      </c>
      <c r="C10179" s="8" t="str">
        <f>材料产出!$L$2</f>
        <v>火龙币</v>
      </c>
      <c r="D10179" s="224">
        <f>参数调整!$K$40*怪物掉落配置方案!$D5049</f>
        <v>0.28570774173532643</v>
      </c>
    </row>
    <row r="10180" spans="1:4" ht="16.5" hidden="1" x14ac:dyDescent="0.3">
      <c r="A10180" s="10" t="str">
        <f>基本属性!$B$29&amp;"|"&amp;基本属性!$C$29</f>
        <v>240|19</v>
      </c>
      <c r="B10180" s="10" t="str">
        <f>参数调整!$J$40</f>
        <v>新增怪物种类5掉落</v>
      </c>
      <c r="C10180" s="8" t="str">
        <f>材料产出!$L$2</f>
        <v>火龙币</v>
      </c>
      <c r="D10180" s="224">
        <f>参数调整!$K$40*怪物掉落配置方案!$D5050</f>
        <v>0.31312061832272464</v>
      </c>
    </row>
    <row r="10181" spans="1:4" ht="16.5" hidden="1" x14ac:dyDescent="0.3">
      <c r="A10181" s="10" t="str">
        <f>基本属性!$B$30&amp;"|"&amp;基本属性!$C$30</f>
        <v>250|20</v>
      </c>
      <c r="B10181" s="10" t="str">
        <f>参数调整!$J$40</f>
        <v>新增怪物种类5掉落</v>
      </c>
      <c r="C10181" s="8" t="str">
        <f>材料产出!$L$2</f>
        <v>火龙币</v>
      </c>
      <c r="D10181" s="224">
        <f>参数调整!$K$40*怪物掉落配置方案!$D5051</f>
        <v>0.34178904650954567</v>
      </c>
    </row>
    <row r="10182" spans="1:4" ht="16.5" hidden="1" x14ac:dyDescent="0.3">
      <c r="A10182" s="10" t="str">
        <f>基本属性!$B$4&amp;"|"&amp;基本属性!$C$4</f>
        <v>35|0</v>
      </c>
      <c r="B10182" s="10" t="str">
        <f>参数调整!$J$40</f>
        <v>新增怪物种类5掉落</v>
      </c>
      <c r="C10182" s="8" t="str">
        <f>材料产出!$BD$2</f>
        <v>防具碎片</v>
      </c>
      <c r="D10182" s="224">
        <f>参数调整!$K$40*怪物掉落配置方案!$D5052</f>
        <v>1.6233394416779908E-4</v>
      </c>
    </row>
    <row r="10183" spans="1:4" ht="16.5" hidden="1" x14ac:dyDescent="0.3">
      <c r="A10183" s="10" t="str">
        <f>基本属性!$B$5&amp;"|"&amp;基本属性!$C$5</f>
        <v>40|0</v>
      </c>
      <c r="B10183" s="10" t="str">
        <f>参数调整!$J$40</f>
        <v>新增怪物种类5掉落</v>
      </c>
      <c r="C10183" s="8" t="str">
        <f>材料产出!$BD$2</f>
        <v>防具碎片</v>
      </c>
      <c r="D10183" s="224">
        <f>参数调整!$K$40*怪物掉落配置方案!$D5053</f>
        <v>2.0545389808737072E-4</v>
      </c>
    </row>
    <row r="10184" spans="1:4" ht="16.5" hidden="1" x14ac:dyDescent="0.3">
      <c r="A10184" s="10" t="str">
        <f>基本属性!$B$6&amp;"|"&amp;基本属性!$C$6</f>
        <v>50|0</v>
      </c>
      <c r="B10184" s="10" t="str">
        <f>参数调整!$J$40</f>
        <v>新增怪物种类5掉落</v>
      </c>
      <c r="C10184" s="8" t="str">
        <f>材料产出!$BD$2</f>
        <v>防具碎片</v>
      </c>
      <c r="D10184" s="224">
        <f>参数调整!$K$40*怪物掉落配置方案!$D5054</f>
        <v>2.5364678776218611E-4</v>
      </c>
    </row>
    <row r="10185" spans="1:4" ht="16.5" hidden="1" x14ac:dyDescent="0.3">
      <c r="A10185" s="10" t="str">
        <f>基本属性!$B$7&amp;"|"&amp;基本属性!$C$7</f>
        <v>60|0</v>
      </c>
      <c r="B10185" s="10" t="str">
        <f>参数调整!$J$40</f>
        <v>新增怪物种类5掉落</v>
      </c>
      <c r="C10185" s="8" t="str">
        <f>材料产出!$BD$2</f>
        <v>防具碎片</v>
      </c>
      <c r="D10185" s="224">
        <f>参数调整!$K$40*怪物掉落配置方案!$D5055</f>
        <v>3.0691261319224514E-4</v>
      </c>
    </row>
    <row r="10186" spans="1:4" ht="16.5" hidden="1" x14ac:dyDescent="0.3">
      <c r="A10186" s="10" t="str">
        <f>基本属性!$B$8&amp;"|"&amp;基本属性!$C$8</f>
        <v>65|0</v>
      </c>
      <c r="B10186" s="10" t="str">
        <f>参数调整!$J$40</f>
        <v>新增怪物种类5掉落</v>
      </c>
      <c r="C10186" s="8" t="str">
        <f>材料产出!$BD$2</f>
        <v>防具碎片</v>
      </c>
      <c r="D10186" s="224">
        <f>参数调整!$K$40*怪物掉落配置方案!$D5056</f>
        <v>3.6525137437754793E-4</v>
      </c>
    </row>
    <row r="10187" spans="1:4" ht="16.5" hidden="1" x14ac:dyDescent="0.3">
      <c r="A10187" s="10" t="str">
        <f>基本属性!$B$9&amp;"|"&amp;基本属性!$C$9</f>
        <v>70|0</v>
      </c>
      <c r="B10187" s="10" t="str">
        <f>参数调整!$J$40</f>
        <v>新增怪物种类5掉落</v>
      </c>
      <c r="C10187" s="8" t="str">
        <f>材料产出!$BD$2</f>
        <v>防具碎片</v>
      </c>
      <c r="D10187" s="224">
        <f>参数调整!$K$40*怪物掉落配置方案!$D5057</f>
        <v>4.2866307131809447E-4</v>
      </c>
    </row>
    <row r="10188" spans="1:4" ht="16.5" hidden="1" x14ac:dyDescent="0.3">
      <c r="A10188" s="10" t="str">
        <f>基本属性!$B$10&amp;"|"&amp;基本属性!$C$10</f>
        <v>75|0</v>
      </c>
      <c r="B10188" s="10" t="str">
        <f>参数调整!$J$40</f>
        <v>新增怪物种类5掉落</v>
      </c>
      <c r="C10188" s="8" t="str">
        <f>材料产出!$BD$2</f>
        <v>防具碎片</v>
      </c>
      <c r="D10188" s="224">
        <f>参数调整!$K$40*怪物掉落配置方案!$D5058</f>
        <v>4.971477040138846E-4</v>
      </c>
    </row>
    <row r="10189" spans="1:4" ht="16.5" hidden="1" x14ac:dyDescent="0.3">
      <c r="A10189" s="10" t="str">
        <f>基本属性!$B$11&amp;"|"&amp;基本属性!$C$11</f>
        <v>80|1</v>
      </c>
      <c r="B10189" s="10" t="str">
        <f>参数调整!$J$40</f>
        <v>新增怪物种类5掉落</v>
      </c>
      <c r="C10189" s="8" t="str">
        <f>材料产出!$BD$2</f>
        <v>防具碎片</v>
      </c>
      <c r="D10189" s="224">
        <f>参数调整!$K$40*怪物掉落配置方案!$D5059</f>
        <v>5.7070527246491859E-4</v>
      </c>
    </row>
    <row r="10190" spans="1:4" ht="16.5" hidden="1" x14ac:dyDescent="0.3">
      <c r="A10190" s="10" t="str">
        <f>基本属性!$B$12&amp;"|"&amp;基本属性!$C$12</f>
        <v>90|2</v>
      </c>
      <c r="B10190" s="10" t="str">
        <f>参数调整!$J$40</f>
        <v>新增怪物种类5掉落</v>
      </c>
      <c r="C10190" s="8" t="str">
        <f>材料产出!$BD$2</f>
        <v>防具碎片</v>
      </c>
      <c r="D10190" s="224">
        <f>参数调整!$K$40*怪物掉落配置方案!$D5060</f>
        <v>6.4933577667119645E-4</v>
      </c>
    </row>
    <row r="10191" spans="1:4" ht="16.5" hidden="1" x14ac:dyDescent="0.3">
      <c r="A10191" s="10" t="str">
        <f>基本属性!$B$13&amp;"|"&amp;基本属性!$C$13</f>
        <v>100|3</v>
      </c>
      <c r="B10191" s="10" t="str">
        <f>参数调整!$J$40</f>
        <v>新增怪物种类5掉落</v>
      </c>
      <c r="C10191" s="8" t="str">
        <f>材料产出!$BD$2</f>
        <v>防具碎片</v>
      </c>
      <c r="D10191" s="224">
        <f>参数调整!$K$40*怪物掉落配置方案!$D5061</f>
        <v>8.2181559234948299E-4</v>
      </c>
    </row>
    <row r="10192" spans="1:4" ht="16.5" hidden="1" x14ac:dyDescent="0.3">
      <c r="A10192" s="10" t="str">
        <f>基本属性!$B$14&amp;"|"&amp;基本属性!$C$14</f>
        <v>105|4</v>
      </c>
      <c r="B10192" s="10" t="str">
        <f>参数调整!$J$40</f>
        <v>新增怪物种类5掉落</v>
      </c>
      <c r="C10192" s="8" t="str">
        <f>材料产出!$BD$2</f>
        <v>防具碎片</v>
      </c>
      <c r="D10192" s="224">
        <f>参数调整!$K$40*怪物掉落配置方案!$D5062</f>
        <v>1.0145871510487444E-3</v>
      </c>
    </row>
    <row r="10193" spans="1:4" ht="16.5" hidden="1" x14ac:dyDescent="0.3">
      <c r="A10193" s="10" t="str">
        <f>基本属性!$B$15&amp;"|"&amp;基本属性!$C$15</f>
        <v>110|5</v>
      </c>
      <c r="B10193" s="10" t="str">
        <f>参数调整!$J$40</f>
        <v>新增怪物种类5掉落</v>
      </c>
      <c r="C10193" s="8" t="str">
        <f>材料产出!$BD$2</f>
        <v>防具碎片</v>
      </c>
      <c r="D10193" s="224">
        <f>参数调整!$K$40*怪物掉落配置方案!$D5063</f>
        <v>1.2276504527689808E-3</v>
      </c>
    </row>
    <row r="10194" spans="1:4" ht="16.5" hidden="1" x14ac:dyDescent="0.3">
      <c r="A10194" s="10" t="str">
        <f>基本属性!$B$16&amp;"|"&amp;基本属性!$C$16</f>
        <v>120|6</v>
      </c>
      <c r="B10194" s="10" t="str">
        <f>参数调整!$J$40</f>
        <v>新增怪物种类5掉落</v>
      </c>
      <c r="C10194" s="8" t="str">
        <f>材料产出!$BD$2</f>
        <v>防具碎片</v>
      </c>
      <c r="D10194" s="224">
        <f>参数调整!$K$40*怪物掉落配置方案!$D5064</f>
        <v>1.5852924235136632E-3</v>
      </c>
    </row>
    <row r="10195" spans="1:4" ht="16.5" hidden="1" x14ac:dyDescent="0.3">
      <c r="A10195" s="10" t="str">
        <f>基本属性!$B$17&amp;"|"&amp;基本属性!$C$17</f>
        <v>135|7</v>
      </c>
      <c r="B10195" s="10" t="str">
        <f>参数调整!$J$40</f>
        <v>新增怪物种类5掉落</v>
      </c>
      <c r="C10195" s="8" t="str">
        <f>材料产出!$BD$2</f>
        <v>防具碎片</v>
      </c>
      <c r="D10195" s="224">
        <f>参数调整!$K$40*怪物掉落配置方案!$D5065</f>
        <v>2.2828210898596744E-3</v>
      </c>
    </row>
    <row r="10196" spans="1:4" ht="16.5" hidden="1" x14ac:dyDescent="0.3">
      <c r="A10196" s="10" t="str">
        <f>基本属性!$B$18&amp;"|"&amp;基本属性!$C$18</f>
        <v>155|8</v>
      </c>
      <c r="B10196" s="10" t="str">
        <f>参数调整!$J$40</f>
        <v>新增怪物种类5掉落</v>
      </c>
      <c r="C10196" s="8" t="str">
        <f>材料产出!$BD$2</f>
        <v>防具碎片</v>
      </c>
      <c r="D10196" s="224">
        <f>参数调整!$K$40*怪物掉落配置方案!$D5066</f>
        <v>3.1071731500867793E-3</v>
      </c>
    </row>
    <row r="10197" spans="1:4" ht="16.5" hidden="1" x14ac:dyDescent="0.3">
      <c r="A10197" s="10" t="str">
        <f>基本属性!$B$19&amp;"|"&amp;基本属性!$C$19</f>
        <v>190|9</v>
      </c>
      <c r="B10197" s="10" t="str">
        <f>参数调整!$J$40</f>
        <v>新增怪物种类5掉落</v>
      </c>
      <c r="C10197" s="8" t="str">
        <f>材料产出!$BD$2</f>
        <v>防具碎片</v>
      </c>
      <c r="D10197" s="224">
        <f>参数调整!$K$40*怪物掉落配置方案!$D5067</f>
        <v>3.4724245244643274E-3</v>
      </c>
    </row>
    <row r="10198" spans="1:4" ht="16.5" hidden="1" x14ac:dyDescent="0.3">
      <c r="A10198" s="10" t="str">
        <f>基本属性!$B$20&amp;"|"&amp;基本属性!$C$20</f>
        <v>200|10</v>
      </c>
      <c r="B10198" s="10" t="str">
        <f>参数调整!$J$40</f>
        <v>新增怪物种类5掉落</v>
      </c>
      <c r="C10198" s="8" t="str">
        <f>材料产出!$BD$2</f>
        <v>防具碎片</v>
      </c>
      <c r="D10198" s="224">
        <f>参数调整!$K$40*怪物掉落配置方案!$D5068</f>
        <v>4.0583486041949777E-3</v>
      </c>
    </row>
    <row r="10199" spans="1:4" ht="16.5" hidden="1" x14ac:dyDescent="0.3">
      <c r="A10199" s="10" t="str">
        <f>基本属性!$B$21&amp;"|"&amp;基本属性!$C$21</f>
        <v>200|11</v>
      </c>
      <c r="B10199" s="10" t="str">
        <f>参数调整!$J$40</f>
        <v>新增怪物种类5掉落</v>
      </c>
      <c r="C10199" s="8" t="str">
        <f>材料产出!$BD$2</f>
        <v>防具碎片</v>
      </c>
      <c r="D10199" s="224">
        <f>参数调整!$K$40*怪物掉落配置方案!$D5069</f>
        <v>4.6899291057228192E-3</v>
      </c>
    </row>
    <row r="10200" spans="1:4" ht="16.5" hidden="1" x14ac:dyDescent="0.3">
      <c r="A10200" s="10" t="str">
        <f>基本属性!$B$22&amp;"|"&amp;基本属性!$C$22</f>
        <v>210|12</v>
      </c>
      <c r="B10200" s="10" t="str">
        <f>参数调整!$J$40</f>
        <v>新增怪物种类5掉落</v>
      </c>
      <c r="C10200" s="8" t="str">
        <f>材料产出!$BD$2</f>
        <v>防具碎片</v>
      </c>
      <c r="D10200" s="224">
        <f>参数调整!$K$40*怪物掉落配置方案!$D5070</f>
        <v>5.3671660290478557E-3</v>
      </c>
    </row>
    <row r="10201" spans="1:4" ht="16.5" hidden="1" x14ac:dyDescent="0.3">
      <c r="A10201" s="10" t="str">
        <f>基本属性!$B$23&amp;"|"&amp;基本属性!$C$23</f>
        <v>210|13</v>
      </c>
      <c r="B10201" s="10" t="str">
        <f>参数调整!$J$40</f>
        <v>新增怪物种类5掉落</v>
      </c>
      <c r="C10201" s="8" t="str">
        <f>材料产出!$BD$2</f>
        <v>防具碎片</v>
      </c>
      <c r="D10201" s="224">
        <f>参数调整!$K$40*怪物掉落配置方案!$D5071</f>
        <v>6.0900593741700882E-3</v>
      </c>
    </row>
    <row r="10202" spans="1:4" ht="16.5" hidden="1" x14ac:dyDescent="0.3">
      <c r="A10202" s="10" t="str">
        <f>基本属性!$B$24&amp;"|"&amp;基本属性!$C$24</f>
        <v>220|14</v>
      </c>
      <c r="B10202" s="10" t="str">
        <f>参数调整!$J$40</f>
        <v>新增怪物种类5掉落</v>
      </c>
      <c r="C10202" s="8" t="str">
        <f>材料产出!$BD$2</f>
        <v>防具碎片</v>
      </c>
      <c r="D10202" s="224">
        <f>参数调整!$K$40*怪物掉落配置方案!$D5072</f>
        <v>6.8586091410895115E-3</v>
      </c>
    </row>
    <row r="10203" spans="1:4" ht="16.5" hidden="1" x14ac:dyDescent="0.3">
      <c r="A10203" s="10" t="str">
        <f>基本属性!$B$25&amp;"|"&amp;基本属性!$C$25</f>
        <v>220|15</v>
      </c>
      <c r="B10203" s="10" t="str">
        <f>参数调整!$J$40</f>
        <v>新增怪物种类5掉落</v>
      </c>
      <c r="C10203" s="8" t="str">
        <f>材料产出!$BD$2</f>
        <v>防具碎片</v>
      </c>
      <c r="D10203" s="224">
        <f>参数调整!$K$40*怪物掉落配置方案!$D5073</f>
        <v>7.6728153298061263E-3</v>
      </c>
    </row>
    <row r="10204" spans="1:4" ht="16.5" hidden="1" x14ac:dyDescent="0.3">
      <c r="A10204" s="10" t="str">
        <f>基本属性!$B$26&amp;"|"&amp;基本属性!$C$26</f>
        <v>230|16</v>
      </c>
      <c r="B10204" s="10" t="str">
        <f>参数调整!$J$40</f>
        <v>新增怪物种类5掉落</v>
      </c>
      <c r="C10204" s="8" t="str">
        <f>材料产出!$BD$2</f>
        <v>防具碎片</v>
      </c>
      <c r="D10204" s="224">
        <f>参数调整!$K$40*怪物掉落配置方案!$D5074</f>
        <v>8.5326779403199389E-3</v>
      </c>
    </row>
    <row r="10205" spans="1:4" ht="16.5" hidden="1" x14ac:dyDescent="0.3">
      <c r="A10205" s="10" t="str">
        <f>基本属性!$B$27&amp;"|"&amp;基本属性!$C$27</f>
        <v>230|17</v>
      </c>
      <c r="B10205" s="10" t="str">
        <f>参数调整!$J$40</f>
        <v>新增怪物种类5掉落</v>
      </c>
      <c r="C10205" s="8" t="str">
        <f>材料产出!$BD$2</f>
        <v>防具碎片</v>
      </c>
      <c r="D10205" s="224">
        <f>参数调整!$K$40*怪物掉落配置方案!$D5075</f>
        <v>9.4381969726309422E-3</v>
      </c>
    </row>
    <row r="10206" spans="1:4" ht="16.5" hidden="1" x14ac:dyDescent="0.3">
      <c r="A10206" s="10" t="str">
        <f>基本属性!$B$28&amp;"|"&amp;基本属性!$C$28</f>
        <v>240|18</v>
      </c>
      <c r="B10206" s="10" t="str">
        <f>参数调整!$J$40</f>
        <v>新增怪物种类5掉落</v>
      </c>
      <c r="C10206" s="8" t="str">
        <f>材料产出!$BD$2</f>
        <v>防具碎片</v>
      </c>
      <c r="D10206" s="224">
        <f>参数调整!$K$40*怪物掉落配置方案!$D5076</f>
        <v>1.0389372426739141E-2</v>
      </c>
    </row>
    <row r="10207" spans="1:4" ht="16.5" hidden="1" x14ac:dyDescent="0.3">
      <c r="A10207" s="10" t="str">
        <f>基本属性!$B$29&amp;"|"&amp;基本属性!$C$29</f>
        <v>240|19</v>
      </c>
      <c r="B10207" s="10" t="str">
        <f>参数调整!$J$40</f>
        <v>新增怪物种类5掉落</v>
      </c>
      <c r="C10207" s="8" t="str">
        <f>材料产出!$BD$2</f>
        <v>防具碎片</v>
      </c>
      <c r="D10207" s="224">
        <f>参数调整!$K$40*怪物掉落配置方案!$D5077</f>
        <v>1.1386204302644533E-2</v>
      </c>
    </row>
    <row r="10208" spans="1:4" ht="16.5" hidden="1" x14ac:dyDescent="0.3">
      <c r="A10208" s="10" t="str">
        <f>基本属性!$B$30&amp;"|"&amp;基本属性!$C$30</f>
        <v>250|20</v>
      </c>
      <c r="B10208" s="10" t="str">
        <f>参数调整!$J$40</f>
        <v>新增怪物种类5掉落</v>
      </c>
      <c r="C10208" s="8" t="str">
        <f>材料产出!$BD$2</f>
        <v>防具碎片</v>
      </c>
      <c r="D10208" s="224">
        <f>参数调整!$K$40*怪物掉落配置方案!$D5078</f>
        <v>1.2428692600347114E-2</v>
      </c>
    </row>
    <row r="10209" spans="1:4" ht="16.5" hidden="1" x14ac:dyDescent="0.3">
      <c r="A10209" s="10" t="str">
        <f>基本属性!$B$4&amp;"|"&amp;基本属性!$C$4</f>
        <v>35|0</v>
      </c>
      <c r="B10209" s="10" t="str">
        <f>参数调整!$J$40</f>
        <v>新增怪物种类5掉落</v>
      </c>
      <c r="C10209" s="8" t="str">
        <f>材料产出!$AD$2</f>
        <v>凡品升星石</v>
      </c>
      <c r="D10209" s="224">
        <f>参数调整!$K$40*怪物掉落配置方案!$D5079</f>
        <v>2.2682521309060295E-2</v>
      </c>
    </row>
    <row r="10210" spans="1:4" ht="16.5" hidden="1" x14ac:dyDescent="0.3">
      <c r="A10210" s="10" t="str">
        <f>基本属性!$B$5&amp;"|"&amp;基本属性!$C$5</f>
        <v>40|0</v>
      </c>
      <c r="B10210" s="10" t="str">
        <f>参数调整!$J$40</f>
        <v>新增怪物种类5掉落</v>
      </c>
      <c r="C10210" s="8" t="str">
        <f>材料产出!$AD$2</f>
        <v>凡品升星石</v>
      </c>
      <c r="D10210" s="224">
        <f>参数调整!$K$40*怪物掉落配置方案!$D5080</f>
        <v>2.8707566031779444E-2</v>
      </c>
    </row>
    <row r="10211" spans="1:4" ht="16.5" hidden="1" x14ac:dyDescent="0.3">
      <c r="A10211" s="10" t="str">
        <f>基本属性!$B$6&amp;"|"&amp;基本属性!$C$6</f>
        <v>50|0</v>
      </c>
      <c r="B10211" s="10" t="str">
        <f>参数调整!$J$40</f>
        <v>新增怪物种类5掉落</v>
      </c>
      <c r="C10211" s="8" t="str">
        <f>材料产出!$AD$2</f>
        <v>凡品升星石</v>
      </c>
      <c r="D10211" s="224">
        <f>参数调整!$K$40*怪物掉落配置方案!$D5081</f>
        <v>3.5441439545406718E-2</v>
      </c>
    </row>
    <row r="10212" spans="1:4" ht="16.5" hidden="1" x14ac:dyDescent="0.3">
      <c r="A10212" s="10" t="str">
        <f>基本属性!$B$7&amp;"|"&amp;基本属性!$C$7</f>
        <v>60|0</v>
      </c>
      <c r="B10212" s="10" t="str">
        <f>参数调整!$J$40</f>
        <v>新增怪物种类5掉落</v>
      </c>
      <c r="C10212" s="8" t="str">
        <f>材料产出!$AD$2</f>
        <v>凡品升星石</v>
      </c>
      <c r="D10212" s="224">
        <f>参数调整!$K$40*怪物掉落配置方案!$D5082</f>
        <v>4.2884141849942124E-2</v>
      </c>
    </row>
    <row r="10213" spans="1:4" ht="16.5" hidden="1" x14ac:dyDescent="0.3">
      <c r="A10213" s="10" t="str">
        <f>基本属性!$B$8&amp;"|"&amp;基本属性!$C$8</f>
        <v>65|0</v>
      </c>
      <c r="B10213" s="10" t="str">
        <f>参数调整!$J$40</f>
        <v>新增怪物种类5掉落</v>
      </c>
      <c r="C10213" s="8" t="str">
        <f>材料产出!$AD$2</f>
        <v>凡品升星石</v>
      </c>
      <c r="D10213" s="224">
        <f>参数调整!$K$40*怪物掉落配置方案!$D5083</f>
        <v>5.103567294538567E-2</v>
      </c>
    </row>
    <row r="10214" spans="1:4" ht="16.5" hidden="1" x14ac:dyDescent="0.3">
      <c r="A10214" s="10" t="str">
        <f>基本属性!$B$9&amp;"|"&amp;基本属性!$C$9</f>
        <v>70|0</v>
      </c>
      <c r="B10214" s="10" t="str">
        <f>参数调整!$J$40</f>
        <v>新增怪物种类5掉落</v>
      </c>
      <c r="C10214" s="8" t="str">
        <f>材料产出!$AD$2</f>
        <v>凡品升星石</v>
      </c>
      <c r="D10214" s="224">
        <f>参数调整!$K$40*怪物掉落配置方案!$D5084</f>
        <v>5.9896032831737347E-2</v>
      </c>
    </row>
    <row r="10215" spans="1:4" ht="16.5" hidden="1" x14ac:dyDescent="0.3">
      <c r="A10215" s="10" t="str">
        <f>基本属性!$B$10&amp;"|"&amp;基本属性!$C$10</f>
        <v>75|0</v>
      </c>
      <c r="B10215" s="10" t="str">
        <f>参数调整!$J$40</f>
        <v>新增怪物种类5掉落</v>
      </c>
      <c r="C10215" s="8" t="str">
        <f>材料产出!$AD$2</f>
        <v>凡品升星石</v>
      </c>
      <c r="D10215" s="224">
        <f>参数调整!$K$40*怪物掉落配置方案!$D5085</f>
        <v>6.9465221508997158E-2</v>
      </c>
    </row>
    <row r="10216" spans="1:4" ht="16.5" hidden="1" x14ac:dyDescent="0.3">
      <c r="A10216" s="10" t="str">
        <f>基本属性!$B$11&amp;"|"&amp;基本属性!$C$11</f>
        <v>80|1</v>
      </c>
      <c r="B10216" s="10" t="str">
        <f>参数调整!$J$40</f>
        <v>新增怪物种类5掉落</v>
      </c>
      <c r="C10216" s="8" t="str">
        <f>材料产出!$AD$2</f>
        <v>凡品升星石</v>
      </c>
      <c r="D10216" s="224">
        <f>参数调整!$K$40*怪物掉落配置方案!$D5086</f>
        <v>7.9743238977165107E-2</v>
      </c>
    </row>
    <row r="10217" spans="1:4" ht="16.5" hidden="1" x14ac:dyDescent="0.3">
      <c r="A10217" s="10" t="str">
        <f>基本属性!$B$12&amp;"|"&amp;基本属性!$C$12</f>
        <v>90|2</v>
      </c>
      <c r="B10217" s="10" t="str">
        <f>参数调整!$J$40</f>
        <v>新增怪物种类5掉落</v>
      </c>
      <c r="C10217" s="8" t="str">
        <f>材料产出!$AD$2</f>
        <v>凡品升星石</v>
      </c>
      <c r="D10217" s="224">
        <f>参数调整!$K$40*怪物掉落配置方案!$D5087</f>
        <v>9.0730085236241223E-2</v>
      </c>
    </row>
    <row r="10218" spans="1:4" ht="16.5" hidden="1" x14ac:dyDescent="0.3">
      <c r="A10218" s="10" t="str">
        <f>基本属性!$B$13&amp;"|"&amp;基本属性!$C$13</f>
        <v>100|3</v>
      </c>
      <c r="B10218" s="10" t="str">
        <f>参数调整!$J$40</f>
        <v>新增怪物种类5掉落</v>
      </c>
      <c r="C10218" s="8" t="str">
        <f>材料产出!$AD$2</f>
        <v>凡品升星石</v>
      </c>
      <c r="D10218" s="224">
        <f>参数调整!$K$40*怪物掉落配置方案!$D5088</f>
        <v>0.11483026412711778</v>
      </c>
    </row>
    <row r="10219" spans="1:4" ht="16.5" hidden="1" x14ac:dyDescent="0.3">
      <c r="A10219" s="10" t="str">
        <f>基本属性!$B$14&amp;"|"&amp;基本属性!$C$14</f>
        <v>105|4</v>
      </c>
      <c r="B10219" s="10" t="str">
        <f>参数调整!$J$40</f>
        <v>新增怪物种类5掉落</v>
      </c>
      <c r="C10219" s="8" t="str">
        <f>材料产出!$AD$2</f>
        <v>凡品升星石</v>
      </c>
      <c r="D10219" s="224">
        <f>参数调整!$K$40*怪物掉落配置方案!$D5089</f>
        <v>0.14176575818162684</v>
      </c>
    </row>
    <row r="10220" spans="1:4" ht="16.5" hidden="1" x14ac:dyDescent="0.3">
      <c r="A10220" s="10" t="str">
        <f>基本属性!$B$15&amp;"|"&amp;基本属性!$C$15</f>
        <v>110|5</v>
      </c>
      <c r="B10220" s="10" t="str">
        <f>参数调整!$J$40</f>
        <v>新增怪物种类5掉落</v>
      </c>
      <c r="C10220" s="8" t="str">
        <f>材料产出!$AD$2</f>
        <v>凡品升星石</v>
      </c>
      <c r="D10220" s="224">
        <f>参数调整!$K$40*怪物掉落配置方案!$D5090</f>
        <v>0.1715365673997685</v>
      </c>
    </row>
    <row r="10221" spans="1:4" ht="16.5" hidden="1" x14ac:dyDescent="0.3">
      <c r="A10221" s="10" t="str">
        <f>基本属性!$B$16&amp;"|"&amp;基本属性!$C$16</f>
        <v>120|6</v>
      </c>
      <c r="B10221" s="10" t="str">
        <f>参数调整!$J$40</f>
        <v>新增怪物种类5掉落</v>
      </c>
      <c r="C10221" s="8" t="str">
        <f>材料产出!$AD$2</f>
        <v>凡品升星石</v>
      </c>
      <c r="D10221" s="224">
        <f>参数调整!$K$40*怪物掉落配置方案!$D5091</f>
        <v>0.22150899715879196</v>
      </c>
    </row>
    <row r="10222" spans="1:4" ht="16.5" hidden="1" x14ac:dyDescent="0.3">
      <c r="A10222" s="10" t="str">
        <f>基本属性!$B$17&amp;"|"&amp;基本属性!$C$17</f>
        <v>135|7</v>
      </c>
      <c r="B10222" s="10" t="str">
        <f>参数调整!$J$40</f>
        <v>新增怪物种类5掉落</v>
      </c>
      <c r="C10222" s="8" t="str">
        <f>材料产出!$AD$2</f>
        <v>凡品升星石</v>
      </c>
      <c r="D10222" s="224">
        <f>参数调整!$K$40*怪物掉落配置方案!$D5092</f>
        <v>0.31897295590866043</v>
      </c>
    </row>
    <row r="10223" spans="1:4" ht="16.5" hidden="1" x14ac:dyDescent="0.3">
      <c r="A10223" s="10" t="str">
        <f>基本属性!$B$18&amp;"|"&amp;基本属性!$C$18</f>
        <v>155|8</v>
      </c>
      <c r="B10223" s="10" t="str">
        <f>参数调整!$J$40</f>
        <v>新增怪物种类5掉落</v>
      </c>
      <c r="C10223" s="8" t="str">
        <f>材料产出!$AD$2</f>
        <v>凡品升星石</v>
      </c>
      <c r="D10223" s="224">
        <f>参数调整!$K$40*怪物掉落配置方案!$D5093</f>
        <v>0.43415763443123234</v>
      </c>
    </row>
    <row r="10224" spans="1:4" ht="16.5" hidden="1" x14ac:dyDescent="0.3">
      <c r="A10224" s="10" t="str">
        <f>基本属性!$B$19&amp;"|"&amp;基本属性!$C$19</f>
        <v>190|9</v>
      </c>
      <c r="B10224" s="10" t="str">
        <f>参数调整!$J$40</f>
        <v>新增怪物种类5掉落</v>
      </c>
      <c r="C10224" s="8" t="str">
        <f>材料产出!$AD$2</f>
        <v>凡品升星石</v>
      </c>
      <c r="D10224" s="224">
        <f>参数调整!$K$40*怪物掉落配置方案!$D5094</f>
        <v>0.48519330737661803</v>
      </c>
    </row>
    <row r="10225" spans="1:4" ht="16.5" hidden="1" x14ac:dyDescent="0.3">
      <c r="A10225" s="10" t="str">
        <f>基本属性!$B$20&amp;"|"&amp;基本属性!$C$20</f>
        <v>200|10</v>
      </c>
      <c r="B10225" s="10" t="str">
        <f>参数调整!$J$40</f>
        <v>新增怪物种类5掉落</v>
      </c>
      <c r="C10225" s="8" t="str">
        <f>材料产出!$AD$2</f>
        <v>凡品升星石</v>
      </c>
      <c r="D10225" s="224">
        <f>参数调整!$K$40*怪物掉落配置方案!$D5095</f>
        <v>0.56706303272650738</v>
      </c>
    </row>
    <row r="10226" spans="1:4" ht="16.5" hidden="1" x14ac:dyDescent="0.3">
      <c r="A10226" s="10" t="str">
        <f>基本属性!$B$21&amp;"|"&amp;基本属性!$C$21</f>
        <v>200|11</v>
      </c>
      <c r="B10226" s="10" t="str">
        <f>参数调整!$J$40</f>
        <v>新增怪物种类5掉落</v>
      </c>
      <c r="C10226" s="8" t="str">
        <f>材料产出!$AD$2</f>
        <v>凡品升星石</v>
      </c>
      <c r="D10226" s="224">
        <f>参数调整!$K$40*怪物掉落配置方案!$D5096</f>
        <v>0.65531221719457011</v>
      </c>
    </row>
    <row r="10227" spans="1:4" ht="16.5" hidden="1" x14ac:dyDescent="0.3">
      <c r="A10227" s="10" t="str">
        <f>基本属性!$B$22&amp;"|"&amp;基本属性!$C$22</f>
        <v>210|12</v>
      </c>
      <c r="B10227" s="10" t="str">
        <f>参数调整!$J$40</f>
        <v>新增怪物种类5掉落</v>
      </c>
      <c r="C10227" s="8" t="str">
        <f>材料产出!$AD$2</f>
        <v>凡品升星石</v>
      </c>
      <c r="D10227" s="224">
        <f>参数调整!$K$40*怪物掉落配置方案!$D5097</f>
        <v>0.74994086078080602</v>
      </c>
    </row>
    <row r="10228" spans="1:4" ht="16.5" hidden="1" x14ac:dyDescent="0.3">
      <c r="A10228" s="10" t="str">
        <f>基本属性!$B$23&amp;"|"&amp;基本属性!$C$23</f>
        <v>210|13</v>
      </c>
      <c r="B10228" s="10" t="str">
        <f>参数调整!$J$40</f>
        <v>新增怪物种类5掉落</v>
      </c>
      <c r="C10228" s="8" t="str">
        <f>材料产出!$AD$2</f>
        <v>凡品升星石</v>
      </c>
      <c r="D10228" s="224">
        <f>参数调整!$K$40*怪物掉落配置方案!$D5098</f>
        <v>0.8509489634852152</v>
      </c>
    </row>
    <row r="10229" spans="1:4" ht="16.5" hidden="1" x14ac:dyDescent="0.3">
      <c r="A10229" s="10" t="str">
        <f>基本属性!$B$24&amp;"|"&amp;基本属性!$C$24</f>
        <v>220|14</v>
      </c>
      <c r="B10229" s="10" t="str">
        <f>参数调整!$J$40</f>
        <v>新增怪物种类5掉落</v>
      </c>
      <c r="C10229" s="8" t="str">
        <f>材料产出!$AD$2</f>
        <v>凡品升星石</v>
      </c>
      <c r="D10229" s="224">
        <f>参数调整!$K$40*怪物掉落配置方案!$D5099</f>
        <v>0.95833652530779778</v>
      </c>
    </row>
    <row r="10230" spans="1:4" ht="16.5" hidden="1" x14ac:dyDescent="0.3">
      <c r="A10230" s="10" t="str">
        <f>基本属性!$B$25&amp;"|"&amp;基本属性!$C$25</f>
        <v>220|15</v>
      </c>
      <c r="B10230" s="10" t="str">
        <f>参数调整!$J$40</f>
        <v>新增怪物种类5掉落</v>
      </c>
      <c r="C10230" s="8" t="str">
        <f>材料产出!$AD$2</f>
        <v>凡品升星石</v>
      </c>
      <c r="D10230" s="224">
        <f>参数调整!$K$40*怪物掉落配置方案!$D5100</f>
        <v>1.0721035462485529</v>
      </c>
    </row>
    <row r="10231" spans="1:4" ht="16.5" hidden="1" x14ac:dyDescent="0.3">
      <c r="A10231" s="10" t="str">
        <f>基本属性!$B$26&amp;"|"&amp;基本属性!$C$26</f>
        <v>230|16</v>
      </c>
      <c r="B10231" s="10" t="str">
        <f>参数调整!$J$40</f>
        <v>新增怪物种类5掉落</v>
      </c>
      <c r="C10231" s="8" t="str">
        <f>材料产出!$AD$2</f>
        <v>凡品升星石</v>
      </c>
      <c r="D10231" s="224">
        <f>参数调整!$K$40*怪物掉落配置方案!$D5101</f>
        <v>1.1922500263074818</v>
      </c>
    </row>
    <row r="10232" spans="1:4" ht="16.5" hidden="1" x14ac:dyDescent="0.3">
      <c r="A10232" s="10" t="str">
        <f>基本属性!$B$27&amp;"|"&amp;基本属性!$C$27</f>
        <v>230|17</v>
      </c>
      <c r="B10232" s="10" t="str">
        <f>参数调整!$J$40</f>
        <v>新增怪物种类5掉落</v>
      </c>
      <c r="C10232" s="8" t="str">
        <f>材料产出!$AD$2</f>
        <v>凡品升星石</v>
      </c>
      <c r="D10232" s="224">
        <f>参数调整!$K$40*怪物掉落配置方案!$D5102</f>
        <v>1.3187759654845839</v>
      </c>
    </row>
    <row r="10233" spans="1:4" ht="16.5" hidden="1" x14ac:dyDescent="0.3">
      <c r="A10233" s="10" t="str">
        <f>基本属性!$B$28&amp;"|"&amp;基本属性!$C$28</f>
        <v>240|18</v>
      </c>
      <c r="B10233" s="10" t="str">
        <f>参数调整!$J$40</f>
        <v>新增怪物种类5掉落</v>
      </c>
      <c r="C10233" s="8" t="str">
        <f>材料产出!$AD$2</f>
        <v>凡品升星石</v>
      </c>
      <c r="D10233" s="224">
        <f>参数调整!$K$40*怪物掉落配置方案!$D5103</f>
        <v>1.4516813637798593</v>
      </c>
    </row>
    <row r="10234" spans="1:4" ht="16.5" hidden="1" x14ac:dyDescent="0.3">
      <c r="A10234" s="10" t="str">
        <f>基本属性!$B$29&amp;"|"&amp;基本属性!$C$29</f>
        <v>240|19</v>
      </c>
      <c r="B10234" s="10" t="str">
        <f>参数调整!$J$40</f>
        <v>新增怪物种类5掉落</v>
      </c>
      <c r="C10234" s="8" t="str">
        <f>材料产出!$AD$2</f>
        <v>凡品升星石</v>
      </c>
      <c r="D10234" s="224">
        <f>参数调整!$K$40*怪物掉落配置方案!$D5104</f>
        <v>1.5909662211933076</v>
      </c>
    </row>
    <row r="10235" spans="1:4" ht="16.5" hidden="1" x14ac:dyDescent="0.3">
      <c r="A10235" s="10" t="str">
        <f>基本属性!$B$30&amp;"|"&amp;基本属性!$C$30</f>
        <v>250|20</v>
      </c>
      <c r="B10235" s="10" t="str">
        <f>参数调整!$J$40</f>
        <v>新增怪物种类5掉落</v>
      </c>
      <c r="C10235" s="8" t="str">
        <f>材料产出!$AD$2</f>
        <v>凡品升星石</v>
      </c>
      <c r="D10235" s="224">
        <f>参数调整!$K$40*怪物掉落配置方案!$D5105</f>
        <v>1.7366305377249289</v>
      </c>
    </row>
    <row r="10236" spans="1:4" ht="16.5" hidden="1" x14ac:dyDescent="0.3">
      <c r="A10236" s="10" t="str">
        <f>基本属性!$B$4&amp;"|"&amp;基本属性!$C$4</f>
        <v>35|0</v>
      </c>
      <c r="B10236" s="10" t="str">
        <f>参数调整!$J$40</f>
        <v>新增怪物种类5掉落</v>
      </c>
      <c r="C10236" s="8" t="str">
        <f>材料产出!$Z$2</f>
        <v>恶魔头颅</v>
      </c>
      <c r="D10236" s="224">
        <f>参数调整!$K$40*怪物掉落配置方案!$D5106</f>
        <v>2.9537171981491249E-3</v>
      </c>
    </row>
    <row r="10237" spans="1:4" ht="16.5" hidden="1" x14ac:dyDescent="0.3">
      <c r="A10237" s="10" t="str">
        <f>基本属性!$B$5&amp;"|"&amp;基本属性!$C$5</f>
        <v>40|0</v>
      </c>
      <c r="B10237" s="10" t="str">
        <f>参数调整!$J$40</f>
        <v>新增怪物种类5掉落</v>
      </c>
      <c r="C10237" s="8" t="str">
        <f>材料产出!$Z$2</f>
        <v>恶魔头颅</v>
      </c>
      <c r="D10237" s="224">
        <f>参数调整!$K$40*怪物掉落配置方案!$D5107</f>
        <v>3.738298328907486E-3</v>
      </c>
    </row>
    <row r="10238" spans="1:4" ht="16.5" hidden="1" x14ac:dyDescent="0.3">
      <c r="A10238" s="10" t="str">
        <f>基本属性!$B$6&amp;"|"&amp;基本属性!$C$6</f>
        <v>50|0</v>
      </c>
      <c r="B10238" s="10" t="str">
        <f>参数调整!$J$40</f>
        <v>新增怪物种类5掉落</v>
      </c>
      <c r="C10238" s="8" t="str">
        <f>材料产出!$Z$2</f>
        <v>恶魔头颅</v>
      </c>
      <c r="D10238" s="224">
        <f>参数调整!$K$40*怪物掉落配置方案!$D5108</f>
        <v>4.615183122108007E-3</v>
      </c>
    </row>
    <row r="10239" spans="1:4" ht="16.5" hidden="1" x14ac:dyDescent="0.3">
      <c r="A10239" s="10" t="str">
        <f>基本属性!$B$7&amp;"|"&amp;基本属性!$C$7</f>
        <v>60|0</v>
      </c>
      <c r="B10239" s="10" t="str">
        <f>参数调整!$J$40</f>
        <v>新增怪物种类5掉落</v>
      </c>
      <c r="C10239" s="8" t="str">
        <f>材料产出!$Z$2</f>
        <v>恶魔头颅</v>
      </c>
      <c r="D10239" s="224">
        <f>参数调整!$K$40*怪物掉落配置方案!$D5109</f>
        <v>5.5843715777506905E-3</v>
      </c>
    </row>
    <row r="10240" spans="1:4" ht="16.5" hidden="1" x14ac:dyDescent="0.3">
      <c r="A10240" s="10" t="str">
        <f>基本属性!$B$8&amp;"|"&amp;基本属性!$C$8</f>
        <v>65|0</v>
      </c>
      <c r="B10240" s="10" t="str">
        <f>参数调整!$J$40</f>
        <v>新增怪物种类5掉落</v>
      </c>
      <c r="C10240" s="8" t="str">
        <f>材料产出!$Z$2</f>
        <v>恶魔头颅</v>
      </c>
      <c r="D10240" s="224">
        <f>参数调整!$K$40*怪物掉落配置方案!$D5110</f>
        <v>6.6458636958355308E-3</v>
      </c>
    </row>
    <row r="10241" spans="1:4" ht="16.5" hidden="1" x14ac:dyDescent="0.3">
      <c r="A10241" s="10" t="str">
        <f>基本属性!$B$9&amp;"|"&amp;基本属性!$C$9</f>
        <v>70|0</v>
      </c>
      <c r="B10241" s="10" t="str">
        <f>参数调整!$J$40</f>
        <v>新增怪物种类5掉落</v>
      </c>
      <c r="C10241" s="8" t="str">
        <f>材料产出!$Z$2</f>
        <v>恶魔头颅</v>
      </c>
      <c r="D10241" s="224">
        <f>参数调整!$K$40*怪物掉落配置方案!$D5111</f>
        <v>7.7996594763625332E-3</v>
      </c>
    </row>
    <row r="10242" spans="1:4" ht="16.5" hidden="1" x14ac:dyDescent="0.3">
      <c r="A10242" s="10" t="str">
        <f>基本属性!$B$10&amp;"|"&amp;基本属性!$C$10</f>
        <v>75|0</v>
      </c>
      <c r="B10242" s="10" t="str">
        <f>参数调整!$J$40</f>
        <v>新增怪物种类5掉落</v>
      </c>
      <c r="C10242" s="8" t="str">
        <f>材料产出!$Z$2</f>
        <v>恶魔头颅</v>
      </c>
      <c r="D10242" s="224">
        <f>参数调整!$K$40*怪物掉落配置方案!$D5112</f>
        <v>9.0457589193316933E-3</v>
      </c>
    </row>
    <row r="10243" spans="1:4" ht="16.5" hidden="1" x14ac:dyDescent="0.3">
      <c r="A10243" s="10" t="str">
        <f>基本属性!$B$11&amp;"|"&amp;基本属性!$C$11</f>
        <v>80|1</v>
      </c>
      <c r="B10243" s="10" t="str">
        <f>参数调整!$J$40</f>
        <v>新增怪物种类5掉落</v>
      </c>
      <c r="C10243" s="8" t="str">
        <f>材料产出!$Z$2</f>
        <v>恶魔头颅</v>
      </c>
      <c r="D10243" s="224">
        <f>参数调整!$K$40*怪物掉落配置方案!$D5113</f>
        <v>1.0384162024743017E-2</v>
      </c>
    </row>
    <row r="10244" spans="1:4" ht="16.5" hidden="1" x14ac:dyDescent="0.3">
      <c r="A10244" s="10" t="str">
        <f>基本属性!$B$12&amp;"|"&amp;基本属性!$C$12</f>
        <v>90|2</v>
      </c>
      <c r="B10244" s="10" t="str">
        <f>参数调整!$J$40</f>
        <v>新增怪物种类5掉落</v>
      </c>
      <c r="C10244" s="8" t="str">
        <f>材料产出!$Z$2</f>
        <v>恶魔头颅</v>
      </c>
      <c r="D10244" s="224">
        <f>参数调整!$K$40*怪物掉落配置方案!$D5114</f>
        <v>1.1814868792596502E-2</v>
      </c>
    </row>
    <row r="10245" spans="1:4" ht="16.5" hidden="1" x14ac:dyDescent="0.3">
      <c r="A10245" s="10" t="str">
        <f>基本属性!$B$13&amp;"|"&amp;基本属性!$C$13</f>
        <v>100|3</v>
      </c>
      <c r="B10245" s="10" t="str">
        <f>参数调整!$J$40</f>
        <v>新增怪物种类5掉落</v>
      </c>
      <c r="C10245" s="8" t="str">
        <f>材料产出!$Z$2</f>
        <v>恶魔头颅</v>
      </c>
      <c r="D10245" s="224">
        <f>参数调整!$K$40*怪物掉落配置方案!$D5115</f>
        <v>1.4953193315629946E-2</v>
      </c>
    </row>
    <row r="10246" spans="1:4" ht="16.5" hidden="1" x14ac:dyDescent="0.3">
      <c r="A10246" s="10" t="str">
        <f>基本属性!$B$14&amp;"|"&amp;基本属性!$C$14</f>
        <v>105|4</v>
      </c>
      <c r="B10246" s="10" t="str">
        <f>参数调整!$J$40</f>
        <v>新增怪物种类5掉落</v>
      </c>
      <c r="C10246" s="8" t="str">
        <f>材料产出!$Z$2</f>
        <v>恶魔头颅</v>
      </c>
      <c r="D10246" s="224">
        <f>参数调整!$K$40*怪物掉落配置方案!$D5116</f>
        <v>1.8460732488432028E-2</v>
      </c>
    </row>
    <row r="10247" spans="1:4" ht="16.5" hidden="1" x14ac:dyDescent="0.3">
      <c r="A10247" s="10" t="str">
        <f>基本属性!$B$15&amp;"|"&amp;基本属性!$C$15</f>
        <v>110|5</v>
      </c>
      <c r="B10247" s="10" t="str">
        <f>参数调整!$J$40</f>
        <v>新增怪物种类5掉落</v>
      </c>
      <c r="C10247" s="8" t="str">
        <f>材料产出!$Z$2</f>
        <v>恶魔头颅</v>
      </c>
      <c r="D10247" s="224">
        <f>参数调整!$K$40*怪物掉落配置方案!$D5117</f>
        <v>2.2337486311002762E-2</v>
      </c>
    </row>
    <row r="10248" spans="1:4" ht="16.5" hidden="1" x14ac:dyDescent="0.3">
      <c r="A10248" s="10" t="str">
        <f>基本属性!$B$16&amp;"|"&amp;基本属性!$C$16</f>
        <v>120|6</v>
      </c>
      <c r="B10248" s="10" t="str">
        <f>参数调整!$J$40</f>
        <v>新增怪物种类5掉落</v>
      </c>
      <c r="C10248" s="8" t="str">
        <f>材料产出!$Z$2</f>
        <v>恶魔头颅</v>
      </c>
      <c r="D10248" s="224">
        <f>参数调整!$K$40*怪物掉落配置方案!$D5118</f>
        <v>2.8844894513175047E-2</v>
      </c>
    </row>
    <row r="10249" spans="1:4" ht="16.5" hidden="1" x14ac:dyDescent="0.3">
      <c r="A10249" s="10" t="str">
        <f>基本属性!$B$17&amp;"|"&amp;基本属性!$C$17</f>
        <v>135|7</v>
      </c>
      <c r="B10249" s="10" t="str">
        <f>参数调整!$J$40</f>
        <v>新增怪物种类5掉落</v>
      </c>
      <c r="C10249" s="8" t="str">
        <f>材料产出!$Z$2</f>
        <v>恶魔头颅</v>
      </c>
      <c r="D10249" s="224">
        <f>参数调整!$K$40*怪物掉落配置方案!$D5119</f>
        <v>4.1536648098972069E-2</v>
      </c>
    </row>
    <row r="10250" spans="1:4" ht="16.5" hidden="1" x14ac:dyDescent="0.3">
      <c r="A10250" s="10" t="str">
        <f>基本属性!$B$18&amp;"|"&amp;基本属性!$C$18</f>
        <v>155|8</v>
      </c>
      <c r="B10250" s="10" t="str">
        <f>参数调整!$J$40</f>
        <v>新增怪物种类5掉落</v>
      </c>
      <c r="C10250" s="8" t="str">
        <f>材料产出!$Z$2</f>
        <v>恶魔头颅</v>
      </c>
      <c r="D10250" s="224">
        <f>参数调整!$K$40*怪物掉落配置方案!$D5120</f>
        <v>5.6535993245823105E-2</v>
      </c>
    </row>
    <row r="10251" spans="1:4" ht="16.5" hidden="1" x14ac:dyDescent="0.3">
      <c r="A10251" s="10" t="str">
        <f>基本属性!$B$19&amp;"|"&amp;基本属性!$C$19</f>
        <v>190|9</v>
      </c>
      <c r="B10251" s="10" t="str">
        <f>参数调整!$J$40</f>
        <v>新增怪物种类5掉落</v>
      </c>
      <c r="C10251" s="8" t="str">
        <f>材料产出!$Z$2</f>
        <v>恶魔头颅</v>
      </c>
      <c r="D10251" s="224">
        <f>参数调整!$K$40*怪物掉落配置方案!$D5121</f>
        <v>6.3181856941658635E-2</v>
      </c>
    </row>
    <row r="10252" spans="1:4" ht="16.5" hidden="1" x14ac:dyDescent="0.3">
      <c r="A10252" s="10" t="str">
        <f>基本属性!$B$20&amp;"|"&amp;基本属性!$C$20</f>
        <v>200|10</v>
      </c>
      <c r="B10252" s="10" t="str">
        <f>参数调整!$J$40</f>
        <v>新增怪物种类5掉落</v>
      </c>
      <c r="C10252" s="8" t="str">
        <f>材料产出!$Z$2</f>
        <v>恶魔头颅</v>
      </c>
      <c r="D10252" s="224">
        <f>参数调整!$K$40*怪物掉落配置方案!$D5122</f>
        <v>7.3842929953728112E-2</v>
      </c>
    </row>
    <row r="10253" spans="1:4" ht="16.5" hidden="1" x14ac:dyDescent="0.3">
      <c r="A10253" s="10" t="str">
        <f>基本属性!$B$21&amp;"|"&amp;基本属性!$C$21</f>
        <v>200|11</v>
      </c>
      <c r="B10253" s="10" t="str">
        <f>参数调整!$J$40</f>
        <v>新增怪物种类5掉落</v>
      </c>
      <c r="C10253" s="8" t="str">
        <f>材料产出!$Z$2</f>
        <v>恶魔头颅</v>
      </c>
      <c r="D10253" s="224">
        <f>参数调整!$K$40*怪物掉落配置方案!$D5123</f>
        <v>8.5334735927777031E-2</v>
      </c>
    </row>
    <row r="10254" spans="1:4" ht="16.5" hidden="1" x14ac:dyDescent="0.3">
      <c r="A10254" s="10" t="str">
        <f>基本属性!$B$22&amp;"|"&amp;基本属性!$C$22</f>
        <v>210|12</v>
      </c>
      <c r="B10254" s="10" t="str">
        <f>参数调整!$J$40</f>
        <v>新增怪物种类5掉落</v>
      </c>
      <c r="C10254" s="8" t="str">
        <f>材料产出!$Z$2</f>
        <v>恶魔头颅</v>
      </c>
      <c r="D10254" s="224">
        <f>参数调整!$K$40*怪物掉落配置方案!$D5124</f>
        <v>9.7657274863805418E-2</v>
      </c>
    </row>
    <row r="10255" spans="1:4" ht="16.5" hidden="1" x14ac:dyDescent="0.3">
      <c r="A10255" s="10" t="str">
        <f>基本属性!$B$23&amp;"|"&amp;基本属性!$C$23</f>
        <v>210|13</v>
      </c>
      <c r="B10255" s="10" t="str">
        <f>参数调整!$J$40</f>
        <v>新增怪物种类5掉落</v>
      </c>
      <c r="C10255" s="8" t="str">
        <f>材料产出!$Z$2</f>
        <v>恶魔头颅</v>
      </c>
      <c r="D10255" s="224">
        <f>参数调整!$K$40*怪物掉落配置方案!$D5125</f>
        <v>0.11081054676181328</v>
      </c>
    </row>
    <row r="10256" spans="1:4" ht="16.5" hidden="1" x14ac:dyDescent="0.3">
      <c r="A10256" s="10" t="str">
        <f>基本属性!$B$24&amp;"|"&amp;基本属性!$C$24</f>
        <v>220|14</v>
      </c>
      <c r="B10256" s="10" t="str">
        <f>参数调整!$J$40</f>
        <v>新增怪物种类5掉落</v>
      </c>
      <c r="C10256" s="8" t="str">
        <f>材料产出!$Z$2</f>
        <v>恶魔头颅</v>
      </c>
      <c r="D10256" s="224">
        <f>参数调整!$K$40*怪物掉落配置方案!$D5126</f>
        <v>0.12479455162180053</v>
      </c>
    </row>
    <row r="10257" spans="1:4" ht="16.5" hidden="1" x14ac:dyDescent="0.3">
      <c r="A10257" s="10" t="str">
        <f>基本属性!$B$25&amp;"|"&amp;基本属性!$C$25</f>
        <v>220|15</v>
      </c>
      <c r="B10257" s="10" t="str">
        <f>参数调整!$J$40</f>
        <v>新增怪物种类5掉落</v>
      </c>
      <c r="C10257" s="8" t="str">
        <f>材料产出!$Z$2</f>
        <v>恶魔头颅</v>
      </c>
      <c r="D10257" s="224">
        <f>参数调整!$K$40*怪物掉落配置方案!$D5127</f>
        <v>0.13960928944376721</v>
      </c>
    </row>
    <row r="10258" spans="1:4" ht="16.5" hidden="1" x14ac:dyDescent="0.3">
      <c r="A10258" s="10" t="str">
        <f>基本属性!$B$26&amp;"|"&amp;基本属性!$C$26</f>
        <v>230|16</v>
      </c>
      <c r="B10258" s="10" t="str">
        <f>参数调整!$J$40</f>
        <v>新增怪物种类5掉落</v>
      </c>
      <c r="C10258" s="8" t="str">
        <f>材料产出!$Z$2</f>
        <v>恶魔头颅</v>
      </c>
      <c r="D10258" s="224">
        <f>参数调整!$K$40*怪物掉落配置方案!$D5128</f>
        <v>0.15525476022771337</v>
      </c>
    </row>
    <row r="10259" spans="1:4" ht="16.5" hidden="1" x14ac:dyDescent="0.3">
      <c r="A10259" s="10" t="str">
        <f>基本属性!$B$27&amp;"|"&amp;基本属性!$C$27</f>
        <v>230|17</v>
      </c>
      <c r="B10259" s="10" t="str">
        <f>参数调整!$J$40</f>
        <v>新增怪物种类5掉落</v>
      </c>
      <c r="C10259" s="8" t="str">
        <f>材料产出!$Z$2</f>
        <v>恶魔头颅</v>
      </c>
      <c r="D10259" s="224">
        <f>参数调整!$K$40*怪物掉落配置方案!$D5129</f>
        <v>0.17173096397363893</v>
      </c>
    </row>
    <row r="10260" spans="1:4" ht="16.5" hidden="1" x14ac:dyDescent="0.3">
      <c r="A10260" s="10" t="str">
        <f>基本属性!$B$28&amp;"|"&amp;基本属性!$C$28</f>
        <v>240|18</v>
      </c>
      <c r="B10260" s="10" t="str">
        <f>参数调整!$J$40</f>
        <v>新增怪物种类5掉落</v>
      </c>
      <c r="C10260" s="8" t="str">
        <f>材料产出!$Z$2</f>
        <v>恶魔头颅</v>
      </c>
      <c r="D10260" s="224">
        <f>参数调整!$K$40*怪物掉落配置方案!$D5130</f>
        <v>0.18903790068154402</v>
      </c>
    </row>
    <row r="10261" spans="1:4" ht="16.5" hidden="1" x14ac:dyDescent="0.3">
      <c r="A10261" s="10" t="str">
        <f>基本属性!$B$29&amp;"|"&amp;基本属性!$C$29</f>
        <v>240|19</v>
      </c>
      <c r="B10261" s="10" t="str">
        <f>参数调整!$J$40</f>
        <v>新增怪物种类5掉落</v>
      </c>
      <c r="C10261" s="8" t="str">
        <f>材料产出!$Z$2</f>
        <v>恶魔头颅</v>
      </c>
      <c r="D10261" s="224">
        <f>参数调整!$K$40*怪物掉落配置方案!$D5131</f>
        <v>0.20717557035142847</v>
      </c>
    </row>
    <row r="10262" spans="1:4" ht="16.5" hidden="1" x14ac:dyDescent="0.3">
      <c r="A10262" s="10" t="str">
        <f>基本属性!$B$30&amp;"|"&amp;基本属性!$C$30</f>
        <v>250|20</v>
      </c>
      <c r="B10262" s="10" t="str">
        <f>参数调整!$J$40</f>
        <v>新增怪物种类5掉落</v>
      </c>
      <c r="C10262" s="8" t="str">
        <f>材料产出!$Z$2</f>
        <v>恶魔头颅</v>
      </c>
      <c r="D10262" s="224">
        <f>参数调整!$K$40*怪物掉落配置方案!$D5132</f>
        <v>0.22614397298329234</v>
      </c>
    </row>
    <row r="10263" spans="1:4" ht="16.5" hidden="1" x14ac:dyDescent="0.3">
      <c r="A10263" s="10" t="str">
        <f>基本属性!$B$4&amp;"|"&amp;基本属性!$C$4</f>
        <v>35|0</v>
      </c>
      <c r="B10263" s="10" t="str">
        <f>参数调整!$J$41</f>
        <v>新增怪物种类6掉落</v>
      </c>
      <c r="C10263" s="8" t="str">
        <f>材料产出!$R$2</f>
        <v>转生精华</v>
      </c>
      <c r="D10263" s="224">
        <f>参数调整!$K$41*怪物掉落配置方案!$D4107</f>
        <v>2.3736130110959116E-3</v>
      </c>
    </row>
    <row r="10264" spans="1:4" ht="16.5" hidden="1" x14ac:dyDescent="0.3">
      <c r="A10264" s="10" t="str">
        <f>基本属性!$B$5&amp;"|"&amp;基本属性!$C$5</f>
        <v>40|0</v>
      </c>
      <c r="B10264" s="10" t="str">
        <f>参数调整!$J$41</f>
        <v>新增怪物种类6掉落</v>
      </c>
      <c r="C10264" s="8" t="str">
        <f>材料产出!$R$2</f>
        <v>转生精华</v>
      </c>
      <c r="D10264" s="224">
        <f>参数调整!$K$41*怪物掉落配置方案!$D4108</f>
        <v>3.0041039671682623E-3</v>
      </c>
    </row>
    <row r="10265" spans="1:4" ht="16.5" hidden="1" x14ac:dyDescent="0.3">
      <c r="A10265" s="10" t="str">
        <f>基本属性!$B$6&amp;"|"&amp;基本属性!$C$6</f>
        <v>50|0</v>
      </c>
      <c r="B10265" s="10" t="str">
        <f>参数调整!$J$41</f>
        <v>新增怪物种类6掉落</v>
      </c>
      <c r="C10265" s="8" t="str">
        <f>材料产出!$R$2</f>
        <v>转生精华</v>
      </c>
      <c r="D10265" s="224">
        <f>参数调整!$K$41*怪物掉落配置方案!$D4109</f>
        <v>3.7087703298373615E-3</v>
      </c>
    </row>
    <row r="10266" spans="1:4" ht="16.5" hidden="1" x14ac:dyDescent="0.3">
      <c r="A10266" s="10" t="str">
        <f>基本属性!$B$7&amp;"|"&amp;基本属性!$C$7</f>
        <v>60|0</v>
      </c>
      <c r="B10266" s="10" t="str">
        <f>参数调整!$J$41</f>
        <v>新增怪物种类6掉落</v>
      </c>
      <c r="C10266" s="8" t="str">
        <f>材料产出!$R$2</f>
        <v>转生精华</v>
      </c>
      <c r="D10266" s="224">
        <f>参数调整!$K$41*怪物掉落配置方案!$D4110</f>
        <v>4.4876120991032076E-3</v>
      </c>
    </row>
    <row r="10267" spans="1:4" ht="16.5" hidden="1" x14ac:dyDescent="0.3">
      <c r="A10267" s="10" t="str">
        <f>基本属性!$B$8&amp;"|"&amp;基本属性!$C$8</f>
        <v>65|0</v>
      </c>
      <c r="B10267" s="10" t="str">
        <f>参数调整!$J$41</f>
        <v>新增怪物种类6掉落</v>
      </c>
      <c r="C10267" s="8" t="str">
        <f>材料产出!$R$2</f>
        <v>转生精华</v>
      </c>
      <c r="D10267" s="224">
        <f>参数调整!$K$41*怪物掉落配置方案!$D4111</f>
        <v>5.3406292749657996E-3</v>
      </c>
    </row>
    <row r="10268" spans="1:4" ht="16.5" hidden="1" x14ac:dyDescent="0.3">
      <c r="A10268" s="10" t="str">
        <f>基本属性!$B$9&amp;"|"&amp;基本属性!$C$9</f>
        <v>70|0</v>
      </c>
      <c r="B10268" s="10" t="str">
        <f>参数调整!$J$41</f>
        <v>新增怪物种类6掉落</v>
      </c>
      <c r="C10268" s="8" t="str">
        <f>材料产出!$R$2</f>
        <v>转生精华</v>
      </c>
      <c r="D10268" s="224">
        <f>参数调整!$K$41*怪物掉落配置方案!$D4112</f>
        <v>6.2678218574251402E-3</v>
      </c>
    </row>
    <row r="10269" spans="1:4" ht="16.5" hidden="1" x14ac:dyDescent="0.3">
      <c r="A10269" s="10" t="str">
        <f>基本属性!$B$10&amp;"|"&amp;基本属性!$C$10</f>
        <v>75|0</v>
      </c>
      <c r="B10269" s="10" t="str">
        <f>参数调整!$J$41</f>
        <v>新增怪物种类6掉落</v>
      </c>
      <c r="C10269" s="8" t="str">
        <f>材料产出!$R$2</f>
        <v>转生精华</v>
      </c>
      <c r="D10269" s="224">
        <f>参数调整!$K$41*怪物掉落配置方案!$D4113</f>
        <v>7.2691898464812259E-3</v>
      </c>
    </row>
    <row r="10270" spans="1:4" ht="16.5" hidden="1" x14ac:dyDescent="0.3">
      <c r="A10270" s="10" t="str">
        <f>基本属性!$B$11&amp;"|"&amp;基本属性!$C$11</f>
        <v>80|1</v>
      </c>
      <c r="B10270" s="10" t="str">
        <f>参数调整!$J$41</f>
        <v>新增怪物种类6掉落</v>
      </c>
      <c r="C10270" s="8" t="str">
        <f>材料产出!$R$2</f>
        <v>转生精华</v>
      </c>
      <c r="D10270" s="224">
        <f>参数调整!$K$41*怪物掉落配置方案!$D4114</f>
        <v>8.3447332421340628E-3</v>
      </c>
    </row>
    <row r="10271" spans="1:4" ht="16.5" hidden="1" x14ac:dyDescent="0.3">
      <c r="A10271" s="10" t="str">
        <f>基本属性!$B$12&amp;"|"&amp;基本属性!$C$12</f>
        <v>90|2</v>
      </c>
      <c r="B10271" s="10" t="str">
        <f>参数调整!$J$41</f>
        <v>新增怪物种类6掉落</v>
      </c>
      <c r="C10271" s="8" t="str">
        <f>材料产出!$R$2</f>
        <v>转生精华</v>
      </c>
      <c r="D10271" s="224">
        <f>参数调整!$K$41*怪物掉落配置方案!$D4115</f>
        <v>9.4944520443836482E-3</v>
      </c>
    </row>
    <row r="10272" spans="1:4" ht="16.5" hidden="1" x14ac:dyDescent="0.3">
      <c r="A10272" s="10" t="str">
        <f>基本属性!$B$13&amp;"|"&amp;基本属性!$C$13</f>
        <v>100|3</v>
      </c>
      <c r="B10272" s="10" t="str">
        <f>参数调整!$J$41</f>
        <v>新增怪物种类6掉落</v>
      </c>
      <c r="C10272" s="8" t="str">
        <f>材料产出!$R$2</f>
        <v>转生精华</v>
      </c>
      <c r="D10272" s="224">
        <f>参数调整!$K$41*怪物掉落配置方案!$D4116</f>
        <v>1.2016415868673053E-2</v>
      </c>
    </row>
    <row r="10273" spans="1:4" ht="16.5" hidden="1" x14ac:dyDescent="0.3">
      <c r="A10273" s="10" t="str">
        <f>基本属性!$B$14&amp;"|"&amp;基本属性!$C$14</f>
        <v>105|4</v>
      </c>
      <c r="B10273" s="10" t="str">
        <f>参数调整!$J$41</f>
        <v>新增怪物种类6掉落</v>
      </c>
      <c r="C10273" s="8" t="str">
        <f>材料产出!$R$2</f>
        <v>转生精华</v>
      </c>
      <c r="D10273" s="224">
        <f>参数调整!$K$41*怪物掉落配置方案!$D4117</f>
        <v>1.4835081319349446E-2</v>
      </c>
    </row>
    <row r="10274" spans="1:4" ht="16.5" hidden="1" x14ac:dyDescent="0.3">
      <c r="A10274" s="10" t="str">
        <f>基本属性!$B$15&amp;"|"&amp;基本属性!$C$15</f>
        <v>110|5</v>
      </c>
      <c r="B10274" s="10" t="str">
        <f>参数调整!$J$41</f>
        <v>新增怪物种类6掉落</v>
      </c>
      <c r="C10274" s="8" t="str">
        <f>材料产出!$R$2</f>
        <v>转生精华</v>
      </c>
      <c r="D10274" s="224">
        <f>参数调整!$K$41*怪物掉落配置方案!$D4118</f>
        <v>1.7950448396412834E-2</v>
      </c>
    </row>
    <row r="10275" spans="1:4" ht="16.5" hidden="1" x14ac:dyDescent="0.3">
      <c r="A10275" s="10" t="str">
        <f>基本属性!$B$16&amp;"|"&amp;基本属性!$C$16</f>
        <v>120|6</v>
      </c>
      <c r="B10275" s="10" t="str">
        <f>参数调整!$J$41</f>
        <v>新增怪物种类6掉落</v>
      </c>
      <c r="C10275" s="8" t="str">
        <f>材料产出!$R$2</f>
        <v>转生精华</v>
      </c>
      <c r="D10275" s="224">
        <f>参数调整!$K$41*怪物掉落配置方案!$D4119</f>
        <v>2.3179814561483509E-2</v>
      </c>
    </row>
    <row r="10276" spans="1:4" ht="16.5" hidden="1" x14ac:dyDescent="0.3">
      <c r="A10276" s="10" t="str">
        <f>基本属性!$B$17&amp;"|"&amp;基本属性!$C$17</f>
        <v>135|7</v>
      </c>
      <c r="B10276" s="10" t="str">
        <f>参数调整!$J$41</f>
        <v>新增怪物种类6掉落</v>
      </c>
      <c r="C10276" s="8" t="str">
        <f>材料产出!$R$2</f>
        <v>转生精华</v>
      </c>
      <c r="D10276" s="224">
        <f>参数调整!$K$41*怪物掉落配置方案!$D4120</f>
        <v>3.3378932968536251E-2</v>
      </c>
    </row>
    <row r="10277" spans="1:4" ht="16.5" hidden="1" x14ac:dyDescent="0.3">
      <c r="A10277" s="10" t="str">
        <f>基本属性!$B$18&amp;"|"&amp;基本属性!$C$18</f>
        <v>155|8</v>
      </c>
      <c r="B10277" s="10" t="str">
        <f>参数调整!$J$41</f>
        <v>新增怪物种类6掉落</v>
      </c>
      <c r="C10277" s="8" t="str">
        <f>材料产出!$R$2</f>
        <v>转生精华</v>
      </c>
      <c r="D10277" s="224">
        <f>参数调整!$K$41*怪物掉落配置方案!$D4121</f>
        <v>4.5432436540507687E-2</v>
      </c>
    </row>
    <row r="10278" spans="1:4" ht="16.5" hidden="1" x14ac:dyDescent="0.3">
      <c r="A10278" s="10" t="str">
        <f>基本属性!$B$19&amp;"|"&amp;基本属性!$C$19</f>
        <v>190|9</v>
      </c>
      <c r="B10278" s="10" t="str">
        <f>参数调整!$J$41</f>
        <v>新增怪物种类6掉落</v>
      </c>
      <c r="C10278" s="8" t="str">
        <f>材料产出!$R$2</f>
        <v>转生精华</v>
      </c>
      <c r="D10278" s="224">
        <f>参数调整!$K$41*怪物掉落配置方案!$D4122</f>
        <v>5.0773065815473473E-2</v>
      </c>
    </row>
    <row r="10279" spans="1:4" ht="16.5" hidden="1" x14ac:dyDescent="0.3">
      <c r="A10279" s="10" t="str">
        <f>基本属性!$B$20&amp;"|"&amp;基本属性!$C$20</f>
        <v>200|10</v>
      </c>
      <c r="B10279" s="10" t="str">
        <f>参数调整!$J$41</f>
        <v>新增怪物种类6掉落</v>
      </c>
      <c r="C10279" s="8" t="str">
        <f>材料产出!$R$2</f>
        <v>转生精华</v>
      </c>
      <c r="D10279" s="224">
        <f>参数调整!$K$41*怪物掉落配置方案!$D4123</f>
        <v>5.9340325277397785E-2</v>
      </c>
    </row>
    <row r="10280" spans="1:4" ht="16.5" hidden="1" x14ac:dyDescent="0.3">
      <c r="A10280" s="10" t="str">
        <f>基本属性!$B$21&amp;"|"&amp;基本属性!$C$21</f>
        <v>200|11</v>
      </c>
      <c r="B10280" s="10" t="str">
        <f>参数调整!$J$41</f>
        <v>新增怪物种类6掉落</v>
      </c>
      <c r="C10280" s="8" t="str">
        <f>材料产出!$R$2</f>
        <v>转生精华</v>
      </c>
      <c r="D10280" s="224">
        <f>参数调整!$K$41*怪物掉落配置方案!$D4124</f>
        <v>6.8575163398692796E-2</v>
      </c>
    </row>
    <row r="10281" spans="1:4" ht="16.5" hidden="1" x14ac:dyDescent="0.3">
      <c r="A10281" s="10" t="str">
        <f>基本属性!$B$22&amp;"|"&amp;基本属性!$C$22</f>
        <v>210|12</v>
      </c>
      <c r="B10281" s="10" t="str">
        <f>参数调整!$J$41</f>
        <v>新增怪物种类6掉落</v>
      </c>
      <c r="C10281" s="8" t="str">
        <f>材料产出!$R$2</f>
        <v>转生精华</v>
      </c>
      <c r="D10281" s="224">
        <f>参数调整!$K$41*怪物掉落配置方案!$D4125</f>
        <v>7.8477580179358547E-2</v>
      </c>
    </row>
    <row r="10282" spans="1:4" ht="16.5" hidden="1" x14ac:dyDescent="0.3">
      <c r="A10282" s="10" t="str">
        <f>基本属性!$B$23&amp;"|"&amp;基本属性!$C$23</f>
        <v>210|13</v>
      </c>
      <c r="B10282" s="10" t="str">
        <f>参数调整!$J$41</f>
        <v>新增怪物种类6掉落</v>
      </c>
      <c r="C10282" s="8" t="str">
        <f>材料产出!$R$2</f>
        <v>转生精华</v>
      </c>
      <c r="D10282" s="224">
        <f>参数调整!$K$41*怪物掉落配置方案!$D4126</f>
        <v>8.9047575619395053E-2</v>
      </c>
    </row>
    <row r="10283" spans="1:4" ht="16.5" hidden="1" x14ac:dyDescent="0.3">
      <c r="A10283" s="10" t="str">
        <f>基本属性!$B$24&amp;"|"&amp;基本属性!$C$24</f>
        <v>220|14</v>
      </c>
      <c r="B10283" s="10" t="str">
        <f>参数调整!$J$41</f>
        <v>新增怪物种类6掉落</v>
      </c>
      <c r="C10283" s="8" t="str">
        <f>材料产出!$R$2</f>
        <v>转生精华</v>
      </c>
      <c r="D10283" s="224">
        <f>参数调整!$K$41*怪物掉落配置方案!$D4127</f>
        <v>0.10028514971880226</v>
      </c>
    </row>
    <row r="10284" spans="1:4" ht="16.5" hidden="1" x14ac:dyDescent="0.3">
      <c r="A10284" s="10" t="str">
        <f>基本属性!$B$25&amp;"|"&amp;基本属性!$C$25</f>
        <v>220|15</v>
      </c>
      <c r="B10284" s="10" t="str">
        <f>参数调整!$J$41</f>
        <v>新增怪物种类6掉落</v>
      </c>
      <c r="C10284" s="8" t="str">
        <f>材料产出!$R$2</f>
        <v>转生精华</v>
      </c>
      <c r="D10284" s="224">
        <f>参数调整!$K$41*怪物掉落配置方案!$D4128</f>
        <v>0.11219030247758018</v>
      </c>
    </row>
    <row r="10285" spans="1:4" ht="16.5" hidden="1" x14ac:dyDescent="0.3">
      <c r="A10285" s="10" t="str">
        <f>基本属性!$B$26&amp;"|"&amp;基本属性!$C$26</f>
        <v>230|16</v>
      </c>
      <c r="B10285" s="10" t="str">
        <f>参数调整!$J$41</f>
        <v>新增怪物种类6掉落</v>
      </c>
      <c r="C10285" s="8" t="str">
        <f>材料产出!$R$2</f>
        <v>转生精华</v>
      </c>
      <c r="D10285" s="224">
        <f>参数调整!$K$41*怪物掉落配置方案!$D4129</f>
        <v>0.12476303389572883</v>
      </c>
    </row>
    <row r="10286" spans="1:4" ht="16.5" hidden="1" x14ac:dyDescent="0.3">
      <c r="A10286" s="10" t="str">
        <f>基本属性!$B$27&amp;"|"&amp;基本属性!$C$27</f>
        <v>230|17</v>
      </c>
      <c r="B10286" s="10" t="str">
        <f>参数调整!$J$41</f>
        <v>新增怪物种类6掉落</v>
      </c>
      <c r="C10286" s="8" t="str">
        <f>材料产出!$R$2</f>
        <v>转生精华</v>
      </c>
      <c r="D10286" s="224">
        <f>参数调整!$K$41*怪物掉落配置方案!$D4130</f>
        <v>0.1380033439732482</v>
      </c>
    </row>
    <row r="10287" spans="1:4" ht="16.5" hidden="1" x14ac:dyDescent="0.3">
      <c r="A10287" s="10" t="str">
        <f>基本属性!$B$28&amp;"|"&amp;基本属性!$C$28</f>
        <v>240|18</v>
      </c>
      <c r="B10287" s="10" t="str">
        <f>参数调整!$J$41</f>
        <v>新增怪物种类6掉落</v>
      </c>
      <c r="C10287" s="8" t="str">
        <f>材料产出!$R$2</f>
        <v>转生精华</v>
      </c>
      <c r="D10287" s="224">
        <f>参数调整!$K$41*怪物掉落配置方案!$D4131</f>
        <v>0.15191123271013834</v>
      </c>
    </row>
    <row r="10288" spans="1:4" ht="16.5" hidden="1" x14ac:dyDescent="0.3">
      <c r="A10288" s="10" t="str">
        <f>基本属性!$B$29&amp;"|"&amp;基本属性!$C$29</f>
        <v>240|19</v>
      </c>
      <c r="B10288" s="10" t="str">
        <f>参数调整!$J$41</f>
        <v>新增怪物种类6掉落</v>
      </c>
      <c r="C10288" s="8" t="str">
        <f>材料产出!$R$2</f>
        <v>转生精华</v>
      </c>
      <c r="D10288" s="224">
        <f>参数调整!$K$41*怪物掉落配置方案!$D4132</f>
        <v>0.16648670010639915</v>
      </c>
    </row>
    <row r="10289" spans="1:4" ht="16.5" hidden="1" x14ac:dyDescent="0.3">
      <c r="A10289" s="10" t="str">
        <f>基本属性!$B$30&amp;"|"&amp;基本属性!$C$30</f>
        <v>250|20</v>
      </c>
      <c r="B10289" s="10" t="str">
        <f>参数调整!$J$41</f>
        <v>新增怪物种类6掉落</v>
      </c>
      <c r="C10289" s="8" t="str">
        <f>材料产出!$R$2</f>
        <v>转生精华</v>
      </c>
      <c r="D10289" s="224">
        <f>参数调整!$K$41*怪物掉落配置方案!$D4133</f>
        <v>0.18172974616203064</v>
      </c>
    </row>
    <row r="10290" spans="1:4" ht="16.5" hidden="1" x14ac:dyDescent="0.3">
      <c r="A10290" s="10" t="str">
        <f>基本属性!$B$4&amp;"|"&amp;基本属性!$C$4</f>
        <v>35|0</v>
      </c>
      <c r="B10290" s="10" t="str">
        <f>参数调整!$J$41</f>
        <v>新增怪物种类6掉落</v>
      </c>
      <c r="C10290" s="8" t="str">
        <f>材料产出!$AJ$2</f>
        <v>中品注灵石</v>
      </c>
      <c r="D10290" s="224">
        <f>参数调整!$K$41*怪物掉落配置方案!$D4134</f>
        <v>3.1106461736541399E-2</v>
      </c>
    </row>
    <row r="10291" spans="1:4" ht="16.5" hidden="1" x14ac:dyDescent="0.3">
      <c r="A10291" s="10" t="str">
        <f>基本属性!$B$5&amp;"|"&amp;基本属性!$C$5</f>
        <v>40|0</v>
      </c>
      <c r="B10291" s="10" t="str">
        <f>参数调整!$J$41</f>
        <v>新增怪物种类6掉落</v>
      </c>
      <c r="C10291" s="8" t="str">
        <f>材料产出!$AJ$2</f>
        <v>中品注灵石</v>
      </c>
      <c r="D10291" s="224">
        <f>参数调整!$K$41*怪物掉落配置方案!$D4135</f>
        <v>3.936911563531021E-2</v>
      </c>
    </row>
    <row r="10292" spans="1:4" ht="16.5" hidden="1" x14ac:dyDescent="0.3">
      <c r="A10292" s="10" t="str">
        <f>基本属性!$B$6&amp;"|"&amp;基本属性!$C$6</f>
        <v>50|0</v>
      </c>
      <c r="B10292" s="10" t="str">
        <f>参数调整!$J$41</f>
        <v>新增怪物种类6掉落</v>
      </c>
      <c r="C10292" s="8" t="str">
        <f>材料产出!$AJ$2</f>
        <v>中品注灵石</v>
      </c>
      <c r="D10292" s="224">
        <f>参数调整!$K$41*怪物掉落配置方案!$D4136</f>
        <v>4.8603846463345937E-2</v>
      </c>
    </row>
    <row r="10293" spans="1:4" ht="16.5" hidden="1" x14ac:dyDescent="0.3">
      <c r="A10293" s="10" t="str">
        <f>基本属性!$B$7&amp;"|"&amp;基本属性!$C$7</f>
        <v>60|0</v>
      </c>
      <c r="B10293" s="10" t="str">
        <f>参数调整!$J$41</f>
        <v>新增怪物种类6掉落</v>
      </c>
      <c r="C10293" s="8" t="str">
        <f>材料产出!$AJ$2</f>
        <v>中品注灵石</v>
      </c>
      <c r="D10293" s="224">
        <f>参数调整!$K$41*怪物掉落配置方案!$D4137</f>
        <v>5.8810654220648594E-2</v>
      </c>
    </row>
    <row r="10294" spans="1:4" ht="16.5" hidden="1" x14ac:dyDescent="0.3">
      <c r="A10294" s="10" t="str">
        <f>基本属性!$B$8&amp;"|"&amp;基本属性!$C$8</f>
        <v>65|0</v>
      </c>
      <c r="B10294" s="10" t="str">
        <f>参数调整!$J$41</f>
        <v>新增怪物种类6掉落</v>
      </c>
      <c r="C10294" s="8" t="str">
        <f>材料产出!$AJ$2</f>
        <v>中品注灵石</v>
      </c>
      <c r="D10294" s="224">
        <f>参数调整!$K$41*怪物掉落配置方案!$D4138</f>
        <v>6.9989538907218138E-2</v>
      </c>
    </row>
    <row r="10295" spans="1:4" ht="16.5" hidden="1" x14ac:dyDescent="0.3">
      <c r="A10295" s="10" t="str">
        <f>基本属性!$B$9&amp;"|"&amp;基本属性!$C$9</f>
        <v>70|0</v>
      </c>
      <c r="B10295" s="10" t="str">
        <f>参数调整!$J$41</f>
        <v>新增怪物种类6掉落</v>
      </c>
      <c r="C10295" s="8" t="str">
        <f>材料产出!$AJ$2</f>
        <v>中品注灵石</v>
      </c>
      <c r="D10295" s="224">
        <f>参数调整!$K$41*怪物掉落配置方案!$D4139</f>
        <v>8.2140500523054633E-2</v>
      </c>
    </row>
    <row r="10296" spans="1:4" ht="16.5" hidden="1" x14ac:dyDescent="0.3">
      <c r="A10296" s="10" t="str">
        <f>基本属性!$B$10&amp;"|"&amp;基本属性!$C$10</f>
        <v>75|0</v>
      </c>
      <c r="B10296" s="10" t="str">
        <f>参数调整!$J$41</f>
        <v>新增怪物种类6掉落</v>
      </c>
      <c r="C10296" s="8" t="str">
        <f>材料产出!$AJ$2</f>
        <v>中品注灵石</v>
      </c>
      <c r="D10296" s="224">
        <f>参数调整!$K$41*怪物掉落配置方案!$D4140</f>
        <v>9.5263539068158015E-2</v>
      </c>
    </row>
    <row r="10297" spans="1:4" ht="16.5" hidden="1" x14ac:dyDescent="0.3">
      <c r="A10297" s="10" t="str">
        <f>基本属性!$B$11&amp;"|"&amp;基本属性!$C$11</f>
        <v>80|1</v>
      </c>
      <c r="B10297" s="10" t="str">
        <f>参数调整!$J$41</f>
        <v>新增怪物种类6掉落</v>
      </c>
      <c r="C10297" s="8" t="str">
        <f>材料产出!$AJ$2</f>
        <v>中品注灵石</v>
      </c>
      <c r="D10297" s="224">
        <f>参数调整!$K$41*怪物掉落配置方案!$D4141</f>
        <v>0.10935865454252837</v>
      </c>
    </row>
    <row r="10298" spans="1:4" ht="16.5" hidden="1" x14ac:dyDescent="0.3">
      <c r="A10298" s="10" t="str">
        <f>基本属性!$B$12&amp;"|"&amp;基本属性!$C$12</f>
        <v>90|2</v>
      </c>
      <c r="B10298" s="10" t="str">
        <f>参数调整!$J$41</f>
        <v>新增怪物种类6掉落</v>
      </c>
      <c r="C10298" s="8" t="str">
        <f>材料产出!$AJ$2</f>
        <v>中品注灵石</v>
      </c>
      <c r="D10298" s="224">
        <f>参数调整!$K$41*怪物掉落配置方案!$D4142</f>
        <v>0.12442584694616561</v>
      </c>
    </row>
    <row r="10299" spans="1:4" ht="16.5" hidden="1" x14ac:dyDescent="0.3">
      <c r="A10299" s="10" t="str">
        <f>基本属性!$B$13&amp;"|"&amp;基本属性!$C$13</f>
        <v>100|3</v>
      </c>
      <c r="B10299" s="10" t="str">
        <f>参数调整!$J$41</f>
        <v>新增怪物种类6掉落</v>
      </c>
      <c r="C10299" s="8" t="str">
        <f>材料产出!$AJ$2</f>
        <v>中品注灵石</v>
      </c>
      <c r="D10299" s="224">
        <f>参数调整!$K$41*怪物掉落配置方案!$D4143</f>
        <v>0.15747646254124084</v>
      </c>
    </row>
    <row r="10300" spans="1:4" ht="16.5" hidden="1" x14ac:dyDescent="0.3">
      <c r="A10300" s="10" t="str">
        <f>基本属性!$B$14&amp;"|"&amp;基本属性!$C$14</f>
        <v>105|4</v>
      </c>
      <c r="B10300" s="10" t="str">
        <f>参数调整!$J$41</f>
        <v>新增怪物种类6掉落</v>
      </c>
      <c r="C10300" s="8" t="str">
        <f>材料产出!$AJ$2</f>
        <v>中品注灵石</v>
      </c>
      <c r="D10300" s="224">
        <f>参数调整!$K$41*怪物掉落配置方案!$D4144</f>
        <v>0.19441538585338375</v>
      </c>
    </row>
    <row r="10301" spans="1:4" ht="16.5" hidden="1" x14ac:dyDescent="0.3">
      <c r="A10301" s="10" t="str">
        <f>基本属性!$B$15&amp;"|"&amp;基本属性!$C$15</f>
        <v>110|5</v>
      </c>
      <c r="B10301" s="10" t="str">
        <f>参数调整!$J$41</f>
        <v>新增怪物种类6掉落</v>
      </c>
      <c r="C10301" s="8" t="str">
        <f>材料产出!$AJ$2</f>
        <v>中品注灵石</v>
      </c>
      <c r="D10301" s="224">
        <f>参数调整!$K$41*怪物掉落配置方案!$D4145</f>
        <v>0.23524261688259437</v>
      </c>
    </row>
    <row r="10302" spans="1:4" ht="16.5" hidden="1" x14ac:dyDescent="0.3">
      <c r="A10302" s="10" t="str">
        <f>基本属性!$B$16&amp;"|"&amp;基本属性!$C$16</f>
        <v>120|6</v>
      </c>
      <c r="B10302" s="10" t="str">
        <f>参数调整!$J$41</f>
        <v>新增怪物种类6掉落</v>
      </c>
      <c r="C10302" s="8" t="str">
        <f>材料产出!$AJ$2</f>
        <v>中品注灵石</v>
      </c>
      <c r="D10302" s="224">
        <f>参数调整!$K$41*怪物掉落配置方案!$D4146</f>
        <v>0.3037740403959121</v>
      </c>
    </row>
    <row r="10303" spans="1:4" ht="16.5" hidden="1" x14ac:dyDescent="0.3">
      <c r="A10303" s="10" t="str">
        <f>基本属性!$B$17&amp;"|"&amp;基本属性!$C$17</f>
        <v>135|7</v>
      </c>
      <c r="B10303" s="10" t="str">
        <f>参数调整!$J$41</f>
        <v>新增怪物种类6掉落</v>
      </c>
      <c r="C10303" s="8" t="str">
        <f>材料产出!$AJ$2</f>
        <v>中品注灵石</v>
      </c>
      <c r="D10303" s="224">
        <f>参数调整!$K$41*怪物掉落配置方案!$D4147</f>
        <v>0.43743461817011348</v>
      </c>
    </row>
    <row r="10304" spans="1:4" ht="16.5" hidden="1" x14ac:dyDescent="0.3">
      <c r="A10304" s="10" t="str">
        <f>基本属性!$B$18&amp;"|"&amp;基本属性!$C$18</f>
        <v>155|8</v>
      </c>
      <c r="B10304" s="10" t="str">
        <f>参数调整!$J$41</f>
        <v>新增怪物种类6掉落</v>
      </c>
      <c r="C10304" s="8" t="str">
        <f>材料产出!$AJ$2</f>
        <v>中品注灵石</v>
      </c>
      <c r="D10304" s="224">
        <f>参数调整!$K$41*怪物掉落配置方案!$D4148</f>
        <v>0.5953971191759877</v>
      </c>
    </row>
    <row r="10305" spans="1:4" ht="16.5" hidden="1" x14ac:dyDescent="0.3">
      <c r="A10305" s="10" t="str">
        <f>基本属性!$B$19&amp;"|"&amp;基本属性!$C$19</f>
        <v>190|9</v>
      </c>
      <c r="B10305" s="10" t="str">
        <f>参数调整!$J$41</f>
        <v>新增怪物种类6掉落</v>
      </c>
      <c r="C10305" s="8" t="str">
        <f>材料产出!$AJ$2</f>
        <v>中品注灵石</v>
      </c>
      <c r="D10305" s="224">
        <f>参数调整!$K$41*怪物掉落配置方案!$D4149</f>
        <v>0.66538665808320596</v>
      </c>
    </row>
    <row r="10306" spans="1:4" ht="16.5" hidden="1" x14ac:dyDescent="0.3">
      <c r="A10306" s="10" t="str">
        <f>基本属性!$B$20&amp;"|"&amp;基本属性!$C$20</f>
        <v>200|10</v>
      </c>
      <c r="B10306" s="10" t="str">
        <f>参数调整!$J$41</f>
        <v>新增怪物种类6掉落</v>
      </c>
      <c r="C10306" s="8" t="str">
        <f>材料产出!$AJ$2</f>
        <v>中品注灵石</v>
      </c>
      <c r="D10306" s="224">
        <f>参数调整!$K$41*怪物掉落配置方案!$D4150</f>
        <v>0.77766154341353499</v>
      </c>
    </row>
    <row r="10307" spans="1:4" ht="16.5" hidden="1" x14ac:dyDescent="0.3">
      <c r="A10307" s="10" t="str">
        <f>基本属性!$B$21&amp;"|"&amp;基本属性!$C$21</f>
        <v>200|11</v>
      </c>
      <c r="B10307" s="10" t="str">
        <f>参数调整!$J$41</f>
        <v>新增怪物种类6掉落</v>
      </c>
      <c r="C10307" s="8" t="str">
        <f>材料产出!$AJ$2</f>
        <v>中品注灵石</v>
      </c>
      <c r="D10307" s="224">
        <f>参数调整!$K$41*怪物掉落配置方案!$D4151</f>
        <v>0.89868512110726617</v>
      </c>
    </row>
    <row r="10308" spans="1:4" ht="16.5" hidden="1" x14ac:dyDescent="0.3">
      <c r="A10308" s="10" t="str">
        <f>基本属性!$B$22&amp;"|"&amp;基本属性!$C$22</f>
        <v>210|12</v>
      </c>
      <c r="B10308" s="10" t="str">
        <f>参数调整!$J$41</f>
        <v>新增怪物种类6掉落</v>
      </c>
      <c r="C10308" s="8" t="str">
        <f>材料产出!$AJ$2</f>
        <v>中品注灵石</v>
      </c>
      <c r="D10308" s="224">
        <f>参数调整!$K$41*怪物掉落配置方案!$D4152</f>
        <v>1.0284573911643997</v>
      </c>
    </row>
    <row r="10309" spans="1:4" ht="16.5" hidden="1" x14ac:dyDescent="0.3">
      <c r="A10309" s="10" t="str">
        <f>基本属性!$B$23&amp;"|"&amp;基本属性!$C$23</f>
        <v>210|13</v>
      </c>
      <c r="B10309" s="10" t="str">
        <f>参数调整!$J$41</f>
        <v>新增怪物种类6掉落</v>
      </c>
      <c r="C10309" s="8" t="str">
        <f>材料产出!$AJ$2</f>
        <v>中品注灵石</v>
      </c>
      <c r="D10309" s="224">
        <f>参数调整!$K$41*怪物掉落配置方案!$D4153</f>
        <v>1.1669783535849358</v>
      </c>
    </row>
    <row r="10310" spans="1:4" ht="16.5" hidden="1" x14ac:dyDescent="0.3">
      <c r="A10310" s="10" t="str">
        <f>基本属性!$B$24&amp;"|"&amp;基本属性!$C$24</f>
        <v>220|14</v>
      </c>
      <c r="B10310" s="10" t="str">
        <f>参数调整!$J$41</f>
        <v>新增怪物种类6掉落</v>
      </c>
      <c r="C10310" s="8" t="str">
        <f>材料产出!$AJ$2</f>
        <v>中品注灵石</v>
      </c>
      <c r="D10310" s="224">
        <f>参数调整!$K$41*怪物掉落配置方案!$D4154</f>
        <v>1.3142480083688741</v>
      </c>
    </row>
    <row r="10311" spans="1:4" ht="16.5" hidden="1" x14ac:dyDescent="0.3">
      <c r="A10311" s="10" t="str">
        <f>基本属性!$B$25&amp;"|"&amp;基本属性!$C$25</f>
        <v>220|15</v>
      </c>
      <c r="B10311" s="10" t="str">
        <f>参数调整!$J$41</f>
        <v>新增怪物种类6掉落</v>
      </c>
      <c r="C10311" s="8" t="str">
        <f>材料产出!$AJ$2</f>
        <v>中品注灵石</v>
      </c>
      <c r="D10311" s="224">
        <f>参数调整!$K$41*怪物掉落配置方案!$D4155</f>
        <v>1.4702663555162145</v>
      </c>
    </row>
    <row r="10312" spans="1:4" ht="16.5" hidden="1" x14ac:dyDescent="0.3">
      <c r="A10312" s="10" t="str">
        <f>基本属性!$B$26&amp;"|"&amp;基本属性!$C$26</f>
        <v>230|16</v>
      </c>
      <c r="B10312" s="10" t="str">
        <f>参数调整!$J$41</f>
        <v>新增怪物种类6掉落</v>
      </c>
      <c r="C10312" s="8" t="str">
        <f>材料产出!$AJ$2</f>
        <v>中品注灵石</v>
      </c>
      <c r="D10312" s="224">
        <f>参数调整!$K$41*怪物掉落配置方案!$D4156</f>
        <v>1.6350333950269569</v>
      </c>
    </row>
    <row r="10313" spans="1:4" ht="16.5" hidden="1" x14ac:dyDescent="0.3">
      <c r="A10313" s="10" t="str">
        <f>基本属性!$B$27&amp;"|"&amp;基本属性!$C$27</f>
        <v>230|17</v>
      </c>
      <c r="B10313" s="10" t="str">
        <f>参数调整!$J$41</f>
        <v>新增怪物种类6掉落</v>
      </c>
      <c r="C10313" s="8" t="str">
        <f>材料产出!$AJ$2</f>
        <v>中品注灵石</v>
      </c>
      <c r="D10313" s="224">
        <f>参数调整!$K$41*怪物掉落配置方案!$D4157</f>
        <v>1.8085491269011023</v>
      </c>
    </row>
    <row r="10314" spans="1:4" ht="16.5" hidden="1" x14ac:dyDescent="0.3">
      <c r="A10314" s="10" t="str">
        <f>基本属性!$B$28&amp;"|"&amp;基本属性!$C$28</f>
        <v>240|18</v>
      </c>
      <c r="B10314" s="10" t="str">
        <f>参数调整!$J$41</f>
        <v>新增怪物种类6掉落</v>
      </c>
      <c r="C10314" s="8" t="str">
        <f>材料产出!$AJ$2</f>
        <v>中品注灵石</v>
      </c>
      <c r="D10314" s="224">
        <f>参数调整!$K$41*怪物掉落配置方案!$D4158</f>
        <v>1.9908135511386498</v>
      </c>
    </row>
    <row r="10315" spans="1:4" ht="16.5" hidden="1" x14ac:dyDescent="0.3">
      <c r="A10315" s="10" t="str">
        <f>基本属性!$B$29&amp;"|"&amp;基本属性!$C$29</f>
        <v>240|19</v>
      </c>
      <c r="B10315" s="10" t="str">
        <f>参数调整!$J$41</f>
        <v>新增怪物种类6掉落</v>
      </c>
      <c r="C10315" s="8" t="str">
        <f>材料产出!$AJ$2</f>
        <v>中品注灵石</v>
      </c>
      <c r="D10315" s="224">
        <f>参数调整!$K$41*怪物掉落配置方案!$D4159</f>
        <v>2.1818266677395992</v>
      </c>
    </row>
    <row r="10316" spans="1:4" ht="16.5" hidden="1" x14ac:dyDescent="0.3">
      <c r="A10316" s="10" t="str">
        <f>基本属性!$B$30&amp;"|"&amp;基本属性!$C$30</f>
        <v>250|20</v>
      </c>
      <c r="B10316" s="10" t="str">
        <f>参数调整!$J$41</f>
        <v>新增怪物种类6掉落</v>
      </c>
      <c r="C10316" s="8" t="str">
        <f>材料产出!$AJ$2</f>
        <v>中品注灵石</v>
      </c>
      <c r="D10316" s="224">
        <f>参数调整!$K$41*怪物掉落配置方案!$D4160</f>
        <v>2.3815884767039508</v>
      </c>
    </row>
    <row r="10317" spans="1:4" ht="16.5" hidden="1" x14ac:dyDescent="0.3">
      <c r="A10317" s="10" t="str">
        <f>基本属性!$B$4&amp;"|"&amp;基本属性!$C$4</f>
        <v>35|0</v>
      </c>
      <c r="B10317" s="10" t="str">
        <f>参数调整!$J$41</f>
        <v>新增怪物种类6掉落</v>
      </c>
      <c r="C10317" s="8" t="str">
        <f>材料产出!$J$2</f>
        <v>元宝</v>
      </c>
      <c r="D10317" s="224">
        <f>参数调整!$K$41*怪物掉落配置方案!$D4161</f>
        <v>402</v>
      </c>
    </row>
    <row r="10318" spans="1:4" ht="16.5" hidden="1" x14ac:dyDescent="0.3">
      <c r="A10318" s="10" t="str">
        <f>基本属性!$B$5&amp;"|"&amp;基本属性!$C$5</f>
        <v>40|0</v>
      </c>
      <c r="B10318" s="10" t="str">
        <f>参数调整!$J$41</f>
        <v>新增怪物种类6掉落</v>
      </c>
      <c r="C10318" s="8" t="str">
        <f>材料产出!$J$2</f>
        <v>元宝</v>
      </c>
      <c r="D10318" s="224">
        <f>参数调整!$K$41*怪物掉落配置方案!$D4162</f>
        <v>510</v>
      </c>
    </row>
    <row r="10319" spans="1:4" ht="16.5" hidden="1" x14ac:dyDescent="0.3">
      <c r="A10319" s="10" t="str">
        <f>基本属性!$B$6&amp;"|"&amp;基本属性!$C$6</f>
        <v>50|0</v>
      </c>
      <c r="B10319" s="10" t="str">
        <f>参数调整!$J$41</f>
        <v>新增怪物种类6掉落</v>
      </c>
      <c r="C10319" s="8" t="str">
        <f>材料产出!$J$2</f>
        <v>元宝</v>
      </c>
      <c r="D10319" s="224">
        <f>参数调整!$K$41*怪物掉落配置方案!$D4163</f>
        <v>630</v>
      </c>
    </row>
    <row r="10320" spans="1:4" ht="16.5" hidden="1" x14ac:dyDescent="0.3">
      <c r="A10320" s="10" t="str">
        <f>基本属性!$B$7&amp;"|"&amp;基本属性!$C$7</f>
        <v>60|0</v>
      </c>
      <c r="B10320" s="10" t="str">
        <f>参数调整!$J$41</f>
        <v>新增怪物种类6掉落</v>
      </c>
      <c r="C10320" s="8" t="str">
        <f>材料产出!$J$2</f>
        <v>元宝</v>
      </c>
      <c r="D10320" s="224">
        <f>参数调整!$K$41*怪物掉落配置方案!$D4164</f>
        <v>762</v>
      </c>
    </row>
    <row r="10321" spans="1:4" ht="16.5" hidden="1" x14ac:dyDescent="0.3">
      <c r="A10321" s="10" t="str">
        <f>基本属性!$B$8&amp;"|"&amp;基本属性!$C$8</f>
        <v>65|0</v>
      </c>
      <c r="B10321" s="10" t="str">
        <f>参数调整!$J$41</f>
        <v>新增怪物种类6掉落</v>
      </c>
      <c r="C10321" s="8" t="str">
        <f>材料产出!$J$2</f>
        <v>元宝</v>
      </c>
      <c r="D10321" s="224">
        <f>参数调整!$K$41*怪物掉落配置方案!$D4165</f>
        <v>906</v>
      </c>
    </row>
    <row r="10322" spans="1:4" ht="16.5" hidden="1" x14ac:dyDescent="0.3">
      <c r="A10322" s="10" t="str">
        <f>基本属性!$B$9&amp;"|"&amp;基本属性!$C$9</f>
        <v>70|0</v>
      </c>
      <c r="B10322" s="10" t="str">
        <f>参数调整!$J$41</f>
        <v>新增怪物种类6掉落</v>
      </c>
      <c r="C10322" s="8" t="str">
        <f>材料产出!$J$2</f>
        <v>元宝</v>
      </c>
      <c r="D10322" s="224">
        <f>参数调整!$K$41*怪物掉落配置方案!$D4166</f>
        <v>1062</v>
      </c>
    </row>
    <row r="10323" spans="1:4" ht="16.5" hidden="1" x14ac:dyDescent="0.3">
      <c r="A10323" s="10" t="str">
        <f>基本属性!$B$10&amp;"|"&amp;基本属性!$C$10</f>
        <v>75|0</v>
      </c>
      <c r="B10323" s="10" t="str">
        <f>参数调整!$J$41</f>
        <v>新增怪物种类6掉落</v>
      </c>
      <c r="C10323" s="8" t="str">
        <f>材料产出!$J$2</f>
        <v>元宝</v>
      </c>
      <c r="D10323" s="224">
        <f>参数调整!$K$41*怪物掉落配置方案!$D4167</f>
        <v>1230</v>
      </c>
    </row>
    <row r="10324" spans="1:4" ht="16.5" hidden="1" x14ac:dyDescent="0.3">
      <c r="A10324" s="10" t="str">
        <f>基本属性!$B$11&amp;"|"&amp;基本属性!$C$11</f>
        <v>80|1</v>
      </c>
      <c r="B10324" s="10" t="str">
        <f>参数调整!$J$41</f>
        <v>新增怪物种类6掉落</v>
      </c>
      <c r="C10324" s="8" t="str">
        <f>材料产出!$J$2</f>
        <v>元宝</v>
      </c>
      <c r="D10324" s="224">
        <f>参数调整!$K$41*怪物掉落配置方案!$D4168</f>
        <v>1416</v>
      </c>
    </row>
    <row r="10325" spans="1:4" ht="16.5" hidden="1" x14ac:dyDescent="0.3">
      <c r="A10325" s="10" t="str">
        <f>基本属性!$B$12&amp;"|"&amp;基本属性!$C$12</f>
        <v>90|2</v>
      </c>
      <c r="B10325" s="10" t="str">
        <f>参数调整!$J$41</f>
        <v>新增怪物种类6掉落</v>
      </c>
      <c r="C10325" s="8" t="str">
        <f>材料产出!$J$2</f>
        <v>元宝</v>
      </c>
      <c r="D10325" s="224">
        <f>参数调整!$K$41*怪物掉落配置方案!$D4169</f>
        <v>1608</v>
      </c>
    </row>
    <row r="10326" spans="1:4" ht="16.5" hidden="1" x14ac:dyDescent="0.3">
      <c r="A10326" s="10" t="str">
        <f>基本属性!$B$13&amp;"|"&amp;基本属性!$C$13</f>
        <v>100|3</v>
      </c>
      <c r="B10326" s="10" t="str">
        <f>参数调整!$J$41</f>
        <v>新增怪物种类6掉落</v>
      </c>
      <c r="C10326" s="8" t="str">
        <f>材料产出!$J$2</f>
        <v>元宝</v>
      </c>
      <c r="D10326" s="224">
        <f>参数调整!$K$41*怪物掉落配置方案!$D4170</f>
        <v>2034</v>
      </c>
    </row>
    <row r="10327" spans="1:4" ht="16.5" hidden="1" x14ac:dyDescent="0.3">
      <c r="A10327" s="10" t="str">
        <f>基本属性!$B$14&amp;"|"&amp;基本属性!$C$14</f>
        <v>105|4</v>
      </c>
      <c r="B10327" s="10" t="str">
        <f>参数调整!$J$41</f>
        <v>新增怪物种类6掉落</v>
      </c>
      <c r="C10327" s="8" t="str">
        <f>材料产出!$J$2</f>
        <v>元宝</v>
      </c>
      <c r="D10327" s="224">
        <f>参数调整!$K$41*怪物掉落配置方案!$D4171</f>
        <v>2514</v>
      </c>
    </row>
    <row r="10328" spans="1:4" ht="16.5" hidden="1" x14ac:dyDescent="0.3">
      <c r="A10328" s="10" t="str">
        <f>基本属性!$B$15&amp;"|"&amp;基本属性!$C$15</f>
        <v>110|5</v>
      </c>
      <c r="B10328" s="10" t="str">
        <f>参数调整!$J$41</f>
        <v>新增怪物种类6掉落</v>
      </c>
      <c r="C10328" s="8" t="str">
        <f>材料产出!$J$2</f>
        <v>元宝</v>
      </c>
      <c r="D10328" s="224">
        <f>参数调整!$K$41*怪物掉落配置方案!$D4172</f>
        <v>3042</v>
      </c>
    </row>
    <row r="10329" spans="1:4" ht="16.5" hidden="1" x14ac:dyDescent="0.3">
      <c r="A10329" s="10" t="str">
        <f>基本属性!$B$16&amp;"|"&amp;基本属性!$C$16</f>
        <v>120|6</v>
      </c>
      <c r="B10329" s="10" t="str">
        <f>参数调整!$J$41</f>
        <v>新增怪物种类6掉落</v>
      </c>
      <c r="C10329" s="8" t="str">
        <f>材料产出!$J$2</f>
        <v>元宝</v>
      </c>
      <c r="D10329" s="224">
        <f>参数调整!$K$41*怪物掉落配置方案!$D4173</f>
        <v>3930</v>
      </c>
    </row>
    <row r="10330" spans="1:4" ht="16.5" hidden="1" x14ac:dyDescent="0.3">
      <c r="A10330" s="10" t="str">
        <f>基本属性!$B$17&amp;"|"&amp;基本属性!$C$17</f>
        <v>135|7</v>
      </c>
      <c r="B10330" s="10" t="str">
        <f>参数调整!$J$41</f>
        <v>新增怪物种类6掉落</v>
      </c>
      <c r="C10330" s="8" t="str">
        <f>材料产出!$J$2</f>
        <v>元宝</v>
      </c>
      <c r="D10330" s="224">
        <f>参数调整!$K$41*怪物掉落配置方案!$D4174</f>
        <v>5658</v>
      </c>
    </row>
    <row r="10331" spans="1:4" ht="16.5" hidden="1" x14ac:dyDescent="0.3">
      <c r="A10331" s="10" t="str">
        <f>基本属性!$B$18&amp;"|"&amp;基本属性!$C$18</f>
        <v>155|8</v>
      </c>
      <c r="B10331" s="10" t="str">
        <f>参数调整!$J$41</f>
        <v>新增怪物种类6掉落</v>
      </c>
      <c r="C10331" s="8" t="str">
        <f>材料产出!$J$2</f>
        <v>元宝</v>
      </c>
      <c r="D10331" s="224">
        <f>参数调整!$K$41*怪物掉落配置方案!$D4175</f>
        <v>7704</v>
      </c>
    </row>
    <row r="10332" spans="1:4" ht="16.5" hidden="1" x14ac:dyDescent="0.3">
      <c r="A10332" s="10" t="str">
        <f>基本属性!$B$19&amp;"|"&amp;基本属性!$C$19</f>
        <v>190|9</v>
      </c>
      <c r="B10332" s="10" t="str">
        <f>参数调整!$J$41</f>
        <v>新增怪物种类6掉落</v>
      </c>
      <c r="C10332" s="8" t="str">
        <f>材料产出!$J$2</f>
        <v>元宝</v>
      </c>
      <c r="D10332" s="224">
        <f>参数调整!$K$41*怪物掉落配置方案!$D4176</f>
        <v>8604</v>
      </c>
    </row>
    <row r="10333" spans="1:4" ht="16.5" hidden="1" x14ac:dyDescent="0.3">
      <c r="A10333" s="10" t="str">
        <f>基本属性!$B$20&amp;"|"&amp;基本属性!$C$20</f>
        <v>200|10</v>
      </c>
      <c r="B10333" s="10" t="str">
        <f>参数调整!$J$41</f>
        <v>新增怪物种类6掉落</v>
      </c>
      <c r="C10333" s="8" t="str">
        <f>材料产出!$J$2</f>
        <v>元宝</v>
      </c>
      <c r="D10333" s="224">
        <f>参数调整!$K$41*怪物掉落配置方案!$D4177</f>
        <v>10062</v>
      </c>
    </row>
    <row r="10334" spans="1:4" ht="16.5" hidden="1" x14ac:dyDescent="0.3">
      <c r="A10334" s="10" t="str">
        <f>基本属性!$B$21&amp;"|"&amp;基本属性!$C$21</f>
        <v>200|11</v>
      </c>
      <c r="B10334" s="10" t="str">
        <f>参数调整!$J$41</f>
        <v>新增怪物种类6掉落</v>
      </c>
      <c r="C10334" s="8" t="str">
        <f>材料产出!$J$2</f>
        <v>元宝</v>
      </c>
      <c r="D10334" s="224">
        <f>参数调整!$K$41*怪物掉落配置方案!$D4178</f>
        <v>11622</v>
      </c>
    </row>
    <row r="10335" spans="1:4" ht="16.5" hidden="1" x14ac:dyDescent="0.3">
      <c r="A10335" s="10" t="str">
        <f>基本属性!$B$22&amp;"|"&amp;基本属性!$C$22</f>
        <v>210|12</v>
      </c>
      <c r="B10335" s="10" t="str">
        <f>参数调整!$J$41</f>
        <v>新增怪物种类6掉落</v>
      </c>
      <c r="C10335" s="8" t="str">
        <f>材料产出!$J$2</f>
        <v>元宝</v>
      </c>
      <c r="D10335" s="224">
        <f>参数调整!$K$41*怪物掉落配置方案!$D4179</f>
        <v>13302</v>
      </c>
    </row>
    <row r="10336" spans="1:4" ht="16.5" hidden="1" x14ac:dyDescent="0.3">
      <c r="A10336" s="10" t="str">
        <f>基本属性!$B$23&amp;"|"&amp;基本属性!$C$23</f>
        <v>210|13</v>
      </c>
      <c r="B10336" s="10" t="str">
        <f>参数调整!$J$41</f>
        <v>新增怪物种类6掉落</v>
      </c>
      <c r="C10336" s="8" t="str">
        <f>材料产出!$J$2</f>
        <v>元宝</v>
      </c>
      <c r="D10336" s="224">
        <f>参数调整!$K$41*怪物掉落配置方案!$D4180</f>
        <v>15096</v>
      </c>
    </row>
    <row r="10337" spans="1:4" ht="16.5" hidden="1" x14ac:dyDescent="0.3">
      <c r="A10337" s="10" t="str">
        <f>基本属性!$B$24&amp;"|"&amp;基本属性!$C$24</f>
        <v>220|14</v>
      </c>
      <c r="B10337" s="10" t="str">
        <f>参数调整!$J$41</f>
        <v>新增怪物种类6掉落</v>
      </c>
      <c r="C10337" s="8" t="str">
        <f>材料产出!$J$2</f>
        <v>元宝</v>
      </c>
      <c r="D10337" s="224">
        <f>参数调整!$K$41*怪物掉落配置方案!$D4181</f>
        <v>16998</v>
      </c>
    </row>
    <row r="10338" spans="1:4" ht="16.5" hidden="1" x14ac:dyDescent="0.3">
      <c r="A10338" s="10" t="str">
        <f>基本属性!$B$25&amp;"|"&amp;基本属性!$C$25</f>
        <v>220|15</v>
      </c>
      <c r="B10338" s="10" t="str">
        <f>参数调整!$J$41</f>
        <v>新增怪物种类6掉落</v>
      </c>
      <c r="C10338" s="8" t="str">
        <f>材料产出!$J$2</f>
        <v>元宝</v>
      </c>
      <c r="D10338" s="224">
        <f>参数调整!$K$41*怪物掉落配置方案!$D4182</f>
        <v>19020</v>
      </c>
    </row>
    <row r="10339" spans="1:4" ht="16.5" hidden="1" x14ac:dyDescent="0.3">
      <c r="A10339" s="10" t="str">
        <f>基本属性!$B$26&amp;"|"&amp;基本属性!$C$26</f>
        <v>230|16</v>
      </c>
      <c r="B10339" s="10" t="str">
        <f>参数调整!$J$41</f>
        <v>新增怪物种类6掉落</v>
      </c>
      <c r="C10339" s="8" t="str">
        <f>材料产出!$J$2</f>
        <v>元宝</v>
      </c>
      <c r="D10339" s="224">
        <f>参数调整!$K$41*怪物掉落配置方案!$D4183</f>
        <v>21150</v>
      </c>
    </row>
    <row r="10340" spans="1:4" ht="16.5" hidden="1" x14ac:dyDescent="0.3">
      <c r="A10340" s="10" t="str">
        <f>基本属性!$B$27&amp;"|"&amp;基本属性!$C$27</f>
        <v>230|17</v>
      </c>
      <c r="B10340" s="10" t="str">
        <f>参数调整!$J$41</f>
        <v>新增怪物种类6掉落</v>
      </c>
      <c r="C10340" s="8" t="str">
        <f>材料产出!$J$2</f>
        <v>元宝</v>
      </c>
      <c r="D10340" s="224">
        <f>参数调整!$K$41*怪物掉落配置方案!$D4184</f>
        <v>23394</v>
      </c>
    </row>
    <row r="10341" spans="1:4" ht="16.5" hidden="1" x14ac:dyDescent="0.3">
      <c r="A10341" s="10" t="str">
        <f>基本属性!$B$28&amp;"|"&amp;基本属性!$C$28</f>
        <v>240|18</v>
      </c>
      <c r="B10341" s="10" t="str">
        <f>参数调整!$J$41</f>
        <v>新增怪物种类6掉落</v>
      </c>
      <c r="C10341" s="8" t="str">
        <f>材料产出!$J$2</f>
        <v>元宝</v>
      </c>
      <c r="D10341" s="224">
        <f>参数调整!$K$41*怪物掉落配置方案!$D4185</f>
        <v>25752</v>
      </c>
    </row>
    <row r="10342" spans="1:4" ht="16.5" hidden="1" x14ac:dyDescent="0.3">
      <c r="A10342" s="10" t="str">
        <f>基本属性!$B$29&amp;"|"&amp;基本属性!$C$29</f>
        <v>240|19</v>
      </c>
      <c r="B10342" s="10" t="str">
        <f>参数调整!$J$41</f>
        <v>新增怪物种类6掉落</v>
      </c>
      <c r="C10342" s="8" t="str">
        <f>材料产出!$J$2</f>
        <v>元宝</v>
      </c>
      <c r="D10342" s="224">
        <f>参数调整!$K$41*怪物掉落配置方案!$D4186</f>
        <v>28224</v>
      </c>
    </row>
    <row r="10343" spans="1:4" ht="16.5" hidden="1" x14ac:dyDescent="0.3">
      <c r="A10343" s="10" t="str">
        <f>基本属性!$B$30&amp;"|"&amp;基本属性!$C$30</f>
        <v>250|20</v>
      </c>
      <c r="B10343" s="10" t="str">
        <f>参数调整!$J$41</f>
        <v>新增怪物种类6掉落</v>
      </c>
      <c r="C10343" s="8" t="str">
        <f>材料产出!$J$2</f>
        <v>元宝</v>
      </c>
      <c r="D10343" s="224">
        <f>参数调整!$K$41*怪物掉落配置方案!$D4187</f>
        <v>30804</v>
      </c>
    </row>
    <row r="10344" spans="1:4" ht="16.5" hidden="1" x14ac:dyDescent="0.3">
      <c r="A10344" s="10" t="str">
        <f>基本属性!$B$4&amp;"|"&amp;基本属性!$C$4</f>
        <v>35|0</v>
      </c>
      <c r="B10344" s="10" t="str">
        <f>参数调整!$J$41</f>
        <v>新增怪物种类6掉落</v>
      </c>
      <c r="C10344" s="8" t="str">
        <f>材料产出!$BB$2</f>
        <v>衣服碎片</v>
      </c>
      <c r="D10344" s="224">
        <f>参数调整!$K$41*怪物掉落配置方案!$D4188</f>
        <v>4.8700183250339725E-5</v>
      </c>
    </row>
    <row r="10345" spans="1:4" ht="16.5" hidden="1" x14ac:dyDescent="0.3">
      <c r="A10345" s="10" t="str">
        <f>基本属性!$B$5&amp;"|"&amp;基本属性!$C$5</f>
        <v>40|0</v>
      </c>
      <c r="B10345" s="10" t="str">
        <f>参数调整!$J$41</f>
        <v>新增怪物种类6掉落</v>
      </c>
      <c r="C10345" s="8" t="str">
        <f>材料产出!$BB$2</f>
        <v>衣服碎片</v>
      </c>
      <c r="D10345" s="224">
        <f>参数调整!$K$41*怪物掉落配置方案!$D4189</f>
        <v>6.163616942621121E-5</v>
      </c>
    </row>
    <row r="10346" spans="1:4" ht="16.5" hidden="1" x14ac:dyDescent="0.3">
      <c r="A10346" s="10" t="str">
        <f>基本属性!$B$6&amp;"|"&amp;基本属性!$C$6</f>
        <v>50|0</v>
      </c>
      <c r="B10346" s="10" t="str">
        <f>参数调整!$J$41</f>
        <v>新增怪物种类6掉落</v>
      </c>
      <c r="C10346" s="8" t="str">
        <f>材料产出!$BB$2</f>
        <v>衣服碎片</v>
      </c>
      <c r="D10346" s="224">
        <f>参数调整!$K$41*怪物掉落配置方案!$D4190</f>
        <v>7.609403632865583E-5</v>
      </c>
    </row>
    <row r="10347" spans="1:4" ht="16.5" hidden="1" x14ac:dyDescent="0.3">
      <c r="A10347" s="10" t="str">
        <f>基本属性!$B$7&amp;"|"&amp;基本属性!$C$7</f>
        <v>60|0</v>
      </c>
      <c r="B10347" s="10" t="str">
        <f>参数调整!$J$41</f>
        <v>新增怪物种类6掉落</v>
      </c>
      <c r="C10347" s="8" t="str">
        <f>材料产出!$BB$2</f>
        <v>衣服碎片</v>
      </c>
      <c r="D10347" s="224">
        <f>参数调整!$K$41*怪物掉落配置方案!$D4191</f>
        <v>9.2073783957673542E-5</v>
      </c>
    </row>
    <row r="10348" spans="1:4" ht="16.5" hidden="1" x14ac:dyDescent="0.3">
      <c r="A10348" s="10" t="str">
        <f>基本属性!$B$8&amp;"|"&amp;基本属性!$C$8</f>
        <v>65|0</v>
      </c>
      <c r="B10348" s="10" t="str">
        <f>参数调整!$J$41</f>
        <v>新增怪物种类6掉落</v>
      </c>
      <c r="C10348" s="8" t="str">
        <f>材料产出!$BB$2</f>
        <v>衣服碎片</v>
      </c>
      <c r="D10348" s="224">
        <f>参数调整!$K$41*怪物掉落配置方案!$D4192</f>
        <v>1.0957541231326439E-4</v>
      </c>
    </row>
    <row r="10349" spans="1:4" ht="16.5" hidden="1" x14ac:dyDescent="0.3">
      <c r="A10349" s="10" t="str">
        <f>基本属性!$B$9&amp;"|"&amp;基本属性!$C$9</f>
        <v>70|0</v>
      </c>
      <c r="B10349" s="10" t="str">
        <f>参数调整!$J$41</f>
        <v>新增怪物种类6掉落</v>
      </c>
      <c r="C10349" s="8" t="str">
        <f>材料产出!$BB$2</f>
        <v>衣服碎片</v>
      </c>
      <c r="D10349" s="224">
        <f>参数调整!$K$41*怪物掉落配置方案!$D4193</f>
        <v>1.2859892139542833E-4</v>
      </c>
    </row>
    <row r="10350" spans="1:4" ht="16.5" hidden="1" x14ac:dyDescent="0.3">
      <c r="A10350" s="10" t="str">
        <f>基本属性!$B$10&amp;"|"&amp;基本属性!$C$10</f>
        <v>75|0</v>
      </c>
      <c r="B10350" s="10" t="str">
        <f>参数调整!$J$41</f>
        <v>新增怪物种类6掉落</v>
      </c>
      <c r="C10350" s="8" t="str">
        <f>材料产出!$BB$2</f>
        <v>衣服碎片</v>
      </c>
      <c r="D10350" s="224">
        <f>参数调整!$K$41*怪物掉落配置方案!$D4194</f>
        <v>1.4914431120416539E-4</v>
      </c>
    </row>
    <row r="10351" spans="1:4" ht="16.5" hidden="1" x14ac:dyDescent="0.3">
      <c r="A10351" s="10" t="str">
        <f>基本属性!$B$11&amp;"|"&amp;基本属性!$C$11</f>
        <v>80|1</v>
      </c>
      <c r="B10351" s="10" t="str">
        <f>参数调整!$J$41</f>
        <v>新增怪物种类6掉落</v>
      </c>
      <c r="C10351" s="8" t="str">
        <f>材料产出!$BB$2</f>
        <v>衣服碎片</v>
      </c>
      <c r="D10351" s="224">
        <f>参数调整!$K$41*怪物掉落配置方案!$D4195</f>
        <v>1.712115817394756E-4</v>
      </c>
    </row>
    <row r="10352" spans="1:4" ht="16.5" hidden="1" x14ac:dyDescent="0.3">
      <c r="A10352" s="10" t="str">
        <f>基本属性!$B$12&amp;"|"&amp;基本属性!$C$12</f>
        <v>90|2</v>
      </c>
      <c r="B10352" s="10" t="str">
        <f>参数调整!$J$41</f>
        <v>新增怪物种类6掉落</v>
      </c>
      <c r="C10352" s="8" t="str">
        <f>材料产出!$BB$2</f>
        <v>衣服碎片</v>
      </c>
      <c r="D10352" s="224">
        <f>参数调整!$K$41*怪物掉落配置方案!$D4196</f>
        <v>1.9480073300135896E-4</v>
      </c>
    </row>
    <row r="10353" spans="1:4" ht="16.5" hidden="1" x14ac:dyDescent="0.3">
      <c r="A10353" s="10" t="str">
        <f>基本属性!$B$13&amp;"|"&amp;基本属性!$C$13</f>
        <v>100|3</v>
      </c>
      <c r="B10353" s="10" t="str">
        <f>参数调整!$J$41</f>
        <v>新增怪物种类6掉落</v>
      </c>
      <c r="C10353" s="8" t="str">
        <f>材料产出!$BB$2</f>
        <v>衣服碎片</v>
      </c>
      <c r="D10353" s="224">
        <f>参数调整!$K$41*怪物掉落配置方案!$D4197</f>
        <v>2.465446777048449E-4</v>
      </c>
    </row>
    <row r="10354" spans="1:4" ht="16.5" hidden="1" x14ac:dyDescent="0.3">
      <c r="A10354" s="10" t="str">
        <f>基本属性!$B$14&amp;"|"&amp;基本属性!$C$14</f>
        <v>105|4</v>
      </c>
      <c r="B10354" s="10" t="str">
        <f>参数调整!$J$41</f>
        <v>新增怪物种类6掉落</v>
      </c>
      <c r="C10354" s="8" t="str">
        <f>材料产出!$BB$2</f>
        <v>衣服碎片</v>
      </c>
      <c r="D10354" s="224">
        <f>参数调整!$K$41*怪物掉落配置方案!$D4198</f>
        <v>3.0437614531462332E-4</v>
      </c>
    </row>
    <row r="10355" spans="1:4" ht="16.5" hidden="1" x14ac:dyDescent="0.3">
      <c r="A10355" s="10" t="str">
        <f>基本属性!$B$15&amp;"|"&amp;基本属性!$C$15</f>
        <v>110|5</v>
      </c>
      <c r="B10355" s="10" t="str">
        <f>参数调整!$J$41</f>
        <v>新增怪物种类6掉落</v>
      </c>
      <c r="C10355" s="8" t="str">
        <f>材料产出!$BB$2</f>
        <v>衣服碎片</v>
      </c>
      <c r="D10355" s="224">
        <f>参数调整!$K$41*怪物掉落配置方案!$D4199</f>
        <v>3.6829513583069428E-4</v>
      </c>
    </row>
    <row r="10356" spans="1:4" ht="16.5" hidden="1" x14ac:dyDescent="0.3">
      <c r="A10356" s="10" t="str">
        <f>基本属性!$B$16&amp;"|"&amp;基本属性!$C$16</f>
        <v>120|6</v>
      </c>
      <c r="B10356" s="10" t="str">
        <f>参数调整!$J$41</f>
        <v>新增怪物种类6掉落</v>
      </c>
      <c r="C10356" s="8" t="str">
        <f>材料产出!$BB$2</f>
        <v>衣服碎片</v>
      </c>
      <c r="D10356" s="224">
        <f>参数调整!$K$41*怪物掉落配置方案!$D4200</f>
        <v>4.7558772705409897E-4</v>
      </c>
    </row>
    <row r="10357" spans="1:4" ht="16.5" hidden="1" x14ac:dyDescent="0.3">
      <c r="A10357" s="10" t="str">
        <f>基本属性!$B$17&amp;"|"&amp;基本属性!$C$17</f>
        <v>135|7</v>
      </c>
      <c r="B10357" s="10" t="str">
        <f>参数调整!$J$41</f>
        <v>新增怪物种类6掉落</v>
      </c>
      <c r="C10357" s="8" t="str">
        <f>材料产出!$BB$2</f>
        <v>衣服碎片</v>
      </c>
      <c r="D10357" s="224">
        <f>参数调整!$K$41*怪物掉落配置方案!$D4201</f>
        <v>6.848463269579024E-4</v>
      </c>
    </row>
    <row r="10358" spans="1:4" ht="16.5" hidden="1" x14ac:dyDescent="0.3">
      <c r="A10358" s="10" t="str">
        <f>基本属性!$B$18&amp;"|"&amp;基本属性!$C$18</f>
        <v>155|8</v>
      </c>
      <c r="B10358" s="10" t="str">
        <f>参数调整!$J$41</f>
        <v>新增怪物种类6掉落</v>
      </c>
      <c r="C10358" s="8" t="str">
        <f>材料产出!$BB$2</f>
        <v>衣服碎片</v>
      </c>
      <c r="D10358" s="224">
        <f>参数调整!$K$41*怪物掉落配置方案!$D4202</f>
        <v>9.3215194502603387E-4</v>
      </c>
    </row>
    <row r="10359" spans="1:4" ht="16.5" hidden="1" x14ac:dyDescent="0.3">
      <c r="A10359" s="10" t="str">
        <f>基本属性!$B$19&amp;"|"&amp;基本属性!$C$19</f>
        <v>190|9</v>
      </c>
      <c r="B10359" s="10" t="str">
        <f>参数调整!$J$41</f>
        <v>新增怪物种类6掉落</v>
      </c>
      <c r="C10359" s="8" t="str">
        <f>材料产出!$BB$2</f>
        <v>衣服碎片</v>
      </c>
      <c r="D10359" s="224">
        <f>参数调整!$K$41*怪物掉落配置方案!$D4203</f>
        <v>1.0417273573392982E-3</v>
      </c>
    </row>
    <row r="10360" spans="1:4" ht="16.5" hidden="1" x14ac:dyDescent="0.3">
      <c r="A10360" s="10" t="str">
        <f>基本属性!$B$20&amp;"|"&amp;基本属性!$C$20</f>
        <v>200|10</v>
      </c>
      <c r="B10360" s="10" t="str">
        <f>参数调整!$J$41</f>
        <v>新增怪物种类6掉落</v>
      </c>
      <c r="C10360" s="8" t="str">
        <f>材料产出!$BB$2</f>
        <v>衣服碎片</v>
      </c>
      <c r="D10360" s="224">
        <f>参数调整!$K$41*怪物掉落配置方案!$D4204</f>
        <v>1.2175045812584933E-3</v>
      </c>
    </row>
    <row r="10361" spans="1:4" ht="16.5" hidden="1" x14ac:dyDescent="0.3">
      <c r="A10361" s="10" t="str">
        <f>基本属性!$B$21&amp;"|"&amp;基本属性!$C$21</f>
        <v>200|11</v>
      </c>
      <c r="B10361" s="10" t="str">
        <f>参数调整!$J$41</f>
        <v>新增怪物种类6掉落</v>
      </c>
      <c r="C10361" s="8" t="str">
        <f>材料产出!$BB$2</f>
        <v>衣服碎片</v>
      </c>
      <c r="D10361" s="224">
        <f>参数调整!$K$41*怪物掉落配置方案!$D4205</f>
        <v>1.4069787317168457E-3</v>
      </c>
    </row>
    <row r="10362" spans="1:4" ht="16.5" hidden="1" x14ac:dyDescent="0.3">
      <c r="A10362" s="10" t="str">
        <f>基本属性!$B$22&amp;"|"&amp;基本属性!$C$22</f>
        <v>210|12</v>
      </c>
      <c r="B10362" s="10" t="str">
        <f>参数调整!$J$41</f>
        <v>新增怪物种类6掉落</v>
      </c>
      <c r="C10362" s="8" t="str">
        <f>材料产出!$BB$2</f>
        <v>衣服碎片</v>
      </c>
      <c r="D10362" s="224">
        <f>参数调整!$K$41*怪物掉落配置方案!$D4206</f>
        <v>1.6101498087143567E-3</v>
      </c>
    </row>
    <row r="10363" spans="1:4" ht="16.5" hidden="1" x14ac:dyDescent="0.3">
      <c r="A10363" s="10" t="str">
        <f>基本属性!$B$23&amp;"|"&amp;基本属性!$C$23</f>
        <v>210|13</v>
      </c>
      <c r="B10363" s="10" t="str">
        <f>参数调整!$J$41</f>
        <v>新增怪物种类6掉落</v>
      </c>
      <c r="C10363" s="8" t="str">
        <f>材料产出!$BB$2</f>
        <v>衣服碎片</v>
      </c>
      <c r="D10363" s="224">
        <f>参数调整!$K$41*怪物掉落配置方案!$D4207</f>
        <v>1.8270178122510266E-3</v>
      </c>
    </row>
    <row r="10364" spans="1:4" ht="16.5" hidden="1" x14ac:dyDescent="0.3">
      <c r="A10364" s="10" t="str">
        <f>基本属性!$B$24&amp;"|"&amp;基本属性!$C$24</f>
        <v>220|14</v>
      </c>
      <c r="B10364" s="10" t="str">
        <f>参数调整!$J$41</f>
        <v>新增怪物种类6掉落</v>
      </c>
      <c r="C10364" s="8" t="str">
        <f>材料产出!$BB$2</f>
        <v>衣服碎片</v>
      </c>
      <c r="D10364" s="224">
        <f>参数调整!$K$41*怪物掉落配置方案!$D4208</f>
        <v>2.0575827423268533E-3</v>
      </c>
    </row>
    <row r="10365" spans="1:4" ht="16.5" hidden="1" x14ac:dyDescent="0.3">
      <c r="A10365" s="10" t="str">
        <f>基本属性!$B$25&amp;"|"&amp;基本属性!$C$25</f>
        <v>220|15</v>
      </c>
      <c r="B10365" s="10" t="str">
        <f>参数调整!$J$41</f>
        <v>新增怪物种类6掉落</v>
      </c>
      <c r="C10365" s="8" t="str">
        <f>材料产出!$BB$2</f>
        <v>衣服碎片</v>
      </c>
      <c r="D10365" s="224">
        <f>参数调整!$K$41*怪物掉落配置方案!$D4209</f>
        <v>2.3018445989418379E-3</v>
      </c>
    </row>
    <row r="10366" spans="1:4" ht="16.5" hidden="1" x14ac:dyDescent="0.3">
      <c r="A10366" s="10" t="str">
        <f>基本属性!$B$26&amp;"|"&amp;基本属性!$C$26</f>
        <v>230|16</v>
      </c>
      <c r="B10366" s="10" t="str">
        <f>参数调整!$J$41</f>
        <v>新增怪物种类6掉落</v>
      </c>
      <c r="C10366" s="8" t="str">
        <f>材料产出!$BB$2</f>
        <v>衣服碎片</v>
      </c>
      <c r="D10366" s="224">
        <f>参数调整!$K$41*怪物掉落配置方案!$D4210</f>
        <v>2.5598033820959814E-3</v>
      </c>
    </row>
    <row r="10367" spans="1:4" ht="16.5" hidden="1" x14ac:dyDescent="0.3">
      <c r="A10367" s="10" t="str">
        <f>基本属性!$B$27&amp;"|"&amp;基本属性!$C$27</f>
        <v>230|17</v>
      </c>
      <c r="B10367" s="10" t="str">
        <f>参数调整!$J$41</f>
        <v>新增怪物种类6掉落</v>
      </c>
      <c r="C10367" s="8" t="str">
        <f>材料产出!$BB$2</f>
        <v>衣服碎片</v>
      </c>
      <c r="D10367" s="224">
        <f>参数调整!$K$41*怪物掉落配置方案!$D4211</f>
        <v>2.8314590917892825E-3</v>
      </c>
    </row>
    <row r="10368" spans="1:4" ht="16.5" hidden="1" x14ac:dyDescent="0.3">
      <c r="A10368" s="10" t="str">
        <f>基本属性!$B$28&amp;"|"&amp;基本属性!$C$28</f>
        <v>240|18</v>
      </c>
      <c r="B10368" s="10" t="str">
        <f>参数调整!$J$41</f>
        <v>新增怪物种类6掉落</v>
      </c>
      <c r="C10368" s="8" t="str">
        <f>材料产出!$BB$2</f>
        <v>衣服碎片</v>
      </c>
      <c r="D10368" s="224">
        <f>参数调整!$K$41*怪物掉落配置方案!$D4212</f>
        <v>3.1168117280217424E-3</v>
      </c>
    </row>
    <row r="10369" spans="1:4" ht="16.5" hidden="1" x14ac:dyDescent="0.3">
      <c r="A10369" s="10" t="str">
        <f>基本属性!$B$29&amp;"|"&amp;基本属性!$C$29</f>
        <v>240|19</v>
      </c>
      <c r="B10369" s="10" t="str">
        <f>参数调整!$J$41</f>
        <v>新增怪物种类6掉落</v>
      </c>
      <c r="C10369" s="8" t="str">
        <f>材料产出!$BB$2</f>
        <v>衣服碎片</v>
      </c>
      <c r="D10369" s="224">
        <f>参数调整!$K$41*怪物掉落配置方案!$D4213</f>
        <v>3.4158612907933599E-3</v>
      </c>
    </row>
    <row r="10370" spans="1:4" ht="16.5" hidden="1" x14ac:dyDescent="0.3">
      <c r="A10370" s="10" t="str">
        <f>基本属性!$B$30&amp;"|"&amp;基本属性!$C$30</f>
        <v>250|20</v>
      </c>
      <c r="B10370" s="10" t="str">
        <f>参数调整!$J$41</f>
        <v>新增怪物种类6掉落</v>
      </c>
      <c r="C10370" s="8" t="str">
        <f>材料产出!$BB$2</f>
        <v>衣服碎片</v>
      </c>
      <c r="D10370" s="224">
        <f>参数调整!$K$41*怪物掉落配置方案!$D4214</f>
        <v>3.7286077801041342E-3</v>
      </c>
    </row>
    <row r="10371" spans="1:4" ht="16.5" hidden="1" x14ac:dyDescent="0.3">
      <c r="A10371" s="10" t="str">
        <f>基本属性!$B$4&amp;"|"&amp;基本属性!$C$4</f>
        <v>35|0</v>
      </c>
      <c r="B10371" s="10" t="str">
        <f>参数调整!$J$41</f>
        <v>新增怪物种类6掉落</v>
      </c>
      <c r="C10371" s="8" t="str">
        <f>材料产出!$HX$2</f>
        <v>星座装备</v>
      </c>
      <c r="D10371" s="224">
        <f>参数调整!$K$41*怪物掉落配置方案!$D4215</f>
        <v>0</v>
      </c>
    </row>
    <row r="10372" spans="1:4" ht="16.5" hidden="1" x14ac:dyDescent="0.3">
      <c r="A10372" s="10" t="str">
        <f>基本属性!$B$5&amp;"|"&amp;基本属性!$C$5</f>
        <v>40|0</v>
      </c>
      <c r="B10372" s="10" t="str">
        <f>参数调整!$J$41</f>
        <v>新增怪物种类6掉落</v>
      </c>
      <c r="C10372" s="8" t="str">
        <f>材料产出!$HX$2</f>
        <v>星座装备</v>
      </c>
      <c r="D10372" s="224">
        <f>参数调整!$K$41*怪物掉落配置方案!$D4216</f>
        <v>0</v>
      </c>
    </row>
    <row r="10373" spans="1:4" ht="16.5" hidden="1" x14ac:dyDescent="0.3">
      <c r="A10373" s="10" t="str">
        <f>基本属性!$B$6&amp;"|"&amp;基本属性!$C$6</f>
        <v>50|0</v>
      </c>
      <c r="B10373" s="10" t="str">
        <f>参数调整!$J$41</f>
        <v>新增怪物种类6掉落</v>
      </c>
      <c r="C10373" s="8" t="str">
        <f>材料产出!$HX$2</f>
        <v>星座装备</v>
      </c>
      <c r="D10373" s="224">
        <f>参数调整!$K$41*怪物掉落配置方案!$D4217</f>
        <v>0</v>
      </c>
    </row>
    <row r="10374" spans="1:4" ht="16.5" hidden="1" x14ac:dyDescent="0.3">
      <c r="A10374" s="10" t="str">
        <f>基本属性!$B$7&amp;"|"&amp;基本属性!$C$7</f>
        <v>60|0</v>
      </c>
      <c r="B10374" s="10" t="str">
        <f>参数调整!$J$41</f>
        <v>新增怪物种类6掉落</v>
      </c>
      <c r="C10374" s="8" t="str">
        <f>材料产出!$HX$2</f>
        <v>星座装备</v>
      </c>
      <c r="D10374" s="224">
        <f>参数调整!$K$41*怪物掉落配置方案!$D4218</f>
        <v>0</v>
      </c>
    </row>
    <row r="10375" spans="1:4" ht="16.5" hidden="1" x14ac:dyDescent="0.3">
      <c r="A10375" s="10" t="str">
        <f>基本属性!$B$8&amp;"|"&amp;基本属性!$C$8</f>
        <v>65|0</v>
      </c>
      <c r="B10375" s="10" t="str">
        <f>参数调整!$J$41</f>
        <v>新增怪物种类6掉落</v>
      </c>
      <c r="C10375" s="8" t="str">
        <f>材料产出!$HX$2</f>
        <v>星座装备</v>
      </c>
      <c r="D10375" s="224">
        <f>参数调整!$K$41*怪物掉落配置方案!$D4219</f>
        <v>0</v>
      </c>
    </row>
    <row r="10376" spans="1:4" ht="16.5" hidden="1" x14ac:dyDescent="0.3">
      <c r="A10376" s="10" t="str">
        <f>基本属性!$B$9&amp;"|"&amp;基本属性!$C$9</f>
        <v>70|0</v>
      </c>
      <c r="B10376" s="10" t="str">
        <f>参数调整!$J$41</f>
        <v>新增怪物种类6掉落</v>
      </c>
      <c r="C10376" s="8" t="str">
        <f>材料产出!$HX$2</f>
        <v>星座装备</v>
      </c>
      <c r="D10376" s="224">
        <f>参数调整!$K$41*怪物掉落配置方案!$D4220</f>
        <v>0</v>
      </c>
    </row>
    <row r="10377" spans="1:4" ht="16.5" hidden="1" x14ac:dyDescent="0.3">
      <c r="A10377" s="10" t="str">
        <f>基本属性!$B$10&amp;"|"&amp;基本属性!$C$10</f>
        <v>75|0</v>
      </c>
      <c r="B10377" s="10" t="str">
        <f>参数调整!$J$41</f>
        <v>新增怪物种类6掉落</v>
      </c>
      <c r="C10377" s="8" t="str">
        <f>材料产出!$HX$2</f>
        <v>星座装备</v>
      </c>
      <c r="D10377" s="224">
        <f>参数调整!$K$41*怪物掉落配置方案!$D4221</f>
        <v>0</v>
      </c>
    </row>
    <row r="10378" spans="1:4" ht="16.5" hidden="1" x14ac:dyDescent="0.3">
      <c r="A10378" s="10" t="str">
        <f>基本属性!$B$11&amp;"|"&amp;基本属性!$C$11</f>
        <v>80|1</v>
      </c>
      <c r="B10378" s="10" t="str">
        <f>参数调整!$J$41</f>
        <v>新增怪物种类6掉落</v>
      </c>
      <c r="C10378" s="8" t="str">
        <f>材料产出!$HX$2</f>
        <v>星座装备</v>
      </c>
      <c r="D10378" s="224">
        <f>参数调整!$K$41*怪物掉落配置方案!$D4222</f>
        <v>0</v>
      </c>
    </row>
    <row r="10379" spans="1:4" ht="16.5" hidden="1" x14ac:dyDescent="0.3">
      <c r="A10379" s="10" t="str">
        <f>基本属性!$B$12&amp;"|"&amp;基本属性!$C$12</f>
        <v>90|2</v>
      </c>
      <c r="B10379" s="10" t="str">
        <f>参数调整!$J$41</f>
        <v>新增怪物种类6掉落</v>
      </c>
      <c r="C10379" s="8" t="str">
        <f>材料产出!$HX$2</f>
        <v>星座装备</v>
      </c>
      <c r="D10379" s="224">
        <f>参数调整!$K$41*怪物掉落配置方案!$D4223</f>
        <v>0</v>
      </c>
    </row>
    <row r="10380" spans="1:4" ht="16.5" hidden="1" x14ac:dyDescent="0.3">
      <c r="A10380" s="10" t="str">
        <f>基本属性!$B$13&amp;"|"&amp;基本属性!$C$13</f>
        <v>100|3</v>
      </c>
      <c r="B10380" s="10" t="str">
        <f>参数调整!$J$41</f>
        <v>新增怪物种类6掉落</v>
      </c>
      <c r="C10380" s="8" t="str">
        <f>材料产出!$HX$2</f>
        <v>星座装备</v>
      </c>
      <c r="D10380" s="224">
        <f>参数调整!$K$41*怪物掉落配置方案!$D4224</f>
        <v>0</v>
      </c>
    </row>
    <row r="10381" spans="1:4" ht="16.5" hidden="1" x14ac:dyDescent="0.3">
      <c r="A10381" s="10" t="str">
        <f>基本属性!$B$14&amp;"|"&amp;基本属性!$C$14</f>
        <v>105|4</v>
      </c>
      <c r="B10381" s="10" t="str">
        <f>参数调整!$J$41</f>
        <v>新增怪物种类6掉落</v>
      </c>
      <c r="C10381" s="8" t="str">
        <f>材料产出!$HX$2</f>
        <v>星座装备</v>
      </c>
      <c r="D10381" s="224">
        <f>参数调整!$K$41*怪物掉落配置方案!$D4225</f>
        <v>0</v>
      </c>
    </row>
    <row r="10382" spans="1:4" ht="16.5" hidden="1" x14ac:dyDescent="0.3">
      <c r="A10382" s="10" t="str">
        <f>基本属性!$B$15&amp;"|"&amp;基本属性!$C$15</f>
        <v>110|5</v>
      </c>
      <c r="B10382" s="10" t="str">
        <f>参数调整!$J$41</f>
        <v>新增怪物种类6掉落</v>
      </c>
      <c r="C10382" s="8" t="str">
        <f>材料产出!$HX$2</f>
        <v>星座装备</v>
      </c>
      <c r="D10382" s="224">
        <f>参数调整!$K$41*怪物掉落配置方案!$D4226</f>
        <v>0</v>
      </c>
    </row>
    <row r="10383" spans="1:4" ht="16.5" hidden="1" x14ac:dyDescent="0.3">
      <c r="A10383" s="10" t="str">
        <f>基本属性!$B$16&amp;"|"&amp;基本属性!$C$16</f>
        <v>120|6</v>
      </c>
      <c r="B10383" s="10" t="str">
        <f>参数调整!$J$41</f>
        <v>新增怪物种类6掉落</v>
      </c>
      <c r="C10383" s="8" t="str">
        <f>材料产出!$HX$2</f>
        <v>星座装备</v>
      </c>
      <c r="D10383" s="224">
        <f>参数调整!$K$41*怪物掉落配置方案!$D4227</f>
        <v>0</v>
      </c>
    </row>
    <row r="10384" spans="1:4" ht="16.5" hidden="1" x14ac:dyDescent="0.3">
      <c r="A10384" s="10" t="str">
        <f>基本属性!$B$17&amp;"|"&amp;基本属性!$C$17</f>
        <v>135|7</v>
      </c>
      <c r="B10384" s="10" t="str">
        <f>参数调整!$J$41</f>
        <v>新增怪物种类6掉落</v>
      </c>
      <c r="C10384" s="8" t="str">
        <f>材料产出!$HX$2</f>
        <v>星座装备</v>
      </c>
      <c r="D10384" s="224">
        <f>参数调整!$K$41*怪物掉落配置方案!$D4228</f>
        <v>0</v>
      </c>
    </row>
    <row r="10385" spans="1:4" ht="16.5" hidden="1" x14ac:dyDescent="0.3">
      <c r="A10385" s="10" t="str">
        <f>基本属性!$B$18&amp;"|"&amp;基本属性!$C$18</f>
        <v>155|8</v>
      </c>
      <c r="B10385" s="10" t="str">
        <f>参数调整!$J$41</f>
        <v>新增怪物种类6掉落</v>
      </c>
      <c r="C10385" s="8" t="str">
        <f>材料产出!$HX$2</f>
        <v>星座装备</v>
      </c>
      <c r="D10385" s="224">
        <f>参数调整!$K$41*怪物掉落配置方案!$D4229</f>
        <v>0</v>
      </c>
    </row>
    <row r="10386" spans="1:4" ht="16.5" hidden="1" x14ac:dyDescent="0.3">
      <c r="A10386" s="10" t="str">
        <f>基本属性!$B$19&amp;"|"&amp;基本属性!$C$19</f>
        <v>190|9</v>
      </c>
      <c r="B10386" s="10" t="str">
        <f>参数调整!$J$41</f>
        <v>新增怪物种类6掉落</v>
      </c>
      <c r="C10386" s="8" t="str">
        <f>材料产出!$HX$2</f>
        <v>星座装备</v>
      </c>
      <c r="D10386" s="224">
        <f>参数调整!$K$41*怪物掉落配置方案!$D4230</f>
        <v>0</v>
      </c>
    </row>
    <row r="10387" spans="1:4" ht="16.5" hidden="1" x14ac:dyDescent="0.3">
      <c r="A10387" s="10" t="str">
        <f>基本属性!$B$20&amp;"|"&amp;基本属性!$C$20</f>
        <v>200|10</v>
      </c>
      <c r="B10387" s="10" t="str">
        <f>参数调整!$J$41</f>
        <v>新增怪物种类6掉落</v>
      </c>
      <c r="C10387" s="8" t="str">
        <f>材料产出!$HX$2</f>
        <v>星座装备</v>
      </c>
      <c r="D10387" s="224">
        <f>参数调整!$K$41*怪物掉落配置方案!$D4231</f>
        <v>0</v>
      </c>
    </row>
    <row r="10388" spans="1:4" ht="16.5" hidden="1" x14ac:dyDescent="0.3">
      <c r="A10388" s="10" t="str">
        <f>基本属性!$B$21&amp;"|"&amp;基本属性!$C$21</f>
        <v>200|11</v>
      </c>
      <c r="B10388" s="10" t="str">
        <f>参数调整!$J$41</f>
        <v>新增怪物种类6掉落</v>
      </c>
      <c r="C10388" s="8" t="str">
        <f>材料产出!$HX$2</f>
        <v>星座装备</v>
      </c>
      <c r="D10388" s="224">
        <f>参数调整!$K$41*怪物掉落配置方案!$D4232</f>
        <v>0</v>
      </c>
    </row>
    <row r="10389" spans="1:4" ht="16.5" hidden="1" x14ac:dyDescent="0.3">
      <c r="A10389" s="10" t="str">
        <f>基本属性!$B$22&amp;"|"&amp;基本属性!$C$22</f>
        <v>210|12</v>
      </c>
      <c r="B10389" s="10" t="str">
        <f>参数调整!$J$41</f>
        <v>新增怪物种类6掉落</v>
      </c>
      <c r="C10389" s="8" t="str">
        <f>材料产出!$HX$2</f>
        <v>星座装备</v>
      </c>
      <c r="D10389" s="224">
        <f>参数调整!$K$41*怪物掉落配置方案!$D4233</f>
        <v>0</v>
      </c>
    </row>
    <row r="10390" spans="1:4" ht="16.5" hidden="1" x14ac:dyDescent="0.3">
      <c r="A10390" s="10" t="str">
        <f>基本属性!$B$23&amp;"|"&amp;基本属性!$C$23</f>
        <v>210|13</v>
      </c>
      <c r="B10390" s="10" t="str">
        <f>参数调整!$J$41</f>
        <v>新增怪物种类6掉落</v>
      </c>
      <c r="C10390" s="8" t="str">
        <f>材料产出!$HX$2</f>
        <v>星座装备</v>
      </c>
      <c r="D10390" s="224">
        <f>参数调整!$K$41*怪物掉落配置方案!$D4234</f>
        <v>0</v>
      </c>
    </row>
    <row r="10391" spans="1:4" ht="16.5" hidden="1" x14ac:dyDescent="0.3">
      <c r="A10391" s="10" t="str">
        <f>基本属性!$B$24&amp;"|"&amp;基本属性!$C$24</f>
        <v>220|14</v>
      </c>
      <c r="B10391" s="10" t="str">
        <f>参数调整!$J$41</f>
        <v>新增怪物种类6掉落</v>
      </c>
      <c r="C10391" s="8" t="str">
        <f>材料产出!$HX$2</f>
        <v>星座装备</v>
      </c>
      <c r="D10391" s="224">
        <f>参数调整!$K$41*怪物掉落配置方案!$D4235</f>
        <v>0</v>
      </c>
    </row>
    <row r="10392" spans="1:4" ht="16.5" hidden="1" x14ac:dyDescent="0.3">
      <c r="A10392" s="10" t="str">
        <f>基本属性!$B$25&amp;"|"&amp;基本属性!$C$25</f>
        <v>220|15</v>
      </c>
      <c r="B10392" s="10" t="str">
        <f>参数调整!$J$41</f>
        <v>新增怪物种类6掉落</v>
      </c>
      <c r="C10392" s="8" t="str">
        <f>材料产出!$HX$2</f>
        <v>星座装备</v>
      </c>
      <c r="D10392" s="224">
        <f>参数调整!$K$41*怪物掉落配置方案!$D4236</f>
        <v>0</v>
      </c>
    </row>
    <row r="10393" spans="1:4" ht="16.5" hidden="1" x14ac:dyDescent="0.3">
      <c r="A10393" s="10" t="str">
        <f>基本属性!$B$26&amp;"|"&amp;基本属性!$C$26</f>
        <v>230|16</v>
      </c>
      <c r="B10393" s="10" t="str">
        <f>参数调整!$J$41</f>
        <v>新增怪物种类6掉落</v>
      </c>
      <c r="C10393" s="8" t="str">
        <f>材料产出!$HX$2</f>
        <v>星座装备</v>
      </c>
      <c r="D10393" s="224">
        <f>参数调整!$K$41*怪物掉落配置方案!$D4237</f>
        <v>0</v>
      </c>
    </row>
    <row r="10394" spans="1:4" ht="16.5" hidden="1" x14ac:dyDescent="0.3">
      <c r="A10394" s="10" t="str">
        <f>基本属性!$B$27&amp;"|"&amp;基本属性!$C$27</f>
        <v>230|17</v>
      </c>
      <c r="B10394" s="10" t="str">
        <f>参数调整!$J$41</f>
        <v>新增怪物种类6掉落</v>
      </c>
      <c r="C10394" s="8" t="str">
        <f>材料产出!$HX$2</f>
        <v>星座装备</v>
      </c>
      <c r="D10394" s="224">
        <f>参数调整!$K$41*怪物掉落配置方案!$D4238</f>
        <v>0</v>
      </c>
    </row>
    <row r="10395" spans="1:4" ht="16.5" hidden="1" x14ac:dyDescent="0.3">
      <c r="A10395" s="10" t="str">
        <f>基本属性!$B$28&amp;"|"&amp;基本属性!$C$28</f>
        <v>240|18</v>
      </c>
      <c r="B10395" s="10" t="str">
        <f>参数调整!$J$41</f>
        <v>新增怪物种类6掉落</v>
      </c>
      <c r="C10395" s="8" t="str">
        <f>材料产出!$HX$2</f>
        <v>星座装备</v>
      </c>
      <c r="D10395" s="224">
        <f>参数调整!$K$41*怪物掉落配置方案!$D4239</f>
        <v>0</v>
      </c>
    </row>
    <row r="10396" spans="1:4" ht="16.5" hidden="1" x14ac:dyDescent="0.3">
      <c r="A10396" s="10" t="str">
        <f>基本属性!$B$29&amp;"|"&amp;基本属性!$C$29</f>
        <v>240|19</v>
      </c>
      <c r="B10396" s="10" t="str">
        <f>参数调整!$J$41</f>
        <v>新增怪物种类6掉落</v>
      </c>
      <c r="C10396" s="8" t="str">
        <f>材料产出!$HX$2</f>
        <v>星座装备</v>
      </c>
      <c r="D10396" s="224">
        <f>参数调整!$K$41*怪物掉落配置方案!$D4240</f>
        <v>0</v>
      </c>
    </row>
    <row r="10397" spans="1:4" ht="16.5" hidden="1" x14ac:dyDescent="0.3">
      <c r="A10397" s="10" t="str">
        <f>基本属性!$B$30&amp;"|"&amp;基本属性!$C$30</f>
        <v>250|20</v>
      </c>
      <c r="B10397" s="10" t="str">
        <f>参数调整!$J$41</f>
        <v>新增怪物种类6掉落</v>
      </c>
      <c r="C10397" s="8" t="str">
        <f>材料产出!$HX$2</f>
        <v>星座装备</v>
      </c>
      <c r="D10397" s="224">
        <f>参数调整!$K$41*怪物掉落配置方案!$D4241</f>
        <v>0</v>
      </c>
    </row>
    <row r="10398" spans="1:4" ht="16.5" hidden="1" x14ac:dyDescent="0.3">
      <c r="A10398" s="10" t="str">
        <f>基本属性!$B$4&amp;"|"&amp;基本属性!$C$4</f>
        <v>35|0</v>
      </c>
      <c r="B10398" s="10" t="str">
        <f>参数调整!$J$41</f>
        <v>新增怪物种类6掉落</v>
      </c>
      <c r="C10398" s="8" t="str">
        <f>材料产出!$BX$2</f>
        <v>新增材料9</v>
      </c>
      <c r="D10398" s="224">
        <f>参数调整!$K$41*怪物掉落配置方案!$D4242</f>
        <v>0</v>
      </c>
    </row>
    <row r="10399" spans="1:4" ht="16.5" hidden="1" x14ac:dyDescent="0.3">
      <c r="A10399" s="10" t="str">
        <f>基本属性!$B$5&amp;"|"&amp;基本属性!$C$5</f>
        <v>40|0</v>
      </c>
      <c r="B10399" s="10" t="str">
        <f>参数调整!$J$41</f>
        <v>新增怪物种类6掉落</v>
      </c>
      <c r="C10399" s="8" t="str">
        <f>材料产出!$BX$2</f>
        <v>新增材料9</v>
      </c>
      <c r="D10399" s="224">
        <f>参数调整!$K$41*怪物掉落配置方案!$D4243</f>
        <v>0</v>
      </c>
    </row>
    <row r="10400" spans="1:4" ht="16.5" hidden="1" x14ac:dyDescent="0.3">
      <c r="A10400" s="10" t="str">
        <f>基本属性!$B$6&amp;"|"&amp;基本属性!$C$6</f>
        <v>50|0</v>
      </c>
      <c r="B10400" s="10" t="str">
        <f>参数调整!$J$41</f>
        <v>新增怪物种类6掉落</v>
      </c>
      <c r="C10400" s="8" t="str">
        <f>材料产出!$BX$2</f>
        <v>新增材料9</v>
      </c>
      <c r="D10400" s="224">
        <f>参数调整!$K$41*怪物掉落配置方案!$D4244</f>
        <v>0</v>
      </c>
    </row>
    <row r="10401" spans="1:4" ht="16.5" hidden="1" x14ac:dyDescent="0.3">
      <c r="A10401" s="10" t="str">
        <f>基本属性!$B$7&amp;"|"&amp;基本属性!$C$7</f>
        <v>60|0</v>
      </c>
      <c r="B10401" s="10" t="str">
        <f>参数调整!$J$41</f>
        <v>新增怪物种类6掉落</v>
      </c>
      <c r="C10401" s="8" t="str">
        <f>材料产出!$BX$2</f>
        <v>新增材料9</v>
      </c>
      <c r="D10401" s="224">
        <f>参数调整!$K$41*怪物掉落配置方案!$D4245</f>
        <v>0</v>
      </c>
    </row>
    <row r="10402" spans="1:4" ht="16.5" hidden="1" x14ac:dyDescent="0.3">
      <c r="A10402" s="10" t="str">
        <f>基本属性!$B$8&amp;"|"&amp;基本属性!$C$8</f>
        <v>65|0</v>
      </c>
      <c r="B10402" s="10" t="str">
        <f>参数调整!$J$41</f>
        <v>新增怪物种类6掉落</v>
      </c>
      <c r="C10402" s="8" t="str">
        <f>材料产出!$BX$2</f>
        <v>新增材料9</v>
      </c>
      <c r="D10402" s="224">
        <f>参数调整!$K$41*怪物掉落配置方案!$D4246</f>
        <v>0</v>
      </c>
    </row>
    <row r="10403" spans="1:4" ht="16.5" hidden="1" x14ac:dyDescent="0.3">
      <c r="A10403" s="10" t="str">
        <f>基本属性!$B$9&amp;"|"&amp;基本属性!$C$9</f>
        <v>70|0</v>
      </c>
      <c r="B10403" s="10" t="str">
        <f>参数调整!$J$41</f>
        <v>新增怪物种类6掉落</v>
      </c>
      <c r="C10403" s="8" t="str">
        <f>材料产出!$BX$2</f>
        <v>新增材料9</v>
      </c>
      <c r="D10403" s="224">
        <f>参数调整!$K$41*怪物掉落配置方案!$D4247</f>
        <v>0</v>
      </c>
    </row>
    <row r="10404" spans="1:4" ht="16.5" hidden="1" x14ac:dyDescent="0.3">
      <c r="A10404" s="10" t="str">
        <f>基本属性!$B$10&amp;"|"&amp;基本属性!$C$10</f>
        <v>75|0</v>
      </c>
      <c r="B10404" s="10" t="str">
        <f>参数调整!$J$41</f>
        <v>新增怪物种类6掉落</v>
      </c>
      <c r="C10404" s="8" t="str">
        <f>材料产出!$BX$2</f>
        <v>新增材料9</v>
      </c>
      <c r="D10404" s="224">
        <f>参数调整!$K$41*怪物掉落配置方案!$D4248</f>
        <v>0</v>
      </c>
    </row>
    <row r="10405" spans="1:4" ht="16.5" hidden="1" x14ac:dyDescent="0.3">
      <c r="A10405" s="10" t="str">
        <f>基本属性!$B$11&amp;"|"&amp;基本属性!$C$11</f>
        <v>80|1</v>
      </c>
      <c r="B10405" s="10" t="str">
        <f>参数调整!$J$41</f>
        <v>新增怪物种类6掉落</v>
      </c>
      <c r="C10405" s="8" t="str">
        <f>材料产出!$BX$2</f>
        <v>新增材料9</v>
      </c>
      <c r="D10405" s="224">
        <f>参数调整!$K$41*怪物掉落配置方案!$D4249</f>
        <v>0</v>
      </c>
    </row>
    <row r="10406" spans="1:4" ht="16.5" hidden="1" x14ac:dyDescent="0.3">
      <c r="A10406" s="10" t="str">
        <f>基本属性!$B$12&amp;"|"&amp;基本属性!$C$12</f>
        <v>90|2</v>
      </c>
      <c r="B10406" s="10" t="str">
        <f>参数调整!$J$41</f>
        <v>新增怪物种类6掉落</v>
      </c>
      <c r="C10406" s="8" t="str">
        <f>材料产出!$BX$2</f>
        <v>新增材料9</v>
      </c>
      <c r="D10406" s="224">
        <f>参数调整!$K$41*怪物掉落配置方案!$D4250</f>
        <v>0</v>
      </c>
    </row>
    <row r="10407" spans="1:4" ht="16.5" hidden="1" x14ac:dyDescent="0.3">
      <c r="A10407" s="10" t="str">
        <f>基本属性!$B$13&amp;"|"&amp;基本属性!$C$13</f>
        <v>100|3</v>
      </c>
      <c r="B10407" s="10" t="str">
        <f>参数调整!$J$41</f>
        <v>新增怪物种类6掉落</v>
      </c>
      <c r="C10407" s="8" t="str">
        <f>材料产出!$BX$2</f>
        <v>新增材料9</v>
      </c>
      <c r="D10407" s="224">
        <f>参数调整!$K$41*怪物掉落配置方案!$D4251</f>
        <v>0</v>
      </c>
    </row>
    <row r="10408" spans="1:4" ht="16.5" hidden="1" x14ac:dyDescent="0.3">
      <c r="A10408" s="10" t="str">
        <f>基本属性!$B$14&amp;"|"&amp;基本属性!$C$14</f>
        <v>105|4</v>
      </c>
      <c r="B10408" s="10" t="str">
        <f>参数调整!$J$41</f>
        <v>新增怪物种类6掉落</v>
      </c>
      <c r="C10408" s="8" t="str">
        <f>材料产出!$BX$2</f>
        <v>新增材料9</v>
      </c>
      <c r="D10408" s="224">
        <f>参数调整!$K$41*怪物掉落配置方案!$D4252</f>
        <v>0</v>
      </c>
    </row>
    <row r="10409" spans="1:4" ht="16.5" hidden="1" x14ac:dyDescent="0.3">
      <c r="A10409" s="10" t="str">
        <f>基本属性!$B$15&amp;"|"&amp;基本属性!$C$15</f>
        <v>110|5</v>
      </c>
      <c r="B10409" s="10" t="str">
        <f>参数调整!$J$41</f>
        <v>新增怪物种类6掉落</v>
      </c>
      <c r="C10409" s="8" t="str">
        <f>材料产出!$BX$2</f>
        <v>新增材料9</v>
      </c>
      <c r="D10409" s="224">
        <f>参数调整!$K$41*怪物掉落配置方案!$D4253</f>
        <v>0</v>
      </c>
    </row>
    <row r="10410" spans="1:4" ht="16.5" hidden="1" x14ac:dyDescent="0.3">
      <c r="A10410" s="10" t="str">
        <f>基本属性!$B$16&amp;"|"&amp;基本属性!$C$16</f>
        <v>120|6</v>
      </c>
      <c r="B10410" s="10" t="str">
        <f>参数调整!$J$41</f>
        <v>新增怪物种类6掉落</v>
      </c>
      <c r="C10410" s="8" t="str">
        <f>材料产出!$BX$2</f>
        <v>新增材料9</v>
      </c>
      <c r="D10410" s="224">
        <f>参数调整!$K$41*怪物掉落配置方案!$D4254</f>
        <v>0</v>
      </c>
    </row>
    <row r="10411" spans="1:4" ht="16.5" hidden="1" x14ac:dyDescent="0.3">
      <c r="A10411" s="10" t="str">
        <f>基本属性!$B$17&amp;"|"&amp;基本属性!$C$17</f>
        <v>135|7</v>
      </c>
      <c r="B10411" s="10" t="str">
        <f>参数调整!$J$41</f>
        <v>新增怪物种类6掉落</v>
      </c>
      <c r="C10411" s="8" t="str">
        <f>材料产出!$BX$2</f>
        <v>新增材料9</v>
      </c>
      <c r="D10411" s="224">
        <f>参数调整!$K$41*怪物掉落配置方案!$D4255</f>
        <v>0</v>
      </c>
    </row>
    <row r="10412" spans="1:4" ht="16.5" hidden="1" x14ac:dyDescent="0.3">
      <c r="A10412" s="10" t="str">
        <f>基本属性!$B$18&amp;"|"&amp;基本属性!$C$18</f>
        <v>155|8</v>
      </c>
      <c r="B10412" s="10" t="str">
        <f>参数调整!$J$41</f>
        <v>新增怪物种类6掉落</v>
      </c>
      <c r="C10412" s="8" t="str">
        <f>材料产出!$BX$2</f>
        <v>新增材料9</v>
      </c>
      <c r="D10412" s="224">
        <f>参数调整!$K$41*怪物掉落配置方案!$D4256</f>
        <v>0</v>
      </c>
    </row>
    <row r="10413" spans="1:4" ht="16.5" hidden="1" x14ac:dyDescent="0.3">
      <c r="A10413" s="10" t="str">
        <f>基本属性!$B$19&amp;"|"&amp;基本属性!$C$19</f>
        <v>190|9</v>
      </c>
      <c r="B10413" s="10" t="str">
        <f>参数调整!$J$41</f>
        <v>新增怪物种类6掉落</v>
      </c>
      <c r="C10413" s="8" t="str">
        <f>材料产出!$BX$2</f>
        <v>新增材料9</v>
      </c>
      <c r="D10413" s="224">
        <f>参数调整!$K$41*怪物掉落配置方案!$D4257</f>
        <v>0</v>
      </c>
    </row>
    <row r="10414" spans="1:4" ht="16.5" hidden="1" x14ac:dyDescent="0.3">
      <c r="A10414" s="10" t="str">
        <f>基本属性!$B$20&amp;"|"&amp;基本属性!$C$20</f>
        <v>200|10</v>
      </c>
      <c r="B10414" s="10" t="str">
        <f>参数调整!$J$41</f>
        <v>新增怪物种类6掉落</v>
      </c>
      <c r="C10414" s="8" t="str">
        <f>材料产出!$BX$2</f>
        <v>新增材料9</v>
      </c>
      <c r="D10414" s="224">
        <f>参数调整!$K$41*怪物掉落配置方案!$D4258</f>
        <v>0</v>
      </c>
    </row>
    <row r="10415" spans="1:4" ht="16.5" hidden="1" x14ac:dyDescent="0.3">
      <c r="A10415" s="10" t="str">
        <f>基本属性!$B$21&amp;"|"&amp;基本属性!$C$21</f>
        <v>200|11</v>
      </c>
      <c r="B10415" s="10" t="str">
        <f>参数调整!$J$41</f>
        <v>新增怪物种类6掉落</v>
      </c>
      <c r="C10415" s="8" t="str">
        <f>材料产出!$BX$2</f>
        <v>新增材料9</v>
      </c>
      <c r="D10415" s="224">
        <f>参数调整!$K$41*怪物掉落配置方案!$D4259</f>
        <v>0</v>
      </c>
    </row>
    <row r="10416" spans="1:4" ht="16.5" hidden="1" x14ac:dyDescent="0.3">
      <c r="A10416" s="10" t="str">
        <f>基本属性!$B$22&amp;"|"&amp;基本属性!$C$22</f>
        <v>210|12</v>
      </c>
      <c r="B10416" s="10" t="str">
        <f>参数调整!$J$41</f>
        <v>新增怪物种类6掉落</v>
      </c>
      <c r="C10416" s="8" t="str">
        <f>材料产出!$BX$2</f>
        <v>新增材料9</v>
      </c>
      <c r="D10416" s="224">
        <f>参数调整!$K$41*怪物掉落配置方案!$D4260</f>
        <v>0</v>
      </c>
    </row>
    <row r="10417" spans="1:4" ht="16.5" hidden="1" x14ac:dyDescent="0.3">
      <c r="A10417" s="10" t="str">
        <f>基本属性!$B$23&amp;"|"&amp;基本属性!$C$23</f>
        <v>210|13</v>
      </c>
      <c r="B10417" s="10" t="str">
        <f>参数调整!$J$41</f>
        <v>新增怪物种类6掉落</v>
      </c>
      <c r="C10417" s="8" t="str">
        <f>材料产出!$BX$2</f>
        <v>新增材料9</v>
      </c>
      <c r="D10417" s="224">
        <f>参数调整!$K$41*怪物掉落配置方案!$D4261</f>
        <v>0</v>
      </c>
    </row>
    <row r="10418" spans="1:4" ht="16.5" hidden="1" x14ac:dyDescent="0.3">
      <c r="A10418" s="10" t="str">
        <f>基本属性!$B$24&amp;"|"&amp;基本属性!$C$24</f>
        <v>220|14</v>
      </c>
      <c r="B10418" s="10" t="str">
        <f>参数调整!$J$41</f>
        <v>新增怪物种类6掉落</v>
      </c>
      <c r="C10418" s="8" t="str">
        <f>材料产出!$BX$2</f>
        <v>新增材料9</v>
      </c>
      <c r="D10418" s="224">
        <f>参数调整!$K$41*怪物掉落配置方案!$D4262</f>
        <v>0</v>
      </c>
    </row>
    <row r="10419" spans="1:4" ht="16.5" hidden="1" x14ac:dyDescent="0.3">
      <c r="A10419" s="10" t="str">
        <f>基本属性!$B$25&amp;"|"&amp;基本属性!$C$25</f>
        <v>220|15</v>
      </c>
      <c r="B10419" s="10" t="str">
        <f>参数调整!$J$41</f>
        <v>新增怪物种类6掉落</v>
      </c>
      <c r="C10419" s="8" t="str">
        <f>材料产出!$BX$2</f>
        <v>新增材料9</v>
      </c>
      <c r="D10419" s="224">
        <f>参数调整!$K$41*怪物掉落配置方案!$D4263</f>
        <v>0</v>
      </c>
    </row>
    <row r="10420" spans="1:4" ht="16.5" hidden="1" x14ac:dyDescent="0.3">
      <c r="A10420" s="10" t="str">
        <f>基本属性!$B$26&amp;"|"&amp;基本属性!$C$26</f>
        <v>230|16</v>
      </c>
      <c r="B10420" s="10" t="str">
        <f>参数调整!$J$41</f>
        <v>新增怪物种类6掉落</v>
      </c>
      <c r="C10420" s="8" t="str">
        <f>材料产出!$BX$2</f>
        <v>新增材料9</v>
      </c>
      <c r="D10420" s="224">
        <f>参数调整!$K$41*怪物掉落配置方案!$D4264</f>
        <v>0</v>
      </c>
    </row>
    <row r="10421" spans="1:4" ht="16.5" hidden="1" x14ac:dyDescent="0.3">
      <c r="A10421" s="10" t="str">
        <f>基本属性!$B$27&amp;"|"&amp;基本属性!$C$27</f>
        <v>230|17</v>
      </c>
      <c r="B10421" s="10" t="str">
        <f>参数调整!$J$41</f>
        <v>新增怪物种类6掉落</v>
      </c>
      <c r="C10421" s="8" t="str">
        <f>材料产出!$BX$2</f>
        <v>新增材料9</v>
      </c>
      <c r="D10421" s="224">
        <f>参数调整!$K$41*怪物掉落配置方案!$D4265</f>
        <v>0</v>
      </c>
    </row>
    <row r="10422" spans="1:4" ht="16.5" hidden="1" x14ac:dyDescent="0.3">
      <c r="A10422" s="10" t="str">
        <f>基本属性!$B$28&amp;"|"&amp;基本属性!$C$28</f>
        <v>240|18</v>
      </c>
      <c r="B10422" s="10" t="str">
        <f>参数调整!$J$41</f>
        <v>新增怪物种类6掉落</v>
      </c>
      <c r="C10422" s="8" t="str">
        <f>材料产出!$BX$2</f>
        <v>新增材料9</v>
      </c>
      <c r="D10422" s="224">
        <f>参数调整!$K$41*怪物掉落配置方案!$D4266</f>
        <v>0</v>
      </c>
    </row>
    <row r="10423" spans="1:4" ht="16.5" hidden="1" x14ac:dyDescent="0.3">
      <c r="A10423" s="10" t="str">
        <f>基本属性!$B$29&amp;"|"&amp;基本属性!$C$29</f>
        <v>240|19</v>
      </c>
      <c r="B10423" s="10" t="str">
        <f>参数调整!$J$41</f>
        <v>新增怪物种类6掉落</v>
      </c>
      <c r="C10423" s="8" t="str">
        <f>材料产出!$BX$2</f>
        <v>新增材料9</v>
      </c>
      <c r="D10423" s="224">
        <f>参数调整!$K$41*怪物掉落配置方案!$D4267</f>
        <v>0</v>
      </c>
    </row>
    <row r="10424" spans="1:4" ht="16.5" hidden="1" x14ac:dyDescent="0.3">
      <c r="A10424" s="10" t="str">
        <f>基本属性!$B$30&amp;"|"&amp;基本属性!$C$30</f>
        <v>250|20</v>
      </c>
      <c r="B10424" s="10" t="str">
        <f>参数调整!$J$41</f>
        <v>新增怪物种类6掉落</v>
      </c>
      <c r="C10424" s="8" t="str">
        <f>材料产出!$BX$2</f>
        <v>新增材料9</v>
      </c>
      <c r="D10424" s="224">
        <f>参数调整!$K$41*怪物掉落配置方案!$D4268</f>
        <v>0</v>
      </c>
    </row>
    <row r="10425" spans="1:4" ht="16.5" hidden="1" x14ac:dyDescent="0.3">
      <c r="A10425" s="10" t="str">
        <f>基本属性!$B$4&amp;"|"&amp;基本属性!$C$4</f>
        <v>35|0</v>
      </c>
      <c r="B10425" s="10" t="str">
        <f>参数调整!$J$41</f>
        <v>新增怪物种类6掉落</v>
      </c>
      <c r="C10425" s="8" t="str">
        <f>材料产出!$BV$2</f>
        <v>新增材料8</v>
      </c>
      <c r="D10425" s="224">
        <f>参数调整!$K$41*怪物掉落配置方案!$D4269</f>
        <v>0</v>
      </c>
    </row>
    <row r="10426" spans="1:4" ht="16.5" hidden="1" x14ac:dyDescent="0.3">
      <c r="A10426" s="10" t="str">
        <f>基本属性!$B$5&amp;"|"&amp;基本属性!$C$5</f>
        <v>40|0</v>
      </c>
      <c r="B10426" s="10" t="str">
        <f>参数调整!$J$41</f>
        <v>新增怪物种类6掉落</v>
      </c>
      <c r="C10426" s="8" t="str">
        <f>材料产出!$BV$2</f>
        <v>新增材料8</v>
      </c>
      <c r="D10426" s="224">
        <f>参数调整!$K$41*怪物掉落配置方案!$D4270</f>
        <v>0</v>
      </c>
    </row>
    <row r="10427" spans="1:4" ht="16.5" hidden="1" x14ac:dyDescent="0.3">
      <c r="A10427" s="10" t="str">
        <f>基本属性!$B$6&amp;"|"&amp;基本属性!$C$6</f>
        <v>50|0</v>
      </c>
      <c r="B10427" s="10" t="str">
        <f>参数调整!$J$41</f>
        <v>新增怪物种类6掉落</v>
      </c>
      <c r="C10427" s="8" t="str">
        <f>材料产出!$BV$2</f>
        <v>新增材料8</v>
      </c>
      <c r="D10427" s="224">
        <f>参数调整!$K$41*怪物掉落配置方案!$D4271</f>
        <v>0</v>
      </c>
    </row>
    <row r="10428" spans="1:4" ht="16.5" hidden="1" x14ac:dyDescent="0.3">
      <c r="A10428" s="10" t="str">
        <f>基本属性!$B$7&amp;"|"&amp;基本属性!$C$7</f>
        <v>60|0</v>
      </c>
      <c r="B10428" s="10" t="str">
        <f>参数调整!$J$41</f>
        <v>新增怪物种类6掉落</v>
      </c>
      <c r="C10428" s="8" t="str">
        <f>材料产出!$BV$2</f>
        <v>新增材料8</v>
      </c>
      <c r="D10428" s="224">
        <f>参数调整!$K$41*怪物掉落配置方案!$D4272</f>
        <v>0</v>
      </c>
    </row>
    <row r="10429" spans="1:4" ht="16.5" hidden="1" x14ac:dyDescent="0.3">
      <c r="A10429" s="10" t="str">
        <f>基本属性!$B$8&amp;"|"&amp;基本属性!$C$8</f>
        <v>65|0</v>
      </c>
      <c r="B10429" s="10" t="str">
        <f>参数调整!$J$41</f>
        <v>新增怪物种类6掉落</v>
      </c>
      <c r="C10429" s="8" t="str">
        <f>材料产出!$BV$2</f>
        <v>新增材料8</v>
      </c>
      <c r="D10429" s="224">
        <f>参数调整!$K$41*怪物掉落配置方案!$D4273</f>
        <v>0</v>
      </c>
    </row>
    <row r="10430" spans="1:4" ht="16.5" hidden="1" x14ac:dyDescent="0.3">
      <c r="A10430" s="10" t="str">
        <f>基本属性!$B$9&amp;"|"&amp;基本属性!$C$9</f>
        <v>70|0</v>
      </c>
      <c r="B10430" s="10" t="str">
        <f>参数调整!$J$41</f>
        <v>新增怪物种类6掉落</v>
      </c>
      <c r="C10430" s="8" t="str">
        <f>材料产出!$BV$2</f>
        <v>新增材料8</v>
      </c>
      <c r="D10430" s="224">
        <f>参数调整!$K$41*怪物掉落配置方案!$D4274</f>
        <v>0</v>
      </c>
    </row>
    <row r="10431" spans="1:4" ht="16.5" hidden="1" x14ac:dyDescent="0.3">
      <c r="A10431" s="10" t="str">
        <f>基本属性!$B$10&amp;"|"&amp;基本属性!$C$10</f>
        <v>75|0</v>
      </c>
      <c r="B10431" s="10" t="str">
        <f>参数调整!$J$41</f>
        <v>新增怪物种类6掉落</v>
      </c>
      <c r="C10431" s="8" t="str">
        <f>材料产出!$BV$2</f>
        <v>新增材料8</v>
      </c>
      <c r="D10431" s="224">
        <f>参数调整!$K$41*怪物掉落配置方案!$D4275</f>
        <v>0</v>
      </c>
    </row>
    <row r="10432" spans="1:4" ht="16.5" hidden="1" x14ac:dyDescent="0.3">
      <c r="A10432" s="10" t="str">
        <f>基本属性!$B$11&amp;"|"&amp;基本属性!$C$11</f>
        <v>80|1</v>
      </c>
      <c r="B10432" s="10" t="str">
        <f>参数调整!$J$41</f>
        <v>新增怪物种类6掉落</v>
      </c>
      <c r="C10432" s="8" t="str">
        <f>材料产出!$BV$2</f>
        <v>新增材料8</v>
      </c>
      <c r="D10432" s="224">
        <f>参数调整!$K$41*怪物掉落配置方案!$D4276</f>
        <v>0</v>
      </c>
    </row>
    <row r="10433" spans="1:4" ht="16.5" hidden="1" x14ac:dyDescent="0.3">
      <c r="A10433" s="10" t="str">
        <f>基本属性!$B$12&amp;"|"&amp;基本属性!$C$12</f>
        <v>90|2</v>
      </c>
      <c r="B10433" s="10" t="str">
        <f>参数调整!$J$41</f>
        <v>新增怪物种类6掉落</v>
      </c>
      <c r="C10433" s="8" t="str">
        <f>材料产出!$BV$2</f>
        <v>新增材料8</v>
      </c>
      <c r="D10433" s="224">
        <f>参数调整!$K$41*怪物掉落配置方案!$D4277</f>
        <v>0</v>
      </c>
    </row>
    <row r="10434" spans="1:4" ht="16.5" hidden="1" x14ac:dyDescent="0.3">
      <c r="A10434" s="10" t="str">
        <f>基本属性!$B$13&amp;"|"&amp;基本属性!$C$13</f>
        <v>100|3</v>
      </c>
      <c r="B10434" s="10" t="str">
        <f>参数调整!$J$41</f>
        <v>新增怪物种类6掉落</v>
      </c>
      <c r="C10434" s="8" t="str">
        <f>材料产出!$BV$2</f>
        <v>新增材料8</v>
      </c>
      <c r="D10434" s="224">
        <f>参数调整!$K$41*怪物掉落配置方案!$D4278</f>
        <v>0</v>
      </c>
    </row>
    <row r="10435" spans="1:4" ht="16.5" hidden="1" x14ac:dyDescent="0.3">
      <c r="A10435" s="10" t="str">
        <f>基本属性!$B$14&amp;"|"&amp;基本属性!$C$14</f>
        <v>105|4</v>
      </c>
      <c r="B10435" s="10" t="str">
        <f>参数调整!$J$41</f>
        <v>新增怪物种类6掉落</v>
      </c>
      <c r="C10435" s="8" t="str">
        <f>材料产出!$BV$2</f>
        <v>新增材料8</v>
      </c>
      <c r="D10435" s="224">
        <f>参数调整!$K$41*怪物掉落配置方案!$D4279</f>
        <v>0</v>
      </c>
    </row>
    <row r="10436" spans="1:4" ht="16.5" hidden="1" x14ac:dyDescent="0.3">
      <c r="A10436" s="10" t="str">
        <f>基本属性!$B$15&amp;"|"&amp;基本属性!$C$15</f>
        <v>110|5</v>
      </c>
      <c r="B10436" s="10" t="str">
        <f>参数调整!$J$41</f>
        <v>新增怪物种类6掉落</v>
      </c>
      <c r="C10436" s="8" t="str">
        <f>材料产出!$BV$2</f>
        <v>新增材料8</v>
      </c>
      <c r="D10436" s="224">
        <f>参数调整!$K$41*怪物掉落配置方案!$D4280</f>
        <v>0</v>
      </c>
    </row>
    <row r="10437" spans="1:4" ht="16.5" hidden="1" x14ac:dyDescent="0.3">
      <c r="A10437" s="10" t="str">
        <f>基本属性!$B$16&amp;"|"&amp;基本属性!$C$16</f>
        <v>120|6</v>
      </c>
      <c r="B10437" s="10" t="str">
        <f>参数调整!$J$41</f>
        <v>新增怪物种类6掉落</v>
      </c>
      <c r="C10437" s="8" t="str">
        <f>材料产出!$BV$2</f>
        <v>新增材料8</v>
      </c>
      <c r="D10437" s="224">
        <f>参数调整!$K$41*怪物掉落配置方案!$D4281</f>
        <v>0</v>
      </c>
    </row>
    <row r="10438" spans="1:4" ht="16.5" hidden="1" x14ac:dyDescent="0.3">
      <c r="A10438" s="10" t="str">
        <f>基本属性!$B$17&amp;"|"&amp;基本属性!$C$17</f>
        <v>135|7</v>
      </c>
      <c r="B10438" s="10" t="str">
        <f>参数调整!$J$41</f>
        <v>新增怪物种类6掉落</v>
      </c>
      <c r="C10438" s="8" t="str">
        <f>材料产出!$BV$2</f>
        <v>新增材料8</v>
      </c>
      <c r="D10438" s="224">
        <f>参数调整!$K$41*怪物掉落配置方案!$D4282</f>
        <v>0</v>
      </c>
    </row>
    <row r="10439" spans="1:4" ht="16.5" hidden="1" x14ac:dyDescent="0.3">
      <c r="A10439" s="10" t="str">
        <f>基本属性!$B$18&amp;"|"&amp;基本属性!$C$18</f>
        <v>155|8</v>
      </c>
      <c r="B10439" s="10" t="str">
        <f>参数调整!$J$41</f>
        <v>新增怪物种类6掉落</v>
      </c>
      <c r="C10439" s="8" t="str">
        <f>材料产出!$BV$2</f>
        <v>新增材料8</v>
      </c>
      <c r="D10439" s="224">
        <f>参数调整!$K$41*怪物掉落配置方案!$D4283</f>
        <v>0</v>
      </c>
    </row>
    <row r="10440" spans="1:4" ht="16.5" hidden="1" x14ac:dyDescent="0.3">
      <c r="A10440" s="10" t="str">
        <f>基本属性!$B$19&amp;"|"&amp;基本属性!$C$19</f>
        <v>190|9</v>
      </c>
      <c r="B10440" s="10" t="str">
        <f>参数调整!$J$41</f>
        <v>新增怪物种类6掉落</v>
      </c>
      <c r="C10440" s="8" t="str">
        <f>材料产出!$BV$2</f>
        <v>新增材料8</v>
      </c>
      <c r="D10440" s="224">
        <f>参数调整!$K$41*怪物掉落配置方案!$D4284</f>
        <v>0</v>
      </c>
    </row>
    <row r="10441" spans="1:4" ht="16.5" hidden="1" x14ac:dyDescent="0.3">
      <c r="A10441" s="10" t="str">
        <f>基本属性!$B$20&amp;"|"&amp;基本属性!$C$20</f>
        <v>200|10</v>
      </c>
      <c r="B10441" s="10" t="str">
        <f>参数调整!$J$41</f>
        <v>新增怪物种类6掉落</v>
      </c>
      <c r="C10441" s="8" t="str">
        <f>材料产出!$BV$2</f>
        <v>新增材料8</v>
      </c>
      <c r="D10441" s="224">
        <f>参数调整!$K$41*怪物掉落配置方案!$D4285</f>
        <v>0</v>
      </c>
    </row>
    <row r="10442" spans="1:4" ht="16.5" hidden="1" x14ac:dyDescent="0.3">
      <c r="A10442" s="10" t="str">
        <f>基本属性!$B$21&amp;"|"&amp;基本属性!$C$21</f>
        <v>200|11</v>
      </c>
      <c r="B10442" s="10" t="str">
        <f>参数调整!$J$41</f>
        <v>新增怪物种类6掉落</v>
      </c>
      <c r="C10442" s="8" t="str">
        <f>材料产出!$BV$2</f>
        <v>新增材料8</v>
      </c>
      <c r="D10442" s="224">
        <f>参数调整!$K$41*怪物掉落配置方案!$D4286</f>
        <v>0</v>
      </c>
    </row>
    <row r="10443" spans="1:4" ht="16.5" hidden="1" x14ac:dyDescent="0.3">
      <c r="A10443" s="10" t="str">
        <f>基本属性!$B$22&amp;"|"&amp;基本属性!$C$22</f>
        <v>210|12</v>
      </c>
      <c r="B10443" s="10" t="str">
        <f>参数调整!$J$41</f>
        <v>新增怪物种类6掉落</v>
      </c>
      <c r="C10443" s="8" t="str">
        <f>材料产出!$BV$2</f>
        <v>新增材料8</v>
      </c>
      <c r="D10443" s="224">
        <f>参数调整!$K$41*怪物掉落配置方案!$D4287</f>
        <v>0</v>
      </c>
    </row>
    <row r="10444" spans="1:4" ht="16.5" hidden="1" x14ac:dyDescent="0.3">
      <c r="A10444" s="10" t="str">
        <f>基本属性!$B$23&amp;"|"&amp;基本属性!$C$23</f>
        <v>210|13</v>
      </c>
      <c r="B10444" s="10" t="str">
        <f>参数调整!$J$41</f>
        <v>新增怪物种类6掉落</v>
      </c>
      <c r="C10444" s="8" t="str">
        <f>材料产出!$BV$2</f>
        <v>新增材料8</v>
      </c>
      <c r="D10444" s="224">
        <f>参数调整!$K$41*怪物掉落配置方案!$D4288</f>
        <v>0</v>
      </c>
    </row>
    <row r="10445" spans="1:4" ht="16.5" hidden="1" x14ac:dyDescent="0.3">
      <c r="A10445" s="10" t="str">
        <f>基本属性!$B$24&amp;"|"&amp;基本属性!$C$24</f>
        <v>220|14</v>
      </c>
      <c r="B10445" s="10" t="str">
        <f>参数调整!$J$41</f>
        <v>新增怪物种类6掉落</v>
      </c>
      <c r="C10445" s="8" t="str">
        <f>材料产出!$BV$2</f>
        <v>新增材料8</v>
      </c>
      <c r="D10445" s="224">
        <f>参数调整!$K$41*怪物掉落配置方案!$D4289</f>
        <v>0</v>
      </c>
    </row>
    <row r="10446" spans="1:4" ht="16.5" hidden="1" x14ac:dyDescent="0.3">
      <c r="A10446" s="10" t="str">
        <f>基本属性!$B$25&amp;"|"&amp;基本属性!$C$25</f>
        <v>220|15</v>
      </c>
      <c r="B10446" s="10" t="str">
        <f>参数调整!$J$41</f>
        <v>新增怪物种类6掉落</v>
      </c>
      <c r="C10446" s="8" t="str">
        <f>材料产出!$BV$2</f>
        <v>新增材料8</v>
      </c>
      <c r="D10446" s="224">
        <f>参数调整!$K$41*怪物掉落配置方案!$D4290</f>
        <v>0</v>
      </c>
    </row>
    <row r="10447" spans="1:4" ht="16.5" hidden="1" x14ac:dyDescent="0.3">
      <c r="A10447" s="10" t="str">
        <f>基本属性!$B$26&amp;"|"&amp;基本属性!$C$26</f>
        <v>230|16</v>
      </c>
      <c r="B10447" s="10" t="str">
        <f>参数调整!$J$41</f>
        <v>新增怪物种类6掉落</v>
      </c>
      <c r="C10447" s="8" t="str">
        <f>材料产出!$BV$2</f>
        <v>新增材料8</v>
      </c>
      <c r="D10447" s="224">
        <f>参数调整!$K$41*怪物掉落配置方案!$D4291</f>
        <v>0</v>
      </c>
    </row>
    <row r="10448" spans="1:4" ht="16.5" hidden="1" x14ac:dyDescent="0.3">
      <c r="A10448" s="10" t="str">
        <f>基本属性!$B$27&amp;"|"&amp;基本属性!$C$27</f>
        <v>230|17</v>
      </c>
      <c r="B10448" s="10" t="str">
        <f>参数调整!$J$41</f>
        <v>新增怪物种类6掉落</v>
      </c>
      <c r="C10448" s="8" t="str">
        <f>材料产出!$BV$2</f>
        <v>新增材料8</v>
      </c>
      <c r="D10448" s="224">
        <f>参数调整!$K$41*怪物掉落配置方案!$D4292</f>
        <v>0</v>
      </c>
    </row>
    <row r="10449" spans="1:4" ht="16.5" hidden="1" x14ac:dyDescent="0.3">
      <c r="A10449" s="10" t="str">
        <f>基本属性!$B$28&amp;"|"&amp;基本属性!$C$28</f>
        <v>240|18</v>
      </c>
      <c r="B10449" s="10" t="str">
        <f>参数调整!$J$41</f>
        <v>新增怪物种类6掉落</v>
      </c>
      <c r="C10449" s="8" t="str">
        <f>材料产出!$BV$2</f>
        <v>新增材料8</v>
      </c>
      <c r="D10449" s="224">
        <f>参数调整!$K$41*怪物掉落配置方案!$D4293</f>
        <v>0</v>
      </c>
    </row>
    <row r="10450" spans="1:4" ht="16.5" hidden="1" x14ac:dyDescent="0.3">
      <c r="A10450" s="10" t="str">
        <f>基本属性!$B$29&amp;"|"&amp;基本属性!$C$29</f>
        <v>240|19</v>
      </c>
      <c r="B10450" s="10" t="str">
        <f>参数调整!$J$41</f>
        <v>新增怪物种类6掉落</v>
      </c>
      <c r="C10450" s="8" t="str">
        <f>材料产出!$BV$2</f>
        <v>新增材料8</v>
      </c>
      <c r="D10450" s="224">
        <f>参数调整!$K$41*怪物掉落配置方案!$D4294</f>
        <v>0</v>
      </c>
    </row>
    <row r="10451" spans="1:4" ht="16.5" hidden="1" x14ac:dyDescent="0.3">
      <c r="A10451" s="10" t="str">
        <f>基本属性!$B$30&amp;"|"&amp;基本属性!$C$30</f>
        <v>250|20</v>
      </c>
      <c r="B10451" s="10" t="str">
        <f>参数调整!$J$41</f>
        <v>新增怪物种类6掉落</v>
      </c>
      <c r="C10451" s="8" t="str">
        <f>材料产出!$BV$2</f>
        <v>新增材料8</v>
      </c>
      <c r="D10451" s="224">
        <f>参数调整!$K$41*怪物掉落配置方案!$D4295</f>
        <v>0</v>
      </c>
    </row>
    <row r="10452" spans="1:4" ht="16.5" hidden="1" x14ac:dyDescent="0.3">
      <c r="A10452" s="10" t="str">
        <f>基本属性!$B$4&amp;"|"&amp;基本属性!$C$4</f>
        <v>35|0</v>
      </c>
      <c r="B10452" s="10" t="str">
        <f>参数调整!$J$41</f>
        <v>新增怪物种类6掉落</v>
      </c>
      <c r="C10452" s="8" t="str">
        <f>材料产出!$BT$2</f>
        <v>新增材料7</v>
      </c>
      <c r="D10452" s="224">
        <f>参数调整!$K$41*怪物掉落配置方案!$D4296</f>
        <v>0</v>
      </c>
    </row>
    <row r="10453" spans="1:4" ht="16.5" hidden="1" x14ac:dyDescent="0.3">
      <c r="A10453" s="10" t="str">
        <f>基本属性!$B$5&amp;"|"&amp;基本属性!$C$5</f>
        <v>40|0</v>
      </c>
      <c r="B10453" s="10" t="str">
        <f>参数调整!$J$41</f>
        <v>新增怪物种类6掉落</v>
      </c>
      <c r="C10453" s="8" t="str">
        <f>材料产出!$BT$2</f>
        <v>新增材料7</v>
      </c>
      <c r="D10453" s="224">
        <f>参数调整!$K$41*怪物掉落配置方案!$D4297</f>
        <v>0</v>
      </c>
    </row>
    <row r="10454" spans="1:4" ht="16.5" hidden="1" x14ac:dyDescent="0.3">
      <c r="A10454" s="10" t="str">
        <f>基本属性!$B$6&amp;"|"&amp;基本属性!$C$6</f>
        <v>50|0</v>
      </c>
      <c r="B10454" s="10" t="str">
        <f>参数调整!$J$41</f>
        <v>新增怪物种类6掉落</v>
      </c>
      <c r="C10454" s="8" t="str">
        <f>材料产出!$BT$2</f>
        <v>新增材料7</v>
      </c>
      <c r="D10454" s="224">
        <f>参数调整!$K$41*怪物掉落配置方案!$D4298</f>
        <v>0</v>
      </c>
    </row>
    <row r="10455" spans="1:4" ht="16.5" hidden="1" x14ac:dyDescent="0.3">
      <c r="A10455" s="10" t="str">
        <f>基本属性!$B$7&amp;"|"&amp;基本属性!$C$7</f>
        <v>60|0</v>
      </c>
      <c r="B10455" s="10" t="str">
        <f>参数调整!$J$41</f>
        <v>新增怪物种类6掉落</v>
      </c>
      <c r="C10455" s="8" t="str">
        <f>材料产出!$BT$2</f>
        <v>新增材料7</v>
      </c>
      <c r="D10455" s="224">
        <f>参数调整!$K$41*怪物掉落配置方案!$D4299</f>
        <v>0</v>
      </c>
    </row>
    <row r="10456" spans="1:4" ht="16.5" hidden="1" x14ac:dyDescent="0.3">
      <c r="A10456" s="10" t="str">
        <f>基本属性!$B$8&amp;"|"&amp;基本属性!$C$8</f>
        <v>65|0</v>
      </c>
      <c r="B10456" s="10" t="str">
        <f>参数调整!$J$41</f>
        <v>新增怪物种类6掉落</v>
      </c>
      <c r="C10456" s="8" t="str">
        <f>材料产出!$BT$2</f>
        <v>新增材料7</v>
      </c>
      <c r="D10456" s="224">
        <f>参数调整!$K$41*怪物掉落配置方案!$D4300</f>
        <v>0</v>
      </c>
    </row>
    <row r="10457" spans="1:4" ht="16.5" hidden="1" x14ac:dyDescent="0.3">
      <c r="A10457" s="10" t="str">
        <f>基本属性!$B$9&amp;"|"&amp;基本属性!$C$9</f>
        <v>70|0</v>
      </c>
      <c r="B10457" s="10" t="str">
        <f>参数调整!$J$41</f>
        <v>新增怪物种类6掉落</v>
      </c>
      <c r="C10457" s="8" t="str">
        <f>材料产出!$BT$2</f>
        <v>新增材料7</v>
      </c>
      <c r="D10457" s="224">
        <f>参数调整!$K$41*怪物掉落配置方案!$D4301</f>
        <v>0</v>
      </c>
    </row>
    <row r="10458" spans="1:4" ht="16.5" hidden="1" x14ac:dyDescent="0.3">
      <c r="A10458" s="10" t="str">
        <f>基本属性!$B$10&amp;"|"&amp;基本属性!$C$10</f>
        <v>75|0</v>
      </c>
      <c r="B10458" s="10" t="str">
        <f>参数调整!$J$41</f>
        <v>新增怪物种类6掉落</v>
      </c>
      <c r="C10458" s="8" t="str">
        <f>材料产出!$BT$2</f>
        <v>新增材料7</v>
      </c>
      <c r="D10458" s="224">
        <f>参数调整!$K$41*怪物掉落配置方案!$D4302</f>
        <v>0</v>
      </c>
    </row>
    <row r="10459" spans="1:4" ht="16.5" hidden="1" x14ac:dyDescent="0.3">
      <c r="A10459" s="10" t="str">
        <f>基本属性!$B$11&amp;"|"&amp;基本属性!$C$11</f>
        <v>80|1</v>
      </c>
      <c r="B10459" s="10" t="str">
        <f>参数调整!$J$41</f>
        <v>新增怪物种类6掉落</v>
      </c>
      <c r="C10459" s="8" t="str">
        <f>材料产出!$BT$2</f>
        <v>新增材料7</v>
      </c>
      <c r="D10459" s="224">
        <f>参数调整!$K$41*怪物掉落配置方案!$D4303</f>
        <v>0</v>
      </c>
    </row>
    <row r="10460" spans="1:4" ht="16.5" hidden="1" x14ac:dyDescent="0.3">
      <c r="A10460" s="10" t="str">
        <f>基本属性!$B$12&amp;"|"&amp;基本属性!$C$12</f>
        <v>90|2</v>
      </c>
      <c r="B10460" s="10" t="str">
        <f>参数调整!$J$41</f>
        <v>新增怪物种类6掉落</v>
      </c>
      <c r="C10460" s="8" t="str">
        <f>材料产出!$BT$2</f>
        <v>新增材料7</v>
      </c>
      <c r="D10460" s="224">
        <f>参数调整!$K$41*怪物掉落配置方案!$D4304</f>
        <v>0</v>
      </c>
    </row>
    <row r="10461" spans="1:4" ht="16.5" hidden="1" x14ac:dyDescent="0.3">
      <c r="A10461" s="10" t="str">
        <f>基本属性!$B$13&amp;"|"&amp;基本属性!$C$13</f>
        <v>100|3</v>
      </c>
      <c r="B10461" s="10" t="str">
        <f>参数调整!$J$41</f>
        <v>新增怪物种类6掉落</v>
      </c>
      <c r="C10461" s="8" t="str">
        <f>材料产出!$BT$2</f>
        <v>新增材料7</v>
      </c>
      <c r="D10461" s="224">
        <f>参数调整!$K$41*怪物掉落配置方案!$D4305</f>
        <v>0</v>
      </c>
    </row>
    <row r="10462" spans="1:4" ht="16.5" hidden="1" x14ac:dyDescent="0.3">
      <c r="A10462" s="10" t="str">
        <f>基本属性!$B$14&amp;"|"&amp;基本属性!$C$14</f>
        <v>105|4</v>
      </c>
      <c r="B10462" s="10" t="str">
        <f>参数调整!$J$41</f>
        <v>新增怪物种类6掉落</v>
      </c>
      <c r="C10462" s="8" t="str">
        <f>材料产出!$BT$2</f>
        <v>新增材料7</v>
      </c>
      <c r="D10462" s="224">
        <f>参数调整!$K$41*怪物掉落配置方案!$D4306</f>
        <v>0</v>
      </c>
    </row>
    <row r="10463" spans="1:4" ht="16.5" hidden="1" x14ac:dyDescent="0.3">
      <c r="A10463" s="10" t="str">
        <f>基本属性!$B$15&amp;"|"&amp;基本属性!$C$15</f>
        <v>110|5</v>
      </c>
      <c r="B10463" s="10" t="str">
        <f>参数调整!$J$41</f>
        <v>新增怪物种类6掉落</v>
      </c>
      <c r="C10463" s="8" t="str">
        <f>材料产出!$BT$2</f>
        <v>新增材料7</v>
      </c>
      <c r="D10463" s="224">
        <f>参数调整!$K$41*怪物掉落配置方案!$D4307</f>
        <v>0</v>
      </c>
    </row>
    <row r="10464" spans="1:4" ht="16.5" hidden="1" x14ac:dyDescent="0.3">
      <c r="A10464" s="10" t="str">
        <f>基本属性!$B$16&amp;"|"&amp;基本属性!$C$16</f>
        <v>120|6</v>
      </c>
      <c r="B10464" s="10" t="str">
        <f>参数调整!$J$41</f>
        <v>新增怪物种类6掉落</v>
      </c>
      <c r="C10464" s="8" t="str">
        <f>材料产出!$BT$2</f>
        <v>新增材料7</v>
      </c>
      <c r="D10464" s="224">
        <f>参数调整!$K$41*怪物掉落配置方案!$D4308</f>
        <v>0</v>
      </c>
    </row>
    <row r="10465" spans="1:4" ht="16.5" hidden="1" x14ac:dyDescent="0.3">
      <c r="A10465" s="10" t="str">
        <f>基本属性!$B$17&amp;"|"&amp;基本属性!$C$17</f>
        <v>135|7</v>
      </c>
      <c r="B10465" s="10" t="str">
        <f>参数调整!$J$41</f>
        <v>新增怪物种类6掉落</v>
      </c>
      <c r="C10465" s="8" t="str">
        <f>材料产出!$BT$2</f>
        <v>新增材料7</v>
      </c>
      <c r="D10465" s="224">
        <f>参数调整!$K$41*怪物掉落配置方案!$D4309</f>
        <v>0</v>
      </c>
    </row>
    <row r="10466" spans="1:4" ht="16.5" hidden="1" x14ac:dyDescent="0.3">
      <c r="A10466" s="10" t="str">
        <f>基本属性!$B$18&amp;"|"&amp;基本属性!$C$18</f>
        <v>155|8</v>
      </c>
      <c r="B10466" s="10" t="str">
        <f>参数调整!$J$41</f>
        <v>新增怪物种类6掉落</v>
      </c>
      <c r="C10466" s="8" t="str">
        <f>材料产出!$BT$2</f>
        <v>新增材料7</v>
      </c>
      <c r="D10466" s="224">
        <f>参数调整!$K$41*怪物掉落配置方案!$D4310</f>
        <v>0</v>
      </c>
    </row>
    <row r="10467" spans="1:4" ht="16.5" hidden="1" x14ac:dyDescent="0.3">
      <c r="A10467" s="10" t="str">
        <f>基本属性!$B$19&amp;"|"&amp;基本属性!$C$19</f>
        <v>190|9</v>
      </c>
      <c r="B10467" s="10" t="str">
        <f>参数调整!$J$41</f>
        <v>新增怪物种类6掉落</v>
      </c>
      <c r="C10467" s="8" t="str">
        <f>材料产出!$BT$2</f>
        <v>新增材料7</v>
      </c>
      <c r="D10467" s="224">
        <f>参数调整!$K$41*怪物掉落配置方案!$D4311</f>
        <v>0</v>
      </c>
    </row>
    <row r="10468" spans="1:4" ht="16.5" hidden="1" x14ac:dyDescent="0.3">
      <c r="A10468" s="10" t="str">
        <f>基本属性!$B$20&amp;"|"&amp;基本属性!$C$20</f>
        <v>200|10</v>
      </c>
      <c r="B10468" s="10" t="str">
        <f>参数调整!$J$41</f>
        <v>新增怪物种类6掉落</v>
      </c>
      <c r="C10468" s="8" t="str">
        <f>材料产出!$BT$2</f>
        <v>新增材料7</v>
      </c>
      <c r="D10468" s="224">
        <f>参数调整!$K$41*怪物掉落配置方案!$D4312</f>
        <v>0</v>
      </c>
    </row>
    <row r="10469" spans="1:4" ht="16.5" hidden="1" x14ac:dyDescent="0.3">
      <c r="A10469" s="10" t="str">
        <f>基本属性!$B$21&amp;"|"&amp;基本属性!$C$21</f>
        <v>200|11</v>
      </c>
      <c r="B10469" s="10" t="str">
        <f>参数调整!$J$41</f>
        <v>新增怪物种类6掉落</v>
      </c>
      <c r="C10469" s="8" t="str">
        <f>材料产出!$BT$2</f>
        <v>新增材料7</v>
      </c>
      <c r="D10469" s="224">
        <f>参数调整!$K$41*怪物掉落配置方案!$D4313</f>
        <v>0</v>
      </c>
    </row>
    <row r="10470" spans="1:4" ht="16.5" hidden="1" x14ac:dyDescent="0.3">
      <c r="A10470" s="10" t="str">
        <f>基本属性!$B$22&amp;"|"&amp;基本属性!$C$22</f>
        <v>210|12</v>
      </c>
      <c r="B10470" s="10" t="str">
        <f>参数调整!$J$41</f>
        <v>新增怪物种类6掉落</v>
      </c>
      <c r="C10470" s="8" t="str">
        <f>材料产出!$BT$2</f>
        <v>新增材料7</v>
      </c>
      <c r="D10470" s="224">
        <f>参数调整!$K$41*怪物掉落配置方案!$D4314</f>
        <v>0</v>
      </c>
    </row>
    <row r="10471" spans="1:4" ht="16.5" hidden="1" x14ac:dyDescent="0.3">
      <c r="A10471" s="10" t="str">
        <f>基本属性!$B$23&amp;"|"&amp;基本属性!$C$23</f>
        <v>210|13</v>
      </c>
      <c r="B10471" s="10" t="str">
        <f>参数调整!$J$41</f>
        <v>新增怪物种类6掉落</v>
      </c>
      <c r="C10471" s="8" t="str">
        <f>材料产出!$BT$2</f>
        <v>新增材料7</v>
      </c>
      <c r="D10471" s="224">
        <f>参数调整!$K$41*怪物掉落配置方案!$D4315</f>
        <v>0</v>
      </c>
    </row>
    <row r="10472" spans="1:4" ht="16.5" hidden="1" x14ac:dyDescent="0.3">
      <c r="A10472" s="10" t="str">
        <f>基本属性!$B$24&amp;"|"&amp;基本属性!$C$24</f>
        <v>220|14</v>
      </c>
      <c r="B10472" s="10" t="str">
        <f>参数调整!$J$41</f>
        <v>新增怪物种类6掉落</v>
      </c>
      <c r="C10472" s="8" t="str">
        <f>材料产出!$BT$2</f>
        <v>新增材料7</v>
      </c>
      <c r="D10472" s="224">
        <f>参数调整!$K$41*怪物掉落配置方案!$D4316</f>
        <v>0</v>
      </c>
    </row>
    <row r="10473" spans="1:4" ht="16.5" hidden="1" x14ac:dyDescent="0.3">
      <c r="A10473" s="10" t="str">
        <f>基本属性!$B$25&amp;"|"&amp;基本属性!$C$25</f>
        <v>220|15</v>
      </c>
      <c r="B10473" s="10" t="str">
        <f>参数调整!$J$41</f>
        <v>新增怪物种类6掉落</v>
      </c>
      <c r="C10473" s="8" t="str">
        <f>材料产出!$BT$2</f>
        <v>新增材料7</v>
      </c>
      <c r="D10473" s="224">
        <f>参数调整!$K$41*怪物掉落配置方案!$D4317</f>
        <v>0</v>
      </c>
    </row>
    <row r="10474" spans="1:4" ht="16.5" hidden="1" x14ac:dyDescent="0.3">
      <c r="A10474" s="10" t="str">
        <f>基本属性!$B$26&amp;"|"&amp;基本属性!$C$26</f>
        <v>230|16</v>
      </c>
      <c r="B10474" s="10" t="str">
        <f>参数调整!$J$41</f>
        <v>新增怪物种类6掉落</v>
      </c>
      <c r="C10474" s="8" t="str">
        <f>材料产出!$BT$2</f>
        <v>新增材料7</v>
      </c>
      <c r="D10474" s="224">
        <f>参数调整!$K$41*怪物掉落配置方案!$D4318</f>
        <v>0</v>
      </c>
    </row>
    <row r="10475" spans="1:4" ht="16.5" hidden="1" x14ac:dyDescent="0.3">
      <c r="A10475" s="10" t="str">
        <f>基本属性!$B$27&amp;"|"&amp;基本属性!$C$27</f>
        <v>230|17</v>
      </c>
      <c r="B10475" s="10" t="str">
        <f>参数调整!$J$41</f>
        <v>新增怪物种类6掉落</v>
      </c>
      <c r="C10475" s="8" t="str">
        <f>材料产出!$BT$2</f>
        <v>新增材料7</v>
      </c>
      <c r="D10475" s="224">
        <f>参数调整!$K$41*怪物掉落配置方案!$D4319</f>
        <v>0</v>
      </c>
    </row>
    <row r="10476" spans="1:4" ht="16.5" hidden="1" x14ac:dyDescent="0.3">
      <c r="A10476" s="10" t="str">
        <f>基本属性!$B$28&amp;"|"&amp;基本属性!$C$28</f>
        <v>240|18</v>
      </c>
      <c r="B10476" s="10" t="str">
        <f>参数调整!$J$41</f>
        <v>新增怪物种类6掉落</v>
      </c>
      <c r="C10476" s="8" t="str">
        <f>材料产出!$BT$2</f>
        <v>新增材料7</v>
      </c>
      <c r="D10476" s="224">
        <f>参数调整!$K$41*怪物掉落配置方案!$D4320</f>
        <v>0</v>
      </c>
    </row>
    <row r="10477" spans="1:4" ht="16.5" hidden="1" x14ac:dyDescent="0.3">
      <c r="A10477" s="10" t="str">
        <f>基本属性!$B$29&amp;"|"&amp;基本属性!$C$29</f>
        <v>240|19</v>
      </c>
      <c r="B10477" s="10" t="str">
        <f>参数调整!$J$41</f>
        <v>新增怪物种类6掉落</v>
      </c>
      <c r="C10477" s="8" t="str">
        <f>材料产出!$BT$2</f>
        <v>新增材料7</v>
      </c>
      <c r="D10477" s="224">
        <f>参数调整!$K$41*怪物掉落配置方案!$D4321</f>
        <v>0</v>
      </c>
    </row>
    <row r="10478" spans="1:4" ht="16.5" hidden="1" x14ac:dyDescent="0.3">
      <c r="A10478" s="10" t="str">
        <f>基本属性!$B$30&amp;"|"&amp;基本属性!$C$30</f>
        <v>250|20</v>
      </c>
      <c r="B10478" s="10" t="str">
        <f>参数调整!$J$41</f>
        <v>新增怪物种类6掉落</v>
      </c>
      <c r="C10478" s="8" t="str">
        <f>材料产出!$BT$2</f>
        <v>新增材料7</v>
      </c>
      <c r="D10478" s="224">
        <f>参数调整!$K$41*怪物掉落配置方案!$D4322</f>
        <v>0</v>
      </c>
    </row>
    <row r="10479" spans="1:4" ht="16.5" hidden="1" x14ac:dyDescent="0.3">
      <c r="A10479" s="10" t="str">
        <f>基本属性!$B$4&amp;"|"&amp;基本属性!$C$4</f>
        <v>35|0</v>
      </c>
      <c r="B10479" s="10" t="str">
        <f>参数调整!$J$41</f>
        <v>新增怪物种类6掉落</v>
      </c>
      <c r="C10479" s="8" t="str">
        <f>材料产出!$BR$2</f>
        <v>新增材料6</v>
      </c>
      <c r="D10479" s="224">
        <f>参数调整!$K$41*怪物掉落配置方案!$D4323</f>
        <v>0</v>
      </c>
    </row>
    <row r="10480" spans="1:4" ht="16.5" hidden="1" x14ac:dyDescent="0.3">
      <c r="A10480" s="10" t="str">
        <f>基本属性!$B$5&amp;"|"&amp;基本属性!$C$5</f>
        <v>40|0</v>
      </c>
      <c r="B10480" s="10" t="str">
        <f>参数调整!$J$41</f>
        <v>新增怪物种类6掉落</v>
      </c>
      <c r="C10480" s="8" t="str">
        <f>材料产出!$BR$2</f>
        <v>新增材料6</v>
      </c>
      <c r="D10480" s="224">
        <f>参数调整!$K$41*怪物掉落配置方案!$D4324</f>
        <v>0</v>
      </c>
    </row>
    <row r="10481" spans="1:4" ht="16.5" hidden="1" x14ac:dyDescent="0.3">
      <c r="A10481" s="10" t="str">
        <f>基本属性!$B$6&amp;"|"&amp;基本属性!$C$6</f>
        <v>50|0</v>
      </c>
      <c r="B10481" s="10" t="str">
        <f>参数调整!$J$41</f>
        <v>新增怪物种类6掉落</v>
      </c>
      <c r="C10481" s="8" t="str">
        <f>材料产出!$BR$2</f>
        <v>新增材料6</v>
      </c>
      <c r="D10481" s="224">
        <f>参数调整!$K$41*怪物掉落配置方案!$D4325</f>
        <v>0</v>
      </c>
    </row>
    <row r="10482" spans="1:4" ht="16.5" hidden="1" x14ac:dyDescent="0.3">
      <c r="A10482" s="10" t="str">
        <f>基本属性!$B$7&amp;"|"&amp;基本属性!$C$7</f>
        <v>60|0</v>
      </c>
      <c r="B10482" s="10" t="str">
        <f>参数调整!$J$41</f>
        <v>新增怪物种类6掉落</v>
      </c>
      <c r="C10482" s="8" t="str">
        <f>材料产出!$BR$2</f>
        <v>新增材料6</v>
      </c>
      <c r="D10482" s="224">
        <f>参数调整!$K$41*怪物掉落配置方案!$D4326</f>
        <v>0</v>
      </c>
    </row>
    <row r="10483" spans="1:4" ht="16.5" hidden="1" x14ac:dyDescent="0.3">
      <c r="A10483" s="10" t="str">
        <f>基本属性!$B$8&amp;"|"&amp;基本属性!$C$8</f>
        <v>65|0</v>
      </c>
      <c r="B10483" s="10" t="str">
        <f>参数调整!$J$41</f>
        <v>新增怪物种类6掉落</v>
      </c>
      <c r="C10483" s="8" t="str">
        <f>材料产出!$BR$2</f>
        <v>新增材料6</v>
      </c>
      <c r="D10483" s="224">
        <f>参数调整!$K$41*怪物掉落配置方案!$D4327</f>
        <v>0</v>
      </c>
    </row>
    <row r="10484" spans="1:4" ht="16.5" hidden="1" x14ac:dyDescent="0.3">
      <c r="A10484" s="10" t="str">
        <f>基本属性!$B$9&amp;"|"&amp;基本属性!$C$9</f>
        <v>70|0</v>
      </c>
      <c r="B10484" s="10" t="str">
        <f>参数调整!$J$41</f>
        <v>新增怪物种类6掉落</v>
      </c>
      <c r="C10484" s="8" t="str">
        <f>材料产出!$BR$2</f>
        <v>新增材料6</v>
      </c>
      <c r="D10484" s="224">
        <f>参数调整!$K$41*怪物掉落配置方案!$D4328</f>
        <v>0</v>
      </c>
    </row>
    <row r="10485" spans="1:4" ht="16.5" hidden="1" x14ac:dyDescent="0.3">
      <c r="A10485" s="10" t="str">
        <f>基本属性!$B$10&amp;"|"&amp;基本属性!$C$10</f>
        <v>75|0</v>
      </c>
      <c r="B10485" s="10" t="str">
        <f>参数调整!$J$41</f>
        <v>新增怪物种类6掉落</v>
      </c>
      <c r="C10485" s="8" t="str">
        <f>材料产出!$BR$2</f>
        <v>新增材料6</v>
      </c>
      <c r="D10485" s="224">
        <f>参数调整!$K$41*怪物掉落配置方案!$D4329</f>
        <v>0</v>
      </c>
    </row>
    <row r="10486" spans="1:4" ht="16.5" hidden="1" x14ac:dyDescent="0.3">
      <c r="A10486" s="10" t="str">
        <f>基本属性!$B$11&amp;"|"&amp;基本属性!$C$11</f>
        <v>80|1</v>
      </c>
      <c r="B10486" s="10" t="str">
        <f>参数调整!$J$41</f>
        <v>新增怪物种类6掉落</v>
      </c>
      <c r="C10486" s="8" t="str">
        <f>材料产出!$BR$2</f>
        <v>新增材料6</v>
      </c>
      <c r="D10486" s="224">
        <f>参数调整!$K$41*怪物掉落配置方案!$D4330</f>
        <v>0</v>
      </c>
    </row>
    <row r="10487" spans="1:4" ht="16.5" hidden="1" x14ac:dyDescent="0.3">
      <c r="A10487" s="10" t="str">
        <f>基本属性!$B$12&amp;"|"&amp;基本属性!$C$12</f>
        <v>90|2</v>
      </c>
      <c r="B10487" s="10" t="str">
        <f>参数调整!$J$41</f>
        <v>新增怪物种类6掉落</v>
      </c>
      <c r="C10487" s="8" t="str">
        <f>材料产出!$BR$2</f>
        <v>新增材料6</v>
      </c>
      <c r="D10487" s="224">
        <f>参数调整!$K$41*怪物掉落配置方案!$D4331</f>
        <v>0</v>
      </c>
    </row>
    <row r="10488" spans="1:4" ht="16.5" hidden="1" x14ac:dyDescent="0.3">
      <c r="A10488" s="10" t="str">
        <f>基本属性!$B$13&amp;"|"&amp;基本属性!$C$13</f>
        <v>100|3</v>
      </c>
      <c r="B10488" s="10" t="str">
        <f>参数调整!$J$41</f>
        <v>新增怪物种类6掉落</v>
      </c>
      <c r="C10488" s="8" t="str">
        <f>材料产出!$BR$2</f>
        <v>新增材料6</v>
      </c>
      <c r="D10488" s="224">
        <f>参数调整!$K$41*怪物掉落配置方案!$D4332</f>
        <v>0</v>
      </c>
    </row>
    <row r="10489" spans="1:4" ht="16.5" hidden="1" x14ac:dyDescent="0.3">
      <c r="A10489" s="10" t="str">
        <f>基本属性!$B$14&amp;"|"&amp;基本属性!$C$14</f>
        <v>105|4</v>
      </c>
      <c r="B10489" s="10" t="str">
        <f>参数调整!$J$41</f>
        <v>新增怪物种类6掉落</v>
      </c>
      <c r="C10489" s="8" t="str">
        <f>材料产出!$BR$2</f>
        <v>新增材料6</v>
      </c>
      <c r="D10489" s="224">
        <f>参数调整!$K$41*怪物掉落配置方案!$D4333</f>
        <v>0</v>
      </c>
    </row>
    <row r="10490" spans="1:4" ht="16.5" hidden="1" x14ac:dyDescent="0.3">
      <c r="A10490" s="10" t="str">
        <f>基本属性!$B$15&amp;"|"&amp;基本属性!$C$15</f>
        <v>110|5</v>
      </c>
      <c r="B10490" s="10" t="str">
        <f>参数调整!$J$41</f>
        <v>新增怪物种类6掉落</v>
      </c>
      <c r="C10490" s="8" t="str">
        <f>材料产出!$BR$2</f>
        <v>新增材料6</v>
      </c>
      <c r="D10490" s="224">
        <f>参数调整!$K$41*怪物掉落配置方案!$D4334</f>
        <v>0</v>
      </c>
    </row>
    <row r="10491" spans="1:4" ht="16.5" hidden="1" x14ac:dyDescent="0.3">
      <c r="A10491" s="10" t="str">
        <f>基本属性!$B$16&amp;"|"&amp;基本属性!$C$16</f>
        <v>120|6</v>
      </c>
      <c r="B10491" s="10" t="str">
        <f>参数调整!$J$41</f>
        <v>新增怪物种类6掉落</v>
      </c>
      <c r="C10491" s="8" t="str">
        <f>材料产出!$BR$2</f>
        <v>新增材料6</v>
      </c>
      <c r="D10491" s="224">
        <f>参数调整!$K$41*怪物掉落配置方案!$D4335</f>
        <v>0</v>
      </c>
    </row>
    <row r="10492" spans="1:4" ht="16.5" hidden="1" x14ac:dyDescent="0.3">
      <c r="A10492" s="10" t="str">
        <f>基本属性!$B$17&amp;"|"&amp;基本属性!$C$17</f>
        <v>135|7</v>
      </c>
      <c r="B10492" s="10" t="str">
        <f>参数调整!$J$41</f>
        <v>新增怪物种类6掉落</v>
      </c>
      <c r="C10492" s="8" t="str">
        <f>材料产出!$BR$2</f>
        <v>新增材料6</v>
      </c>
      <c r="D10492" s="224">
        <f>参数调整!$K$41*怪物掉落配置方案!$D4336</f>
        <v>0</v>
      </c>
    </row>
    <row r="10493" spans="1:4" ht="16.5" hidden="1" x14ac:dyDescent="0.3">
      <c r="A10493" s="10" t="str">
        <f>基本属性!$B$18&amp;"|"&amp;基本属性!$C$18</f>
        <v>155|8</v>
      </c>
      <c r="B10493" s="10" t="str">
        <f>参数调整!$J$41</f>
        <v>新增怪物种类6掉落</v>
      </c>
      <c r="C10493" s="8" t="str">
        <f>材料产出!$BR$2</f>
        <v>新增材料6</v>
      </c>
      <c r="D10493" s="224">
        <f>参数调整!$K$41*怪物掉落配置方案!$D4337</f>
        <v>0</v>
      </c>
    </row>
    <row r="10494" spans="1:4" ht="16.5" hidden="1" x14ac:dyDescent="0.3">
      <c r="A10494" s="10" t="str">
        <f>基本属性!$B$19&amp;"|"&amp;基本属性!$C$19</f>
        <v>190|9</v>
      </c>
      <c r="B10494" s="10" t="str">
        <f>参数调整!$J$41</f>
        <v>新增怪物种类6掉落</v>
      </c>
      <c r="C10494" s="8" t="str">
        <f>材料产出!$BR$2</f>
        <v>新增材料6</v>
      </c>
      <c r="D10494" s="224">
        <f>参数调整!$K$41*怪物掉落配置方案!$D4338</f>
        <v>0</v>
      </c>
    </row>
    <row r="10495" spans="1:4" ht="16.5" hidden="1" x14ac:dyDescent="0.3">
      <c r="A10495" s="10" t="str">
        <f>基本属性!$B$20&amp;"|"&amp;基本属性!$C$20</f>
        <v>200|10</v>
      </c>
      <c r="B10495" s="10" t="str">
        <f>参数调整!$J$41</f>
        <v>新增怪物种类6掉落</v>
      </c>
      <c r="C10495" s="8" t="str">
        <f>材料产出!$BR$2</f>
        <v>新增材料6</v>
      </c>
      <c r="D10495" s="224">
        <f>参数调整!$K$41*怪物掉落配置方案!$D4339</f>
        <v>0</v>
      </c>
    </row>
    <row r="10496" spans="1:4" ht="16.5" hidden="1" x14ac:dyDescent="0.3">
      <c r="A10496" s="10" t="str">
        <f>基本属性!$B$21&amp;"|"&amp;基本属性!$C$21</f>
        <v>200|11</v>
      </c>
      <c r="B10496" s="10" t="str">
        <f>参数调整!$J$41</f>
        <v>新增怪物种类6掉落</v>
      </c>
      <c r="C10496" s="8" t="str">
        <f>材料产出!$BR$2</f>
        <v>新增材料6</v>
      </c>
      <c r="D10496" s="224">
        <f>参数调整!$K$41*怪物掉落配置方案!$D4340</f>
        <v>0</v>
      </c>
    </row>
    <row r="10497" spans="1:4" ht="16.5" hidden="1" x14ac:dyDescent="0.3">
      <c r="A10497" s="10" t="str">
        <f>基本属性!$B$22&amp;"|"&amp;基本属性!$C$22</f>
        <v>210|12</v>
      </c>
      <c r="B10497" s="10" t="str">
        <f>参数调整!$J$41</f>
        <v>新增怪物种类6掉落</v>
      </c>
      <c r="C10497" s="8" t="str">
        <f>材料产出!$BR$2</f>
        <v>新增材料6</v>
      </c>
      <c r="D10497" s="224">
        <f>参数调整!$K$41*怪物掉落配置方案!$D4341</f>
        <v>0</v>
      </c>
    </row>
    <row r="10498" spans="1:4" ht="16.5" hidden="1" x14ac:dyDescent="0.3">
      <c r="A10498" s="10" t="str">
        <f>基本属性!$B$23&amp;"|"&amp;基本属性!$C$23</f>
        <v>210|13</v>
      </c>
      <c r="B10498" s="10" t="str">
        <f>参数调整!$J$41</f>
        <v>新增怪物种类6掉落</v>
      </c>
      <c r="C10498" s="8" t="str">
        <f>材料产出!$BR$2</f>
        <v>新增材料6</v>
      </c>
      <c r="D10498" s="224">
        <f>参数调整!$K$41*怪物掉落配置方案!$D4342</f>
        <v>0</v>
      </c>
    </row>
    <row r="10499" spans="1:4" ht="16.5" hidden="1" x14ac:dyDescent="0.3">
      <c r="A10499" s="10" t="str">
        <f>基本属性!$B$24&amp;"|"&amp;基本属性!$C$24</f>
        <v>220|14</v>
      </c>
      <c r="B10499" s="10" t="str">
        <f>参数调整!$J$41</f>
        <v>新增怪物种类6掉落</v>
      </c>
      <c r="C10499" s="8" t="str">
        <f>材料产出!$BR$2</f>
        <v>新增材料6</v>
      </c>
      <c r="D10499" s="224">
        <f>参数调整!$K$41*怪物掉落配置方案!$D4343</f>
        <v>0</v>
      </c>
    </row>
    <row r="10500" spans="1:4" ht="16.5" hidden="1" x14ac:dyDescent="0.3">
      <c r="A10500" s="10" t="str">
        <f>基本属性!$B$25&amp;"|"&amp;基本属性!$C$25</f>
        <v>220|15</v>
      </c>
      <c r="B10500" s="10" t="str">
        <f>参数调整!$J$41</f>
        <v>新增怪物种类6掉落</v>
      </c>
      <c r="C10500" s="8" t="str">
        <f>材料产出!$BR$2</f>
        <v>新增材料6</v>
      </c>
      <c r="D10500" s="224">
        <f>参数调整!$K$41*怪物掉落配置方案!$D4344</f>
        <v>0</v>
      </c>
    </row>
    <row r="10501" spans="1:4" ht="16.5" hidden="1" x14ac:dyDescent="0.3">
      <c r="A10501" s="10" t="str">
        <f>基本属性!$B$26&amp;"|"&amp;基本属性!$C$26</f>
        <v>230|16</v>
      </c>
      <c r="B10501" s="10" t="str">
        <f>参数调整!$J$41</f>
        <v>新增怪物种类6掉落</v>
      </c>
      <c r="C10501" s="8" t="str">
        <f>材料产出!$BR$2</f>
        <v>新增材料6</v>
      </c>
      <c r="D10501" s="224">
        <f>参数调整!$K$41*怪物掉落配置方案!$D4345</f>
        <v>0</v>
      </c>
    </row>
    <row r="10502" spans="1:4" ht="16.5" hidden="1" x14ac:dyDescent="0.3">
      <c r="A10502" s="10" t="str">
        <f>基本属性!$B$27&amp;"|"&amp;基本属性!$C$27</f>
        <v>230|17</v>
      </c>
      <c r="B10502" s="10" t="str">
        <f>参数调整!$J$41</f>
        <v>新增怪物种类6掉落</v>
      </c>
      <c r="C10502" s="8" t="str">
        <f>材料产出!$BR$2</f>
        <v>新增材料6</v>
      </c>
      <c r="D10502" s="224">
        <f>参数调整!$K$41*怪物掉落配置方案!$D4346</f>
        <v>0</v>
      </c>
    </row>
    <row r="10503" spans="1:4" ht="16.5" hidden="1" x14ac:dyDescent="0.3">
      <c r="A10503" s="10" t="str">
        <f>基本属性!$B$28&amp;"|"&amp;基本属性!$C$28</f>
        <v>240|18</v>
      </c>
      <c r="B10503" s="10" t="str">
        <f>参数调整!$J$41</f>
        <v>新增怪物种类6掉落</v>
      </c>
      <c r="C10503" s="8" t="str">
        <f>材料产出!$BR$2</f>
        <v>新增材料6</v>
      </c>
      <c r="D10503" s="224">
        <f>参数调整!$K$41*怪物掉落配置方案!$D4347</f>
        <v>0</v>
      </c>
    </row>
    <row r="10504" spans="1:4" ht="16.5" hidden="1" x14ac:dyDescent="0.3">
      <c r="A10504" s="10" t="str">
        <f>基本属性!$B$29&amp;"|"&amp;基本属性!$C$29</f>
        <v>240|19</v>
      </c>
      <c r="B10504" s="10" t="str">
        <f>参数调整!$J$41</f>
        <v>新增怪物种类6掉落</v>
      </c>
      <c r="C10504" s="8" t="str">
        <f>材料产出!$BR$2</f>
        <v>新增材料6</v>
      </c>
      <c r="D10504" s="224">
        <f>参数调整!$K$41*怪物掉落配置方案!$D4348</f>
        <v>0</v>
      </c>
    </row>
    <row r="10505" spans="1:4" ht="16.5" hidden="1" x14ac:dyDescent="0.3">
      <c r="A10505" s="10" t="str">
        <f>基本属性!$B$30&amp;"|"&amp;基本属性!$C$30</f>
        <v>250|20</v>
      </c>
      <c r="B10505" s="10" t="str">
        <f>参数调整!$J$41</f>
        <v>新增怪物种类6掉落</v>
      </c>
      <c r="C10505" s="8" t="str">
        <f>材料产出!$BR$2</f>
        <v>新增材料6</v>
      </c>
      <c r="D10505" s="224">
        <f>参数调整!$K$41*怪物掉落配置方案!$D4349</f>
        <v>0</v>
      </c>
    </row>
    <row r="10506" spans="1:4" ht="16.5" hidden="1" x14ac:dyDescent="0.3">
      <c r="A10506" s="10" t="str">
        <f>基本属性!$B$4&amp;"|"&amp;基本属性!$C$4</f>
        <v>35|0</v>
      </c>
      <c r="B10506" s="10" t="str">
        <f>参数调整!$J$41</f>
        <v>新增怪物种类6掉落</v>
      </c>
      <c r="C10506" s="8" t="str">
        <f>材料产出!$BP$2</f>
        <v>新增材料5</v>
      </c>
      <c r="D10506" s="224">
        <f>参数调整!$K$41*怪物掉落配置方案!$D4350</f>
        <v>0</v>
      </c>
    </row>
    <row r="10507" spans="1:4" ht="16.5" hidden="1" x14ac:dyDescent="0.3">
      <c r="A10507" s="10" t="str">
        <f>基本属性!$B$5&amp;"|"&amp;基本属性!$C$5</f>
        <v>40|0</v>
      </c>
      <c r="B10507" s="10" t="str">
        <f>参数调整!$J$41</f>
        <v>新增怪物种类6掉落</v>
      </c>
      <c r="C10507" s="8" t="str">
        <f>材料产出!$BP$2</f>
        <v>新增材料5</v>
      </c>
      <c r="D10507" s="224">
        <f>参数调整!$K$41*怪物掉落配置方案!$D4351</f>
        <v>0</v>
      </c>
    </row>
    <row r="10508" spans="1:4" ht="16.5" hidden="1" x14ac:dyDescent="0.3">
      <c r="A10508" s="10" t="str">
        <f>基本属性!$B$6&amp;"|"&amp;基本属性!$C$6</f>
        <v>50|0</v>
      </c>
      <c r="B10508" s="10" t="str">
        <f>参数调整!$J$41</f>
        <v>新增怪物种类6掉落</v>
      </c>
      <c r="C10508" s="8" t="str">
        <f>材料产出!$BP$2</f>
        <v>新增材料5</v>
      </c>
      <c r="D10508" s="224">
        <f>参数调整!$K$41*怪物掉落配置方案!$D4352</f>
        <v>0</v>
      </c>
    </row>
    <row r="10509" spans="1:4" ht="16.5" hidden="1" x14ac:dyDescent="0.3">
      <c r="A10509" s="10" t="str">
        <f>基本属性!$B$7&amp;"|"&amp;基本属性!$C$7</f>
        <v>60|0</v>
      </c>
      <c r="B10509" s="10" t="str">
        <f>参数调整!$J$41</f>
        <v>新增怪物种类6掉落</v>
      </c>
      <c r="C10509" s="8" t="str">
        <f>材料产出!$BP$2</f>
        <v>新增材料5</v>
      </c>
      <c r="D10509" s="224">
        <f>参数调整!$K$41*怪物掉落配置方案!$D4353</f>
        <v>0</v>
      </c>
    </row>
    <row r="10510" spans="1:4" ht="16.5" hidden="1" x14ac:dyDescent="0.3">
      <c r="A10510" s="10" t="str">
        <f>基本属性!$B$8&amp;"|"&amp;基本属性!$C$8</f>
        <v>65|0</v>
      </c>
      <c r="B10510" s="10" t="str">
        <f>参数调整!$J$41</f>
        <v>新增怪物种类6掉落</v>
      </c>
      <c r="C10510" s="8" t="str">
        <f>材料产出!$BP$2</f>
        <v>新增材料5</v>
      </c>
      <c r="D10510" s="224">
        <f>参数调整!$K$41*怪物掉落配置方案!$D4354</f>
        <v>0</v>
      </c>
    </row>
    <row r="10511" spans="1:4" ht="16.5" hidden="1" x14ac:dyDescent="0.3">
      <c r="A10511" s="10" t="str">
        <f>基本属性!$B$9&amp;"|"&amp;基本属性!$C$9</f>
        <v>70|0</v>
      </c>
      <c r="B10511" s="10" t="str">
        <f>参数调整!$J$41</f>
        <v>新增怪物种类6掉落</v>
      </c>
      <c r="C10511" s="8" t="str">
        <f>材料产出!$BP$2</f>
        <v>新增材料5</v>
      </c>
      <c r="D10511" s="224">
        <f>参数调整!$K$41*怪物掉落配置方案!$D4355</f>
        <v>0</v>
      </c>
    </row>
    <row r="10512" spans="1:4" ht="16.5" hidden="1" x14ac:dyDescent="0.3">
      <c r="A10512" s="10" t="str">
        <f>基本属性!$B$10&amp;"|"&amp;基本属性!$C$10</f>
        <v>75|0</v>
      </c>
      <c r="B10512" s="10" t="str">
        <f>参数调整!$J$41</f>
        <v>新增怪物种类6掉落</v>
      </c>
      <c r="C10512" s="8" t="str">
        <f>材料产出!$BP$2</f>
        <v>新增材料5</v>
      </c>
      <c r="D10512" s="224">
        <f>参数调整!$K$41*怪物掉落配置方案!$D4356</f>
        <v>0</v>
      </c>
    </row>
    <row r="10513" spans="1:4" ht="16.5" hidden="1" x14ac:dyDescent="0.3">
      <c r="A10513" s="10" t="str">
        <f>基本属性!$B$11&amp;"|"&amp;基本属性!$C$11</f>
        <v>80|1</v>
      </c>
      <c r="B10513" s="10" t="str">
        <f>参数调整!$J$41</f>
        <v>新增怪物种类6掉落</v>
      </c>
      <c r="C10513" s="8" t="str">
        <f>材料产出!$BP$2</f>
        <v>新增材料5</v>
      </c>
      <c r="D10513" s="224">
        <f>参数调整!$K$41*怪物掉落配置方案!$D4357</f>
        <v>0</v>
      </c>
    </row>
    <row r="10514" spans="1:4" ht="16.5" hidden="1" x14ac:dyDescent="0.3">
      <c r="A10514" s="10" t="str">
        <f>基本属性!$B$12&amp;"|"&amp;基本属性!$C$12</f>
        <v>90|2</v>
      </c>
      <c r="B10514" s="10" t="str">
        <f>参数调整!$J$41</f>
        <v>新增怪物种类6掉落</v>
      </c>
      <c r="C10514" s="8" t="str">
        <f>材料产出!$BP$2</f>
        <v>新增材料5</v>
      </c>
      <c r="D10514" s="224">
        <f>参数调整!$K$41*怪物掉落配置方案!$D4358</f>
        <v>0</v>
      </c>
    </row>
    <row r="10515" spans="1:4" ht="16.5" hidden="1" x14ac:dyDescent="0.3">
      <c r="A10515" s="10" t="str">
        <f>基本属性!$B$13&amp;"|"&amp;基本属性!$C$13</f>
        <v>100|3</v>
      </c>
      <c r="B10515" s="10" t="str">
        <f>参数调整!$J$41</f>
        <v>新增怪物种类6掉落</v>
      </c>
      <c r="C10515" s="8" t="str">
        <f>材料产出!$BP$2</f>
        <v>新增材料5</v>
      </c>
      <c r="D10515" s="224">
        <f>参数调整!$K$41*怪物掉落配置方案!$D4359</f>
        <v>0</v>
      </c>
    </row>
    <row r="10516" spans="1:4" ht="16.5" hidden="1" x14ac:dyDescent="0.3">
      <c r="A10516" s="10" t="str">
        <f>基本属性!$B$14&amp;"|"&amp;基本属性!$C$14</f>
        <v>105|4</v>
      </c>
      <c r="B10516" s="10" t="str">
        <f>参数调整!$J$41</f>
        <v>新增怪物种类6掉落</v>
      </c>
      <c r="C10516" s="8" t="str">
        <f>材料产出!$BP$2</f>
        <v>新增材料5</v>
      </c>
      <c r="D10516" s="224">
        <f>参数调整!$K$41*怪物掉落配置方案!$D4360</f>
        <v>0</v>
      </c>
    </row>
    <row r="10517" spans="1:4" ht="16.5" hidden="1" x14ac:dyDescent="0.3">
      <c r="A10517" s="10" t="str">
        <f>基本属性!$B$15&amp;"|"&amp;基本属性!$C$15</f>
        <v>110|5</v>
      </c>
      <c r="B10517" s="10" t="str">
        <f>参数调整!$J$41</f>
        <v>新增怪物种类6掉落</v>
      </c>
      <c r="C10517" s="8" t="str">
        <f>材料产出!$BP$2</f>
        <v>新增材料5</v>
      </c>
      <c r="D10517" s="224">
        <f>参数调整!$K$41*怪物掉落配置方案!$D4361</f>
        <v>0</v>
      </c>
    </row>
    <row r="10518" spans="1:4" ht="16.5" hidden="1" x14ac:dyDescent="0.3">
      <c r="A10518" s="10" t="str">
        <f>基本属性!$B$16&amp;"|"&amp;基本属性!$C$16</f>
        <v>120|6</v>
      </c>
      <c r="B10518" s="10" t="str">
        <f>参数调整!$J$41</f>
        <v>新增怪物种类6掉落</v>
      </c>
      <c r="C10518" s="8" t="str">
        <f>材料产出!$BP$2</f>
        <v>新增材料5</v>
      </c>
      <c r="D10518" s="224">
        <f>参数调整!$K$41*怪物掉落配置方案!$D4362</f>
        <v>0</v>
      </c>
    </row>
    <row r="10519" spans="1:4" ht="16.5" hidden="1" x14ac:dyDescent="0.3">
      <c r="A10519" s="10" t="str">
        <f>基本属性!$B$17&amp;"|"&amp;基本属性!$C$17</f>
        <v>135|7</v>
      </c>
      <c r="B10519" s="10" t="str">
        <f>参数调整!$J$41</f>
        <v>新增怪物种类6掉落</v>
      </c>
      <c r="C10519" s="8" t="str">
        <f>材料产出!$BP$2</f>
        <v>新增材料5</v>
      </c>
      <c r="D10519" s="224">
        <f>参数调整!$K$41*怪物掉落配置方案!$D4363</f>
        <v>0</v>
      </c>
    </row>
    <row r="10520" spans="1:4" ht="16.5" hidden="1" x14ac:dyDescent="0.3">
      <c r="A10520" s="10" t="str">
        <f>基本属性!$B$18&amp;"|"&amp;基本属性!$C$18</f>
        <v>155|8</v>
      </c>
      <c r="B10520" s="10" t="str">
        <f>参数调整!$J$41</f>
        <v>新增怪物种类6掉落</v>
      </c>
      <c r="C10520" s="8" t="str">
        <f>材料产出!$BP$2</f>
        <v>新增材料5</v>
      </c>
      <c r="D10520" s="224">
        <f>参数调整!$K$41*怪物掉落配置方案!$D4364</f>
        <v>0</v>
      </c>
    </row>
    <row r="10521" spans="1:4" ht="16.5" hidden="1" x14ac:dyDescent="0.3">
      <c r="A10521" s="10" t="str">
        <f>基本属性!$B$19&amp;"|"&amp;基本属性!$C$19</f>
        <v>190|9</v>
      </c>
      <c r="B10521" s="10" t="str">
        <f>参数调整!$J$41</f>
        <v>新增怪物种类6掉落</v>
      </c>
      <c r="C10521" s="8" t="str">
        <f>材料产出!$BP$2</f>
        <v>新增材料5</v>
      </c>
      <c r="D10521" s="224">
        <f>参数调整!$K$41*怪物掉落配置方案!$D4365</f>
        <v>0</v>
      </c>
    </row>
    <row r="10522" spans="1:4" ht="16.5" hidden="1" x14ac:dyDescent="0.3">
      <c r="A10522" s="10" t="str">
        <f>基本属性!$B$20&amp;"|"&amp;基本属性!$C$20</f>
        <v>200|10</v>
      </c>
      <c r="B10522" s="10" t="str">
        <f>参数调整!$J$41</f>
        <v>新增怪物种类6掉落</v>
      </c>
      <c r="C10522" s="8" t="str">
        <f>材料产出!$BP$2</f>
        <v>新增材料5</v>
      </c>
      <c r="D10522" s="224">
        <f>参数调整!$K$41*怪物掉落配置方案!$D4366</f>
        <v>0</v>
      </c>
    </row>
    <row r="10523" spans="1:4" ht="16.5" hidden="1" x14ac:dyDescent="0.3">
      <c r="A10523" s="10" t="str">
        <f>基本属性!$B$21&amp;"|"&amp;基本属性!$C$21</f>
        <v>200|11</v>
      </c>
      <c r="B10523" s="10" t="str">
        <f>参数调整!$J$41</f>
        <v>新增怪物种类6掉落</v>
      </c>
      <c r="C10523" s="8" t="str">
        <f>材料产出!$BP$2</f>
        <v>新增材料5</v>
      </c>
      <c r="D10523" s="224">
        <f>参数调整!$K$41*怪物掉落配置方案!$D4367</f>
        <v>0</v>
      </c>
    </row>
    <row r="10524" spans="1:4" ht="16.5" hidden="1" x14ac:dyDescent="0.3">
      <c r="A10524" s="10" t="str">
        <f>基本属性!$B$22&amp;"|"&amp;基本属性!$C$22</f>
        <v>210|12</v>
      </c>
      <c r="B10524" s="10" t="str">
        <f>参数调整!$J$41</f>
        <v>新增怪物种类6掉落</v>
      </c>
      <c r="C10524" s="8" t="str">
        <f>材料产出!$BP$2</f>
        <v>新增材料5</v>
      </c>
      <c r="D10524" s="224">
        <f>参数调整!$K$41*怪物掉落配置方案!$D4368</f>
        <v>0</v>
      </c>
    </row>
    <row r="10525" spans="1:4" ht="16.5" hidden="1" x14ac:dyDescent="0.3">
      <c r="A10525" s="10" t="str">
        <f>基本属性!$B$23&amp;"|"&amp;基本属性!$C$23</f>
        <v>210|13</v>
      </c>
      <c r="B10525" s="10" t="str">
        <f>参数调整!$J$41</f>
        <v>新增怪物种类6掉落</v>
      </c>
      <c r="C10525" s="8" t="str">
        <f>材料产出!$BP$2</f>
        <v>新增材料5</v>
      </c>
      <c r="D10525" s="224">
        <f>参数调整!$K$41*怪物掉落配置方案!$D4369</f>
        <v>0</v>
      </c>
    </row>
    <row r="10526" spans="1:4" ht="16.5" hidden="1" x14ac:dyDescent="0.3">
      <c r="A10526" s="10" t="str">
        <f>基本属性!$B$24&amp;"|"&amp;基本属性!$C$24</f>
        <v>220|14</v>
      </c>
      <c r="B10526" s="10" t="str">
        <f>参数调整!$J$41</f>
        <v>新增怪物种类6掉落</v>
      </c>
      <c r="C10526" s="8" t="str">
        <f>材料产出!$BP$2</f>
        <v>新增材料5</v>
      </c>
      <c r="D10526" s="224">
        <f>参数调整!$K$41*怪物掉落配置方案!$D4370</f>
        <v>0</v>
      </c>
    </row>
    <row r="10527" spans="1:4" ht="16.5" hidden="1" x14ac:dyDescent="0.3">
      <c r="A10527" s="10" t="str">
        <f>基本属性!$B$25&amp;"|"&amp;基本属性!$C$25</f>
        <v>220|15</v>
      </c>
      <c r="B10527" s="10" t="str">
        <f>参数调整!$J$41</f>
        <v>新增怪物种类6掉落</v>
      </c>
      <c r="C10527" s="8" t="str">
        <f>材料产出!$BP$2</f>
        <v>新增材料5</v>
      </c>
      <c r="D10527" s="224">
        <f>参数调整!$K$41*怪物掉落配置方案!$D4371</f>
        <v>0</v>
      </c>
    </row>
    <row r="10528" spans="1:4" ht="16.5" hidden="1" x14ac:dyDescent="0.3">
      <c r="A10528" s="10" t="str">
        <f>基本属性!$B$26&amp;"|"&amp;基本属性!$C$26</f>
        <v>230|16</v>
      </c>
      <c r="B10528" s="10" t="str">
        <f>参数调整!$J$41</f>
        <v>新增怪物种类6掉落</v>
      </c>
      <c r="C10528" s="8" t="str">
        <f>材料产出!$BP$2</f>
        <v>新增材料5</v>
      </c>
      <c r="D10528" s="224">
        <f>参数调整!$K$41*怪物掉落配置方案!$D4372</f>
        <v>0</v>
      </c>
    </row>
    <row r="10529" spans="1:4" ht="16.5" hidden="1" x14ac:dyDescent="0.3">
      <c r="A10529" s="10" t="str">
        <f>基本属性!$B$27&amp;"|"&amp;基本属性!$C$27</f>
        <v>230|17</v>
      </c>
      <c r="B10529" s="10" t="str">
        <f>参数调整!$J$41</f>
        <v>新增怪物种类6掉落</v>
      </c>
      <c r="C10529" s="8" t="str">
        <f>材料产出!$BP$2</f>
        <v>新增材料5</v>
      </c>
      <c r="D10529" s="224">
        <f>参数调整!$K$41*怪物掉落配置方案!$D4373</f>
        <v>0</v>
      </c>
    </row>
    <row r="10530" spans="1:4" ht="16.5" hidden="1" x14ac:dyDescent="0.3">
      <c r="A10530" s="10" t="str">
        <f>基本属性!$B$28&amp;"|"&amp;基本属性!$C$28</f>
        <v>240|18</v>
      </c>
      <c r="B10530" s="10" t="str">
        <f>参数调整!$J$41</f>
        <v>新增怪物种类6掉落</v>
      </c>
      <c r="C10530" s="8" t="str">
        <f>材料产出!$BP$2</f>
        <v>新增材料5</v>
      </c>
      <c r="D10530" s="224">
        <f>参数调整!$K$41*怪物掉落配置方案!$D4374</f>
        <v>0</v>
      </c>
    </row>
    <row r="10531" spans="1:4" ht="16.5" hidden="1" x14ac:dyDescent="0.3">
      <c r="A10531" s="10" t="str">
        <f>基本属性!$B$29&amp;"|"&amp;基本属性!$C$29</f>
        <v>240|19</v>
      </c>
      <c r="B10531" s="10" t="str">
        <f>参数调整!$J$41</f>
        <v>新增怪物种类6掉落</v>
      </c>
      <c r="C10531" s="8" t="str">
        <f>材料产出!$BP$2</f>
        <v>新增材料5</v>
      </c>
      <c r="D10531" s="224">
        <f>参数调整!$K$41*怪物掉落配置方案!$D4375</f>
        <v>0</v>
      </c>
    </row>
    <row r="10532" spans="1:4" ht="16.5" hidden="1" x14ac:dyDescent="0.3">
      <c r="A10532" s="10" t="str">
        <f>基本属性!$B$30&amp;"|"&amp;基本属性!$C$30</f>
        <v>250|20</v>
      </c>
      <c r="B10532" s="10" t="str">
        <f>参数调整!$J$41</f>
        <v>新增怪物种类6掉落</v>
      </c>
      <c r="C10532" s="8" t="str">
        <f>材料产出!$BP$2</f>
        <v>新增材料5</v>
      </c>
      <c r="D10532" s="224">
        <f>参数调整!$K$41*怪物掉落配置方案!$D4376</f>
        <v>0</v>
      </c>
    </row>
    <row r="10533" spans="1:4" ht="16.5" hidden="1" x14ac:dyDescent="0.3">
      <c r="A10533" s="10" t="str">
        <f>基本属性!$B$4&amp;"|"&amp;基本属性!$C$4</f>
        <v>35|0</v>
      </c>
      <c r="B10533" s="10" t="str">
        <f>参数调整!$J$41</f>
        <v>新增怪物种类6掉落</v>
      </c>
      <c r="C10533" s="8" t="str">
        <f>材料产出!$BN$2</f>
        <v>新增材料4</v>
      </c>
      <c r="D10533" s="224">
        <f>参数调整!$K$41*怪物掉落配置方案!$D4377</f>
        <v>0</v>
      </c>
    </row>
    <row r="10534" spans="1:4" ht="16.5" hidden="1" x14ac:dyDescent="0.3">
      <c r="A10534" s="10" t="str">
        <f>基本属性!$B$5&amp;"|"&amp;基本属性!$C$5</f>
        <v>40|0</v>
      </c>
      <c r="B10534" s="10" t="str">
        <f>参数调整!$J$41</f>
        <v>新增怪物种类6掉落</v>
      </c>
      <c r="C10534" s="8" t="str">
        <f>材料产出!$BN$2</f>
        <v>新增材料4</v>
      </c>
      <c r="D10534" s="224">
        <f>参数调整!$K$41*怪物掉落配置方案!$D4378</f>
        <v>0</v>
      </c>
    </row>
    <row r="10535" spans="1:4" ht="16.5" hidden="1" x14ac:dyDescent="0.3">
      <c r="A10535" s="10" t="str">
        <f>基本属性!$B$6&amp;"|"&amp;基本属性!$C$6</f>
        <v>50|0</v>
      </c>
      <c r="B10535" s="10" t="str">
        <f>参数调整!$J$41</f>
        <v>新增怪物种类6掉落</v>
      </c>
      <c r="C10535" s="8" t="str">
        <f>材料产出!$BN$2</f>
        <v>新增材料4</v>
      </c>
      <c r="D10535" s="224">
        <f>参数调整!$K$41*怪物掉落配置方案!$D4379</f>
        <v>0</v>
      </c>
    </row>
    <row r="10536" spans="1:4" ht="16.5" hidden="1" x14ac:dyDescent="0.3">
      <c r="A10536" s="10" t="str">
        <f>基本属性!$B$7&amp;"|"&amp;基本属性!$C$7</f>
        <v>60|0</v>
      </c>
      <c r="B10536" s="10" t="str">
        <f>参数调整!$J$41</f>
        <v>新增怪物种类6掉落</v>
      </c>
      <c r="C10536" s="8" t="str">
        <f>材料产出!$BN$2</f>
        <v>新增材料4</v>
      </c>
      <c r="D10536" s="224">
        <f>参数调整!$K$41*怪物掉落配置方案!$D4380</f>
        <v>0</v>
      </c>
    </row>
    <row r="10537" spans="1:4" ht="16.5" hidden="1" x14ac:dyDescent="0.3">
      <c r="A10537" s="10" t="str">
        <f>基本属性!$B$8&amp;"|"&amp;基本属性!$C$8</f>
        <v>65|0</v>
      </c>
      <c r="B10537" s="10" t="str">
        <f>参数调整!$J$41</f>
        <v>新增怪物种类6掉落</v>
      </c>
      <c r="C10537" s="8" t="str">
        <f>材料产出!$BN$2</f>
        <v>新增材料4</v>
      </c>
      <c r="D10537" s="224">
        <f>参数调整!$K$41*怪物掉落配置方案!$D4381</f>
        <v>0</v>
      </c>
    </row>
    <row r="10538" spans="1:4" ht="16.5" hidden="1" x14ac:dyDescent="0.3">
      <c r="A10538" s="10" t="str">
        <f>基本属性!$B$9&amp;"|"&amp;基本属性!$C$9</f>
        <v>70|0</v>
      </c>
      <c r="B10538" s="10" t="str">
        <f>参数调整!$J$41</f>
        <v>新增怪物种类6掉落</v>
      </c>
      <c r="C10538" s="8" t="str">
        <f>材料产出!$BN$2</f>
        <v>新增材料4</v>
      </c>
      <c r="D10538" s="224">
        <f>参数调整!$K$41*怪物掉落配置方案!$D4382</f>
        <v>0</v>
      </c>
    </row>
    <row r="10539" spans="1:4" ht="16.5" hidden="1" x14ac:dyDescent="0.3">
      <c r="A10539" s="10" t="str">
        <f>基本属性!$B$10&amp;"|"&amp;基本属性!$C$10</f>
        <v>75|0</v>
      </c>
      <c r="B10539" s="10" t="str">
        <f>参数调整!$J$41</f>
        <v>新增怪物种类6掉落</v>
      </c>
      <c r="C10539" s="8" t="str">
        <f>材料产出!$BN$2</f>
        <v>新增材料4</v>
      </c>
      <c r="D10539" s="224">
        <f>参数调整!$K$41*怪物掉落配置方案!$D4383</f>
        <v>0</v>
      </c>
    </row>
    <row r="10540" spans="1:4" ht="16.5" hidden="1" x14ac:dyDescent="0.3">
      <c r="A10540" s="10" t="str">
        <f>基本属性!$B$11&amp;"|"&amp;基本属性!$C$11</f>
        <v>80|1</v>
      </c>
      <c r="B10540" s="10" t="str">
        <f>参数调整!$J$41</f>
        <v>新增怪物种类6掉落</v>
      </c>
      <c r="C10540" s="8" t="str">
        <f>材料产出!$BN$2</f>
        <v>新增材料4</v>
      </c>
      <c r="D10540" s="224">
        <f>参数调整!$K$41*怪物掉落配置方案!$D4384</f>
        <v>0</v>
      </c>
    </row>
    <row r="10541" spans="1:4" ht="16.5" hidden="1" x14ac:dyDescent="0.3">
      <c r="A10541" s="10" t="str">
        <f>基本属性!$B$12&amp;"|"&amp;基本属性!$C$12</f>
        <v>90|2</v>
      </c>
      <c r="B10541" s="10" t="str">
        <f>参数调整!$J$41</f>
        <v>新增怪物种类6掉落</v>
      </c>
      <c r="C10541" s="8" t="str">
        <f>材料产出!$BN$2</f>
        <v>新增材料4</v>
      </c>
      <c r="D10541" s="224">
        <f>参数调整!$K$41*怪物掉落配置方案!$D4385</f>
        <v>0</v>
      </c>
    </row>
    <row r="10542" spans="1:4" ht="16.5" hidden="1" x14ac:dyDescent="0.3">
      <c r="A10542" s="10" t="str">
        <f>基本属性!$B$13&amp;"|"&amp;基本属性!$C$13</f>
        <v>100|3</v>
      </c>
      <c r="B10542" s="10" t="str">
        <f>参数调整!$J$41</f>
        <v>新增怪物种类6掉落</v>
      </c>
      <c r="C10542" s="8" t="str">
        <f>材料产出!$BN$2</f>
        <v>新增材料4</v>
      </c>
      <c r="D10542" s="224">
        <f>参数调整!$K$41*怪物掉落配置方案!$D4386</f>
        <v>0</v>
      </c>
    </row>
    <row r="10543" spans="1:4" ht="16.5" hidden="1" x14ac:dyDescent="0.3">
      <c r="A10543" s="10" t="str">
        <f>基本属性!$B$14&amp;"|"&amp;基本属性!$C$14</f>
        <v>105|4</v>
      </c>
      <c r="B10543" s="10" t="str">
        <f>参数调整!$J$41</f>
        <v>新增怪物种类6掉落</v>
      </c>
      <c r="C10543" s="8" t="str">
        <f>材料产出!$BN$2</f>
        <v>新增材料4</v>
      </c>
      <c r="D10543" s="224">
        <f>参数调整!$K$41*怪物掉落配置方案!$D4387</f>
        <v>0</v>
      </c>
    </row>
    <row r="10544" spans="1:4" ht="16.5" hidden="1" x14ac:dyDescent="0.3">
      <c r="A10544" s="10" t="str">
        <f>基本属性!$B$15&amp;"|"&amp;基本属性!$C$15</f>
        <v>110|5</v>
      </c>
      <c r="B10544" s="10" t="str">
        <f>参数调整!$J$41</f>
        <v>新增怪物种类6掉落</v>
      </c>
      <c r="C10544" s="8" t="str">
        <f>材料产出!$BN$2</f>
        <v>新增材料4</v>
      </c>
      <c r="D10544" s="224">
        <f>参数调整!$K$41*怪物掉落配置方案!$D4388</f>
        <v>0</v>
      </c>
    </row>
    <row r="10545" spans="1:4" ht="16.5" hidden="1" x14ac:dyDescent="0.3">
      <c r="A10545" s="10" t="str">
        <f>基本属性!$B$16&amp;"|"&amp;基本属性!$C$16</f>
        <v>120|6</v>
      </c>
      <c r="B10545" s="10" t="str">
        <f>参数调整!$J$41</f>
        <v>新增怪物种类6掉落</v>
      </c>
      <c r="C10545" s="8" t="str">
        <f>材料产出!$BN$2</f>
        <v>新增材料4</v>
      </c>
      <c r="D10545" s="224">
        <f>参数调整!$K$41*怪物掉落配置方案!$D4389</f>
        <v>0</v>
      </c>
    </row>
    <row r="10546" spans="1:4" ht="16.5" hidden="1" x14ac:dyDescent="0.3">
      <c r="A10546" s="10" t="str">
        <f>基本属性!$B$17&amp;"|"&amp;基本属性!$C$17</f>
        <v>135|7</v>
      </c>
      <c r="B10546" s="10" t="str">
        <f>参数调整!$J$41</f>
        <v>新增怪物种类6掉落</v>
      </c>
      <c r="C10546" s="8" t="str">
        <f>材料产出!$BN$2</f>
        <v>新增材料4</v>
      </c>
      <c r="D10546" s="224">
        <f>参数调整!$K$41*怪物掉落配置方案!$D4390</f>
        <v>0</v>
      </c>
    </row>
    <row r="10547" spans="1:4" ht="16.5" hidden="1" x14ac:dyDescent="0.3">
      <c r="A10547" s="10" t="str">
        <f>基本属性!$B$18&amp;"|"&amp;基本属性!$C$18</f>
        <v>155|8</v>
      </c>
      <c r="B10547" s="10" t="str">
        <f>参数调整!$J$41</f>
        <v>新增怪物种类6掉落</v>
      </c>
      <c r="C10547" s="8" t="str">
        <f>材料产出!$BN$2</f>
        <v>新增材料4</v>
      </c>
      <c r="D10547" s="224">
        <f>参数调整!$K$41*怪物掉落配置方案!$D4391</f>
        <v>0</v>
      </c>
    </row>
    <row r="10548" spans="1:4" ht="16.5" hidden="1" x14ac:dyDescent="0.3">
      <c r="A10548" s="10" t="str">
        <f>基本属性!$B$19&amp;"|"&amp;基本属性!$C$19</f>
        <v>190|9</v>
      </c>
      <c r="B10548" s="10" t="str">
        <f>参数调整!$J$41</f>
        <v>新增怪物种类6掉落</v>
      </c>
      <c r="C10548" s="8" t="str">
        <f>材料产出!$BN$2</f>
        <v>新增材料4</v>
      </c>
      <c r="D10548" s="224">
        <f>参数调整!$K$41*怪物掉落配置方案!$D4392</f>
        <v>0</v>
      </c>
    </row>
    <row r="10549" spans="1:4" ht="16.5" hidden="1" x14ac:dyDescent="0.3">
      <c r="A10549" s="10" t="str">
        <f>基本属性!$B$20&amp;"|"&amp;基本属性!$C$20</f>
        <v>200|10</v>
      </c>
      <c r="B10549" s="10" t="str">
        <f>参数调整!$J$41</f>
        <v>新增怪物种类6掉落</v>
      </c>
      <c r="C10549" s="8" t="str">
        <f>材料产出!$BN$2</f>
        <v>新增材料4</v>
      </c>
      <c r="D10549" s="224">
        <f>参数调整!$K$41*怪物掉落配置方案!$D4393</f>
        <v>0</v>
      </c>
    </row>
    <row r="10550" spans="1:4" ht="16.5" hidden="1" x14ac:dyDescent="0.3">
      <c r="A10550" s="10" t="str">
        <f>基本属性!$B$21&amp;"|"&amp;基本属性!$C$21</f>
        <v>200|11</v>
      </c>
      <c r="B10550" s="10" t="str">
        <f>参数调整!$J$41</f>
        <v>新增怪物种类6掉落</v>
      </c>
      <c r="C10550" s="8" t="str">
        <f>材料产出!$BN$2</f>
        <v>新增材料4</v>
      </c>
      <c r="D10550" s="224">
        <f>参数调整!$K$41*怪物掉落配置方案!$D4394</f>
        <v>0</v>
      </c>
    </row>
    <row r="10551" spans="1:4" ht="16.5" hidden="1" x14ac:dyDescent="0.3">
      <c r="A10551" s="10" t="str">
        <f>基本属性!$B$22&amp;"|"&amp;基本属性!$C$22</f>
        <v>210|12</v>
      </c>
      <c r="B10551" s="10" t="str">
        <f>参数调整!$J$41</f>
        <v>新增怪物种类6掉落</v>
      </c>
      <c r="C10551" s="8" t="str">
        <f>材料产出!$BN$2</f>
        <v>新增材料4</v>
      </c>
      <c r="D10551" s="224">
        <f>参数调整!$K$41*怪物掉落配置方案!$D4395</f>
        <v>0</v>
      </c>
    </row>
    <row r="10552" spans="1:4" ht="16.5" hidden="1" x14ac:dyDescent="0.3">
      <c r="A10552" s="10" t="str">
        <f>基本属性!$B$23&amp;"|"&amp;基本属性!$C$23</f>
        <v>210|13</v>
      </c>
      <c r="B10552" s="10" t="str">
        <f>参数调整!$J$41</f>
        <v>新增怪物种类6掉落</v>
      </c>
      <c r="C10552" s="8" t="str">
        <f>材料产出!$BN$2</f>
        <v>新增材料4</v>
      </c>
      <c r="D10552" s="224">
        <f>参数调整!$K$41*怪物掉落配置方案!$D4396</f>
        <v>0</v>
      </c>
    </row>
    <row r="10553" spans="1:4" ht="16.5" hidden="1" x14ac:dyDescent="0.3">
      <c r="A10553" s="10" t="str">
        <f>基本属性!$B$24&amp;"|"&amp;基本属性!$C$24</f>
        <v>220|14</v>
      </c>
      <c r="B10553" s="10" t="str">
        <f>参数调整!$J$41</f>
        <v>新增怪物种类6掉落</v>
      </c>
      <c r="C10553" s="8" t="str">
        <f>材料产出!$BN$2</f>
        <v>新增材料4</v>
      </c>
      <c r="D10553" s="224">
        <f>参数调整!$K$41*怪物掉落配置方案!$D4397</f>
        <v>0</v>
      </c>
    </row>
    <row r="10554" spans="1:4" ht="16.5" hidden="1" x14ac:dyDescent="0.3">
      <c r="A10554" s="10" t="str">
        <f>基本属性!$B$25&amp;"|"&amp;基本属性!$C$25</f>
        <v>220|15</v>
      </c>
      <c r="B10554" s="10" t="str">
        <f>参数调整!$J$41</f>
        <v>新增怪物种类6掉落</v>
      </c>
      <c r="C10554" s="8" t="str">
        <f>材料产出!$BN$2</f>
        <v>新增材料4</v>
      </c>
      <c r="D10554" s="224">
        <f>参数调整!$K$41*怪物掉落配置方案!$D4398</f>
        <v>0</v>
      </c>
    </row>
    <row r="10555" spans="1:4" ht="16.5" hidden="1" x14ac:dyDescent="0.3">
      <c r="A10555" s="10" t="str">
        <f>基本属性!$B$26&amp;"|"&amp;基本属性!$C$26</f>
        <v>230|16</v>
      </c>
      <c r="B10555" s="10" t="str">
        <f>参数调整!$J$41</f>
        <v>新增怪物种类6掉落</v>
      </c>
      <c r="C10555" s="8" t="str">
        <f>材料产出!$BN$2</f>
        <v>新增材料4</v>
      </c>
      <c r="D10555" s="224">
        <f>参数调整!$K$41*怪物掉落配置方案!$D4399</f>
        <v>0</v>
      </c>
    </row>
    <row r="10556" spans="1:4" ht="16.5" hidden="1" x14ac:dyDescent="0.3">
      <c r="A10556" s="10" t="str">
        <f>基本属性!$B$27&amp;"|"&amp;基本属性!$C$27</f>
        <v>230|17</v>
      </c>
      <c r="B10556" s="10" t="str">
        <f>参数调整!$J$41</f>
        <v>新增怪物种类6掉落</v>
      </c>
      <c r="C10556" s="8" t="str">
        <f>材料产出!$BN$2</f>
        <v>新增材料4</v>
      </c>
      <c r="D10556" s="224">
        <f>参数调整!$K$41*怪物掉落配置方案!$D4400</f>
        <v>0</v>
      </c>
    </row>
    <row r="10557" spans="1:4" ht="16.5" hidden="1" x14ac:dyDescent="0.3">
      <c r="A10557" s="10" t="str">
        <f>基本属性!$B$28&amp;"|"&amp;基本属性!$C$28</f>
        <v>240|18</v>
      </c>
      <c r="B10557" s="10" t="str">
        <f>参数调整!$J$41</f>
        <v>新增怪物种类6掉落</v>
      </c>
      <c r="C10557" s="8" t="str">
        <f>材料产出!$BN$2</f>
        <v>新增材料4</v>
      </c>
      <c r="D10557" s="224">
        <f>参数调整!$K$41*怪物掉落配置方案!$D4401</f>
        <v>0</v>
      </c>
    </row>
    <row r="10558" spans="1:4" ht="16.5" hidden="1" x14ac:dyDescent="0.3">
      <c r="A10558" s="10" t="str">
        <f>基本属性!$B$29&amp;"|"&amp;基本属性!$C$29</f>
        <v>240|19</v>
      </c>
      <c r="B10558" s="10" t="str">
        <f>参数调整!$J$41</f>
        <v>新增怪物种类6掉落</v>
      </c>
      <c r="C10558" s="8" t="str">
        <f>材料产出!$BN$2</f>
        <v>新增材料4</v>
      </c>
      <c r="D10558" s="224">
        <f>参数调整!$K$41*怪物掉落配置方案!$D4402</f>
        <v>0</v>
      </c>
    </row>
    <row r="10559" spans="1:4" ht="16.5" hidden="1" x14ac:dyDescent="0.3">
      <c r="A10559" s="10" t="str">
        <f>基本属性!$B$30&amp;"|"&amp;基本属性!$C$30</f>
        <v>250|20</v>
      </c>
      <c r="B10559" s="10" t="str">
        <f>参数调整!$J$41</f>
        <v>新增怪物种类6掉落</v>
      </c>
      <c r="C10559" s="8" t="str">
        <f>材料产出!$BN$2</f>
        <v>新增材料4</v>
      </c>
      <c r="D10559" s="224">
        <f>参数调整!$K$41*怪物掉落配置方案!$D4403</f>
        <v>0</v>
      </c>
    </row>
    <row r="10560" spans="1:4" ht="16.5" hidden="1" x14ac:dyDescent="0.3">
      <c r="A10560" s="10" t="str">
        <f>基本属性!$B$4&amp;"|"&amp;基本属性!$C$4</f>
        <v>35|0</v>
      </c>
      <c r="B10560" s="10" t="str">
        <f>参数调整!$J$41</f>
        <v>新增怪物种类6掉落</v>
      </c>
      <c r="C10560" s="8" t="str">
        <f>材料产出!$BL$2</f>
        <v>新增材料3</v>
      </c>
      <c r="D10560" s="224">
        <f>参数调整!$K$41*怪物掉落配置方案!$D4404</f>
        <v>0</v>
      </c>
    </row>
    <row r="10561" spans="1:4" ht="16.5" hidden="1" x14ac:dyDescent="0.3">
      <c r="A10561" s="10" t="str">
        <f>基本属性!$B$5&amp;"|"&amp;基本属性!$C$5</f>
        <v>40|0</v>
      </c>
      <c r="B10561" s="10" t="str">
        <f>参数调整!$J$41</f>
        <v>新增怪物种类6掉落</v>
      </c>
      <c r="C10561" s="8" t="str">
        <f>材料产出!$BL$2</f>
        <v>新增材料3</v>
      </c>
      <c r="D10561" s="224">
        <f>参数调整!$K$41*怪物掉落配置方案!$D4405</f>
        <v>0</v>
      </c>
    </row>
    <row r="10562" spans="1:4" ht="16.5" hidden="1" x14ac:dyDescent="0.3">
      <c r="A10562" s="10" t="str">
        <f>基本属性!$B$6&amp;"|"&amp;基本属性!$C$6</f>
        <v>50|0</v>
      </c>
      <c r="B10562" s="10" t="str">
        <f>参数调整!$J$41</f>
        <v>新增怪物种类6掉落</v>
      </c>
      <c r="C10562" s="8" t="str">
        <f>材料产出!$BL$2</f>
        <v>新增材料3</v>
      </c>
      <c r="D10562" s="224">
        <f>参数调整!$K$41*怪物掉落配置方案!$D4406</f>
        <v>0</v>
      </c>
    </row>
    <row r="10563" spans="1:4" ht="16.5" hidden="1" x14ac:dyDescent="0.3">
      <c r="A10563" s="10" t="str">
        <f>基本属性!$B$7&amp;"|"&amp;基本属性!$C$7</f>
        <v>60|0</v>
      </c>
      <c r="B10563" s="10" t="str">
        <f>参数调整!$J$41</f>
        <v>新增怪物种类6掉落</v>
      </c>
      <c r="C10563" s="8" t="str">
        <f>材料产出!$BL$2</f>
        <v>新增材料3</v>
      </c>
      <c r="D10563" s="224">
        <f>参数调整!$K$41*怪物掉落配置方案!$D4407</f>
        <v>0</v>
      </c>
    </row>
    <row r="10564" spans="1:4" ht="16.5" hidden="1" x14ac:dyDescent="0.3">
      <c r="A10564" s="10" t="str">
        <f>基本属性!$B$8&amp;"|"&amp;基本属性!$C$8</f>
        <v>65|0</v>
      </c>
      <c r="B10564" s="10" t="str">
        <f>参数调整!$J$41</f>
        <v>新增怪物种类6掉落</v>
      </c>
      <c r="C10564" s="8" t="str">
        <f>材料产出!$BL$2</f>
        <v>新增材料3</v>
      </c>
      <c r="D10564" s="224">
        <f>参数调整!$K$41*怪物掉落配置方案!$D4408</f>
        <v>0</v>
      </c>
    </row>
    <row r="10565" spans="1:4" ht="16.5" hidden="1" x14ac:dyDescent="0.3">
      <c r="A10565" s="10" t="str">
        <f>基本属性!$B$9&amp;"|"&amp;基本属性!$C$9</f>
        <v>70|0</v>
      </c>
      <c r="B10565" s="10" t="str">
        <f>参数调整!$J$41</f>
        <v>新增怪物种类6掉落</v>
      </c>
      <c r="C10565" s="8" t="str">
        <f>材料产出!$BL$2</f>
        <v>新增材料3</v>
      </c>
      <c r="D10565" s="224">
        <f>参数调整!$K$41*怪物掉落配置方案!$D4409</f>
        <v>0</v>
      </c>
    </row>
    <row r="10566" spans="1:4" ht="16.5" hidden="1" x14ac:dyDescent="0.3">
      <c r="A10566" s="10" t="str">
        <f>基本属性!$B$10&amp;"|"&amp;基本属性!$C$10</f>
        <v>75|0</v>
      </c>
      <c r="B10566" s="10" t="str">
        <f>参数调整!$J$41</f>
        <v>新增怪物种类6掉落</v>
      </c>
      <c r="C10566" s="8" t="str">
        <f>材料产出!$BL$2</f>
        <v>新增材料3</v>
      </c>
      <c r="D10566" s="224">
        <f>参数调整!$K$41*怪物掉落配置方案!$D4410</f>
        <v>0</v>
      </c>
    </row>
    <row r="10567" spans="1:4" ht="16.5" hidden="1" x14ac:dyDescent="0.3">
      <c r="A10567" s="10" t="str">
        <f>基本属性!$B$11&amp;"|"&amp;基本属性!$C$11</f>
        <v>80|1</v>
      </c>
      <c r="B10567" s="10" t="str">
        <f>参数调整!$J$41</f>
        <v>新增怪物种类6掉落</v>
      </c>
      <c r="C10567" s="8" t="str">
        <f>材料产出!$BL$2</f>
        <v>新增材料3</v>
      </c>
      <c r="D10567" s="224">
        <f>参数调整!$K$41*怪物掉落配置方案!$D4411</f>
        <v>0</v>
      </c>
    </row>
    <row r="10568" spans="1:4" ht="16.5" hidden="1" x14ac:dyDescent="0.3">
      <c r="A10568" s="10" t="str">
        <f>基本属性!$B$12&amp;"|"&amp;基本属性!$C$12</f>
        <v>90|2</v>
      </c>
      <c r="B10568" s="10" t="str">
        <f>参数调整!$J$41</f>
        <v>新增怪物种类6掉落</v>
      </c>
      <c r="C10568" s="8" t="str">
        <f>材料产出!$BL$2</f>
        <v>新增材料3</v>
      </c>
      <c r="D10568" s="224">
        <f>参数调整!$K$41*怪物掉落配置方案!$D4412</f>
        <v>0</v>
      </c>
    </row>
    <row r="10569" spans="1:4" ht="16.5" hidden="1" x14ac:dyDescent="0.3">
      <c r="A10569" s="10" t="str">
        <f>基本属性!$B$13&amp;"|"&amp;基本属性!$C$13</f>
        <v>100|3</v>
      </c>
      <c r="B10569" s="10" t="str">
        <f>参数调整!$J$41</f>
        <v>新增怪物种类6掉落</v>
      </c>
      <c r="C10569" s="8" t="str">
        <f>材料产出!$BL$2</f>
        <v>新增材料3</v>
      </c>
      <c r="D10569" s="224">
        <f>参数调整!$K$41*怪物掉落配置方案!$D4413</f>
        <v>0</v>
      </c>
    </row>
    <row r="10570" spans="1:4" ht="16.5" hidden="1" x14ac:dyDescent="0.3">
      <c r="A10570" s="10" t="str">
        <f>基本属性!$B$14&amp;"|"&amp;基本属性!$C$14</f>
        <v>105|4</v>
      </c>
      <c r="B10570" s="10" t="str">
        <f>参数调整!$J$41</f>
        <v>新增怪物种类6掉落</v>
      </c>
      <c r="C10570" s="8" t="str">
        <f>材料产出!$BL$2</f>
        <v>新增材料3</v>
      </c>
      <c r="D10570" s="224">
        <f>参数调整!$K$41*怪物掉落配置方案!$D4414</f>
        <v>0</v>
      </c>
    </row>
    <row r="10571" spans="1:4" ht="16.5" hidden="1" x14ac:dyDescent="0.3">
      <c r="A10571" s="10" t="str">
        <f>基本属性!$B$15&amp;"|"&amp;基本属性!$C$15</f>
        <v>110|5</v>
      </c>
      <c r="B10571" s="10" t="str">
        <f>参数调整!$J$41</f>
        <v>新增怪物种类6掉落</v>
      </c>
      <c r="C10571" s="8" t="str">
        <f>材料产出!$BL$2</f>
        <v>新增材料3</v>
      </c>
      <c r="D10571" s="224">
        <f>参数调整!$K$41*怪物掉落配置方案!$D4415</f>
        <v>0</v>
      </c>
    </row>
    <row r="10572" spans="1:4" ht="16.5" hidden="1" x14ac:dyDescent="0.3">
      <c r="A10572" s="10" t="str">
        <f>基本属性!$B$16&amp;"|"&amp;基本属性!$C$16</f>
        <v>120|6</v>
      </c>
      <c r="B10572" s="10" t="str">
        <f>参数调整!$J$41</f>
        <v>新增怪物种类6掉落</v>
      </c>
      <c r="C10572" s="8" t="str">
        <f>材料产出!$BL$2</f>
        <v>新增材料3</v>
      </c>
      <c r="D10572" s="224">
        <f>参数调整!$K$41*怪物掉落配置方案!$D4416</f>
        <v>0</v>
      </c>
    </row>
    <row r="10573" spans="1:4" ht="16.5" hidden="1" x14ac:dyDescent="0.3">
      <c r="A10573" s="10" t="str">
        <f>基本属性!$B$17&amp;"|"&amp;基本属性!$C$17</f>
        <v>135|7</v>
      </c>
      <c r="B10573" s="10" t="str">
        <f>参数调整!$J$41</f>
        <v>新增怪物种类6掉落</v>
      </c>
      <c r="C10573" s="8" t="str">
        <f>材料产出!$BL$2</f>
        <v>新增材料3</v>
      </c>
      <c r="D10573" s="224">
        <f>参数调整!$K$41*怪物掉落配置方案!$D4417</f>
        <v>0</v>
      </c>
    </row>
    <row r="10574" spans="1:4" ht="16.5" hidden="1" x14ac:dyDescent="0.3">
      <c r="A10574" s="10" t="str">
        <f>基本属性!$B$18&amp;"|"&amp;基本属性!$C$18</f>
        <v>155|8</v>
      </c>
      <c r="B10574" s="10" t="str">
        <f>参数调整!$J$41</f>
        <v>新增怪物种类6掉落</v>
      </c>
      <c r="C10574" s="8" t="str">
        <f>材料产出!$BL$2</f>
        <v>新增材料3</v>
      </c>
      <c r="D10574" s="224">
        <f>参数调整!$K$41*怪物掉落配置方案!$D4418</f>
        <v>0</v>
      </c>
    </row>
    <row r="10575" spans="1:4" ht="16.5" hidden="1" x14ac:dyDescent="0.3">
      <c r="A10575" s="10" t="str">
        <f>基本属性!$B$19&amp;"|"&amp;基本属性!$C$19</f>
        <v>190|9</v>
      </c>
      <c r="B10575" s="10" t="str">
        <f>参数调整!$J$41</f>
        <v>新增怪物种类6掉落</v>
      </c>
      <c r="C10575" s="8" t="str">
        <f>材料产出!$BL$2</f>
        <v>新增材料3</v>
      </c>
      <c r="D10575" s="224">
        <f>参数调整!$K$41*怪物掉落配置方案!$D4419</f>
        <v>0</v>
      </c>
    </row>
    <row r="10576" spans="1:4" ht="16.5" hidden="1" x14ac:dyDescent="0.3">
      <c r="A10576" s="10" t="str">
        <f>基本属性!$B$20&amp;"|"&amp;基本属性!$C$20</f>
        <v>200|10</v>
      </c>
      <c r="B10576" s="10" t="str">
        <f>参数调整!$J$41</f>
        <v>新增怪物种类6掉落</v>
      </c>
      <c r="C10576" s="8" t="str">
        <f>材料产出!$BL$2</f>
        <v>新增材料3</v>
      </c>
      <c r="D10576" s="224">
        <f>参数调整!$K$41*怪物掉落配置方案!$D4420</f>
        <v>0</v>
      </c>
    </row>
    <row r="10577" spans="1:4" ht="16.5" hidden="1" x14ac:dyDescent="0.3">
      <c r="A10577" s="10" t="str">
        <f>基本属性!$B$21&amp;"|"&amp;基本属性!$C$21</f>
        <v>200|11</v>
      </c>
      <c r="B10577" s="10" t="str">
        <f>参数调整!$J$41</f>
        <v>新增怪物种类6掉落</v>
      </c>
      <c r="C10577" s="8" t="str">
        <f>材料产出!$BL$2</f>
        <v>新增材料3</v>
      </c>
      <c r="D10577" s="224">
        <f>参数调整!$K$41*怪物掉落配置方案!$D4421</f>
        <v>0</v>
      </c>
    </row>
    <row r="10578" spans="1:4" ht="16.5" hidden="1" x14ac:dyDescent="0.3">
      <c r="A10578" s="10" t="str">
        <f>基本属性!$B$22&amp;"|"&amp;基本属性!$C$22</f>
        <v>210|12</v>
      </c>
      <c r="B10578" s="10" t="str">
        <f>参数调整!$J$41</f>
        <v>新增怪物种类6掉落</v>
      </c>
      <c r="C10578" s="8" t="str">
        <f>材料产出!$BL$2</f>
        <v>新增材料3</v>
      </c>
      <c r="D10578" s="224">
        <f>参数调整!$K$41*怪物掉落配置方案!$D4422</f>
        <v>0</v>
      </c>
    </row>
    <row r="10579" spans="1:4" ht="16.5" hidden="1" x14ac:dyDescent="0.3">
      <c r="A10579" s="10" t="str">
        <f>基本属性!$B$23&amp;"|"&amp;基本属性!$C$23</f>
        <v>210|13</v>
      </c>
      <c r="B10579" s="10" t="str">
        <f>参数调整!$J$41</f>
        <v>新增怪物种类6掉落</v>
      </c>
      <c r="C10579" s="8" t="str">
        <f>材料产出!$BL$2</f>
        <v>新增材料3</v>
      </c>
      <c r="D10579" s="224">
        <f>参数调整!$K$41*怪物掉落配置方案!$D4423</f>
        <v>0</v>
      </c>
    </row>
    <row r="10580" spans="1:4" ht="16.5" hidden="1" x14ac:dyDescent="0.3">
      <c r="A10580" s="10" t="str">
        <f>基本属性!$B$24&amp;"|"&amp;基本属性!$C$24</f>
        <v>220|14</v>
      </c>
      <c r="B10580" s="10" t="str">
        <f>参数调整!$J$41</f>
        <v>新增怪物种类6掉落</v>
      </c>
      <c r="C10580" s="8" t="str">
        <f>材料产出!$BL$2</f>
        <v>新增材料3</v>
      </c>
      <c r="D10580" s="224">
        <f>参数调整!$K$41*怪物掉落配置方案!$D4424</f>
        <v>0</v>
      </c>
    </row>
    <row r="10581" spans="1:4" ht="16.5" hidden="1" x14ac:dyDescent="0.3">
      <c r="A10581" s="10" t="str">
        <f>基本属性!$B$25&amp;"|"&amp;基本属性!$C$25</f>
        <v>220|15</v>
      </c>
      <c r="B10581" s="10" t="str">
        <f>参数调整!$J$41</f>
        <v>新增怪物种类6掉落</v>
      </c>
      <c r="C10581" s="8" t="str">
        <f>材料产出!$BL$2</f>
        <v>新增材料3</v>
      </c>
      <c r="D10581" s="224">
        <f>参数调整!$K$41*怪物掉落配置方案!$D4425</f>
        <v>0</v>
      </c>
    </row>
    <row r="10582" spans="1:4" ht="16.5" hidden="1" x14ac:dyDescent="0.3">
      <c r="A10582" s="10" t="str">
        <f>基本属性!$B$26&amp;"|"&amp;基本属性!$C$26</f>
        <v>230|16</v>
      </c>
      <c r="B10582" s="10" t="str">
        <f>参数调整!$J$41</f>
        <v>新增怪物种类6掉落</v>
      </c>
      <c r="C10582" s="8" t="str">
        <f>材料产出!$BL$2</f>
        <v>新增材料3</v>
      </c>
      <c r="D10582" s="224">
        <f>参数调整!$K$41*怪物掉落配置方案!$D4426</f>
        <v>0</v>
      </c>
    </row>
    <row r="10583" spans="1:4" ht="16.5" hidden="1" x14ac:dyDescent="0.3">
      <c r="A10583" s="10" t="str">
        <f>基本属性!$B$27&amp;"|"&amp;基本属性!$C$27</f>
        <v>230|17</v>
      </c>
      <c r="B10583" s="10" t="str">
        <f>参数调整!$J$41</f>
        <v>新增怪物种类6掉落</v>
      </c>
      <c r="C10583" s="8" t="str">
        <f>材料产出!$BL$2</f>
        <v>新增材料3</v>
      </c>
      <c r="D10583" s="224">
        <f>参数调整!$K$41*怪物掉落配置方案!$D4427</f>
        <v>0</v>
      </c>
    </row>
    <row r="10584" spans="1:4" ht="16.5" hidden="1" x14ac:dyDescent="0.3">
      <c r="A10584" s="10" t="str">
        <f>基本属性!$B$28&amp;"|"&amp;基本属性!$C$28</f>
        <v>240|18</v>
      </c>
      <c r="B10584" s="10" t="str">
        <f>参数调整!$J$41</f>
        <v>新增怪物种类6掉落</v>
      </c>
      <c r="C10584" s="8" t="str">
        <f>材料产出!$BL$2</f>
        <v>新增材料3</v>
      </c>
      <c r="D10584" s="224">
        <f>参数调整!$K$41*怪物掉落配置方案!$D4428</f>
        <v>0</v>
      </c>
    </row>
    <row r="10585" spans="1:4" ht="16.5" hidden="1" x14ac:dyDescent="0.3">
      <c r="A10585" s="10" t="str">
        <f>基本属性!$B$29&amp;"|"&amp;基本属性!$C$29</f>
        <v>240|19</v>
      </c>
      <c r="B10585" s="10" t="str">
        <f>参数调整!$J$41</f>
        <v>新增怪物种类6掉落</v>
      </c>
      <c r="C10585" s="8" t="str">
        <f>材料产出!$BL$2</f>
        <v>新增材料3</v>
      </c>
      <c r="D10585" s="224">
        <f>参数调整!$K$41*怪物掉落配置方案!$D4429</f>
        <v>0</v>
      </c>
    </row>
    <row r="10586" spans="1:4" ht="16.5" hidden="1" x14ac:dyDescent="0.3">
      <c r="A10586" s="10" t="str">
        <f>基本属性!$B$30&amp;"|"&amp;基本属性!$C$30</f>
        <v>250|20</v>
      </c>
      <c r="B10586" s="10" t="str">
        <f>参数调整!$J$41</f>
        <v>新增怪物种类6掉落</v>
      </c>
      <c r="C10586" s="8" t="str">
        <f>材料产出!$BL$2</f>
        <v>新增材料3</v>
      </c>
      <c r="D10586" s="224">
        <f>参数调整!$K$41*怪物掉落配置方案!$D4430</f>
        <v>0</v>
      </c>
    </row>
    <row r="10587" spans="1:4" ht="16.5" hidden="1" x14ac:dyDescent="0.3">
      <c r="A10587" s="10" t="str">
        <f>基本属性!$B$4&amp;"|"&amp;基本属性!$C$4</f>
        <v>35|0</v>
      </c>
      <c r="B10587" s="10" t="str">
        <f>参数调整!$J$41</f>
        <v>新增怪物种类6掉落</v>
      </c>
      <c r="C10587" s="8" t="str">
        <f>材料产出!$BJ$2</f>
        <v>新增材料2</v>
      </c>
      <c r="D10587" s="224">
        <f>参数调整!$K$41*怪物掉落配置方案!$D4431</f>
        <v>0</v>
      </c>
    </row>
    <row r="10588" spans="1:4" ht="16.5" hidden="1" x14ac:dyDescent="0.3">
      <c r="A10588" s="10" t="str">
        <f>基本属性!$B$5&amp;"|"&amp;基本属性!$C$5</f>
        <v>40|0</v>
      </c>
      <c r="B10588" s="10" t="str">
        <f>参数调整!$J$41</f>
        <v>新增怪物种类6掉落</v>
      </c>
      <c r="C10588" s="8" t="str">
        <f>材料产出!$BJ$2</f>
        <v>新增材料2</v>
      </c>
      <c r="D10588" s="224">
        <f>参数调整!$K$41*怪物掉落配置方案!$D4432</f>
        <v>0</v>
      </c>
    </row>
    <row r="10589" spans="1:4" ht="16.5" hidden="1" x14ac:dyDescent="0.3">
      <c r="A10589" s="10" t="str">
        <f>基本属性!$B$6&amp;"|"&amp;基本属性!$C$6</f>
        <v>50|0</v>
      </c>
      <c r="B10589" s="10" t="str">
        <f>参数调整!$J$41</f>
        <v>新增怪物种类6掉落</v>
      </c>
      <c r="C10589" s="8" t="str">
        <f>材料产出!$BJ$2</f>
        <v>新增材料2</v>
      </c>
      <c r="D10589" s="224">
        <f>参数调整!$K$41*怪物掉落配置方案!$D4433</f>
        <v>0</v>
      </c>
    </row>
    <row r="10590" spans="1:4" ht="16.5" hidden="1" x14ac:dyDescent="0.3">
      <c r="A10590" s="10" t="str">
        <f>基本属性!$B$7&amp;"|"&amp;基本属性!$C$7</f>
        <v>60|0</v>
      </c>
      <c r="B10590" s="10" t="str">
        <f>参数调整!$J$41</f>
        <v>新增怪物种类6掉落</v>
      </c>
      <c r="C10590" s="8" t="str">
        <f>材料产出!$BJ$2</f>
        <v>新增材料2</v>
      </c>
      <c r="D10590" s="224">
        <f>参数调整!$K$41*怪物掉落配置方案!$D4434</f>
        <v>0</v>
      </c>
    </row>
    <row r="10591" spans="1:4" ht="16.5" hidden="1" x14ac:dyDescent="0.3">
      <c r="A10591" s="10" t="str">
        <f>基本属性!$B$8&amp;"|"&amp;基本属性!$C$8</f>
        <v>65|0</v>
      </c>
      <c r="B10591" s="10" t="str">
        <f>参数调整!$J$41</f>
        <v>新增怪物种类6掉落</v>
      </c>
      <c r="C10591" s="8" t="str">
        <f>材料产出!$BJ$2</f>
        <v>新增材料2</v>
      </c>
      <c r="D10591" s="224">
        <f>参数调整!$K$41*怪物掉落配置方案!$D4435</f>
        <v>0</v>
      </c>
    </row>
    <row r="10592" spans="1:4" ht="16.5" hidden="1" x14ac:dyDescent="0.3">
      <c r="A10592" s="10" t="str">
        <f>基本属性!$B$9&amp;"|"&amp;基本属性!$C$9</f>
        <v>70|0</v>
      </c>
      <c r="B10592" s="10" t="str">
        <f>参数调整!$J$41</f>
        <v>新增怪物种类6掉落</v>
      </c>
      <c r="C10592" s="8" t="str">
        <f>材料产出!$BJ$2</f>
        <v>新增材料2</v>
      </c>
      <c r="D10592" s="224">
        <f>参数调整!$K$41*怪物掉落配置方案!$D4436</f>
        <v>0</v>
      </c>
    </row>
    <row r="10593" spans="1:4" ht="16.5" hidden="1" x14ac:dyDescent="0.3">
      <c r="A10593" s="10" t="str">
        <f>基本属性!$B$10&amp;"|"&amp;基本属性!$C$10</f>
        <v>75|0</v>
      </c>
      <c r="B10593" s="10" t="str">
        <f>参数调整!$J$41</f>
        <v>新增怪物种类6掉落</v>
      </c>
      <c r="C10593" s="8" t="str">
        <f>材料产出!$BJ$2</f>
        <v>新增材料2</v>
      </c>
      <c r="D10593" s="224">
        <f>参数调整!$K$41*怪物掉落配置方案!$D4437</f>
        <v>0</v>
      </c>
    </row>
    <row r="10594" spans="1:4" ht="16.5" hidden="1" x14ac:dyDescent="0.3">
      <c r="A10594" s="10" t="str">
        <f>基本属性!$B$11&amp;"|"&amp;基本属性!$C$11</f>
        <v>80|1</v>
      </c>
      <c r="B10594" s="10" t="str">
        <f>参数调整!$J$41</f>
        <v>新增怪物种类6掉落</v>
      </c>
      <c r="C10594" s="8" t="str">
        <f>材料产出!$BJ$2</f>
        <v>新增材料2</v>
      </c>
      <c r="D10594" s="224">
        <f>参数调整!$K$41*怪物掉落配置方案!$D4438</f>
        <v>0</v>
      </c>
    </row>
    <row r="10595" spans="1:4" ht="16.5" hidden="1" x14ac:dyDescent="0.3">
      <c r="A10595" s="10" t="str">
        <f>基本属性!$B$12&amp;"|"&amp;基本属性!$C$12</f>
        <v>90|2</v>
      </c>
      <c r="B10595" s="10" t="str">
        <f>参数调整!$J$41</f>
        <v>新增怪物种类6掉落</v>
      </c>
      <c r="C10595" s="8" t="str">
        <f>材料产出!$BJ$2</f>
        <v>新增材料2</v>
      </c>
      <c r="D10595" s="224">
        <f>参数调整!$K$41*怪物掉落配置方案!$D4439</f>
        <v>0</v>
      </c>
    </row>
    <row r="10596" spans="1:4" ht="16.5" hidden="1" x14ac:dyDescent="0.3">
      <c r="A10596" s="10" t="str">
        <f>基本属性!$B$13&amp;"|"&amp;基本属性!$C$13</f>
        <v>100|3</v>
      </c>
      <c r="B10596" s="10" t="str">
        <f>参数调整!$J$41</f>
        <v>新增怪物种类6掉落</v>
      </c>
      <c r="C10596" s="8" t="str">
        <f>材料产出!$BJ$2</f>
        <v>新增材料2</v>
      </c>
      <c r="D10596" s="224">
        <f>参数调整!$K$41*怪物掉落配置方案!$D4440</f>
        <v>0</v>
      </c>
    </row>
    <row r="10597" spans="1:4" ht="16.5" hidden="1" x14ac:dyDescent="0.3">
      <c r="A10597" s="10" t="str">
        <f>基本属性!$B$14&amp;"|"&amp;基本属性!$C$14</f>
        <v>105|4</v>
      </c>
      <c r="B10597" s="10" t="str">
        <f>参数调整!$J$41</f>
        <v>新增怪物种类6掉落</v>
      </c>
      <c r="C10597" s="8" t="str">
        <f>材料产出!$BJ$2</f>
        <v>新增材料2</v>
      </c>
      <c r="D10597" s="224">
        <f>参数调整!$K$41*怪物掉落配置方案!$D4441</f>
        <v>0</v>
      </c>
    </row>
    <row r="10598" spans="1:4" ht="16.5" hidden="1" x14ac:dyDescent="0.3">
      <c r="A10598" s="10" t="str">
        <f>基本属性!$B$15&amp;"|"&amp;基本属性!$C$15</f>
        <v>110|5</v>
      </c>
      <c r="B10598" s="10" t="str">
        <f>参数调整!$J$41</f>
        <v>新增怪物种类6掉落</v>
      </c>
      <c r="C10598" s="8" t="str">
        <f>材料产出!$BJ$2</f>
        <v>新增材料2</v>
      </c>
      <c r="D10598" s="224">
        <f>参数调整!$K$41*怪物掉落配置方案!$D4442</f>
        <v>0</v>
      </c>
    </row>
    <row r="10599" spans="1:4" ht="16.5" hidden="1" x14ac:dyDescent="0.3">
      <c r="A10599" s="10" t="str">
        <f>基本属性!$B$16&amp;"|"&amp;基本属性!$C$16</f>
        <v>120|6</v>
      </c>
      <c r="B10599" s="10" t="str">
        <f>参数调整!$J$41</f>
        <v>新增怪物种类6掉落</v>
      </c>
      <c r="C10599" s="8" t="str">
        <f>材料产出!$BJ$2</f>
        <v>新增材料2</v>
      </c>
      <c r="D10599" s="224">
        <f>参数调整!$K$41*怪物掉落配置方案!$D4443</f>
        <v>0</v>
      </c>
    </row>
    <row r="10600" spans="1:4" ht="16.5" hidden="1" x14ac:dyDescent="0.3">
      <c r="A10600" s="10" t="str">
        <f>基本属性!$B$17&amp;"|"&amp;基本属性!$C$17</f>
        <v>135|7</v>
      </c>
      <c r="B10600" s="10" t="str">
        <f>参数调整!$J$41</f>
        <v>新增怪物种类6掉落</v>
      </c>
      <c r="C10600" s="8" t="str">
        <f>材料产出!$BJ$2</f>
        <v>新增材料2</v>
      </c>
      <c r="D10600" s="224">
        <f>参数调整!$K$41*怪物掉落配置方案!$D4444</f>
        <v>0</v>
      </c>
    </row>
    <row r="10601" spans="1:4" ht="16.5" hidden="1" x14ac:dyDescent="0.3">
      <c r="A10601" s="10" t="str">
        <f>基本属性!$B$18&amp;"|"&amp;基本属性!$C$18</f>
        <v>155|8</v>
      </c>
      <c r="B10601" s="10" t="str">
        <f>参数调整!$J$41</f>
        <v>新增怪物种类6掉落</v>
      </c>
      <c r="C10601" s="8" t="str">
        <f>材料产出!$BJ$2</f>
        <v>新增材料2</v>
      </c>
      <c r="D10601" s="224">
        <f>参数调整!$K$41*怪物掉落配置方案!$D4445</f>
        <v>0</v>
      </c>
    </row>
    <row r="10602" spans="1:4" ht="16.5" hidden="1" x14ac:dyDescent="0.3">
      <c r="A10602" s="10" t="str">
        <f>基本属性!$B$19&amp;"|"&amp;基本属性!$C$19</f>
        <v>190|9</v>
      </c>
      <c r="B10602" s="10" t="str">
        <f>参数调整!$J$41</f>
        <v>新增怪物种类6掉落</v>
      </c>
      <c r="C10602" s="8" t="str">
        <f>材料产出!$BJ$2</f>
        <v>新增材料2</v>
      </c>
      <c r="D10602" s="224">
        <f>参数调整!$K$41*怪物掉落配置方案!$D4446</f>
        <v>0</v>
      </c>
    </row>
    <row r="10603" spans="1:4" ht="16.5" hidden="1" x14ac:dyDescent="0.3">
      <c r="A10603" s="10" t="str">
        <f>基本属性!$B$20&amp;"|"&amp;基本属性!$C$20</f>
        <v>200|10</v>
      </c>
      <c r="B10603" s="10" t="str">
        <f>参数调整!$J$41</f>
        <v>新增怪物种类6掉落</v>
      </c>
      <c r="C10603" s="8" t="str">
        <f>材料产出!$BJ$2</f>
        <v>新增材料2</v>
      </c>
      <c r="D10603" s="224">
        <f>参数调整!$K$41*怪物掉落配置方案!$D4447</f>
        <v>0</v>
      </c>
    </row>
    <row r="10604" spans="1:4" ht="16.5" hidden="1" x14ac:dyDescent="0.3">
      <c r="A10604" s="10" t="str">
        <f>基本属性!$B$21&amp;"|"&amp;基本属性!$C$21</f>
        <v>200|11</v>
      </c>
      <c r="B10604" s="10" t="str">
        <f>参数调整!$J$41</f>
        <v>新增怪物种类6掉落</v>
      </c>
      <c r="C10604" s="8" t="str">
        <f>材料产出!$BJ$2</f>
        <v>新增材料2</v>
      </c>
      <c r="D10604" s="224">
        <f>参数调整!$K$41*怪物掉落配置方案!$D4448</f>
        <v>0</v>
      </c>
    </row>
    <row r="10605" spans="1:4" ht="16.5" hidden="1" x14ac:dyDescent="0.3">
      <c r="A10605" s="10" t="str">
        <f>基本属性!$B$22&amp;"|"&amp;基本属性!$C$22</f>
        <v>210|12</v>
      </c>
      <c r="B10605" s="10" t="str">
        <f>参数调整!$J$41</f>
        <v>新增怪物种类6掉落</v>
      </c>
      <c r="C10605" s="8" t="str">
        <f>材料产出!$BJ$2</f>
        <v>新增材料2</v>
      </c>
      <c r="D10605" s="224">
        <f>参数调整!$K$41*怪物掉落配置方案!$D4449</f>
        <v>0</v>
      </c>
    </row>
    <row r="10606" spans="1:4" ht="16.5" hidden="1" x14ac:dyDescent="0.3">
      <c r="A10606" s="10" t="str">
        <f>基本属性!$B$23&amp;"|"&amp;基本属性!$C$23</f>
        <v>210|13</v>
      </c>
      <c r="B10606" s="10" t="str">
        <f>参数调整!$J$41</f>
        <v>新增怪物种类6掉落</v>
      </c>
      <c r="C10606" s="8" t="str">
        <f>材料产出!$BJ$2</f>
        <v>新增材料2</v>
      </c>
      <c r="D10606" s="224">
        <f>参数调整!$K$41*怪物掉落配置方案!$D4450</f>
        <v>0</v>
      </c>
    </row>
    <row r="10607" spans="1:4" ht="16.5" hidden="1" x14ac:dyDescent="0.3">
      <c r="A10607" s="10" t="str">
        <f>基本属性!$B$24&amp;"|"&amp;基本属性!$C$24</f>
        <v>220|14</v>
      </c>
      <c r="B10607" s="10" t="str">
        <f>参数调整!$J$41</f>
        <v>新增怪物种类6掉落</v>
      </c>
      <c r="C10607" s="8" t="str">
        <f>材料产出!$BJ$2</f>
        <v>新增材料2</v>
      </c>
      <c r="D10607" s="224">
        <f>参数调整!$K$41*怪物掉落配置方案!$D4451</f>
        <v>0</v>
      </c>
    </row>
    <row r="10608" spans="1:4" ht="16.5" hidden="1" x14ac:dyDescent="0.3">
      <c r="A10608" s="10" t="str">
        <f>基本属性!$B$25&amp;"|"&amp;基本属性!$C$25</f>
        <v>220|15</v>
      </c>
      <c r="B10608" s="10" t="str">
        <f>参数调整!$J$41</f>
        <v>新增怪物种类6掉落</v>
      </c>
      <c r="C10608" s="8" t="str">
        <f>材料产出!$BJ$2</f>
        <v>新增材料2</v>
      </c>
      <c r="D10608" s="224">
        <f>参数调整!$K$41*怪物掉落配置方案!$D4452</f>
        <v>0</v>
      </c>
    </row>
    <row r="10609" spans="1:4" ht="16.5" hidden="1" x14ac:dyDescent="0.3">
      <c r="A10609" s="10" t="str">
        <f>基本属性!$B$26&amp;"|"&amp;基本属性!$C$26</f>
        <v>230|16</v>
      </c>
      <c r="B10609" s="10" t="str">
        <f>参数调整!$J$41</f>
        <v>新增怪物种类6掉落</v>
      </c>
      <c r="C10609" s="8" t="str">
        <f>材料产出!$BJ$2</f>
        <v>新增材料2</v>
      </c>
      <c r="D10609" s="224">
        <f>参数调整!$K$41*怪物掉落配置方案!$D4453</f>
        <v>0</v>
      </c>
    </row>
    <row r="10610" spans="1:4" ht="16.5" hidden="1" x14ac:dyDescent="0.3">
      <c r="A10610" s="10" t="str">
        <f>基本属性!$B$27&amp;"|"&amp;基本属性!$C$27</f>
        <v>230|17</v>
      </c>
      <c r="B10610" s="10" t="str">
        <f>参数调整!$J$41</f>
        <v>新增怪物种类6掉落</v>
      </c>
      <c r="C10610" s="8" t="str">
        <f>材料产出!$BJ$2</f>
        <v>新增材料2</v>
      </c>
      <c r="D10610" s="224">
        <f>参数调整!$K$41*怪物掉落配置方案!$D4454</f>
        <v>0</v>
      </c>
    </row>
    <row r="10611" spans="1:4" ht="16.5" hidden="1" x14ac:dyDescent="0.3">
      <c r="A10611" s="10" t="str">
        <f>基本属性!$B$28&amp;"|"&amp;基本属性!$C$28</f>
        <v>240|18</v>
      </c>
      <c r="B10611" s="10" t="str">
        <f>参数调整!$J$41</f>
        <v>新增怪物种类6掉落</v>
      </c>
      <c r="C10611" s="8" t="str">
        <f>材料产出!$BJ$2</f>
        <v>新增材料2</v>
      </c>
      <c r="D10611" s="224">
        <f>参数调整!$K$41*怪物掉落配置方案!$D4455</f>
        <v>0</v>
      </c>
    </row>
    <row r="10612" spans="1:4" ht="16.5" hidden="1" x14ac:dyDescent="0.3">
      <c r="A10612" s="10" t="str">
        <f>基本属性!$B$29&amp;"|"&amp;基本属性!$C$29</f>
        <v>240|19</v>
      </c>
      <c r="B10612" s="10" t="str">
        <f>参数调整!$J$41</f>
        <v>新增怪物种类6掉落</v>
      </c>
      <c r="C10612" s="8" t="str">
        <f>材料产出!$BJ$2</f>
        <v>新增材料2</v>
      </c>
      <c r="D10612" s="224">
        <f>参数调整!$K$41*怪物掉落配置方案!$D4456</f>
        <v>0</v>
      </c>
    </row>
    <row r="10613" spans="1:4" ht="16.5" hidden="1" x14ac:dyDescent="0.3">
      <c r="A10613" s="10" t="str">
        <f>基本属性!$B$30&amp;"|"&amp;基本属性!$C$30</f>
        <v>250|20</v>
      </c>
      <c r="B10613" s="10" t="str">
        <f>参数调整!$J$41</f>
        <v>新增怪物种类6掉落</v>
      </c>
      <c r="C10613" s="8" t="str">
        <f>材料产出!$BJ$2</f>
        <v>新增材料2</v>
      </c>
      <c r="D10613" s="224">
        <f>参数调整!$K$41*怪物掉落配置方案!$D4457</f>
        <v>0</v>
      </c>
    </row>
    <row r="10614" spans="1:4" ht="16.5" hidden="1" x14ac:dyDescent="0.3">
      <c r="A10614" s="10" t="str">
        <f>基本属性!$B$4&amp;"|"&amp;基本属性!$C$4</f>
        <v>35|0</v>
      </c>
      <c r="B10614" s="10" t="str">
        <f>参数调整!$J$41</f>
        <v>新增怪物种类6掉落</v>
      </c>
      <c r="C10614" s="8" t="str">
        <f>材料产出!$BH$2</f>
        <v>新增材料1</v>
      </c>
      <c r="D10614" s="224">
        <f>参数调整!$K$41*怪物掉落配置方案!$D4458</f>
        <v>0</v>
      </c>
    </row>
    <row r="10615" spans="1:4" ht="16.5" hidden="1" x14ac:dyDescent="0.3">
      <c r="A10615" s="10" t="str">
        <f>基本属性!$B$5&amp;"|"&amp;基本属性!$C$5</f>
        <v>40|0</v>
      </c>
      <c r="B10615" s="10" t="str">
        <f>参数调整!$J$41</f>
        <v>新增怪物种类6掉落</v>
      </c>
      <c r="C10615" s="8" t="str">
        <f>材料产出!$BH$2</f>
        <v>新增材料1</v>
      </c>
      <c r="D10615" s="224">
        <f>参数调整!$K$41*怪物掉落配置方案!$D4459</f>
        <v>0</v>
      </c>
    </row>
    <row r="10616" spans="1:4" ht="16.5" hidden="1" x14ac:dyDescent="0.3">
      <c r="A10616" s="10" t="str">
        <f>基本属性!$B$6&amp;"|"&amp;基本属性!$C$6</f>
        <v>50|0</v>
      </c>
      <c r="B10616" s="10" t="str">
        <f>参数调整!$J$41</f>
        <v>新增怪物种类6掉落</v>
      </c>
      <c r="C10616" s="8" t="str">
        <f>材料产出!$BH$2</f>
        <v>新增材料1</v>
      </c>
      <c r="D10616" s="224">
        <f>参数调整!$K$41*怪物掉落配置方案!$D4460</f>
        <v>0</v>
      </c>
    </row>
    <row r="10617" spans="1:4" ht="16.5" hidden="1" x14ac:dyDescent="0.3">
      <c r="A10617" s="10" t="str">
        <f>基本属性!$B$7&amp;"|"&amp;基本属性!$C$7</f>
        <v>60|0</v>
      </c>
      <c r="B10617" s="10" t="str">
        <f>参数调整!$J$41</f>
        <v>新增怪物种类6掉落</v>
      </c>
      <c r="C10617" s="8" t="str">
        <f>材料产出!$BH$2</f>
        <v>新增材料1</v>
      </c>
      <c r="D10617" s="224">
        <f>参数调整!$K$41*怪物掉落配置方案!$D4461</f>
        <v>0</v>
      </c>
    </row>
    <row r="10618" spans="1:4" ht="16.5" hidden="1" x14ac:dyDescent="0.3">
      <c r="A10618" s="10" t="str">
        <f>基本属性!$B$8&amp;"|"&amp;基本属性!$C$8</f>
        <v>65|0</v>
      </c>
      <c r="B10618" s="10" t="str">
        <f>参数调整!$J$41</f>
        <v>新增怪物种类6掉落</v>
      </c>
      <c r="C10618" s="8" t="str">
        <f>材料产出!$BH$2</f>
        <v>新增材料1</v>
      </c>
      <c r="D10618" s="224">
        <f>参数调整!$K$41*怪物掉落配置方案!$D4462</f>
        <v>0</v>
      </c>
    </row>
    <row r="10619" spans="1:4" ht="16.5" hidden="1" x14ac:dyDescent="0.3">
      <c r="A10619" s="10" t="str">
        <f>基本属性!$B$9&amp;"|"&amp;基本属性!$C$9</f>
        <v>70|0</v>
      </c>
      <c r="B10619" s="10" t="str">
        <f>参数调整!$J$41</f>
        <v>新增怪物种类6掉落</v>
      </c>
      <c r="C10619" s="8" t="str">
        <f>材料产出!$BH$2</f>
        <v>新增材料1</v>
      </c>
      <c r="D10619" s="224">
        <f>参数调整!$K$41*怪物掉落配置方案!$D4463</f>
        <v>0</v>
      </c>
    </row>
    <row r="10620" spans="1:4" ht="16.5" hidden="1" x14ac:dyDescent="0.3">
      <c r="A10620" s="10" t="str">
        <f>基本属性!$B$10&amp;"|"&amp;基本属性!$C$10</f>
        <v>75|0</v>
      </c>
      <c r="B10620" s="10" t="str">
        <f>参数调整!$J$41</f>
        <v>新增怪物种类6掉落</v>
      </c>
      <c r="C10620" s="8" t="str">
        <f>材料产出!$BH$2</f>
        <v>新增材料1</v>
      </c>
      <c r="D10620" s="224">
        <f>参数调整!$K$41*怪物掉落配置方案!$D4464</f>
        <v>0</v>
      </c>
    </row>
    <row r="10621" spans="1:4" ht="16.5" hidden="1" x14ac:dyDescent="0.3">
      <c r="A10621" s="10" t="str">
        <f>基本属性!$B$11&amp;"|"&amp;基本属性!$C$11</f>
        <v>80|1</v>
      </c>
      <c r="B10621" s="10" t="str">
        <f>参数调整!$J$41</f>
        <v>新增怪物种类6掉落</v>
      </c>
      <c r="C10621" s="8" t="str">
        <f>材料产出!$BH$2</f>
        <v>新增材料1</v>
      </c>
      <c r="D10621" s="224">
        <f>参数调整!$K$41*怪物掉落配置方案!$D4465</f>
        <v>0</v>
      </c>
    </row>
    <row r="10622" spans="1:4" ht="16.5" hidden="1" x14ac:dyDescent="0.3">
      <c r="A10622" s="10" t="str">
        <f>基本属性!$B$12&amp;"|"&amp;基本属性!$C$12</f>
        <v>90|2</v>
      </c>
      <c r="B10622" s="10" t="str">
        <f>参数调整!$J$41</f>
        <v>新增怪物种类6掉落</v>
      </c>
      <c r="C10622" s="8" t="str">
        <f>材料产出!$BH$2</f>
        <v>新增材料1</v>
      </c>
      <c r="D10622" s="224">
        <f>参数调整!$K$41*怪物掉落配置方案!$D4466</f>
        <v>0</v>
      </c>
    </row>
    <row r="10623" spans="1:4" ht="16.5" hidden="1" x14ac:dyDescent="0.3">
      <c r="A10623" s="10" t="str">
        <f>基本属性!$B$13&amp;"|"&amp;基本属性!$C$13</f>
        <v>100|3</v>
      </c>
      <c r="B10623" s="10" t="str">
        <f>参数调整!$J$41</f>
        <v>新增怪物种类6掉落</v>
      </c>
      <c r="C10623" s="8" t="str">
        <f>材料产出!$BH$2</f>
        <v>新增材料1</v>
      </c>
      <c r="D10623" s="224">
        <f>参数调整!$K$41*怪物掉落配置方案!$D4467</f>
        <v>0</v>
      </c>
    </row>
    <row r="10624" spans="1:4" ht="16.5" hidden="1" x14ac:dyDescent="0.3">
      <c r="A10624" s="10" t="str">
        <f>基本属性!$B$14&amp;"|"&amp;基本属性!$C$14</f>
        <v>105|4</v>
      </c>
      <c r="B10624" s="10" t="str">
        <f>参数调整!$J$41</f>
        <v>新增怪物种类6掉落</v>
      </c>
      <c r="C10624" s="8" t="str">
        <f>材料产出!$BH$2</f>
        <v>新增材料1</v>
      </c>
      <c r="D10624" s="224">
        <f>参数调整!$K$41*怪物掉落配置方案!$D4468</f>
        <v>0</v>
      </c>
    </row>
    <row r="10625" spans="1:4" ht="16.5" hidden="1" x14ac:dyDescent="0.3">
      <c r="A10625" s="10" t="str">
        <f>基本属性!$B$15&amp;"|"&amp;基本属性!$C$15</f>
        <v>110|5</v>
      </c>
      <c r="B10625" s="10" t="str">
        <f>参数调整!$J$41</f>
        <v>新增怪物种类6掉落</v>
      </c>
      <c r="C10625" s="8" t="str">
        <f>材料产出!$BH$2</f>
        <v>新增材料1</v>
      </c>
      <c r="D10625" s="224">
        <f>参数调整!$K$41*怪物掉落配置方案!$D4469</f>
        <v>0</v>
      </c>
    </row>
    <row r="10626" spans="1:4" ht="16.5" hidden="1" x14ac:dyDescent="0.3">
      <c r="A10626" s="10" t="str">
        <f>基本属性!$B$16&amp;"|"&amp;基本属性!$C$16</f>
        <v>120|6</v>
      </c>
      <c r="B10626" s="10" t="str">
        <f>参数调整!$J$41</f>
        <v>新增怪物种类6掉落</v>
      </c>
      <c r="C10626" s="8" t="str">
        <f>材料产出!$BH$2</f>
        <v>新增材料1</v>
      </c>
      <c r="D10626" s="224">
        <f>参数调整!$K$41*怪物掉落配置方案!$D4470</f>
        <v>0</v>
      </c>
    </row>
    <row r="10627" spans="1:4" ht="16.5" hidden="1" x14ac:dyDescent="0.3">
      <c r="A10627" s="10" t="str">
        <f>基本属性!$B$17&amp;"|"&amp;基本属性!$C$17</f>
        <v>135|7</v>
      </c>
      <c r="B10627" s="10" t="str">
        <f>参数调整!$J$41</f>
        <v>新增怪物种类6掉落</v>
      </c>
      <c r="C10627" s="8" t="str">
        <f>材料产出!$BH$2</f>
        <v>新增材料1</v>
      </c>
      <c r="D10627" s="224">
        <f>参数调整!$K$41*怪物掉落配置方案!$D4471</f>
        <v>0</v>
      </c>
    </row>
    <row r="10628" spans="1:4" ht="16.5" hidden="1" x14ac:dyDescent="0.3">
      <c r="A10628" s="10" t="str">
        <f>基本属性!$B$18&amp;"|"&amp;基本属性!$C$18</f>
        <v>155|8</v>
      </c>
      <c r="B10628" s="10" t="str">
        <f>参数调整!$J$41</f>
        <v>新增怪物种类6掉落</v>
      </c>
      <c r="C10628" s="8" t="str">
        <f>材料产出!$BH$2</f>
        <v>新增材料1</v>
      </c>
      <c r="D10628" s="224">
        <f>参数调整!$K$41*怪物掉落配置方案!$D4472</f>
        <v>0</v>
      </c>
    </row>
    <row r="10629" spans="1:4" ht="16.5" hidden="1" x14ac:dyDescent="0.3">
      <c r="A10629" s="10" t="str">
        <f>基本属性!$B$19&amp;"|"&amp;基本属性!$C$19</f>
        <v>190|9</v>
      </c>
      <c r="B10629" s="10" t="str">
        <f>参数调整!$J$41</f>
        <v>新增怪物种类6掉落</v>
      </c>
      <c r="C10629" s="8" t="str">
        <f>材料产出!$BH$2</f>
        <v>新增材料1</v>
      </c>
      <c r="D10629" s="224">
        <f>参数调整!$K$41*怪物掉落配置方案!$D4473</f>
        <v>0</v>
      </c>
    </row>
    <row r="10630" spans="1:4" ht="16.5" hidden="1" x14ac:dyDescent="0.3">
      <c r="A10630" s="10" t="str">
        <f>基本属性!$B$20&amp;"|"&amp;基本属性!$C$20</f>
        <v>200|10</v>
      </c>
      <c r="B10630" s="10" t="str">
        <f>参数调整!$J$41</f>
        <v>新增怪物种类6掉落</v>
      </c>
      <c r="C10630" s="8" t="str">
        <f>材料产出!$BH$2</f>
        <v>新增材料1</v>
      </c>
      <c r="D10630" s="224">
        <f>参数调整!$K$41*怪物掉落配置方案!$D4474</f>
        <v>0</v>
      </c>
    </row>
    <row r="10631" spans="1:4" ht="16.5" hidden="1" x14ac:dyDescent="0.3">
      <c r="A10631" s="10" t="str">
        <f>基本属性!$B$21&amp;"|"&amp;基本属性!$C$21</f>
        <v>200|11</v>
      </c>
      <c r="B10631" s="10" t="str">
        <f>参数调整!$J$41</f>
        <v>新增怪物种类6掉落</v>
      </c>
      <c r="C10631" s="8" t="str">
        <f>材料产出!$BH$2</f>
        <v>新增材料1</v>
      </c>
      <c r="D10631" s="224">
        <f>参数调整!$K$41*怪物掉落配置方案!$D4475</f>
        <v>0</v>
      </c>
    </row>
    <row r="10632" spans="1:4" ht="16.5" hidden="1" x14ac:dyDescent="0.3">
      <c r="A10632" s="10" t="str">
        <f>基本属性!$B$22&amp;"|"&amp;基本属性!$C$22</f>
        <v>210|12</v>
      </c>
      <c r="B10632" s="10" t="str">
        <f>参数调整!$J$41</f>
        <v>新增怪物种类6掉落</v>
      </c>
      <c r="C10632" s="8" t="str">
        <f>材料产出!$BH$2</f>
        <v>新增材料1</v>
      </c>
      <c r="D10632" s="224">
        <f>参数调整!$K$41*怪物掉落配置方案!$D4476</f>
        <v>0</v>
      </c>
    </row>
    <row r="10633" spans="1:4" ht="16.5" hidden="1" x14ac:dyDescent="0.3">
      <c r="A10633" s="10" t="str">
        <f>基本属性!$B$23&amp;"|"&amp;基本属性!$C$23</f>
        <v>210|13</v>
      </c>
      <c r="B10633" s="10" t="str">
        <f>参数调整!$J$41</f>
        <v>新增怪物种类6掉落</v>
      </c>
      <c r="C10633" s="8" t="str">
        <f>材料产出!$BH$2</f>
        <v>新增材料1</v>
      </c>
      <c r="D10633" s="224">
        <f>参数调整!$K$41*怪物掉落配置方案!$D4477</f>
        <v>0</v>
      </c>
    </row>
    <row r="10634" spans="1:4" ht="16.5" hidden="1" x14ac:dyDescent="0.3">
      <c r="A10634" s="10" t="str">
        <f>基本属性!$B$24&amp;"|"&amp;基本属性!$C$24</f>
        <v>220|14</v>
      </c>
      <c r="B10634" s="10" t="str">
        <f>参数调整!$J$41</f>
        <v>新增怪物种类6掉落</v>
      </c>
      <c r="C10634" s="8" t="str">
        <f>材料产出!$BH$2</f>
        <v>新增材料1</v>
      </c>
      <c r="D10634" s="224">
        <f>参数调整!$K$41*怪物掉落配置方案!$D4478</f>
        <v>0</v>
      </c>
    </row>
    <row r="10635" spans="1:4" ht="16.5" hidden="1" x14ac:dyDescent="0.3">
      <c r="A10635" s="10" t="str">
        <f>基本属性!$B$25&amp;"|"&amp;基本属性!$C$25</f>
        <v>220|15</v>
      </c>
      <c r="B10635" s="10" t="str">
        <f>参数调整!$J$41</f>
        <v>新增怪物种类6掉落</v>
      </c>
      <c r="C10635" s="8" t="str">
        <f>材料产出!$BH$2</f>
        <v>新增材料1</v>
      </c>
      <c r="D10635" s="224">
        <f>参数调整!$K$41*怪物掉落配置方案!$D4479</f>
        <v>0</v>
      </c>
    </row>
    <row r="10636" spans="1:4" ht="16.5" hidden="1" x14ac:dyDescent="0.3">
      <c r="A10636" s="10" t="str">
        <f>基本属性!$B$26&amp;"|"&amp;基本属性!$C$26</f>
        <v>230|16</v>
      </c>
      <c r="B10636" s="10" t="str">
        <f>参数调整!$J$41</f>
        <v>新增怪物种类6掉落</v>
      </c>
      <c r="C10636" s="8" t="str">
        <f>材料产出!$BH$2</f>
        <v>新增材料1</v>
      </c>
      <c r="D10636" s="224">
        <f>参数调整!$K$41*怪物掉落配置方案!$D4480</f>
        <v>0</v>
      </c>
    </row>
    <row r="10637" spans="1:4" ht="16.5" hidden="1" x14ac:dyDescent="0.3">
      <c r="A10637" s="10" t="str">
        <f>基本属性!$B$27&amp;"|"&amp;基本属性!$C$27</f>
        <v>230|17</v>
      </c>
      <c r="B10637" s="10" t="str">
        <f>参数调整!$J$41</f>
        <v>新增怪物种类6掉落</v>
      </c>
      <c r="C10637" s="8" t="str">
        <f>材料产出!$BH$2</f>
        <v>新增材料1</v>
      </c>
      <c r="D10637" s="224">
        <f>参数调整!$K$41*怪物掉落配置方案!$D4481</f>
        <v>0</v>
      </c>
    </row>
    <row r="10638" spans="1:4" ht="16.5" hidden="1" x14ac:dyDescent="0.3">
      <c r="A10638" s="10" t="str">
        <f>基本属性!$B$28&amp;"|"&amp;基本属性!$C$28</f>
        <v>240|18</v>
      </c>
      <c r="B10638" s="10" t="str">
        <f>参数调整!$J$41</f>
        <v>新增怪物种类6掉落</v>
      </c>
      <c r="C10638" s="8" t="str">
        <f>材料产出!$BH$2</f>
        <v>新增材料1</v>
      </c>
      <c r="D10638" s="224">
        <f>参数调整!$K$41*怪物掉落配置方案!$D4482</f>
        <v>0</v>
      </c>
    </row>
    <row r="10639" spans="1:4" ht="16.5" hidden="1" x14ac:dyDescent="0.3">
      <c r="A10639" s="10" t="str">
        <f>基本属性!$B$29&amp;"|"&amp;基本属性!$C$29</f>
        <v>240|19</v>
      </c>
      <c r="B10639" s="10" t="str">
        <f>参数调整!$J$41</f>
        <v>新增怪物种类6掉落</v>
      </c>
      <c r="C10639" s="8" t="str">
        <f>材料产出!$BH$2</f>
        <v>新增材料1</v>
      </c>
      <c r="D10639" s="224">
        <f>参数调整!$K$41*怪物掉落配置方案!$D4483</f>
        <v>0</v>
      </c>
    </row>
    <row r="10640" spans="1:4" ht="16.5" hidden="1" x14ac:dyDescent="0.3">
      <c r="A10640" s="10" t="str">
        <f>基本属性!$B$30&amp;"|"&amp;基本属性!$C$30</f>
        <v>250|20</v>
      </c>
      <c r="B10640" s="10" t="str">
        <f>参数调整!$J$41</f>
        <v>新增怪物种类6掉落</v>
      </c>
      <c r="C10640" s="8" t="str">
        <f>材料产出!$BH$2</f>
        <v>新增材料1</v>
      </c>
      <c r="D10640" s="224">
        <f>参数调整!$K$41*怪物掉落配置方案!$D4484</f>
        <v>0</v>
      </c>
    </row>
    <row r="10641" spans="1:4" ht="16.5" hidden="1" x14ac:dyDescent="0.3">
      <c r="A10641" s="10" t="str">
        <f>基本属性!$B$4&amp;"|"&amp;基本属性!$C$4</f>
        <v>35|0</v>
      </c>
      <c r="B10641" s="10" t="str">
        <f>参数调整!$J$41</f>
        <v>新增怪物种类6掉落</v>
      </c>
      <c r="C10641" s="8" t="str">
        <f>材料产出!$AF$2</f>
        <v>仙品升星石</v>
      </c>
      <c r="D10641" s="224">
        <f>参数调整!$K$41*怪物掉落配置方案!$D4485</f>
        <v>1.3609512785436179E-2</v>
      </c>
    </row>
    <row r="10642" spans="1:4" ht="16.5" hidden="1" x14ac:dyDescent="0.3">
      <c r="A10642" s="10" t="str">
        <f>基本属性!$B$5&amp;"|"&amp;基本属性!$C$5</f>
        <v>40|0</v>
      </c>
      <c r="B10642" s="10" t="str">
        <f>参数调整!$J$41</f>
        <v>新增怪物种类6掉落</v>
      </c>
      <c r="C10642" s="8" t="str">
        <f>材料产出!$AF$2</f>
        <v>仙品升星石</v>
      </c>
      <c r="D10642" s="224">
        <f>参数调整!$K$41*怪物掉落配置方案!$D4486</f>
        <v>1.7224539619067669E-2</v>
      </c>
    </row>
    <row r="10643" spans="1:4" ht="16.5" hidden="1" x14ac:dyDescent="0.3">
      <c r="A10643" s="10" t="str">
        <f>基本属性!$B$6&amp;"|"&amp;基本属性!$C$6</f>
        <v>50|0</v>
      </c>
      <c r="B10643" s="10" t="str">
        <f>参数调整!$J$41</f>
        <v>新增怪物种类6掉落</v>
      </c>
      <c r="C10643" s="8" t="str">
        <f>材料产出!$AF$2</f>
        <v>仙品升星石</v>
      </c>
      <c r="D10643" s="224">
        <f>参数调整!$K$41*怪物掉落配置方案!$D4487</f>
        <v>2.1264863727244031E-2</v>
      </c>
    </row>
    <row r="10644" spans="1:4" ht="16.5" hidden="1" x14ac:dyDescent="0.3">
      <c r="A10644" s="10" t="str">
        <f>基本属性!$B$7&amp;"|"&amp;基本属性!$C$7</f>
        <v>60|0</v>
      </c>
      <c r="B10644" s="10" t="str">
        <f>参数调整!$J$41</f>
        <v>新增怪物种类6掉落</v>
      </c>
      <c r="C10644" s="8" t="str">
        <f>材料产出!$AF$2</f>
        <v>仙品升星石</v>
      </c>
      <c r="D10644" s="224">
        <f>参数调整!$K$41*怪物掉落配置方案!$D4488</f>
        <v>2.5730485109965277E-2</v>
      </c>
    </row>
    <row r="10645" spans="1:4" ht="16.5" hidden="1" x14ac:dyDescent="0.3">
      <c r="A10645" s="10" t="str">
        <f>基本属性!$B$8&amp;"|"&amp;基本属性!$C$8</f>
        <v>65|0</v>
      </c>
      <c r="B10645" s="10" t="str">
        <f>参数调整!$J$41</f>
        <v>新增怪物种类6掉落</v>
      </c>
      <c r="C10645" s="8" t="str">
        <f>材料产出!$AF$2</f>
        <v>仙品升星石</v>
      </c>
      <c r="D10645" s="224">
        <f>参数调整!$K$41*怪物掉落配置方案!$D4489</f>
        <v>3.0621403767231402E-2</v>
      </c>
    </row>
    <row r="10646" spans="1:4" ht="16.5" hidden="1" x14ac:dyDescent="0.3">
      <c r="A10646" s="10" t="str">
        <f>基本属性!$B$9&amp;"|"&amp;基本属性!$C$9</f>
        <v>70|0</v>
      </c>
      <c r="B10646" s="10" t="str">
        <f>参数调整!$J$41</f>
        <v>新增怪物种类6掉落</v>
      </c>
      <c r="C10646" s="8" t="str">
        <f>材料产出!$AF$2</f>
        <v>仙品升星石</v>
      </c>
      <c r="D10646" s="224">
        <f>参数调整!$K$41*怪物掉落配置方案!$D4490</f>
        <v>3.5937619699042411E-2</v>
      </c>
    </row>
    <row r="10647" spans="1:4" ht="16.5" hidden="1" x14ac:dyDescent="0.3">
      <c r="A10647" s="10" t="str">
        <f>基本属性!$B$10&amp;"|"&amp;基本属性!$C$10</f>
        <v>75|0</v>
      </c>
      <c r="B10647" s="10" t="str">
        <f>参数调整!$J$41</f>
        <v>新增怪物种类6掉落</v>
      </c>
      <c r="C10647" s="8" t="str">
        <f>材料产出!$AF$2</f>
        <v>仙品升星石</v>
      </c>
      <c r="D10647" s="224">
        <f>参数调整!$K$41*怪物掉落配置方案!$D4491</f>
        <v>4.1679132905398292E-2</v>
      </c>
    </row>
    <row r="10648" spans="1:4" ht="16.5" hidden="1" x14ac:dyDescent="0.3">
      <c r="A10648" s="10" t="str">
        <f>基本属性!$B$11&amp;"|"&amp;基本属性!$C$11</f>
        <v>80|1</v>
      </c>
      <c r="B10648" s="10" t="str">
        <f>参数调整!$J$41</f>
        <v>新增怪物种类6掉落</v>
      </c>
      <c r="C10648" s="8" t="str">
        <f>材料产出!$AF$2</f>
        <v>仙品升星石</v>
      </c>
      <c r="D10648" s="224">
        <f>参数调整!$K$41*怪物掉落配置方案!$D4492</f>
        <v>4.7845943386299064E-2</v>
      </c>
    </row>
    <row r="10649" spans="1:4" ht="16.5" hidden="1" x14ac:dyDescent="0.3">
      <c r="A10649" s="10" t="str">
        <f>基本属性!$B$12&amp;"|"&amp;基本属性!$C$12</f>
        <v>90|2</v>
      </c>
      <c r="B10649" s="10" t="str">
        <f>参数调整!$J$41</f>
        <v>新增怪物种类6掉落</v>
      </c>
      <c r="C10649" s="8" t="str">
        <f>材料产出!$AF$2</f>
        <v>仙品升星石</v>
      </c>
      <c r="D10649" s="224">
        <f>参数调整!$K$41*怪物掉落配置方案!$D4493</f>
        <v>5.4438051141744728E-2</v>
      </c>
    </row>
    <row r="10650" spans="1:4" ht="16.5" hidden="1" x14ac:dyDescent="0.3">
      <c r="A10650" s="10" t="str">
        <f>基本属性!$B$13&amp;"|"&amp;基本属性!$C$13</f>
        <v>100|3</v>
      </c>
      <c r="B10650" s="10" t="str">
        <f>参数调整!$J$41</f>
        <v>新增怪物种类6掉落</v>
      </c>
      <c r="C10650" s="8" t="str">
        <f>材料产出!$AF$2</f>
        <v>仙品升星石</v>
      </c>
      <c r="D10650" s="224">
        <f>参数调整!$K$41*怪物掉落配置方案!$D4494</f>
        <v>6.8898158476270677E-2</v>
      </c>
    </row>
    <row r="10651" spans="1:4" ht="16.5" hidden="1" x14ac:dyDescent="0.3">
      <c r="A10651" s="10" t="str">
        <f>基本属性!$B$14&amp;"|"&amp;基本属性!$C$14</f>
        <v>105|4</v>
      </c>
      <c r="B10651" s="10" t="str">
        <f>参数调整!$J$41</f>
        <v>新增怪物种类6掉落</v>
      </c>
      <c r="C10651" s="8" t="str">
        <f>材料产出!$AF$2</f>
        <v>仙品升星石</v>
      </c>
      <c r="D10651" s="224">
        <f>参数调整!$K$41*怪物掉落配置方案!$D4495</f>
        <v>8.5059454908976109E-2</v>
      </c>
    </row>
    <row r="10652" spans="1:4" ht="16.5" hidden="1" x14ac:dyDescent="0.3">
      <c r="A10652" s="10" t="str">
        <f>基本属性!$B$15&amp;"|"&amp;基本属性!$C$15</f>
        <v>110|5</v>
      </c>
      <c r="B10652" s="10" t="str">
        <f>参数调整!$J$41</f>
        <v>新增怪物种类6掉落</v>
      </c>
      <c r="C10652" s="8" t="str">
        <f>材料产出!$AF$2</f>
        <v>仙品升星石</v>
      </c>
      <c r="D10652" s="224">
        <f>参数调整!$K$41*怪物掉落配置方案!$D4496</f>
        <v>0.10292194043986111</v>
      </c>
    </row>
    <row r="10653" spans="1:4" ht="16.5" hidden="1" x14ac:dyDescent="0.3">
      <c r="A10653" s="10" t="str">
        <f>基本属性!$B$16&amp;"|"&amp;基本属性!$C$16</f>
        <v>120|6</v>
      </c>
      <c r="B10653" s="10" t="str">
        <f>参数调整!$J$41</f>
        <v>新增怪物种类6掉落</v>
      </c>
      <c r="C10653" s="8" t="str">
        <f>材料产出!$AF$2</f>
        <v>仙品升星石</v>
      </c>
      <c r="D10653" s="224">
        <f>参数调整!$K$41*怪物掉落配置方案!$D4497</f>
        <v>0.1329053982952752</v>
      </c>
    </row>
    <row r="10654" spans="1:4" ht="16.5" hidden="1" x14ac:dyDescent="0.3">
      <c r="A10654" s="10" t="str">
        <f>基本属性!$B$17&amp;"|"&amp;基本属性!$C$17</f>
        <v>135|7</v>
      </c>
      <c r="B10654" s="10" t="str">
        <f>参数调整!$J$41</f>
        <v>新增怪物种类6掉落</v>
      </c>
      <c r="C10654" s="8" t="str">
        <f>材料产出!$AF$2</f>
        <v>仙品升星石</v>
      </c>
      <c r="D10654" s="224">
        <f>参数调整!$K$41*怪物掉落配置方案!$D4498</f>
        <v>0.19138377354519626</v>
      </c>
    </row>
    <row r="10655" spans="1:4" ht="16.5" hidden="1" x14ac:dyDescent="0.3">
      <c r="A10655" s="10" t="str">
        <f>基本属性!$B$18&amp;"|"&amp;基本属性!$C$18</f>
        <v>155|8</v>
      </c>
      <c r="B10655" s="10" t="str">
        <f>参数调整!$J$41</f>
        <v>新增怪物种类6掉落</v>
      </c>
      <c r="C10655" s="8" t="str">
        <f>材料产出!$AF$2</f>
        <v>仙品升星石</v>
      </c>
      <c r="D10655" s="224">
        <f>参数调整!$K$41*怪物掉落配置方案!$D4499</f>
        <v>0.26049458065873943</v>
      </c>
    </row>
    <row r="10656" spans="1:4" ht="16.5" hidden="1" x14ac:dyDescent="0.3">
      <c r="A10656" s="10" t="str">
        <f>基本属性!$B$19&amp;"|"&amp;基本属性!$C$19</f>
        <v>190|9</v>
      </c>
      <c r="B10656" s="10" t="str">
        <f>参数调整!$J$41</f>
        <v>新增怪物种类6掉落</v>
      </c>
      <c r="C10656" s="8" t="str">
        <f>材料产出!$AF$2</f>
        <v>仙品升星石</v>
      </c>
      <c r="D10656" s="224">
        <f>参数调整!$K$41*怪物掉落配置方案!$D4500</f>
        <v>0.29111598442597086</v>
      </c>
    </row>
    <row r="10657" spans="1:4" ht="16.5" hidden="1" x14ac:dyDescent="0.3">
      <c r="A10657" s="10" t="str">
        <f>基本属性!$B$20&amp;"|"&amp;基本属性!$C$20</f>
        <v>200|10</v>
      </c>
      <c r="B10657" s="10" t="str">
        <f>参数调整!$J$41</f>
        <v>新增怪物种类6掉落</v>
      </c>
      <c r="C10657" s="8" t="str">
        <f>材料产出!$AF$2</f>
        <v>仙品升星石</v>
      </c>
      <c r="D10657" s="224">
        <f>参数调整!$K$41*怪物掉落配置方案!$D4501</f>
        <v>0.34023781963590444</v>
      </c>
    </row>
    <row r="10658" spans="1:4" ht="16.5" hidden="1" x14ac:dyDescent="0.3">
      <c r="A10658" s="10" t="str">
        <f>基本属性!$B$21&amp;"|"&amp;基本属性!$C$21</f>
        <v>200|11</v>
      </c>
      <c r="B10658" s="10" t="str">
        <f>参数调整!$J$41</f>
        <v>新增怪物种类6掉落</v>
      </c>
      <c r="C10658" s="8" t="str">
        <f>材料产出!$AF$2</f>
        <v>仙品升星石</v>
      </c>
      <c r="D10658" s="224">
        <f>参数调整!$K$41*怪物掉落配置方案!$D4502</f>
        <v>0.39318733031674202</v>
      </c>
    </row>
    <row r="10659" spans="1:4" ht="16.5" hidden="1" x14ac:dyDescent="0.3">
      <c r="A10659" s="10" t="str">
        <f>基本属性!$B$22&amp;"|"&amp;基本属性!$C$22</f>
        <v>210|12</v>
      </c>
      <c r="B10659" s="10" t="str">
        <f>参数调整!$J$41</f>
        <v>新增怪物种类6掉落</v>
      </c>
      <c r="C10659" s="8" t="str">
        <f>材料产出!$AF$2</f>
        <v>仙品升星石</v>
      </c>
      <c r="D10659" s="224">
        <f>参数调整!$K$41*怪物掉落配置方案!$D4503</f>
        <v>0.44996451646848357</v>
      </c>
    </row>
    <row r="10660" spans="1:4" ht="16.5" hidden="1" x14ac:dyDescent="0.3">
      <c r="A10660" s="10" t="str">
        <f>基本属性!$B$23&amp;"|"&amp;基本属性!$C$23</f>
        <v>210|13</v>
      </c>
      <c r="B10660" s="10" t="str">
        <f>参数调整!$J$41</f>
        <v>新增怪物种类6掉落</v>
      </c>
      <c r="C10660" s="8" t="str">
        <f>材料产出!$AF$2</f>
        <v>仙品升星石</v>
      </c>
      <c r="D10660" s="224">
        <f>参数调整!$K$41*怪物掉落配置方案!$D4504</f>
        <v>0.51056937809112912</v>
      </c>
    </row>
    <row r="10661" spans="1:4" ht="16.5" hidden="1" x14ac:dyDescent="0.3">
      <c r="A10661" s="10" t="str">
        <f>基本属性!$B$24&amp;"|"&amp;基本属性!$C$24</f>
        <v>220|14</v>
      </c>
      <c r="B10661" s="10" t="str">
        <f>参数调整!$J$41</f>
        <v>新增怪物种类6掉落</v>
      </c>
      <c r="C10661" s="8" t="str">
        <f>材料产出!$AF$2</f>
        <v>仙品升星石</v>
      </c>
      <c r="D10661" s="224">
        <f>参数调整!$K$41*怪物掉落配置方案!$D4505</f>
        <v>0.57500191518467858</v>
      </c>
    </row>
    <row r="10662" spans="1:4" ht="16.5" hidden="1" x14ac:dyDescent="0.3">
      <c r="A10662" s="10" t="str">
        <f>基本属性!$B$25&amp;"|"&amp;基本属性!$C$25</f>
        <v>220|15</v>
      </c>
      <c r="B10662" s="10" t="str">
        <f>参数调整!$J$41</f>
        <v>新增怪物种类6掉落</v>
      </c>
      <c r="C10662" s="8" t="str">
        <f>材料产出!$AF$2</f>
        <v>仙品升星石</v>
      </c>
      <c r="D10662" s="224">
        <f>参数调整!$K$41*怪物掉落配置方案!$D4506</f>
        <v>0.64326212774913172</v>
      </c>
    </row>
    <row r="10663" spans="1:4" ht="16.5" hidden="1" x14ac:dyDescent="0.3">
      <c r="A10663" s="10" t="str">
        <f>基本属性!$B$26&amp;"|"&amp;基本属性!$C$26</f>
        <v>230|16</v>
      </c>
      <c r="B10663" s="10" t="str">
        <f>参数调整!$J$41</f>
        <v>新增怪物种类6掉落</v>
      </c>
      <c r="C10663" s="8" t="str">
        <f>材料产出!$AF$2</f>
        <v>仙品升星石</v>
      </c>
      <c r="D10663" s="224">
        <f>参数调整!$K$41*怪物掉落配置方案!$D4507</f>
        <v>0.71535001578448909</v>
      </c>
    </row>
    <row r="10664" spans="1:4" ht="16.5" hidden="1" x14ac:dyDescent="0.3">
      <c r="A10664" s="10" t="str">
        <f>基本属性!$B$27&amp;"|"&amp;基本属性!$C$27</f>
        <v>230|17</v>
      </c>
      <c r="B10664" s="10" t="str">
        <f>参数调整!$J$41</f>
        <v>新增怪物种类6掉落</v>
      </c>
      <c r="C10664" s="8" t="str">
        <f>材料产出!$AF$2</f>
        <v>仙品升星石</v>
      </c>
      <c r="D10664" s="224">
        <f>参数调整!$K$41*怪物掉落配置方案!$D4508</f>
        <v>0.79126557929075025</v>
      </c>
    </row>
    <row r="10665" spans="1:4" ht="16.5" hidden="1" x14ac:dyDescent="0.3">
      <c r="A10665" s="10" t="str">
        <f>基本属性!$B$28&amp;"|"&amp;基本属性!$C$28</f>
        <v>240|18</v>
      </c>
      <c r="B10665" s="10" t="str">
        <f>参数调整!$J$41</f>
        <v>新增怪物种类6掉落</v>
      </c>
      <c r="C10665" s="8" t="str">
        <f>材料产出!$AF$2</f>
        <v>仙品升星石</v>
      </c>
      <c r="D10665" s="224">
        <f>参数调整!$K$41*怪物掉落配置方案!$D4509</f>
        <v>0.87100881826791554</v>
      </c>
    </row>
    <row r="10666" spans="1:4" ht="16.5" hidden="1" x14ac:dyDescent="0.3">
      <c r="A10666" s="10" t="str">
        <f>基本属性!$B$29&amp;"|"&amp;基本属性!$C$29</f>
        <v>240|19</v>
      </c>
      <c r="B10666" s="10" t="str">
        <f>参数调整!$J$41</f>
        <v>新增怪物种类6掉落</v>
      </c>
      <c r="C10666" s="8" t="str">
        <f>材料产出!$AF$2</f>
        <v>仙品升星石</v>
      </c>
      <c r="D10666" s="224">
        <f>参数调整!$K$41*怪物掉落配置方案!$D4510</f>
        <v>0.95457973271598462</v>
      </c>
    </row>
    <row r="10667" spans="1:4" ht="16.5" hidden="1" x14ac:dyDescent="0.3">
      <c r="A10667" s="10" t="str">
        <f>基本属性!$B$30&amp;"|"&amp;基本属性!$C$30</f>
        <v>250|20</v>
      </c>
      <c r="B10667" s="10" t="str">
        <f>参数调整!$J$41</f>
        <v>新增怪物种类6掉落</v>
      </c>
      <c r="C10667" s="8" t="str">
        <f>材料产出!$AF$2</f>
        <v>仙品升星石</v>
      </c>
      <c r="D10667" s="224">
        <f>参数调整!$K$41*怪物掉落配置方案!$D4511</f>
        <v>1.0419783226349573</v>
      </c>
    </row>
    <row r="10668" spans="1:4" ht="16.5" hidden="1" x14ac:dyDescent="0.3">
      <c r="A10668" s="10" t="str">
        <f>基本属性!$B$4&amp;"|"&amp;基本属性!$C$4</f>
        <v>35|0</v>
      </c>
      <c r="B10668" s="10" t="str">
        <f>参数调整!$J$41</f>
        <v>新增怪物种类6掉落</v>
      </c>
      <c r="C10668" s="8" t="str">
        <f>材料产出!$T$2</f>
        <v>洗髓丹</v>
      </c>
      <c r="D10668" s="224">
        <f>参数调整!$K$41*怪物掉落配置方案!$D4512</f>
        <v>3.5444606377789496E-3</v>
      </c>
    </row>
    <row r="10669" spans="1:4" ht="16.5" hidden="1" x14ac:dyDescent="0.3">
      <c r="A10669" s="10" t="str">
        <f>基本属性!$B$5&amp;"|"&amp;基本属性!$C$5</f>
        <v>40|0</v>
      </c>
      <c r="B10669" s="10" t="str">
        <f>参数调整!$J$41</f>
        <v>新增怪物种类6掉落</v>
      </c>
      <c r="C10669" s="8" t="str">
        <f>材料产出!$T$2</f>
        <v>洗髓丹</v>
      </c>
      <c r="D10669" s="224">
        <f>参数调整!$K$41*怪物掉落配置方案!$D4513</f>
        <v>4.4859579946889836E-3</v>
      </c>
    </row>
    <row r="10670" spans="1:4" ht="16.5" hidden="1" x14ac:dyDescent="0.3">
      <c r="A10670" s="10" t="str">
        <f>基本属性!$B$6&amp;"|"&amp;基本属性!$C$6</f>
        <v>50|0</v>
      </c>
      <c r="B10670" s="10" t="str">
        <f>参数调整!$J$41</f>
        <v>新增怪物种类6掉落</v>
      </c>
      <c r="C10670" s="8" t="str">
        <f>材料产出!$T$2</f>
        <v>洗髓丹</v>
      </c>
      <c r="D10670" s="224">
        <f>参数调整!$K$41*怪物掉落配置方案!$D4514</f>
        <v>5.5382197465296086E-3</v>
      </c>
    </row>
    <row r="10671" spans="1:4" ht="16.5" hidden="1" x14ac:dyDescent="0.3">
      <c r="A10671" s="10" t="str">
        <f>基本属性!$B$7&amp;"|"&amp;基本属性!$C$7</f>
        <v>60|0</v>
      </c>
      <c r="B10671" s="10" t="str">
        <f>参数调整!$J$41</f>
        <v>新增怪物种类6掉落</v>
      </c>
      <c r="C10671" s="8" t="str">
        <f>材料产出!$T$2</f>
        <v>洗髓丹</v>
      </c>
      <c r="D10671" s="224">
        <f>参数调整!$K$41*怪物掉落配置方案!$D4515</f>
        <v>6.701245893300828E-3</v>
      </c>
    </row>
    <row r="10672" spans="1:4" ht="16.5" hidden="1" x14ac:dyDescent="0.3">
      <c r="A10672" s="10" t="str">
        <f>基本属性!$B$8&amp;"|"&amp;基本属性!$C$8</f>
        <v>65|0</v>
      </c>
      <c r="B10672" s="10" t="str">
        <f>参数调整!$J$41</f>
        <v>新增怪物种类6掉落</v>
      </c>
      <c r="C10672" s="8" t="str">
        <f>材料产出!$T$2</f>
        <v>洗髓丹</v>
      </c>
      <c r="D10672" s="224">
        <f>参数调整!$K$41*怪物掉落配置方案!$D4516</f>
        <v>7.9750364350026377E-3</v>
      </c>
    </row>
    <row r="10673" spans="1:4" ht="16.5" hidden="1" x14ac:dyDescent="0.3">
      <c r="A10673" s="10" t="str">
        <f>基本属性!$B$9&amp;"|"&amp;基本属性!$C$9</f>
        <v>70|0</v>
      </c>
      <c r="B10673" s="10" t="str">
        <f>参数调整!$J$41</f>
        <v>新增怪物种类6掉落</v>
      </c>
      <c r="C10673" s="8" t="str">
        <f>材料产出!$T$2</f>
        <v>洗髓丹</v>
      </c>
      <c r="D10673" s="224">
        <f>参数调整!$K$41*怪物掉落配置方案!$D4517</f>
        <v>9.3595913716350392E-3</v>
      </c>
    </row>
    <row r="10674" spans="1:4" ht="16.5" hidden="1" x14ac:dyDescent="0.3">
      <c r="A10674" s="10" t="str">
        <f>基本属性!$B$10&amp;"|"&amp;基本属性!$C$10</f>
        <v>75|0</v>
      </c>
      <c r="B10674" s="10" t="str">
        <f>参数调整!$J$41</f>
        <v>新增怪物种类6掉落</v>
      </c>
      <c r="C10674" s="8" t="str">
        <f>材料产出!$T$2</f>
        <v>洗髓丹</v>
      </c>
      <c r="D10674" s="224">
        <f>参数调整!$K$41*怪物掉落配置方案!$D4518</f>
        <v>1.0854910703198033E-2</v>
      </c>
    </row>
    <row r="10675" spans="1:4" ht="16.5" hidden="1" x14ac:dyDescent="0.3">
      <c r="A10675" s="10" t="str">
        <f>基本属性!$B$11&amp;"|"&amp;基本属性!$C$11</f>
        <v>80|1</v>
      </c>
      <c r="B10675" s="10" t="str">
        <f>参数调整!$J$41</f>
        <v>新增怪物种类6掉落</v>
      </c>
      <c r="C10675" s="8" t="str">
        <f>材料产出!$T$2</f>
        <v>洗髓丹</v>
      </c>
      <c r="D10675" s="224">
        <f>参数调整!$K$41*怪物掉落配置方案!$D4519</f>
        <v>1.2460994429691622E-2</v>
      </c>
    </row>
    <row r="10676" spans="1:4" ht="16.5" hidden="1" x14ac:dyDescent="0.3">
      <c r="A10676" s="10" t="str">
        <f>基本属性!$B$12&amp;"|"&amp;基本属性!$C$12</f>
        <v>90|2</v>
      </c>
      <c r="B10676" s="10" t="str">
        <f>参数调整!$J$41</f>
        <v>新增怪物种类6掉落</v>
      </c>
      <c r="C10676" s="8" t="str">
        <f>材料产出!$T$2</f>
        <v>洗髓丹</v>
      </c>
      <c r="D10676" s="224">
        <f>参数调整!$K$41*怪物掉落配置方案!$D4520</f>
        <v>1.4177842551115802E-2</v>
      </c>
    </row>
    <row r="10677" spans="1:4" ht="16.5" hidden="1" x14ac:dyDescent="0.3">
      <c r="A10677" s="10" t="str">
        <f>基本属性!$B$13&amp;"|"&amp;基本属性!$C$13</f>
        <v>100|3</v>
      </c>
      <c r="B10677" s="10" t="str">
        <f>参数调整!$J$41</f>
        <v>新增怪物种类6掉落</v>
      </c>
      <c r="C10677" s="8" t="str">
        <f>材料产出!$T$2</f>
        <v>洗髓丹</v>
      </c>
      <c r="D10677" s="224">
        <f>参数调整!$K$41*怪物掉落配置方案!$D4521</f>
        <v>1.7943831978755938E-2</v>
      </c>
    </row>
    <row r="10678" spans="1:4" ht="16.5" hidden="1" x14ac:dyDescent="0.3">
      <c r="A10678" s="10" t="str">
        <f>基本属性!$B$14&amp;"|"&amp;基本属性!$C$14</f>
        <v>105|4</v>
      </c>
      <c r="B10678" s="10" t="str">
        <f>参数调整!$J$41</f>
        <v>新增怪物种类6掉落</v>
      </c>
      <c r="C10678" s="8" t="str">
        <f>材料产出!$T$2</f>
        <v>洗髓丹</v>
      </c>
      <c r="D10678" s="224">
        <f>参数调整!$K$41*怪物掉落配置方案!$D4522</f>
        <v>2.2152878986118434E-2</v>
      </c>
    </row>
    <row r="10679" spans="1:4" ht="16.5" hidden="1" x14ac:dyDescent="0.3">
      <c r="A10679" s="10" t="str">
        <f>基本属性!$B$15&amp;"|"&amp;基本属性!$C$15</f>
        <v>110|5</v>
      </c>
      <c r="B10679" s="10" t="str">
        <f>参数调整!$J$41</f>
        <v>新增怪物种类6掉落</v>
      </c>
      <c r="C10679" s="8" t="str">
        <f>材料产出!$T$2</f>
        <v>洗髓丹</v>
      </c>
      <c r="D10679" s="224">
        <f>参数调整!$K$41*怪物掉落配置方案!$D4523</f>
        <v>2.6804983573203312E-2</v>
      </c>
    </row>
    <row r="10680" spans="1:4" ht="16.5" hidden="1" x14ac:dyDescent="0.3">
      <c r="A10680" s="10" t="str">
        <f>基本属性!$B$16&amp;"|"&amp;基本属性!$C$16</f>
        <v>120|6</v>
      </c>
      <c r="B10680" s="10" t="str">
        <f>参数调整!$J$41</f>
        <v>新增怪物种类6掉落</v>
      </c>
      <c r="C10680" s="8" t="str">
        <f>材料产出!$T$2</f>
        <v>洗髓丹</v>
      </c>
      <c r="D10680" s="224">
        <f>参数调整!$K$41*怪物掉落配置方案!$D4524</f>
        <v>3.4613873415810056E-2</v>
      </c>
    </row>
    <row r="10681" spans="1:4" ht="16.5" hidden="1" x14ac:dyDescent="0.3">
      <c r="A10681" s="10" t="str">
        <f>基本属性!$B$17&amp;"|"&amp;基本属性!$C$17</f>
        <v>135|7</v>
      </c>
      <c r="B10681" s="10" t="str">
        <f>参数调整!$J$41</f>
        <v>新增怪物种类6掉落</v>
      </c>
      <c r="C10681" s="8" t="str">
        <f>材料产出!$T$2</f>
        <v>洗髓丹</v>
      </c>
      <c r="D10681" s="224">
        <f>参数调整!$K$41*怪物掉落配置方案!$D4525</f>
        <v>4.9843977718766488E-2</v>
      </c>
    </row>
    <row r="10682" spans="1:4" ht="16.5" hidden="1" x14ac:dyDescent="0.3">
      <c r="A10682" s="10" t="str">
        <f>基本属性!$B$18&amp;"|"&amp;基本属性!$C$18</f>
        <v>155|8</v>
      </c>
      <c r="B10682" s="10" t="str">
        <f>参数调整!$J$41</f>
        <v>新增怪物种类6掉落</v>
      </c>
      <c r="C10682" s="8" t="str">
        <f>材料产出!$T$2</f>
        <v>洗髓丹</v>
      </c>
      <c r="D10682" s="224">
        <f>参数调整!$K$41*怪物掉落配置方案!$D4526</f>
        <v>6.784319189498772E-2</v>
      </c>
    </row>
    <row r="10683" spans="1:4" ht="16.5" hidden="1" x14ac:dyDescent="0.3">
      <c r="A10683" s="10" t="str">
        <f>基本属性!$B$19&amp;"|"&amp;基本属性!$C$19</f>
        <v>190|9</v>
      </c>
      <c r="B10683" s="10" t="str">
        <f>参数调整!$J$41</f>
        <v>新增怪物种类6掉落</v>
      </c>
      <c r="C10683" s="8" t="str">
        <f>材料产出!$T$2</f>
        <v>洗髓丹</v>
      </c>
      <c r="D10683" s="224">
        <f>参数调整!$K$41*怪物掉落配置方案!$D4527</f>
        <v>7.5818228329990356E-2</v>
      </c>
    </row>
    <row r="10684" spans="1:4" ht="16.5" hidden="1" x14ac:dyDescent="0.3">
      <c r="A10684" s="10" t="str">
        <f>基本属性!$B$20&amp;"|"&amp;基本属性!$C$20</f>
        <v>200|10</v>
      </c>
      <c r="B10684" s="10" t="str">
        <f>参数调整!$J$41</f>
        <v>新增怪物种类6掉落</v>
      </c>
      <c r="C10684" s="8" t="str">
        <f>材料产出!$T$2</f>
        <v>洗髓丹</v>
      </c>
      <c r="D10684" s="224">
        <f>参数调整!$K$41*怪物掉落配置方案!$D4528</f>
        <v>8.8611515944473737E-2</v>
      </c>
    </row>
    <row r="10685" spans="1:4" ht="16.5" hidden="1" x14ac:dyDescent="0.3">
      <c r="A10685" s="10" t="str">
        <f>基本属性!$B$21&amp;"|"&amp;基本属性!$C$21</f>
        <v>200|11</v>
      </c>
      <c r="B10685" s="10" t="str">
        <f>参数调整!$J$41</f>
        <v>新增怪物种类6掉落</v>
      </c>
      <c r="C10685" s="8" t="str">
        <f>材料产出!$T$2</f>
        <v>洗髓丹</v>
      </c>
      <c r="D10685" s="224">
        <f>参数调整!$K$41*怪物掉落配置方案!$D4529</f>
        <v>0.10240168311333245</v>
      </c>
    </row>
    <row r="10686" spans="1:4" ht="16.5" hidden="1" x14ac:dyDescent="0.3">
      <c r="A10686" s="10" t="str">
        <f>基本属性!$B$22&amp;"|"&amp;基本属性!$C$22</f>
        <v>210|12</v>
      </c>
      <c r="B10686" s="10" t="str">
        <f>参数调整!$J$41</f>
        <v>新增怪物种类6掉落</v>
      </c>
      <c r="C10686" s="8" t="str">
        <f>材料产出!$T$2</f>
        <v>洗髓丹</v>
      </c>
      <c r="D10686" s="224">
        <f>参数调整!$K$41*怪物掉落配置方案!$D4530</f>
        <v>0.1171887298365665</v>
      </c>
    </row>
    <row r="10687" spans="1:4" ht="16.5" hidden="1" x14ac:dyDescent="0.3">
      <c r="A10687" s="10" t="str">
        <f>基本属性!$B$23&amp;"|"&amp;基本属性!$C$23</f>
        <v>210|13</v>
      </c>
      <c r="B10687" s="10" t="str">
        <f>参数调整!$J$41</f>
        <v>新增怪物种类6掉落</v>
      </c>
      <c r="C10687" s="8" t="str">
        <f>材料产出!$T$2</f>
        <v>洗髓丹</v>
      </c>
      <c r="D10687" s="224">
        <f>参数调整!$K$41*怪物掉落配置方案!$D4531</f>
        <v>0.13297265611417594</v>
      </c>
    </row>
    <row r="10688" spans="1:4" ht="16.5" hidden="1" x14ac:dyDescent="0.3">
      <c r="A10688" s="10" t="str">
        <f>基本属性!$B$24&amp;"|"&amp;基本属性!$C$24</f>
        <v>220|14</v>
      </c>
      <c r="B10688" s="10" t="str">
        <f>参数调整!$J$41</f>
        <v>新增怪物种类6掉落</v>
      </c>
      <c r="C10688" s="8" t="str">
        <f>材料产出!$T$2</f>
        <v>洗髓丹</v>
      </c>
      <c r="D10688" s="224">
        <f>参数调整!$K$41*怪物掉落配置方案!$D4532</f>
        <v>0.14975346194616063</v>
      </c>
    </row>
    <row r="10689" spans="1:4" ht="16.5" hidden="1" x14ac:dyDescent="0.3">
      <c r="A10689" s="10" t="str">
        <f>基本属性!$B$25&amp;"|"&amp;基本属性!$C$25</f>
        <v>220|15</v>
      </c>
      <c r="B10689" s="10" t="str">
        <f>参数调整!$J$41</f>
        <v>新增怪物种类6掉落</v>
      </c>
      <c r="C10689" s="8" t="str">
        <f>材料产出!$T$2</f>
        <v>洗髓丹</v>
      </c>
      <c r="D10689" s="224">
        <f>参数调整!$K$41*怪物掉落配置方案!$D4533</f>
        <v>0.16753114733252067</v>
      </c>
    </row>
    <row r="10690" spans="1:4" ht="16.5" hidden="1" x14ac:dyDescent="0.3">
      <c r="A10690" s="10" t="str">
        <f>基本属性!$B$26&amp;"|"&amp;基本属性!$C$26</f>
        <v>230|16</v>
      </c>
      <c r="B10690" s="10" t="str">
        <f>参数调整!$J$41</f>
        <v>新增怪物种类6掉落</v>
      </c>
      <c r="C10690" s="8" t="str">
        <f>材料产出!$T$2</f>
        <v>洗髓丹</v>
      </c>
      <c r="D10690" s="224">
        <f>参数调整!$K$41*怪物掉落配置方案!$D4534</f>
        <v>0.18630571227325604</v>
      </c>
    </row>
    <row r="10691" spans="1:4" ht="16.5" hidden="1" x14ac:dyDescent="0.3">
      <c r="A10691" s="10" t="str">
        <f>基本属性!$B$27&amp;"|"&amp;基本属性!$C$27</f>
        <v>230|17</v>
      </c>
      <c r="B10691" s="10" t="str">
        <f>参数调整!$J$41</f>
        <v>新增怪物种类6掉落</v>
      </c>
      <c r="C10691" s="8" t="str">
        <f>材料产出!$T$2</f>
        <v>洗髓丹</v>
      </c>
      <c r="D10691" s="224">
        <f>参数调整!$K$41*怪物掉落配置方案!$D4535</f>
        <v>0.20607715676836674</v>
      </c>
    </row>
    <row r="10692" spans="1:4" ht="16.5" hidden="1" x14ac:dyDescent="0.3">
      <c r="A10692" s="10" t="str">
        <f>基本属性!$B$28&amp;"|"&amp;基本属性!$C$28</f>
        <v>240|18</v>
      </c>
      <c r="B10692" s="10" t="str">
        <f>参数调整!$J$41</f>
        <v>新增怪物种类6掉落</v>
      </c>
      <c r="C10692" s="8" t="str">
        <f>材料产出!$T$2</f>
        <v>洗髓丹</v>
      </c>
      <c r="D10692" s="224">
        <f>参数调整!$K$41*怪物掉落配置方案!$D4536</f>
        <v>0.22684548081785283</v>
      </c>
    </row>
    <row r="10693" spans="1:4" ht="16.5" hidden="1" x14ac:dyDescent="0.3">
      <c r="A10693" s="10" t="str">
        <f>基本属性!$B$29&amp;"|"&amp;基本属性!$C$29</f>
        <v>240|19</v>
      </c>
      <c r="B10693" s="10" t="str">
        <f>参数调整!$J$41</f>
        <v>新增怪物种类6掉落</v>
      </c>
      <c r="C10693" s="8" t="str">
        <f>材料产出!$T$2</f>
        <v>洗髓丹</v>
      </c>
      <c r="D10693" s="224">
        <f>参数调整!$K$41*怪物掉落配置方案!$D4537</f>
        <v>0.24861068442171419</v>
      </c>
    </row>
    <row r="10694" spans="1:4" ht="16.5" hidden="1" x14ac:dyDescent="0.3">
      <c r="A10694" s="10" t="str">
        <f>基本属性!$B$30&amp;"|"&amp;基本属性!$C$30</f>
        <v>250|20</v>
      </c>
      <c r="B10694" s="10" t="str">
        <f>参数调整!$J$41</f>
        <v>新增怪物种类6掉落</v>
      </c>
      <c r="C10694" s="8" t="str">
        <f>材料产出!$T$2</f>
        <v>洗髓丹</v>
      </c>
      <c r="D10694" s="224">
        <f>参数调整!$K$41*怪物掉落配置方案!$D4538</f>
        <v>0.27137276757995082</v>
      </c>
    </row>
    <row r="10695" spans="1:4" ht="16.5" hidden="1" x14ac:dyDescent="0.3">
      <c r="A10695" s="10" t="str">
        <f>基本属性!$B$4&amp;"|"&amp;基本属性!$C$4</f>
        <v>35|0</v>
      </c>
      <c r="B10695" s="10" t="str">
        <f>参数调整!$J$41</f>
        <v>新增怪物种类6掉落</v>
      </c>
      <c r="C10695" s="8" t="str">
        <f>材料产出!$AZ$2</f>
        <v>武器碎片</v>
      </c>
      <c r="D10695" s="224">
        <f>参数调整!$K$41*怪物掉落配置方案!$D4539</f>
        <v>4.8700183250339725E-5</v>
      </c>
    </row>
    <row r="10696" spans="1:4" ht="16.5" hidden="1" x14ac:dyDescent="0.3">
      <c r="A10696" s="10" t="str">
        <f>基本属性!$B$5&amp;"|"&amp;基本属性!$C$5</f>
        <v>40|0</v>
      </c>
      <c r="B10696" s="10" t="str">
        <f>参数调整!$J$41</f>
        <v>新增怪物种类6掉落</v>
      </c>
      <c r="C10696" s="8" t="str">
        <f>材料产出!$AZ$2</f>
        <v>武器碎片</v>
      </c>
      <c r="D10696" s="224">
        <f>参数调整!$K$41*怪物掉落配置方案!$D4540</f>
        <v>6.163616942621121E-5</v>
      </c>
    </row>
    <row r="10697" spans="1:4" ht="16.5" hidden="1" x14ac:dyDescent="0.3">
      <c r="A10697" s="10" t="str">
        <f>基本属性!$B$6&amp;"|"&amp;基本属性!$C$6</f>
        <v>50|0</v>
      </c>
      <c r="B10697" s="10" t="str">
        <f>参数调整!$J$41</f>
        <v>新增怪物种类6掉落</v>
      </c>
      <c r="C10697" s="8" t="str">
        <f>材料产出!$AZ$2</f>
        <v>武器碎片</v>
      </c>
      <c r="D10697" s="224">
        <f>参数调整!$K$41*怪物掉落配置方案!$D4541</f>
        <v>7.609403632865583E-5</v>
      </c>
    </row>
    <row r="10698" spans="1:4" ht="16.5" hidden="1" x14ac:dyDescent="0.3">
      <c r="A10698" s="10" t="str">
        <f>基本属性!$B$7&amp;"|"&amp;基本属性!$C$7</f>
        <v>60|0</v>
      </c>
      <c r="B10698" s="10" t="str">
        <f>参数调整!$J$41</f>
        <v>新增怪物种类6掉落</v>
      </c>
      <c r="C10698" s="8" t="str">
        <f>材料产出!$AZ$2</f>
        <v>武器碎片</v>
      </c>
      <c r="D10698" s="224">
        <f>参数调整!$K$41*怪物掉落配置方案!$D4542</f>
        <v>9.2073783957673542E-5</v>
      </c>
    </row>
    <row r="10699" spans="1:4" ht="16.5" hidden="1" x14ac:dyDescent="0.3">
      <c r="A10699" s="10" t="str">
        <f>基本属性!$B$8&amp;"|"&amp;基本属性!$C$8</f>
        <v>65|0</v>
      </c>
      <c r="B10699" s="10" t="str">
        <f>参数调整!$J$41</f>
        <v>新增怪物种类6掉落</v>
      </c>
      <c r="C10699" s="8" t="str">
        <f>材料产出!$AZ$2</f>
        <v>武器碎片</v>
      </c>
      <c r="D10699" s="224">
        <f>参数调整!$K$41*怪物掉落配置方案!$D4543</f>
        <v>1.0957541231326439E-4</v>
      </c>
    </row>
    <row r="10700" spans="1:4" ht="16.5" hidden="1" x14ac:dyDescent="0.3">
      <c r="A10700" s="10" t="str">
        <f>基本属性!$B$9&amp;"|"&amp;基本属性!$C$9</f>
        <v>70|0</v>
      </c>
      <c r="B10700" s="10" t="str">
        <f>参数调整!$J$41</f>
        <v>新增怪物种类6掉落</v>
      </c>
      <c r="C10700" s="8" t="str">
        <f>材料产出!$AZ$2</f>
        <v>武器碎片</v>
      </c>
      <c r="D10700" s="224">
        <f>参数调整!$K$41*怪物掉落配置方案!$D4544</f>
        <v>1.2859892139542833E-4</v>
      </c>
    </row>
    <row r="10701" spans="1:4" ht="16.5" hidden="1" x14ac:dyDescent="0.3">
      <c r="A10701" s="10" t="str">
        <f>基本属性!$B$10&amp;"|"&amp;基本属性!$C$10</f>
        <v>75|0</v>
      </c>
      <c r="B10701" s="10" t="str">
        <f>参数调整!$J$41</f>
        <v>新增怪物种类6掉落</v>
      </c>
      <c r="C10701" s="8" t="str">
        <f>材料产出!$AZ$2</f>
        <v>武器碎片</v>
      </c>
      <c r="D10701" s="224">
        <f>参数调整!$K$41*怪物掉落配置方案!$D4545</f>
        <v>1.4914431120416539E-4</v>
      </c>
    </row>
    <row r="10702" spans="1:4" ht="16.5" hidden="1" x14ac:dyDescent="0.3">
      <c r="A10702" s="10" t="str">
        <f>基本属性!$B$11&amp;"|"&amp;基本属性!$C$11</f>
        <v>80|1</v>
      </c>
      <c r="B10702" s="10" t="str">
        <f>参数调整!$J$41</f>
        <v>新增怪物种类6掉落</v>
      </c>
      <c r="C10702" s="8" t="str">
        <f>材料产出!$AZ$2</f>
        <v>武器碎片</v>
      </c>
      <c r="D10702" s="224">
        <f>参数调整!$K$41*怪物掉落配置方案!$D4546</f>
        <v>1.712115817394756E-4</v>
      </c>
    </row>
    <row r="10703" spans="1:4" ht="16.5" hidden="1" x14ac:dyDescent="0.3">
      <c r="A10703" s="10" t="str">
        <f>基本属性!$B$12&amp;"|"&amp;基本属性!$C$12</f>
        <v>90|2</v>
      </c>
      <c r="B10703" s="10" t="str">
        <f>参数调整!$J$41</f>
        <v>新增怪物种类6掉落</v>
      </c>
      <c r="C10703" s="8" t="str">
        <f>材料产出!$AZ$2</f>
        <v>武器碎片</v>
      </c>
      <c r="D10703" s="224">
        <f>参数调整!$K$41*怪物掉落配置方案!$D4547</f>
        <v>1.9480073300135896E-4</v>
      </c>
    </row>
    <row r="10704" spans="1:4" ht="16.5" hidden="1" x14ac:dyDescent="0.3">
      <c r="A10704" s="10" t="str">
        <f>基本属性!$B$13&amp;"|"&amp;基本属性!$C$13</f>
        <v>100|3</v>
      </c>
      <c r="B10704" s="10" t="str">
        <f>参数调整!$J$41</f>
        <v>新增怪物种类6掉落</v>
      </c>
      <c r="C10704" s="8" t="str">
        <f>材料产出!$AZ$2</f>
        <v>武器碎片</v>
      </c>
      <c r="D10704" s="224">
        <f>参数调整!$K$41*怪物掉落配置方案!$D4548</f>
        <v>2.465446777048449E-4</v>
      </c>
    </row>
    <row r="10705" spans="1:4" ht="16.5" hidden="1" x14ac:dyDescent="0.3">
      <c r="A10705" s="10" t="str">
        <f>基本属性!$B$14&amp;"|"&amp;基本属性!$C$14</f>
        <v>105|4</v>
      </c>
      <c r="B10705" s="10" t="str">
        <f>参数调整!$J$41</f>
        <v>新增怪物种类6掉落</v>
      </c>
      <c r="C10705" s="8" t="str">
        <f>材料产出!$AZ$2</f>
        <v>武器碎片</v>
      </c>
      <c r="D10705" s="224">
        <f>参数调整!$K$41*怪物掉落配置方案!$D4549</f>
        <v>3.0437614531462332E-4</v>
      </c>
    </row>
    <row r="10706" spans="1:4" ht="16.5" hidden="1" x14ac:dyDescent="0.3">
      <c r="A10706" s="10" t="str">
        <f>基本属性!$B$15&amp;"|"&amp;基本属性!$C$15</f>
        <v>110|5</v>
      </c>
      <c r="B10706" s="10" t="str">
        <f>参数调整!$J$41</f>
        <v>新增怪物种类6掉落</v>
      </c>
      <c r="C10706" s="8" t="str">
        <f>材料产出!$AZ$2</f>
        <v>武器碎片</v>
      </c>
      <c r="D10706" s="224">
        <f>参数调整!$K$41*怪物掉落配置方案!$D4550</f>
        <v>3.6829513583069428E-4</v>
      </c>
    </row>
    <row r="10707" spans="1:4" ht="16.5" hidden="1" x14ac:dyDescent="0.3">
      <c r="A10707" s="10" t="str">
        <f>基本属性!$B$16&amp;"|"&amp;基本属性!$C$16</f>
        <v>120|6</v>
      </c>
      <c r="B10707" s="10" t="str">
        <f>参数调整!$J$41</f>
        <v>新增怪物种类6掉落</v>
      </c>
      <c r="C10707" s="8" t="str">
        <f>材料产出!$AZ$2</f>
        <v>武器碎片</v>
      </c>
      <c r="D10707" s="224">
        <f>参数调整!$K$41*怪物掉落配置方案!$D4551</f>
        <v>4.7558772705409897E-4</v>
      </c>
    </row>
    <row r="10708" spans="1:4" ht="16.5" hidden="1" x14ac:dyDescent="0.3">
      <c r="A10708" s="10" t="str">
        <f>基本属性!$B$17&amp;"|"&amp;基本属性!$C$17</f>
        <v>135|7</v>
      </c>
      <c r="B10708" s="10" t="str">
        <f>参数调整!$J$41</f>
        <v>新增怪物种类6掉落</v>
      </c>
      <c r="C10708" s="8" t="str">
        <f>材料产出!$AZ$2</f>
        <v>武器碎片</v>
      </c>
      <c r="D10708" s="224">
        <f>参数调整!$K$41*怪物掉落配置方案!$D4552</f>
        <v>6.848463269579024E-4</v>
      </c>
    </row>
    <row r="10709" spans="1:4" ht="16.5" hidden="1" x14ac:dyDescent="0.3">
      <c r="A10709" s="10" t="str">
        <f>基本属性!$B$18&amp;"|"&amp;基本属性!$C$18</f>
        <v>155|8</v>
      </c>
      <c r="B10709" s="10" t="str">
        <f>参数调整!$J$41</f>
        <v>新增怪物种类6掉落</v>
      </c>
      <c r="C10709" s="8" t="str">
        <f>材料产出!$AZ$2</f>
        <v>武器碎片</v>
      </c>
      <c r="D10709" s="224">
        <f>参数调整!$K$41*怪物掉落配置方案!$D4553</f>
        <v>9.3215194502603387E-4</v>
      </c>
    </row>
    <row r="10710" spans="1:4" ht="16.5" hidden="1" x14ac:dyDescent="0.3">
      <c r="A10710" s="10" t="str">
        <f>基本属性!$B$19&amp;"|"&amp;基本属性!$C$19</f>
        <v>190|9</v>
      </c>
      <c r="B10710" s="10" t="str">
        <f>参数调整!$J$41</f>
        <v>新增怪物种类6掉落</v>
      </c>
      <c r="C10710" s="8" t="str">
        <f>材料产出!$AZ$2</f>
        <v>武器碎片</v>
      </c>
      <c r="D10710" s="224">
        <f>参数调整!$K$41*怪物掉落配置方案!$D4554</f>
        <v>1.0417273573392982E-3</v>
      </c>
    </row>
    <row r="10711" spans="1:4" ht="16.5" hidden="1" x14ac:dyDescent="0.3">
      <c r="A10711" s="10" t="str">
        <f>基本属性!$B$20&amp;"|"&amp;基本属性!$C$20</f>
        <v>200|10</v>
      </c>
      <c r="B10711" s="10" t="str">
        <f>参数调整!$J$41</f>
        <v>新增怪物种类6掉落</v>
      </c>
      <c r="C10711" s="8" t="str">
        <f>材料产出!$AZ$2</f>
        <v>武器碎片</v>
      </c>
      <c r="D10711" s="224">
        <f>参数调整!$K$41*怪物掉落配置方案!$D4555</f>
        <v>1.2175045812584933E-3</v>
      </c>
    </row>
    <row r="10712" spans="1:4" ht="16.5" hidden="1" x14ac:dyDescent="0.3">
      <c r="A10712" s="10" t="str">
        <f>基本属性!$B$21&amp;"|"&amp;基本属性!$C$21</f>
        <v>200|11</v>
      </c>
      <c r="B10712" s="10" t="str">
        <f>参数调整!$J$41</f>
        <v>新增怪物种类6掉落</v>
      </c>
      <c r="C10712" s="8" t="str">
        <f>材料产出!$AZ$2</f>
        <v>武器碎片</v>
      </c>
      <c r="D10712" s="224">
        <f>参数调整!$K$41*怪物掉落配置方案!$D4556</f>
        <v>1.4069787317168457E-3</v>
      </c>
    </row>
    <row r="10713" spans="1:4" ht="16.5" hidden="1" x14ac:dyDescent="0.3">
      <c r="A10713" s="10" t="str">
        <f>基本属性!$B$22&amp;"|"&amp;基本属性!$C$22</f>
        <v>210|12</v>
      </c>
      <c r="B10713" s="10" t="str">
        <f>参数调整!$J$41</f>
        <v>新增怪物种类6掉落</v>
      </c>
      <c r="C10713" s="8" t="str">
        <f>材料产出!$AZ$2</f>
        <v>武器碎片</v>
      </c>
      <c r="D10713" s="224">
        <f>参数调整!$K$41*怪物掉落配置方案!$D4557</f>
        <v>1.6101498087143567E-3</v>
      </c>
    </row>
    <row r="10714" spans="1:4" ht="16.5" hidden="1" x14ac:dyDescent="0.3">
      <c r="A10714" s="10" t="str">
        <f>基本属性!$B$23&amp;"|"&amp;基本属性!$C$23</f>
        <v>210|13</v>
      </c>
      <c r="B10714" s="10" t="str">
        <f>参数调整!$J$41</f>
        <v>新增怪物种类6掉落</v>
      </c>
      <c r="C10714" s="8" t="str">
        <f>材料产出!$AZ$2</f>
        <v>武器碎片</v>
      </c>
      <c r="D10714" s="224">
        <f>参数调整!$K$41*怪物掉落配置方案!$D4558</f>
        <v>1.8270178122510266E-3</v>
      </c>
    </row>
    <row r="10715" spans="1:4" ht="16.5" hidden="1" x14ac:dyDescent="0.3">
      <c r="A10715" s="10" t="str">
        <f>基本属性!$B$24&amp;"|"&amp;基本属性!$C$24</f>
        <v>220|14</v>
      </c>
      <c r="B10715" s="10" t="str">
        <f>参数调整!$J$41</f>
        <v>新增怪物种类6掉落</v>
      </c>
      <c r="C10715" s="8" t="str">
        <f>材料产出!$AZ$2</f>
        <v>武器碎片</v>
      </c>
      <c r="D10715" s="224">
        <f>参数调整!$K$41*怪物掉落配置方案!$D4559</f>
        <v>2.0575827423268533E-3</v>
      </c>
    </row>
    <row r="10716" spans="1:4" ht="16.5" hidden="1" x14ac:dyDescent="0.3">
      <c r="A10716" s="10" t="str">
        <f>基本属性!$B$25&amp;"|"&amp;基本属性!$C$25</f>
        <v>220|15</v>
      </c>
      <c r="B10716" s="10" t="str">
        <f>参数调整!$J$41</f>
        <v>新增怪物种类6掉落</v>
      </c>
      <c r="C10716" s="8" t="str">
        <f>材料产出!$AZ$2</f>
        <v>武器碎片</v>
      </c>
      <c r="D10716" s="224">
        <f>参数调整!$K$41*怪物掉落配置方案!$D4560</f>
        <v>2.3018445989418379E-3</v>
      </c>
    </row>
    <row r="10717" spans="1:4" ht="16.5" hidden="1" x14ac:dyDescent="0.3">
      <c r="A10717" s="10" t="str">
        <f>基本属性!$B$26&amp;"|"&amp;基本属性!$C$26</f>
        <v>230|16</v>
      </c>
      <c r="B10717" s="10" t="str">
        <f>参数调整!$J$41</f>
        <v>新增怪物种类6掉落</v>
      </c>
      <c r="C10717" s="8" t="str">
        <f>材料产出!$AZ$2</f>
        <v>武器碎片</v>
      </c>
      <c r="D10717" s="224">
        <f>参数调整!$K$41*怪物掉落配置方案!$D4561</f>
        <v>2.5598033820959814E-3</v>
      </c>
    </row>
    <row r="10718" spans="1:4" ht="16.5" hidden="1" x14ac:dyDescent="0.3">
      <c r="A10718" s="10" t="str">
        <f>基本属性!$B$27&amp;"|"&amp;基本属性!$C$27</f>
        <v>230|17</v>
      </c>
      <c r="B10718" s="10" t="str">
        <f>参数调整!$J$41</f>
        <v>新增怪物种类6掉落</v>
      </c>
      <c r="C10718" s="8" t="str">
        <f>材料产出!$AZ$2</f>
        <v>武器碎片</v>
      </c>
      <c r="D10718" s="224">
        <f>参数调整!$K$41*怪物掉落配置方案!$D4562</f>
        <v>2.8314590917892825E-3</v>
      </c>
    </row>
    <row r="10719" spans="1:4" ht="16.5" hidden="1" x14ac:dyDescent="0.3">
      <c r="A10719" s="10" t="str">
        <f>基本属性!$B$28&amp;"|"&amp;基本属性!$C$28</f>
        <v>240|18</v>
      </c>
      <c r="B10719" s="10" t="str">
        <f>参数调整!$J$41</f>
        <v>新增怪物种类6掉落</v>
      </c>
      <c r="C10719" s="8" t="str">
        <f>材料产出!$AZ$2</f>
        <v>武器碎片</v>
      </c>
      <c r="D10719" s="224">
        <f>参数调整!$K$41*怪物掉落配置方案!$D4563</f>
        <v>3.1168117280217424E-3</v>
      </c>
    </row>
    <row r="10720" spans="1:4" ht="16.5" hidden="1" x14ac:dyDescent="0.3">
      <c r="A10720" s="10" t="str">
        <f>基本属性!$B$29&amp;"|"&amp;基本属性!$C$29</f>
        <v>240|19</v>
      </c>
      <c r="B10720" s="10" t="str">
        <f>参数调整!$J$41</f>
        <v>新增怪物种类6掉落</v>
      </c>
      <c r="C10720" s="8" t="str">
        <f>材料产出!$AZ$2</f>
        <v>武器碎片</v>
      </c>
      <c r="D10720" s="224">
        <f>参数调整!$K$41*怪物掉落配置方案!$D4564</f>
        <v>3.4158612907933599E-3</v>
      </c>
    </row>
    <row r="10721" spans="1:4" ht="16.5" hidden="1" x14ac:dyDescent="0.3">
      <c r="A10721" s="10" t="str">
        <f>基本属性!$B$30&amp;"|"&amp;基本属性!$C$30</f>
        <v>250|20</v>
      </c>
      <c r="B10721" s="10" t="str">
        <f>参数调整!$J$41</f>
        <v>新增怪物种类6掉落</v>
      </c>
      <c r="C10721" s="8" t="str">
        <f>材料产出!$AZ$2</f>
        <v>武器碎片</v>
      </c>
      <c r="D10721" s="224">
        <f>参数调整!$K$41*怪物掉落配置方案!$D4565</f>
        <v>3.7286077801041342E-3</v>
      </c>
    </row>
    <row r="10722" spans="1:4" ht="16.5" hidden="1" x14ac:dyDescent="0.3">
      <c r="A10722" s="10" t="str">
        <f>基本属性!$B$4&amp;"|"&amp;基本属性!$C$4</f>
        <v>35|0</v>
      </c>
      <c r="B10722" s="10" t="str">
        <f>参数调整!$J$41</f>
        <v>新增怪物种类6掉落</v>
      </c>
      <c r="C10722" s="8" t="str">
        <f>材料产出!$HW$2</f>
        <v>特戒装备</v>
      </c>
      <c r="D10722" s="224">
        <f>参数调整!$K$41*怪物掉落配置方案!$D4566</f>
        <v>0</v>
      </c>
    </row>
    <row r="10723" spans="1:4" ht="16.5" hidden="1" x14ac:dyDescent="0.3">
      <c r="A10723" s="10" t="str">
        <f>基本属性!$B$5&amp;"|"&amp;基本属性!$C$5</f>
        <v>40|0</v>
      </c>
      <c r="B10723" s="10" t="str">
        <f>参数调整!$J$41</f>
        <v>新增怪物种类6掉落</v>
      </c>
      <c r="C10723" s="8" t="str">
        <f>材料产出!$HW$2</f>
        <v>特戒装备</v>
      </c>
      <c r="D10723" s="224">
        <f>参数调整!$K$41*怪物掉落配置方案!$D4567</f>
        <v>0</v>
      </c>
    </row>
    <row r="10724" spans="1:4" ht="16.5" hidden="1" x14ac:dyDescent="0.3">
      <c r="A10724" s="10" t="str">
        <f>基本属性!$B$6&amp;"|"&amp;基本属性!$C$6</f>
        <v>50|0</v>
      </c>
      <c r="B10724" s="10" t="str">
        <f>参数调整!$J$41</f>
        <v>新增怪物种类6掉落</v>
      </c>
      <c r="C10724" s="8" t="str">
        <f>材料产出!$HW$2</f>
        <v>特戒装备</v>
      </c>
      <c r="D10724" s="224">
        <f>参数调整!$K$41*怪物掉落配置方案!$D4568</f>
        <v>0</v>
      </c>
    </row>
    <row r="10725" spans="1:4" ht="16.5" hidden="1" x14ac:dyDescent="0.3">
      <c r="A10725" s="10" t="str">
        <f>基本属性!$B$7&amp;"|"&amp;基本属性!$C$7</f>
        <v>60|0</v>
      </c>
      <c r="B10725" s="10" t="str">
        <f>参数调整!$J$41</f>
        <v>新增怪物种类6掉落</v>
      </c>
      <c r="C10725" s="8" t="str">
        <f>材料产出!$HW$2</f>
        <v>特戒装备</v>
      </c>
      <c r="D10725" s="224">
        <f>参数调整!$K$41*怪物掉落配置方案!$D4569</f>
        <v>0</v>
      </c>
    </row>
    <row r="10726" spans="1:4" ht="16.5" hidden="1" x14ac:dyDescent="0.3">
      <c r="A10726" s="10" t="str">
        <f>基本属性!$B$8&amp;"|"&amp;基本属性!$C$8</f>
        <v>65|0</v>
      </c>
      <c r="B10726" s="10" t="str">
        <f>参数调整!$J$41</f>
        <v>新增怪物种类6掉落</v>
      </c>
      <c r="C10726" s="8" t="str">
        <f>材料产出!$HW$2</f>
        <v>特戒装备</v>
      </c>
      <c r="D10726" s="224">
        <f>参数调整!$K$41*怪物掉落配置方案!$D4570</f>
        <v>0</v>
      </c>
    </row>
    <row r="10727" spans="1:4" ht="16.5" hidden="1" x14ac:dyDescent="0.3">
      <c r="A10727" s="10" t="str">
        <f>基本属性!$B$9&amp;"|"&amp;基本属性!$C$9</f>
        <v>70|0</v>
      </c>
      <c r="B10727" s="10" t="str">
        <f>参数调整!$J$41</f>
        <v>新增怪物种类6掉落</v>
      </c>
      <c r="C10727" s="8" t="str">
        <f>材料产出!$HW$2</f>
        <v>特戒装备</v>
      </c>
      <c r="D10727" s="224">
        <f>参数调整!$K$41*怪物掉落配置方案!$D4571</f>
        <v>0</v>
      </c>
    </row>
    <row r="10728" spans="1:4" ht="16.5" hidden="1" x14ac:dyDescent="0.3">
      <c r="A10728" s="10" t="str">
        <f>基本属性!$B$10&amp;"|"&amp;基本属性!$C$10</f>
        <v>75|0</v>
      </c>
      <c r="B10728" s="10" t="str">
        <f>参数调整!$J$41</f>
        <v>新增怪物种类6掉落</v>
      </c>
      <c r="C10728" s="8" t="str">
        <f>材料产出!$HW$2</f>
        <v>特戒装备</v>
      </c>
      <c r="D10728" s="224">
        <f>参数调整!$K$41*怪物掉落配置方案!$D4572</f>
        <v>0</v>
      </c>
    </row>
    <row r="10729" spans="1:4" ht="16.5" hidden="1" x14ac:dyDescent="0.3">
      <c r="A10729" s="10" t="str">
        <f>基本属性!$B$11&amp;"|"&amp;基本属性!$C$11</f>
        <v>80|1</v>
      </c>
      <c r="B10729" s="10" t="str">
        <f>参数调整!$J$41</f>
        <v>新增怪物种类6掉落</v>
      </c>
      <c r="C10729" s="8" t="str">
        <f>材料产出!$HW$2</f>
        <v>特戒装备</v>
      </c>
      <c r="D10729" s="224">
        <f>参数调整!$K$41*怪物掉落配置方案!$D4573</f>
        <v>0</v>
      </c>
    </row>
    <row r="10730" spans="1:4" ht="16.5" hidden="1" x14ac:dyDescent="0.3">
      <c r="A10730" s="10" t="str">
        <f>基本属性!$B$12&amp;"|"&amp;基本属性!$C$12</f>
        <v>90|2</v>
      </c>
      <c r="B10730" s="10" t="str">
        <f>参数调整!$J$41</f>
        <v>新增怪物种类6掉落</v>
      </c>
      <c r="C10730" s="8" t="str">
        <f>材料产出!$HW$2</f>
        <v>特戒装备</v>
      </c>
      <c r="D10730" s="224">
        <f>参数调整!$K$41*怪物掉落配置方案!$D4574</f>
        <v>0</v>
      </c>
    </row>
    <row r="10731" spans="1:4" ht="16.5" hidden="1" x14ac:dyDescent="0.3">
      <c r="A10731" s="10" t="str">
        <f>基本属性!$B$13&amp;"|"&amp;基本属性!$C$13</f>
        <v>100|3</v>
      </c>
      <c r="B10731" s="10" t="str">
        <f>参数调整!$J$41</f>
        <v>新增怪物种类6掉落</v>
      </c>
      <c r="C10731" s="8" t="str">
        <f>材料产出!$HW$2</f>
        <v>特戒装备</v>
      </c>
      <c r="D10731" s="224">
        <f>参数调整!$K$41*怪物掉落配置方案!$D4575</f>
        <v>0</v>
      </c>
    </row>
    <row r="10732" spans="1:4" ht="16.5" hidden="1" x14ac:dyDescent="0.3">
      <c r="A10732" s="10" t="str">
        <f>基本属性!$B$14&amp;"|"&amp;基本属性!$C$14</f>
        <v>105|4</v>
      </c>
      <c r="B10732" s="10" t="str">
        <f>参数调整!$J$41</f>
        <v>新增怪物种类6掉落</v>
      </c>
      <c r="C10732" s="8" t="str">
        <f>材料产出!$HW$2</f>
        <v>特戒装备</v>
      </c>
      <c r="D10732" s="224">
        <f>参数调整!$K$41*怪物掉落配置方案!$D4576</f>
        <v>0</v>
      </c>
    </row>
    <row r="10733" spans="1:4" ht="16.5" hidden="1" x14ac:dyDescent="0.3">
      <c r="A10733" s="10" t="str">
        <f>基本属性!$B$15&amp;"|"&amp;基本属性!$C$15</f>
        <v>110|5</v>
      </c>
      <c r="B10733" s="10" t="str">
        <f>参数调整!$J$41</f>
        <v>新增怪物种类6掉落</v>
      </c>
      <c r="C10733" s="8" t="str">
        <f>材料产出!$HW$2</f>
        <v>特戒装备</v>
      </c>
      <c r="D10733" s="224">
        <f>参数调整!$K$41*怪物掉落配置方案!$D4577</f>
        <v>0</v>
      </c>
    </row>
    <row r="10734" spans="1:4" ht="16.5" hidden="1" x14ac:dyDescent="0.3">
      <c r="A10734" s="10" t="str">
        <f>基本属性!$B$16&amp;"|"&amp;基本属性!$C$16</f>
        <v>120|6</v>
      </c>
      <c r="B10734" s="10" t="str">
        <f>参数调整!$J$41</f>
        <v>新增怪物种类6掉落</v>
      </c>
      <c r="C10734" s="8" t="str">
        <f>材料产出!$HW$2</f>
        <v>特戒装备</v>
      </c>
      <c r="D10734" s="224">
        <f>参数调整!$K$41*怪物掉落配置方案!$D4578</f>
        <v>0</v>
      </c>
    </row>
    <row r="10735" spans="1:4" ht="16.5" hidden="1" x14ac:dyDescent="0.3">
      <c r="A10735" s="10" t="str">
        <f>基本属性!$B$17&amp;"|"&amp;基本属性!$C$17</f>
        <v>135|7</v>
      </c>
      <c r="B10735" s="10" t="str">
        <f>参数调整!$J$41</f>
        <v>新增怪物种类6掉落</v>
      </c>
      <c r="C10735" s="8" t="str">
        <f>材料产出!$HW$2</f>
        <v>特戒装备</v>
      </c>
      <c r="D10735" s="224">
        <f>参数调整!$K$41*怪物掉落配置方案!$D4579</f>
        <v>0</v>
      </c>
    </row>
    <row r="10736" spans="1:4" ht="16.5" hidden="1" x14ac:dyDescent="0.3">
      <c r="A10736" s="10" t="str">
        <f>基本属性!$B$18&amp;"|"&amp;基本属性!$C$18</f>
        <v>155|8</v>
      </c>
      <c r="B10736" s="10" t="str">
        <f>参数调整!$J$41</f>
        <v>新增怪物种类6掉落</v>
      </c>
      <c r="C10736" s="8" t="str">
        <f>材料产出!$HW$2</f>
        <v>特戒装备</v>
      </c>
      <c r="D10736" s="224">
        <f>参数调整!$K$41*怪物掉落配置方案!$D4580</f>
        <v>0</v>
      </c>
    </row>
    <row r="10737" spans="1:4" ht="16.5" hidden="1" x14ac:dyDescent="0.3">
      <c r="A10737" s="10" t="str">
        <f>基本属性!$B$19&amp;"|"&amp;基本属性!$C$19</f>
        <v>190|9</v>
      </c>
      <c r="B10737" s="10" t="str">
        <f>参数调整!$J$41</f>
        <v>新增怪物种类6掉落</v>
      </c>
      <c r="C10737" s="8" t="str">
        <f>材料产出!$HW$2</f>
        <v>特戒装备</v>
      </c>
      <c r="D10737" s="224">
        <f>参数调整!$K$41*怪物掉落配置方案!$D4581</f>
        <v>0</v>
      </c>
    </row>
    <row r="10738" spans="1:4" ht="16.5" hidden="1" x14ac:dyDescent="0.3">
      <c r="A10738" s="10" t="str">
        <f>基本属性!$B$20&amp;"|"&amp;基本属性!$C$20</f>
        <v>200|10</v>
      </c>
      <c r="B10738" s="10" t="str">
        <f>参数调整!$J$41</f>
        <v>新增怪物种类6掉落</v>
      </c>
      <c r="C10738" s="8" t="str">
        <f>材料产出!$HW$2</f>
        <v>特戒装备</v>
      </c>
      <c r="D10738" s="224">
        <f>参数调整!$K$41*怪物掉落配置方案!$D4582</f>
        <v>0</v>
      </c>
    </row>
    <row r="10739" spans="1:4" ht="16.5" hidden="1" x14ac:dyDescent="0.3">
      <c r="A10739" s="10" t="str">
        <f>基本属性!$B$21&amp;"|"&amp;基本属性!$C$21</f>
        <v>200|11</v>
      </c>
      <c r="B10739" s="10" t="str">
        <f>参数调整!$J$41</f>
        <v>新增怪物种类6掉落</v>
      </c>
      <c r="C10739" s="8" t="str">
        <f>材料产出!$HW$2</f>
        <v>特戒装备</v>
      </c>
      <c r="D10739" s="224">
        <f>参数调整!$K$41*怪物掉落配置方案!$D4583</f>
        <v>0</v>
      </c>
    </row>
    <row r="10740" spans="1:4" ht="16.5" hidden="1" x14ac:dyDescent="0.3">
      <c r="A10740" s="10" t="str">
        <f>基本属性!$B$22&amp;"|"&amp;基本属性!$C$22</f>
        <v>210|12</v>
      </c>
      <c r="B10740" s="10" t="str">
        <f>参数调整!$J$41</f>
        <v>新增怪物种类6掉落</v>
      </c>
      <c r="C10740" s="8" t="str">
        <f>材料产出!$HW$2</f>
        <v>特戒装备</v>
      </c>
      <c r="D10740" s="224">
        <f>参数调整!$K$41*怪物掉落配置方案!$D4584</f>
        <v>0</v>
      </c>
    </row>
    <row r="10741" spans="1:4" ht="16.5" hidden="1" x14ac:dyDescent="0.3">
      <c r="A10741" s="10" t="str">
        <f>基本属性!$B$23&amp;"|"&amp;基本属性!$C$23</f>
        <v>210|13</v>
      </c>
      <c r="B10741" s="10" t="str">
        <f>参数调整!$J$41</f>
        <v>新增怪物种类6掉落</v>
      </c>
      <c r="C10741" s="8" t="str">
        <f>材料产出!$HW$2</f>
        <v>特戒装备</v>
      </c>
      <c r="D10741" s="224">
        <f>参数调整!$K$41*怪物掉落配置方案!$D4585</f>
        <v>0</v>
      </c>
    </row>
    <row r="10742" spans="1:4" ht="16.5" hidden="1" x14ac:dyDescent="0.3">
      <c r="A10742" s="10" t="str">
        <f>基本属性!$B$24&amp;"|"&amp;基本属性!$C$24</f>
        <v>220|14</v>
      </c>
      <c r="B10742" s="10" t="str">
        <f>参数调整!$J$41</f>
        <v>新增怪物种类6掉落</v>
      </c>
      <c r="C10742" s="8" t="str">
        <f>材料产出!$HW$2</f>
        <v>特戒装备</v>
      </c>
      <c r="D10742" s="224">
        <f>参数调整!$K$41*怪物掉落配置方案!$D4586</f>
        <v>0</v>
      </c>
    </row>
    <row r="10743" spans="1:4" ht="16.5" hidden="1" x14ac:dyDescent="0.3">
      <c r="A10743" s="10" t="str">
        <f>基本属性!$B$25&amp;"|"&amp;基本属性!$C$25</f>
        <v>220|15</v>
      </c>
      <c r="B10743" s="10" t="str">
        <f>参数调整!$J$41</f>
        <v>新增怪物种类6掉落</v>
      </c>
      <c r="C10743" s="8" t="str">
        <f>材料产出!$HW$2</f>
        <v>特戒装备</v>
      </c>
      <c r="D10743" s="224">
        <f>参数调整!$K$41*怪物掉落配置方案!$D4587</f>
        <v>0</v>
      </c>
    </row>
    <row r="10744" spans="1:4" ht="16.5" hidden="1" x14ac:dyDescent="0.3">
      <c r="A10744" s="10" t="str">
        <f>基本属性!$B$26&amp;"|"&amp;基本属性!$C$26</f>
        <v>230|16</v>
      </c>
      <c r="B10744" s="10" t="str">
        <f>参数调整!$J$41</f>
        <v>新增怪物种类6掉落</v>
      </c>
      <c r="C10744" s="8" t="str">
        <f>材料产出!$HW$2</f>
        <v>特戒装备</v>
      </c>
      <c r="D10744" s="224">
        <f>参数调整!$K$41*怪物掉落配置方案!$D4588</f>
        <v>0</v>
      </c>
    </row>
    <row r="10745" spans="1:4" ht="16.5" hidden="1" x14ac:dyDescent="0.3">
      <c r="A10745" s="10" t="str">
        <f>基本属性!$B$27&amp;"|"&amp;基本属性!$C$27</f>
        <v>230|17</v>
      </c>
      <c r="B10745" s="10" t="str">
        <f>参数调整!$J$41</f>
        <v>新增怪物种类6掉落</v>
      </c>
      <c r="C10745" s="8" t="str">
        <f>材料产出!$HW$2</f>
        <v>特戒装备</v>
      </c>
      <c r="D10745" s="224">
        <f>参数调整!$K$41*怪物掉落配置方案!$D4589</f>
        <v>0</v>
      </c>
    </row>
    <row r="10746" spans="1:4" ht="16.5" hidden="1" x14ac:dyDescent="0.3">
      <c r="A10746" s="10" t="str">
        <f>基本属性!$B$28&amp;"|"&amp;基本属性!$C$28</f>
        <v>240|18</v>
      </c>
      <c r="B10746" s="10" t="str">
        <f>参数调整!$J$41</f>
        <v>新增怪物种类6掉落</v>
      </c>
      <c r="C10746" s="8" t="str">
        <f>材料产出!$HW$2</f>
        <v>特戒装备</v>
      </c>
      <c r="D10746" s="224">
        <f>参数调整!$K$41*怪物掉落配置方案!$D4590</f>
        <v>0</v>
      </c>
    </row>
    <row r="10747" spans="1:4" ht="16.5" hidden="1" x14ac:dyDescent="0.3">
      <c r="A10747" s="10" t="str">
        <f>基本属性!$B$29&amp;"|"&amp;基本属性!$C$29</f>
        <v>240|19</v>
      </c>
      <c r="B10747" s="10" t="str">
        <f>参数调整!$J$41</f>
        <v>新增怪物种类6掉落</v>
      </c>
      <c r="C10747" s="8" t="str">
        <f>材料产出!$HW$2</f>
        <v>特戒装备</v>
      </c>
      <c r="D10747" s="224">
        <f>参数调整!$K$41*怪物掉落配置方案!$D4591</f>
        <v>0</v>
      </c>
    </row>
    <row r="10748" spans="1:4" ht="16.5" hidden="1" x14ac:dyDescent="0.3">
      <c r="A10748" s="10" t="str">
        <f>基本属性!$B$30&amp;"|"&amp;基本属性!$C$30</f>
        <v>250|20</v>
      </c>
      <c r="B10748" s="10" t="str">
        <f>参数调整!$J$41</f>
        <v>新增怪物种类6掉落</v>
      </c>
      <c r="C10748" s="8" t="str">
        <f>材料产出!$HW$2</f>
        <v>特戒装备</v>
      </c>
      <c r="D10748" s="224">
        <f>参数调整!$K$41*怪物掉落配置方案!$D4592</f>
        <v>0</v>
      </c>
    </row>
    <row r="10749" spans="1:4" ht="16.5" hidden="1" x14ac:dyDescent="0.3">
      <c r="A10749" s="10" t="str">
        <f>基本属性!$B$4&amp;"|"&amp;基本属性!$C$4</f>
        <v>35|0</v>
      </c>
      <c r="B10749" s="10" t="str">
        <f>参数调整!$J$41</f>
        <v>新增怪物种类6掉落</v>
      </c>
      <c r="C10749" s="8" t="str">
        <f>材料产出!$BF$2</f>
        <v>首饰碎片</v>
      </c>
      <c r="D10749" s="224">
        <f>参数调整!$K$41*怪物掉落配置方案!$D4593</f>
        <v>2.4350091625169863E-4</v>
      </c>
    </row>
    <row r="10750" spans="1:4" ht="16.5" hidden="1" x14ac:dyDescent="0.3">
      <c r="A10750" s="10" t="str">
        <f>基本属性!$B$5&amp;"|"&amp;基本属性!$C$5</f>
        <v>40|0</v>
      </c>
      <c r="B10750" s="10" t="str">
        <f>参数调整!$J$41</f>
        <v>新增怪物种类6掉落</v>
      </c>
      <c r="C10750" s="8" t="str">
        <f>材料产出!$BF$2</f>
        <v>首饰碎片</v>
      </c>
      <c r="D10750" s="224">
        <f>参数调整!$K$41*怪物掉落配置方案!$D4594</f>
        <v>3.0818084713105608E-4</v>
      </c>
    </row>
    <row r="10751" spans="1:4" ht="16.5" hidden="1" x14ac:dyDescent="0.3">
      <c r="A10751" s="10" t="str">
        <f>基本属性!$B$6&amp;"|"&amp;基本属性!$C$6</f>
        <v>50|0</v>
      </c>
      <c r="B10751" s="10" t="str">
        <f>参数调整!$J$41</f>
        <v>新增怪物种类6掉落</v>
      </c>
      <c r="C10751" s="8" t="str">
        <f>材料产出!$BF$2</f>
        <v>首饰碎片</v>
      </c>
      <c r="D10751" s="224">
        <f>参数调整!$K$41*怪物掉落配置方案!$D4595</f>
        <v>3.8047018164327908E-4</v>
      </c>
    </row>
    <row r="10752" spans="1:4" ht="16.5" hidden="1" x14ac:dyDescent="0.3">
      <c r="A10752" s="10" t="str">
        <f>基本属性!$B$7&amp;"|"&amp;基本属性!$C$7</f>
        <v>60|0</v>
      </c>
      <c r="B10752" s="10" t="str">
        <f>参数调整!$J$41</f>
        <v>新增怪物种类6掉落</v>
      </c>
      <c r="C10752" s="8" t="str">
        <f>材料产出!$BF$2</f>
        <v>首饰碎片</v>
      </c>
      <c r="D10752" s="224">
        <f>参数调整!$K$41*怪物掉落配置方案!$D4596</f>
        <v>4.6036891978836782E-4</v>
      </c>
    </row>
    <row r="10753" spans="1:4" ht="16.5" hidden="1" x14ac:dyDescent="0.3">
      <c r="A10753" s="10" t="str">
        <f>基本属性!$B$8&amp;"|"&amp;基本属性!$C$8</f>
        <v>65|0</v>
      </c>
      <c r="B10753" s="10" t="str">
        <f>参数调整!$J$41</f>
        <v>新增怪物种类6掉落</v>
      </c>
      <c r="C10753" s="8" t="str">
        <f>材料产出!$BF$2</f>
        <v>首饰碎片</v>
      </c>
      <c r="D10753" s="224">
        <f>参数调整!$K$41*怪物掉落配置方案!$D4597</f>
        <v>5.4787706156632192E-4</v>
      </c>
    </row>
    <row r="10754" spans="1:4" ht="16.5" hidden="1" x14ac:dyDescent="0.3">
      <c r="A10754" s="10" t="str">
        <f>基本属性!$B$9&amp;"|"&amp;基本属性!$C$9</f>
        <v>70|0</v>
      </c>
      <c r="B10754" s="10" t="str">
        <f>参数调整!$J$41</f>
        <v>新增怪物种类6掉落</v>
      </c>
      <c r="C10754" s="8" t="str">
        <f>材料产出!$BF$2</f>
        <v>首饰碎片</v>
      </c>
      <c r="D10754" s="224">
        <f>参数调整!$K$41*怪物掉落配置方案!$D4598</f>
        <v>6.4299460697714176E-4</v>
      </c>
    </row>
    <row r="10755" spans="1:4" ht="16.5" hidden="1" x14ac:dyDescent="0.3">
      <c r="A10755" s="10" t="str">
        <f>基本属性!$B$10&amp;"|"&amp;基本属性!$C$10</f>
        <v>75|0</v>
      </c>
      <c r="B10755" s="10" t="str">
        <f>参数调整!$J$41</f>
        <v>新增怪物种类6掉落</v>
      </c>
      <c r="C10755" s="8" t="str">
        <f>材料产出!$BF$2</f>
        <v>首饰碎片</v>
      </c>
      <c r="D10755" s="224">
        <f>参数调整!$K$41*怪物掉落配置方案!$D4599</f>
        <v>7.457215560208269E-4</v>
      </c>
    </row>
    <row r="10756" spans="1:4" ht="16.5" hidden="1" x14ac:dyDescent="0.3">
      <c r="A10756" s="10" t="str">
        <f>基本属性!$B$11&amp;"|"&amp;基本属性!$C$11</f>
        <v>80|1</v>
      </c>
      <c r="B10756" s="10" t="str">
        <f>参数调整!$J$41</f>
        <v>新增怪物种类6掉落</v>
      </c>
      <c r="C10756" s="8" t="str">
        <f>材料产出!$BF$2</f>
        <v>首饰碎片</v>
      </c>
      <c r="D10756" s="224">
        <f>参数调整!$K$41*怪物掉落配置方案!$D4600</f>
        <v>8.5605790869737811E-4</v>
      </c>
    </row>
    <row r="10757" spans="1:4" ht="16.5" hidden="1" x14ac:dyDescent="0.3">
      <c r="A10757" s="10" t="str">
        <f>基本属性!$B$12&amp;"|"&amp;基本属性!$C$12</f>
        <v>90|2</v>
      </c>
      <c r="B10757" s="10" t="str">
        <f>参数调整!$J$41</f>
        <v>新增怪物种类6掉落</v>
      </c>
      <c r="C10757" s="8" t="str">
        <f>材料产出!$BF$2</f>
        <v>首饰碎片</v>
      </c>
      <c r="D10757" s="224">
        <f>参数调整!$K$41*怪物掉落配置方案!$D4601</f>
        <v>9.7400366500679483E-4</v>
      </c>
    </row>
    <row r="10758" spans="1:4" ht="16.5" hidden="1" x14ac:dyDescent="0.3">
      <c r="A10758" s="10" t="str">
        <f>基本属性!$B$13&amp;"|"&amp;基本属性!$C$13</f>
        <v>100|3</v>
      </c>
      <c r="B10758" s="10" t="str">
        <f>参数调整!$J$41</f>
        <v>新增怪物种类6掉落</v>
      </c>
      <c r="C10758" s="8" t="str">
        <f>材料产出!$BF$2</f>
        <v>首饰碎片</v>
      </c>
      <c r="D10758" s="224">
        <f>参数调整!$K$41*怪物掉落配置方案!$D4602</f>
        <v>1.2327233885242245E-3</v>
      </c>
    </row>
    <row r="10759" spans="1:4" ht="16.5" hidden="1" x14ac:dyDescent="0.3">
      <c r="A10759" s="10" t="str">
        <f>基本属性!$B$14&amp;"|"&amp;基本属性!$C$14</f>
        <v>105|4</v>
      </c>
      <c r="B10759" s="10" t="str">
        <f>参数调整!$J$41</f>
        <v>新增怪物种类6掉落</v>
      </c>
      <c r="C10759" s="8" t="str">
        <f>材料产出!$BF$2</f>
        <v>首饰碎片</v>
      </c>
      <c r="D10759" s="224">
        <f>参数调整!$K$41*怪物掉落配置方案!$D4603</f>
        <v>1.5218807265731165E-3</v>
      </c>
    </row>
    <row r="10760" spans="1:4" ht="16.5" hidden="1" x14ac:dyDescent="0.3">
      <c r="A10760" s="10" t="str">
        <f>基本属性!$B$15&amp;"|"&amp;基本属性!$C$15</f>
        <v>110|5</v>
      </c>
      <c r="B10760" s="10" t="str">
        <f>参数调整!$J$41</f>
        <v>新增怪物种类6掉落</v>
      </c>
      <c r="C10760" s="8" t="str">
        <f>材料产出!$BF$2</f>
        <v>首饰碎片</v>
      </c>
      <c r="D10760" s="224">
        <f>参数调整!$K$41*怪物掉落配置方案!$D4604</f>
        <v>1.8414756791534713E-3</v>
      </c>
    </row>
    <row r="10761" spans="1:4" ht="16.5" hidden="1" x14ac:dyDescent="0.3">
      <c r="A10761" s="10" t="str">
        <f>基本属性!$B$16&amp;"|"&amp;基本属性!$C$16</f>
        <v>120|6</v>
      </c>
      <c r="B10761" s="10" t="str">
        <f>参数调整!$J$41</f>
        <v>新增怪物种类6掉落</v>
      </c>
      <c r="C10761" s="8" t="str">
        <f>材料产出!$BF$2</f>
        <v>首饰碎片</v>
      </c>
      <c r="D10761" s="224">
        <f>参数调整!$K$41*怪物掉落配置方案!$D4605</f>
        <v>2.3779386352704946E-3</v>
      </c>
    </row>
    <row r="10762" spans="1:4" ht="16.5" hidden="1" x14ac:dyDescent="0.3">
      <c r="A10762" s="10" t="str">
        <f>基本属性!$B$17&amp;"|"&amp;基本属性!$C$17</f>
        <v>135|7</v>
      </c>
      <c r="B10762" s="10" t="str">
        <f>参数调整!$J$41</f>
        <v>新增怪物种类6掉落</v>
      </c>
      <c r="C10762" s="8" t="str">
        <f>材料产出!$BF$2</f>
        <v>首饰碎片</v>
      </c>
      <c r="D10762" s="224">
        <f>参数调整!$K$41*怪物掉落配置方案!$D4606</f>
        <v>3.4242316347895116E-3</v>
      </c>
    </row>
    <row r="10763" spans="1:4" ht="16.5" hidden="1" x14ac:dyDescent="0.3">
      <c r="A10763" s="10" t="str">
        <f>基本属性!$B$18&amp;"|"&amp;基本属性!$C$18</f>
        <v>155|8</v>
      </c>
      <c r="B10763" s="10" t="str">
        <f>参数调整!$J$41</f>
        <v>新增怪物种类6掉落</v>
      </c>
      <c r="C10763" s="8" t="str">
        <f>材料产出!$BF$2</f>
        <v>首饰碎片</v>
      </c>
      <c r="D10763" s="224">
        <f>参数调整!$K$41*怪物掉落配置方案!$D4607</f>
        <v>4.6607597251301699E-3</v>
      </c>
    </row>
    <row r="10764" spans="1:4" ht="16.5" hidden="1" x14ac:dyDescent="0.3">
      <c r="A10764" s="10" t="str">
        <f>基本属性!$B$19&amp;"|"&amp;基本属性!$C$19</f>
        <v>190|9</v>
      </c>
      <c r="B10764" s="10" t="str">
        <f>参数调整!$J$41</f>
        <v>新增怪物种类6掉落</v>
      </c>
      <c r="C10764" s="8" t="str">
        <f>材料产出!$BF$2</f>
        <v>首饰碎片</v>
      </c>
      <c r="D10764" s="224">
        <f>参数调整!$K$41*怪物掉落配置方案!$D4608</f>
        <v>5.2086367866964909E-3</v>
      </c>
    </row>
    <row r="10765" spans="1:4" ht="16.5" hidden="1" x14ac:dyDescent="0.3">
      <c r="A10765" s="10" t="str">
        <f>基本属性!$B$20&amp;"|"&amp;基本属性!$C$20</f>
        <v>200|10</v>
      </c>
      <c r="B10765" s="10" t="str">
        <f>参数调整!$J$41</f>
        <v>新增怪物种类6掉落</v>
      </c>
      <c r="C10765" s="8" t="str">
        <f>材料产出!$BF$2</f>
        <v>首饰碎片</v>
      </c>
      <c r="D10765" s="224">
        <f>参数调整!$K$41*怪物掉落配置方案!$D4609</f>
        <v>6.0875229062924661E-3</v>
      </c>
    </row>
    <row r="10766" spans="1:4" ht="16.5" hidden="1" x14ac:dyDescent="0.3">
      <c r="A10766" s="10" t="str">
        <f>基本属性!$B$21&amp;"|"&amp;基本属性!$C$21</f>
        <v>200|11</v>
      </c>
      <c r="B10766" s="10" t="str">
        <f>参数调整!$J$41</f>
        <v>新增怪物种类6掉落</v>
      </c>
      <c r="C10766" s="8" t="str">
        <f>材料产出!$BF$2</f>
        <v>首饰碎片</v>
      </c>
      <c r="D10766" s="224">
        <f>参数调整!$K$41*怪物掉落配置方案!$D4610</f>
        <v>7.0348936585842292E-3</v>
      </c>
    </row>
    <row r="10767" spans="1:4" ht="16.5" hidden="1" x14ac:dyDescent="0.3">
      <c r="A10767" s="10" t="str">
        <f>基本属性!$B$22&amp;"|"&amp;基本属性!$C$22</f>
        <v>210|12</v>
      </c>
      <c r="B10767" s="10" t="str">
        <f>参数调整!$J$41</f>
        <v>新增怪物种类6掉落</v>
      </c>
      <c r="C10767" s="8" t="str">
        <f>材料产出!$BF$2</f>
        <v>首饰碎片</v>
      </c>
      <c r="D10767" s="224">
        <f>参数调整!$K$41*怪物掉落配置方案!$D4611</f>
        <v>8.0507490435717845E-3</v>
      </c>
    </row>
    <row r="10768" spans="1:4" ht="16.5" hidden="1" x14ac:dyDescent="0.3">
      <c r="A10768" s="10" t="str">
        <f>基本属性!$B$23&amp;"|"&amp;基本属性!$C$23</f>
        <v>210|13</v>
      </c>
      <c r="B10768" s="10" t="str">
        <f>参数调整!$J$41</f>
        <v>新增怪物种类6掉落</v>
      </c>
      <c r="C10768" s="8" t="str">
        <f>材料产出!$BF$2</f>
        <v>首饰碎片</v>
      </c>
      <c r="D10768" s="224">
        <f>参数调整!$K$41*怪物掉落配置方案!$D4612</f>
        <v>9.1350890612551319E-3</v>
      </c>
    </row>
    <row r="10769" spans="1:4" ht="16.5" hidden="1" x14ac:dyDescent="0.3">
      <c r="A10769" s="10" t="str">
        <f>基本属性!$B$24&amp;"|"&amp;基本属性!$C$24</f>
        <v>220|14</v>
      </c>
      <c r="B10769" s="10" t="str">
        <f>参数调整!$J$41</f>
        <v>新增怪物种类6掉落</v>
      </c>
      <c r="C10769" s="8" t="str">
        <f>材料产出!$BF$2</f>
        <v>首饰碎片</v>
      </c>
      <c r="D10769" s="224">
        <f>参数调整!$K$41*怪物掉落配置方案!$D4613</f>
        <v>1.0287913711634268E-2</v>
      </c>
    </row>
    <row r="10770" spans="1:4" ht="16.5" hidden="1" x14ac:dyDescent="0.3">
      <c r="A10770" s="10" t="str">
        <f>基本属性!$B$25&amp;"|"&amp;基本属性!$C$25</f>
        <v>220|15</v>
      </c>
      <c r="B10770" s="10" t="str">
        <f>参数调整!$J$41</f>
        <v>新增怪物种类6掉落</v>
      </c>
      <c r="C10770" s="8" t="str">
        <f>材料产出!$BF$2</f>
        <v>首饰碎片</v>
      </c>
      <c r="D10770" s="224">
        <f>参数调整!$K$41*怪物掉落配置方案!$D4614</f>
        <v>1.1509222994709191E-2</v>
      </c>
    </row>
    <row r="10771" spans="1:4" ht="16.5" hidden="1" x14ac:dyDescent="0.3">
      <c r="A10771" s="10" t="str">
        <f>基本属性!$B$26&amp;"|"&amp;基本属性!$C$26</f>
        <v>230|16</v>
      </c>
      <c r="B10771" s="10" t="str">
        <f>参数调整!$J$41</f>
        <v>新增怪物种类6掉落</v>
      </c>
      <c r="C10771" s="8" t="str">
        <f>材料产出!$BF$2</f>
        <v>首饰碎片</v>
      </c>
      <c r="D10771" s="224">
        <f>参数调整!$K$41*怪物掉落配置方案!$D4615</f>
        <v>1.2799016910479907E-2</v>
      </c>
    </row>
    <row r="10772" spans="1:4" ht="16.5" hidden="1" x14ac:dyDescent="0.3">
      <c r="A10772" s="10" t="str">
        <f>基本属性!$B$27&amp;"|"&amp;基本属性!$C$27</f>
        <v>230|17</v>
      </c>
      <c r="B10772" s="10" t="str">
        <f>参数调整!$J$41</f>
        <v>新增怪物种类6掉落</v>
      </c>
      <c r="C10772" s="8" t="str">
        <f>材料产出!$BF$2</f>
        <v>首饰碎片</v>
      </c>
      <c r="D10772" s="224">
        <f>参数调整!$K$41*怪物掉落配置方案!$D4616</f>
        <v>1.4157295458946412E-2</v>
      </c>
    </row>
    <row r="10773" spans="1:4" ht="16.5" hidden="1" x14ac:dyDescent="0.3">
      <c r="A10773" s="10" t="str">
        <f>基本属性!$B$28&amp;"|"&amp;基本属性!$C$28</f>
        <v>240|18</v>
      </c>
      <c r="B10773" s="10" t="str">
        <f>参数调整!$J$41</f>
        <v>新增怪物种类6掉落</v>
      </c>
      <c r="C10773" s="8" t="str">
        <f>材料产出!$BF$2</f>
        <v>首饰碎片</v>
      </c>
      <c r="D10773" s="224">
        <f>参数调整!$K$41*怪物掉落配置方案!$D4617</f>
        <v>1.5584058640108714E-2</v>
      </c>
    </row>
    <row r="10774" spans="1:4" ht="16.5" hidden="1" x14ac:dyDescent="0.3">
      <c r="A10774" s="10" t="str">
        <f>基本属性!$B$29&amp;"|"&amp;基本属性!$C$29</f>
        <v>240|19</v>
      </c>
      <c r="B10774" s="10" t="str">
        <f>参数调整!$J$41</f>
        <v>新增怪物种类6掉落</v>
      </c>
      <c r="C10774" s="8" t="str">
        <f>材料产出!$BF$2</f>
        <v>首饰碎片</v>
      </c>
      <c r="D10774" s="224">
        <f>参数调整!$K$41*怪物掉落配置方案!$D4618</f>
        <v>1.7079306453966801E-2</v>
      </c>
    </row>
    <row r="10775" spans="1:4" ht="16.5" hidden="1" x14ac:dyDescent="0.3">
      <c r="A10775" s="10" t="str">
        <f>基本属性!$B$30&amp;"|"&amp;基本属性!$C$30</f>
        <v>250|20</v>
      </c>
      <c r="B10775" s="10" t="str">
        <f>参数调整!$J$41</f>
        <v>新增怪物种类6掉落</v>
      </c>
      <c r="C10775" s="8" t="str">
        <f>材料产出!$BF$2</f>
        <v>首饰碎片</v>
      </c>
      <c r="D10775" s="224">
        <f>参数调整!$K$41*怪物掉落配置方案!$D4619</f>
        <v>1.8643038900520673E-2</v>
      </c>
    </row>
    <row r="10776" spans="1:4" ht="16.5" hidden="1" x14ac:dyDescent="0.3">
      <c r="A10776" s="10" t="str">
        <f>基本属性!$B$4&amp;"|"&amp;基本属性!$C$4</f>
        <v>35|0</v>
      </c>
      <c r="B10776" s="10" t="str">
        <f>参数调整!$J$41</f>
        <v>新增怪物种类6掉落</v>
      </c>
      <c r="C10776" s="8" t="str">
        <f>材料产出!$P$2</f>
        <v>声望</v>
      </c>
      <c r="D10776" s="224">
        <f>参数调整!$K$41*怪物掉落配置方案!$D4620</f>
        <v>3.8970056239550084E-2</v>
      </c>
    </row>
    <row r="10777" spans="1:4" ht="16.5" hidden="1" x14ac:dyDescent="0.3">
      <c r="A10777" s="10" t="str">
        <f>基本属性!$B$5&amp;"|"&amp;基本属性!$C$5</f>
        <v>40|0</v>
      </c>
      <c r="B10777" s="10" t="str">
        <f>参数调整!$J$41</f>
        <v>新增怪物种类6掉落</v>
      </c>
      <c r="C10777" s="8" t="str">
        <f>材料产出!$P$2</f>
        <v>声望</v>
      </c>
      <c r="D10777" s="224">
        <f>参数调整!$K$41*怪物掉落配置方案!$D4621</f>
        <v>4.9321477428180577E-2</v>
      </c>
    </row>
    <row r="10778" spans="1:4" ht="16.5" hidden="1" x14ac:dyDescent="0.3">
      <c r="A10778" s="10" t="str">
        <f>基本属性!$B$6&amp;"|"&amp;基本属性!$C$6</f>
        <v>50|0</v>
      </c>
      <c r="B10778" s="10" t="str">
        <f>参数调整!$J$41</f>
        <v>新增怪物种类6掉落</v>
      </c>
      <c r="C10778" s="8" t="str">
        <f>材料产出!$P$2</f>
        <v>声望</v>
      </c>
      <c r="D10778" s="224">
        <f>参数调整!$K$41*怪物掉落配置方案!$D4622</f>
        <v>6.0890712874297002E-2</v>
      </c>
    </row>
    <row r="10779" spans="1:4" ht="16.5" hidden="1" x14ac:dyDescent="0.3">
      <c r="A10779" s="10" t="str">
        <f>基本属性!$B$7&amp;"|"&amp;基本属性!$C$7</f>
        <v>60|0</v>
      </c>
      <c r="B10779" s="10" t="str">
        <f>参数调整!$J$41</f>
        <v>新增怪物种类6掉落</v>
      </c>
      <c r="C10779" s="8" t="str">
        <f>材料产出!$P$2</f>
        <v>声望</v>
      </c>
      <c r="D10779" s="224">
        <f>参数调整!$K$41*怪物掉落配置方案!$D4623</f>
        <v>7.3677762577899375E-2</v>
      </c>
    </row>
    <row r="10780" spans="1:4" ht="16.5" hidden="1" x14ac:dyDescent="0.3">
      <c r="A10780" s="10" t="str">
        <f>基本属性!$B$8&amp;"|"&amp;基本属性!$C$8</f>
        <v>65|0</v>
      </c>
      <c r="B10780" s="10" t="str">
        <f>参数调整!$J$41</f>
        <v>新增怪物种类6掉落</v>
      </c>
      <c r="C10780" s="8" t="str">
        <f>材料产出!$P$2</f>
        <v>声望</v>
      </c>
      <c r="D10780" s="224">
        <f>参数调整!$K$41*怪物掉落配置方案!$D4624</f>
        <v>8.7682626538987687E-2</v>
      </c>
    </row>
    <row r="10781" spans="1:4" ht="16.5" hidden="1" x14ac:dyDescent="0.3">
      <c r="A10781" s="10" t="str">
        <f>基本属性!$B$9&amp;"|"&amp;基本属性!$C$9</f>
        <v>70|0</v>
      </c>
      <c r="B10781" s="10" t="str">
        <f>参数调整!$J$41</f>
        <v>新增怪物种类6掉落</v>
      </c>
      <c r="C10781" s="8" t="str">
        <f>材料产出!$P$2</f>
        <v>声望</v>
      </c>
      <c r="D10781" s="224">
        <f>参数调整!$K$41*怪物掉落配置方案!$D4625</f>
        <v>0.10290530475756193</v>
      </c>
    </row>
    <row r="10782" spans="1:4" ht="16.5" hidden="1" x14ac:dyDescent="0.3">
      <c r="A10782" s="10" t="str">
        <f>基本属性!$B$10&amp;"|"&amp;基本属性!$C$10</f>
        <v>75|0</v>
      </c>
      <c r="B10782" s="10" t="str">
        <f>参数调整!$J$41</f>
        <v>新增怪物种类6掉落</v>
      </c>
      <c r="C10782" s="8" t="str">
        <f>材料产出!$P$2</f>
        <v>声望</v>
      </c>
      <c r="D10782" s="224">
        <f>参数调整!$K$41*怪物掉落配置方案!$D4626</f>
        <v>0.11934579723362213</v>
      </c>
    </row>
    <row r="10783" spans="1:4" ht="16.5" hidden="1" x14ac:dyDescent="0.3">
      <c r="A10783" s="10" t="str">
        <f>基本属性!$B$11&amp;"|"&amp;基本属性!$C$11</f>
        <v>80|1</v>
      </c>
      <c r="B10783" s="10" t="str">
        <f>参数调整!$J$41</f>
        <v>新增怪物种类6掉落</v>
      </c>
      <c r="C10783" s="8" t="str">
        <f>材料产出!$P$2</f>
        <v>声望</v>
      </c>
      <c r="D10783" s="224">
        <f>参数调整!$K$41*怪物掉落配置方案!$D4627</f>
        <v>0.13700410396716825</v>
      </c>
    </row>
    <row r="10784" spans="1:4" ht="16.5" hidden="1" x14ac:dyDescent="0.3">
      <c r="A10784" s="10" t="str">
        <f>基本属性!$B$12&amp;"|"&amp;基本属性!$C$12</f>
        <v>90|2</v>
      </c>
      <c r="B10784" s="10" t="str">
        <f>参数调整!$J$41</f>
        <v>新增怪物种类6掉落</v>
      </c>
      <c r="C10784" s="8" t="str">
        <f>材料产出!$P$2</f>
        <v>声望</v>
      </c>
      <c r="D10784" s="224">
        <f>参数调整!$K$41*怪物掉落配置方案!$D4628</f>
        <v>0.15588022495820036</v>
      </c>
    </row>
    <row r="10785" spans="1:4" ht="16.5" hidden="1" x14ac:dyDescent="0.3">
      <c r="A10785" s="10" t="str">
        <f>基本属性!$B$13&amp;"|"&amp;基本属性!$C$13</f>
        <v>100|3</v>
      </c>
      <c r="B10785" s="10" t="str">
        <f>参数调整!$J$41</f>
        <v>新增怪物种类6掉落</v>
      </c>
      <c r="C10785" s="8" t="str">
        <f>材料产出!$P$2</f>
        <v>声望</v>
      </c>
      <c r="D10785" s="224">
        <f>参数调整!$K$41*怪物掉落配置方案!$D4629</f>
        <v>0.19728590971272231</v>
      </c>
    </row>
    <row r="10786" spans="1:4" ht="16.5" hidden="1" x14ac:dyDescent="0.3">
      <c r="A10786" s="10" t="str">
        <f>基本属性!$B$14&amp;"|"&amp;基本属性!$C$14</f>
        <v>105|4</v>
      </c>
      <c r="B10786" s="10" t="str">
        <f>参数调整!$J$41</f>
        <v>新增怪物种类6掉落</v>
      </c>
      <c r="C10786" s="8" t="str">
        <f>材料产出!$P$2</f>
        <v>声望</v>
      </c>
      <c r="D10786" s="224">
        <f>参数调整!$K$41*怪物掉落配置方案!$D4630</f>
        <v>0.24356285149718804</v>
      </c>
    </row>
    <row r="10787" spans="1:4" ht="16.5" hidden="1" x14ac:dyDescent="0.3">
      <c r="A10787" s="10" t="str">
        <f>基本属性!$B$15&amp;"|"&amp;基本属性!$C$15</f>
        <v>110|5</v>
      </c>
      <c r="B10787" s="10" t="str">
        <f>参数调整!$J$41</f>
        <v>新增怪物种类6掉落</v>
      </c>
      <c r="C10787" s="8" t="str">
        <f>材料产出!$P$2</f>
        <v>声望</v>
      </c>
      <c r="D10787" s="224">
        <f>参数调整!$K$41*怪物掉落配置方案!$D4631</f>
        <v>0.2947110503115975</v>
      </c>
    </row>
    <row r="10788" spans="1:4" ht="16.5" hidden="1" x14ac:dyDescent="0.3">
      <c r="A10788" s="10" t="str">
        <f>基本属性!$B$16&amp;"|"&amp;基本属性!$C$16</f>
        <v>120|6</v>
      </c>
      <c r="B10788" s="10" t="str">
        <f>参数调整!$J$41</f>
        <v>新增怪物种类6掉落</v>
      </c>
      <c r="C10788" s="8" t="str">
        <f>材料产出!$P$2</f>
        <v>声望</v>
      </c>
      <c r="D10788" s="224">
        <f>参数调整!$K$41*怪物掉落配置方案!$D4632</f>
        <v>0.38056695546435626</v>
      </c>
    </row>
    <row r="10789" spans="1:4" ht="16.5" hidden="1" x14ac:dyDescent="0.3">
      <c r="A10789" s="10" t="str">
        <f>基本属性!$B$17&amp;"|"&amp;基本属性!$C$17</f>
        <v>135|7</v>
      </c>
      <c r="B10789" s="10" t="str">
        <f>参数调整!$J$41</f>
        <v>新增怪物种类6掉落</v>
      </c>
      <c r="C10789" s="8" t="str">
        <f>材料产出!$P$2</f>
        <v>声望</v>
      </c>
      <c r="D10789" s="224">
        <f>参数调整!$K$41*怪物掉落配置方案!$D4633</f>
        <v>0.548016415868673</v>
      </c>
    </row>
    <row r="10790" spans="1:4" ht="16.5" hidden="1" x14ac:dyDescent="0.3">
      <c r="A10790" s="10" t="str">
        <f>基本属性!$B$18&amp;"|"&amp;基本属性!$C$18</f>
        <v>155|8</v>
      </c>
      <c r="B10790" s="10" t="str">
        <f>参数调整!$J$41</f>
        <v>新增怪物种类6掉落</v>
      </c>
      <c r="C10790" s="8" t="str">
        <f>材料产出!$P$2</f>
        <v>声望</v>
      </c>
      <c r="D10790" s="224">
        <f>参数调整!$K$41*怪物掉落配置方案!$D4634</f>
        <v>0.74591123271013826</v>
      </c>
    </row>
    <row r="10791" spans="1:4" ht="16.5" hidden="1" x14ac:dyDescent="0.3">
      <c r="A10791" s="10" t="str">
        <f>基本属性!$B$19&amp;"|"&amp;基本属性!$C$19</f>
        <v>190|9</v>
      </c>
      <c r="B10791" s="10" t="str">
        <f>参数调整!$J$41</f>
        <v>新增怪物种类6掉落</v>
      </c>
      <c r="C10791" s="8" t="str">
        <f>材料产出!$P$2</f>
        <v>声望</v>
      </c>
      <c r="D10791" s="224">
        <f>参数调整!$K$41*怪物掉落配置方案!$D4635</f>
        <v>0.8335938592491261</v>
      </c>
    </row>
    <row r="10792" spans="1:4" ht="16.5" hidden="1" x14ac:dyDescent="0.3">
      <c r="A10792" s="10" t="str">
        <f>基本属性!$B$20&amp;"|"&amp;基本属性!$C$20</f>
        <v>200|10</v>
      </c>
      <c r="B10792" s="10" t="str">
        <f>参数调整!$J$41</f>
        <v>新增怪物种类6掉落</v>
      </c>
      <c r="C10792" s="8" t="str">
        <f>材料产出!$P$2</f>
        <v>声望</v>
      </c>
      <c r="D10792" s="224">
        <f>参数调整!$K$41*怪物掉落配置方案!$D4636</f>
        <v>0.97425140598875215</v>
      </c>
    </row>
    <row r="10793" spans="1:4" ht="16.5" hidden="1" x14ac:dyDescent="0.3">
      <c r="A10793" s="10" t="str">
        <f>基本属性!$B$21&amp;"|"&amp;基本属性!$C$21</f>
        <v>200|11</v>
      </c>
      <c r="B10793" s="10" t="str">
        <f>参数调整!$J$41</f>
        <v>新增怪物种类6掉落</v>
      </c>
      <c r="C10793" s="8" t="str">
        <f>材料产出!$P$2</f>
        <v>声望</v>
      </c>
      <c r="D10793" s="224">
        <f>参数调整!$K$41*怪物掉落配置方案!$D4637</f>
        <v>1.1258692810457513</v>
      </c>
    </row>
    <row r="10794" spans="1:4" ht="16.5" hidden="1" x14ac:dyDescent="0.3">
      <c r="A10794" s="10" t="str">
        <f>基本属性!$B$22&amp;"|"&amp;基本属性!$C$22</f>
        <v>210|12</v>
      </c>
      <c r="B10794" s="10" t="str">
        <f>参数调整!$J$41</f>
        <v>新增怪物种类6掉落</v>
      </c>
      <c r="C10794" s="8" t="str">
        <f>材料产出!$P$2</f>
        <v>声望</v>
      </c>
      <c r="D10794" s="224">
        <f>参数调整!$K$41*怪物掉落配置方案!$D4638</f>
        <v>1.2884474844201241</v>
      </c>
    </row>
    <row r="10795" spans="1:4" ht="16.5" hidden="1" x14ac:dyDescent="0.3">
      <c r="A10795" s="10" t="str">
        <f>基本属性!$B$23&amp;"|"&amp;基本属性!$C$23</f>
        <v>210|13</v>
      </c>
      <c r="B10795" s="10" t="str">
        <f>参数调整!$J$41</f>
        <v>新增怪物种类6掉落</v>
      </c>
      <c r="C10795" s="8" t="str">
        <f>材料产出!$P$2</f>
        <v>声望</v>
      </c>
      <c r="D10795" s="224">
        <f>参数调整!$K$41*怪物掉落配置方案!$D4639</f>
        <v>1.4619860161118714</v>
      </c>
    </row>
    <row r="10796" spans="1:4" ht="16.5" hidden="1" x14ac:dyDescent="0.3">
      <c r="A10796" s="10" t="str">
        <f>基本属性!$B$24&amp;"|"&amp;基本属性!$C$24</f>
        <v>220|14</v>
      </c>
      <c r="B10796" s="10" t="str">
        <f>参数调整!$J$41</f>
        <v>新增怪物种类6掉落</v>
      </c>
      <c r="C10796" s="8" t="str">
        <f>材料产出!$P$2</f>
        <v>声望</v>
      </c>
      <c r="D10796" s="224">
        <f>参数调整!$K$41*怪物掉落配置方案!$D4640</f>
        <v>1.6464848761209909</v>
      </c>
    </row>
    <row r="10797" spans="1:4" ht="16.5" hidden="1" x14ac:dyDescent="0.3">
      <c r="A10797" s="10" t="str">
        <f>基本属性!$B$25&amp;"|"&amp;基本属性!$C$25</f>
        <v>220|15</v>
      </c>
      <c r="B10797" s="10" t="str">
        <f>参数调整!$J$41</f>
        <v>新增怪物种类6掉落</v>
      </c>
      <c r="C10797" s="8" t="str">
        <f>材料产出!$P$2</f>
        <v>声望</v>
      </c>
      <c r="D10797" s="224">
        <f>参数调整!$K$41*怪物掉落配置方案!$D4641</f>
        <v>1.841944064447484</v>
      </c>
    </row>
    <row r="10798" spans="1:4" ht="16.5" hidden="1" x14ac:dyDescent="0.3">
      <c r="A10798" s="10" t="str">
        <f>基本属性!$B$26&amp;"|"&amp;基本属性!$C$26</f>
        <v>230|16</v>
      </c>
      <c r="B10798" s="10" t="str">
        <f>参数调整!$J$41</f>
        <v>新增怪物种类6掉落</v>
      </c>
      <c r="C10798" s="8" t="str">
        <f>材料产出!$P$2</f>
        <v>声望</v>
      </c>
      <c r="D10798" s="224">
        <f>参数调整!$K$41*怪物掉落配置方案!$D4642</f>
        <v>2.0483635810913512</v>
      </c>
    </row>
    <row r="10799" spans="1:4" ht="16.5" hidden="1" x14ac:dyDescent="0.3">
      <c r="A10799" s="10" t="str">
        <f>基本属性!$B$27&amp;"|"&amp;基本属性!$C$27</f>
        <v>230|17</v>
      </c>
      <c r="B10799" s="10" t="str">
        <f>参数调整!$J$41</f>
        <v>新增怪物种类6掉落</v>
      </c>
      <c r="C10799" s="8" t="str">
        <f>材料产出!$P$2</f>
        <v>声望</v>
      </c>
      <c r="D10799" s="224">
        <f>参数调整!$K$41*怪物掉落配置方案!$D4643</f>
        <v>2.265743426052591</v>
      </c>
    </row>
    <row r="10800" spans="1:4" ht="16.5" hidden="1" x14ac:dyDescent="0.3">
      <c r="A10800" s="10" t="str">
        <f>基本属性!$B$28&amp;"|"&amp;基本属性!$C$28</f>
        <v>240|18</v>
      </c>
      <c r="B10800" s="10" t="str">
        <f>参数调整!$J$41</f>
        <v>新增怪物种类6掉落</v>
      </c>
      <c r="C10800" s="8" t="str">
        <f>材料产出!$P$2</f>
        <v>声望</v>
      </c>
      <c r="D10800" s="224">
        <f>参数调整!$K$41*怪物掉落配置方案!$D4644</f>
        <v>2.4940835993312058</v>
      </c>
    </row>
    <row r="10801" spans="1:4" ht="16.5" hidden="1" x14ac:dyDescent="0.3">
      <c r="A10801" s="10" t="str">
        <f>基本属性!$B$29&amp;"|"&amp;基本属性!$C$29</f>
        <v>240|19</v>
      </c>
      <c r="B10801" s="10" t="str">
        <f>参数调整!$J$41</f>
        <v>新增怪物种类6掉落</v>
      </c>
      <c r="C10801" s="8" t="str">
        <f>材料产出!$P$2</f>
        <v>声望</v>
      </c>
      <c r="D10801" s="224">
        <f>参数调整!$K$41*怪物掉落配置方案!$D4645</f>
        <v>2.7333841009271929</v>
      </c>
    </row>
    <row r="10802" spans="1:4" ht="16.5" hidden="1" x14ac:dyDescent="0.3">
      <c r="A10802" s="10" t="str">
        <f>基本属性!$B$30&amp;"|"&amp;基本属性!$C$30</f>
        <v>250|20</v>
      </c>
      <c r="B10802" s="10" t="str">
        <f>参数调整!$J$41</f>
        <v>新增怪物种类6掉落</v>
      </c>
      <c r="C10802" s="8" t="str">
        <f>材料产出!$P$2</f>
        <v>声望</v>
      </c>
      <c r="D10802" s="224">
        <f>参数调整!$K$41*怪物掉落配置方案!$D4646</f>
        <v>2.9836449308405526</v>
      </c>
    </row>
    <row r="10803" spans="1:4" ht="16.5" hidden="1" x14ac:dyDescent="0.3">
      <c r="A10803" s="10" t="str">
        <f>基本属性!$B$4&amp;"|"&amp;基本属性!$C$4</f>
        <v>35|0</v>
      </c>
      <c r="B10803" s="10" t="str">
        <f>参数调整!$J$41</f>
        <v>新增怪物种类6掉落</v>
      </c>
      <c r="C10803" s="8" t="str">
        <f>材料产出!$AV$2</f>
        <v>神器图纸</v>
      </c>
      <c r="D10803" s="224">
        <f>参数调整!$K$41*怪物掉落配置方案!$D4647</f>
        <v>1.7532065970122298E-4</v>
      </c>
    </row>
    <row r="10804" spans="1:4" ht="16.5" hidden="1" x14ac:dyDescent="0.3">
      <c r="A10804" s="10" t="str">
        <f>基本属性!$B$5&amp;"|"&amp;基本属性!$C$5</f>
        <v>40|0</v>
      </c>
      <c r="B10804" s="10" t="str">
        <f>参数调整!$J$41</f>
        <v>新增怪物种类6掉落</v>
      </c>
      <c r="C10804" s="8" t="str">
        <f>材料产出!$AV$2</f>
        <v>神器图纸</v>
      </c>
      <c r="D10804" s="224">
        <f>参数调整!$K$41*怪物掉落配置方案!$D4648</f>
        <v>2.2189020993436035E-4</v>
      </c>
    </row>
    <row r="10805" spans="1:4" ht="16.5" hidden="1" x14ac:dyDescent="0.3">
      <c r="A10805" s="10" t="str">
        <f>基本属性!$B$6&amp;"|"&amp;基本属性!$C$6</f>
        <v>50|0</v>
      </c>
      <c r="B10805" s="10" t="str">
        <f>参数调整!$J$41</f>
        <v>新增怪物种类6掉落</v>
      </c>
      <c r="C10805" s="8" t="str">
        <f>材料产出!$AV$2</f>
        <v>神器图纸</v>
      </c>
      <c r="D10805" s="224">
        <f>参数调整!$K$41*怪物掉落配置方案!$D4649</f>
        <v>2.7393853078316091E-4</v>
      </c>
    </row>
    <row r="10806" spans="1:4" ht="16.5" hidden="1" x14ac:dyDescent="0.3">
      <c r="A10806" s="10" t="str">
        <f>基本属性!$B$7&amp;"|"&amp;基本属性!$C$7</f>
        <v>60|0</v>
      </c>
      <c r="B10806" s="10" t="str">
        <f>参数调整!$J$41</f>
        <v>新增怪物种类6掉落</v>
      </c>
      <c r="C10806" s="8" t="str">
        <f>材料产出!$AV$2</f>
        <v>神器图纸</v>
      </c>
      <c r="D10806" s="224">
        <f>参数调整!$K$41*怪物掉落配置方案!$D4650</f>
        <v>3.3146562224762476E-4</v>
      </c>
    </row>
    <row r="10807" spans="1:4" ht="16.5" hidden="1" x14ac:dyDescent="0.3">
      <c r="A10807" s="10" t="str">
        <f>基本属性!$B$8&amp;"|"&amp;基本属性!$C$8</f>
        <v>65|0</v>
      </c>
      <c r="B10807" s="10" t="str">
        <f>参数调整!$J$41</f>
        <v>新增怪物种类6掉落</v>
      </c>
      <c r="C10807" s="8" t="str">
        <f>材料产出!$AV$2</f>
        <v>神器图纸</v>
      </c>
      <c r="D10807" s="224">
        <f>参数调整!$K$41*怪物掉落配置方案!$D4651</f>
        <v>3.944714843277517E-4</v>
      </c>
    </row>
    <row r="10808" spans="1:4" ht="16.5" hidden="1" x14ac:dyDescent="0.3">
      <c r="A10808" s="10" t="str">
        <f>基本属性!$B$9&amp;"|"&amp;基本属性!$C$9</f>
        <v>70|0</v>
      </c>
      <c r="B10808" s="10" t="str">
        <f>参数调整!$J$41</f>
        <v>新增怪物种类6掉落</v>
      </c>
      <c r="C10808" s="8" t="str">
        <f>材料产出!$AV$2</f>
        <v>神器图纸</v>
      </c>
      <c r="D10808" s="224">
        <f>参数调整!$K$41*怪物掉落配置方案!$D4652</f>
        <v>4.6295611702354194E-4</v>
      </c>
    </row>
    <row r="10809" spans="1:4" ht="16.5" hidden="1" x14ac:dyDescent="0.3">
      <c r="A10809" s="10" t="str">
        <f>基本属性!$B$10&amp;"|"&amp;基本属性!$C$10</f>
        <v>75|0</v>
      </c>
      <c r="B10809" s="10" t="str">
        <f>参数调整!$J$41</f>
        <v>新增怪物种类6掉落</v>
      </c>
      <c r="C10809" s="8" t="str">
        <f>材料产出!$AV$2</f>
        <v>神器图纸</v>
      </c>
      <c r="D10809" s="224">
        <f>参数调整!$K$41*怪物掉落配置方案!$D4653</f>
        <v>5.3691952033499543E-4</v>
      </c>
    </row>
    <row r="10810" spans="1:4" ht="16.5" hidden="1" x14ac:dyDescent="0.3">
      <c r="A10810" s="10" t="str">
        <f>基本属性!$B$11&amp;"|"&amp;基本属性!$C$11</f>
        <v>80|1</v>
      </c>
      <c r="B10810" s="10" t="str">
        <f>参数调整!$J$41</f>
        <v>新增怪物种类6掉落</v>
      </c>
      <c r="C10810" s="8" t="str">
        <f>材料产出!$AV$2</f>
        <v>神器图纸</v>
      </c>
      <c r="D10810" s="224">
        <f>参数调整!$K$41*怪物掉落配置方案!$D4654</f>
        <v>6.1636169426211194E-4</v>
      </c>
    </row>
    <row r="10811" spans="1:4" ht="16.5" hidden="1" x14ac:dyDescent="0.3">
      <c r="A10811" s="10" t="str">
        <f>基本属性!$B$12&amp;"|"&amp;基本属性!$C$12</f>
        <v>90|2</v>
      </c>
      <c r="B10811" s="10" t="str">
        <f>参数调整!$J$41</f>
        <v>新增怪物种类6掉落</v>
      </c>
      <c r="C10811" s="8" t="str">
        <f>材料产出!$AV$2</f>
        <v>神器图纸</v>
      </c>
      <c r="D10811" s="224">
        <f>参数调整!$K$41*怪物掉落配置方案!$D4655</f>
        <v>7.0128263880489213E-4</v>
      </c>
    </row>
    <row r="10812" spans="1:4" ht="16.5" hidden="1" x14ac:dyDescent="0.3">
      <c r="A10812" s="10" t="str">
        <f>基本属性!$B$13&amp;"|"&amp;基本属性!$C$13</f>
        <v>100|3</v>
      </c>
      <c r="B10812" s="10" t="str">
        <f>参数调整!$J$41</f>
        <v>新增怪物种类6掉落</v>
      </c>
      <c r="C10812" s="8" t="str">
        <f>材料产出!$AV$2</f>
        <v>神器图纸</v>
      </c>
      <c r="D10812" s="224">
        <f>参数调整!$K$41*怪物掉落配置方案!$D4656</f>
        <v>8.8756083973744149E-4</v>
      </c>
    </row>
    <row r="10813" spans="1:4" ht="16.5" hidden="1" x14ac:dyDescent="0.3">
      <c r="A10813" s="10" t="str">
        <f>基本属性!$B$14&amp;"|"&amp;基本属性!$C$14</f>
        <v>105|4</v>
      </c>
      <c r="B10813" s="10" t="str">
        <f>参数调整!$J$41</f>
        <v>新增怪物种类6掉落</v>
      </c>
      <c r="C10813" s="8" t="str">
        <f>材料产出!$AV$2</f>
        <v>神器图纸</v>
      </c>
      <c r="D10813" s="224">
        <f>参数调整!$K$41*怪物掉落配置方案!$D4657</f>
        <v>1.0957541231326438E-3</v>
      </c>
    </row>
    <row r="10814" spans="1:4" ht="16.5" hidden="1" x14ac:dyDescent="0.3">
      <c r="A10814" s="10" t="str">
        <f>基本属性!$B$15&amp;"|"&amp;基本属性!$C$15</f>
        <v>110|5</v>
      </c>
      <c r="B10814" s="10" t="str">
        <f>参数调整!$J$41</f>
        <v>新增怪物种类6掉落</v>
      </c>
      <c r="C10814" s="8" t="str">
        <f>材料产出!$AV$2</f>
        <v>神器图纸</v>
      </c>
      <c r="D10814" s="224">
        <f>参数调整!$K$41*怪物掉落配置方案!$D4658</f>
        <v>1.3258624889904991E-3</v>
      </c>
    </row>
    <row r="10815" spans="1:4" ht="16.5" hidden="1" x14ac:dyDescent="0.3">
      <c r="A10815" s="10" t="str">
        <f>基本属性!$B$16&amp;"|"&amp;基本属性!$C$16</f>
        <v>120|6</v>
      </c>
      <c r="B10815" s="10" t="str">
        <f>参数调整!$J$41</f>
        <v>新增怪物种类6掉落</v>
      </c>
      <c r="C10815" s="8" t="str">
        <f>材料产出!$AV$2</f>
        <v>神器图纸</v>
      </c>
      <c r="D10815" s="224">
        <f>参数调整!$K$41*怪物掉落配置方案!$D4659</f>
        <v>1.7121158173947558E-3</v>
      </c>
    </row>
    <row r="10816" spans="1:4" ht="16.5" hidden="1" x14ac:dyDescent="0.3">
      <c r="A10816" s="10" t="str">
        <f>基本属性!$B$17&amp;"|"&amp;基本属性!$C$17</f>
        <v>135|7</v>
      </c>
      <c r="B10816" s="10" t="str">
        <f>参数调整!$J$41</f>
        <v>新增怪物种类6掉落</v>
      </c>
      <c r="C10816" s="8" t="str">
        <f>材料产出!$AV$2</f>
        <v>神器图纸</v>
      </c>
      <c r="D10816" s="224">
        <f>参数调整!$K$41*怪物掉落配置方案!$D4660</f>
        <v>2.4654467770484478E-3</v>
      </c>
    </row>
    <row r="10817" spans="1:4" ht="16.5" hidden="1" x14ac:dyDescent="0.3">
      <c r="A10817" s="10" t="str">
        <f>基本属性!$B$18&amp;"|"&amp;基本属性!$C$18</f>
        <v>155|8</v>
      </c>
      <c r="B10817" s="10" t="str">
        <f>参数调整!$J$41</f>
        <v>新增怪物种类6掉落</v>
      </c>
      <c r="C10817" s="8" t="str">
        <f>材料产出!$AV$2</f>
        <v>神器图纸</v>
      </c>
      <c r="D10817" s="224">
        <f>参数调整!$K$41*怪物掉落配置方案!$D4661</f>
        <v>3.3557470020937215E-3</v>
      </c>
    </row>
    <row r="10818" spans="1:4" ht="16.5" hidden="1" x14ac:dyDescent="0.3">
      <c r="A10818" s="10" t="str">
        <f>基本属性!$B$19&amp;"|"&amp;基本属性!$C$19</f>
        <v>190|9</v>
      </c>
      <c r="B10818" s="10" t="str">
        <f>参数调整!$J$41</f>
        <v>新增怪物种类6掉落</v>
      </c>
      <c r="C10818" s="8" t="str">
        <f>材料产出!$AV$2</f>
        <v>神器图纸</v>
      </c>
      <c r="D10818" s="224">
        <f>参数调整!$K$41*怪物掉落配置方案!$D4662</f>
        <v>3.750218486421473E-3</v>
      </c>
    </row>
    <row r="10819" spans="1:4" ht="16.5" hidden="1" x14ac:dyDescent="0.3">
      <c r="A10819" s="10" t="str">
        <f>基本属性!$B$20&amp;"|"&amp;基本属性!$C$20</f>
        <v>200|10</v>
      </c>
      <c r="B10819" s="10" t="str">
        <f>参数调整!$J$41</f>
        <v>新增怪物种类6掉落</v>
      </c>
      <c r="C10819" s="8" t="str">
        <f>材料产出!$AV$2</f>
        <v>神器图纸</v>
      </c>
      <c r="D10819" s="224">
        <f>参数调整!$K$41*怪物掉落配置方案!$D4663</f>
        <v>4.3830164925305753E-3</v>
      </c>
    </row>
    <row r="10820" spans="1:4" ht="16.5" hidden="1" x14ac:dyDescent="0.3">
      <c r="A10820" s="10" t="str">
        <f>基本属性!$B$21&amp;"|"&amp;基本属性!$C$21</f>
        <v>200|11</v>
      </c>
      <c r="B10820" s="10" t="str">
        <f>参数调整!$J$41</f>
        <v>新增怪物种类6掉落</v>
      </c>
      <c r="C10820" s="8" t="str">
        <f>材料产出!$AV$2</f>
        <v>神器图纸</v>
      </c>
      <c r="D10820" s="224">
        <f>参数调整!$K$41*怪物掉落配置方案!$D4664</f>
        <v>5.0651234341806441E-3</v>
      </c>
    </row>
    <row r="10821" spans="1:4" ht="16.5" hidden="1" x14ac:dyDescent="0.3">
      <c r="A10821" s="10" t="str">
        <f>基本属性!$B$22&amp;"|"&amp;基本属性!$C$22</f>
        <v>210|12</v>
      </c>
      <c r="B10821" s="10" t="str">
        <f>参数调整!$J$41</f>
        <v>新增怪物种类6掉落</v>
      </c>
      <c r="C10821" s="8" t="str">
        <f>材料产出!$AV$2</f>
        <v>神器图纸</v>
      </c>
      <c r="D10821" s="224">
        <f>参数调整!$K$41*怪物掉落配置方案!$D4665</f>
        <v>5.7965393113716835E-3</v>
      </c>
    </row>
    <row r="10822" spans="1:4" ht="16.5" hidden="1" x14ac:dyDescent="0.3">
      <c r="A10822" s="10" t="str">
        <f>基本属性!$B$23&amp;"|"&amp;基本属性!$C$23</f>
        <v>210|13</v>
      </c>
      <c r="B10822" s="10" t="str">
        <f>参数调整!$J$41</f>
        <v>新增怪物种类6掉落</v>
      </c>
      <c r="C10822" s="8" t="str">
        <f>材料产出!$AV$2</f>
        <v>神器图纸</v>
      </c>
      <c r="D10822" s="224">
        <f>参数调整!$K$41*怪物掉落配置方案!$D4666</f>
        <v>6.5772641241036954E-3</v>
      </c>
    </row>
    <row r="10823" spans="1:4" ht="16.5" hidden="1" x14ac:dyDescent="0.3">
      <c r="A10823" s="10" t="str">
        <f>基本属性!$B$24&amp;"|"&amp;基本属性!$C$24</f>
        <v>220|14</v>
      </c>
      <c r="B10823" s="10" t="str">
        <f>参数调整!$J$41</f>
        <v>新增怪物种类6掉落</v>
      </c>
      <c r="C10823" s="8" t="str">
        <f>材料产出!$AV$2</f>
        <v>神器图纸</v>
      </c>
      <c r="D10823" s="224">
        <f>参数调整!$K$41*怪物掉落配置方案!$D4667</f>
        <v>7.4072978723766711E-3</v>
      </c>
    </row>
    <row r="10824" spans="1:4" ht="16.5" hidden="1" x14ac:dyDescent="0.3">
      <c r="A10824" s="10" t="str">
        <f>基本属性!$B$25&amp;"|"&amp;基本属性!$C$25</f>
        <v>220|15</v>
      </c>
      <c r="B10824" s="10" t="str">
        <f>参数调整!$J$41</f>
        <v>新增怪物种类6掉落</v>
      </c>
      <c r="C10824" s="8" t="str">
        <f>材料产出!$AV$2</f>
        <v>神器图纸</v>
      </c>
      <c r="D10824" s="224">
        <f>参数调整!$K$41*怪物掉落配置方案!$D4668</f>
        <v>8.2866405561906158E-3</v>
      </c>
    </row>
    <row r="10825" spans="1:4" ht="16.5" hidden="1" x14ac:dyDescent="0.3">
      <c r="A10825" s="10" t="str">
        <f>基本属性!$B$26&amp;"|"&amp;基本属性!$C$26</f>
        <v>230|16</v>
      </c>
      <c r="B10825" s="10" t="str">
        <f>参数调整!$J$41</f>
        <v>新增怪物种类6掉落</v>
      </c>
      <c r="C10825" s="8" t="str">
        <f>材料产出!$AV$2</f>
        <v>神器图纸</v>
      </c>
      <c r="D10825" s="224">
        <f>参数调整!$K$41*怪物掉落配置方案!$D4669</f>
        <v>9.2152921755455329E-3</v>
      </c>
    </row>
    <row r="10826" spans="1:4" ht="16.5" hidden="1" x14ac:dyDescent="0.3">
      <c r="A10826" s="10" t="str">
        <f>基本属性!$B$27&amp;"|"&amp;基本属性!$C$27</f>
        <v>230|17</v>
      </c>
      <c r="B10826" s="10" t="str">
        <f>参数调整!$J$41</f>
        <v>新增怪物种类6掉落</v>
      </c>
      <c r="C10826" s="8" t="str">
        <f>材料产出!$AV$2</f>
        <v>神器图纸</v>
      </c>
      <c r="D10826" s="224">
        <f>参数调整!$K$41*怪物掉落配置方案!$D4670</f>
        <v>1.0193252730441416E-2</v>
      </c>
    </row>
    <row r="10827" spans="1:4" ht="16.5" hidden="1" x14ac:dyDescent="0.3">
      <c r="A10827" s="10" t="str">
        <f>基本属性!$B$28&amp;"|"&amp;基本属性!$C$28</f>
        <v>240|18</v>
      </c>
      <c r="B10827" s="10" t="str">
        <f>参数调整!$J$41</f>
        <v>新增怪物种类6掉落</v>
      </c>
      <c r="C10827" s="8" t="str">
        <f>材料产出!$AV$2</f>
        <v>神器图纸</v>
      </c>
      <c r="D10827" s="224">
        <f>参数调整!$K$41*怪物掉落配置方案!$D4671</f>
        <v>1.1220522220878274E-2</v>
      </c>
    </row>
    <row r="10828" spans="1:4" ht="16.5" hidden="1" x14ac:dyDescent="0.3">
      <c r="A10828" s="10" t="str">
        <f>基本属性!$B$29&amp;"|"&amp;基本属性!$C$29</f>
        <v>240|19</v>
      </c>
      <c r="B10828" s="10" t="str">
        <f>参数调整!$J$41</f>
        <v>新增怪物种类6掉落</v>
      </c>
      <c r="C10828" s="8" t="str">
        <f>材料产出!$AV$2</f>
        <v>神器图纸</v>
      </c>
      <c r="D10828" s="224">
        <f>参数调整!$K$41*怪物掉落配置方案!$D4672</f>
        <v>1.2297100646856095E-2</v>
      </c>
    </row>
    <row r="10829" spans="1:4" ht="16.5" hidden="1" x14ac:dyDescent="0.3">
      <c r="A10829" s="10" t="str">
        <f>基本属性!$B$30&amp;"|"&amp;基本属性!$C$30</f>
        <v>250|20</v>
      </c>
      <c r="B10829" s="10" t="str">
        <f>参数调整!$J$41</f>
        <v>新增怪物种类6掉落</v>
      </c>
      <c r="C10829" s="8" t="str">
        <f>材料产出!$AV$2</f>
        <v>神器图纸</v>
      </c>
      <c r="D10829" s="224">
        <f>参数调整!$K$41*怪物掉落配置方案!$D4673</f>
        <v>1.3422988008374884E-2</v>
      </c>
    </row>
    <row r="10830" spans="1:4" ht="16.5" hidden="1" x14ac:dyDescent="0.3">
      <c r="A10830" s="10" t="str">
        <f>基本属性!$B$4&amp;"|"&amp;基本属性!$C$4</f>
        <v>35|0</v>
      </c>
      <c r="B10830" s="10" t="str">
        <f>参数调整!$J$41</f>
        <v>新增怪物种类6掉落</v>
      </c>
      <c r="C10830" s="8" t="str">
        <f>材料产出!$AH$2</f>
        <v>神品升星石</v>
      </c>
      <c r="D10830" s="224">
        <f>参数调整!$K$41*怪物掉落配置方案!$D4674</f>
        <v>2.7219025570872357E-3</v>
      </c>
    </row>
    <row r="10831" spans="1:4" ht="16.5" hidden="1" x14ac:dyDescent="0.3">
      <c r="A10831" s="10" t="str">
        <f>基本属性!$B$5&amp;"|"&amp;基本属性!$C$5</f>
        <v>40|0</v>
      </c>
      <c r="B10831" s="10" t="str">
        <f>参数调整!$J$41</f>
        <v>新增怪物种类6掉落</v>
      </c>
      <c r="C10831" s="8" t="str">
        <f>材料产出!$AH$2</f>
        <v>神品升星石</v>
      </c>
      <c r="D10831" s="224">
        <f>参数调整!$K$41*怪物掉落配置方案!$D4675</f>
        <v>3.4449079238135327E-3</v>
      </c>
    </row>
    <row r="10832" spans="1:4" ht="16.5" hidden="1" x14ac:dyDescent="0.3">
      <c r="A10832" s="10" t="str">
        <f>基本属性!$B$6&amp;"|"&amp;基本属性!$C$6</f>
        <v>50|0</v>
      </c>
      <c r="B10832" s="10" t="str">
        <f>参数调整!$J$41</f>
        <v>新增怪物种类6掉落</v>
      </c>
      <c r="C10832" s="8" t="str">
        <f>材料产出!$AH$2</f>
        <v>神品升星石</v>
      </c>
      <c r="D10832" s="224">
        <f>参数调整!$K$41*怪物掉落配置方案!$D4676</f>
        <v>4.2529727454488058E-3</v>
      </c>
    </row>
    <row r="10833" spans="1:4" ht="16.5" hidden="1" x14ac:dyDescent="0.3">
      <c r="A10833" s="10" t="str">
        <f>基本属性!$B$7&amp;"|"&amp;基本属性!$C$7</f>
        <v>60|0</v>
      </c>
      <c r="B10833" s="10" t="str">
        <f>参数调整!$J$41</f>
        <v>新增怪物种类6掉落</v>
      </c>
      <c r="C10833" s="8" t="str">
        <f>材料产出!$AH$2</f>
        <v>神品升星石</v>
      </c>
      <c r="D10833" s="224">
        <f>参数调整!$K$41*怪物掉落配置方案!$D4677</f>
        <v>5.1460970219930555E-3</v>
      </c>
    </row>
    <row r="10834" spans="1:4" ht="16.5" hidden="1" x14ac:dyDescent="0.3">
      <c r="A10834" s="10" t="str">
        <f>基本属性!$B$8&amp;"|"&amp;基本属性!$C$8</f>
        <v>65|0</v>
      </c>
      <c r="B10834" s="10" t="str">
        <f>参数调整!$J$41</f>
        <v>新增怪物种类6掉落</v>
      </c>
      <c r="C10834" s="8" t="str">
        <f>材料产出!$AH$2</f>
        <v>神品升星石</v>
      </c>
      <c r="D10834" s="224">
        <f>参数调整!$K$41*怪物掉落配置方案!$D4678</f>
        <v>6.1242807534462804E-3</v>
      </c>
    </row>
    <row r="10835" spans="1:4" ht="16.5" hidden="1" x14ac:dyDescent="0.3">
      <c r="A10835" s="10" t="str">
        <f>基本属性!$B$9&amp;"|"&amp;基本属性!$C$9</f>
        <v>70|0</v>
      </c>
      <c r="B10835" s="10" t="str">
        <f>参数调整!$J$41</f>
        <v>新增怪物种类6掉落</v>
      </c>
      <c r="C10835" s="8" t="str">
        <f>材料产出!$AH$2</f>
        <v>神品升星石</v>
      </c>
      <c r="D10835" s="224">
        <f>参数调整!$K$41*怪物掉落配置方案!$D4679</f>
        <v>7.1875239398084823E-3</v>
      </c>
    </row>
    <row r="10836" spans="1:4" ht="16.5" hidden="1" x14ac:dyDescent="0.3">
      <c r="A10836" s="10" t="str">
        <f>基本属性!$B$10&amp;"|"&amp;基本属性!$C$10</f>
        <v>75|0</v>
      </c>
      <c r="B10836" s="10" t="str">
        <f>参数调整!$J$41</f>
        <v>新增怪物种类6掉落</v>
      </c>
      <c r="C10836" s="8" t="str">
        <f>材料产出!$AH$2</f>
        <v>神品升星石</v>
      </c>
      <c r="D10836" s="224">
        <f>参数调整!$K$41*怪物掉落配置方案!$D4680</f>
        <v>8.3358265810796577E-3</v>
      </c>
    </row>
    <row r="10837" spans="1:4" ht="16.5" hidden="1" x14ac:dyDescent="0.3">
      <c r="A10837" s="10" t="str">
        <f>基本属性!$B$11&amp;"|"&amp;基本属性!$C$11</f>
        <v>80|1</v>
      </c>
      <c r="B10837" s="10" t="str">
        <f>参数调整!$J$41</f>
        <v>新增怪物种类6掉落</v>
      </c>
      <c r="C10837" s="8" t="str">
        <f>材料产出!$AH$2</f>
        <v>神品升星石</v>
      </c>
      <c r="D10837" s="224">
        <f>参数调整!$K$41*怪物掉落配置方案!$D4681</f>
        <v>9.5691886772598135E-3</v>
      </c>
    </row>
    <row r="10838" spans="1:4" ht="16.5" hidden="1" x14ac:dyDescent="0.3">
      <c r="A10838" s="10" t="str">
        <f>基本属性!$B$12&amp;"|"&amp;基本属性!$C$12</f>
        <v>90|2</v>
      </c>
      <c r="B10838" s="10" t="str">
        <f>参数调整!$J$41</f>
        <v>新增怪物种类6掉落</v>
      </c>
      <c r="C10838" s="8" t="str">
        <f>材料产出!$AH$2</f>
        <v>神品升星石</v>
      </c>
      <c r="D10838" s="224">
        <f>参数调整!$K$41*怪物掉落配置方案!$D4682</f>
        <v>1.0887610228348945E-2</v>
      </c>
    </row>
    <row r="10839" spans="1:4" ht="16.5" hidden="1" x14ac:dyDescent="0.3">
      <c r="A10839" s="10" t="str">
        <f>基本属性!$B$13&amp;"|"&amp;基本属性!$C$13</f>
        <v>100|3</v>
      </c>
      <c r="B10839" s="10" t="str">
        <f>参数调整!$J$41</f>
        <v>新增怪物种类6掉落</v>
      </c>
      <c r="C10839" s="8" t="str">
        <f>材料产出!$AH$2</f>
        <v>神品升星石</v>
      </c>
      <c r="D10839" s="224">
        <f>参数调整!$K$41*怪物掉落配置方案!$D4683</f>
        <v>1.3779631695254133E-2</v>
      </c>
    </row>
    <row r="10840" spans="1:4" ht="16.5" hidden="1" x14ac:dyDescent="0.3">
      <c r="A10840" s="10" t="str">
        <f>基本属性!$B$14&amp;"|"&amp;基本属性!$C$14</f>
        <v>105|4</v>
      </c>
      <c r="B10840" s="10" t="str">
        <f>参数调整!$J$41</f>
        <v>新增怪物种类6掉落</v>
      </c>
      <c r="C10840" s="8" t="str">
        <f>材料产出!$AH$2</f>
        <v>神品升星石</v>
      </c>
      <c r="D10840" s="224">
        <f>参数调整!$K$41*怪物掉落配置方案!$D4684</f>
        <v>1.7011890981795223E-2</v>
      </c>
    </row>
    <row r="10841" spans="1:4" ht="16.5" hidden="1" x14ac:dyDescent="0.3">
      <c r="A10841" s="10" t="str">
        <f>基本属性!$B$15&amp;"|"&amp;基本属性!$C$15</f>
        <v>110|5</v>
      </c>
      <c r="B10841" s="10" t="str">
        <f>参数调整!$J$41</f>
        <v>新增怪物种类6掉落</v>
      </c>
      <c r="C10841" s="8" t="str">
        <f>材料产出!$AH$2</f>
        <v>神品升星石</v>
      </c>
      <c r="D10841" s="224">
        <f>参数调整!$K$41*怪物掉落配置方案!$D4685</f>
        <v>2.0584388087972222E-2</v>
      </c>
    </row>
    <row r="10842" spans="1:4" ht="16.5" hidden="1" x14ac:dyDescent="0.3">
      <c r="A10842" s="10" t="str">
        <f>基本属性!$B$16&amp;"|"&amp;基本属性!$C$16</f>
        <v>120|6</v>
      </c>
      <c r="B10842" s="10" t="str">
        <f>参数调整!$J$41</f>
        <v>新增怪物种类6掉落</v>
      </c>
      <c r="C10842" s="8" t="str">
        <f>材料产出!$AH$2</f>
        <v>神品升星石</v>
      </c>
      <c r="D10842" s="224">
        <f>参数调整!$K$41*怪物掉落配置方案!$D4686</f>
        <v>2.6581079659055044E-2</v>
      </c>
    </row>
    <row r="10843" spans="1:4" ht="16.5" hidden="1" x14ac:dyDescent="0.3">
      <c r="A10843" s="10" t="str">
        <f>基本属性!$B$17&amp;"|"&amp;基本属性!$C$17</f>
        <v>135|7</v>
      </c>
      <c r="B10843" s="10" t="str">
        <f>参数调整!$J$41</f>
        <v>新增怪物种类6掉落</v>
      </c>
      <c r="C10843" s="8" t="str">
        <f>材料产出!$AH$2</f>
        <v>神品升星石</v>
      </c>
      <c r="D10843" s="224">
        <f>参数调整!$K$41*怪物掉落配置方案!$D4687</f>
        <v>3.8276754709039254E-2</v>
      </c>
    </row>
    <row r="10844" spans="1:4" ht="16.5" hidden="1" x14ac:dyDescent="0.3">
      <c r="A10844" s="10" t="str">
        <f>基本属性!$B$18&amp;"|"&amp;基本属性!$C$18</f>
        <v>155|8</v>
      </c>
      <c r="B10844" s="10" t="str">
        <f>参数调整!$J$41</f>
        <v>新增怪物种类6掉落</v>
      </c>
      <c r="C10844" s="8" t="str">
        <f>材料产出!$AH$2</f>
        <v>神品升星石</v>
      </c>
      <c r="D10844" s="224">
        <f>参数调整!$K$41*怪物掉落配置方案!$D4688</f>
        <v>5.2098916131747879E-2</v>
      </c>
    </row>
    <row r="10845" spans="1:4" ht="16.5" hidden="1" x14ac:dyDescent="0.3">
      <c r="A10845" s="10" t="str">
        <f>基本属性!$B$19&amp;"|"&amp;基本属性!$C$19</f>
        <v>190|9</v>
      </c>
      <c r="B10845" s="10" t="str">
        <f>参数调整!$J$41</f>
        <v>新增怪物种类6掉落</v>
      </c>
      <c r="C10845" s="8" t="str">
        <f>材料产出!$AH$2</f>
        <v>神品升星石</v>
      </c>
      <c r="D10845" s="224">
        <f>参数调整!$K$41*怪物掉落配置方案!$D4689</f>
        <v>5.8223196885194159E-2</v>
      </c>
    </row>
    <row r="10846" spans="1:4" ht="16.5" hidden="1" x14ac:dyDescent="0.3">
      <c r="A10846" s="10" t="str">
        <f>基本属性!$B$20&amp;"|"&amp;基本属性!$C$20</f>
        <v>200|10</v>
      </c>
      <c r="B10846" s="10" t="str">
        <f>参数调整!$J$41</f>
        <v>新增怪物种类6掉落</v>
      </c>
      <c r="C10846" s="8" t="str">
        <f>材料产出!$AH$2</f>
        <v>神品升星石</v>
      </c>
      <c r="D10846" s="224">
        <f>参数调整!$K$41*怪物掉落配置方案!$D4690</f>
        <v>6.8047563927180893E-2</v>
      </c>
    </row>
    <row r="10847" spans="1:4" ht="16.5" hidden="1" x14ac:dyDescent="0.3">
      <c r="A10847" s="10" t="str">
        <f>基本属性!$B$21&amp;"|"&amp;基本属性!$C$21</f>
        <v>200|11</v>
      </c>
      <c r="B10847" s="10" t="str">
        <f>参数调整!$J$41</f>
        <v>新增怪物种类6掉落</v>
      </c>
      <c r="C10847" s="8" t="str">
        <f>材料产出!$AH$2</f>
        <v>神品升星石</v>
      </c>
      <c r="D10847" s="224">
        <f>参数调整!$K$41*怪物掉落配置方案!$D4691</f>
        <v>7.8637466063348399E-2</v>
      </c>
    </row>
    <row r="10848" spans="1:4" ht="16.5" hidden="1" x14ac:dyDescent="0.3">
      <c r="A10848" s="10" t="str">
        <f>基本属性!$B$22&amp;"|"&amp;基本属性!$C$22</f>
        <v>210|12</v>
      </c>
      <c r="B10848" s="10" t="str">
        <f>参数调整!$J$41</f>
        <v>新增怪物种类6掉落</v>
      </c>
      <c r="C10848" s="8" t="str">
        <f>材料产出!$AH$2</f>
        <v>神品升星石</v>
      </c>
      <c r="D10848" s="224">
        <f>参数调整!$K$41*怪物掉落配置方案!$D4692</f>
        <v>8.9992903293696705E-2</v>
      </c>
    </row>
    <row r="10849" spans="1:4" ht="16.5" hidden="1" x14ac:dyDescent="0.3">
      <c r="A10849" s="10" t="str">
        <f>基本属性!$B$23&amp;"|"&amp;基本属性!$C$23</f>
        <v>210|13</v>
      </c>
      <c r="B10849" s="10" t="str">
        <f>参数调整!$J$41</f>
        <v>新增怪物种类6掉落</v>
      </c>
      <c r="C10849" s="8" t="str">
        <f>材料产出!$AH$2</f>
        <v>神品升星石</v>
      </c>
      <c r="D10849" s="224">
        <f>参数调整!$K$41*怪物掉落配置方案!$D4693</f>
        <v>0.10211387561822585</v>
      </c>
    </row>
    <row r="10850" spans="1:4" ht="16.5" hidden="1" x14ac:dyDescent="0.3">
      <c r="A10850" s="10" t="str">
        <f>基本属性!$B$24&amp;"|"&amp;基本属性!$C$24</f>
        <v>220|14</v>
      </c>
      <c r="B10850" s="10" t="str">
        <f>参数调整!$J$41</f>
        <v>新增怪物种类6掉落</v>
      </c>
      <c r="C10850" s="8" t="str">
        <f>材料产出!$AH$2</f>
        <v>神品升星石</v>
      </c>
      <c r="D10850" s="224">
        <f>参数调整!$K$41*怪物掉落配置方案!$D4694</f>
        <v>0.11500038303693572</v>
      </c>
    </row>
    <row r="10851" spans="1:4" ht="16.5" hidden="1" x14ac:dyDescent="0.3">
      <c r="A10851" s="10" t="str">
        <f>基本属性!$B$25&amp;"|"&amp;基本属性!$C$25</f>
        <v>220|15</v>
      </c>
      <c r="B10851" s="10" t="str">
        <f>参数调整!$J$41</f>
        <v>新增怪物种类6掉落</v>
      </c>
      <c r="C10851" s="8" t="str">
        <f>材料产出!$AH$2</f>
        <v>神品升星石</v>
      </c>
      <c r="D10851" s="224">
        <f>参数调整!$K$41*怪物掉落配置方案!$D4695</f>
        <v>0.12865242554982637</v>
      </c>
    </row>
    <row r="10852" spans="1:4" ht="16.5" hidden="1" x14ac:dyDescent="0.3">
      <c r="A10852" s="10" t="str">
        <f>基本属性!$B$26&amp;"|"&amp;基本属性!$C$26</f>
        <v>230|16</v>
      </c>
      <c r="B10852" s="10" t="str">
        <f>参数调整!$J$41</f>
        <v>新增怪物种类6掉落</v>
      </c>
      <c r="C10852" s="8" t="str">
        <f>材料产出!$AH$2</f>
        <v>神品升星石</v>
      </c>
      <c r="D10852" s="224">
        <f>参数调整!$K$41*怪物掉落配置方案!$D4696</f>
        <v>0.14307000315689783</v>
      </c>
    </row>
    <row r="10853" spans="1:4" ht="16.5" hidden="1" x14ac:dyDescent="0.3">
      <c r="A10853" s="10" t="str">
        <f>基本属性!$B$27&amp;"|"&amp;基本属性!$C$27</f>
        <v>230|17</v>
      </c>
      <c r="B10853" s="10" t="str">
        <f>参数调整!$J$41</f>
        <v>新增怪物种类6掉落</v>
      </c>
      <c r="C10853" s="8" t="str">
        <f>材料产出!$AH$2</f>
        <v>神品升星石</v>
      </c>
      <c r="D10853" s="224">
        <f>参数调整!$K$41*怪物掉落配置方案!$D4697</f>
        <v>0.15825311585815005</v>
      </c>
    </row>
    <row r="10854" spans="1:4" ht="16.5" hidden="1" x14ac:dyDescent="0.3">
      <c r="A10854" s="10" t="str">
        <f>基本属性!$B$28&amp;"|"&amp;基本属性!$C$28</f>
        <v>240|18</v>
      </c>
      <c r="B10854" s="10" t="str">
        <f>参数调整!$J$41</f>
        <v>新增怪物种类6掉落</v>
      </c>
      <c r="C10854" s="8" t="str">
        <f>材料产出!$AH$2</f>
        <v>神品升星石</v>
      </c>
      <c r="D10854" s="224">
        <f>参数调整!$K$41*怪物掉落配置方案!$D4698</f>
        <v>0.17420176365358309</v>
      </c>
    </row>
    <row r="10855" spans="1:4" ht="16.5" hidden="1" x14ac:dyDescent="0.3">
      <c r="A10855" s="10" t="str">
        <f>基本属性!$B$29&amp;"|"&amp;基本属性!$C$29</f>
        <v>240|19</v>
      </c>
      <c r="B10855" s="10" t="str">
        <f>参数调整!$J$41</f>
        <v>新增怪物种类6掉落</v>
      </c>
      <c r="C10855" s="8" t="str">
        <f>材料产出!$AH$2</f>
        <v>神品升星石</v>
      </c>
      <c r="D10855" s="224">
        <f>参数调整!$K$41*怪物掉落配置方案!$D4699</f>
        <v>0.19091594654319693</v>
      </c>
    </row>
    <row r="10856" spans="1:4" ht="16.5" hidden="1" x14ac:dyDescent="0.3">
      <c r="A10856" s="10" t="str">
        <f>基本属性!$B$30&amp;"|"&amp;基本属性!$C$30</f>
        <v>250|20</v>
      </c>
      <c r="B10856" s="10" t="str">
        <f>参数调整!$J$41</f>
        <v>新增怪物种类6掉落</v>
      </c>
      <c r="C10856" s="8" t="str">
        <f>材料产出!$AH$2</f>
        <v>神品升星石</v>
      </c>
      <c r="D10856" s="224">
        <f>参数调整!$K$41*怪物掉落配置方案!$D4700</f>
        <v>0.20839566452699143</v>
      </c>
    </row>
    <row r="10857" spans="1:4" ht="16.5" hidden="1" x14ac:dyDescent="0.3">
      <c r="A10857" s="10" t="str">
        <f>基本属性!$B$4&amp;"|"&amp;基本属性!$C$4</f>
        <v>35|0</v>
      </c>
      <c r="B10857" s="10" t="str">
        <f>参数调整!$J$41</f>
        <v>新增怪物种类6掉落</v>
      </c>
      <c r="C10857" s="8" t="str">
        <f>材料产出!$AL$2</f>
        <v>上品注灵石</v>
      </c>
      <c r="D10857" s="224">
        <f>参数调整!$K$41*怪物掉落配置方案!$D4701</f>
        <v>1.55532308682707E-2</v>
      </c>
    </row>
    <row r="10858" spans="1:4" ht="16.5" hidden="1" x14ac:dyDescent="0.3">
      <c r="A10858" s="10" t="str">
        <f>基本属性!$B$5&amp;"|"&amp;基本属性!$C$5</f>
        <v>40|0</v>
      </c>
      <c r="B10858" s="10" t="str">
        <f>参数调整!$J$41</f>
        <v>新增怪物种类6掉落</v>
      </c>
      <c r="C10858" s="8" t="str">
        <f>材料产出!$AL$2</f>
        <v>上品注灵石</v>
      </c>
      <c r="D10858" s="224">
        <f>参数调整!$K$41*怪物掉落配置方案!$D4702</f>
        <v>1.9684557817655105E-2</v>
      </c>
    </row>
    <row r="10859" spans="1:4" ht="16.5" hidden="1" x14ac:dyDescent="0.3">
      <c r="A10859" s="10" t="str">
        <f>基本属性!$B$6&amp;"|"&amp;基本属性!$C$6</f>
        <v>50|0</v>
      </c>
      <c r="B10859" s="10" t="str">
        <f>参数调整!$J$41</f>
        <v>新增怪物种类6掉落</v>
      </c>
      <c r="C10859" s="8" t="str">
        <f>材料产出!$AL$2</f>
        <v>上品注灵石</v>
      </c>
      <c r="D10859" s="224">
        <f>参数调整!$K$41*怪物掉落配置方案!$D4703</f>
        <v>2.4301923231672969E-2</v>
      </c>
    </row>
    <row r="10860" spans="1:4" ht="16.5" hidden="1" x14ac:dyDescent="0.3">
      <c r="A10860" s="10" t="str">
        <f>基本属性!$B$7&amp;"|"&amp;基本属性!$C$7</f>
        <v>60|0</v>
      </c>
      <c r="B10860" s="10" t="str">
        <f>参数调整!$J$41</f>
        <v>新增怪物种类6掉落</v>
      </c>
      <c r="C10860" s="8" t="str">
        <f>材料产出!$AL$2</f>
        <v>上品注灵石</v>
      </c>
      <c r="D10860" s="224">
        <f>参数调整!$K$41*怪物掉落配置方案!$D4704</f>
        <v>2.9405327110324297E-2</v>
      </c>
    </row>
    <row r="10861" spans="1:4" ht="16.5" hidden="1" x14ac:dyDescent="0.3">
      <c r="A10861" s="10" t="str">
        <f>基本属性!$B$8&amp;"|"&amp;基本属性!$C$8</f>
        <v>65|0</v>
      </c>
      <c r="B10861" s="10" t="str">
        <f>参数调整!$J$41</f>
        <v>新增怪物种类6掉落</v>
      </c>
      <c r="C10861" s="8" t="str">
        <f>材料产出!$AL$2</f>
        <v>上品注灵石</v>
      </c>
      <c r="D10861" s="224">
        <f>参数调整!$K$41*怪物掉落配置方案!$D4705</f>
        <v>3.4994769453609069E-2</v>
      </c>
    </row>
    <row r="10862" spans="1:4" ht="16.5" hidden="1" x14ac:dyDescent="0.3">
      <c r="A10862" s="10" t="str">
        <f>基本属性!$B$9&amp;"|"&amp;基本属性!$C$9</f>
        <v>70|0</v>
      </c>
      <c r="B10862" s="10" t="str">
        <f>参数调整!$J$41</f>
        <v>新增怪物种类6掉落</v>
      </c>
      <c r="C10862" s="8" t="str">
        <f>材料产出!$AL$2</f>
        <v>上品注灵石</v>
      </c>
      <c r="D10862" s="224">
        <f>参数调整!$K$41*怪物掉落配置方案!$D4706</f>
        <v>4.1070250261527316E-2</v>
      </c>
    </row>
    <row r="10863" spans="1:4" ht="16.5" hidden="1" x14ac:dyDescent="0.3">
      <c r="A10863" s="10" t="str">
        <f>基本属性!$B$10&amp;"|"&amp;基本属性!$C$10</f>
        <v>75|0</v>
      </c>
      <c r="B10863" s="10" t="str">
        <f>参数调整!$J$41</f>
        <v>新增怪物种类6掉落</v>
      </c>
      <c r="C10863" s="8" t="str">
        <f>材料产出!$AL$2</f>
        <v>上品注灵石</v>
      </c>
      <c r="D10863" s="224">
        <f>参数调整!$K$41*怪物掉落配置方案!$D4707</f>
        <v>4.7631769534079008E-2</v>
      </c>
    </row>
    <row r="10864" spans="1:4" ht="16.5" hidden="1" x14ac:dyDescent="0.3">
      <c r="A10864" s="10" t="str">
        <f>基本属性!$B$11&amp;"|"&amp;基本属性!$C$11</f>
        <v>80|1</v>
      </c>
      <c r="B10864" s="10" t="str">
        <f>参数调整!$J$41</f>
        <v>新增怪物种类6掉落</v>
      </c>
      <c r="C10864" s="8" t="str">
        <f>材料产出!$AL$2</f>
        <v>上品注灵石</v>
      </c>
      <c r="D10864" s="224">
        <f>参数调整!$K$41*怪物掉落配置方案!$D4708</f>
        <v>5.4679327271264185E-2</v>
      </c>
    </row>
    <row r="10865" spans="1:4" ht="16.5" hidden="1" x14ac:dyDescent="0.3">
      <c r="A10865" s="10" t="str">
        <f>基本属性!$B$12&amp;"|"&amp;基本属性!$C$12</f>
        <v>90|2</v>
      </c>
      <c r="B10865" s="10" t="str">
        <f>参数调整!$J$41</f>
        <v>新增怪物种类6掉落</v>
      </c>
      <c r="C10865" s="8" t="str">
        <f>材料产出!$AL$2</f>
        <v>上品注灵石</v>
      </c>
      <c r="D10865" s="224">
        <f>参数调整!$K$41*怪物掉落配置方案!$D4709</f>
        <v>6.2212923473082805E-2</v>
      </c>
    </row>
    <row r="10866" spans="1:4" ht="16.5" hidden="1" x14ac:dyDescent="0.3">
      <c r="A10866" s="10" t="str">
        <f>基本属性!$B$13&amp;"|"&amp;基本属性!$C$13</f>
        <v>100|3</v>
      </c>
      <c r="B10866" s="10" t="str">
        <f>参数调整!$J$41</f>
        <v>新增怪物种类6掉落</v>
      </c>
      <c r="C10866" s="8" t="str">
        <f>材料产出!$AL$2</f>
        <v>上品注灵石</v>
      </c>
      <c r="D10866" s="224">
        <f>参数调整!$K$41*怪物掉落配置方案!$D4710</f>
        <v>7.8738231270620421E-2</v>
      </c>
    </row>
    <row r="10867" spans="1:4" ht="16.5" hidden="1" x14ac:dyDescent="0.3">
      <c r="A10867" s="10" t="str">
        <f>基本属性!$B$14&amp;"|"&amp;基本属性!$C$14</f>
        <v>105|4</v>
      </c>
      <c r="B10867" s="10" t="str">
        <f>参数调整!$J$41</f>
        <v>新增怪物种类6掉落</v>
      </c>
      <c r="C10867" s="8" t="str">
        <f>材料产出!$AL$2</f>
        <v>上品注灵石</v>
      </c>
      <c r="D10867" s="224">
        <f>参数调整!$K$41*怪物掉落配置方案!$D4711</f>
        <v>9.7207692926691874E-2</v>
      </c>
    </row>
    <row r="10868" spans="1:4" ht="16.5" hidden="1" x14ac:dyDescent="0.3">
      <c r="A10868" s="10" t="str">
        <f>基本属性!$B$15&amp;"|"&amp;基本属性!$C$15</f>
        <v>110|5</v>
      </c>
      <c r="B10868" s="10" t="str">
        <f>参数调整!$J$41</f>
        <v>新增怪物种类6掉落</v>
      </c>
      <c r="C10868" s="8" t="str">
        <f>材料产出!$AL$2</f>
        <v>上品注灵石</v>
      </c>
      <c r="D10868" s="224">
        <f>参数调整!$K$41*怪物掉落配置方案!$D4712</f>
        <v>0.11762130844129719</v>
      </c>
    </row>
    <row r="10869" spans="1:4" ht="16.5" hidden="1" x14ac:dyDescent="0.3">
      <c r="A10869" s="10" t="str">
        <f>基本属性!$B$16&amp;"|"&amp;基本属性!$C$16</f>
        <v>120|6</v>
      </c>
      <c r="B10869" s="10" t="str">
        <f>参数调整!$J$41</f>
        <v>新增怪物种类6掉落</v>
      </c>
      <c r="C10869" s="8" t="str">
        <f>材料产出!$AL$2</f>
        <v>上品注灵石</v>
      </c>
      <c r="D10869" s="224">
        <f>参数调整!$K$41*怪物掉落配置方案!$D4713</f>
        <v>0.15188702019795605</v>
      </c>
    </row>
    <row r="10870" spans="1:4" ht="16.5" hidden="1" x14ac:dyDescent="0.3">
      <c r="A10870" s="10" t="str">
        <f>基本属性!$B$17&amp;"|"&amp;基本属性!$C$17</f>
        <v>135|7</v>
      </c>
      <c r="B10870" s="10" t="str">
        <f>参数调整!$J$41</f>
        <v>新增怪物种类6掉落</v>
      </c>
      <c r="C10870" s="8" t="str">
        <f>材料产出!$AL$2</f>
        <v>上品注灵石</v>
      </c>
      <c r="D10870" s="224">
        <f>参数调整!$K$41*怪物掉落配置方案!$D4714</f>
        <v>0.21871730908505674</v>
      </c>
    </row>
    <row r="10871" spans="1:4" ht="16.5" hidden="1" x14ac:dyDescent="0.3">
      <c r="A10871" s="10" t="str">
        <f>基本属性!$B$18&amp;"|"&amp;基本属性!$C$18</f>
        <v>155|8</v>
      </c>
      <c r="B10871" s="10" t="str">
        <f>参数调整!$J$41</f>
        <v>新增怪物种类6掉落</v>
      </c>
      <c r="C10871" s="8" t="str">
        <f>材料产出!$AL$2</f>
        <v>上品注灵石</v>
      </c>
      <c r="D10871" s="224">
        <f>参数调整!$K$41*怪物掉落配置方案!$D4715</f>
        <v>0.29769855958799385</v>
      </c>
    </row>
    <row r="10872" spans="1:4" ht="16.5" hidden="1" x14ac:dyDescent="0.3">
      <c r="A10872" s="10" t="str">
        <f>基本属性!$B$19&amp;"|"&amp;基本属性!$C$19</f>
        <v>190|9</v>
      </c>
      <c r="B10872" s="10" t="str">
        <f>参数调整!$J$41</f>
        <v>新增怪物种类6掉落</v>
      </c>
      <c r="C10872" s="8" t="str">
        <f>材料产出!$AL$2</f>
        <v>上品注灵石</v>
      </c>
      <c r="D10872" s="224">
        <f>参数调整!$K$41*怪物掉落配置方案!$D4716</f>
        <v>0.33269332904160298</v>
      </c>
    </row>
    <row r="10873" spans="1:4" ht="16.5" hidden="1" x14ac:dyDescent="0.3">
      <c r="A10873" s="10" t="str">
        <f>基本属性!$B$20&amp;"|"&amp;基本属性!$C$20</f>
        <v>200|10</v>
      </c>
      <c r="B10873" s="10" t="str">
        <f>参数调整!$J$41</f>
        <v>新增怪物种类6掉落</v>
      </c>
      <c r="C10873" s="8" t="str">
        <f>材料产出!$AL$2</f>
        <v>上品注灵石</v>
      </c>
      <c r="D10873" s="224">
        <f>参数调整!$K$41*怪物掉落配置方案!$D4717</f>
        <v>0.3888307717067675</v>
      </c>
    </row>
    <row r="10874" spans="1:4" ht="16.5" hidden="1" x14ac:dyDescent="0.3">
      <c r="A10874" s="10" t="str">
        <f>基本属性!$B$21&amp;"|"&amp;基本属性!$C$21</f>
        <v>200|11</v>
      </c>
      <c r="B10874" s="10" t="str">
        <f>参数调整!$J$41</f>
        <v>新增怪物种类6掉落</v>
      </c>
      <c r="C10874" s="8" t="str">
        <f>材料产出!$AL$2</f>
        <v>上品注灵石</v>
      </c>
      <c r="D10874" s="224">
        <f>参数调整!$K$41*怪物掉落配置方案!$D4718</f>
        <v>0.44934256055363309</v>
      </c>
    </row>
    <row r="10875" spans="1:4" ht="16.5" hidden="1" x14ac:dyDescent="0.3">
      <c r="A10875" s="10" t="str">
        <f>基本属性!$B$22&amp;"|"&amp;基本属性!$C$22</f>
        <v>210|12</v>
      </c>
      <c r="B10875" s="10" t="str">
        <f>参数调整!$J$41</f>
        <v>新增怪物种类6掉落</v>
      </c>
      <c r="C10875" s="8" t="str">
        <f>材料产出!$AL$2</f>
        <v>上品注灵石</v>
      </c>
      <c r="D10875" s="224">
        <f>参数调整!$K$41*怪物掉落配置方案!$D4719</f>
        <v>0.51422869558219986</v>
      </c>
    </row>
    <row r="10876" spans="1:4" ht="16.5" hidden="1" x14ac:dyDescent="0.3">
      <c r="A10876" s="10" t="str">
        <f>基本属性!$B$23&amp;"|"&amp;基本属性!$C$23</f>
        <v>210|13</v>
      </c>
      <c r="B10876" s="10" t="str">
        <f>参数调整!$J$41</f>
        <v>新增怪物种类6掉落</v>
      </c>
      <c r="C10876" s="8" t="str">
        <f>材料产出!$AL$2</f>
        <v>上品注灵石</v>
      </c>
      <c r="D10876" s="224">
        <f>参数调整!$K$41*怪物掉落配置方案!$D4720</f>
        <v>0.58348917679246792</v>
      </c>
    </row>
    <row r="10877" spans="1:4" ht="16.5" hidden="1" x14ac:dyDescent="0.3">
      <c r="A10877" s="10" t="str">
        <f>基本属性!$B$24&amp;"|"&amp;基本属性!$C$24</f>
        <v>220|14</v>
      </c>
      <c r="B10877" s="10" t="str">
        <f>参数调整!$J$41</f>
        <v>新增怪物种类6掉落</v>
      </c>
      <c r="C10877" s="8" t="str">
        <f>材料产出!$AL$2</f>
        <v>上品注灵石</v>
      </c>
      <c r="D10877" s="224">
        <f>参数调整!$K$41*怪物掉落配置方案!$D4721</f>
        <v>0.65712400418443706</v>
      </c>
    </row>
    <row r="10878" spans="1:4" ht="16.5" hidden="1" x14ac:dyDescent="0.3">
      <c r="A10878" s="10" t="str">
        <f>基本属性!$B$25&amp;"|"&amp;基本属性!$C$25</f>
        <v>220|15</v>
      </c>
      <c r="B10878" s="10" t="str">
        <f>参数调整!$J$41</f>
        <v>新增怪物种类6掉落</v>
      </c>
      <c r="C10878" s="8" t="str">
        <f>材料产出!$AL$2</f>
        <v>上品注灵石</v>
      </c>
      <c r="D10878" s="224">
        <f>参数调整!$K$41*怪物掉落配置方案!$D4722</f>
        <v>0.73513317775810727</v>
      </c>
    </row>
    <row r="10879" spans="1:4" ht="16.5" hidden="1" x14ac:dyDescent="0.3">
      <c r="A10879" s="10" t="str">
        <f>基本属性!$B$26&amp;"|"&amp;基本属性!$C$26</f>
        <v>230|16</v>
      </c>
      <c r="B10879" s="10" t="str">
        <f>参数调整!$J$41</f>
        <v>新增怪物种类6掉落</v>
      </c>
      <c r="C10879" s="8" t="str">
        <f>材料产出!$AL$2</f>
        <v>上品注灵石</v>
      </c>
      <c r="D10879" s="224">
        <f>参数调整!$K$41*怪物掉落配置方案!$D4723</f>
        <v>0.81751669751347844</v>
      </c>
    </row>
    <row r="10880" spans="1:4" ht="16.5" hidden="1" x14ac:dyDescent="0.3">
      <c r="A10880" s="10" t="str">
        <f>基本属性!$B$27&amp;"|"&amp;基本属性!$C$27</f>
        <v>230|17</v>
      </c>
      <c r="B10880" s="10" t="str">
        <f>参数调整!$J$41</f>
        <v>新增怪物种类6掉落</v>
      </c>
      <c r="C10880" s="8" t="str">
        <f>材料产出!$AL$2</f>
        <v>上品注灵石</v>
      </c>
      <c r="D10880" s="224">
        <f>参数调整!$K$41*怪物掉落配置方案!$D4724</f>
        <v>0.90427456345055113</v>
      </c>
    </row>
    <row r="10881" spans="1:4" ht="16.5" hidden="1" x14ac:dyDescent="0.3">
      <c r="A10881" s="10" t="str">
        <f>基本属性!$B$28&amp;"|"&amp;基本属性!$C$28</f>
        <v>240|18</v>
      </c>
      <c r="B10881" s="10" t="str">
        <f>参数调整!$J$41</f>
        <v>新增怪物种类6掉落</v>
      </c>
      <c r="C10881" s="8" t="str">
        <f>材料产出!$AL$2</f>
        <v>上品注灵石</v>
      </c>
      <c r="D10881" s="224">
        <f>参数调整!$K$41*怪物掉落配置方案!$D4725</f>
        <v>0.99540677556932489</v>
      </c>
    </row>
    <row r="10882" spans="1:4" ht="16.5" hidden="1" x14ac:dyDescent="0.3">
      <c r="A10882" s="10" t="str">
        <f>基本属性!$B$29&amp;"|"&amp;基本属性!$C$29</f>
        <v>240|19</v>
      </c>
      <c r="B10882" s="10" t="str">
        <f>参数调整!$J$41</f>
        <v>新增怪物种类6掉落</v>
      </c>
      <c r="C10882" s="8" t="str">
        <f>材料产出!$AL$2</f>
        <v>上品注灵石</v>
      </c>
      <c r="D10882" s="224">
        <f>参数调整!$K$41*怪物掉落配置方案!$D4726</f>
        <v>1.0909133338697996</v>
      </c>
    </row>
    <row r="10883" spans="1:4" ht="16.5" hidden="1" x14ac:dyDescent="0.3">
      <c r="A10883" s="10" t="str">
        <f>基本属性!$B$30&amp;"|"&amp;基本属性!$C$30</f>
        <v>250|20</v>
      </c>
      <c r="B10883" s="10" t="str">
        <f>参数调整!$J$41</f>
        <v>新增怪物种类6掉落</v>
      </c>
      <c r="C10883" s="8" t="str">
        <f>材料产出!$AL$2</f>
        <v>上品注灵石</v>
      </c>
      <c r="D10883" s="224">
        <f>参数调整!$K$41*怪物掉落配置方案!$D4727</f>
        <v>1.1907942383519754</v>
      </c>
    </row>
    <row r="10884" spans="1:4" ht="16.5" hidden="1" x14ac:dyDescent="0.3">
      <c r="A10884" s="10" t="str">
        <f>基本属性!$B$4&amp;"|"&amp;基本属性!$C$4</f>
        <v>35|0</v>
      </c>
      <c r="B10884" s="10" t="str">
        <f>参数调整!$J$41</f>
        <v>新增怪物种类6掉落</v>
      </c>
      <c r="C10884" s="8" t="str">
        <f>材料产出!$AT$2</f>
        <v>魔龙之心</v>
      </c>
      <c r="D10884" s="224">
        <f>参数调整!$K$41*怪物掉落配置方案!$D4728</f>
        <v>1.9480073300135892E-5</v>
      </c>
    </row>
    <row r="10885" spans="1:4" ht="16.5" hidden="1" x14ac:dyDescent="0.3">
      <c r="A10885" s="10" t="str">
        <f>基本属性!$B$5&amp;"|"&amp;基本属性!$C$5</f>
        <v>40|0</v>
      </c>
      <c r="B10885" s="10" t="str">
        <f>参数调整!$J$41</f>
        <v>新增怪物种类6掉落</v>
      </c>
      <c r="C10885" s="8" t="str">
        <f>材料产出!$AT$2</f>
        <v>魔龙之心</v>
      </c>
      <c r="D10885" s="224">
        <f>参数调整!$K$41*怪物掉落配置方案!$D4729</f>
        <v>2.4654467770484488E-5</v>
      </c>
    </row>
    <row r="10886" spans="1:4" ht="16.5" hidden="1" x14ac:dyDescent="0.3">
      <c r="A10886" s="10" t="str">
        <f>基本属性!$B$6&amp;"|"&amp;基本属性!$C$6</f>
        <v>50|0</v>
      </c>
      <c r="B10886" s="10" t="str">
        <f>参数调整!$J$41</f>
        <v>新增怪物种类6掉落</v>
      </c>
      <c r="C10886" s="8" t="str">
        <f>材料产出!$AT$2</f>
        <v>魔龙之心</v>
      </c>
      <c r="D10886" s="224">
        <f>参数调整!$K$41*怪物掉落配置方案!$D4730</f>
        <v>3.0437614531462328E-5</v>
      </c>
    </row>
    <row r="10887" spans="1:4" ht="16.5" hidden="1" x14ac:dyDescent="0.3">
      <c r="A10887" s="10" t="str">
        <f>基本属性!$B$7&amp;"|"&amp;基本属性!$C$7</f>
        <v>60|0</v>
      </c>
      <c r="B10887" s="10" t="str">
        <f>参数调整!$J$41</f>
        <v>新增怪物种类6掉落</v>
      </c>
      <c r="C10887" s="8" t="str">
        <f>材料产出!$AT$2</f>
        <v>魔龙之心</v>
      </c>
      <c r="D10887" s="224">
        <f>参数调整!$K$41*怪物掉落配置方案!$D4731</f>
        <v>3.6829513583069426E-5</v>
      </c>
    </row>
    <row r="10888" spans="1:4" ht="16.5" hidden="1" x14ac:dyDescent="0.3">
      <c r="A10888" s="10" t="str">
        <f>基本属性!$B$8&amp;"|"&amp;基本属性!$C$8</f>
        <v>65|0</v>
      </c>
      <c r="B10888" s="10" t="str">
        <f>参数调整!$J$41</f>
        <v>新增怪物种类6掉落</v>
      </c>
      <c r="C10888" s="8" t="str">
        <f>材料产出!$AT$2</f>
        <v>魔龙之心</v>
      </c>
      <c r="D10888" s="224">
        <f>参数调整!$K$41*怪物掉落配置方案!$D4732</f>
        <v>4.3830164925305752E-5</v>
      </c>
    </row>
    <row r="10889" spans="1:4" ht="16.5" hidden="1" x14ac:dyDescent="0.3">
      <c r="A10889" s="10" t="str">
        <f>基本属性!$B$9&amp;"|"&amp;基本属性!$C$9</f>
        <v>70|0</v>
      </c>
      <c r="B10889" s="10" t="str">
        <f>参数调整!$J$41</f>
        <v>新增怪物种类6掉落</v>
      </c>
      <c r="C10889" s="8" t="str">
        <f>材料产出!$AT$2</f>
        <v>魔龙之心</v>
      </c>
      <c r="D10889" s="224">
        <f>参数调整!$K$41*怪物掉落配置方案!$D4733</f>
        <v>5.1439568558171335E-5</v>
      </c>
    </row>
    <row r="10890" spans="1:4" ht="16.5" hidden="1" x14ac:dyDescent="0.3">
      <c r="A10890" s="10" t="str">
        <f>基本属性!$B$10&amp;"|"&amp;基本属性!$C$10</f>
        <v>75|0</v>
      </c>
      <c r="B10890" s="10" t="str">
        <f>参数调整!$J$41</f>
        <v>新增怪物种类6掉落</v>
      </c>
      <c r="C10890" s="8" t="str">
        <f>材料产出!$AT$2</f>
        <v>魔龙之心</v>
      </c>
      <c r="D10890" s="224">
        <f>参数调整!$K$41*怪物掉落配置方案!$D4734</f>
        <v>5.9657724481666148E-5</v>
      </c>
    </row>
    <row r="10891" spans="1:4" ht="16.5" hidden="1" x14ac:dyDescent="0.3">
      <c r="A10891" s="10" t="str">
        <f>基本属性!$B$11&amp;"|"&amp;基本属性!$C$11</f>
        <v>80|1</v>
      </c>
      <c r="B10891" s="10" t="str">
        <f>参数调整!$J$41</f>
        <v>新增怪物种类6掉落</v>
      </c>
      <c r="C10891" s="8" t="str">
        <f>材料产出!$AT$2</f>
        <v>魔龙之心</v>
      </c>
      <c r="D10891" s="224">
        <f>参数调整!$K$41*怪物掉落配置方案!$D4735</f>
        <v>6.8484632695790226E-5</v>
      </c>
    </row>
    <row r="10892" spans="1:4" ht="16.5" hidden="1" x14ac:dyDescent="0.3">
      <c r="A10892" s="10" t="str">
        <f>基本属性!$B$12&amp;"|"&amp;基本属性!$C$12</f>
        <v>90|2</v>
      </c>
      <c r="B10892" s="10" t="str">
        <f>参数调整!$J$41</f>
        <v>新增怪物种类6掉落</v>
      </c>
      <c r="C10892" s="8" t="str">
        <f>材料产出!$AT$2</f>
        <v>魔龙之心</v>
      </c>
      <c r="D10892" s="224">
        <f>参数调整!$K$41*怪物掉落配置方案!$D4736</f>
        <v>7.7920293200543582E-5</v>
      </c>
    </row>
    <row r="10893" spans="1:4" ht="16.5" hidden="1" x14ac:dyDescent="0.3">
      <c r="A10893" s="10" t="str">
        <f>基本属性!$B$13&amp;"|"&amp;基本属性!$C$13</f>
        <v>100|3</v>
      </c>
      <c r="B10893" s="10" t="str">
        <f>参数调整!$J$41</f>
        <v>新增怪物种类6掉落</v>
      </c>
      <c r="C10893" s="8" t="str">
        <f>材料产出!$AT$2</f>
        <v>魔龙之心</v>
      </c>
      <c r="D10893" s="224">
        <f>参数调整!$K$41*怪物掉落配置方案!$D4737</f>
        <v>9.8617871081937966E-5</v>
      </c>
    </row>
    <row r="10894" spans="1:4" ht="16.5" hidden="1" x14ac:dyDescent="0.3">
      <c r="A10894" s="10" t="str">
        <f>基本属性!$B$14&amp;"|"&amp;基本属性!$C$14</f>
        <v>105|4</v>
      </c>
      <c r="B10894" s="10" t="str">
        <f>参数调整!$J$41</f>
        <v>新增怪物种类6掉落</v>
      </c>
      <c r="C10894" s="8" t="str">
        <f>材料产出!$AT$2</f>
        <v>魔龙之心</v>
      </c>
      <c r="D10894" s="224">
        <f>参数调整!$K$41*怪物掉落配置方案!$D4738</f>
        <v>1.2175045812584931E-4</v>
      </c>
    </row>
    <row r="10895" spans="1:4" ht="16.5" hidden="1" x14ac:dyDescent="0.3">
      <c r="A10895" s="10" t="str">
        <f>基本属性!$B$15&amp;"|"&amp;基本属性!$C$15</f>
        <v>110|5</v>
      </c>
      <c r="B10895" s="10" t="str">
        <f>参数调整!$J$41</f>
        <v>新增怪物种类6掉落</v>
      </c>
      <c r="C10895" s="8" t="str">
        <f>材料产出!$AT$2</f>
        <v>魔龙之心</v>
      </c>
      <c r="D10895" s="224">
        <f>参数调整!$K$41*怪物掉落配置方案!$D4739</f>
        <v>1.4731805433227771E-4</v>
      </c>
    </row>
    <row r="10896" spans="1:4" ht="16.5" hidden="1" x14ac:dyDescent="0.3">
      <c r="A10896" s="10" t="str">
        <f>基本属性!$B$16&amp;"|"&amp;基本属性!$C$16</f>
        <v>120|6</v>
      </c>
      <c r="B10896" s="10" t="str">
        <f>参数调整!$J$41</f>
        <v>新增怪物种类6掉落</v>
      </c>
      <c r="C10896" s="8" t="str">
        <f>材料产出!$AT$2</f>
        <v>魔龙之心</v>
      </c>
      <c r="D10896" s="224">
        <f>参数调整!$K$41*怪物掉落配置方案!$D4740</f>
        <v>1.9023509082163957E-4</v>
      </c>
    </row>
    <row r="10897" spans="1:4" ht="16.5" hidden="1" x14ac:dyDescent="0.3">
      <c r="A10897" s="10" t="str">
        <f>基本属性!$B$17&amp;"|"&amp;基本属性!$C$17</f>
        <v>135|7</v>
      </c>
      <c r="B10897" s="10" t="str">
        <f>参数调整!$J$41</f>
        <v>新增怪物种类6掉落</v>
      </c>
      <c r="C10897" s="8" t="str">
        <f>材料产出!$AT$2</f>
        <v>魔龙之心</v>
      </c>
      <c r="D10897" s="224">
        <f>参数调整!$K$41*怪物掉落配置方案!$D4741</f>
        <v>2.7393853078316096E-4</v>
      </c>
    </row>
    <row r="10898" spans="1:4" ht="16.5" hidden="1" x14ac:dyDescent="0.3">
      <c r="A10898" s="10" t="str">
        <f>基本属性!$B$18&amp;"|"&amp;基本属性!$C$18</f>
        <v>155|8</v>
      </c>
      <c r="B10898" s="10" t="str">
        <f>参数调整!$J$41</f>
        <v>新增怪物种类6掉落</v>
      </c>
      <c r="C10898" s="8" t="str">
        <f>材料产出!$AT$2</f>
        <v>魔龙之心</v>
      </c>
      <c r="D10898" s="224">
        <f>参数调整!$K$41*怪物掉落配置方案!$D4742</f>
        <v>3.7286077801041361E-4</v>
      </c>
    </row>
    <row r="10899" spans="1:4" ht="16.5" hidden="1" x14ac:dyDescent="0.3">
      <c r="A10899" s="10" t="str">
        <f>基本属性!$B$19&amp;"|"&amp;基本属性!$C$19</f>
        <v>190|9</v>
      </c>
      <c r="B10899" s="10" t="str">
        <f>参数调整!$J$41</f>
        <v>新增怪物种类6掉落</v>
      </c>
      <c r="C10899" s="8" t="str">
        <f>材料产出!$AT$2</f>
        <v>魔龙之心</v>
      </c>
      <c r="D10899" s="224">
        <f>参数调整!$K$41*怪物掉落配置方案!$D4743</f>
        <v>4.1669094293571925E-4</v>
      </c>
    </row>
    <row r="10900" spans="1:4" ht="16.5" hidden="1" x14ac:dyDescent="0.3">
      <c r="A10900" s="10" t="str">
        <f>基本属性!$B$20&amp;"|"&amp;基本属性!$C$20</f>
        <v>200|10</v>
      </c>
      <c r="B10900" s="10" t="str">
        <f>参数调整!$J$41</f>
        <v>新增怪物种类6掉落</v>
      </c>
      <c r="C10900" s="8" t="str">
        <f>材料产出!$AT$2</f>
        <v>魔龙之心</v>
      </c>
      <c r="D10900" s="224">
        <f>参数调整!$K$41*怪物掉落配置方案!$D4744</f>
        <v>4.8700183250339725E-4</v>
      </c>
    </row>
    <row r="10901" spans="1:4" ht="16.5" hidden="1" x14ac:dyDescent="0.3">
      <c r="A10901" s="10" t="str">
        <f>基本属性!$B$21&amp;"|"&amp;基本属性!$C$21</f>
        <v>200|11</v>
      </c>
      <c r="B10901" s="10" t="str">
        <f>参数调整!$J$41</f>
        <v>新增怪物种类6掉落</v>
      </c>
      <c r="C10901" s="8" t="str">
        <f>材料产出!$AT$2</f>
        <v>魔龙之心</v>
      </c>
      <c r="D10901" s="224">
        <f>参数调整!$K$41*怪物掉落配置方案!$D4745</f>
        <v>5.627914926867384E-4</v>
      </c>
    </row>
    <row r="10902" spans="1:4" ht="16.5" hidden="1" x14ac:dyDescent="0.3">
      <c r="A10902" s="10" t="str">
        <f>基本属性!$B$22&amp;"|"&amp;基本属性!$C$22</f>
        <v>210|12</v>
      </c>
      <c r="B10902" s="10" t="str">
        <f>参数调整!$J$41</f>
        <v>新增怪物种类6掉落</v>
      </c>
      <c r="C10902" s="8" t="str">
        <f>材料产出!$AT$2</f>
        <v>魔龙之心</v>
      </c>
      <c r="D10902" s="224">
        <f>参数调整!$K$41*怪物掉落配置方案!$D4746</f>
        <v>6.4405992348574273E-4</v>
      </c>
    </row>
    <row r="10903" spans="1:4" ht="16.5" hidden="1" x14ac:dyDescent="0.3">
      <c r="A10903" s="10" t="str">
        <f>基本属性!$B$23&amp;"|"&amp;基本属性!$C$23</f>
        <v>210|13</v>
      </c>
      <c r="B10903" s="10" t="str">
        <f>参数调整!$J$41</f>
        <v>新增怪物种类6掉落</v>
      </c>
      <c r="C10903" s="8" t="str">
        <f>材料产出!$AT$2</f>
        <v>魔龙之心</v>
      </c>
      <c r="D10903" s="224">
        <f>参数调整!$K$41*怪物掉落配置方案!$D4747</f>
        <v>7.3080712490041064E-4</v>
      </c>
    </row>
    <row r="10904" spans="1:4" ht="16.5" hidden="1" x14ac:dyDescent="0.3">
      <c r="A10904" s="10" t="str">
        <f>基本属性!$B$24&amp;"|"&amp;基本属性!$C$24</f>
        <v>220|14</v>
      </c>
      <c r="B10904" s="10" t="str">
        <f>参数调整!$J$41</f>
        <v>新增怪物种类6掉落</v>
      </c>
      <c r="C10904" s="8" t="str">
        <f>材料产出!$AT$2</f>
        <v>魔龙之心</v>
      </c>
      <c r="D10904" s="224">
        <f>参数调整!$K$41*怪物掉落配置方案!$D4748</f>
        <v>8.2303309693074135E-4</v>
      </c>
    </row>
    <row r="10905" spans="1:4" ht="16.5" hidden="1" x14ac:dyDescent="0.3">
      <c r="A10905" s="10" t="str">
        <f>基本属性!$B$25&amp;"|"&amp;基本属性!$C$25</f>
        <v>220|15</v>
      </c>
      <c r="B10905" s="10" t="str">
        <f>参数调整!$J$41</f>
        <v>新增怪物种类6掉落</v>
      </c>
      <c r="C10905" s="8" t="str">
        <f>材料产出!$AT$2</f>
        <v>魔龙之心</v>
      </c>
      <c r="D10905" s="224">
        <f>参数调整!$K$41*怪物掉落配置方案!$D4749</f>
        <v>9.2073783957673521E-4</v>
      </c>
    </row>
    <row r="10906" spans="1:4" ht="16.5" hidden="1" x14ac:dyDescent="0.3">
      <c r="A10906" s="10" t="str">
        <f>基本属性!$B$26&amp;"|"&amp;基本属性!$C$26</f>
        <v>230|16</v>
      </c>
      <c r="B10906" s="10" t="str">
        <f>参数调整!$J$41</f>
        <v>新增怪物种类6掉落</v>
      </c>
      <c r="C10906" s="8" t="str">
        <f>材料产出!$AT$2</f>
        <v>魔龙之心</v>
      </c>
      <c r="D10906" s="224">
        <f>参数调整!$K$41*怪物掉落配置方案!$D4750</f>
        <v>1.0239213528383925E-3</v>
      </c>
    </row>
    <row r="10907" spans="1:4" ht="16.5" hidden="1" x14ac:dyDescent="0.3">
      <c r="A10907" s="10" t="str">
        <f>基本属性!$B$27&amp;"|"&amp;基本属性!$C$27</f>
        <v>230|17</v>
      </c>
      <c r="B10907" s="10" t="str">
        <f>参数调整!$J$41</f>
        <v>新增怪物种类6掉落</v>
      </c>
      <c r="C10907" s="8" t="str">
        <f>材料产出!$AT$2</f>
        <v>魔龙之心</v>
      </c>
      <c r="D10907" s="224">
        <f>参数调整!$K$41*怪物掉落配置方案!$D4751</f>
        <v>1.1325836367157131E-3</v>
      </c>
    </row>
    <row r="10908" spans="1:4" ht="16.5" hidden="1" x14ac:dyDescent="0.3">
      <c r="A10908" s="10" t="str">
        <f>基本属性!$B$28&amp;"|"&amp;基本属性!$C$28</f>
        <v>240|18</v>
      </c>
      <c r="B10908" s="10" t="str">
        <f>参数调整!$J$41</f>
        <v>新增怪物种类6掉落</v>
      </c>
      <c r="C10908" s="8" t="str">
        <f>材料产出!$AT$2</f>
        <v>魔龙之心</v>
      </c>
      <c r="D10908" s="224">
        <f>参数调整!$K$41*怪物掉落配置方案!$D4752</f>
        <v>1.2467246912086971E-3</v>
      </c>
    </row>
    <row r="10909" spans="1:4" ht="16.5" hidden="1" x14ac:dyDescent="0.3">
      <c r="A10909" s="10" t="str">
        <f>基本属性!$B$29&amp;"|"&amp;基本属性!$C$29</f>
        <v>240|19</v>
      </c>
      <c r="B10909" s="10" t="str">
        <f>参数调整!$J$41</f>
        <v>新增怪物种类6掉落</v>
      </c>
      <c r="C10909" s="8" t="str">
        <f>材料产出!$AT$2</f>
        <v>魔龙之心</v>
      </c>
      <c r="D10909" s="224">
        <f>参数调整!$K$41*怪物掉落配置方案!$D4753</f>
        <v>1.3663445163173442E-3</v>
      </c>
    </row>
    <row r="10910" spans="1:4" ht="16.5" hidden="1" x14ac:dyDescent="0.3">
      <c r="A10910" s="10" t="str">
        <f>基本属性!$B$30&amp;"|"&amp;基本属性!$C$30</f>
        <v>250|20</v>
      </c>
      <c r="B10910" s="10" t="str">
        <f>参数调整!$J$41</f>
        <v>新增怪物种类6掉落</v>
      </c>
      <c r="C10910" s="8" t="str">
        <f>材料产出!$AT$2</f>
        <v>魔龙之心</v>
      </c>
      <c r="D10910" s="224">
        <f>参数调整!$K$41*怪物掉落配置方案!$D4754</f>
        <v>1.4914431120416538E-3</v>
      </c>
    </row>
    <row r="10911" spans="1:4" ht="16.5" hidden="1" x14ac:dyDescent="0.3">
      <c r="A10911" s="10" t="str">
        <f>基本属性!$B$4&amp;"|"&amp;基本属性!$C$4</f>
        <v>35|0</v>
      </c>
      <c r="B10911" s="10" t="str">
        <f>参数调整!$J$41</f>
        <v>新增怪物种类6掉落</v>
      </c>
      <c r="C10911" s="8" t="str">
        <f>材料产出!$X$2</f>
        <v>龍の心</v>
      </c>
      <c r="D10911" s="224">
        <f>参数调整!$K$41*怪物掉落配置方案!$D4755</f>
        <v>3.5444606377789496E-3</v>
      </c>
    </row>
    <row r="10912" spans="1:4" ht="16.5" hidden="1" x14ac:dyDescent="0.3">
      <c r="A10912" s="10" t="str">
        <f>基本属性!$B$5&amp;"|"&amp;基本属性!$C$5</f>
        <v>40|0</v>
      </c>
      <c r="B10912" s="10" t="str">
        <f>参数调整!$J$41</f>
        <v>新增怪物种类6掉落</v>
      </c>
      <c r="C10912" s="8" t="str">
        <f>材料产出!$X$2</f>
        <v>龍の心</v>
      </c>
      <c r="D10912" s="224">
        <f>参数调整!$K$41*怪物掉落配置方案!$D4756</f>
        <v>4.4859579946889836E-3</v>
      </c>
    </row>
    <row r="10913" spans="1:4" ht="16.5" hidden="1" x14ac:dyDescent="0.3">
      <c r="A10913" s="10" t="str">
        <f>基本属性!$B$6&amp;"|"&amp;基本属性!$C$6</f>
        <v>50|0</v>
      </c>
      <c r="B10913" s="10" t="str">
        <f>参数调整!$J$41</f>
        <v>新增怪物种类6掉落</v>
      </c>
      <c r="C10913" s="8" t="str">
        <f>材料产出!$X$2</f>
        <v>龍の心</v>
      </c>
      <c r="D10913" s="224">
        <f>参数调整!$K$41*怪物掉落配置方案!$D4757</f>
        <v>5.5382197465296086E-3</v>
      </c>
    </row>
    <row r="10914" spans="1:4" ht="16.5" hidden="1" x14ac:dyDescent="0.3">
      <c r="A10914" s="10" t="str">
        <f>基本属性!$B$7&amp;"|"&amp;基本属性!$C$7</f>
        <v>60|0</v>
      </c>
      <c r="B10914" s="10" t="str">
        <f>参数调整!$J$41</f>
        <v>新增怪物种类6掉落</v>
      </c>
      <c r="C10914" s="8" t="str">
        <f>材料产出!$X$2</f>
        <v>龍の心</v>
      </c>
      <c r="D10914" s="224">
        <f>参数调整!$K$41*怪物掉落配置方案!$D4758</f>
        <v>6.701245893300828E-3</v>
      </c>
    </row>
    <row r="10915" spans="1:4" ht="16.5" hidden="1" x14ac:dyDescent="0.3">
      <c r="A10915" s="10" t="str">
        <f>基本属性!$B$8&amp;"|"&amp;基本属性!$C$8</f>
        <v>65|0</v>
      </c>
      <c r="B10915" s="10" t="str">
        <f>参数调整!$J$41</f>
        <v>新增怪物种类6掉落</v>
      </c>
      <c r="C10915" s="8" t="str">
        <f>材料产出!$X$2</f>
        <v>龍の心</v>
      </c>
      <c r="D10915" s="224">
        <f>参数调整!$K$41*怪物掉落配置方案!$D4759</f>
        <v>7.9750364350026377E-3</v>
      </c>
    </row>
    <row r="10916" spans="1:4" ht="16.5" hidden="1" x14ac:dyDescent="0.3">
      <c r="A10916" s="10" t="str">
        <f>基本属性!$B$9&amp;"|"&amp;基本属性!$C$9</f>
        <v>70|0</v>
      </c>
      <c r="B10916" s="10" t="str">
        <f>参数调整!$J$41</f>
        <v>新增怪物种类6掉落</v>
      </c>
      <c r="C10916" s="8" t="str">
        <f>材料产出!$X$2</f>
        <v>龍の心</v>
      </c>
      <c r="D10916" s="224">
        <f>参数调整!$K$41*怪物掉落配置方案!$D4760</f>
        <v>9.3595913716350392E-3</v>
      </c>
    </row>
    <row r="10917" spans="1:4" ht="16.5" hidden="1" x14ac:dyDescent="0.3">
      <c r="A10917" s="10" t="str">
        <f>基本属性!$B$10&amp;"|"&amp;基本属性!$C$10</f>
        <v>75|0</v>
      </c>
      <c r="B10917" s="10" t="str">
        <f>参数调整!$J$41</f>
        <v>新增怪物种类6掉落</v>
      </c>
      <c r="C10917" s="8" t="str">
        <f>材料产出!$X$2</f>
        <v>龍の心</v>
      </c>
      <c r="D10917" s="224">
        <f>参数调整!$K$41*怪物掉落配置方案!$D4761</f>
        <v>1.0854910703198033E-2</v>
      </c>
    </row>
    <row r="10918" spans="1:4" ht="16.5" hidden="1" x14ac:dyDescent="0.3">
      <c r="A10918" s="10" t="str">
        <f>基本属性!$B$11&amp;"|"&amp;基本属性!$C$11</f>
        <v>80|1</v>
      </c>
      <c r="B10918" s="10" t="str">
        <f>参数调整!$J$41</f>
        <v>新增怪物种类6掉落</v>
      </c>
      <c r="C10918" s="8" t="str">
        <f>材料产出!$X$2</f>
        <v>龍の心</v>
      </c>
      <c r="D10918" s="224">
        <f>参数调整!$K$41*怪物掉落配置方案!$D4762</f>
        <v>1.2460994429691622E-2</v>
      </c>
    </row>
    <row r="10919" spans="1:4" ht="16.5" hidden="1" x14ac:dyDescent="0.3">
      <c r="A10919" s="10" t="str">
        <f>基本属性!$B$12&amp;"|"&amp;基本属性!$C$12</f>
        <v>90|2</v>
      </c>
      <c r="B10919" s="10" t="str">
        <f>参数调整!$J$41</f>
        <v>新增怪物种类6掉落</v>
      </c>
      <c r="C10919" s="8" t="str">
        <f>材料产出!$X$2</f>
        <v>龍の心</v>
      </c>
      <c r="D10919" s="224">
        <f>参数调整!$K$41*怪物掉落配置方案!$D4763</f>
        <v>1.4177842551115802E-2</v>
      </c>
    </row>
    <row r="10920" spans="1:4" ht="16.5" hidden="1" x14ac:dyDescent="0.3">
      <c r="A10920" s="10" t="str">
        <f>基本属性!$B$13&amp;"|"&amp;基本属性!$C$13</f>
        <v>100|3</v>
      </c>
      <c r="B10920" s="10" t="str">
        <f>参数调整!$J$41</f>
        <v>新增怪物种类6掉落</v>
      </c>
      <c r="C10920" s="8" t="str">
        <f>材料产出!$X$2</f>
        <v>龍の心</v>
      </c>
      <c r="D10920" s="224">
        <f>参数调整!$K$41*怪物掉落配置方案!$D4764</f>
        <v>1.7943831978755938E-2</v>
      </c>
    </row>
    <row r="10921" spans="1:4" ht="16.5" hidden="1" x14ac:dyDescent="0.3">
      <c r="A10921" s="10" t="str">
        <f>基本属性!$B$14&amp;"|"&amp;基本属性!$C$14</f>
        <v>105|4</v>
      </c>
      <c r="B10921" s="10" t="str">
        <f>参数调整!$J$41</f>
        <v>新增怪物种类6掉落</v>
      </c>
      <c r="C10921" s="8" t="str">
        <f>材料产出!$X$2</f>
        <v>龍の心</v>
      </c>
      <c r="D10921" s="224">
        <f>参数调整!$K$41*怪物掉落配置方案!$D4765</f>
        <v>2.2152878986118434E-2</v>
      </c>
    </row>
    <row r="10922" spans="1:4" ht="16.5" hidden="1" x14ac:dyDescent="0.3">
      <c r="A10922" s="10" t="str">
        <f>基本属性!$B$15&amp;"|"&amp;基本属性!$C$15</f>
        <v>110|5</v>
      </c>
      <c r="B10922" s="10" t="str">
        <f>参数调整!$J$41</f>
        <v>新增怪物种类6掉落</v>
      </c>
      <c r="C10922" s="8" t="str">
        <f>材料产出!$X$2</f>
        <v>龍の心</v>
      </c>
      <c r="D10922" s="224">
        <f>参数调整!$K$41*怪物掉落配置方案!$D4766</f>
        <v>2.6804983573203312E-2</v>
      </c>
    </row>
    <row r="10923" spans="1:4" ht="16.5" hidden="1" x14ac:dyDescent="0.3">
      <c r="A10923" s="10" t="str">
        <f>基本属性!$B$16&amp;"|"&amp;基本属性!$C$16</f>
        <v>120|6</v>
      </c>
      <c r="B10923" s="10" t="str">
        <f>参数调整!$J$41</f>
        <v>新增怪物种类6掉落</v>
      </c>
      <c r="C10923" s="8" t="str">
        <f>材料产出!$X$2</f>
        <v>龍の心</v>
      </c>
      <c r="D10923" s="224">
        <f>参数调整!$K$41*怪物掉落配置方案!$D4767</f>
        <v>3.4613873415810056E-2</v>
      </c>
    </row>
    <row r="10924" spans="1:4" ht="16.5" hidden="1" x14ac:dyDescent="0.3">
      <c r="A10924" s="10" t="str">
        <f>基本属性!$B$17&amp;"|"&amp;基本属性!$C$17</f>
        <v>135|7</v>
      </c>
      <c r="B10924" s="10" t="str">
        <f>参数调整!$J$41</f>
        <v>新增怪物种类6掉落</v>
      </c>
      <c r="C10924" s="8" t="str">
        <f>材料产出!$X$2</f>
        <v>龍の心</v>
      </c>
      <c r="D10924" s="224">
        <f>参数调整!$K$41*怪物掉落配置方案!$D4768</f>
        <v>4.9843977718766488E-2</v>
      </c>
    </row>
    <row r="10925" spans="1:4" ht="16.5" hidden="1" x14ac:dyDescent="0.3">
      <c r="A10925" s="10" t="str">
        <f>基本属性!$B$18&amp;"|"&amp;基本属性!$C$18</f>
        <v>155|8</v>
      </c>
      <c r="B10925" s="10" t="str">
        <f>参数调整!$J$41</f>
        <v>新增怪物种类6掉落</v>
      </c>
      <c r="C10925" s="8" t="str">
        <f>材料产出!$X$2</f>
        <v>龍の心</v>
      </c>
      <c r="D10925" s="224">
        <f>参数调整!$K$41*怪物掉落配置方案!$D4769</f>
        <v>6.784319189498772E-2</v>
      </c>
    </row>
    <row r="10926" spans="1:4" ht="16.5" hidden="1" x14ac:dyDescent="0.3">
      <c r="A10926" s="10" t="str">
        <f>基本属性!$B$19&amp;"|"&amp;基本属性!$C$19</f>
        <v>190|9</v>
      </c>
      <c r="B10926" s="10" t="str">
        <f>参数调整!$J$41</f>
        <v>新增怪物种类6掉落</v>
      </c>
      <c r="C10926" s="8" t="str">
        <f>材料产出!$X$2</f>
        <v>龍の心</v>
      </c>
      <c r="D10926" s="224">
        <f>参数调整!$K$41*怪物掉落配置方案!$D4770</f>
        <v>7.5818228329990356E-2</v>
      </c>
    </row>
    <row r="10927" spans="1:4" ht="16.5" hidden="1" x14ac:dyDescent="0.3">
      <c r="A10927" s="10" t="str">
        <f>基本属性!$B$20&amp;"|"&amp;基本属性!$C$20</f>
        <v>200|10</v>
      </c>
      <c r="B10927" s="10" t="str">
        <f>参数调整!$J$41</f>
        <v>新增怪物种类6掉落</v>
      </c>
      <c r="C10927" s="8" t="str">
        <f>材料产出!$X$2</f>
        <v>龍の心</v>
      </c>
      <c r="D10927" s="224">
        <f>参数调整!$K$41*怪物掉落配置方案!$D4771</f>
        <v>8.8611515944473737E-2</v>
      </c>
    </row>
    <row r="10928" spans="1:4" ht="16.5" hidden="1" x14ac:dyDescent="0.3">
      <c r="A10928" s="10" t="str">
        <f>基本属性!$B$21&amp;"|"&amp;基本属性!$C$21</f>
        <v>200|11</v>
      </c>
      <c r="B10928" s="10" t="str">
        <f>参数调整!$J$41</f>
        <v>新增怪物种类6掉落</v>
      </c>
      <c r="C10928" s="8" t="str">
        <f>材料产出!$X$2</f>
        <v>龍の心</v>
      </c>
      <c r="D10928" s="224">
        <f>参数调整!$K$41*怪物掉落配置方案!$D4772</f>
        <v>0.10240168311333245</v>
      </c>
    </row>
    <row r="10929" spans="1:4" ht="16.5" hidden="1" x14ac:dyDescent="0.3">
      <c r="A10929" s="10" t="str">
        <f>基本属性!$B$22&amp;"|"&amp;基本属性!$C$22</f>
        <v>210|12</v>
      </c>
      <c r="B10929" s="10" t="str">
        <f>参数调整!$J$41</f>
        <v>新增怪物种类6掉落</v>
      </c>
      <c r="C10929" s="8" t="str">
        <f>材料产出!$X$2</f>
        <v>龍の心</v>
      </c>
      <c r="D10929" s="224">
        <f>参数调整!$K$41*怪物掉落配置方案!$D4773</f>
        <v>0.1171887298365665</v>
      </c>
    </row>
    <row r="10930" spans="1:4" ht="16.5" hidden="1" x14ac:dyDescent="0.3">
      <c r="A10930" s="10" t="str">
        <f>基本属性!$B$23&amp;"|"&amp;基本属性!$C$23</f>
        <v>210|13</v>
      </c>
      <c r="B10930" s="10" t="str">
        <f>参数调整!$J$41</f>
        <v>新增怪物种类6掉落</v>
      </c>
      <c r="C10930" s="8" t="str">
        <f>材料产出!$X$2</f>
        <v>龍の心</v>
      </c>
      <c r="D10930" s="224">
        <f>参数调整!$K$41*怪物掉落配置方案!$D4774</f>
        <v>0.13297265611417594</v>
      </c>
    </row>
    <row r="10931" spans="1:4" ht="16.5" hidden="1" x14ac:dyDescent="0.3">
      <c r="A10931" s="10" t="str">
        <f>基本属性!$B$24&amp;"|"&amp;基本属性!$C$24</f>
        <v>220|14</v>
      </c>
      <c r="B10931" s="10" t="str">
        <f>参数调整!$J$41</f>
        <v>新增怪物种类6掉落</v>
      </c>
      <c r="C10931" s="8" t="str">
        <f>材料产出!$X$2</f>
        <v>龍の心</v>
      </c>
      <c r="D10931" s="224">
        <f>参数调整!$K$41*怪物掉落配置方案!$D4775</f>
        <v>0.14975346194616063</v>
      </c>
    </row>
    <row r="10932" spans="1:4" ht="16.5" hidden="1" x14ac:dyDescent="0.3">
      <c r="A10932" s="10" t="str">
        <f>基本属性!$B$25&amp;"|"&amp;基本属性!$C$25</f>
        <v>220|15</v>
      </c>
      <c r="B10932" s="10" t="str">
        <f>参数调整!$J$41</f>
        <v>新增怪物种类6掉落</v>
      </c>
      <c r="C10932" s="8" t="str">
        <f>材料产出!$X$2</f>
        <v>龍の心</v>
      </c>
      <c r="D10932" s="224">
        <f>参数调整!$K$41*怪物掉落配置方案!$D4776</f>
        <v>0.16753114733252067</v>
      </c>
    </row>
    <row r="10933" spans="1:4" ht="16.5" hidden="1" x14ac:dyDescent="0.3">
      <c r="A10933" s="10" t="str">
        <f>基本属性!$B$26&amp;"|"&amp;基本属性!$C$26</f>
        <v>230|16</v>
      </c>
      <c r="B10933" s="10" t="str">
        <f>参数调整!$J$41</f>
        <v>新增怪物种类6掉落</v>
      </c>
      <c r="C10933" s="8" t="str">
        <f>材料产出!$X$2</f>
        <v>龍の心</v>
      </c>
      <c r="D10933" s="224">
        <f>参数调整!$K$41*怪物掉落配置方案!$D4777</f>
        <v>0.18630571227325604</v>
      </c>
    </row>
    <row r="10934" spans="1:4" ht="16.5" hidden="1" x14ac:dyDescent="0.3">
      <c r="A10934" s="10" t="str">
        <f>基本属性!$B$27&amp;"|"&amp;基本属性!$C$27</f>
        <v>230|17</v>
      </c>
      <c r="B10934" s="10" t="str">
        <f>参数调整!$J$41</f>
        <v>新增怪物种类6掉落</v>
      </c>
      <c r="C10934" s="8" t="str">
        <f>材料产出!$X$2</f>
        <v>龍の心</v>
      </c>
      <c r="D10934" s="224">
        <f>参数调整!$K$41*怪物掉落配置方案!$D4778</f>
        <v>0.20607715676836674</v>
      </c>
    </row>
    <row r="10935" spans="1:4" ht="16.5" hidden="1" x14ac:dyDescent="0.3">
      <c r="A10935" s="10" t="str">
        <f>基本属性!$B$28&amp;"|"&amp;基本属性!$C$28</f>
        <v>240|18</v>
      </c>
      <c r="B10935" s="10" t="str">
        <f>参数调整!$J$41</f>
        <v>新增怪物种类6掉落</v>
      </c>
      <c r="C10935" s="8" t="str">
        <f>材料产出!$X$2</f>
        <v>龍の心</v>
      </c>
      <c r="D10935" s="224">
        <f>参数调整!$K$41*怪物掉落配置方案!$D4779</f>
        <v>0.22684548081785283</v>
      </c>
    </row>
    <row r="10936" spans="1:4" ht="16.5" hidden="1" x14ac:dyDescent="0.3">
      <c r="A10936" s="10" t="str">
        <f>基本属性!$B$29&amp;"|"&amp;基本属性!$C$29</f>
        <v>240|19</v>
      </c>
      <c r="B10936" s="10" t="str">
        <f>参数调整!$J$41</f>
        <v>新增怪物种类6掉落</v>
      </c>
      <c r="C10936" s="8" t="str">
        <f>材料产出!$X$2</f>
        <v>龍の心</v>
      </c>
      <c r="D10936" s="224">
        <f>参数调整!$K$41*怪物掉落配置方案!$D4780</f>
        <v>0.24861068442171419</v>
      </c>
    </row>
    <row r="10937" spans="1:4" ht="16.5" hidden="1" x14ac:dyDescent="0.3">
      <c r="A10937" s="10" t="str">
        <f>基本属性!$B$30&amp;"|"&amp;基本属性!$C$30</f>
        <v>250|20</v>
      </c>
      <c r="B10937" s="10" t="str">
        <f>参数调整!$J$41</f>
        <v>新增怪物种类6掉落</v>
      </c>
      <c r="C10937" s="8" t="str">
        <f>材料产出!$X$2</f>
        <v>龍の心</v>
      </c>
      <c r="D10937" s="224">
        <f>参数调整!$K$41*怪物掉落配置方案!$D4781</f>
        <v>0.27137276757995082</v>
      </c>
    </row>
    <row r="10938" spans="1:4" ht="16.5" hidden="1" x14ac:dyDescent="0.3">
      <c r="A10938" s="10" t="str">
        <f>基本属性!$B$4&amp;"|"&amp;基本属性!$C$4</f>
        <v>35|0</v>
      </c>
      <c r="B10938" s="10" t="str">
        <f>参数调整!$J$41</f>
        <v>新增怪物种类6掉落</v>
      </c>
      <c r="C10938" s="8" t="str">
        <f>材料产出!$V$2</f>
        <v>龍の魄</v>
      </c>
      <c r="D10938" s="224">
        <f>参数调整!$K$41*怪物掉落配置方案!$D4782</f>
        <v>3.5444606377789496E-3</v>
      </c>
    </row>
    <row r="10939" spans="1:4" ht="16.5" hidden="1" x14ac:dyDescent="0.3">
      <c r="A10939" s="10" t="str">
        <f>基本属性!$B$5&amp;"|"&amp;基本属性!$C$5</f>
        <v>40|0</v>
      </c>
      <c r="B10939" s="10" t="str">
        <f>参数调整!$J$41</f>
        <v>新增怪物种类6掉落</v>
      </c>
      <c r="C10939" s="8" t="str">
        <f>材料产出!$V$2</f>
        <v>龍の魄</v>
      </c>
      <c r="D10939" s="224">
        <f>参数调整!$K$41*怪物掉落配置方案!$D4783</f>
        <v>4.4859579946889836E-3</v>
      </c>
    </row>
    <row r="10940" spans="1:4" ht="16.5" hidden="1" x14ac:dyDescent="0.3">
      <c r="A10940" s="10" t="str">
        <f>基本属性!$B$6&amp;"|"&amp;基本属性!$C$6</f>
        <v>50|0</v>
      </c>
      <c r="B10940" s="10" t="str">
        <f>参数调整!$J$41</f>
        <v>新增怪物种类6掉落</v>
      </c>
      <c r="C10940" s="8" t="str">
        <f>材料产出!$V$2</f>
        <v>龍の魄</v>
      </c>
      <c r="D10940" s="224">
        <f>参数调整!$K$41*怪物掉落配置方案!$D4784</f>
        <v>5.5382197465296086E-3</v>
      </c>
    </row>
    <row r="10941" spans="1:4" ht="16.5" hidden="1" x14ac:dyDescent="0.3">
      <c r="A10941" s="10" t="str">
        <f>基本属性!$B$7&amp;"|"&amp;基本属性!$C$7</f>
        <v>60|0</v>
      </c>
      <c r="B10941" s="10" t="str">
        <f>参数调整!$J$41</f>
        <v>新增怪物种类6掉落</v>
      </c>
      <c r="C10941" s="8" t="str">
        <f>材料产出!$V$2</f>
        <v>龍の魄</v>
      </c>
      <c r="D10941" s="224">
        <f>参数调整!$K$41*怪物掉落配置方案!$D4785</f>
        <v>6.701245893300828E-3</v>
      </c>
    </row>
    <row r="10942" spans="1:4" ht="16.5" hidden="1" x14ac:dyDescent="0.3">
      <c r="A10942" s="10" t="str">
        <f>基本属性!$B$8&amp;"|"&amp;基本属性!$C$8</f>
        <v>65|0</v>
      </c>
      <c r="B10942" s="10" t="str">
        <f>参数调整!$J$41</f>
        <v>新增怪物种类6掉落</v>
      </c>
      <c r="C10942" s="8" t="str">
        <f>材料产出!$V$2</f>
        <v>龍の魄</v>
      </c>
      <c r="D10942" s="224">
        <f>参数调整!$K$41*怪物掉落配置方案!$D4786</f>
        <v>7.9750364350026377E-3</v>
      </c>
    </row>
    <row r="10943" spans="1:4" ht="16.5" hidden="1" x14ac:dyDescent="0.3">
      <c r="A10943" s="10" t="str">
        <f>基本属性!$B$9&amp;"|"&amp;基本属性!$C$9</f>
        <v>70|0</v>
      </c>
      <c r="B10943" s="10" t="str">
        <f>参数调整!$J$41</f>
        <v>新增怪物种类6掉落</v>
      </c>
      <c r="C10943" s="8" t="str">
        <f>材料产出!$V$2</f>
        <v>龍の魄</v>
      </c>
      <c r="D10943" s="224">
        <f>参数调整!$K$41*怪物掉落配置方案!$D4787</f>
        <v>9.3595913716350392E-3</v>
      </c>
    </row>
    <row r="10944" spans="1:4" ht="16.5" hidden="1" x14ac:dyDescent="0.3">
      <c r="A10944" s="10" t="str">
        <f>基本属性!$B$10&amp;"|"&amp;基本属性!$C$10</f>
        <v>75|0</v>
      </c>
      <c r="B10944" s="10" t="str">
        <f>参数调整!$J$41</f>
        <v>新增怪物种类6掉落</v>
      </c>
      <c r="C10944" s="8" t="str">
        <f>材料产出!$V$2</f>
        <v>龍の魄</v>
      </c>
      <c r="D10944" s="224">
        <f>参数调整!$K$41*怪物掉落配置方案!$D4788</f>
        <v>1.0854910703198033E-2</v>
      </c>
    </row>
    <row r="10945" spans="1:4" ht="16.5" hidden="1" x14ac:dyDescent="0.3">
      <c r="A10945" s="10" t="str">
        <f>基本属性!$B$11&amp;"|"&amp;基本属性!$C$11</f>
        <v>80|1</v>
      </c>
      <c r="B10945" s="10" t="str">
        <f>参数调整!$J$41</f>
        <v>新增怪物种类6掉落</v>
      </c>
      <c r="C10945" s="8" t="str">
        <f>材料产出!$V$2</f>
        <v>龍の魄</v>
      </c>
      <c r="D10945" s="224">
        <f>参数调整!$K$41*怪物掉落配置方案!$D4789</f>
        <v>1.2460994429691622E-2</v>
      </c>
    </row>
    <row r="10946" spans="1:4" ht="16.5" hidden="1" x14ac:dyDescent="0.3">
      <c r="A10946" s="10" t="str">
        <f>基本属性!$B$12&amp;"|"&amp;基本属性!$C$12</f>
        <v>90|2</v>
      </c>
      <c r="B10946" s="10" t="str">
        <f>参数调整!$J$41</f>
        <v>新增怪物种类6掉落</v>
      </c>
      <c r="C10946" s="8" t="str">
        <f>材料产出!$V$2</f>
        <v>龍の魄</v>
      </c>
      <c r="D10946" s="224">
        <f>参数调整!$K$41*怪物掉落配置方案!$D4790</f>
        <v>1.4177842551115802E-2</v>
      </c>
    </row>
    <row r="10947" spans="1:4" ht="16.5" hidden="1" x14ac:dyDescent="0.3">
      <c r="A10947" s="10" t="str">
        <f>基本属性!$B$13&amp;"|"&amp;基本属性!$C$13</f>
        <v>100|3</v>
      </c>
      <c r="B10947" s="10" t="str">
        <f>参数调整!$J$41</f>
        <v>新增怪物种类6掉落</v>
      </c>
      <c r="C10947" s="8" t="str">
        <f>材料产出!$V$2</f>
        <v>龍の魄</v>
      </c>
      <c r="D10947" s="224">
        <f>参数调整!$K$41*怪物掉落配置方案!$D4791</f>
        <v>1.7943831978755938E-2</v>
      </c>
    </row>
    <row r="10948" spans="1:4" ht="16.5" hidden="1" x14ac:dyDescent="0.3">
      <c r="A10948" s="10" t="str">
        <f>基本属性!$B$14&amp;"|"&amp;基本属性!$C$14</f>
        <v>105|4</v>
      </c>
      <c r="B10948" s="10" t="str">
        <f>参数调整!$J$41</f>
        <v>新增怪物种类6掉落</v>
      </c>
      <c r="C10948" s="8" t="str">
        <f>材料产出!$V$2</f>
        <v>龍の魄</v>
      </c>
      <c r="D10948" s="224">
        <f>参数调整!$K$41*怪物掉落配置方案!$D4792</f>
        <v>2.2152878986118434E-2</v>
      </c>
    </row>
    <row r="10949" spans="1:4" ht="16.5" hidden="1" x14ac:dyDescent="0.3">
      <c r="A10949" s="10" t="str">
        <f>基本属性!$B$15&amp;"|"&amp;基本属性!$C$15</f>
        <v>110|5</v>
      </c>
      <c r="B10949" s="10" t="str">
        <f>参数调整!$J$41</f>
        <v>新增怪物种类6掉落</v>
      </c>
      <c r="C10949" s="8" t="str">
        <f>材料产出!$V$2</f>
        <v>龍の魄</v>
      </c>
      <c r="D10949" s="224">
        <f>参数调整!$K$41*怪物掉落配置方案!$D4793</f>
        <v>2.6804983573203312E-2</v>
      </c>
    </row>
    <row r="10950" spans="1:4" ht="16.5" hidden="1" x14ac:dyDescent="0.3">
      <c r="A10950" s="10" t="str">
        <f>基本属性!$B$16&amp;"|"&amp;基本属性!$C$16</f>
        <v>120|6</v>
      </c>
      <c r="B10950" s="10" t="str">
        <f>参数调整!$J$41</f>
        <v>新增怪物种类6掉落</v>
      </c>
      <c r="C10950" s="8" t="str">
        <f>材料产出!$V$2</f>
        <v>龍の魄</v>
      </c>
      <c r="D10950" s="224">
        <f>参数调整!$K$41*怪物掉落配置方案!$D4794</f>
        <v>3.4613873415810056E-2</v>
      </c>
    </row>
    <row r="10951" spans="1:4" ht="16.5" hidden="1" x14ac:dyDescent="0.3">
      <c r="A10951" s="10" t="str">
        <f>基本属性!$B$17&amp;"|"&amp;基本属性!$C$17</f>
        <v>135|7</v>
      </c>
      <c r="B10951" s="10" t="str">
        <f>参数调整!$J$41</f>
        <v>新增怪物种类6掉落</v>
      </c>
      <c r="C10951" s="8" t="str">
        <f>材料产出!$V$2</f>
        <v>龍の魄</v>
      </c>
      <c r="D10951" s="224">
        <f>参数调整!$K$41*怪物掉落配置方案!$D4795</f>
        <v>4.9843977718766488E-2</v>
      </c>
    </row>
    <row r="10952" spans="1:4" ht="16.5" hidden="1" x14ac:dyDescent="0.3">
      <c r="A10952" s="10" t="str">
        <f>基本属性!$B$18&amp;"|"&amp;基本属性!$C$18</f>
        <v>155|8</v>
      </c>
      <c r="B10952" s="10" t="str">
        <f>参数调整!$J$41</f>
        <v>新增怪物种类6掉落</v>
      </c>
      <c r="C10952" s="8" t="str">
        <f>材料产出!$V$2</f>
        <v>龍の魄</v>
      </c>
      <c r="D10952" s="224">
        <f>参数调整!$K$41*怪物掉落配置方案!$D4796</f>
        <v>6.784319189498772E-2</v>
      </c>
    </row>
    <row r="10953" spans="1:4" ht="16.5" hidden="1" x14ac:dyDescent="0.3">
      <c r="A10953" s="10" t="str">
        <f>基本属性!$B$19&amp;"|"&amp;基本属性!$C$19</f>
        <v>190|9</v>
      </c>
      <c r="B10953" s="10" t="str">
        <f>参数调整!$J$41</f>
        <v>新增怪物种类6掉落</v>
      </c>
      <c r="C10953" s="8" t="str">
        <f>材料产出!$V$2</f>
        <v>龍の魄</v>
      </c>
      <c r="D10953" s="224">
        <f>参数调整!$K$41*怪物掉落配置方案!$D4797</f>
        <v>7.5818228329990356E-2</v>
      </c>
    </row>
    <row r="10954" spans="1:4" ht="16.5" hidden="1" x14ac:dyDescent="0.3">
      <c r="A10954" s="10" t="str">
        <f>基本属性!$B$20&amp;"|"&amp;基本属性!$C$20</f>
        <v>200|10</v>
      </c>
      <c r="B10954" s="10" t="str">
        <f>参数调整!$J$41</f>
        <v>新增怪物种类6掉落</v>
      </c>
      <c r="C10954" s="8" t="str">
        <f>材料产出!$V$2</f>
        <v>龍の魄</v>
      </c>
      <c r="D10954" s="224">
        <f>参数调整!$K$41*怪物掉落配置方案!$D4798</f>
        <v>8.8611515944473737E-2</v>
      </c>
    </row>
    <row r="10955" spans="1:4" ht="16.5" hidden="1" x14ac:dyDescent="0.3">
      <c r="A10955" s="10" t="str">
        <f>基本属性!$B$21&amp;"|"&amp;基本属性!$C$21</f>
        <v>200|11</v>
      </c>
      <c r="B10955" s="10" t="str">
        <f>参数调整!$J$41</f>
        <v>新增怪物种类6掉落</v>
      </c>
      <c r="C10955" s="8" t="str">
        <f>材料产出!$V$2</f>
        <v>龍の魄</v>
      </c>
      <c r="D10955" s="224">
        <f>参数调整!$K$41*怪物掉落配置方案!$D4799</f>
        <v>0.10240168311333245</v>
      </c>
    </row>
    <row r="10956" spans="1:4" ht="16.5" hidden="1" x14ac:dyDescent="0.3">
      <c r="A10956" s="10" t="str">
        <f>基本属性!$B$22&amp;"|"&amp;基本属性!$C$22</f>
        <v>210|12</v>
      </c>
      <c r="B10956" s="10" t="str">
        <f>参数调整!$J$41</f>
        <v>新增怪物种类6掉落</v>
      </c>
      <c r="C10956" s="8" t="str">
        <f>材料产出!$V$2</f>
        <v>龍の魄</v>
      </c>
      <c r="D10956" s="224">
        <f>参数调整!$K$41*怪物掉落配置方案!$D4800</f>
        <v>0.1171887298365665</v>
      </c>
    </row>
    <row r="10957" spans="1:4" ht="16.5" hidden="1" x14ac:dyDescent="0.3">
      <c r="A10957" s="10" t="str">
        <f>基本属性!$B$23&amp;"|"&amp;基本属性!$C$23</f>
        <v>210|13</v>
      </c>
      <c r="B10957" s="10" t="str">
        <f>参数调整!$J$41</f>
        <v>新增怪物种类6掉落</v>
      </c>
      <c r="C10957" s="8" t="str">
        <f>材料产出!$V$2</f>
        <v>龍の魄</v>
      </c>
      <c r="D10957" s="224">
        <f>参数调整!$K$41*怪物掉落配置方案!$D4801</f>
        <v>0.13297265611417594</v>
      </c>
    </row>
    <row r="10958" spans="1:4" ht="16.5" hidden="1" x14ac:dyDescent="0.3">
      <c r="A10958" s="10" t="str">
        <f>基本属性!$B$24&amp;"|"&amp;基本属性!$C$24</f>
        <v>220|14</v>
      </c>
      <c r="B10958" s="10" t="str">
        <f>参数调整!$J$41</f>
        <v>新增怪物种类6掉落</v>
      </c>
      <c r="C10958" s="8" t="str">
        <f>材料产出!$V$2</f>
        <v>龍の魄</v>
      </c>
      <c r="D10958" s="224">
        <f>参数调整!$K$41*怪物掉落配置方案!$D4802</f>
        <v>0.14975346194616063</v>
      </c>
    </row>
    <row r="10959" spans="1:4" ht="16.5" hidden="1" x14ac:dyDescent="0.3">
      <c r="A10959" s="10" t="str">
        <f>基本属性!$B$25&amp;"|"&amp;基本属性!$C$25</f>
        <v>220|15</v>
      </c>
      <c r="B10959" s="10" t="str">
        <f>参数调整!$J$41</f>
        <v>新增怪物种类6掉落</v>
      </c>
      <c r="C10959" s="8" t="str">
        <f>材料产出!$V$2</f>
        <v>龍の魄</v>
      </c>
      <c r="D10959" s="224">
        <f>参数调整!$K$41*怪物掉落配置方案!$D4803</f>
        <v>0.16753114733252067</v>
      </c>
    </row>
    <row r="10960" spans="1:4" ht="16.5" hidden="1" x14ac:dyDescent="0.3">
      <c r="A10960" s="10" t="str">
        <f>基本属性!$B$26&amp;"|"&amp;基本属性!$C$26</f>
        <v>230|16</v>
      </c>
      <c r="B10960" s="10" t="str">
        <f>参数调整!$J$41</f>
        <v>新增怪物种类6掉落</v>
      </c>
      <c r="C10960" s="8" t="str">
        <f>材料产出!$V$2</f>
        <v>龍の魄</v>
      </c>
      <c r="D10960" s="224">
        <f>参数调整!$K$41*怪物掉落配置方案!$D4804</f>
        <v>0.18630571227325604</v>
      </c>
    </row>
    <row r="10961" spans="1:4" ht="16.5" hidden="1" x14ac:dyDescent="0.3">
      <c r="A10961" s="10" t="str">
        <f>基本属性!$B$27&amp;"|"&amp;基本属性!$C$27</f>
        <v>230|17</v>
      </c>
      <c r="B10961" s="10" t="str">
        <f>参数调整!$J$41</f>
        <v>新增怪物种类6掉落</v>
      </c>
      <c r="C10961" s="8" t="str">
        <f>材料产出!$V$2</f>
        <v>龍の魄</v>
      </c>
      <c r="D10961" s="224">
        <f>参数调整!$K$41*怪物掉落配置方案!$D4805</f>
        <v>0.20607715676836674</v>
      </c>
    </row>
    <row r="10962" spans="1:4" ht="16.5" hidden="1" x14ac:dyDescent="0.3">
      <c r="A10962" s="10" t="str">
        <f>基本属性!$B$28&amp;"|"&amp;基本属性!$C$28</f>
        <v>240|18</v>
      </c>
      <c r="B10962" s="10" t="str">
        <f>参数调整!$J$41</f>
        <v>新增怪物种类6掉落</v>
      </c>
      <c r="C10962" s="8" t="str">
        <f>材料产出!$V$2</f>
        <v>龍の魄</v>
      </c>
      <c r="D10962" s="224">
        <f>参数调整!$K$41*怪物掉落配置方案!$D4806</f>
        <v>0.22684548081785283</v>
      </c>
    </row>
    <row r="10963" spans="1:4" ht="16.5" hidden="1" x14ac:dyDescent="0.3">
      <c r="A10963" s="10" t="str">
        <f>基本属性!$B$29&amp;"|"&amp;基本属性!$C$29</f>
        <v>240|19</v>
      </c>
      <c r="B10963" s="10" t="str">
        <f>参数调整!$J$41</f>
        <v>新增怪物种类6掉落</v>
      </c>
      <c r="C10963" s="8" t="str">
        <f>材料产出!$V$2</f>
        <v>龍の魄</v>
      </c>
      <c r="D10963" s="224">
        <f>参数调整!$K$41*怪物掉落配置方案!$D4807</f>
        <v>0.24861068442171419</v>
      </c>
    </row>
    <row r="10964" spans="1:4" ht="16.5" hidden="1" x14ac:dyDescent="0.3">
      <c r="A10964" s="10" t="str">
        <f>基本属性!$B$30&amp;"|"&amp;基本属性!$C$30</f>
        <v>250|20</v>
      </c>
      <c r="B10964" s="10" t="str">
        <f>参数调整!$J$41</f>
        <v>新增怪物种类6掉落</v>
      </c>
      <c r="C10964" s="8" t="str">
        <f>材料产出!$V$2</f>
        <v>龍の魄</v>
      </c>
      <c r="D10964" s="224">
        <f>参数调整!$K$41*怪物掉落配置方案!$D4808</f>
        <v>0.27137276757995082</v>
      </c>
    </row>
    <row r="10965" spans="1:4" ht="16.5" hidden="1" x14ac:dyDescent="0.3">
      <c r="A10965" s="10" t="str">
        <f>基本属性!$B$4&amp;"|"&amp;基本属性!$C$4</f>
        <v>35|0</v>
      </c>
      <c r="B10965" s="10" t="str">
        <f>参数调整!$J$41</f>
        <v>新增怪物种类6掉落</v>
      </c>
      <c r="C10965" s="8" t="str">
        <f>材料产出!$AB$2</f>
        <v>龙晶碎片</v>
      </c>
      <c r="D10965" s="224">
        <f>参数调整!$K$41*怪物掉落配置方案!$D4809</f>
        <v>9.0858793129654961E-2</v>
      </c>
    </row>
    <row r="10966" spans="1:4" ht="16.5" hidden="1" x14ac:dyDescent="0.3">
      <c r="A10966" s="10" t="str">
        <f>基本属性!$B$5&amp;"|"&amp;基本属性!$C$5</f>
        <v>40|0</v>
      </c>
      <c r="B10966" s="10" t="str">
        <f>参数调整!$J$41</f>
        <v>新增怪物种类6掉落</v>
      </c>
      <c r="C10966" s="8" t="str">
        <f>材料产出!$AB$2</f>
        <v>龙晶碎片</v>
      </c>
      <c r="D10966" s="224">
        <f>参数调整!$K$41*怪物掉落配置方案!$D4810</f>
        <v>0.11499316005471957</v>
      </c>
    </row>
    <row r="10967" spans="1:4" ht="16.5" hidden="1" x14ac:dyDescent="0.3">
      <c r="A10967" s="10" t="str">
        <f>基本属性!$B$6&amp;"|"&amp;基本属性!$C$6</f>
        <v>50|0</v>
      </c>
      <c r="B10967" s="10" t="str">
        <f>参数调整!$J$41</f>
        <v>新增怪物种类6掉落</v>
      </c>
      <c r="C10967" s="8" t="str">
        <f>材料产出!$AB$2</f>
        <v>龙晶碎片</v>
      </c>
      <c r="D10967" s="224">
        <f>参数调整!$K$41*怪物掉落配置方案!$D4811</f>
        <v>0.14196686426508587</v>
      </c>
    </row>
    <row r="10968" spans="1:4" ht="16.5" hidden="1" x14ac:dyDescent="0.3">
      <c r="A10968" s="10" t="str">
        <f>基本属性!$B$7&amp;"|"&amp;基本属性!$C$7</f>
        <v>60|0</v>
      </c>
      <c r="B10968" s="10" t="str">
        <f>参数调整!$J$41</f>
        <v>新增怪物种类6掉落</v>
      </c>
      <c r="C10968" s="8" t="str">
        <f>材料产出!$AB$2</f>
        <v>龙晶碎片</v>
      </c>
      <c r="D10968" s="224">
        <f>参数调整!$K$41*怪物掉落配置方案!$D4812</f>
        <v>0.17177990576075394</v>
      </c>
    </row>
    <row r="10969" spans="1:4" ht="16.5" hidden="1" x14ac:dyDescent="0.3">
      <c r="A10969" s="10" t="str">
        <f>基本属性!$B$8&amp;"|"&amp;基本属性!$C$8</f>
        <v>65|0</v>
      </c>
      <c r="B10969" s="10" t="str">
        <f>参数调整!$J$41</f>
        <v>新增怪物种类6掉落</v>
      </c>
      <c r="C10969" s="8" t="str">
        <f>材料产出!$AB$2</f>
        <v>龙晶碎片</v>
      </c>
      <c r="D10969" s="224">
        <f>参数调整!$K$41*怪物掉落配置方案!$D4813</f>
        <v>0.20443228454172369</v>
      </c>
    </row>
    <row r="10970" spans="1:4" ht="16.5" hidden="1" x14ac:dyDescent="0.3">
      <c r="A10970" s="10" t="str">
        <f>基本属性!$B$9&amp;"|"&amp;基本属性!$C$9</f>
        <v>70|0</v>
      </c>
      <c r="B10970" s="10" t="str">
        <f>参数调整!$J$41</f>
        <v>新增怪物种类6掉落</v>
      </c>
      <c r="C10970" s="8" t="str">
        <f>材料产出!$AB$2</f>
        <v>龙晶碎片</v>
      </c>
      <c r="D10970" s="224">
        <f>参数调整!$K$41*怪物掉落配置方案!$D4814</f>
        <v>0.23992400060799512</v>
      </c>
    </row>
    <row r="10971" spans="1:4" ht="16.5" hidden="1" x14ac:dyDescent="0.3">
      <c r="A10971" s="10" t="str">
        <f>基本属性!$B$10&amp;"|"&amp;基本属性!$C$10</f>
        <v>75|0</v>
      </c>
      <c r="B10971" s="10" t="str">
        <f>参数调整!$J$41</f>
        <v>新增怪物种类6掉落</v>
      </c>
      <c r="C10971" s="8" t="str">
        <f>材料产出!$AB$2</f>
        <v>龙晶碎片</v>
      </c>
      <c r="D10971" s="224">
        <f>参数调整!$K$41*怪物掉落配置方案!$D4815</f>
        <v>0.27825505395956829</v>
      </c>
    </row>
    <row r="10972" spans="1:4" ht="16.5" hidden="1" x14ac:dyDescent="0.3">
      <c r="A10972" s="10" t="str">
        <f>基本属性!$B$11&amp;"|"&amp;基本属性!$C$11</f>
        <v>80|1</v>
      </c>
      <c r="B10972" s="10" t="str">
        <f>参数调整!$J$41</f>
        <v>新增怪物种类6掉落</v>
      </c>
      <c r="C10972" s="8" t="str">
        <f>材料产出!$AB$2</f>
        <v>龙晶碎片</v>
      </c>
      <c r="D10972" s="224">
        <f>参数调整!$K$41*怪物掉落配置方案!$D4816</f>
        <v>0.31942544459644318</v>
      </c>
    </row>
    <row r="10973" spans="1:4" ht="16.5" hidden="1" x14ac:dyDescent="0.3">
      <c r="A10973" s="10" t="str">
        <f>基本属性!$B$12&amp;"|"&amp;基本属性!$C$12</f>
        <v>90|2</v>
      </c>
      <c r="B10973" s="10" t="str">
        <f>参数调整!$J$41</f>
        <v>新增怪物种类6掉落</v>
      </c>
      <c r="C10973" s="8" t="str">
        <f>材料产出!$AB$2</f>
        <v>龙晶碎片</v>
      </c>
      <c r="D10973" s="224">
        <f>参数调整!$K$41*怪物掉落配置方案!$D4817</f>
        <v>0.3634351725186199</v>
      </c>
    </row>
    <row r="10974" spans="1:4" ht="16.5" hidden="1" x14ac:dyDescent="0.3">
      <c r="A10974" s="10" t="str">
        <f>基本属性!$B$13&amp;"|"&amp;基本属性!$C$13</f>
        <v>100|3</v>
      </c>
      <c r="B10974" s="10" t="str">
        <f>参数调整!$J$41</f>
        <v>新增怪物种类6掉落</v>
      </c>
      <c r="C10974" s="8" t="str">
        <f>材料产出!$AB$2</f>
        <v>龙晶碎片</v>
      </c>
      <c r="D10974" s="224">
        <f>参数调整!$K$41*怪物掉落配置方案!$D4818</f>
        <v>0.45997264021887829</v>
      </c>
    </row>
    <row r="10975" spans="1:4" ht="16.5" hidden="1" x14ac:dyDescent="0.3">
      <c r="A10975" s="10" t="str">
        <f>基本属性!$B$14&amp;"|"&amp;基本属性!$C$14</f>
        <v>105|4</v>
      </c>
      <c r="B10975" s="10" t="str">
        <f>参数调整!$J$41</f>
        <v>新增怪物种类6掉落</v>
      </c>
      <c r="C10975" s="8" t="str">
        <f>材料产出!$AB$2</f>
        <v>龙晶碎片</v>
      </c>
      <c r="D10975" s="224">
        <f>参数调整!$K$41*怪物掉落配置方案!$D4819</f>
        <v>0.56786745706034358</v>
      </c>
    </row>
    <row r="10976" spans="1:4" ht="16.5" hidden="1" x14ac:dyDescent="0.3">
      <c r="A10976" s="10" t="str">
        <f>基本属性!$B$15&amp;"|"&amp;基本属性!$C$15</f>
        <v>110|5</v>
      </c>
      <c r="B10976" s="10" t="str">
        <f>参数调整!$J$41</f>
        <v>新增怪物种类6掉落</v>
      </c>
      <c r="C10976" s="8" t="str">
        <f>材料产出!$AB$2</f>
        <v>龙晶碎片</v>
      </c>
      <c r="D10976" s="224">
        <f>参数调整!$K$41*怪物掉落配置方案!$D4820</f>
        <v>0.68711962304301588</v>
      </c>
    </row>
    <row r="10977" spans="1:4" ht="16.5" hidden="1" x14ac:dyDescent="0.3">
      <c r="A10977" s="10" t="str">
        <f>基本属性!$B$16&amp;"|"&amp;基本属性!$C$16</f>
        <v>120|6</v>
      </c>
      <c r="B10977" s="10" t="str">
        <f>参数调整!$J$41</f>
        <v>新增怪物种类6掉落</v>
      </c>
      <c r="C10977" s="8" t="str">
        <f>材料产出!$AB$2</f>
        <v>龙晶碎片</v>
      </c>
      <c r="D10977" s="224">
        <f>参数调整!$K$41*怪物掉落配置方案!$D4821</f>
        <v>0.88729290165678665</v>
      </c>
    </row>
    <row r="10978" spans="1:4" ht="16.5" hidden="1" x14ac:dyDescent="0.3">
      <c r="A10978" s="10" t="str">
        <f>基本属性!$B$17&amp;"|"&amp;基本属性!$C$17</f>
        <v>135|7</v>
      </c>
      <c r="B10978" s="10" t="str">
        <f>参数调整!$J$41</f>
        <v>新增怪物种类6掉落</v>
      </c>
      <c r="C10978" s="8" t="str">
        <f>材料产出!$AB$2</f>
        <v>龙晶碎片</v>
      </c>
      <c r="D10978" s="224">
        <f>参数调整!$K$41*怪物掉落配置方案!$D4822</f>
        <v>1.2777017783857727</v>
      </c>
    </row>
    <row r="10979" spans="1:4" ht="16.5" hidden="1" x14ac:dyDescent="0.3">
      <c r="A10979" s="10" t="str">
        <f>基本属性!$B$18&amp;"|"&amp;基本属性!$C$18</f>
        <v>155|8</v>
      </c>
      <c r="B10979" s="10" t="str">
        <f>参数调整!$J$41</f>
        <v>新增怪物种类6掉落</v>
      </c>
      <c r="C10979" s="8" t="str">
        <f>材料产出!$AB$2</f>
        <v>龙晶碎片</v>
      </c>
      <c r="D10979" s="224">
        <f>参数调整!$K$41*怪物掉落配置方案!$D4823</f>
        <v>1.7390940872473022</v>
      </c>
    </row>
    <row r="10980" spans="1:4" ht="16.5" hidden="1" x14ac:dyDescent="0.3">
      <c r="A10980" s="10" t="str">
        <f>基本属性!$B$19&amp;"|"&amp;基本属性!$C$19</f>
        <v>190|9</v>
      </c>
      <c r="B10980" s="10" t="str">
        <f>参数调整!$J$41</f>
        <v>新增怪物种类6掉落</v>
      </c>
      <c r="C10980" s="8" t="str">
        <f>材料产出!$AB$2</f>
        <v>龙晶碎片</v>
      </c>
      <c r="D10980" s="224">
        <f>参数调整!$K$41*怪物掉落配置方案!$D4824</f>
        <v>1.9435263717890261</v>
      </c>
    </row>
    <row r="10981" spans="1:4" ht="16.5" hidden="1" x14ac:dyDescent="0.3">
      <c r="A10981" s="10" t="str">
        <f>基本属性!$B$20&amp;"|"&amp;基本属性!$C$20</f>
        <v>200|10</v>
      </c>
      <c r="B10981" s="10" t="str">
        <f>参数调整!$J$41</f>
        <v>新增怪物种类6掉落</v>
      </c>
      <c r="C10981" s="8" t="str">
        <f>材料产出!$AB$2</f>
        <v>龙晶碎片</v>
      </c>
      <c r="D10981" s="224">
        <f>参数调整!$K$41*怪物掉落配置方案!$D4825</f>
        <v>2.2714698282413743</v>
      </c>
    </row>
    <row r="10982" spans="1:4" ht="16.5" hidden="1" x14ac:dyDescent="0.3">
      <c r="A10982" s="10" t="str">
        <f>基本属性!$B$21&amp;"|"&amp;基本属性!$C$21</f>
        <v>200|11</v>
      </c>
      <c r="B10982" s="10" t="str">
        <f>参数调整!$J$41</f>
        <v>新增怪物种类6掉落</v>
      </c>
      <c r="C10982" s="8" t="str">
        <f>材料产出!$AB$2</f>
        <v>龙晶碎片</v>
      </c>
      <c r="D10982" s="224">
        <f>参数调整!$K$41*怪物掉落配置方案!$D4826</f>
        <v>2.6249673202614372</v>
      </c>
    </row>
    <row r="10983" spans="1:4" ht="16.5" hidden="1" x14ac:dyDescent="0.3">
      <c r="A10983" s="10" t="str">
        <f>基本属性!$B$22&amp;"|"&amp;基本属性!$C$22</f>
        <v>210|12</v>
      </c>
      <c r="B10983" s="10" t="str">
        <f>参数调整!$J$41</f>
        <v>新增怪物种类6掉落</v>
      </c>
      <c r="C10983" s="8" t="str">
        <f>材料产出!$AB$2</f>
        <v>龙晶碎片</v>
      </c>
      <c r="D10983" s="224">
        <f>参数调整!$K$41*怪物掉落配置方案!$D4827</f>
        <v>3.0040188478492169</v>
      </c>
    </row>
    <row r="10984" spans="1:4" ht="16.5" hidden="1" x14ac:dyDescent="0.3">
      <c r="A10984" s="10" t="str">
        <f>基本属性!$B$23&amp;"|"&amp;基本属性!$C$23</f>
        <v>210|13</v>
      </c>
      <c r="B10984" s="10" t="str">
        <f>参数调整!$J$41</f>
        <v>新增怪物种类6掉落</v>
      </c>
      <c r="C10984" s="8" t="str">
        <f>材料产出!$AB$2</f>
        <v>龙晶碎片</v>
      </c>
      <c r="D10984" s="224">
        <f>参数调整!$K$41*怪物掉落配置方案!$D4828</f>
        <v>3.4086244110047117</v>
      </c>
    </row>
    <row r="10985" spans="1:4" ht="16.5" hidden="1" x14ac:dyDescent="0.3">
      <c r="A10985" s="10" t="str">
        <f>基本属性!$B$24&amp;"|"&amp;基本属性!$C$24</f>
        <v>220|14</v>
      </c>
      <c r="B10985" s="10" t="str">
        <f>参数调整!$J$41</f>
        <v>新增怪物种类6掉落</v>
      </c>
      <c r="C10985" s="8" t="str">
        <f>材料产出!$AB$2</f>
        <v>龙晶碎片</v>
      </c>
      <c r="D10985" s="224">
        <f>参数调整!$K$41*怪物掉落配置方案!$D4829</f>
        <v>3.8387840097279224</v>
      </c>
    </row>
    <row r="10986" spans="1:4" ht="16.5" hidden="1" x14ac:dyDescent="0.3">
      <c r="A10986" s="10" t="str">
        <f>基本属性!$B$25&amp;"|"&amp;基本属性!$C$25</f>
        <v>220|15</v>
      </c>
      <c r="B10986" s="10" t="str">
        <f>参数调整!$J$41</f>
        <v>新增怪物种类6掉落</v>
      </c>
      <c r="C10986" s="8" t="str">
        <f>材料产出!$AB$2</f>
        <v>龙晶碎片</v>
      </c>
      <c r="D10986" s="224">
        <f>参数调整!$K$41*怪物掉落配置方案!$D4830</f>
        <v>4.2944976440188469</v>
      </c>
    </row>
    <row r="10987" spans="1:4" ht="16.5" hidden="1" x14ac:dyDescent="0.3">
      <c r="A10987" s="10" t="str">
        <f>基本属性!$B$26&amp;"|"&amp;基本属性!$C$26</f>
        <v>230|16</v>
      </c>
      <c r="B10987" s="10" t="str">
        <f>参数调整!$J$41</f>
        <v>新增怪物种类6掉落</v>
      </c>
      <c r="C10987" s="8" t="str">
        <f>材料产出!$AB$2</f>
        <v>龙晶碎片</v>
      </c>
      <c r="D10987" s="224">
        <f>参数调整!$K$41*怪物掉落配置方案!$D4831</f>
        <v>4.7757653138774891</v>
      </c>
    </row>
    <row r="10988" spans="1:4" ht="16.5" hidden="1" x14ac:dyDescent="0.3">
      <c r="A10988" s="10" t="str">
        <f>基本属性!$B$27&amp;"|"&amp;基本属性!$C$27</f>
        <v>230|17</v>
      </c>
      <c r="B10988" s="10" t="str">
        <f>参数调整!$J$41</f>
        <v>新增怪物种类6掉落</v>
      </c>
      <c r="C10988" s="8" t="str">
        <f>材料产出!$AB$2</f>
        <v>龙晶碎片</v>
      </c>
      <c r="D10988" s="224">
        <f>参数调整!$K$41*怪物掉落配置方案!$D4832</f>
        <v>5.2825870193038451</v>
      </c>
    </row>
    <row r="10989" spans="1:4" ht="16.5" hidden="1" x14ac:dyDescent="0.3">
      <c r="A10989" s="10" t="str">
        <f>基本属性!$B$28&amp;"|"&amp;基本属性!$C$28</f>
        <v>240|18</v>
      </c>
      <c r="B10989" s="10" t="str">
        <f>参数调整!$J$41</f>
        <v>新增怪物种类6掉落</v>
      </c>
      <c r="C10989" s="8" t="str">
        <f>材料产出!$AB$2</f>
        <v>龙晶碎片</v>
      </c>
      <c r="D10989" s="224">
        <f>参数调整!$K$41*怪物掉落配置方案!$D4833</f>
        <v>5.8149627602979184</v>
      </c>
    </row>
    <row r="10990" spans="1:4" ht="16.5" hidden="1" x14ac:dyDescent="0.3">
      <c r="A10990" s="10" t="str">
        <f>基本属性!$B$29&amp;"|"&amp;基本属性!$C$29</f>
        <v>240|19</v>
      </c>
      <c r="B10990" s="10" t="str">
        <f>参数调整!$J$41</f>
        <v>新增怪物种类6掉落</v>
      </c>
      <c r="C10990" s="8" t="str">
        <f>材料产出!$AB$2</f>
        <v>龙晶碎片</v>
      </c>
      <c r="D10990" s="224">
        <f>参数调整!$K$41*怪物掉落配置方案!$D4834</f>
        <v>6.3728925368597054</v>
      </c>
    </row>
    <row r="10991" spans="1:4" ht="16.5" hidden="1" x14ac:dyDescent="0.3">
      <c r="A10991" s="10" t="str">
        <f>基本属性!$B$30&amp;"|"&amp;基本属性!$C$30</f>
        <v>250|20</v>
      </c>
      <c r="B10991" s="10" t="str">
        <f>参数调整!$J$41</f>
        <v>新增怪物种类6掉落</v>
      </c>
      <c r="C10991" s="8" t="str">
        <f>材料产出!$AB$2</f>
        <v>龙晶碎片</v>
      </c>
      <c r="D10991" s="224">
        <f>参数调整!$K$41*怪物掉落配置方案!$D4835</f>
        <v>6.9563763489892061</v>
      </c>
    </row>
    <row r="10992" spans="1:4" ht="16.5" hidden="1" x14ac:dyDescent="0.3">
      <c r="A10992" s="10" t="str">
        <f>基本属性!$B$4&amp;"|"&amp;基本属性!$C$4</f>
        <v>35|0</v>
      </c>
      <c r="B10992" s="10" t="str">
        <f>参数调整!$J$41</f>
        <v>新增怪物种类6掉落</v>
      </c>
      <c r="C10992" s="8" t="str">
        <f>材料产出!$AX$2</f>
        <v>烈焰玄铁</v>
      </c>
      <c r="D10992" s="224">
        <f>参数调整!$K$41*怪物掉落配置方案!$D4836</f>
        <v>5.3570201575373695E-4</v>
      </c>
    </row>
    <row r="10993" spans="1:4" ht="16.5" hidden="1" x14ac:dyDescent="0.3">
      <c r="A10993" s="10" t="str">
        <f>基本属性!$B$5&amp;"|"&amp;基本属性!$C$5</f>
        <v>40|0</v>
      </c>
      <c r="B10993" s="10" t="str">
        <f>参数调整!$J$41</f>
        <v>新增怪物种类6掉落</v>
      </c>
      <c r="C10993" s="8" t="str">
        <f>材料产出!$AX$2</f>
        <v>烈焰玄铁</v>
      </c>
      <c r="D10993" s="224">
        <f>参数调整!$K$41*怪物掉落配置方案!$D4837</f>
        <v>6.7799786368832329E-4</v>
      </c>
    </row>
    <row r="10994" spans="1:4" ht="16.5" hidden="1" x14ac:dyDescent="0.3">
      <c r="A10994" s="10" t="str">
        <f>基本属性!$B$6&amp;"|"&amp;基本属性!$C$6</f>
        <v>50|0</v>
      </c>
      <c r="B10994" s="10" t="str">
        <f>参数调整!$J$41</f>
        <v>新增怪物种类6掉落</v>
      </c>
      <c r="C10994" s="8" t="str">
        <f>材料产出!$AX$2</f>
        <v>烈焰玄铁</v>
      </c>
      <c r="D10994" s="224">
        <f>参数调整!$K$41*怪物掉落配置方案!$D4838</f>
        <v>8.3703439961521392E-4</v>
      </c>
    </row>
    <row r="10995" spans="1:4" ht="16.5" hidden="1" x14ac:dyDescent="0.3">
      <c r="A10995" s="10" t="str">
        <f>基本属性!$B$7&amp;"|"&amp;基本属性!$C$7</f>
        <v>60|0</v>
      </c>
      <c r="B10995" s="10" t="str">
        <f>参数调整!$J$41</f>
        <v>新增怪物种类6掉落</v>
      </c>
      <c r="C10995" s="8" t="str">
        <f>材料产出!$AX$2</f>
        <v>烈焰玄铁</v>
      </c>
      <c r="D10995" s="224">
        <f>参数调整!$K$41*怪物掉落配置方案!$D4839</f>
        <v>1.0128116235344092E-3</v>
      </c>
    </row>
    <row r="10996" spans="1:4" ht="16.5" hidden="1" x14ac:dyDescent="0.3">
      <c r="A10996" s="10" t="str">
        <f>基本属性!$B$8&amp;"|"&amp;基本属性!$C$8</f>
        <v>65|0</v>
      </c>
      <c r="B10996" s="10" t="str">
        <f>参数调整!$J$41</f>
        <v>新增怪物种类6掉落</v>
      </c>
      <c r="C10996" s="8" t="str">
        <f>材料产出!$AX$2</f>
        <v>烈焰玄铁</v>
      </c>
      <c r="D10996" s="224">
        <f>参数调整!$K$41*怪物掉落配置方案!$D4840</f>
        <v>1.2053295354459081E-3</v>
      </c>
    </row>
    <row r="10997" spans="1:4" ht="16.5" hidden="1" x14ac:dyDescent="0.3">
      <c r="A10997" s="10" t="str">
        <f>基本属性!$B$9&amp;"|"&amp;基本属性!$C$9</f>
        <v>70|0</v>
      </c>
      <c r="B10997" s="10" t="str">
        <f>参数调整!$J$41</f>
        <v>新增怪物种类6掉落</v>
      </c>
      <c r="C10997" s="8" t="str">
        <f>材料产出!$AX$2</f>
        <v>烈焰玄铁</v>
      </c>
      <c r="D10997" s="224">
        <f>参数调整!$K$41*怪物掉落配置方案!$D4841</f>
        <v>1.414588135349712E-3</v>
      </c>
    </row>
    <row r="10998" spans="1:4" ht="16.5" hidden="1" x14ac:dyDescent="0.3">
      <c r="A10998" s="10" t="str">
        <f>基本属性!$B$10&amp;"|"&amp;基本属性!$C$10</f>
        <v>75|0</v>
      </c>
      <c r="B10998" s="10" t="str">
        <f>参数调整!$J$41</f>
        <v>新增怪物种类6掉落</v>
      </c>
      <c r="C10998" s="8" t="str">
        <f>材料产出!$AX$2</f>
        <v>烈焰玄铁</v>
      </c>
      <c r="D10998" s="224">
        <f>参数调整!$K$41*怪物掉落配置方案!$D4842</f>
        <v>1.6405874232458192E-3</v>
      </c>
    </row>
    <row r="10999" spans="1:4" ht="16.5" hidden="1" x14ac:dyDescent="0.3">
      <c r="A10999" s="10" t="str">
        <f>基本属性!$B$11&amp;"|"&amp;基本属性!$C$11</f>
        <v>80|1</v>
      </c>
      <c r="B10999" s="10" t="str">
        <f>参数调整!$J$41</f>
        <v>新增怪物种类6掉落</v>
      </c>
      <c r="C10999" s="8" t="str">
        <f>材料产出!$AX$2</f>
        <v>烈焰玄铁</v>
      </c>
      <c r="D10999" s="224">
        <f>参数调整!$K$41*怪物掉落配置方案!$D4843</f>
        <v>1.8833273991342315E-3</v>
      </c>
    </row>
    <row r="11000" spans="1:4" ht="16.5" hidden="1" x14ac:dyDescent="0.3">
      <c r="A11000" s="10" t="str">
        <f>基本属性!$B$12&amp;"|"&amp;基本属性!$C$12</f>
        <v>90|2</v>
      </c>
      <c r="B11000" s="10" t="str">
        <f>参数调整!$J$41</f>
        <v>新增怪物种类6掉落</v>
      </c>
      <c r="C11000" s="8" t="str">
        <f>材料产出!$AX$2</f>
        <v>烈焰玄铁</v>
      </c>
      <c r="D11000" s="224">
        <f>参数调整!$K$41*怪物掉落配置方案!$D4844</f>
        <v>2.1428080630149482E-3</v>
      </c>
    </row>
    <row r="11001" spans="1:4" ht="16.5" hidden="1" x14ac:dyDescent="0.3">
      <c r="A11001" s="10" t="str">
        <f>基本属性!$B$13&amp;"|"&amp;基本属性!$C$13</f>
        <v>100|3</v>
      </c>
      <c r="B11001" s="10" t="str">
        <f>参数调整!$J$41</f>
        <v>新增怪物种类6掉落</v>
      </c>
      <c r="C11001" s="8" t="str">
        <f>材料产出!$AX$2</f>
        <v>烈焰玄铁</v>
      </c>
      <c r="D11001" s="224">
        <f>参数调整!$K$41*怪物掉落配置方案!$D4845</f>
        <v>2.7119914547532936E-3</v>
      </c>
    </row>
    <row r="11002" spans="1:4" ht="16.5" hidden="1" x14ac:dyDescent="0.3">
      <c r="A11002" s="10" t="str">
        <f>基本属性!$B$14&amp;"|"&amp;基本属性!$C$14</f>
        <v>105|4</v>
      </c>
      <c r="B11002" s="10" t="str">
        <f>参数调整!$J$41</f>
        <v>新增怪物种类6掉落</v>
      </c>
      <c r="C11002" s="8" t="str">
        <f>材料产出!$AX$2</f>
        <v>烈焰玄铁</v>
      </c>
      <c r="D11002" s="224">
        <f>参数调整!$K$41*怪物掉落配置方案!$D4846</f>
        <v>3.3481375984608566E-3</v>
      </c>
    </row>
    <row r="11003" spans="1:4" ht="16.5" hidden="1" x14ac:dyDescent="0.3">
      <c r="A11003" s="10" t="str">
        <f>基本属性!$B$15&amp;"|"&amp;基本属性!$C$15</f>
        <v>110|5</v>
      </c>
      <c r="B11003" s="10" t="str">
        <f>参数调整!$J$41</f>
        <v>新增怪物种类6掉落</v>
      </c>
      <c r="C11003" s="8" t="str">
        <f>材料产出!$AX$2</f>
        <v>烈焰玄铁</v>
      </c>
      <c r="D11003" s="224">
        <f>参数调整!$K$41*怪物掉落配置方案!$D4847</f>
        <v>4.0512464941376367E-3</v>
      </c>
    </row>
    <row r="11004" spans="1:4" ht="16.5" hidden="1" x14ac:dyDescent="0.3">
      <c r="A11004" s="10" t="str">
        <f>基本属性!$B$16&amp;"|"&amp;基本属性!$C$16</f>
        <v>120|6</v>
      </c>
      <c r="B11004" s="10" t="str">
        <f>参数调整!$J$41</f>
        <v>新增怪物种类6掉落</v>
      </c>
      <c r="C11004" s="8" t="str">
        <f>材料产出!$AX$2</f>
        <v>烈焰玄铁</v>
      </c>
      <c r="D11004" s="224">
        <f>参数调整!$K$41*怪物掉落配置方案!$D4848</f>
        <v>5.2314649975950872E-3</v>
      </c>
    </row>
    <row r="11005" spans="1:4" ht="16.5" hidden="1" x14ac:dyDescent="0.3">
      <c r="A11005" s="10" t="str">
        <f>基本属性!$B$17&amp;"|"&amp;基本属性!$C$17</f>
        <v>135|7</v>
      </c>
      <c r="B11005" s="10" t="str">
        <f>参数调整!$J$41</f>
        <v>新增怪物种类6掉落</v>
      </c>
      <c r="C11005" s="8" t="str">
        <f>材料产出!$AX$2</f>
        <v>烈焰玄铁</v>
      </c>
      <c r="D11005" s="224">
        <f>参数调整!$K$41*怪物掉落配置方案!$D4849</f>
        <v>7.5333095965369259E-3</v>
      </c>
    </row>
    <row r="11006" spans="1:4" ht="16.5" hidden="1" x14ac:dyDescent="0.3">
      <c r="A11006" s="10" t="str">
        <f>基本属性!$B$18&amp;"|"&amp;基本属性!$C$18</f>
        <v>155|8</v>
      </c>
      <c r="B11006" s="10" t="str">
        <f>参数调整!$J$41</f>
        <v>新增怪物种类6掉落</v>
      </c>
      <c r="C11006" s="8" t="str">
        <f>材料产出!$AX$2</f>
        <v>烈焰玄铁</v>
      </c>
      <c r="D11006" s="224">
        <f>参数调整!$K$41*怪物掉落配置方案!$D4850</f>
        <v>1.0253671395286372E-2</v>
      </c>
    </row>
    <row r="11007" spans="1:4" ht="16.5" hidden="1" x14ac:dyDescent="0.3">
      <c r="A11007" s="10" t="str">
        <f>基本属性!$B$19&amp;"|"&amp;基本属性!$C$19</f>
        <v>190|9</v>
      </c>
      <c r="B11007" s="10" t="str">
        <f>参数调整!$J$41</f>
        <v>新增怪物种类6掉落</v>
      </c>
      <c r="C11007" s="8" t="str">
        <f>材料产出!$AX$2</f>
        <v>烈焰玄铁</v>
      </c>
      <c r="D11007" s="224">
        <f>参数调整!$K$41*怪物掉落配置方案!$D4851</f>
        <v>1.1459000930732282E-2</v>
      </c>
    </row>
    <row r="11008" spans="1:4" ht="16.5" hidden="1" x14ac:dyDescent="0.3">
      <c r="A11008" s="10" t="str">
        <f>基本属性!$B$20&amp;"|"&amp;基本属性!$C$20</f>
        <v>200|10</v>
      </c>
      <c r="B11008" s="10" t="str">
        <f>参数调整!$J$41</f>
        <v>新增怪物种类6掉落</v>
      </c>
      <c r="C11008" s="8" t="str">
        <f>材料产出!$AX$2</f>
        <v>烈焰玄铁</v>
      </c>
      <c r="D11008" s="224">
        <f>参数调整!$K$41*怪物掉落配置方案!$D4852</f>
        <v>1.3392550393843426E-2</v>
      </c>
    </row>
    <row r="11009" spans="1:4" ht="16.5" hidden="1" x14ac:dyDescent="0.3">
      <c r="A11009" s="10" t="str">
        <f>基本属性!$B$21&amp;"|"&amp;基本属性!$C$21</f>
        <v>200|11</v>
      </c>
      <c r="B11009" s="10" t="str">
        <f>参数调整!$J$41</f>
        <v>新增怪物种类6掉落</v>
      </c>
      <c r="C11009" s="8" t="str">
        <f>材料产出!$AX$2</f>
        <v>烈焰玄铁</v>
      </c>
      <c r="D11009" s="224">
        <f>参数调整!$K$41*怪物掉落配置方案!$D4853</f>
        <v>1.5476766048885305E-2</v>
      </c>
    </row>
    <row r="11010" spans="1:4" ht="16.5" hidden="1" x14ac:dyDescent="0.3">
      <c r="A11010" s="10" t="str">
        <f>基本属性!$B$22&amp;"|"&amp;基本属性!$C$22</f>
        <v>210|12</v>
      </c>
      <c r="B11010" s="10" t="str">
        <f>参数调整!$J$41</f>
        <v>新增怪物种类6掉落</v>
      </c>
      <c r="C11010" s="8" t="str">
        <f>材料产出!$AX$2</f>
        <v>烈焰玄铁</v>
      </c>
      <c r="D11010" s="224">
        <f>参数调整!$K$41*怪物掉落配置方案!$D4854</f>
        <v>1.7711647895857923E-2</v>
      </c>
    </row>
    <row r="11011" spans="1:4" ht="16.5" hidden="1" x14ac:dyDescent="0.3">
      <c r="A11011" s="10" t="str">
        <f>基本属性!$B$23&amp;"|"&amp;基本属性!$C$23</f>
        <v>210|13</v>
      </c>
      <c r="B11011" s="10" t="str">
        <f>参数调整!$J$41</f>
        <v>新增怪物种类6掉落</v>
      </c>
      <c r="C11011" s="8" t="str">
        <f>材料产出!$AX$2</f>
        <v>烈焰玄铁</v>
      </c>
      <c r="D11011" s="224">
        <f>参数调整!$K$41*怪物掉落配置方案!$D4855</f>
        <v>2.0097195934761291E-2</v>
      </c>
    </row>
    <row r="11012" spans="1:4" ht="16.5" hidden="1" x14ac:dyDescent="0.3">
      <c r="A11012" s="10" t="str">
        <f>基本属性!$B$24&amp;"|"&amp;基本属性!$C$24</f>
        <v>220|14</v>
      </c>
      <c r="B11012" s="10" t="str">
        <f>参数调整!$J$41</f>
        <v>新增怪物种类6掉落</v>
      </c>
      <c r="C11012" s="8" t="str">
        <f>材料产出!$AX$2</f>
        <v>烈焰玄铁</v>
      </c>
      <c r="D11012" s="224">
        <f>参数调整!$K$41*怪物掉落配置方案!$D4856</f>
        <v>2.2633410165595388E-2</v>
      </c>
    </row>
    <row r="11013" spans="1:4" ht="16.5" hidden="1" x14ac:dyDescent="0.3">
      <c r="A11013" s="10" t="str">
        <f>基本属性!$B$25&amp;"|"&amp;基本属性!$C$25</f>
        <v>220|15</v>
      </c>
      <c r="B11013" s="10" t="str">
        <f>参数调整!$J$41</f>
        <v>新增怪物种类6掉落</v>
      </c>
      <c r="C11013" s="8" t="str">
        <f>材料产出!$AX$2</f>
        <v>烈焰玄铁</v>
      </c>
      <c r="D11013" s="224">
        <f>参数调整!$K$41*怪物掉落配置方案!$D4857</f>
        <v>2.5320290588360224E-2</v>
      </c>
    </row>
    <row r="11014" spans="1:4" ht="16.5" hidden="1" x14ac:dyDescent="0.3">
      <c r="A11014" s="10" t="str">
        <f>基本属性!$B$26&amp;"|"&amp;基本属性!$C$26</f>
        <v>230|16</v>
      </c>
      <c r="B11014" s="10" t="str">
        <f>参数调整!$J$41</f>
        <v>新增怪物种类6掉落</v>
      </c>
      <c r="C11014" s="8" t="str">
        <f>材料产出!$AX$2</f>
        <v>烈焰玄铁</v>
      </c>
      <c r="D11014" s="224">
        <f>参数调整!$K$41*怪物掉落配置方案!$D4858</f>
        <v>2.8157837203055792E-2</v>
      </c>
    </row>
    <row r="11015" spans="1:4" ht="16.5" hidden="1" x14ac:dyDescent="0.3">
      <c r="A11015" s="10" t="str">
        <f>基本属性!$B$27&amp;"|"&amp;基本属性!$C$27</f>
        <v>230|17</v>
      </c>
      <c r="B11015" s="10" t="str">
        <f>参数调整!$J$41</f>
        <v>新增怪物种类6掉落</v>
      </c>
      <c r="C11015" s="8" t="str">
        <f>材料产出!$AX$2</f>
        <v>烈焰玄铁</v>
      </c>
      <c r="D11015" s="224">
        <f>参数调整!$K$41*怪物掉落配置方案!$D4859</f>
        <v>3.1146050009682104E-2</v>
      </c>
    </row>
    <row r="11016" spans="1:4" ht="16.5" hidden="1" x14ac:dyDescent="0.3">
      <c r="A11016" s="10" t="str">
        <f>基本属性!$B$28&amp;"|"&amp;基本属性!$C$28</f>
        <v>240|18</v>
      </c>
      <c r="B11016" s="10" t="str">
        <f>参数调整!$J$41</f>
        <v>新增怪物种类6掉落</v>
      </c>
      <c r="C11016" s="8" t="str">
        <f>材料产出!$AX$2</f>
        <v>烈焰玄铁</v>
      </c>
      <c r="D11016" s="224">
        <f>参数调整!$K$41*怪物掉落配置方案!$D4860</f>
        <v>3.4284929008239172E-2</v>
      </c>
    </row>
    <row r="11017" spans="1:4" ht="16.5" hidden="1" x14ac:dyDescent="0.3">
      <c r="A11017" s="10" t="str">
        <f>基本属性!$B$29&amp;"|"&amp;基本属性!$C$29</f>
        <v>240|19</v>
      </c>
      <c r="B11017" s="10" t="str">
        <f>参数调整!$J$41</f>
        <v>新增怪物种类6掉落</v>
      </c>
      <c r="C11017" s="8" t="str">
        <f>材料产出!$AX$2</f>
        <v>烈焰玄铁</v>
      </c>
      <c r="D11017" s="224">
        <f>参数调整!$K$41*怪物掉落配置方案!$D4861</f>
        <v>3.7574474198726955E-2</v>
      </c>
    </row>
    <row r="11018" spans="1:4" ht="16.5" hidden="1" x14ac:dyDescent="0.3">
      <c r="A11018" s="10" t="str">
        <f>基本属性!$B$30&amp;"|"&amp;基本属性!$C$30</f>
        <v>250|20</v>
      </c>
      <c r="B11018" s="10" t="str">
        <f>参数调整!$J$41</f>
        <v>新增怪物种类6掉落</v>
      </c>
      <c r="C11018" s="8" t="str">
        <f>材料产出!$AX$2</f>
        <v>烈焰玄铁</v>
      </c>
      <c r="D11018" s="224">
        <f>参数调整!$K$41*怪物掉落配置方案!$D4862</f>
        <v>4.1014685581145481E-2</v>
      </c>
    </row>
    <row r="11019" spans="1:4" ht="16.5" hidden="1" x14ac:dyDescent="0.3">
      <c r="A11019" s="10" t="str">
        <f>基本属性!$B$4&amp;"|"&amp;基本属性!$C$4</f>
        <v>35|0</v>
      </c>
      <c r="B11019" s="10" t="str">
        <f>参数调整!$J$41</f>
        <v>新增怪物种类6掉落</v>
      </c>
      <c r="C11019" s="8" t="str">
        <f>材料产出!$H$2</f>
        <v>经验</v>
      </c>
      <c r="D11019" s="224">
        <f>参数调整!$K$41*怪物掉落配置方案!$D4863</f>
        <v>4998</v>
      </c>
    </row>
    <row r="11020" spans="1:4" ht="16.5" hidden="1" x14ac:dyDescent="0.3">
      <c r="A11020" s="10" t="str">
        <f>基本属性!$B$5&amp;"|"&amp;基本属性!$C$5</f>
        <v>40|0</v>
      </c>
      <c r="B11020" s="10" t="str">
        <f>参数调整!$J$41</f>
        <v>新增怪物种类6掉落</v>
      </c>
      <c r="C11020" s="8" t="str">
        <f>材料产出!$H$2</f>
        <v>经验</v>
      </c>
      <c r="D11020" s="224">
        <f>参数调整!$K$41*怪物掉落配置方案!$D4864</f>
        <v>9582</v>
      </c>
    </row>
    <row r="11021" spans="1:4" ht="16.5" hidden="1" x14ac:dyDescent="0.3">
      <c r="A11021" s="10" t="str">
        <f>基本属性!$B$6&amp;"|"&amp;基本属性!$C$6</f>
        <v>50|0</v>
      </c>
      <c r="B11021" s="10" t="str">
        <f>参数调整!$J$41</f>
        <v>新增怪物种类6掉落</v>
      </c>
      <c r="C11021" s="8" t="str">
        <f>材料产出!$H$2</f>
        <v>经验</v>
      </c>
      <c r="D11021" s="224">
        <f>参数调整!$K$41*怪物掉落配置方案!$D4865</f>
        <v>25998</v>
      </c>
    </row>
    <row r="11022" spans="1:4" ht="16.5" hidden="1" x14ac:dyDescent="0.3">
      <c r="A11022" s="10" t="str">
        <f>基本属性!$B$7&amp;"|"&amp;基本属性!$C$7</f>
        <v>60|0</v>
      </c>
      <c r="B11022" s="10" t="str">
        <f>参数调整!$J$41</f>
        <v>新增怪物种类6掉落</v>
      </c>
      <c r="C11022" s="8" t="str">
        <f>材料产出!$H$2</f>
        <v>经验</v>
      </c>
      <c r="D11022" s="224">
        <f>参数调整!$K$41*怪物掉落配置方案!$D4866</f>
        <v>32502</v>
      </c>
    </row>
    <row r="11023" spans="1:4" ht="16.5" hidden="1" x14ac:dyDescent="0.3">
      <c r="A11023" s="10" t="str">
        <f>基本属性!$B$8&amp;"|"&amp;基本属性!$C$8</f>
        <v>65|0</v>
      </c>
      <c r="B11023" s="10" t="str">
        <f>参数调整!$J$41</f>
        <v>新增怪物种类6掉落</v>
      </c>
      <c r="C11023" s="8" t="str">
        <f>材料产出!$H$2</f>
        <v>经验</v>
      </c>
      <c r="D11023" s="224">
        <f>参数调整!$K$41*怪物掉落配置方案!$D4867</f>
        <v>32664</v>
      </c>
    </row>
    <row r="11024" spans="1:4" ht="16.5" hidden="1" x14ac:dyDescent="0.3">
      <c r="A11024" s="10" t="str">
        <f>基本属性!$B$9&amp;"|"&amp;基本属性!$C$9</f>
        <v>70|0</v>
      </c>
      <c r="B11024" s="10" t="str">
        <f>参数调整!$J$41</f>
        <v>新增怪物种类6掉落</v>
      </c>
      <c r="C11024" s="8" t="str">
        <f>材料产出!$H$2</f>
        <v>经验</v>
      </c>
      <c r="D11024" s="224">
        <f>参数调整!$K$41*怪物掉落配置方案!$D4868</f>
        <v>33444</v>
      </c>
    </row>
    <row r="11025" spans="1:4" ht="16.5" hidden="1" x14ac:dyDescent="0.3">
      <c r="A11025" s="10" t="str">
        <f>基本属性!$B$10&amp;"|"&amp;基本属性!$C$10</f>
        <v>75|0</v>
      </c>
      <c r="B11025" s="10" t="str">
        <f>参数调整!$J$41</f>
        <v>新增怪物种类6掉落</v>
      </c>
      <c r="C11025" s="8" t="str">
        <f>材料产出!$H$2</f>
        <v>经验</v>
      </c>
      <c r="D11025" s="224">
        <f>参数调整!$K$41*怪物掉落配置方案!$D4869</f>
        <v>37746</v>
      </c>
    </row>
    <row r="11026" spans="1:4" ht="16.5" hidden="1" x14ac:dyDescent="0.3">
      <c r="A11026" s="10" t="str">
        <f>基本属性!$B$11&amp;"|"&amp;基本属性!$C$11</f>
        <v>80|1</v>
      </c>
      <c r="B11026" s="10" t="str">
        <f>参数调整!$J$41</f>
        <v>新增怪物种类6掉落</v>
      </c>
      <c r="C11026" s="8" t="str">
        <f>材料产出!$H$2</f>
        <v>经验</v>
      </c>
      <c r="D11026" s="224">
        <f>参数调整!$K$41*怪物掉落配置方案!$D4870</f>
        <v>60486</v>
      </c>
    </row>
    <row r="11027" spans="1:4" ht="16.5" hidden="1" x14ac:dyDescent="0.3">
      <c r="A11027" s="10" t="str">
        <f>基本属性!$B$12&amp;"|"&amp;基本属性!$C$12</f>
        <v>90|2</v>
      </c>
      <c r="B11027" s="10" t="str">
        <f>参数调整!$J$41</f>
        <v>新增怪物种类6掉落</v>
      </c>
      <c r="C11027" s="8" t="str">
        <f>材料产出!$H$2</f>
        <v>经验</v>
      </c>
      <c r="D11027" s="224">
        <f>参数调整!$K$41*怪物掉落配置方案!$D4871</f>
        <v>104010</v>
      </c>
    </row>
    <row r="11028" spans="1:4" ht="16.5" hidden="1" x14ac:dyDescent="0.3">
      <c r="A11028" s="10" t="str">
        <f>基本属性!$B$13&amp;"|"&amp;基本属性!$C$13</f>
        <v>100|3</v>
      </c>
      <c r="B11028" s="10" t="str">
        <f>参数调整!$J$41</f>
        <v>新增怪物种类6掉落</v>
      </c>
      <c r="C11028" s="8" t="str">
        <f>材料产出!$H$2</f>
        <v>经验</v>
      </c>
      <c r="D11028" s="224">
        <f>参数调整!$K$41*怪物掉落配置方案!$D4872</f>
        <v>122382</v>
      </c>
    </row>
    <row r="11029" spans="1:4" ht="16.5" hidden="1" x14ac:dyDescent="0.3">
      <c r="A11029" s="10" t="str">
        <f>基本属性!$B$14&amp;"|"&amp;基本属性!$C$14</f>
        <v>105|4</v>
      </c>
      <c r="B11029" s="10" t="str">
        <f>参数调整!$J$41</f>
        <v>新增怪物种类6掉落</v>
      </c>
      <c r="C11029" s="8" t="str">
        <f>材料产出!$H$2</f>
        <v>经验</v>
      </c>
      <c r="D11029" s="224">
        <f>参数调整!$K$41*怪物掉落配置方案!$D4873</f>
        <v>189000</v>
      </c>
    </row>
    <row r="11030" spans="1:4" ht="16.5" hidden="1" x14ac:dyDescent="0.3">
      <c r="A11030" s="10" t="str">
        <f>基本属性!$B$15&amp;"|"&amp;基本属性!$C$15</f>
        <v>110|5</v>
      </c>
      <c r="B11030" s="10" t="str">
        <f>参数调整!$J$41</f>
        <v>新增怪物种类6掉落</v>
      </c>
      <c r="C11030" s="8" t="str">
        <f>材料产出!$H$2</f>
        <v>经验</v>
      </c>
      <c r="D11030" s="224">
        <f>参数调整!$K$41*怪物掉落配置方案!$D4874</f>
        <v>195336</v>
      </c>
    </row>
    <row r="11031" spans="1:4" ht="16.5" hidden="1" x14ac:dyDescent="0.3">
      <c r="A11031" s="10" t="str">
        <f>基本属性!$B$16&amp;"|"&amp;基本属性!$C$16</f>
        <v>120|6</v>
      </c>
      <c r="B11031" s="10" t="str">
        <f>参数调整!$J$41</f>
        <v>新增怪物种类6掉落</v>
      </c>
      <c r="C11031" s="8" t="str">
        <f>材料产出!$H$2</f>
        <v>经验</v>
      </c>
      <c r="D11031" s="224">
        <f>参数调整!$K$41*怪物掉落配置方案!$D4875</f>
        <v>778884</v>
      </c>
    </row>
    <row r="11032" spans="1:4" ht="16.5" hidden="1" x14ac:dyDescent="0.3">
      <c r="A11032" s="10" t="str">
        <f>基本属性!$B$17&amp;"|"&amp;基本属性!$C$17</f>
        <v>135|7</v>
      </c>
      <c r="B11032" s="10" t="str">
        <f>参数调整!$J$41</f>
        <v>新增怪物种类6掉落</v>
      </c>
      <c r="C11032" s="8" t="str">
        <f>材料产出!$H$2</f>
        <v>经验</v>
      </c>
      <c r="D11032" s="224">
        <f>参数调整!$K$41*怪物掉落配置方案!$D4876</f>
        <v>2666502</v>
      </c>
    </row>
    <row r="11033" spans="1:4" ht="16.5" hidden="1" x14ac:dyDescent="0.3">
      <c r="A11033" s="10" t="str">
        <f>基本属性!$B$18&amp;"|"&amp;基本属性!$C$18</f>
        <v>155|8</v>
      </c>
      <c r="B11033" s="10" t="str">
        <f>参数调整!$J$41</f>
        <v>新增怪物种类6掉落</v>
      </c>
      <c r="C11033" s="8" t="str">
        <f>材料产出!$H$2</f>
        <v>经验</v>
      </c>
      <c r="D11033" s="224">
        <f>参数调整!$K$41*怪物掉落配置方案!$D4877</f>
        <v>32210334</v>
      </c>
    </row>
    <row r="11034" spans="1:4" ht="16.5" hidden="1" x14ac:dyDescent="0.3">
      <c r="A11034" s="10" t="str">
        <f>基本属性!$B$19&amp;"|"&amp;基本属性!$C$19</f>
        <v>190|9</v>
      </c>
      <c r="B11034" s="10" t="str">
        <f>参数调整!$J$41</f>
        <v>新增怪物种类6掉落</v>
      </c>
      <c r="C11034" s="8" t="str">
        <f>材料产出!$H$2</f>
        <v>经验</v>
      </c>
      <c r="D11034" s="224">
        <f>参数调整!$K$41*怪物掉落配置方案!$D4878</f>
        <v>29288802</v>
      </c>
    </row>
    <row r="11035" spans="1:4" ht="16.5" hidden="1" x14ac:dyDescent="0.3">
      <c r="A11035" s="10" t="str">
        <f>基本属性!$B$20&amp;"|"&amp;基本属性!$C$20</f>
        <v>200|10</v>
      </c>
      <c r="B11035" s="10" t="str">
        <f>参数调整!$J$41</f>
        <v>新增怪物种类6掉落</v>
      </c>
      <c r="C11035" s="8" t="str">
        <f>材料产出!$H$2</f>
        <v>经验</v>
      </c>
      <c r="D11035" s="224">
        <f>参数调整!$K$41*怪物掉落配置方案!$D4879</f>
        <v>34999998</v>
      </c>
    </row>
    <row r="11036" spans="1:4" ht="16.5" hidden="1" x14ac:dyDescent="0.3">
      <c r="A11036" s="10" t="str">
        <f>基本属性!$B$21&amp;"|"&amp;基本属性!$C$21</f>
        <v>200|11</v>
      </c>
      <c r="B11036" s="10" t="str">
        <f>参数调整!$J$41</f>
        <v>新增怪物种类6掉落</v>
      </c>
      <c r="C11036" s="8" t="str">
        <f>材料产出!$H$2</f>
        <v>经验</v>
      </c>
      <c r="D11036" s="224">
        <f>参数调整!$K$41*怪物掉落配置方案!$D4880</f>
        <v>7000002</v>
      </c>
    </row>
    <row r="11037" spans="1:4" ht="16.5" hidden="1" x14ac:dyDescent="0.3">
      <c r="A11037" s="10" t="str">
        <f>基本属性!$B$22&amp;"|"&amp;基本属性!$C$22</f>
        <v>210|12</v>
      </c>
      <c r="B11037" s="10" t="str">
        <f>参数调整!$J$41</f>
        <v>新增怪物种类6掉落</v>
      </c>
      <c r="C11037" s="8" t="str">
        <f>材料产出!$H$2</f>
        <v>经验</v>
      </c>
      <c r="D11037" s="224">
        <f>参数调整!$K$41*怪物掉落配置方案!$D4881</f>
        <v>7000002</v>
      </c>
    </row>
    <row r="11038" spans="1:4" ht="16.5" hidden="1" x14ac:dyDescent="0.3">
      <c r="A11038" s="10" t="str">
        <f>基本属性!$B$23&amp;"|"&amp;基本属性!$C$23</f>
        <v>210|13</v>
      </c>
      <c r="B11038" s="10" t="str">
        <f>参数调整!$J$41</f>
        <v>新增怪物种类6掉落</v>
      </c>
      <c r="C11038" s="8" t="str">
        <f>材料产出!$H$2</f>
        <v>经验</v>
      </c>
      <c r="D11038" s="224">
        <f>参数调整!$K$41*怪物掉落配置方案!$D4882</f>
        <v>7000002</v>
      </c>
    </row>
    <row r="11039" spans="1:4" ht="16.5" hidden="1" x14ac:dyDescent="0.3">
      <c r="A11039" s="10" t="str">
        <f>基本属性!$B$24&amp;"|"&amp;基本属性!$C$24</f>
        <v>220|14</v>
      </c>
      <c r="B11039" s="10" t="str">
        <f>参数调整!$J$41</f>
        <v>新增怪物种类6掉落</v>
      </c>
      <c r="C11039" s="8" t="str">
        <f>材料产出!$H$2</f>
        <v>经验</v>
      </c>
      <c r="D11039" s="224">
        <f>参数调整!$K$41*怪物掉落配置方案!$D4883</f>
        <v>7000002</v>
      </c>
    </row>
    <row r="11040" spans="1:4" ht="16.5" hidden="1" x14ac:dyDescent="0.3">
      <c r="A11040" s="10" t="str">
        <f>基本属性!$B$25&amp;"|"&amp;基本属性!$C$25</f>
        <v>220|15</v>
      </c>
      <c r="B11040" s="10" t="str">
        <f>参数调整!$J$41</f>
        <v>新增怪物种类6掉落</v>
      </c>
      <c r="C11040" s="8" t="str">
        <f>材料产出!$H$2</f>
        <v>经验</v>
      </c>
      <c r="D11040" s="224">
        <f>参数调整!$K$41*怪物掉落配置方案!$D4884</f>
        <v>7000002</v>
      </c>
    </row>
    <row r="11041" spans="1:4" ht="16.5" hidden="1" x14ac:dyDescent="0.3">
      <c r="A11041" s="10" t="str">
        <f>基本属性!$B$26&amp;"|"&amp;基本属性!$C$26</f>
        <v>230|16</v>
      </c>
      <c r="B11041" s="10" t="str">
        <f>参数调整!$J$41</f>
        <v>新增怪物种类6掉落</v>
      </c>
      <c r="C11041" s="8" t="str">
        <f>材料产出!$H$2</f>
        <v>经验</v>
      </c>
      <c r="D11041" s="224">
        <f>参数调整!$K$41*怪物掉落配置方案!$D4885</f>
        <v>3499998</v>
      </c>
    </row>
    <row r="11042" spans="1:4" ht="16.5" hidden="1" x14ac:dyDescent="0.3">
      <c r="A11042" s="10" t="str">
        <f>基本属性!$B$27&amp;"|"&amp;基本属性!$C$27</f>
        <v>230|17</v>
      </c>
      <c r="B11042" s="10" t="str">
        <f>参数调整!$J$41</f>
        <v>新增怪物种类6掉落</v>
      </c>
      <c r="C11042" s="8" t="str">
        <f>材料产出!$H$2</f>
        <v>经验</v>
      </c>
      <c r="D11042" s="224">
        <f>参数调整!$K$41*怪物掉落配置方案!$D4886</f>
        <v>3499998</v>
      </c>
    </row>
    <row r="11043" spans="1:4" ht="16.5" hidden="1" x14ac:dyDescent="0.3">
      <c r="A11043" s="10" t="str">
        <f>基本属性!$B$28&amp;"|"&amp;基本属性!$C$28</f>
        <v>240|18</v>
      </c>
      <c r="B11043" s="10" t="str">
        <f>参数调整!$J$41</f>
        <v>新增怪物种类6掉落</v>
      </c>
      <c r="C11043" s="8" t="str">
        <f>材料产出!$H$2</f>
        <v>经验</v>
      </c>
      <c r="D11043" s="224">
        <f>参数调整!$K$41*怪物掉落配置方案!$D4887</f>
        <v>3499998</v>
      </c>
    </row>
    <row r="11044" spans="1:4" ht="16.5" hidden="1" x14ac:dyDescent="0.3">
      <c r="A11044" s="10" t="str">
        <f>基本属性!$B$29&amp;"|"&amp;基本属性!$C$29</f>
        <v>240|19</v>
      </c>
      <c r="B11044" s="10" t="str">
        <f>参数调整!$J$41</f>
        <v>新增怪物种类6掉落</v>
      </c>
      <c r="C11044" s="8" t="str">
        <f>材料产出!$H$2</f>
        <v>经验</v>
      </c>
      <c r="D11044" s="224">
        <f>参数调整!$K$41*怪物掉落配置方案!$D4888</f>
        <v>3499998</v>
      </c>
    </row>
    <row r="11045" spans="1:4" ht="16.5" hidden="1" x14ac:dyDescent="0.3">
      <c r="A11045" s="10" t="str">
        <f>基本属性!$B$30&amp;"|"&amp;基本属性!$C$30</f>
        <v>250|20</v>
      </c>
      <c r="B11045" s="10" t="str">
        <f>参数调整!$J$41</f>
        <v>新增怪物种类6掉落</v>
      </c>
      <c r="C11045" s="8" t="str">
        <f>材料产出!$H$2</f>
        <v>经验</v>
      </c>
      <c r="D11045" s="224">
        <f>参数调整!$K$41*怪物掉落配置方案!$D4889</f>
        <v>3499998</v>
      </c>
    </row>
    <row r="11046" spans="1:4" ht="16.5" hidden="1" x14ac:dyDescent="0.3">
      <c r="A11046" s="10" t="str">
        <f>基本属性!$B$4&amp;"|"&amp;基本属性!$C$4</f>
        <v>35|0</v>
      </c>
      <c r="B11046" s="10" t="str">
        <f>参数调整!$J$41</f>
        <v>新增怪物种类6掉落</v>
      </c>
      <c r="C11046" s="8" t="str">
        <f>材料产出!$AN$2</f>
        <v>极品注灵石</v>
      </c>
      <c r="D11046" s="224">
        <f>参数调整!$K$41*怪物掉落配置方案!$D4890</f>
        <v>3.11064617365414E-3</v>
      </c>
    </row>
    <row r="11047" spans="1:4" ht="16.5" hidden="1" x14ac:dyDescent="0.3">
      <c r="A11047" s="10" t="str">
        <f>基本属性!$B$5&amp;"|"&amp;基本属性!$C$5</f>
        <v>40|0</v>
      </c>
      <c r="B11047" s="10" t="str">
        <f>参数调整!$J$41</f>
        <v>新增怪物种类6掉落</v>
      </c>
      <c r="C11047" s="8" t="str">
        <f>材料产出!$AN$2</f>
        <v>极品注灵石</v>
      </c>
      <c r="D11047" s="224">
        <f>参数调整!$K$41*怪物掉落配置方案!$D4891</f>
        <v>3.9369115635310209E-3</v>
      </c>
    </row>
    <row r="11048" spans="1:4" ht="16.5" hidden="1" x14ac:dyDescent="0.3">
      <c r="A11048" s="10" t="str">
        <f>基本属性!$B$6&amp;"|"&amp;基本属性!$C$6</f>
        <v>50|0</v>
      </c>
      <c r="B11048" s="10" t="str">
        <f>参数调整!$J$41</f>
        <v>新增怪物种类6掉落</v>
      </c>
      <c r="C11048" s="8" t="str">
        <f>材料产出!$AN$2</f>
        <v>极品注灵石</v>
      </c>
      <c r="D11048" s="224">
        <f>参数调整!$K$41*怪物掉落配置方案!$D4892</f>
        <v>4.8603846463345941E-3</v>
      </c>
    </row>
    <row r="11049" spans="1:4" ht="16.5" hidden="1" x14ac:dyDescent="0.3">
      <c r="A11049" s="10" t="str">
        <f>基本属性!$B$7&amp;"|"&amp;基本属性!$C$7</f>
        <v>60|0</v>
      </c>
      <c r="B11049" s="10" t="str">
        <f>参数调整!$J$41</f>
        <v>新增怪物种类6掉落</v>
      </c>
      <c r="C11049" s="8" t="str">
        <f>材料产出!$AN$2</f>
        <v>极品注灵石</v>
      </c>
      <c r="D11049" s="224">
        <f>参数调整!$K$41*怪物掉落配置方案!$D4893</f>
        <v>5.88106542206486E-3</v>
      </c>
    </row>
    <row r="11050" spans="1:4" ht="16.5" hidden="1" x14ac:dyDescent="0.3">
      <c r="A11050" s="10" t="str">
        <f>基本属性!$B$8&amp;"|"&amp;基本属性!$C$8</f>
        <v>65|0</v>
      </c>
      <c r="B11050" s="10" t="str">
        <f>参数调整!$J$41</f>
        <v>新增怪物种类6掉落</v>
      </c>
      <c r="C11050" s="8" t="str">
        <f>材料产出!$AN$2</f>
        <v>极品注灵石</v>
      </c>
      <c r="D11050" s="224">
        <f>参数调整!$K$41*怪物掉落配置方案!$D4894</f>
        <v>6.9989538907218145E-3</v>
      </c>
    </row>
    <row r="11051" spans="1:4" ht="16.5" hidden="1" x14ac:dyDescent="0.3">
      <c r="A11051" s="10" t="str">
        <f>基本属性!$B$9&amp;"|"&amp;基本属性!$C$9</f>
        <v>70|0</v>
      </c>
      <c r="B11051" s="10" t="str">
        <f>参数调整!$J$41</f>
        <v>新增怪物种类6掉落</v>
      </c>
      <c r="C11051" s="8" t="str">
        <f>材料产出!$AN$2</f>
        <v>极品注灵石</v>
      </c>
      <c r="D11051" s="224">
        <f>参数调整!$K$41*怪物掉落配置方案!$D4895</f>
        <v>8.2140500523054643E-3</v>
      </c>
    </row>
    <row r="11052" spans="1:4" ht="16.5" hidden="1" x14ac:dyDescent="0.3">
      <c r="A11052" s="10" t="str">
        <f>基本属性!$B$10&amp;"|"&amp;基本属性!$C$10</f>
        <v>75|0</v>
      </c>
      <c r="B11052" s="10" t="str">
        <f>参数调整!$J$41</f>
        <v>新增怪物种类6掉落</v>
      </c>
      <c r="C11052" s="8" t="str">
        <f>材料产出!$AN$2</f>
        <v>极品注灵石</v>
      </c>
      <c r="D11052" s="224">
        <f>参数调整!$K$41*怪物掉落配置方案!$D4896</f>
        <v>9.5263539068158008E-3</v>
      </c>
    </row>
    <row r="11053" spans="1:4" ht="16.5" hidden="1" x14ac:dyDescent="0.3">
      <c r="A11053" s="10" t="str">
        <f>基本属性!$B$11&amp;"|"&amp;基本属性!$C$11</f>
        <v>80|1</v>
      </c>
      <c r="B11053" s="10" t="str">
        <f>参数调整!$J$41</f>
        <v>新增怪物种类6掉落</v>
      </c>
      <c r="C11053" s="8" t="str">
        <f>材料产出!$AN$2</f>
        <v>极品注灵石</v>
      </c>
      <c r="D11053" s="224">
        <f>参数调整!$K$41*怪物掉落配置方案!$D4897</f>
        <v>1.0935865454252836E-2</v>
      </c>
    </row>
    <row r="11054" spans="1:4" ht="16.5" hidden="1" x14ac:dyDescent="0.3">
      <c r="A11054" s="10" t="str">
        <f>基本属性!$B$12&amp;"|"&amp;基本属性!$C$12</f>
        <v>90|2</v>
      </c>
      <c r="B11054" s="10" t="str">
        <f>参数调整!$J$41</f>
        <v>新增怪物种类6掉落</v>
      </c>
      <c r="C11054" s="8" t="str">
        <f>材料产出!$AN$2</f>
        <v>极品注灵石</v>
      </c>
      <c r="D11054" s="224">
        <f>参数调整!$K$41*怪物掉落配置方案!$D4898</f>
        <v>1.2442584694616562E-2</v>
      </c>
    </row>
    <row r="11055" spans="1:4" ht="16.5" hidden="1" x14ac:dyDescent="0.3">
      <c r="A11055" s="10" t="str">
        <f>基本属性!$B$13&amp;"|"&amp;基本属性!$C$13</f>
        <v>100|3</v>
      </c>
      <c r="B11055" s="10" t="str">
        <f>参数调整!$J$41</f>
        <v>新增怪物种类6掉落</v>
      </c>
      <c r="C11055" s="8" t="str">
        <f>材料产出!$AN$2</f>
        <v>极品注灵石</v>
      </c>
      <c r="D11055" s="224">
        <f>参数调整!$K$41*怪物掉落配置方案!$D4899</f>
        <v>1.5747646254124087E-2</v>
      </c>
    </row>
    <row r="11056" spans="1:4" ht="16.5" hidden="1" x14ac:dyDescent="0.3">
      <c r="A11056" s="10" t="str">
        <f>基本属性!$B$14&amp;"|"&amp;基本属性!$C$14</f>
        <v>105|4</v>
      </c>
      <c r="B11056" s="10" t="str">
        <f>参数调整!$J$41</f>
        <v>新增怪物种类6掉落</v>
      </c>
      <c r="C11056" s="8" t="str">
        <f>材料产出!$AN$2</f>
        <v>极品注灵石</v>
      </c>
      <c r="D11056" s="224">
        <f>参数调整!$K$41*怪物掉落配置方案!$D4900</f>
        <v>1.9441538585338376E-2</v>
      </c>
    </row>
    <row r="11057" spans="1:4" ht="16.5" hidden="1" x14ac:dyDescent="0.3">
      <c r="A11057" s="10" t="str">
        <f>基本属性!$B$15&amp;"|"&amp;基本属性!$C$15</f>
        <v>110|5</v>
      </c>
      <c r="B11057" s="10" t="str">
        <f>参数调整!$J$41</f>
        <v>新增怪物种类6掉落</v>
      </c>
      <c r="C11057" s="8" t="str">
        <f>材料产出!$AN$2</f>
        <v>极品注灵石</v>
      </c>
      <c r="D11057" s="224">
        <f>参数调整!$K$41*怪物掉落配置方案!$D4901</f>
        <v>2.352426168825944E-2</v>
      </c>
    </row>
    <row r="11058" spans="1:4" ht="16.5" hidden="1" x14ac:dyDescent="0.3">
      <c r="A11058" s="10" t="str">
        <f>基本属性!$B$16&amp;"|"&amp;基本属性!$C$16</f>
        <v>120|6</v>
      </c>
      <c r="B11058" s="10" t="str">
        <f>参数调整!$J$41</f>
        <v>新增怪物种类6掉落</v>
      </c>
      <c r="C11058" s="8" t="str">
        <f>材料产出!$AN$2</f>
        <v>极品注灵石</v>
      </c>
      <c r="D11058" s="224">
        <f>参数调整!$K$41*怪物掉落配置方案!$D4902</f>
        <v>3.0377404039591209E-2</v>
      </c>
    </row>
    <row r="11059" spans="1:4" ht="16.5" hidden="1" x14ac:dyDescent="0.3">
      <c r="A11059" s="10" t="str">
        <f>基本属性!$B$17&amp;"|"&amp;基本属性!$C$17</f>
        <v>135|7</v>
      </c>
      <c r="B11059" s="10" t="str">
        <f>参数调整!$J$41</f>
        <v>新增怪物种类6掉落</v>
      </c>
      <c r="C11059" s="8" t="str">
        <f>材料产出!$AN$2</f>
        <v>极品注灵石</v>
      </c>
      <c r="D11059" s="224">
        <f>参数调整!$K$41*怪物掉落配置方案!$D4903</f>
        <v>4.3743461817011345E-2</v>
      </c>
    </row>
    <row r="11060" spans="1:4" ht="16.5" hidden="1" x14ac:dyDescent="0.3">
      <c r="A11060" s="10" t="str">
        <f>基本属性!$B$18&amp;"|"&amp;基本属性!$C$18</f>
        <v>155|8</v>
      </c>
      <c r="B11060" s="10" t="str">
        <f>参数调整!$J$41</f>
        <v>新增怪物种类6掉落</v>
      </c>
      <c r="C11060" s="8" t="str">
        <f>材料产出!$AN$2</f>
        <v>极品注灵石</v>
      </c>
      <c r="D11060" s="224">
        <f>参数调整!$K$41*怪物掉落配置方案!$D4904</f>
        <v>5.9539711917598784E-2</v>
      </c>
    </row>
    <row r="11061" spans="1:4" ht="16.5" hidden="1" x14ac:dyDescent="0.3">
      <c r="A11061" s="10" t="str">
        <f>基本属性!$B$19&amp;"|"&amp;基本属性!$C$19</f>
        <v>190|9</v>
      </c>
      <c r="B11061" s="10" t="str">
        <f>参数调整!$J$41</f>
        <v>新增怪物种类6掉落</v>
      </c>
      <c r="C11061" s="8" t="str">
        <f>材料产出!$AN$2</f>
        <v>极品注灵石</v>
      </c>
      <c r="D11061" s="224">
        <f>参数调整!$K$41*怪物掉落配置方案!$D4905</f>
        <v>6.6538665808320602E-2</v>
      </c>
    </row>
    <row r="11062" spans="1:4" ht="16.5" hidden="1" x14ac:dyDescent="0.3">
      <c r="A11062" s="10" t="str">
        <f>基本属性!$B$20&amp;"|"&amp;基本属性!$C$20</f>
        <v>200|10</v>
      </c>
      <c r="B11062" s="10" t="str">
        <f>参数调整!$J$41</f>
        <v>新增怪物种类6掉落</v>
      </c>
      <c r="C11062" s="8" t="str">
        <f>材料产出!$AN$2</f>
        <v>极品注灵石</v>
      </c>
      <c r="D11062" s="224">
        <f>参数调整!$K$41*怪物掉落配置方案!$D4906</f>
        <v>7.7766154341353505E-2</v>
      </c>
    </row>
    <row r="11063" spans="1:4" ht="16.5" hidden="1" x14ac:dyDescent="0.3">
      <c r="A11063" s="10" t="str">
        <f>基本属性!$B$21&amp;"|"&amp;基本属性!$C$21</f>
        <v>200|11</v>
      </c>
      <c r="B11063" s="10" t="str">
        <f>参数调整!$J$41</f>
        <v>新增怪物种类6掉落</v>
      </c>
      <c r="C11063" s="8" t="str">
        <f>材料产出!$AN$2</f>
        <v>极品注灵石</v>
      </c>
      <c r="D11063" s="224">
        <f>参数调整!$K$41*怪物掉落配置方案!$D4907</f>
        <v>8.986851211072662E-2</v>
      </c>
    </row>
    <row r="11064" spans="1:4" ht="16.5" hidden="1" x14ac:dyDescent="0.3">
      <c r="A11064" s="10" t="str">
        <f>基本属性!$B$22&amp;"|"&amp;基本属性!$C$22</f>
        <v>210|12</v>
      </c>
      <c r="B11064" s="10" t="str">
        <f>参数调整!$J$41</f>
        <v>新增怪物种类6掉落</v>
      </c>
      <c r="C11064" s="8" t="str">
        <f>材料产出!$AN$2</f>
        <v>极品注灵石</v>
      </c>
      <c r="D11064" s="224">
        <f>参数调整!$K$41*怪物掉落配置方案!$D4908</f>
        <v>0.10284573911643999</v>
      </c>
    </row>
    <row r="11065" spans="1:4" ht="16.5" hidden="1" x14ac:dyDescent="0.3">
      <c r="A11065" s="10" t="str">
        <f>基本属性!$B$23&amp;"|"&amp;基本属性!$C$23</f>
        <v>210|13</v>
      </c>
      <c r="B11065" s="10" t="str">
        <f>参数调整!$J$41</f>
        <v>新增怪物种类6掉落</v>
      </c>
      <c r="C11065" s="8" t="str">
        <f>材料产出!$AN$2</f>
        <v>极品注灵石</v>
      </c>
      <c r="D11065" s="224">
        <f>参数调整!$K$41*怪物掉落配置方案!$D4909</f>
        <v>0.1166978353584936</v>
      </c>
    </row>
    <row r="11066" spans="1:4" ht="16.5" hidden="1" x14ac:dyDescent="0.3">
      <c r="A11066" s="10" t="str">
        <f>基本属性!$B$24&amp;"|"&amp;基本属性!$C$24</f>
        <v>220|14</v>
      </c>
      <c r="B11066" s="10" t="str">
        <f>参数调整!$J$41</f>
        <v>新增怪物种类6掉落</v>
      </c>
      <c r="C11066" s="8" t="str">
        <f>材料产出!$AN$2</f>
        <v>极品注灵石</v>
      </c>
      <c r="D11066" s="224">
        <f>参数调整!$K$41*怪物掉落配置方案!$D4910</f>
        <v>0.13142480083688743</v>
      </c>
    </row>
    <row r="11067" spans="1:4" ht="16.5" hidden="1" x14ac:dyDescent="0.3">
      <c r="A11067" s="10" t="str">
        <f>基本属性!$B$25&amp;"|"&amp;基本属性!$C$25</f>
        <v>220|15</v>
      </c>
      <c r="B11067" s="10" t="str">
        <f>参数调整!$J$41</f>
        <v>新增怪物种类6掉落</v>
      </c>
      <c r="C11067" s="8" t="str">
        <f>材料产出!$AN$2</f>
        <v>极品注灵石</v>
      </c>
      <c r="D11067" s="224">
        <f>参数调整!$K$41*怪物掉落配置方案!$D4911</f>
        <v>0.14702663555162143</v>
      </c>
    </row>
    <row r="11068" spans="1:4" ht="16.5" hidden="1" x14ac:dyDescent="0.3">
      <c r="A11068" s="10" t="str">
        <f>基本属性!$B$26&amp;"|"&amp;基本属性!$C$26</f>
        <v>230|16</v>
      </c>
      <c r="B11068" s="10" t="str">
        <f>参数调整!$J$41</f>
        <v>新增怪物种类6掉落</v>
      </c>
      <c r="C11068" s="8" t="str">
        <f>材料产出!$AN$2</f>
        <v>极品注灵石</v>
      </c>
      <c r="D11068" s="224">
        <f>参数调整!$K$41*怪物掉落配置方案!$D4912</f>
        <v>0.16350333950269572</v>
      </c>
    </row>
    <row r="11069" spans="1:4" ht="16.5" hidden="1" x14ac:dyDescent="0.3">
      <c r="A11069" s="10" t="str">
        <f>基本属性!$B$27&amp;"|"&amp;基本属性!$C$27</f>
        <v>230|17</v>
      </c>
      <c r="B11069" s="10" t="str">
        <f>参数调整!$J$41</f>
        <v>新增怪物种类6掉落</v>
      </c>
      <c r="C11069" s="8" t="str">
        <f>材料产出!$AN$2</f>
        <v>极品注灵石</v>
      </c>
      <c r="D11069" s="224">
        <f>参数调整!$K$41*怪物掉落配置方案!$D4913</f>
        <v>0.1808549126901102</v>
      </c>
    </row>
    <row r="11070" spans="1:4" ht="16.5" hidden="1" x14ac:dyDescent="0.3">
      <c r="A11070" s="10" t="str">
        <f>基本属性!$B$28&amp;"|"&amp;基本属性!$C$28</f>
        <v>240|18</v>
      </c>
      <c r="B11070" s="10" t="str">
        <f>参数调整!$J$41</f>
        <v>新增怪物种类6掉落</v>
      </c>
      <c r="C11070" s="8" t="str">
        <f>材料产出!$AN$2</f>
        <v>极品注灵石</v>
      </c>
      <c r="D11070" s="224">
        <f>参数调整!$K$41*怪物掉落配置方案!$D4914</f>
        <v>0.19908135511386499</v>
      </c>
    </row>
    <row r="11071" spans="1:4" ht="16.5" hidden="1" x14ac:dyDescent="0.3">
      <c r="A11071" s="10" t="str">
        <f>基本属性!$B$29&amp;"|"&amp;基本属性!$C$29</f>
        <v>240|19</v>
      </c>
      <c r="B11071" s="10" t="str">
        <f>参数调整!$J$41</f>
        <v>新增怪物种类6掉落</v>
      </c>
      <c r="C11071" s="8" t="str">
        <f>材料产出!$AN$2</f>
        <v>极品注灵石</v>
      </c>
      <c r="D11071" s="224">
        <f>参数调整!$K$41*怪物掉落配置方案!$D4915</f>
        <v>0.21818266677395992</v>
      </c>
    </row>
    <row r="11072" spans="1:4" ht="16.5" hidden="1" x14ac:dyDescent="0.3">
      <c r="A11072" s="10" t="str">
        <f>基本属性!$B$30&amp;"|"&amp;基本属性!$C$30</f>
        <v>250|20</v>
      </c>
      <c r="B11072" s="10" t="str">
        <f>参数调整!$J$41</f>
        <v>新增怪物种类6掉落</v>
      </c>
      <c r="C11072" s="8" t="str">
        <f>材料产出!$AN$2</f>
        <v>极品注灵石</v>
      </c>
      <c r="D11072" s="224">
        <f>参数调整!$K$41*怪物掉落配置方案!$D4916</f>
        <v>0.23815884767039502</v>
      </c>
    </row>
    <row r="11073" spans="1:4" ht="16.5" hidden="1" x14ac:dyDescent="0.3">
      <c r="A11073" s="10" t="str">
        <f>基本属性!$B$4&amp;"|"&amp;基本属性!$C$4</f>
        <v>35|0</v>
      </c>
      <c r="B11073" s="10" t="str">
        <f>参数调整!$J$41</f>
        <v>新增怪物种类6掉落</v>
      </c>
      <c r="C11073" s="8" t="str">
        <f>材料产出!$HV$2</f>
        <v>基本装备</v>
      </c>
      <c r="D11073" s="224">
        <f>参数调整!$K$41*怪物掉落配置方案!$D4917</f>
        <v>0</v>
      </c>
    </row>
    <row r="11074" spans="1:4" ht="16.5" hidden="1" x14ac:dyDescent="0.3">
      <c r="A11074" s="10" t="str">
        <f>基本属性!$B$5&amp;"|"&amp;基本属性!$C$5</f>
        <v>40|0</v>
      </c>
      <c r="B11074" s="10" t="str">
        <f>参数调整!$J$41</f>
        <v>新增怪物种类6掉落</v>
      </c>
      <c r="C11074" s="8" t="str">
        <f>材料产出!$HV$2</f>
        <v>基本装备</v>
      </c>
      <c r="D11074" s="224">
        <f>参数调整!$K$41*怪物掉落配置方案!$D4918</f>
        <v>0</v>
      </c>
    </row>
    <row r="11075" spans="1:4" ht="16.5" hidden="1" x14ac:dyDescent="0.3">
      <c r="A11075" s="10" t="str">
        <f>基本属性!$B$6&amp;"|"&amp;基本属性!$C$6</f>
        <v>50|0</v>
      </c>
      <c r="B11075" s="10" t="str">
        <f>参数调整!$J$41</f>
        <v>新增怪物种类6掉落</v>
      </c>
      <c r="C11075" s="8" t="str">
        <f>材料产出!$HV$2</f>
        <v>基本装备</v>
      </c>
      <c r="D11075" s="224">
        <f>参数调整!$K$41*怪物掉落配置方案!$D4919</f>
        <v>0</v>
      </c>
    </row>
    <row r="11076" spans="1:4" ht="16.5" hidden="1" x14ac:dyDescent="0.3">
      <c r="A11076" s="10" t="str">
        <f>基本属性!$B$7&amp;"|"&amp;基本属性!$C$7</f>
        <v>60|0</v>
      </c>
      <c r="B11076" s="10" t="str">
        <f>参数调整!$J$41</f>
        <v>新增怪物种类6掉落</v>
      </c>
      <c r="C11076" s="8" t="str">
        <f>材料产出!$HV$2</f>
        <v>基本装备</v>
      </c>
      <c r="D11076" s="224">
        <f>参数调整!$K$41*怪物掉落配置方案!$D4920</f>
        <v>0</v>
      </c>
    </row>
    <row r="11077" spans="1:4" ht="16.5" hidden="1" x14ac:dyDescent="0.3">
      <c r="A11077" s="10" t="str">
        <f>基本属性!$B$8&amp;"|"&amp;基本属性!$C$8</f>
        <v>65|0</v>
      </c>
      <c r="B11077" s="10" t="str">
        <f>参数调整!$J$41</f>
        <v>新增怪物种类6掉落</v>
      </c>
      <c r="C11077" s="8" t="str">
        <f>材料产出!$HV$2</f>
        <v>基本装备</v>
      </c>
      <c r="D11077" s="224">
        <f>参数调整!$K$41*怪物掉落配置方案!$D4921</f>
        <v>0</v>
      </c>
    </row>
    <row r="11078" spans="1:4" ht="16.5" hidden="1" x14ac:dyDescent="0.3">
      <c r="A11078" s="10" t="str">
        <f>基本属性!$B$9&amp;"|"&amp;基本属性!$C$9</f>
        <v>70|0</v>
      </c>
      <c r="B11078" s="10" t="str">
        <f>参数调整!$J$41</f>
        <v>新增怪物种类6掉落</v>
      </c>
      <c r="C11078" s="8" t="str">
        <f>材料产出!$HV$2</f>
        <v>基本装备</v>
      </c>
      <c r="D11078" s="224">
        <f>参数调整!$K$41*怪物掉落配置方案!$D4922</f>
        <v>0</v>
      </c>
    </row>
    <row r="11079" spans="1:4" ht="16.5" hidden="1" x14ac:dyDescent="0.3">
      <c r="A11079" s="10" t="str">
        <f>基本属性!$B$10&amp;"|"&amp;基本属性!$C$10</f>
        <v>75|0</v>
      </c>
      <c r="B11079" s="10" t="str">
        <f>参数调整!$J$41</f>
        <v>新增怪物种类6掉落</v>
      </c>
      <c r="C11079" s="8" t="str">
        <f>材料产出!$HV$2</f>
        <v>基本装备</v>
      </c>
      <c r="D11079" s="224">
        <f>参数调整!$K$41*怪物掉落配置方案!$D4923</f>
        <v>0</v>
      </c>
    </row>
    <row r="11080" spans="1:4" ht="16.5" hidden="1" x14ac:dyDescent="0.3">
      <c r="A11080" s="10" t="str">
        <f>基本属性!$B$11&amp;"|"&amp;基本属性!$C$11</f>
        <v>80|1</v>
      </c>
      <c r="B11080" s="10" t="str">
        <f>参数调整!$J$41</f>
        <v>新增怪物种类6掉落</v>
      </c>
      <c r="C11080" s="8" t="str">
        <f>材料产出!$HV$2</f>
        <v>基本装备</v>
      </c>
      <c r="D11080" s="224">
        <f>参数调整!$K$41*怪物掉落配置方案!$D4924</f>
        <v>0</v>
      </c>
    </row>
    <row r="11081" spans="1:4" ht="16.5" hidden="1" x14ac:dyDescent="0.3">
      <c r="A11081" s="10" t="str">
        <f>基本属性!$B$12&amp;"|"&amp;基本属性!$C$12</f>
        <v>90|2</v>
      </c>
      <c r="B11081" s="10" t="str">
        <f>参数调整!$J$41</f>
        <v>新增怪物种类6掉落</v>
      </c>
      <c r="C11081" s="8" t="str">
        <f>材料产出!$HV$2</f>
        <v>基本装备</v>
      </c>
      <c r="D11081" s="224">
        <f>参数调整!$K$41*怪物掉落配置方案!$D4925</f>
        <v>0</v>
      </c>
    </row>
    <row r="11082" spans="1:4" ht="16.5" hidden="1" x14ac:dyDescent="0.3">
      <c r="A11082" s="10" t="str">
        <f>基本属性!$B$13&amp;"|"&amp;基本属性!$C$13</f>
        <v>100|3</v>
      </c>
      <c r="B11082" s="10" t="str">
        <f>参数调整!$J$41</f>
        <v>新增怪物种类6掉落</v>
      </c>
      <c r="C11082" s="8" t="str">
        <f>材料产出!$HV$2</f>
        <v>基本装备</v>
      </c>
      <c r="D11082" s="224">
        <f>参数调整!$K$41*怪物掉落配置方案!$D4926</f>
        <v>0</v>
      </c>
    </row>
    <row r="11083" spans="1:4" ht="16.5" hidden="1" x14ac:dyDescent="0.3">
      <c r="A11083" s="10" t="str">
        <f>基本属性!$B$14&amp;"|"&amp;基本属性!$C$14</f>
        <v>105|4</v>
      </c>
      <c r="B11083" s="10" t="str">
        <f>参数调整!$J$41</f>
        <v>新增怪物种类6掉落</v>
      </c>
      <c r="C11083" s="8" t="str">
        <f>材料产出!$HV$2</f>
        <v>基本装备</v>
      </c>
      <c r="D11083" s="224">
        <f>参数调整!$K$41*怪物掉落配置方案!$D4927</f>
        <v>0</v>
      </c>
    </row>
    <row r="11084" spans="1:4" ht="16.5" hidden="1" x14ac:dyDescent="0.3">
      <c r="A11084" s="10" t="str">
        <f>基本属性!$B$15&amp;"|"&amp;基本属性!$C$15</f>
        <v>110|5</v>
      </c>
      <c r="B11084" s="10" t="str">
        <f>参数调整!$J$41</f>
        <v>新增怪物种类6掉落</v>
      </c>
      <c r="C11084" s="8" t="str">
        <f>材料产出!$HV$2</f>
        <v>基本装备</v>
      </c>
      <c r="D11084" s="224">
        <f>参数调整!$K$41*怪物掉落配置方案!$D4928</f>
        <v>0</v>
      </c>
    </row>
    <row r="11085" spans="1:4" ht="16.5" hidden="1" x14ac:dyDescent="0.3">
      <c r="A11085" s="10" t="str">
        <f>基本属性!$B$16&amp;"|"&amp;基本属性!$C$16</f>
        <v>120|6</v>
      </c>
      <c r="B11085" s="10" t="str">
        <f>参数调整!$J$41</f>
        <v>新增怪物种类6掉落</v>
      </c>
      <c r="C11085" s="8" t="str">
        <f>材料产出!$HV$2</f>
        <v>基本装备</v>
      </c>
      <c r="D11085" s="224">
        <f>参数调整!$K$41*怪物掉落配置方案!$D4929</f>
        <v>0</v>
      </c>
    </row>
    <row r="11086" spans="1:4" ht="16.5" hidden="1" x14ac:dyDescent="0.3">
      <c r="A11086" s="10" t="str">
        <f>基本属性!$B$17&amp;"|"&amp;基本属性!$C$17</f>
        <v>135|7</v>
      </c>
      <c r="B11086" s="10" t="str">
        <f>参数调整!$J$41</f>
        <v>新增怪物种类6掉落</v>
      </c>
      <c r="C11086" s="8" t="str">
        <f>材料产出!$HV$2</f>
        <v>基本装备</v>
      </c>
      <c r="D11086" s="224">
        <f>参数调整!$K$41*怪物掉落配置方案!$D4930</f>
        <v>0</v>
      </c>
    </row>
    <row r="11087" spans="1:4" ht="16.5" hidden="1" x14ac:dyDescent="0.3">
      <c r="A11087" s="10" t="str">
        <f>基本属性!$B$18&amp;"|"&amp;基本属性!$C$18</f>
        <v>155|8</v>
      </c>
      <c r="B11087" s="10" t="str">
        <f>参数调整!$J$41</f>
        <v>新增怪物种类6掉落</v>
      </c>
      <c r="C11087" s="8" t="str">
        <f>材料产出!$HV$2</f>
        <v>基本装备</v>
      </c>
      <c r="D11087" s="224">
        <f>参数调整!$K$41*怪物掉落配置方案!$D4931</f>
        <v>0</v>
      </c>
    </row>
    <row r="11088" spans="1:4" ht="16.5" hidden="1" x14ac:dyDescent="0.3">
      <c r="A11088" s="10" t="str">
        <f>基本属性!$B$19&amp;"|"&amp;基本属性!$C$19</f>
        <v>190|9</v>
      </c>
      <c r="B11088" s="10" t="str">
        <f>参数调整!$J$41</f>
        <v>新增怪物种类6掉落</v>
      </c>
      <c r="C11088" s="8" t="str">
        <f>材料产出!$HV$2</f>
        <v>基本装备</v>
      </c>
      <c r="D11088" s="224">
        <f>参数调整!$K$41*怪物掉落配置方案!$D4932</f>
        <v>0</v>
      </c>
    </row>
    <row r="11089" spans="1:4" ht="16.5" hidden="1" x14ac:dyDescent="0.3">
      <c r="A11089" s="10" t="str">
        <f>基本属性!$B$20&amp;"|"&amp;基本属性!$C$20</f>
        <v>200|10</v>
      </c>
      <c r="B11089" s="10" t="str">
        <f>参数调整!$J$41</f>
        <v>新增怪物种类6掉落</v>
      </c>
      <c r="C11089" s="8" t="str">
        <f>材料产出!$HV$2</f>
        <v>基本装备</v>
      </c>
      <c r="D11089" s="224">
        <f>参数调整!$K$41*怪物掉落配置方案!$D4933</f>
        <v>0</v>
      </c>
    </row>
    <row r="11090" spans="1:4" ht="16.5" hidden="1" x14ac:dyDescent="0.3">
      <c r="A11090" s="10" t="str">
        <f>基本属性!$B$21&amp;"|"&amp;基本属性!$C$21</f>
        <v>200|11</v>
      </c>
      <c r="B11090" s="10" t="str">
        <f>参数调整!$J$41</f>
        <v>新增怪物种类6掉落</v>
      </c>
      <c r="C11090" s="8" t="str">
        <f>材料产出!$HV$2</f>
        <v>基本装备</v>
      </c>
      <c r="D11090" s="224">
        <f>参数调整!$K$41*怪物掉落配置方案!$D4934</f>
        <v>0</v>
      </c>
    </row>
    <row r="11091" spans="1:4" ht="16.5" hidden="1" x14ac:dyDescent="0.3">
      <c r="A11091" s="10" t="str">
        <f>基本属性!$B$22&amp;"|"&amp;基本属性!$C$22</f>
        <v>210|12</v>
      </c>
      <c r="B11091" s="10" t="str">
        <f>参数调整!$J$41</f>
        <v>新增怪物种类6掉落</v>
      </c>
      <c r="C11091" s="8" t="str">
        <f>材料产出!$HV$2</f>
        <v>基本装备</v>
      </c>
      <c r="D11091" s="224">
        <f>参数调整!$K$41*怪物掉落配置方案!$D4935</f>
        <v>0</v>
      </c>
    </row>
    <row r="11092" spans="1:4" ht="16.5" hidden="1" x14ac:dyDescent="0.3">
      <c r="A11092" s="10" t="str">
        <f>基本属性!$B$23&amp;"|"&amp;基本属性!$C$23</f>
        <v>210|13</v>
      </c>
      <c r="B11092" s="10" t="str">
        <f>参数调整!$J$41</f>
        <v>新增怪物种类6掉落</v>
      </c>
      <c r="C11092" s="8" t="str">
        <f>材料产出!$HV$2</f>
        <v>基本装备</v>
      </c>
      <c r="D11092" s="224">
        <f>参数调整!$K$41*怪物掉落配置方案!$D4936</f>
        <v>0</v>
      </c>
    </row>
    <row r="11093" spans="1:4" ht="16.5" hidden="1" x14ac:dyDescent="0.3">
      <c r="A11093" s="10" t="str">
        <f>基本属性!$B$24&amp;"|"&amp;基本属性!$C$24</f>
        <v>220|14</v>
      </c>
      <c r="B11093" s="10" t="str">
        <f>参数调整!$J$41</f>
        <v>新增怪物种类6掉落</v>
      </c>
      <c r="C11093" s="8" t="str">
        <f>材料产出!$HV$2</f>
        <v>基本装备</v>
      </c>
      <c r="D11093" s="224">
        <f>参数调整!$K$41*怪物掉落配置方案!$D4937</f>
        <v>0</v>
      </c>
    </row>
    <row r="11094" spans="1:4" ht="16.5" hidden="1" x14ac:dyDescent="0.3">
      <c r="A11094" s="10" t="str">
        <f>基本属性!$B$25&amp;"|"&amp;基本属性!$C$25</f>
        <v>220|15</v>
      </c>
      <c r="B11094" s="10" t="str">
        <f>参数调整!$J$41</f>
        <v>新增怪物种类6掉落</v>
      </c>
      <c r="C11094" s="8" t="str">
        <f>材料产出!$HV$2</f>
        <v>基本装备</v>
      </c>
      <c r="D11094" s="224">
        <f>参数调整!$K$41*怪物掉落配置方案!$D4938</f>
        <v>0</v>
      </c>
    </row>
    <row r="11095" spans="1:4" ht="16.5" hidden="1" x14ac:dyDescent="0.3">
      <c r="A11095" s="10" t="str">
        <f>基本属性!$B$26&amp;"|"&amp;基本属性!$C$26</f>
        <v>230|16</v>
      </c>
      <c r="B11095" s="10" t="str">
        <f>参数调整!$J$41</f>
        <v>新增怪物种类6掉落</v>
      </c>
      <c r="C11095" s="8" t="str">
        <f>材料产出!$HV$2</f>
        <v>基本装备</v>
      </c>
      <c r="D11095" s="224">
        <f>参数调整!$K$41*怪物掉落配置方案!$D4939</f>
        <v>0</v>
      </c>
    </row>
    <row r="11096" spans="1:4" ht="16.5" hidden="1" x14ac:dyDescent="0.3">
      <c r="A11096" s="10" t="str">
        <f>基本属性!$B$27&amp;"|"&amp;基本属性!$C$27</f>
        <v>230|17</v>
      </c>
      <c r="B11096" s="10" t="str">
        <f>参数调整!$J$41</f>
        <v>新增怪物种类6掉落</v>
      </c>
      <c r="C11096" s="8" t="str">
        <f>材料产出!$HV$2</f>
        <v>基本装备</v>
      </c>
      <c r="D11096" s="224">
        <f>参数调整!$K$41*怪物掉落配置方案!$D4940</f>
        <v>0</v>
      </c>
    </row>
    <row r="11097" spans="1:4" ht="16.5" hidden="1" x14ac:dyDescent="0.3">
      <c r="A11097" s="10" t="str">
        <f>基本属性!$B$28&amp;"|"&amp;基本属性!$C$28</f>
        <v>240|18</v>
      </c>
      <c r="B11097" s="10" t="str">
        <f>参数调整!$J$41</f>
        <v>新增怪物种类6掉落</v>
      </c>
      <c r="C11097" s="8" t="str">
        <f>材料产出!$HV$2</f>
        <v>基本装备</v>
      </c>
      <c r="D11097" s="224">
        <f>参数调整!$K$41*怪物掉落配置方案!$D4941</f>
        <v>0</v>
      </c>
    </row>
    <row r="11098" spans="1:4" ht="16.5" hidden="1" x14ac:dyDescent="0.3">
      <c r="A11098" s="10" t="str">
        <f>基本属性!$B$29&amp;"|"&amp;基本属性!$C$29</f>
        <v>240|19</v>
      </c>
      <c r="B11098" s="10" t="str">
        <f>参数调整!$J$41</f>
        <v>新增怪物种类6掉落</v>
      </c>
      <c r="C11098" s="8" t="str">
        <f>材料产出!$HV$2</f>
        <v>基本装备</v>
      </c>
      <c r="D11098" s="224">
        <f>参数调整!$K$41*怪物掉落配置方案!$D4942</f>
        <v>0</v>
      </c>
    </row>
    <row r="11099" spans="1:4" ht="16.5" hidden="1" x14ac:dyDescent="0.3">
      <c r="A11099" s="10" t="str">
        <f>基本属性!$B$30&amp;"|"&amp;基本属性!$C$30</f>
        <v>250|20</v>
      </c>
      <c r="B11099" s="10" t="str">
        <f>参数调整!$J$41</f>
        <v>新增怪物种类6掉落</v>
      </c>
      <c r="C11099" s="8" t="str">
        <f>材料产出!$HV$2</f>
        <v>基本装备</v>
      </c>
      <c r="D11099" s="224">
        <f>参数调整!$K$41*怪物掉落配置方案!$D4943</f>
        <v>0</v>
      </c>
    </row>
    <row r="11100" spans="1:4" ht="16.5" hidden="1" x14ac:dyDescent="0.3">
      <c r="A11100" s="10" t="str">
        <f>基本属性!$B$4&amp;"|"&amp;基本属性!$C$4</f>
        <v>35|0</v>
      </c>
      <c r="B11100" s="10" t="str">
        <f>参数调整!$J$41</f>
        <v>新增怪物种类6掉落</v>
      </c>
      <c r="C11100" s="8" t="str">
        <f>材料产出!$AP$2</f>
        <v>火龙气息</v>
      </c>
      <c r="D11100" s="224">
        <f>参数调整!$K$41*怪物掉落配置方案!$D4944</f>
        <v>1.4758102446777509E-3</v>
      </c>
    </row>
    <row r="11101" spans="1:4" ht="16.5" hidden="1" x14ac:dyDescent="0.3">
      <c r="A11101" s="10" t="str">
        <f>基本属性!$B$5&amp;"|"&amp;基本属性!$C$5</f>
        <v>40|0</v>
      </c>
      <c r="B11101" s="10" t="str">
        <f>参数调整!$J$41</f>
        <v>新增怪物种类6掉落</v>
      </c>
      <c r="C11101" s="8" t="str">
        <f>材料产出!$AP$2</f>
        <v>火龙气息</v>
      </c>
      <c r="D11101" s="224">
        <f>参数调整!$K$41*怪物掉落配置方案!$D4945</f>
        <v>1.8678223409202787E-3</v>
      </c>
    </row>
    <row r="11102" spans="1:4" ht="16.5" hidden="1" x14ac:dyDescent="0.3">
      <c r="A11102" s="10" t="str">
        <f>基本属性!$B$6&amp;"|"&amp;基本属性!$C$6</f>
        <v>50|0</v>
      </c>
      <c r="B11102" s="10" t="str">
        <f>参数调整!$J$41</f>
        <v>新增怪物种类6掉落</v>
      </c>
      <c r="C11102" s="8" t="str">
        <f>材料产出!$AP$2</f>
        <v>火龙气息</v>
      </c>
      <c r="D11102" s="224">
        <f>参数调整!$K$41*怪物掉落配置方案!$D4946</f>
        <v>2.305953507308986E-3</v>
      </c>
    </row>
    <row r="11103" spans="1:4" ht="16.5" hidden="1" x14ac:dyDescent="0.3">
      <c r="A11103" s="10" t="str">
        <f>基本属性!$B$7&amp;"|"&amp;基本属性!$C$7</f>
        <v>60|0</v>
      </c>
      <c r="B11103" s="10" t="str">
        <f>参数调整!$J$41</f>
        <v>新增怪物种类6掉落</v>
      </c>
      <c r="C11103" s="8" t="str">
        <f>材料产出!$AP$2</f>
        <v>火龙气息</v>
      </c>
      <c r="D11103" s="224">
        <f>参数调整!$K$41*怪物掉落配置方案!$D4947</f>
        <v>2.7902037438438734E-3</v>
      </c>
    </row>
    <row r="11104" spans="1:4" ht="16.5" hidden="1" x14ac:dyDescent="0.3">
      <c r="A11104" s="10" t="str">
        <f>基本属性!$B$8&amp;"|"&amp;基本属性!$C$8</f>
        <v>65|0</v>
      </c>
      <c r="B11104" s="10" t="str">
        <f>参数调整!$J$41</f>
        <v>新增怪物种类6掉落</v>
      </c>
      <c r="C11104" s="8" t="str">
        <f>材料产出!$AP$2</f>
        <v>火龙气息</v>
      </c>
      <c r="D11104" s="224">
        <f>参数调整!$K$41*怪物掉落配置方案!$D4948</f>
        <v>3.3205730505249395E-3</v>
      </c>
    </row>
    <row r="11105" spans="1:4" ht="16.5" hidden="1" x14ac:dyDescent="0.3">
      <c r="A11105" s="10" t="str">
        <f>基本属性!$B$9&amp;"|"&amp;基本属性!$C$9</f>
        <v>70|0</v>
      </c>
      <c r="B11105" s="10" t="str">
        <f>参数调整!$J$41</f>
        <v>新增怪物种类6掉落</v>
      </c>
      <c r="C11105" s="8" t="str">
        <f>材料产出!$AP$2</f>
        <v>火龙气息</v>
      </c>
      <c r="D11105" s="224">
        <f>参数调整!$K$41*怪物掉落配置方案!$D4949</f>
        <v>3.897061427352186E-3</v>
      </c>
    </row>
    <row r="11106" spans="1:4" ht="16.5" hidden="1" x14ac:dyDescent="0.3">
      <c r="A11106" s="10" t="str">
        <f>基本属性!$B$10&amp;"|"&amp;基本属性!$C$10</f>
        <v>75|0</v>
      </c>
      <c r="B11106" s="10" t="str">
        <f>参数调整!$J$41</f>
        <v>新增怪物种类6掉落</v>
      </c>
      <c r="C11106" s="8" t="str">
        <f>材料产出!$AP$2</f>
        <v>火龙气息</v>
      </c>
      <c r="D11106" s="224">
        <f>参数调整!$K$41*怪物掉落配置方案!$D4950</f>
        <v>4.5196688743256112E-3</v>
      </c>
    </row>
    <row r="11107" spans="1:4" ht="16.5" hidden="1" x14ac:dyDescent="0.3">
      <c r="A11107" s="10" t="str">
        <f>基本属性!$B$11&amp;"|"&amp;基本属性!$C$11</f>
        <v>80|1</v>
      </c>
      <c r="B11107" s="10" t="str">
        <f>参数调整!$J$41</f>
        <v>新增怪物种类6掉落</v>
      </c>
      <c r="C11107" s="8" t="str">
        <f>材料产出!$AP$2</f>
        <v>火龙气息</v>
      </c>
      <c r="D11107" s="224">
        <f>参数调整!$K$41*怪物掉落配置方案!$D4951</f>
        <v>5.1883953914452184E-3</v>
      </c>
    </row>
    <row r="11108" spans="1:4" ht="16.5" hidden="1" x14ac:dyDescent="0.3">
      <c r="A11108" s="10" t="str">
        <f>基本属性!$B$12&amp;"|"&amp;基本属性!$C$12</f>
        <v>90|2</v>
      </c>
      <c r="B11108" s="10" t="str">
        <f>参数调整!$J$41</f>
        <v>新增怪物种类6掉落</v>
      </c>
      <c r="C11108" s="8" t="str">
        <f>材料产出!$AP$2</f>
        <v>火龙气息</v>
      </c>
      <c r="D11108" s="224">
        <f>参数调整!$K$41*怪物掉落配置方案!$D4952</f>
        <v>5.9032409787110034E-3</v>
      </c>
    </row>
    <row r="11109" spans="1:4" ht="16.5" hidden="1" x14ac:dyDescent="0.3">
      <c r="A11109" s="10" t="str">
        <f>基本属性!$B$13&amp;"|"&amp;基本属性!$C$13</f>
        <v>100|3</v>
      </c>
      <c r="B11109" s="10" t="str">
        <f>参数调整!$J$41</f>
        <v>新增怪物种类6掉落</v>
      </c>
      <c r="C11109" s="8" t="str">
        <f>材料产出!$AP$2</f>
        <v>火龙气息</v>
      </c>
      <c r="D11109" s="224">
        <f>参数调整!$K$41*怪物掉落配置方案!$D4953</f>
        <v>7.4712893636811146E-3</v>
      </c>
    </row>
    <row r="11110" spans="1:4" ht="16.5" hidden="1" x14ac:dyDescent="0.3">
      <c r="A11110" s="10" t="str">
        <f>基本属性!$B$14&amp;"|"&amp;基本属性!$C$14</f>
        <v>105|4</v>
      </c>
      <c r="B11110" s="10" t="str">
        <f>参数调整!$J$41</f>
        <v>新增怪物种类6掉落</v>
      </c>
      <c r="C11110" s="8" t="str">
        <f>材料产出!$AP$2</f>
        <v>火龙气息</v>
      </c>
      <c r="D11110" s="224">
        <f>参数调整!$K$41*怪物掉落配置方案!$D4954</f>
        <v>9.2238140292359438E-3</v>
      </c>
    </row>
    <row r="11111" spans="1:4" ht="16.5" hidden="1" x14ac:dyDescent="0.3">
      <c r="A11111" s="10" t="str">
        <f>基本属性!$B$15&amp;"|"&amp;基本属性!$C$15</f>
        <v>110|5</v>
      </c>
      <c r="B11111" s="10" t="str">
        <f>参数调整!$J$41</f>
        <v>新增怪物种类6掉落</v>
      </c>
      <c r="C11111" s="8" t="str">
        <f>材料产出!$AP$2</f>
        <v>火龙气息</v>
      </c>
      <c r="D11111" s="224">
        <f>参数调整!$K$41*怪物掉落配置方案!$D4955</f>
        <v>1.1160814975375494E-2</v>
      </c>
    </row>
    <row r="11112" spans="1:4" ht="16.5" hidden="1" x14ac:dyDescent="0.3">
      <c r="A11112" s="10" t="str">
        <f>基本属性!$B$16&amp;"|"&amp;基本属性!$C$16</f>
        <v>120|6</v>
      </c>
      <c r="B11112" s="10" t="str">
        <f>参数调整!$J$41</f>
        <v>新增怪物种类6掉落</v>
      </c>
      <c r="C11112" s="8" t="str">
        <f>材料产出!$AP$2</f>
        <v>火龙气息</v>
      </c>
      <c r="D11112" s="224">
        <f>参数调整!$K$41*怪物掉落配置方案!$D4956</f>
        <v>1.4412209420681162E-2</v>
      </c>
    </row>
    <row r="11113" spans="1:4" ht="16.5" hidden="1" x14ac:dyDescent="0.3">
      <c r="A11113" s="10" t="str">
        <f>基本属性!$B$17&amp;"|"&amp;基本属性!$C$17</f>
        <v>135|7</v>
      </c>
      <c r="B11113" s="10" t="str">
        <f>参数调整!$J$41</f>
        <v>新增怪物种类6掉落</v>
      </c>
      <c r="C11113" s="8" t="str">
        <f>材料产出!$AP$2</f>
        <v>火龙气息</v>
      </c>
      <c r="D11113" s="224">
        <f>参数调整!$K$41*怪物掉落配置方案!$D4957</f>
        <v>2.0753581565780874E-2</v>
      </c>
    </row>
    <row r="11114" spans="1:4" ht="16.5" hidden="1" x14ac:dyDescent="0.3">
      <c r="A11114" s="10" t="str">
        <f>基本属性!$B$18&amp;"|"&amp;基本属性!$C$18</f>
        <v>155|8</v>
      </c>
      <c r="B11114" s="10" t="str">
        <f>参数调整!$J$41</f>
        <v>新增怪物种类6掉落</v>
      </c>
      <c r="C11114" s="8" t="str">
        <f>材料产出!$AP$2</f>
        <v>火龙气息</v>
      </c>
      <c r="D11114" s="224">
        <f>参数调整!$K$41*怪物掉落配置方案!$D4958</f>
        <v>2.8247930464535081E-2</v>
      </c>
    </row>
    <row r="11115" spans="1:4" ht="16.5" hidden="1" x14ac:dyDescent="0.3">
      <c r="A11115" s="10" t="str">
        <f>基本属性!$B$19&amp;"|"&amp;基本属性!$C$19</f>
        <v>190|9</v>
      </c>
      <c r="B11115" s="10" t="str">
        <f>参数调整!$J$41</f>
        <v>新增怪物种类6掉落</v>
      </c>
      <c r="C11115" s="8" t="str">
        <f>材料产出!$AP$2</f>
        <v>火龙气息</v>
      </c>
      <c r="D11115" s="224">
        <f>参数调整!$K$41*怪物掉落配置方案!$D4959</f>
        <v>3.156850351506002E-2</v>
      </c>
    </row>
    <row r="11116" spans="1:4" ht="16.5" hidden="1" x14ac:dyDescent="0.3">
      <c r="A11116" s="10" t="str">
        <f>基本属性!$B$20&amp;"|"&amp;基本属性!$C$20</f>
        <v>200|10</v>
      </c>
      <c r="B11116" s="10" t="str">
        <f>参数调整!$J$41</f>
        <v>新增怪物种类6掉落</v>
      </c>
      <c r="C11116" s="8" t="str">
        <f>材料产出!$AP$2</f>
        <v>火龙气息</v>
      </c>
      <c r="D11116" s="224">
        <f>参数调整!$K$41*怪物掉落配置方案!$D4960</f>
        <v>3.6895256116943775E-2</v>
      </c>
    </row>
    <row r="11117" spans="1:4" ht="16.5" hidden="1" x14ac:dyDescent="0.3">
      <c r="A11117" s="10" t="str">
        <f>基本属性!$B$21&amp;"|"&amp;基本属性!$C$21</f>
        <v>200|11</v>
      </c>
      <c r="B11117" s="10" t="str">
        <f>参数调整!$J$41</f>
        <v>新增怪物种类6掉落</v>
      </c>
      <c r="C11117" s="8" t="str">
        <f>材料产出!$AP$2</f>
        <v>火龙气息</v>
      </c>
      <c r="D11117" s="224">
        <f>参数调整!$K$41*怪物掉落配置方案!$D4961</f>
        <v>4.2637080350143144E-2</v>
      </c>
    </row>
    <row r="11118" spans="1:4" ht="16.5" hidden="1" x14ac:dyDescent="0.3">
      <c r="A11118" s="10" t="str">
        <f>基本属性!$B$22&amp;"|"&amp;基本属性!$C$22</f>
        <v>210|12</v>
      </c>
      <c r="B11118" s="10" t="str">
        <f>参数调整!$J$41</f>
        <v>新增怪物种类6掉落</v>
      </c>
      <c r="C11118" s="8" t="str">
        <f>材料产出!$AP$2</f>
        <v>火龙气息</v>
      </c>
      <c r="D11118" s="224">
        <f>参数调整!$K$41*怪物掉落配置方案!$D4962</f>
        <v>4.8793976214658127E-2</v>
      </c>
    </row>
    <row r="11119" spans="1:4" ht="16.5" hidden="1" x14ac:dyDescent="0.3">
      <c r="A11119" s="10" t="str">
        <f>基本属性!$B$23&amp;"|"&amp;基本属性!$C$23</f>
        <v>210|13</v>
      </c>
      <c r="B11119" s="10" t="str">
        <f>参数调整!$J$41</f>
        <v>新增怪物种类6掉落</v>
      </c>
      <c r="C11119" s="8" t="str">
        <f>材料产出!$AP$2</f>
        <v>火龙气息</v>
      </c>
      <c r="D11119" s="224">
        <f>参数调整!$K$41*怪物掉落配置方案!$D4963</f>
        <v>5.5365943710488766E-2</v>
      </c>
    </row>
    <row r="11120" spans="1:4" ht="16.5" hidden="1" x14ac:dyDescent="0.3">
      <c r="A11120" s="10" t="str">
        <f>基本属性!$B$24&amp;"|"&amp;基本属性!$C$24</f>
        <v>220|14</v>
      </c>
      <c r="B11120" s="10" t="str">
        <f>参数调整!$J$41</f>
        <v>新增怪物种类6掉落</v>
      </c>
      <c r="C11120" s="8" t="str">
        <f>材料产出!$AP$2</f>
        <v>火龙气息</v>
      </c>
      <c r="D11120" s="224">
        <f>参数调整!$K$41*怪物掉落配置方案!$D4964</f>
        <v>6.2352982837634977E-2</v>
      </c>
    </row>
    <row r="11121" spans="1:4" ht="16.5" hidden="1" x14ac:dyDescent="0.3">
      <c r="A11121" s="10" t="str">
        <f>基本属性!$B$25&amp;"|"&amp;基本属性!$C$25</f>
        <v>220|15</v>
      </c>
      <c r="B11121" s="10" t="str">
        <f>参数调整!$J$41</f>
        <v>新增怪物种类6掉落</v>
      </c>
      <c r="C11121" s="8" t="str">
        <f>材料产出!$AP$2</f>
        <v>火龙气息</v>
      </c>
      <c r="D11121" s="224">
        <f>参数调整!$K$41*怪物掉落配置方案!$D4965</f>
        <v>6.9755093596096829E-2</v>
      </c>
    </row>
    <row r="11122" spans="1:4" ht="16.5" hidden="1" x14ac:dyDescent="0.3">
      <c r="A11122" s="10" t="str">
        <f>基本属性!$B$26&amp;"|"&amp;基本属性!$C$26</f>
        <v>230|16</v>
      </c>
      <c r="B11122" s="10" t="str">
        <f>参数调整!$J$41</f>
        <v>新增怪物种类6掉落</v>
      </c>
      <c r="C11122" s="8" t="str">
        <f>材料产出!$AP$2</f>
        <v>火龙气息</v>
      </c>
      <c r="D11122" s="224">
        <f>参数调整!$K$41*怪物掉落配置方案!$D4966</f>
        <v>7.7572275985874281E-2</v>
      </c>
    </row>
    <row r="11123" spans="1:4" ht="16.5" hidden="1" x14ac:dyDescent="0.3">
      <c r="A11123" s="10" t="str">
        <f>基本属性!$B$27&amp;"|"&amp;基本属性!$C$27</f>
        <v>230|17</v>
      </c>
      <c r="B11123" s="10" t="str">
        <f>参数调整!$J$41</f>
        <v>新增怪物种类6掉落</v>
      </c>
      <c r="C11123" s="8" t="str">
        <f>材料产出!$AP$2</f>
        <v>火龙气息</v>
      </c>
      <c r="D11123" s="224">
        <f>参数调整!$K$41*怪物掉落配置方案!$D4967</f>
        <v>8.5804530006967361E-2</v>
      </c>
    </row>
    <row r="11124" spans="1:4" ht="16.5" hidden="1" x14ac:dyDescent="0.3">
      <c r="A11124" s="10" t="str">
        <f>基本属性!$B$28&amp;"|"&amp;基本属性!$C$28</f>
        <v>240|18</v>
      </c>
      <c r="B11124" s="10" t="str">
        <f>参数调整!$J$41</f>
        <v>新增怪物种类6掉落</v>
      </c>
      <c r="C11124" s="8" t="str">
        <f>材料产出!$AP$2</f>
        <v>火龙气息</v>
      </c>
      <c r="D11124" s="224">
        <f>参数调整!$K$41*怪物掉落配置方案!$D4968</f>
        <v>9.4451855659376055E-2</v>
      </c>
    </row>
    <row r="11125" spans="1:4" ht="16.5" hidden="1" x14ac:dyDescent="0.3">
      <c r="A11125" s="10" t="str">
        <f>基本属性!$B$29&amp;"|"&amp;基本属性!$C$29</f>
        <v>240|19</v>
      </c>
      <c r="B11125" s="10" t="str">
        <f>参数调整!$J$41</f>
        <v>新增怪物种类6掉落</v>
      </c>
      <c r="C11125" s="8" t="str">
        <f>材料产出!$AP$2</f>
        <v>火龙气息</v>
      </c>
      <c r="D11125" s="224">
        <f>参数调整!$K$41*怪物掉落配置方案!$D4969</f>
        <v>0.10351425294310039</v>
      </c>
    </row>
    <row r="11126" spans="1:4" ht="16.5" hidden="1" x14ac:dyDescent="0.3">
      <c r="A11126" s="10" t="str">
        <f>基本属性!$B$30&amp;"|"&amp;基本属性!$C$30</f>
        <v>250|20</v>
      </c>
      <c r="B11126" s="10" t="str">
        <f>参数调整!$J$41</f>
        <v>新增怪物种类6掉落</v>
      </c>
      <c r="C11126" s="8" t="str">
        <f>材料产出!$AP$2</f>
        <v>火龙气息</v>
      </c>
      <c r="D11126" s="224">
        <f>参数调整!$K$41*怪物掉落配置方案!$D4970</f>
        <v>0.1129917218581403</v>
      </c>
    </row>
    <row r="11127" spans="1:4" ht="16.5" hidden="1" x14ac:dyDescent="0.3">
      <c r="A11127" s="10" t="str">
        <f>基本属性!$B$4&amp;"|"&amp;基本属性!$C$4</f>
        <v>35|0</v>
      </c>
      <c r="B11127" s="10" t="str">
        <f>参数调整!$J$41</f>
        <v>新增怪物种类6掉落</v>
      </c>
      <c r="C11127" s="8" t="str">
        <f>材料产出!$N$2</f>
        <v>火龙凭证</v>
      </c>
      <c r="D11127" s="224">
        <f>参数调整!$K$41*怪物掉落配置方案!$D4971</f>
        <v>3.8970056239550084E-2</v>
      </c>
    </row>
    <row r="11128" spans="1:4" ht="16.5" hidden="1" x14ac:dyDescent="0.3">
      <c r="A11128" s="10" t="str">
        <f>基本属性!$B$5&amp;"|"&amp;基本属性!$C$5</f>
        <v>40|0</v>
      </c>
      <c r="B11128" s="10" t="str">
        <f>参数调整!$J$41</f>
        <v>新增怪物种类6掉落</v>
      </c>
      <c r="C11128" s="8" t="str">
        <f>材料产出!$N$2</f>
        <v>火龙凭证</v>
      </c>
      <c r="D11128" s="224">
        <f>参数调整!$K$41*怪物掉落配置方案!$D4972</f>
        <v>4.9321477428180577E-2</v>
      </c>
    </row>
    <row r="11129" spans="1:4" ht="16.5" hidden="1" x14ac:dyDescent="0.3">
      <c r="A11129" s="10" t="str">
        <f>基本属性!$B$6&amp;"|"&amp;基本属性!$C$6</f>
        <v>50|0</v>
      </c>
      <c r="B11129" s="10" t="str">
        <f>参数调整!$J$41</f>
        <v>新增怪物种类6掉落</v>
      </c>
      <c r="C11129" s="8" t="str">
        <f>材料产出!$N$2</f>
        <v>火龙凭证</v>
      </c>
      <c r="D11129" s="224">
        <f>参数调整!$K$41*怪物掉落配置方案!$D4973</f>
        <v>6.0890712874297002E-2</v>
      </c>
    </row>
    <row r="11130" spans="1:4" ht="16.5" hidden="1" x14ac:dyDescent="0.3">
      <c r="A11130" s="10" t="str">
        <f>基本属性!$B$7&amp;"|"&amp;基本属性!$C$7</f>
        <v>60|0</v>
      </c>
      <c r="B11130" s="10" t="str">
        <f>参数调整!$J$41</f>
        <v>新增怪物种类6掉落</v>
      </c>
      <c r="C11130" s="8" t="str">
        <f>材料产出!$N$2</f>
        <v>火龙凭证</v>
      </c>
      <c r="D11130" s="224">
        <f>参数调整!$K$41*怪物掉落配置方案!$D4974</f>
        <v>7.3677762577899375E-2</v>
      </c>
    </row>
    <row r="11131" spans="1:4" ht="16.5" hidden="1" x14ac:dyDescent="0.3">
      <c r="A11131" s="10" t="str">
        <f>基本属性!$B$8&amp;"|"&amp;基本属性!$C$8</f>
        <v>65|0</v>
      </c>
      <c r="B11131" s="10" t="str">
        <f>参数调整!$J$41</f>
        <v>新增怪物种类6掉落</v>
      </c>
      <c r="C11131" s="8" t="str">
        <f>材料产出!$N$2</f>
        <v>火龙凭证</v>
      </c>
      <c r="D11131" s="224">
        <f>参数调整!$K$41*怪物掉落配置方案!$D4975</f>
        <v>8.7682626538987687E-2</v>
      </c>
    </row>
    <row r="11132" spans="1:4" ht="16.5" hidden="1" x14ac:dyDescent="0.3">
      <c r="A11132" s="10" t="str">
        <f>基本属性!$B$9&amp;"|"&amp;基本属性!$C$9</f>
        <v>70|0</v>
      </c>
      <c r="B11132" s="10" t="str">
        <f>参数调整!$J$41</f>
        <v>新增怪物种类6掉落</v>
      </c>
      <c r="C11132" s="8" t="str">
        <f>材料产出!$N$2</f>
        <v>火龙凭证</v>
      </c>
      <c r="D11132" s="224">
        <f>参数调整!$K$41*怪物掉落配置方案!$D4976</f>
        <v>0.10290530475756193</v>
      </c>
    </row>
    <row r="11133" spans="1:4" ht="16.5" hidden="1" x14ac:dyDescent="0.3">
      <c r="A11133" s="10" t="str">
        <f>基本属性!$B$10&amp;"|"&amp;基本属性!$C$10</f>
        <v>75|0</v>
      </c>
      <c r="B11133" s="10" t="str">
        <f>参数调整!$J$41</f>
        <v>新增怪物种类6掉落</v>
      </c>
      <c r="C11133" s="8" t="str">
        <f>材料产出!$N$2</f>
        <v>火龙凭证</v>
      </c>
      <c r="D11133" s="224">
        <f>参数调整!$K$41*怪物掉落配置方案!$D4977</f>
        <v>0.11934579723362213</v>
      </c>
    </row>
    <row r="11134" spans="1:4" ht="16.5" hidden="1" x14ac:dyDescent="0.3">
      <c r="A11134" s="10" t="str">
        <f>基本属性!$B$11&amp;"|"&amp;基本属性!$C$11</f>
        <v>80|1</v>
      </c>
      <c r="B11134" s="10" t="str">
        <f>参数调整!$J$41</f>
        <v>新增怪物种类6掉落</v>
      </c>
      <c r="C11134" s="8" t="str">
        <f>材料产出!$N$2</f>
        <v>火龙凭证</v>
      </c>
      <c r="D11134" s="224">
        <f>参数调整!$K$41*怪物掉落配置方案!$D4978</f>
        <v>0.13700410396716825</v>
      </c>
    </row>
    <row r="11135" spans="1:4" ht="16.5" hidden="1" x14ac:dyDescent="0.3">
      <c r="A11135" s="10" t="str">
        <f>基本属性!$B$12&amp;"|"&amp;基本属性!$C$12</f>
        <v>90|2</v>
      </c>
      <c r="B11135" s="10" t="str">
        <f>参数调整!$J$41</f>
        <v>新增怪物种类6掉落</v>
      </c>
      <c r="C11135" s="8" t="str">
        <f>材料产出!$N$2</f>
        <v>火龙凭证</v>
      </c>
      <c r="D11135" s="224">
        <f>参数调整!$K$41*怪物掉落配置方案!$D4979</f>
        <v>0.15588022495820036</v>
      </c>
    </row>
    <row r="11136" spans="1:4" ht="16.5" hidden="1" x14ac:dyDescent="0.3">
      <c r="A11136" s="10" t="str">
        <f>基本属性!$B$13&amp;"|"&amp;基本属性!$C$13</f>
        <v>100|3</v>
      </c>
      <c r="B11136" s="10" t="str">
        <f>参数调整!$J$41</f>
        <v>新增怪物种类6掉落</v>
      </c>
      <c r="C11136" s="8" t="str">
        <f>材料产出!$N$2</f>
        <v>火龙凭证</v>
      </c>
      <c r="D11136" s="224">
        <f>参数调整!$K$41*怪物掉落配置方案!$D4980</f>
        <v>0.19728590971272231</v>
      </c>
    </row>
    <row r="11137" spans="1:4" ht="16.5" hidden="1" x14ac:dyDescent="0.3">
      <c r="A11137" s="10" t="str">
        <f>基本属性!$B$14&amp;"|"&amp;基本属性!$C$14</f>
        <v>105|4</v>
      </c>
      <c r="B11137" s="10" t="str">
        <f>参数调整!$J$41</f>
        <v>新增怪物种类6掉落</v>
      </c>
      <c r="C11137" s="8" t="str">
        <f>材料产出!$N$2</f>
        <v>火龙凭证</v>
      </c>
      <c r="D11137" s="224">
        <f>参数调整!$K$41*怪物掉落配置方案!$D4981</f>
        <v>0.24356285149718804</v>
      </c>
    </row>
    <row r="11138" spans="1:4" ht="16.5" hidden="1" x14ac:dyDescent="0.3">
      <c r="A11138" s="10" t="str">
        <f>基本属性!$B$15&amp;"|"&amp;基本属性!$C$15</f>
        <v>110|5</v>
      </c>
      <c r="B11138" s="10" t="str">
        <f>参数调整!$J$41</f>
        <v>新增怪物种类6掉落</v>
      </c>
      <c r="C11138" s="8" t="str">
        <f>材料产出!$N$2</f>
        <v>火龙凭证</v>
      </c>
      <c r="D11138" s="224">
        <f>参数调整!$K$41*怪物掉落配置方案!$D4982</f>
        <v>0.2947110503115975</v>
      </c>
    </row>
    <row r="11139" spans="1:4" ht="16.5" hidden="1" x14ac:dyDescent="0.3">
      <c r="A11139" s="10" t="str">
        <f>基本属性!$B$16&amp;"|"&amp;基本属性!$C$16</f>
        <v>120|6</v>
      </c>
      <c r="B11139" s="10" t="str">
        <f>参数调整!$J$41</f>
        <v>新增怪物种类6掉落</v>
      </c>
      <c r="C11139" s="8" t="str">
        <f>材料产出!$N$2</f>
        <v>火龙凭证</v>
      </c>
      <c r="D11139" s="224">
        <f>参数调整!$K$41*怪物掉落配置方案!$D4983</f>
        <v>0.38056695546435626</v>
      </c>
    </row>
    <row r="11140" spans="1:4" ht="16.5" hidden="1" x14ac:dyDescent="0.3">
      <c r="A11140" s="10" t="str">
        <f>基本属性!$B$17&amp;"|"&amp;基本属性!$C$17</f>
        <v>135|7</v>
      </c>
      <c r="B11140" s="10" t="str">
        <f>参数调整!$J$41</f>
        <v>新增怪物种类6掉落</v>
      </c>
      <c r="C11140" s="8" t="str">
        <f>材料产出!$N$2</f>
        <v>火龙凭证</v>
      </c>
      <c r="D11140" s="224">
        <f>参数调整!$K$41*怪物掉落配置方案!$D4984</f>
        <v>0.548016415868673</v>
      </c>
    </row>
    <row r="11141" spans="1:4" ht="16.5" hidden="1" x14ac:dyDescent="0.3">
      <c r="A11141" s="10" t="str">
        <f>基本属性!$B$18&amp;"|"&amp;基本属性!$C$18</f>
        <v>155|8</v>
      </c>
      <c r="B11141" s="10" t="str">
        <f>参数调整!$J$41</f>
        <v>新增怪物种类6掉落</v>
      </c>
      <c r="C11141" s="8" t="str">
        <f>材料产出!$N$2</f>
        <v>火龙凭证</v>
      </c>
      <c r="D11141" s="224">
        <f>参数调整!$K$41*怪物掉落配置方案!$D4985</f>
        <v>0.74591123271013826</v>
      </c>
    </row>
    <row r="11142" spans="1:4" ht="16.5" hidden="1" x14ac:dyDescent="0.3">
      <c r="A11142" s="10" t="str">
        <f>基本属性!$B$19&amp;"|"&amp;基本属性!$C$19</f>
        <v>190|9</v>
      </c>
      <c r="B11142" s="10" t="str">
        <f>参数调整!$J$41</f>
        <v>新增怪物种类6掉落</v>
      </c>
      <c r="C11142" s="8" t="str">
        <f>材料产出!$N$2</f>
        <v>火龙凭证</v>
      </c>
      <c r="D11142" s="224">
        <f>参数调整!$K$41*怪物掉落配置方案!$D4986</f>
        <v>0.8335938592491261</v>
      </c>
    </row>
    <row r="11143" spans="1:4" ht="16.5" hidden="1" x14ac:dyDescent="0.3">
      <c r="A11143" s="10" t="str">
        <f>基本属性!$B$20&amp;"|"&amp;基本属性!$C$20</f>
        <v>200|10</v>
      </c>
      <c r="B11143" s="10" t="str">
        <f>参数调整!$J$41</f>
        <v>新增怪物种类6掉落</v>
      </c>
      <c r="C11143" s="8" t="str">
        <f>材料产出!$N$2</f>
        <v>火龙凭证</v>
      </c>
      <c r="D11143" s="224">
        <f>参数调整!$K$41*怪物掉落配置方案!$D4987</f>
        <v>0.97425140598875215</v>
      </c>
    </row>
    <row r="11144" spans="1:4" ht="16.5" hidden="1" x14ac:dyDescent="0.3">
      <c r="A11144" s="10" t="str">
        <f>基本属性!$B$21&amp;"|"&amp;基本属性!$C$21</f>
        <v>200|11</v>
      </c>
      <c r="B11144" s="10" t="str">
        <f>参数调整!$J$41</f>
        <v>新增怪物种类6掉落</v>
      </c>
      <c r="C11144" s="8" t="str">
        <f>材料产出!$N$2</f>
        <v>火龙凭证</v>
      </c>
      <c r="D11144" s="224">
        <f>参数调整!$K$41*怪物掉落配置方案!$D4988</f>
        <v>1.1258692810457513</v>
      </c>
    </row>
    <row r="11145" spans="1:4" ht="16.5" hidden="1" x14ac:dyDescent="0.3">
      <c r="A11145" s="10" t="str">
        <f>基本属性!$B$22&amp;"|"&amp;基本属性!$C$22</f>
        <v>210|12</v>
      </c>
      <c r="B11145" s="10" t="str">
        <f>参数调整!$J$41</f>
        <v>新增怪物种类6掉落</v>
      </c>
      <c r="C11145" s="8" t="str">
        <f>材料产出!$N$2</f>
        <v>火龙凭证</v>
      </c>
      <c r="D11145" s="224">
        <f>参数调整!$K$41*怪物掉落配置方案!$D4989</f>
        <v>1.2884474844201241</v>
      </c>
    </row>
    <row r="11146" spans="1:4" ht="16.5" hidden="1" x14ac:dyDescent="0.3">
      <c r="A11146" s="10" t="str">
        <f>基本属性!$B$23&amp;"|"&amp;基本属性!$C$23</f>
        <v>210|13</v>
      </c>
      <c r="B11146" s="10" t="str">
        <f>参数调整!$J$41</f>
        <v>新增怪物种类6掉落</v>
      </c>
      <c r="C11146" s="8" t="str">
        <f>材料产出!$N$2</f>
        <v>火龙凭证</v>
      </c>
      <c r="D11146" s="224">
        <f>参数调整!$K$41*怪物掉落配置方案!$D4990</f>
        <v>1.4619860161118714</v>
      </c>
    </row>
    <row r="11147" spans="1:4" ht="16.5" hidden="1" x14ac:dyDescent="0.3">
      <c r="A11147" s="10" t="str">
        <f>基本属性!$B$24&amp;"|"&amp;基本属性!$C$24</f>
        <v>220|14</v>
      </c>
      <c r="B11147" s="10" t="str">
        <f>参数调整!$J$41</f>
        <v>新增怪物种类6掉落</v>
      </c>
      <c r="C11147" s="8" t="str">
        <f>材料产出!$N$2</f>
        <v>火龙凭证</v>
      </c>
      <c r="D11147" s="224">
        <f>参数调整!$K$41*怪物掉落配置方案!$D4991</f>
        <v>1.6464848761209909</v>
      </c>
    </row>
    <row r="11148" spans="1:4" ht="16.5" hidden="1" x14ac:dyDescent="0.3">
      <c r="A11148" s="10" t="str">
        <f>基本属性!$B$25&amp;"|"&amp;基本属性!$C$25</f>
        <v>220|15</v>
      </c>
      <c r="B11148" s="10" t="str">
        <f>参数调整!$J$41</f>
        <v>新增怪物种类6掉落</v>
      </c>
      <c r="C11148" s="8" t="str">
        <f>材料产出!$N$2</f>
        <v>火龙凭证</v>
      </c>
      <c r="D11148" s="224">
        <f>参数调整!$K$41*怪物掉落配置方案!$D4992</f>
        <v>1.841944064447484</v>
      </c>
    </row>
    <row r="11149" spans="1:4" ht="16.5" hidden="1" x14ac:dyDescent="0.3">
      <c r="A11149" s="10" t="str">
        <f>基本属性!$B$26&amp;"|"&amp;基本属性!$C$26</f>
        <v>230|16</v>
      </c>
      <c r="B11149" s="10" t="str">
        <f>参数调整!$J$41</f>
        <v>新增怪物种类6掉落</v>
      </c>
      <c r="C11149" s="8" t="str">
        <f>材料产出!$N$2</f>
        <v>火龙凭证</v>
      </c>
      <c r="D11149" s="224">
        <f>参数调整!$K$41*怪物掉落配置方案!$D4993</f>
        <v>2.0483635810913512</v>
      </c>
    </row>
    <row r="11150" spans="1:4" ht="16.5" hidden="1" x14ac:dyDescent="0.3">
      <c r="A11150" s="10" t="str">
        <f>基本属性!$B$27&amp;"|"&amp;基本属性!$C$27</f>
        <v>230|17</v>
      </c>
      <c r="B11150" s="10" t="str">
        <f>参数调整!$J$41</f>
        <v>新增怪物种类6掉落</v>
      </c>
      <c r="C11150" s="8" t="str">
        <f>材料产出!$N$2</f>
        <v>火龙凭证</v>
      </c>
      <c r="D11150" s="224">
        <f>参数调整!$K$41*怪物掉落配置方案!$D4994</f>
        <v>2.265743426052591</v>
      </c>
    </row>
    <row r="11151" spans="1:4" ht="16.5" hidden="1" x14ac:dyDescent="0.3">
      <c r="A11151" s="10" t="str">
        <f>基本属性!$B$28&amp;"|"&amp;基本属性!$C$28</f>
        <v>240|18</v>
      </c>
      <c r="B11151" s="10" t="str">
        <f>参数调整!$J$41</f>
        <v>新增怪物种类6掉落</v>
      </c>
      <c r="C11151" s="8" t="str">
        <f>材料产出!$N$2</f>
        <v>火龙凭证</v>
      </c>
      <c r="D11151" s="224">
        <f>参数调整!$K$41*怪物掉落配置方案!$D4995</f>
        <v>2.4940835993312058</v>
      </c>
    </row>
    <row r="11152" spans="1:4" ht="16.5" hidden="1" x14ac:dyDescent="0.3">
      <c r="A11152" s="10" t="str">
        <f>基本属性!$B$29&amp;"|"&amp;基本属性!$C$29</f>
        <v>240|19</v>
      </c>
      <c r="B11152" s="10" t="str">
        <f>参数调整!$J$41</f>
        <v>新增怪物种类6掉落</v>
      </c>
      <c r="C11152" s="8" t="str">
        <f>材料产出!$N$2</f>
        <v>火龙凭证</v>
      </c>
      <c r="D11152" s="224">
        <f>参数调整!$K$41*怪物掉落配置方案!$D4996</f>
        <v>2.7333841009271929</v>
      </c>
    </row>
    <row r="11153" spans="1:4" ht="16.5" hidden="1" x14ac:dyDescent="0.3">
      <c r="A11153" s="10" t="str">
        <f>基本属性!$B$30&amp;"|"&amp;基本属性!$C$30</f>
        <v>250|20</v>
      </c>
      <c r="B11153" s="10" t="str">
        <f>参数调整!$J$41</f>
        <v>新增怪物种类6掉落</v>
      </c>
      <c r="C11153" s="8" t="str">
        <f>材料产出!$N$2</f>
        <v>火龙凭证</v>
      </c>
      <c r="D11153" s="224">
        <f>参数调整!$K$41*怪物掉落配置方案!$D4997</f>
        <v>2.9836449308405526</v>
      </c>
    </row>
    <row r="11154" spans="1:4" ht="16.5" hidden="1" x14ac:dyDescent="0.3">
      <c r="A11154" s="10" t="str">
        <f>基本属性!$B$4&amp;"|"&amp;基本属性!$C$4</f>
        <v>35|0</v>
      </c>
      <c r="B11154" s="10" t="str">
        <f>参数调整!$J$41</f>
        <v>新增怪物种类6掉落</v>
      </c>
      <c r="C11154" s="8" t="str">
        <f>材料产出!$AR$2</f>
        <v>火龙精魄</v>
      </c>
      <c r="D11154" s="224">
        <f>参数调整!$K$41*怪物掉落配置方案!$D4998</f>
        <v>1.9480073300135892E-5</v>
      </c>
    </row>
    <row r="11155" spans="1:4" ht="16.5" hidden="1" x14ac:dyDescent="0.3">
      <c r="A11155" s="10" t="str">
        <f>基本属性!$B$5&amp;"|"&amp;基本属性!$C$5</f>
        <v>40|0</v>
      </c>
      <c r="B11155" s="10" t="str">
        <f>参数调整!$J$41</f>
        <v>新增怪物种类6掉落</v>
      </c>
      <c r="C11155" s="8" t="str">
        <f>材料产出!$AR$2</f>
        <v>火龙精魄</v>
      </c>
      <c r="D11155" s="224">
        <f>参数调整!$K$41*怪物掉落配置方案!$D4999</f>
        <v>2.4654467770484488E-5</v>
      </c>
    </row>
    <row r="11156" spans="1:4" ht="16.5" hidden="1" x14ac:dyDescent="0.3">
      <c r="A11156" s="10" t="str">
        <f>基本属性!$B$6&amp;"|"&amp;基本属性!$C$6</f>
        <v>50|0</v>
      </c>
      <c r="B11156" s="10" t="str">
        <f>参数调整!$J$41</f>
        <v>新增怪物种类6掉落</v>
      </c>
      <c r="C11156" s="8" t="str">
        <f>材料产出!$AR$2</f>
        <v>火龙精魄</v>
      </c>
      <c r="D11156" s="224">
        <f>参数调整!$K$41*怪物掉落配置方案!$D5000</f>
        <v>3.0437614531462328E-5</v>
      </c>
    </row>
    <row r="11157" spans="1:4" ht="16.5" hidden="1" x14ac:dyDescent="0.3">
      <c r="A11157" s="10" t="str">
        <f>基本属性!$B$7&amp;"|"&amp;基本属性!$C$7</f>
        <v>60|0</v>
      </c>
      <c r="B11157" s="10" t="str">
        <f>参数调整!$J$41</f>
        <v>新增怪物种类6掉落</v>
      </c>
      <c r="C11157" s="8" t="str">
        <f>材料产出!$AR$2</f>
        <v>火龙精魄</v>
      </c>
      <c r="D11157" s="224">
        <f>参数调整!$K$41*怪物掉落配置方案!$D5001</f>
        <v>3.6829513583069426E-5</v>
      </c>
    </row>
    <row r="11158" spans="1:4" ht="16.5" hidden="1" x14ac:dyDescent="0.3">
      <c r="A11158" s="10" t="str">
        <f>基本属性!$B$8&amp;"|"&amp;基本属性!$C$8</f>
        <v>65|0</v>
      </c>
      <c r="B11158" s="10" t="str">
        <f>参数调整!$J$41</f>
        <v>新增怪物种类6掉落</v>
      </c>
      <c r="C11158" s="8" t="str">
        <f>材料产出!$AR$2</f>
        <v>火龙精魄</v>
      </c>
      <c r="D11158" s="224">
        <f>参数调整!$K$41*怪物掉落配置方案!$D5002</f>
        <v>4.3830164925305752E-5</v>
      </c>
    </row>
    <row r="11159" spans="1:4" ht="16.5" hidden="1" x14ac:dyDescent="0.3">
      <c r="A11159" s="10" t="str">
        <f>基本属性!$B$9&amp;"|"&amp;基本属性!$C$9</f>
        <v>70|0</v>
      </c>
      <c r="B11159" s="10" t="str">
        <f>参数调整!$J$41</f>
        <v>新增怪物种类6掉落</v>
      </c>
      <c r="C11159" s="8" t="str">
        <f>材料产出!$AR$2</f>
        <v>火龙精魄</v>
      </c>
      <c r="D11159" s="224">
        <f>参数调整!$K$41*怪物掉落配置方案!$D5003</f>
        <v>5.1439568558171335E-5</v>
      </c>
    </row>
    <row r="11160" spans="1:4" ht="16.5" hidden="1" x14ac:dyDescent="0.3">
      <c r="A11160" s="10" t="str">
        <f>基本属性!$B$10&amp;"|"&amp;基本属性!$C$10</f>
        <v>75|0</v>
      </c>
      <c r="B11160" s="10" t="str">
        <f>参数调整!$J$41</f>
        <v>新增怪物种类6掉落</v>
      </c>
      <c r="C11160" s="8" t="str">
        <f>材料产出!$AR$2</f>
        <v>火龙精魄</v>
      </c>
      <c r="D11160" s="224">
        <f>参数调整!$K$41*怪物掉落配置方案!$D5004</f>
        <v>5.9657724481666148E-5</v>
      </c>
    </row>
    <row r="11161" spans="1:4" ht="16.5" hidden="1" x14ac:dyDescent="0.3">
      <c r="A11161" s="10" t="str">
        <f>基本属性!$B$11&amp;"|"&amp;基本属性!$C$11</f>
        <v>80|1</v>
      </c>
      <c r="B11161" s="10" t="str">
        <f>参数调整!$J$41</f>
        <v>新增怪物种类6掉落</v>
      </c>
      <c r="C11161" s="8" t="str">
        <f>材料产出!$AR$2</f>
        <v>火龙精魄</v>
      </c>
      <c r="D11161" s="224">
        <f>参数调整!$K$41*怪物掉落配置方案!$D5005</f>
        <v>6.8484632695790226E-5</v>
      </c>
    </row>
    <row r="11162" spans="1:4" ht="16.5" hidden="1" x14ac:dyDescent="0.3">
      <c r="A11162" s="10" t="str">
        <f>基本属性!$B$12&amp;"|"&amp;基本属性!$C$12</f>
        <v>90|2</v>
      </c>
      <c r="B11162" s="10" t="str">
        <f>参数调整!$J$41</f>
        <v>新增怪物种类6掉落</v>
      </c>
      <c r="C11162" s="8" t="str">
        <f>材料产出!$AR$2</f>
        <v>火龙精魄</v>
      </c>
      <c r="D11162" s="224">
        <f>参数调整!$K$41*怪物掉落配置方案!$D5006</f>
        <v>7.7920293200543582E-5</v>
      </c>
    </row>
    <row r="11163" spans="1:4" ht="16.5" hidden="1" x14ac:dyDescent="0.3">
      <c r="A11163" s="10" t="str">
        <f>基本属性!$B$13&amp;"|"&amp;基本属性!$C$13</f>
        <v>100|3</v>
      </c>
      <c r="B11163" s="10" t="str">
        <f>参数调整!$J$41</f>
        <v>新增怪物种类6掉落</v>
      </c>
      <c r="C11163" s="8" t="str">
        <f>材料产出!$AR$2</f>
        <v>火龙精魄</v>
      </c>
      <c r="D11163" s="224">
        <f>参数调整!$K$41*怪物掉落配置方案!$D5007</f>
        <v>9.8617871081937966E-5</v>
      </c>
    </row>
    <row r="11164" spans="1:4" ht="16.5" hidden="1" x14ac:dyDescent="0.3">
      <c r="A11164" s="10" t="str">
        <f>基本属性!$B$14&amp;"|"&amp;基本属性!$C$14</f>
        <v>105|4</v>
      </c>
      <c r="B11164" s="10" t="str">
        <f>参数调整!$J$41</f>
        <v>新增怪物种类6掉落</v>
      </c>
      <c r="C11164" s="8" t="str">
        <f>材料产出!$AR$2</f>
        <v>火龙精魄</v>
      </c>
      <c r="D11164" s="224">
        <f>参数调整!$K$41*怪物掉落配置方案!$D5008</f>
        <v>1.2175045812584931E-4</v>
      </c>
    </row>
    <row r="11165" spans="1:4" ht="16.5" hidden="1" x14ac:dyDescent="0.3">
      <c r="A11165" s="10" t="str">
        <f>基本属性!$B$15&amp;"|"&amp;基本属性!$C$15</f>
        <v>110|5</v>
      </c>
      <c r="B11165" s="10" t="str">
        <f>参数调整!$J$41</f>
        <v>新增怪物种类6掉落</v>
      </c>
      <c r="C11165" s="8" t="str">
        <f>材料产出!$AR$2</f>
        <v>火龙精魄</v>
      </c>
      <c r="D11165" s="224">
        <f>参数调整!$K$41*怪物掉落配置方案!$D5009</f>
        <v>1.4731805433227771E-4</v>
      </c>
    </row>
    <row r="11166" spans="1:4" ht="16.5" hidden="1" x14ac:dyDescent="0.3">
      <c r="A11166" s="10" t="str">
        <f>基本属性!$B$16&amp;"|"&amp;基本属性!$C$16</f>
        <v>120|6</v>
      </c>
      <c r="B11166" s="10" t="str">
        <f>参数调整!$J$41</f>
        <v>新增怪物种类6掉落</v>
      </c>
      <c r="C11166" s="8" t="str">
        <f>材料产出!$AR$2</f>
        <v>火龙精魄</v>
      </c>
      <c r="D11166" s="224">
        <f>参数调整!$K$41*怪物掉落配置方案!$D5010</f>
        <v>1.9023509082163957E-4</v>
      </c>
    </row>
    <row r="11167" spans="1:4" ht="16.5" hidden="1" x14ac:dyDescent="0.3">
      <c r="A11167" s="10" t="str">
        <f>基本属性!$B$17&amp;"|"&amp;基本属性!$C$17</f>
        <v>135|7</v>
      </c>
      <c r="B11167" s="10" t="str">
        <f>参数调整!$J$41</f>
        <v>新增怪物种类6掉落</v>
      </c>
      <c r="C11167" s="8" t="str">
        <f>材料产出!$AR$2</f>
        <v>火龙精魄</v>
      </c>
      <c r="D11167" s="224">
        <f>参数调整!$K$41*怪物掉落配置方案!$D5011</f>
        <v>2.7393853078316096E-4</v>
      </c>
    </row>
    <row r="11168" spans="1:4" ht="16.5" hidden="1" x14ac:dyDescent="0.3">
      <c r="A11168" s="10" t="str">
        <f>基本属性!$B$18&amp;"|"&amp;基本属性!$C$18</f>
        <v>155|8</v>
      </c>
      <c r="B11168" s="10" t="str">
        <f>参数调整!$J$41</f>
        <v>新增怪物种类6掉落</v>
      </c>
      <c r="C11168" s="8" t="str">
        <f>材料产出!$AR$2</f>
        <v>火龙精魄</v>
      </c>
      <c r="D11168" s="224">
        <f>参数调整!$K$41*怪物掉落配置方案!$D5012</f>
        <v>3.7286077801041361E-4</v>
      </c>
    </row>
    <row r="11169" spans="1:4" ht="16.5" hidden="1" x14ac:dyDescent="0.3">
      <c r="A11169" s="10" t="str">
        <f>基本属性!$B$19&amp;"|"&amp;基本属性!$C$19</f>
        <v>190|9</v>
      </c>
      <c r="B11169" s="10" t="str">
        <f>参数调整!$J$41</f>
        <v>新增怪物种类6掉落</v>
      </c>
      <c r="C11169" s="8" t="str">
        <f>材料产出!$AR$2</f>
        <v>火龙精魄</v>
      </c>
      <c r="D11169" s="224">
        <f>参数调整!$K$41*怪物掉落配置方案!$D5013</f>
        <v>4.1669094293571925E-4</v>
      </c>
    </row>
    <row r="11170" spans="1:4" ht="16.5" hidden="1" x14ac:dyDescent="0.3">
      <c r="A11170" s="10" t="str">
        <f>基本属性!$B$20&amp;"|"&amp;基本属性!$C$20</f>
        <v>200|10</v>
      </c>
      <c r="B11170" s="10" t="str">
        <f>参数调整!$J$41</f>
        <v>新增怪物种类6掉落</v>
      </c>
      <c r="C11170" s="8" t="str">
        <f>材料产出!$AR$2</f>
        <v>火龙精魄</v>
      </c>
      <c r="D11170" s="224">
        <f>参数调整!$K$41*怪物掉落配置方案!$D5014</f>
        <v>4.8700183250339725E-4</v>
      </c>
    </row>
    <row r="11171" spans="1:4" ht="16.5" hidden="1" x14ac:dyDescent="0.3">
      <c r="A11171" s="10" t="str">
        <f>基本属性!$B$21&amp;"|"&amp;基本属性!$C$21</f>
        <v>200|11</v>
      </c>
      <c r="B11171" s="10" t="str">
        <f>参数调整!$J$41</f>
        <v>新增怪物种类6掉落</v>
      </c>
      <c r="C11171" s="8" t="str">
        <f>材料产出!$AR$2</f>
        <v>火龙精魄</v>
      </c>
      <c r="D11171" s="224">
        <f>参数调整!$K$41*怪物掉落配置方案!$D5015</f>
        <v>5.627914926867384E-4</v>
      </c>
    </row>
    <row r="11172" spans="1:4" ht="16.5" hidden="1" x14ac:dyDescent="0.3">
      <c r="A11172" s="10" t="str">
        <f>基本属性!$B$22&amp;"|"&amp;基本属性!$C$22</f>
        <v>210|12</v>
      </c>
      <c r="B11172" s="10" t="str">
        <f>参数调整!$J$41</f>
        <v>新增怪物种类6掉落</v>
      </c>
      <c r="C11172" s="8" t="str">
        <f>材料产出!$AR$2</f>
        <v>火龙精魄</v>
      </c>
      <c r="D11172" s="224">
        <f>参数调整!$K$41*怪物掉落配置方案!$D5016</f>
        <v>6.4405992348574273E-4</v>
      </c>
    </row>
    <row r="11173" spans="1:4" ht="16.5" hidden="1" x14ac:dyDescent="0.3">
      <c r="A11173" s="10" t="str">
        <f>基本属性!$B$23&amp;"|"&amp;基本属性!$C$23</f>
        <v>210|13</v>
      </c>
      <c r="B11173" s="10" t="str">
        <f>参数调整!$J$41</f>
        <v>新增怪物种类6掉落</v>
      </c>
      <c r="C11173" s="8" t="str">
        <f>材料产出!$AR$2</f>
        <v>火龙精魄</v>
      </c>
      <c r="D11173" s="224">
        <f>参数调整!$K$41*怪物掉落配置方案!$D5017</f>
        <v>7.3080712490041064E-4</v>
      </c>
    </row>
    <row r="11174" spans="1:4" ht="16.5" hidden="1" x14ac:dyDescent="0.3">
      <c r="A11174" s="10" t="str">
        <f>基本属性!$B$24&amp;"|"&amp;基本属性!$C$24</f>
        <v>220|14</v>
      </c>
      <c r="B11174" s="10" t="str">
        <f>参数调整!$J$41</f>
        <v>新增怪物种类6掉落</v>
      </c>
      <c r="C11174" s="8" t="str">
        <f>材料产出!$AR$2</f>
        <v>火龙精魄</v>
      </c>
      <c r="D11174" s="224">
        <f>参数调整!$K$41*怪物掉落配置方案!$D5018</f>
        <v>8.2303309693074135E-4</v>
      </c>
    </row>
    <row r="11175" spans="1:4" ht="16.5" hidden="1" x14ac:dyDescent="0.3">
      <c r="A11175" s="10" t="str">
        <f>基本属性!$B$25&amp;"|"&amp;基本属性!$C$25</f>
        <v>220|15</v>
      </c>
      <c r="B11175" s="10" t="str">
        <f>参数调整!$J$41</f>
        <v>新增怪物种类6掉落</v>
      </c>
      <c r="C11175" s="8" t="str">
        <f>材料产出!$AR$2</f>
        <v>火龙精魄</v>
      </c>
      <c r="D11175" s="224">
        <f>参数调整!$K$41*怪物掉落配置方案!$D5019</f>
        <v>9.2073783957673521E-4</v>
      </c>
    </row>
    <row r="11176" spans="1:4" ht="16.5" hidden="1" x14ac:dyDescent="0.3">
      <c r="A11176" s="10" t="str">
        <f>基本属性!$B$26&amp;"|"&amp;基本属性!$C$26</f>
        <v>230|16</v>
      </c>
      <c r="B11176" s="10" t="str">
        <f>参数调整!$J$41</f>
        <v>新增怪物种类6掉落</v>
      </c>
      <c r="C11176" s="8" t="str">
        <f>材料产出!$AR$2</f>
        <v>火龙精魄</v>
      </c>
      <c r="D11176" s="224">
        <f>参数调整!$K$41*怪物掉落配置方案!$D5020</f>
        <v>1.0239213528383925E-3</v>
      </c>
    </row>
    <row r="11177" spans="1:4" ht="16.5" hidden="1" x14ac:dyDescent="0.3">
      <c r="A11177" s="10" t="str">
        <f>基本属性!$B$27&amp;"|"&amp;基本属性!$C$27</f>
        <v>230|17</v>
      </c>
      <c r="B11177" s="10" t="str">
        <f>参数调整!$J$41</f>
        <v>新增怪物种类6掉落</v>
      </c>
      <c r="C11177" s="8" t="str">
        <f>材料产出!$AR$2</f>
        <v>火龙精魄</v>
      </c>
      <c r="D11177" s="224">
        <f>参数调整!$K$41*怪物掉落配置方案!$D5021</f>
        <v>1.1325836367157131E-3</v>
      </c>
    </row>
    <row r="11178" spans="1:4" ht="16.5" hidden="1" x14ac:dyDescent="0.3">
      <c r="A11178" s="10" t="str">
        <f>基本属性!$B$28&amp;"|"&amp;基本属性!$C$28</f>
        <v>240|18</v>
      </c>
      <c r="B11178" s="10" t="str">
        <f>参数调整!$J$41</f>
        <v>新增怪物种类6掉落</v>
      </c>
      <c r="C11178" s="8" t="str">
        <f>材料产出!$AR$2</f>
        <v>火龙精魄</v>
      </c>
      <c r="D11178" s="224">
        <f>参数调整!$K$41*怪物掉落配置方案!$D5022</f>
        <v>1.2467246912086971E-3</v>
      </c>
    </row>
    <row r="11179" spans="1:4" ht="16.5" hidden="1" x14ac:dyDescent="0.3">
      <c r="A11179" s="10" t="str">
        <f>基本属性!$B$29&amp;"|"&amp;基本属性!$C$29</f>
        <v>240|19</v>
      </c>
      <c r="B11179" s="10" t="str">
        <f>参数调整!$J$41</f>
        <v>新增怪物种类6掉落</v>
      </c>
      <c r="C11179" s="8" t="str">
        <f>材料产出!$AR$2</f>
        <v>火龙精魄</v>
      </c>
      <c r="D11179" s="224">
        <f>参数调整!$K$41*怪物掉落配置方案!$D5023</f>
        <v>1.3663445163173442E-3</v>
      </c>
    </row>
    <row r="11180" spans="1:4" ht="16.5" hidden="1" x14ac:dyDescent="0.3">
      <c r="A11180" s="10" t="str">
        <f>基本属性!$B$30&amp;"|"&amp;基本属性!$C$30</f>
        <v>250|20</v>
      </c>
      <c r="B11180" s="10" t="str">
        <f>参数调整!$J$41</f>
        <v>新增怪物种类6掉落</v>
      </c>
      <c r="C11180" s="8" t="str">
        <f>材料产出!$AR$2</f>
        <v>火龙精魄</v>
      </c>
      <c r="D11180" s="224">
        <f>参数调整!$K$41*怪物掉落配置方案!$D5024</f>
        <v>1.4914431120416538E-3</v>
      </c>
    </row>
    <row r="11181" spans="1:4" ht="16.5" hidden="1" x14ac:dyDescent="0.3">
      <c r="A11181" s="10" t="str">
        <f>基本属性!$B$4&amp;"|"&amp;基本属性!$C$4</f>
        <v>35|0</v>
      </c>
      <c r="B11181" s="10" t="str">
        <f>参数调整!$J$41</f>
        <v>新增怪物种类6掉落</v>
      </c>
      <c r="C11181" s="8" t="str">
        <f>材料产出!$L$2</f>
        <v>火龙币</v>
      </c>
      <c r="D11181" s="224">
        <f>参数调整!$K$41*怪物掉落配置方案!$D5025</f>
        <v>5.35702015753737E-3</v>
      </c>
    </row>
    <row r="11182" spans="1:4" ht="16.5" hidden="1" x14ac:dyDescent="0.3">
      <c r="A11182" s="10" t="str">
        <f>基本属性!$B$5&amp;"|"&amp;基本属性!$C$5</f>
        <v>40|0</v>
      </c>
      <c r="B11182" s="10" t="str">
        <f>参数调整!$J$41</f>
        <v>新增怪物种类6掉落</v>
      </c>
      <c r="C11182" s="8" t="str">
        <f>材料产出!$L$2</f>
        <v>火龙币</v>
      </c>
      <c r="D11182" s="224">
        <f>参数调整!$K$41*怪物掉落配置方案!$D5026</f>
        <v>6.7799786368832327E-3</v>
      </c>
    </row>
    <row r="11183" spans="1:4" ht="16.5" hidden="1" x14ac:dyDescent="0.3">
      <c r="A11183" s="10" t="str">
        <f>基本属性!$B$6&amp;"|"&amp;基本属性!$C$6</f>
        <v>50|0</v>
      </c>
      <c r="B11183" s="10" t="str">
        <f>参数调整!$J$41</f>
        <v>新增怪物种类6掉落</v>
      </c>
      <c r="C11183" s="8" t="str">
        <f>材料产出!$L$2</f>
        <v>火龙币</v>
      </c>
      <c r="D11183" s="224">
        <f>参数调整!$K$41*怪物掉落配置方案!$D5027</f>
        <v>8.3703439961521405E-3</v>
      </c>
    </row>
    <row r="11184" spans="1:4" ht="16.5" hidden="1" x14ac:dyDescent="0.3">
      <c r="A11184" s="10" t="str">
        <f>基本属性!$B$7&amp;"|"&amp;基本属性!$C$7</f>
        <v>60|0</v>
      </c>
      <c r="B11184" s="10" t="str">
        <f>参数调整!$J$41</f>
        <v>新增怪物种类6掉落</v>
      </c>
      <c r="C11184" s="8" t="str">
        <f>材料产出!$L$2</f>
        <v>火龙币</v>
      </c>
      <c r="D11184" s="224">
        <f>参数调整!$K$41*怪物掉落配置方案!$D5028</f>
        <v>1.0128116235344089E-2</v>
      </c>
    </row>
    <row r="11185" spans="1:4" ht="16.5" hidden="1" x14ac:dyDescent="0.3">
      <c r="A11185" s="10" t="str">
        <f>基本属性!$B$8&amp;"|"&amp;基本属性!$C$8</f>
        <v>65|0</v>
      </c>
      <c r="B11185" s="10" t="str">
        <f>参数调整!$J$41</f>
        <v>新增怪物种类6掉落</v>
      </c>
      <c r="C11185" s="8" t="str">
        <f>材料产出!$L$2</f>
        <v>火龙币</v>
      </c>
      <c r="D11185" s="224">
        <f>参数调整!$K$41*怪物掉落配置方案!$D5029</f>
        <v>1.205329535445908E-2</v>
      </c>
    </row>
    <row r="11186" spans="1:4" ht="16.5" hidden="1" x14ac:dyDescent="0.3">
      <c r="A11186" s="10" t="str">
        <f>基本属性!$B$9&amp;"|"&amp;基本属性!$C$9</f>
        <v>70|0</v>
      </c>
      <c r="B11186" s="10" t="str">
        <f>参数调整!$J$41</f>
        <v>新增怪物种类6掉落</v>
      </c>
      <c r="C11186" s="8" t="str">
        <f>材料产出!$L$2</f>
        <v>火龙币</v>
      </c>
      <c r="D11186" s="224">
        <f>参数调整!$K$41*怪物掉落配置方案!$D5030</f>
        <v>1.4145881353497116E-2</v>
      </c>
    </row>
    <row r="11187" spans="1:4" ht="16.5" hidden="1" x14ac:dyDescent="0.3">
      <c r="A11187" s="10" t="str">
        <f>基本属性!$B$10&amp;"|"&amp;基本属性!$C$10</f>
        <v>75|0</v>
      </c>
      <c r="B11187" s="10" t="str">
        <f>参数调整!$J$41</f>
        <v>新增怪物种类6掉落</v>
      </c>
      <c r="C11187" s="8" t="str">
        <f>材料产出!$L$2</f>
        <v>火龙币</v>
      </c>
      <c r="D11187" s="224">
        <f>参数调整!$K$41*怪物掉落配置方案!$D5031</f>
        <v>1.6405874232458189E-2</v>
      </c>
    </row>
    <row r="11188" spans="1:4" ht="16.5" hidden="1" x14ac:dyDescent="0.3">
      <c r="A11188" s="10" t="str">
        <f>基本属性!$B$11&amp;"|"&amp;基本属性!$C$11</f>
        <v>80|1</v>
      </c>
      <c r="B11188" s="10" t="str">
        <f>参数调整!$J$41</f>
        <v>新增怪物种类6掉落</v>
      </c>
      <c r="C11188" s="8" t="str">
        <f>材料产出!$L$2</f>
        <v>火龙币</v>
      </c>
      <c r="D11188" s="224">
        <f>参数调整!$K$41*怪物掉落配置方案!$D5032</f>
        <v>1.8833273991342311E-2</v>
      </c>
    </row>
    <row r="11189" spans="1:4" ht="16.5" hidden="1" x14ac:dyDescent="0.3">
      <c r="A11189" s="10" t="str">
        <f>基本属性!$B$12&amp;"|"&amp;基本属性!$C$12</f>
        <v>90|2</v>
      </c>
      <c r="B11189" s="10" t="str">
        <f>参数调整!$J$41</f>
        <v>新增怪物种类6掉落</v>
      </c>
      <c r="C11189" s="8" t="str">
        <f>材料产出!$L$2</f>
        <v>火龙币</v>
      </c>
      <c r="D11189" s="224">
        <f>参数调整!$K$41*怪物掉落配置方案!$D5033</f>
        <v>2.1428080630149483E-2</v>
      </c>
    </row>
    <row r="11190" spans="1:4" ht="16.5" hidden="1" x14ac:dyDescent="0.3">
      <c r="A11190" s="10" t="str">
        <f>基本属性!$B$13&amp;"|"&amp;基本属性!$C$13</f>
        <v>100|3</v>
      </c>
      <c r="B11190" s="10" t="str">
        <f>参数调整!$J$41</f>
        <v>新增怪物种类6掉落</v>
      </c>
      <c r="C11190" s="8" t="str">
        <f>材料产出!$L$2</f>
        <v>火龙币</v>
      </c>
      <c r="D11190" s="224">
        <f>参数调整!$K$41*怪物掉落配置方案!$D5034</f>
        <v>2.7119914547532938E-2</v>
      </c>
    </row>
    <row r="11191" spans="1:4" ht="16.5" hidden="1" x14ac:dyDescent="0.3">
      <c r="A11191" s="10" t="str">
        <f>基本属性!$B$14&amp;"|"&amp;基本属性!$C$14</f>
        <v>105|4</v>
      </c>
      <c r="B11191" s="10" t="str">
        <f>参数调整!$J$41</f>
        <v>新增怪物种类6掉落</v>
      </c>
      <c r="C11191" s="8" t="str">
        <f>材料产出!$L$2</f>
        <v>火龙币</v>
      </c>
      <c r="D11191" s="224">
        <f>参数调整!$K$41*怪物掉落配置方案!$D5035</f>
        <v>3.3481375984608562E-2</v>
      </c>
    </row>
    <row r="11192" spans="1:4" ht="16.5" hidden="1" x14ac:dyDescent="0.3">
      <c r="A11192" s="10" t="str">
        <f>基本属性!$B$15&amp;"|"&amp;基本属性!$C$15</f>
        <v>110|5</v>
      </c>
      <c r="B11192" s="10" t="str">
        <f>参数调整!$J$41</f>
        <v>新增怪物种类6掉落</v>
      </c>
      <c r="C11192" s="8" t="str">
        <f>材料产出!$L$2</f>
        <v>火龙币</v>
      </c>
      <c r="D11192" s="224">
        <f>参数调整!$K$41*怪物掉落配置方案!$D5036</f>
        <v>4.0512464941376364E-2</v>
      </c>
    </row>
    <row r="11193" spans="1:4" ht="16.5" hidden="1" x14ac:dyDescent="0.3">
      <c r="A11193" s="10" t="str">
        <f>基本属性!$B$16&amp;"|"&amp;基本属性!$C$16</f>
        <v>120|6</v>
      </c>
      <c r="B11193" s="10" t="str">
        <f>参数调整!$J$41</f>
        <v>新增怪物种类6掉落</v>
      </c>
      <c r="C11193" s="8" t="str">
        <f>材料产出!$L$2</f>
        <v>火龙币</v>
      </c>
      <c r="D11193" s="224">
        <f>参数调整!$K$41*怪物掉落配置方案!$D5037</f>
        <v>5.231464997595088E-2</v>
      </c>
    </row>
    <row r="11194" spans="1:4" ht="16.5" hidden="1" x14ac:dyDescent="0.3">
      <c r="A11194" s="10" t="str">
        <f>基本属性!$B$17&amp;"|"&amp;基本属性!$C$17</f>
        <v>135|7</v>
      </c>
      <c r="B11194" s="10" t="str">
        <f>参数调整!$J$41</f>
        <v>新增怪物种类6掉落</v>
      </c>
      <c r="C11194" s="8" t="str">
        <f>材料产出!$L$2</f>
        <v>火龙币</v>
      </c>
      <c r="D11194" s="224">
        <f>参数调整!$K$41*怪物掉落配置方案!$D5038</f>
        <v>7.5333095965369246E-2</v>
      </c>
    </row>
    <row r="11195" spans="1:4" ht="16.5" hidden="1" x14ac:dyDescent="0.3">
      <c r="A11195" s="10" t="str">
        <f>基本属性!$B$18&amp;"|"&amp;基本属性!$C$18</f>
        <v>155|8</v>
      </c>
      <c r="B11195" s="10" t="str">
        <f>参数调整!$J$41</f>
        <v>新增怪物种类6掉落</v>
      </c>
      <c r="C11195" s="8" t="str">
        <f>材料产出!$L$2</f>
        <v>火龙币</v>
      </c>
      <c r="D11195" s="224">
        <f>参数调整!$K$41*怪物掉落配置方案!$D5039</f>
        <v>0.10253671395286371</v>
      </c>
    </row>
    <row r="11196" spans="1:4" ht="16.5" hidden="1" x14ac:dyDescent="0.3">
      <c r="A11196" s="10" t="str">
        <f>基本属性!$B$19&amp;"|"&amp;基本属性!$C$19</f>
        <v>190|9</v>
      </c>
      <c r="B11196" s="10" t="str">
        <f>参数调整!$J$41</f>
        <v>新增怪物种类6掉落</v>
      </c>
      <c r="C11196" s="8" t="str">
        <f>材料产出!$L$2</f>
        <v>火龙币</v>
      </c>
      <c r="D11196" s="224">
        <f>参数调整!$K$41*怪物掉落配置方案!$D5040</f>
        <v>0.1145900093073228</v>
      </c>
    </row>
    <row r="11197" spans="1:4" ht="16.5" hidden="1" x14ac:dyDescent="0.3">
      <c r="A11197" s="10" t="str">
        <f>基本属性!$B$20&amp;"|"&amp;基本属性!$C$20</f>
        <v>200|10</v>
      </c>
      <c r="B11197" s="10" t="str">
        <f>参数调整!$J$41</f>
        <v>新增怪物种类6掉落</v>
      </c>
      <c r="C11197" s="8" t="str">
        <f>材料产出!$L$2</f>
        <v>火龙币</v>
      </c>
      <c r="D11197" s="224">
        <f>参数调整!$K$41*怪物掉落配置方案!$D5041</f>
        <v>0.13392550393843425</v>
      </c>
    </row>
    <row r="11198" spans="1:4" ht="16.5" hidden="1" x14ac:dyDescent="0.3">
      <c r="A11198" s="10" t="str">
        <f>基本属性!$B$21&amp;"|"&amp;基本属性!$C$21</f>
        <v>200|11</v>
      </c>
      <c r="B11198" s="10" t="str">
        <f>参数调整!$J$41</f>
        <v>新增怪物种类6掉落</v>
      </c>
      <c r="C11198" s="8" t="str">
        <f>材料产出!$L$2</f>
        <v>火龙币</v>
      </c>
      <c r="D11198" s="224">
        <f>参数调整!$K$41*怪物掉落配置方案!$D5042</f>
        <v>0.15476766048885304</v>
      </c>
    </row>
    <row r="11199" spans="1:4" ht="16.5" hidden="1" x14ac:dyDescent="0.3">
      <c r="A11199" s="10" t="str">
        <f>基本属性!$B$22&amp;"|"&amp;基本属性!$C$22</f>
        <v>210|12</v>
      </c>
      <c r="B11199" s="10" t="str">
        <f>参数调整!$J$41</f>
        <v>新增怪物种类6掉落</v>
      </c>
      <c r="C11199" s="8" t="str">
        <f>材料产出!$L$2</f>
        <v>火龙币</v>
      </c>
      <c r="D11199" s="224">
        <f>参数调整!$K$41*怪物掉落配置方案!$D5043</f>
        <v>0.17711647895857924</v>
      </c>
    </row>
    <row r="11200" spans="1:4" ht="16.5" hidden="1" x14ac:dyDescent="0.3">
      <c r="A11200" s="10" t="str">
        <f>基本属性!$B$23&amp;"|"&amp;基本属性!$C$23</f>
        <v>210|13</v>
      </c>
      <c r="B11200" s="10" t="str">
        <f>参数调整!$J$41</f>
        <v>新增怪物种类6掉落</v>
      </c>
      <c r="C11200" s="8" t="str">
        <f>材料产出!$L$2</f>
        <v>火龙币</v>
      </c>
      <c r="D11200" s="224">
        <f>参数调整!$K$41*怪物掉落配置方案!$D5044</f>
        <v>0.20097195934761289</v>
      </c>
    </row>
    <row r="11201" spans="1:4" ht="16.5" hidden="1" x14ac:dyDescent="0.3">
      <c r="A11201" s="10" t="str">
        <f>基本属性!$B$24&amp;"|"&amp;基本属性!$C$24</f>
        <v>220|14</v>
      </c>
      <c r="B11201" s="10" t="str">
        <f>参数调整!$J$41</f>
        <v>新增怪物种类6掉落</v>
      </c>
      <c r="C11201" s="8" t="str">
        <f>材料产出!$L$2</f>
        <v>火龙币</v>
      </c>
      <c r="D11201" s="224">
        <f>参数调整!$K$41*怪物掉落配置方案!$D5045</f>
        <v>0.22633410165595388</v>
      </c>
    </row>
    <row r="11202" spans="1:4" ht="16.5" hidden="1" x14ac:dyDescent="0.3">
      <c r="A11202" s="10" t="str">
        <f>基本属性!$B$25&amp;"|"&amp;基本属性!$C$25</f>
        <v>220|15</v>
      </c>
      <c r="B11202" s="10" t="str">
        <f>参数调整!$J$41</f>
        <v>新增怪物种类6掉落</v>
      </c>
      <c r="C11202" s="8" t="str">
        <f>材料产出!$L$2</f>
        <v>火龙币</v>
      </c>
      <c r="D11202" s="224">
        <f>参数调整!$K$41*怪物掉落配置方案!$D5046</f>
        <v>0.25320290588360223</v>
      </c>
    </row>
    <row r="11203" spans="1:4" ht="16.5" hidden="1" x14ac:dyDescent="0.3">
      <c r="A11203" s="10" t="str">
        <f>基本属性!$B$26&amp;"|"&amp;基本属性!$C$26</f>
        <v>230|16</v>
      </c>
      <c r="B11203" s="10" t="str">
        <f>参数调整!$J$41</f>
        <v>新增怪物种类6掉落</v>
      </c>
      <c r="C11203" s="8" t="str">
        <f>材料产出!$L$2</f>
        <v>火龙币</v>
      </c>
      <c r="D11203" s="224">
        <f>参数调整!$K$41*怪物掉落配置方案!$D5047</f>
        <v>0.28157837203055797</v>
      </c>
    </row>
    <row r="11204" spans="1:4" ht="16.5" hidden="1" x14ac:dyDescent="0.3">
      <c r="A11204" s="10" t="str">
        <f>基本属性!$B$27&amp;"|"&amp;基本属性!$C$27</f>
        <v>230|17</v>
      </c>
      <c r="B11204" s="10" t="str">
        <f>参数调整!$J$41</f>
        <v>新增怪物种类6掉落</v>
      </c>
      <c r="C11204" s="8" t="str">
        <f>材料产出!$L$2</f>
        <v>火龙币</v>
      </c>
      <c r="D11204" s="224">
        <f>参数调整!$K$41*怪物掉落配置方案!$D5048</f>
        <v>0.31146050009682108</v>
      </c>
    </row>
    <row r="11205" spans="1:4" ht="16.5" hidden="1" x14ac:dyDescent="0.3">
      <c r="A11205" s="10" t="str">
        <f>基本属性!$B$28&amp;"|"&amp;基本属性!$C$28</f>
        <v>240|18</v>
      </c>
      <c r="B11205" s="10" t="str">
        <f>参数调整!$J$41</f>
        <v>新增怪物种类6掉落</v>
      </c>
      <c r="C11205" s="8" t="str">
        <f>材料产出!$L$2</f>
        <v>火龙币</v>
      </c>
      <c r="D11205" s="224">
        <f>参数调整!$K$41*怪物掉落配置方案!$D5049</f>
        <v>0.34284929008239168</v>
      </c>
    </row>
    <row r="11206" spans="1:4" ht="16.5" hidden="1" x14ac:dyDescent="0.3">
      <c r="A11206" s="10" t="str">
        <f>基本属性!$B$29&amp;"|"&amp;基本属性!$C$29</f>
        <v>240|19</v>
      </c>
      <c r="B11206" s="10" t="str">
        <f>参数调整!$J$41</f>
        <v>新增怪物种类6掉落</v>
      </c>
      <c r="C11206" s="8" t="str">
        <f>材料产出!$L$2</f>
        <v>火龙币</v>
      </c>
      <c r="D11206" s="224">
        <f>参数调整!$K$41*怪物掉落配置方案!$D5050</f>
        <v>0.37574474198726954</v>
      </c>
    </row>
    <row r="11207" spans="1:4" ht="16.5" hidden="1" x14ac:dyDescent="0.3">
      <c r="A11207" s="10" t="str">
        <f>基本属性!$B$30&amp;"|"&amp;基本属性!$C$30</f>
        <v>250|20</v>
      </c>
      <c r="B11207" s="10" t="str">
        <f>参数调整!$J$41</f>
        <v>新增怪物种类6掉落</v>
      </c>
      <c r="C11207" s="8" t="str">
        <f>材料产出!$L$2</f>
        <v>火龙币</v>
      </c>
      <c r="D11207" s="224">
        <f>参数调整!$K$41*怪物掉落配置方案!$D5051</f>
        <v>0.41014685581145477</v>
      </c>
    </row>
    <row r="11208" spans="1:4" ht="16.5" hidden="1" x14ac:dyDescent="0.3">
      <c r="A11208" s="10" t="str">
        <f>基本属性!$B$4&amp;"|"&amp;基本属性!$C$4</f>
        <v>35|0</v>
      </c>
      <c r="B11208" s="10" t="str">
        <f>参数调整!$J$41</f>
        <v>新增怪物种类6掉落</v>
      </c>
      <c r="C11208" s="8" t="str">
        <f>材料产出!$BD$2</f>
        <v>防具碎片</v>
      </c>
      <c r="D11208" s="224">
        <f>参数调整!$K$41*怪物掉落配置方案!$D5052</f>
        <v>1.948007330013589E-4</v>
      </c>
    </row>
    <row r="11209" spans="1:4" ht="16.5" hidden="1" x14ac:dyDescent="0.3">
      <c r="A11209" s="10" t="str">
        <f>基本属性!$B$5&amp;"|"&amp;基本属性!$C$5</f>
        <v>40|0</v>
      </c>
      <c r="B11209" s="10" t="str">
        <f>参数调整!$J$41</f>
        <v>新增怪物种类6掉落</v>
      </c>
      <c r="C11209" s="8" t="str">
        <f>材料产出!$BD$2</f>
        <v>防具碎片</v>
      </c>
      <c r="D11209" s="224">
        <f>参数调整!$K$41*怪物掉落配置方案!$D5053</f>
        <v>2.4654467770484484E-4</v>
      </c>
    </row>
    <row r="11210" spans="1:4" ht="16.5" hidden="1" x14ac:dyDescent="0.3">
      <c r="A11210" s="10" t="str">
        <f>基本属性!$B$6&amp;"|"&amp;基本属性!$C$6</f>
        <v>50|0</v>
      </c>
      <c r="B11210" s="10" t="str">
        <f>参数调整!$J$41</f>
        <v>新增怪物种类6掉落</v>
      </c>
      <c r="C11210" s="8" t="str">
        <f>材料产出!$BD$2</f>
        <v>防具碎片</v>
      </c>
      <c r="D11210" s="224">
        <f>参数调整!$K$41*怪物掉落配置方案!$D5054</f>
        <v>3.0437614531462332E-4</v>
      </c>
    </row>
    <row r="11211" spans="1:4" ht="16.5" hidden="1" x14ac:dyDescent="0.3">
      <c r="A11211" s="10" t="str">
        <f>基本属性!$B$7&amp;"|"&amp;基本属性!$C$7</f>
        <v>60|0</v>
      </c>
      <c r="B11211" s="10" t="str">
        <f>参数调整!$J$41</f>
        <v>新增怪物种类6掉落</v>
      </c>
      <c r="C11211" s="8" t="str">
        <f>材料产出!$BD$2</f>
        <v>防具碎片</v>
      </c>
      <c r="D11211" s="224">
        <f>参数调整!$K$41*怪物掉落配置方案!$D5055</f>
        <v>3.6829513583069417E-4</v>
      </c>
    </row>
    <row r="11212" spans="1:4" ht="16.5" hidden="1" x14ac:dyDescent="0.3">
      <c r="A11212" s="10" t="str">
        <f>基本属性!$B$8&amp;"|"&amp;基本属性!$C$8</f>
        <v>65|0</v>
      </c>
      <c r="B11212" s="10" t="str">
        <f>参数调整!$J$41</f>
        <v>新增怪物种类6掉落</v>
      </c>
      <c r="C11212" s="8" t="str">
        <f>材料产出!$BD$2</f>
        <v>防具碎片</v>
      </c>
      <c r="D11212" s="224">
        <f>参数调整!$K$41*怪物掉落配置方案!$D5056</f>
        <v>4.3830164925305756E-4</v>
      </c>
    </row>
    <row r="11213" spans="1:4" ht="16.5" hidden="1" x14ac:dyDescent="0.3">
      <c r="A11213" s="10" t="str">
        <f>基本属性!$B$9&amp;"|"&amp;基本属性!$C$9</f>
        <v>70|0</v>
      </c>
      <c r="B11213" s="10" t="str">
        <f>参数调整!$J$41</f>
        <v>新增怪物种类6掉落</v>
      </c>
      <c r="C11213" s="8" t="str">
        <f>材料产出!$BD$2</f>
        <v>防具碎片</v>
      </c>
      <c r="D11213" s="224">
        <f>参数调整!$K$41*怪物掉落配置方案!$D5057</f>
        <v>5.1439568558171332E-4</v>
      </c>
    </row>
    <row r="11214" spans="1:4" ht="16.5" hidden="1" x14ac:dyDescent="0.3">
      <c r="A11214" s="10" t="str">
        <f>基本属性!$B$10&amp;"|"&amp;基本属性!$C$10</f>
        <v>75|0</v>
      </c>
      <c r="B11214" s="10" t="str">
        <f>参数调整!$J$41</f>
        <v>新增怪物种类6掉落</v>
      </c>
      <c r="C11214" s="8" t="str">
        <f>材料产出!$BD$2</f>
        <v>防具碎片</v>
      </c>
      <c r="D11214" s="224">
        <f>参数调整!$K$41*怪物掉落配置方案!$D5058</f>
        <v>5.9657724481666156E-4</v>
      </c>
    </row>
    <row r="11215" spans="1:4" ht="16.5" hidden="1" x14ac:dyDescent="0.3">
      <c r="A11215" s="10" t="str">
        <f>基本属性!$B$11&amp;"|"&amp;基本属性!$C$11</f>
        <v>80|1</v>
      </c>
      <c r="B11215" s="10" t="str">
        <f>参数调整!$J$41</f>
        <v>新增怪物种类6掉落</v>
      </c>
      <c r="C11215" s="8" t="str">
        <f>材料产出!$BD$2</f>
        <v>防具碎片</v>
      </c>
      <c r="D11215" s="224">
        <f>参数调整!$K$41*怪物掉落配置方案!$D5059</f>
        <v>6.848463269579024E-4</v>
      </c>
    </row>
    <row r="11216" spans="1:4" ht="16.5" hidden="1" x14ac:dyDescent="0.3">
      <c r="A11216" s="10" t="str">
        <f>基本属性!$B$12&amp;"|"&amp;基本属性!$C$12</f>
        <v>90|2</v>
      </c>
      <c r="B11216" s="10" t="str">
        <f>参数调整!$J$41</f>
        <v>新增怪物种类6掉落</v>
      </c>
      <c r="C11216" s="8" t="str">
        <f>材料产出!$BD$2</f>
        <v>防具碎片</v>
      </c>
      <c r="D11216" s="224">
        <f>参数调整!$K$41*怪物掉落配置方案!$D5060</f>
        <v>7.7920293200543582E-4</v>
      </c>
    </row>
    <row r="11217" spans="1:4" ht="16.5" hidden="1" x14ac:dyDescent="0.3">
      <c r="A11217" s="10" t="str">
        <f>基本属性!$B$13&amp;"|"&amp;基本属性!$C$13</f>
        <v>100|3</v>
      </c>
      <c r="B11217" s="10" t="str">
        <f>参数调整!$J$41</f>
        <v>新增怪物种类6掉落</v>
      </c>
      <c r="C11217" s="8" t="str">
        <f>材料产出!$BD$2</f>
        <v>防具碎片</v>
      </c>
      <c r="D11217" s="224">
        <f>参数调整!$K$41*怪物掉落配置方案!$D5061</f>
        <v>9.8617871081937958E-4</v>
      </c>
    </row>
    <row r="11218" spans="1:4" ht="16.5" hidden="1" x14ac:dyDescent="0.3">
      <c r="A11218" s="10" t="str">
        <f>基本属性!$B$14&amp;"|"&amp;基本属性!$C$14</f>
        <v>105|4</v>
      </c>
      <c r="B11218" s="10" t="str">
        <f>参数调整!$J$41</f>
        <v>新增怪物种类6掉落</v>
      </c>
      <c r="C11218" s="8" t="str">
        <f>材料产出!$BD$2</f>
        <v>防具碎片</v>
      </c>
      <c r="D11218" s="224">
        <f>参数调整!$K$41*怪物掉落配置方案!$D5062</f>
        <v>1.2175045812584933E-3</v>
      </c>
    </row>
    <row r="11219" spans="1:4" ht="16.5" hidden="1" x14ac:dyDescent="0.3">
      <c r="A11219" s="10" t="str">
        <f>基本属性!$B$15&amp;"|"&amp;基本属性!$C$15</f>
        <v>110|5</v>
      </c>
      <c r="B11219" s="10" t="str">
        <f>参数调整!$J$41</f>
        <v>新增怪物种类6掉落</v>
      </c>
      <c r="C11219" s="8" t="str">
        <f>材料产出!$BD$2</f>
        <v>防具碎片</v>
      </c>
      <c r="D11219" s="224">
        <f>参数调整!$K$41*怪物掉落配置方案!$D5063</f>
        <v>1.4731805433227771E-3</v>
      </c>
    </row>
    <row r="11220" spans="1:4" ht="16.5" hidden="1" x14ac:dyDescent="0.3">
      <c r="A11220" s="10" t="str">
        <f>基本属性!$B$16&amp;"|"&amp;基本属性!$C$16</f>
        <v>120|6</v>
      </c>
      <c r="B11220" s="10" t="str">
        <f>参数调整!$J$41</f>
        <v>新增怪物种类6掉落</v>
      </c>
      <c r="C11220" s="8" t="str">
        <f>材料产出!$BD$2</f>
        <v>防具碎片</v>
      </c>
      <c r="D11220" s="224">
        <f>参数调整!$K$41*怪物掉落配置方案!$D5064</f>
        <v>1.9023509082163959E-3</v>
      </c>
    </row>
    <row r="11221" spans="1:4" ht="16.5" hidden="1" x14ac:dyDescent="0.3">
      <c r="A11221" s="10" t="str">
        <f>基本属性!$B$17&amp;"|"&amp;基本属性!$C$17</f>
        <v>135|7</v>
      </c>
      <c r="B11221" s="10" t="str">
        <f>参数调整!$J$41</f>
        <v>新增怪物种类6掉落</v>
      </c>
      <c r="C11221" s="8" t="str">
        <f>材料产出!$BD$2</f>
        <v>防具碎片</v>
      </c>
      <c r="D11221" s="224">
        <f>参数调整!$K$41*怪物掉落配置方案!$D5065</f>
        <v>2.7393853078316096E-3</v>
      </c>
    </row>
    <row r="11222" spans="1:4" ht="16.5" hidden="1" x14ac:dyDescent="0.3">
      <c r="A11222" s="10" t="str">
        <f>基本属性!$B$18&amp;"|"&amp;基本属性!$C$18</f>
        <v>155|8</v>
      </c>
      <c r="B11222" s="10" t="str">
        <f>参数调整!$J$41</f>
        <v>新增怪物种类6掉落</v>
      </c>
      <c r="C11222" s="8" t="str">
        <f>材料产出!$BD$2</f>
        <v>防具碎片</v>
      </c>
      <c r="D11222" s="224">
        <f>参数调整!$K$41*怪物掉落配置方案!$D5066</f>
        <v>3.7286077801041355E-3</v>
      </c>
    </row>
    <row r="11223" spans="1:4" ht="16.5" hidden="1" x14ac:dyDescent="0.3">
      <c r="A11223" s="10" t="str">
        <f>基本属性!$B$19&amp;"|"&amp;基本属性!$C$19</f>
        <v>190|9</v>
      </c>
      <c r="B11223" s="10" t="str">
        <f>参数调整!$J$41</f>
        <v>新增怪物种类6掉落</v>
      </c>
      <c r="C11223" s="8" t="str">
        <f>材料产出!$BD$2</f>
        <v>防具碎片</v>
      </c>
      <c r="D11223" s="224">
        <f>参数调整!$K$41*怪物掉落配置方案!$D5067</f>
        <v>4.1669094293571929E-3</v>
      </c>
    </row>
    <row r="11224" spans="1:4" ht="16.5" hidden="1" x14ac:dyDescent="0.3">
      <c r="A11224" s="10" t="str">
        <f>基本属性!$B$20&amp;"|"&amp;基本属性!$C$20</f>
        <v>200|10</v>
      </c>
      <c r="B11224" s="10" t="str">
        <f>参数调整!$J$41</f>
        <v>新增怪物种类6掉落</v>
      </c>
      <c r="C11224" s="8" t="str">
        <f>材料产出!$BD$2</f>
        <v>防具碎片</v>
      </c>
      <c r="D11224" s="224">
        <f>参数调整!$K$41*怪物掉落配置方案!$D5068</f>
        <v>4.8700183250339731E-3</v>
      </c>
    </row>
    <row r="11225" spans="1:4" ht="16.5" hidden="1" x14ac:dyDescent="0.3">
      <c r="A11225" s="10" t="str">
        <f>基本属性!$B$21&amp;"|"&amp;基本属性!$C$21</f>
        <v>200|11</v>
      </c>
      <c r="B11225" s="10" t="str">
        <f>参数调整!$J$41</f>
        <v>新增怪物种类6掉落</v>
      </c>
      <c r="C11225" s="8" t="str">
        <f>材料产出!$BD$2</f>
        <v>防具碎片</v>
      </c>
      <c r="D11225" s="224">
        <f>参数调整!$K$41*怪物掉落配置方案!$D5069</f>
        <v>5.6279149268673827E-3</v>
      </c>
    </row>
    <row r="11226" spans="1:4" ht="16.5" hidden="1" x14ac:dyDescent="0.3">
      <c r="A11226" s="10" t="str">
        <f>基本属性!$B$22&amp;"|"&amp;基本属性!$C$22</f>
        <v>210|12</v>
      </c>
      <c r="B11226" s="10" t="str">
        <f>参数调整!$J$41</f>
        <v>新增怪物种类6掉落</v>
      </c>
      <c r="C11226" s="8" t="str">
        <f>材料产出!$BD$2</f>
        <v>防具碎片</v>
      </c>
      <c r="D11226" s="224">
        <f>参数调整!$K$41*怪物掉落配置方案!$D5070</f>
        <v>6.4405992348574269E-3</v>
      </c>
    </row>
    <row r="11227" spans="1:4" ht="16.5" hidden="1" x14ac:dyDescent="0.3">
      <c r="A11227" s="10" t="str">
        <f>基本属性!$B$23&amp;"|"&amp;基本属性!$C$23</f>
        <v>210|13</v>
      </c>
      <c r="B11227" s="10" t="str">
        <f>参数调整!$J$41</f>
        <v>新增怪物种类6掉落</v>
      </c>
      <c r="C11227" s="8" t="str">
        <f>材料产出!$BD$2</f>
        <v>防具碎片</v>
      </c>
      <c r="D11227" s="224">
        <f>参数调整!$K$41*怪物掉落配置方案!$D5071</f>
        <v>7.3080712490041066E-3</v>
      </c>
    </row>
    <row r="11228" spans="1:4" ht="16.5" hidden="1" x14ac:dyDescent="0.3">
      <c r="A11228" s="10" t="str">
        <f>基本属性!$B$24&amp;"|"&amp;基本属性!$C$24</f>
        <v>220|14</v>
      </c>
      <c r="B11228" s="10" t="str">
        <f>参数调整!$J$41</f>
        <v>新增怪物种类6掉落</v>
      </c>
      <c r="C11228" s="8" t="str">
        <f>材料产出!$BD$2</f>
        <v>防具碎片</v>
      </c>
      <c r="D11228" s="224">
        <f>参数调整!$K$41*怪物掉落配置方案!$D5072</f>
        <v>8.2303309693074131E-3</v>
      </c>
    </row>
    <row r="11229" spans="1:4" ht="16.5" hidden="1" x14ac:dyDescent="0.3">
      <c r="A11229" s="10" t="str">
        <f>基本属性!$B$25&amp;"|"&amp;基本属性!$C$25</f>
        <v>220|15</v>
      </c>
      <c r="B11229" s="10" t="str">
        <f>参数调整!$J$41</f>
        <v>新增怪物种类6掉落</v>
      </c>
      <c r="C11229" s="8" t="str">
        <f>材料产出!$BD$2</f>
        <v>防具碎片</v>
      </c>
      <c r="D11229" s="224">
        <f>参数调整!$K$41*怪物掉落配置方案!$D5073</f>
        <v>9.2073783957673516E-3</v>
      </c>
    </row>
    <row r="11230" spans="1:4" ht="16.5" hidden="1" x14ac:dyDescent="0.3">
      <c r="A11230" s="10" t="str">
        <f>基本属性!$B$26&amp;"|"&amp;基本属性!$C$26</f>
        <v>230|16</v>
      </c>
      <c r="B11230" s="10" t="str">
        <f>参数调整!$J$41</f>
        <v>新增怪物种类6掉落</v>
      </c>
      <c r="C11230" s="8" t="str">
        <f>材料产出!$BD$2</f>
        <v>防具碎片</v>
      </c>
      <c r="D11230" s="224">
        <f>参数调整!$K$41*怪物掉落配置方案!$D5074</f>
        <v>1.0239213528383926E-2</v>
      </c>
    </row>
    <row r="11231" spans="1:4" ht="16.5" hidden="1" x14ac:dyDescent="0.3">
      <c r="A11231" s="10" t="str">
        <f>基本属性!$B$27&amp;"|"&amp;基本属性!$C$27</f>
        <v>230|17</v>
      </c>
      <c r="B11231" s="10" t="str">
        <f>参数调整!$J$41</f>
        <v>新增怪物种类6掉落</v>
      </c>
      <c r="C11231" s="8" t="str">
        <f>材料产出!$BD$2</f>
        <v>防具碎片</v>
      </c>
      <c r="D11231" s="224">
        <f>参数调整!$K$41*怪物掉落配置方案!$D5075</f>
        <v>1.132583636715713E-2</v>
      </c>
    </row>
    <row r="11232" spans="1:4" ht="16.5" hidden="1" x14ac:dyDescent="0.3">
      <c r="A11232" s="10" t="str">
        <f>基本属性!$B$28&amp;"|"&amp;基本属性!$C$28</f>
        <v>240|18</v>
      </c>
      <c r="B11232" s="10" t="str">
        <f>参数调整!$J$41</f>
        <v>新增怪物种类6掉落</v>
      </c>
      <c r="C11232" s="8" t="str">
        <f>材料产出!$BD$2</f>
        <v>防具碎片</v>
      </c>
      <c r="D11232" s="224">
        <f>参数调整!$K$41*怪物掉落配置方案!$D5076</f>
        <v>1.246724691208697E-2</v>
      </c>
    </row>
    <row r="11233" spans="1:4" ht="16.5" hidden="1" x14ac:dyDescent="0.3">
      <c r="A11233" s="10" t="str">
        <f>基本属性!$B$29&amp;"|"&amp;基本属性!$C$29</f>
        <v>240|19</v>
      </c>
      <c r="B11233" s="10" t="str">
        <f>参数调整!$J$41</f>
        <v>新增怪物种类6掉落</v>
      </c>
      <c r="C11233" s="8" t="str">
        <f>材料产出!$BD$2</f>
        <v>防具碎片</v>
      </c>
      <c r="D11233" s="224">
        <f>参数调整!$K$41*怪物掉落配置方案!$D5077</f>
        <v>1.366344516317344E-2</v>
      </c>
    </row>
    <row r="11234" spans="1:4" ht="16.5" hidden="1" x14ac:dyDescent="0.3">
      <c r="A11234" s="10" t="str">
        <f>基本属性!$B$30&amp;"|"&amp;基本属性!$C$30</f>
        <v>250|20</v>
      </c>
      <c r="B11234" s="10" t="str">
        <f>参数调整!$J$41</f>
        <v>新增怪物种类6掉落</v>
      </c>
      <c r="C11234" s="8" t="str">
        <f>材料产出!$BD$2</f>
        <v>防具碎片</v>
      </c>
      <c r="D11234" s="224">
        <f>参数调整!$K$41*怪物掉落配置方案!$D5078</f>
        <v>1.4914431120416537E-2</v>
      </c>
    </row>
    <row r="11235" spans="1:4" ht="16.5" hidden="1" x14ac:dyDescent="0.3">
      <c r="A11235" s="10" t="str">
        <f>基本属性!$B$4&amp;"|"&amp;基本属性!$C$4</f>
        <v>35|0</v>
      </c>
      <c r="B11235" s="10" t="str">
        <f>参数调整!$J$41</f>
        <v>新增怪物种类6掉落</v>
      </c>
      <c r="C11235" s="8" t="str">
        <f>材料产出!$AD$2</f>
        <v>凡品升星石</v>
      </c>
      <c r="D11235" s="224">
        <f>参数调整!$K$41*怪物掉落配置方案!$D5079</f>
        <v>2.7219025570872357E-2</v>
      </c>
    </row>
    <row r="11236" spans="1:4" ht="16.5" hidden="1" x14ac:dyDescent="0.3">
      <c r="A11236" s="10" t="str">
        <f>基本属性!$B$5&amp;"|"&amp;基本属性!$C$5</f>
        <v>40|0</v>
      </c>
      <c r="B11236" s="10" t="str">
        <f>参数调整!$J$41</f>
        <v>新增怪物种类6掉落</v>
      </c>
      <c r="C11236" s="8" t="str">
        <f>材料产出!$AD$2</f>
        <v>凡品升星石</v>
      </c>
      <c r="D11236" s="224">
        <f>参数调整!$K$41*怪物掉落配置方案!$D5080</f>
        <v>3.4449079238135338E-2</v>
      </c>
    </row>
    <row r="11237" spans="1:4" ht="16.5" hidden="1" x14ac:dyDescent="0.3">
      <c r="A11237" s="10" t="str">
        <f>基本属性!$B$6&amp;"|"&amp;基本属性!$C$6</f>
        <v>50|0</v>
      </c>
      <c r="B11237" s="10" t="str">
        <f>参数调整!$J$41</f>
        <v>新增怪物种类6掉落</v>
      </c>
      <c r="C11237" s="8" t="str">
        <f>材料产出!$AD$2</f>
        <v>凡品升星石</v>
      </c>
      <c r="D11237" s="224">
        <f>参数调整!$K$41*怪物掉落配置方案!$D5081</f>
        <v>4.2529727454488062E-2</v>
      </c>
    </row>
    <row r="11238" spans="1:4" ht="16.5" hidden="1" x14ac:dyDescent="0.3">
      <c r="A11238" s="10" t="str">
        <f>基本属性!$B$7&amp;"|"&amp;基本属性!$C$7</f>
        <v>60|0</v>
      </c>
      <c r="B11238" s="10" t="str">
        <f>参数调整!$J$41</f>
        <v>新增怪物种类6掉落</v>
      </c>
      <c r="C11238" s="8" t="str">
        <f>材料产出!$AD$2</f>
        <v>凡品升星石</v>
      </c>
      <c r="D11238" s="224">
        <f>参数调整!$K$41*怪物掉落配置方案!$D5082</f>
        <v>5.1460970219930555E-2</v>
      </c>
    </row>
    <row r="11239" spans="1:4" ht="16.5" hidden="1" x14ac:dyDescent="0.3">
      <c r="A11239" s="10" t="str">
        <f>基本属性!$B$8&amp;"|"&amp;基本属性!$C$8</f>
        <v>65|0</v>
      </c>
      <c r="B11239" s="10" t="str">
        <f>参数调整!$J$41</f>
        <v>新增怪物种类6掉落</v>
      </c>
      <c r="C11239" s="8" t="str">
        <f>材料产出!$AD$2</f>
        <v>凡品升星石</v>
      </c>
      <c r="D11239" s="224">
        <f>参数调整!$K$41*怪物掉落配置方案!$D5083</f>
        <v>6.1242807534462804E-2</v>
      </c>
    </row>
    <row r="11240" spans="1:4" ht="16.5" hidden="1" x14ac:dyDescent="0.3">
      <c r="A11240" s="10" t="str">
        <f>基本属性!$B$9&amp;"|"&amp;基本属性!$C$9</f>
        <v>70|0</v>
      </c>
      <c r="B11240" s="10" t="str">
        <f>参数调整!$J$41</f>
        <v>新增怪物种类6掉落</v>
      </c>
      <c r="C11240" s="8" t="str">
        <f>材料产出!$AD$2</f>
        <v>凡品升星石</v>
      </c>
      <c r="D11240" s="224">
        <f>参数调整!$K$41*怪物掉落配置方案!$D5084</f>
        <v>7.1875239398084823E-2</v>
      </c>
    </row>
    <row r="11241" spans="1:4" ht="16.5" hidden="1" x14ac:dyDescent="0.3">
      <c r="A11241" s="10" t="str">
        <f>基本属性!$B$10&amp;"|"&amp;基本属性!$C$10</f>
        <v>75|0</v>
      </c>
      <c r="B11241" s="10" t="str">
        <f>参数调整!$J$41</f>
        <v>新增怪物种类6掉落</v>
      </c>
      <c r="C11241" s="8" t="str">
        <f>材料产出!$AD$2</f>
        <v>凡品升星石</v>
      </c>
      <c r="D11241" s="224">
        <f>参数调整!$K$41*怪物掉落配置方案!$D5085</f>
        <v>8.3358265810796583E-2</v>
      </c>
    </row>
    <row r="11242" spans="1:4" ht="16.5" hidden="1" x14ac:dyDescent="0.3">
      <c r="A11242" s="10" t="str">
        <f>基本属性!$B$11&amp;"|"&amp;基本属性!$C$11</f>
        <v>80|1</v>
      </c>
      <c r="B11242" s="10" t="str">
        <f>参数调整!$J$41</f>
        <v>新增怪物种类6掉落</v>
      </c>
      <c r="C11242" s="8" t="str">
        <f>材料产出!$AD$2</f>
        <v>凡品升星石</v>
      </c>
      <c r="D11242" s="224">
        <f>参数调整!$K$41*怪物掉落配置方案!$D5086</f>
        <v>9.5691886772598128E-2</v>
      </c>
    </row>
    <row r="11243" spans="1:4" ht="16.5" hidden="1" x14ac:dyDescent="0.3">
      <c r="A11243" s="10" t="str">
        <f>基本属性!$B$12&amp;"|"&amp;基本属性!$C$12</f>
        <v>90|2</v>
      </c>
      <c r="B11243" s="10" t="str">
        <f>参数调整!$J$41</f>
        <v>新增怪物种类6掉落</v>
      </c>
      <c r="C11243" s="8" t="str">
        <f>材料产出!$AD$2</f>
        <v>凡品升星石</v>
      </c>
      <c r="D11243" s="224">
        <f>参数调整!$K$41*怪物掉落配置方案!$D5087</f>
        <v>0.10887610228348946</v>
      </c>
    </row>
    <row r="11244" spans="1:4" ht="16.5" hidden="1" x14ac:dyDescent="0.3">
      <c r="A11244" s="10" t="str">
        <f>基本属性!$B$13&amp;"|"&amp;基本属性!$C$13</f>
        <v>100|3</v>
      </c>
      <c r="B11244" s="10" t="str">
        <f>参数调整!$J$41</f>
        <v>新增怪物种类6掉落</v>
      </c>
      <c r="C11244" s="8" t="str">
        <f>材料产出!$AD$2</f>
        <v>凡品升星石</v>
      </c>
      <c r="D11244" s="224">
        <f>参数调整!$K$41*怪物掉落配置方案!$D5088</f>
        <v>0.13779631695254135</v>
      </c>
    </row>
    <row r="11245" spans="1:4" ht="16.5" hidden="1" x14ac:dyDescent="0.3">
      <c r="A11245" s="10" t="str">
        <f>基本属性!$B$14&amp;"|"&amp;基本属性!$C$14</f>
        <v>105|4</v>
      </c>
      <c r="B11245" s="10" t="str">
        <f>参数调整!$J$41</f>
        <v>新增怪物种类6掉落</v>
      </c>
      <c r="C11245" s="8" t="str">
        <f>材料产出!$AD$2</f>
        <v>凡品升星石</v>
      </c>
      <c r="D11245" s="224">
        <f>参数调整!$K$41*怪物掉落配置方案!$D5089</f>
        <v>0.17011890981795222</v>
      </c>
    </row>
    <row r="11246" spans="1:4" ht="16.5" hidden="1" x14ac:dyDescent="0.3">
      <c r="A11246" s="10" t="str">
        <f>基本属性!$B$15&amp;"|"&amp;基本属性!$C$15</f>
        <v>110|5</v>
      </c>
      <c r="B11246" s="10" t="str">
        <f>参数调整!$J$41</f>
        <v>新增怪物种类6掉落</v>
      </c>
      <c r="C11246" s="8" t="str">
        <f>材料产出!$AD$2</f>
        <v>凡品升星石</v>
      </c>
      <c r="D11246" s="224">
        <f>参数调整!$K$41*怪物掉落配置方案!$D5090</f>
        <v>0.20584388087972222</v>
      </c>
    </row>
    <row r="11247" spans="1:4" ht="16.5" hidden="1" x14ac:dyDescent="0.3">
      <c r="A11247" s="10" t="str">
        <f>基本属性!$B$16&amp;"|"&amp;基本属性!$C$16</f>
        <v>120|6</v>
      </c>
      <c r="B11247" s="10" t="str">
        <f>参数调整!$J$41</f>
        <v>新增怪物种类6掉落</v>
      </c>
      <c r="C11247" s="8" t="str">
        <f>材料产出!$AD$2</f>
        <v>凡品升星石</v>
      </c>
      <c r="D11247" s="224">
        <f>参数调整!$K$41*怪物掉落配置方案!$D5091</f>
        <v>0.2658107965905504</v>
      </c>
    </row>
    <row r="11248" spans="1:4" ht="16.5" hidden="1" x14ac:dyDescent="0.3">
      <c r="A11248" s="10" t="str">
        <f>基本属性!$B$17&amp;"|"&amp;基本属性!$C$17</f>
        <v>135|7</v>
      </c>
      <c r="B11248" s="10" t="str">
        <f>参数调整!$J$41</f>
        <v>新增怪物种类6掉落</v>
      </c>
      <c r="C11248" s="8" t="str">
        <f>材料产出!$AD$2</f>
        <v>凡品升星石</v>
      </c>
      <c r="D11248" s="224">
        <f>参数调整!$K$41*怪物掉落配置方案!$D5092</f>
        <v>0.38276754709039251</v>
      </c>
    </row>
    <row r="11249" spans="1:4" ht="16.5" hidden="1" x14ac:dyDescent="0.3">
      <c r="A11249" s="10" t="str">
        <f>基本属性!$B$18&amp;"|"&amp;基本属性!$C$18</f>
        <v>155|8</v>
      </c>
      <c r="B11249" s="10" t="str">
        <f>参数调整!$J$41</f>
        <v>新增怪物种类6掉落</v>
      </c>
      <c r="C11249" s="8" t="str">
        <f>材料产出!$AD$2</f>
        <v>凡品升星石</v>
      </c>
      <c r="D11249" s="224">
        <f>参数调整!$K$41*怪物掉落配置方案!$D5093</f>
        <v>0.52098916131747885</v>
      </c>
    </row>
    <row r="11250" spans="1:4" ht="16.5" hidden="1" x14ac:dyDescent="0.3">
      <c r="A11250" s="10" t="str">
        <f>基本属性!$B$19&amp;"|"&amp;基本属性!$C$19</f>
        <v>190|9</v>
      </c>
      <c r="B11250" s="10" t="str">
        <f>参数调整!$J$41</f>
        <v>新增怪物种类6掉落</v>
      </c>
      <c r="C11250" s="8" t="str">
        <f>材料产出!$AD$2</f>
        <v>凡品升星石</v>
      </c>
      <c r="D11250" s="224">
        <f>参数调整!$K$41*怪物掉落配置方案!$D5094</f>
        <v>0.58223196885194173</v>
      </c>
    </row>
    <row r="11251" spans="1:4" ht="16.5" hidden="1" x14ac:dyDescent="0.3">
      <c r="A11251" s="10" t="str">
        <f>基本属性!$B$20&amp;"|"&amp;基本属性!$C$20</f>
        <v>200|10</v>
      </c>
      <c r="B11251" s="10" t="str">
        <f>参数调整!$J$41</f>
        <v>新增怪物种类6掉落</v>
      </c>
      <c r="C11251" s="8" t="str">
        <f>材料产出!$AD$2</f>
        <v>凡品升星石</v>
      </c>
      <c r="D11251" s="224">
        <f>参数调整!$K$41*怪物掉落配置方案!$D5095</f>
        <v>0.68047563927180887</v>
      </c>
    </row>
    <row r="11252" spans="1:4" ht="16.5" hidden="1" x14ac:dyDescent="0.3">
      <c r="A11252" s="10" t="str">
        <f>基本属性!$B$21&amp;"|"&amp;基本属性!$C$21</f>
        <v>200|11</v>
      </c>
      <c r="B11252" s="10" t="str">
        <f>参数调整!$J$41</f>
        <v>新增怪物种类6掉落</v>
      </c>
      <c r="C11252" s="8" t="str">
        <f>材料产出!$AD$2</f>
        <v>凡品升星石</v>
      </c>
      <c r="D11252" s="224">
        <f>参数调整!$K$41*怪物掉落配置方案!$D5096</f>
        <v>0.78637466063348405</v>
      </c>
    </row>
    <row r="11253" spans="1:4" ht="16.5" hidden="1" x14ac:dyDescent="0.3">
      <c r="A11253" s="10" t="str">
        <f>基本属性!$B$22&amp;"|"&amp;基本属性!$C$22</f>
        <v>210|12</v>
      </c>
      <c r="B11253" s="10" t="str">
        <f>参数调整!$J$41</f>
        <v>新增怪物种类6掉落</v>
      </c>
      <c r="C11253" s="8" t="str">
        <f>材料产出!$AD$2</f>
        <v>凡品升星石</v>
      </c>
      <c r="D11253" s="224">
        <f>参数调整!$K$41*怪物掉落配置方案!$D5097</f>
        <v>0.89992903293696713</v>
      </c>
    </row>
    <row r="11254" spans="1:4" ht="16.5" hidden="1" x14ac:dyDescent="0.3">
      <c r="A11254" s="10" t="str">
        <f>基本属性!$B$23&amp;"|"&amp;基本属性!$C$23</f>
        <v>210|13</v>
      </c>
      <c r="B11254" s="10" t="str">
        <f>参数调整!$J$41</f>
        <v>新增怪物种类6掉落</v>
      </c>
      <c r="C11254" s="8" t="str">
        <f>材料产出!$AD$2</f>
        <v>凡品升星石</v>
      </c>
      <c r="D11254" s="224">
        <f>参数调整!$K$41*怪物掉落配置方案!$D5098</f>
        <v>1.0211387561822582</v>
      </c>
    </row>
    <row r="11255" spans="1:4" ht="16.5" hidden="1" x14ac:dyDescent="0.3">
      <c r="A11255" s="10" t="str">
        <f>基本属性!$B$24&amp;"|"&amp;基本属性!$C$24</f>
        <v>220|14</v>
      </c>
      <c r="B11255" s="10" t="str">
        <f>参数调整!$J$41</f>
        <v>新增怪物种类6掉落</v>
      </c>
      <c r="C11255" s="8" t="str">
        <f>材料产出!$AD$2</f>
        <v>凡品升星石</v>
      </c>
      <c r="D11255" s="224">
        <f>参数调整!$K$41*怪物掉落配置方案!$D5099</f>
        <v>1.1500038303693572</v>
      </c>
    </row>
    <row r="11256" spans="1:4" ht="16.5" hidden="1" x14ac:dyDescent="0.3">
      <c r="A11256" s="10" t="str">
        <f>基本属性!$B$25&amp;"|"&amp;基本属性!$C$25</f>
        <v>220|15</v>
      </c>
      <c r="B11256" s="10" t="str">
        <f>参数调整!$J$41</f>
        <v>新增怪物种类6掉落</v>
      </c>
      <c r="C11256" s="8" t="str">
        <f>材料产出!$AD$2</f>
        <v>凡品升星石</v>
      </c>
      <c r="D11256" s="224">
        <f>参数调整!$K$41*怪物掉落配置方案!$D5100</f>
        <v>1.2865242554982634</v>
      </c>
    </row>
    <row r="11257" spans="1:4" ht="16.5" hidden="1" x14ac:dyDescent="0.3">
      <c r="A11257" s="10" t="str">
        <f>基本属性!$B$26&amp;"|"&amp;基本属性!$C$26</f>
        <v>230|16</v>
      </c>
      <c r="B11257" s="10" t="str">
        <f>参数调整!$J$41</f>
        <v>新增怪物种类6掉落</v>
      </c>
      <c r="C11257" s="8" t="str">
        <f>材料产出!$AD$2</f>
        <v>凡品升星石</v>
      </c>
      <c r="D11257" s="224">
        <f>参数调整!$K$41*怪物掉落配置方案!$D5101</f>
        <v>1.4307000315689782</v>
      </c>
    </row>
    <row r="11258" spans="1:4" ht="16.5" hidden="1" x14ac:dyDescent="0.3">
      <c r="A11258" s="10" t="str">
        <f>基本属性!$B$27&amp;"|"&amp;基本属性!$C$27</f>
        <v>230|17</v>
      </c>
      <c r="B11258" s="10" t="str">
        <f>参数调整!$J$41</f>
        <v>新增怪物种类6掉落</v>
      </c>
      <c r="C11258" s="8" t="str">
        <f>材料产出!$AD$2</f>
        <v>凡品升星石</v>
      </c>
      <c r="D11258" s="224">
        <f>参数调整!$K$41*怪物掉落配置方案!$D5102</f>
        <v>1.5825311585815005</v>
      </c>
    </row>
    <row r="11259" spans="1:4" ht="16.5" hidden="1" x14ac:dyDescent="0.3">
      <c r="A11259" s="10" t="str">
        <f>基本属性!$B$28&amp;"|"&amp;基本属性!$C$28</f>
        <v>240|18</v>
      </c>
      <c r="B11259" s="10" t="str">
        <f>参数调整!$J$41</f>
        <v>新增怪物种类6掉落</v>
      </c>
      <c r="C11259" s="8" t="str">
        <f>材料产出!$AD$2</f>
        <v>凡品升星石</v>
      </c>
      <c r="D11259" s="224">
        <f>参数调整!$K$41*怪物掉落配置方案!$D5103</f>
        <v>1.7420176365358311</v>
      </c>
    </row>
    <row r="11260" spans="1:4" ht="16.5" hidden="1" x14ac:dyDescent="0.3">
      <c r="A11260" s="10" t="str">
        <f>基本属性!$B$29&amp;"|"&amp;基本属性!$C$29</f>
        <v>240|19</v>
      </c>
      <c r="B11260" s="10" t="str">
        <f>参数调整!$J$41</f>
        <v>新增怪物种类6掉落</v>
      </c>
      <c r="C11260" s="8" t="str">
        <f>材料产出!$AD$2</f>
        <v>凡品升星石</v>
      </c>
      <c r="D11260" s="224">
        <f>参数调整!$K$41*怪物掉落配置方案!$D5104</f>
        <v>1.9091594654319692</v>
      </c>
    </row>
    <row r="11261" spans="1:4" ht="16.5" hidden="1" x14ac:dyDescent="0.3">
      <c r="A11261" s="10" t="str">
        <f>基本属性!$B$30&amp;"|"&amp;基本属性!$C$30</f>
        <v>250|20</v>
      </c>
      <c r="B11261" s="10" t="str">
        <f>参数调整!$J$41</f>
        <v>新增怪物种类6掉落</v>
      </c>
      <c r="C11261" s="8" t="str">
        <f>材料产出!$AD$2</f>
        <v>凡品升星石</v>
      </c>
      <c r="D11261" s="224">
        <f>参数调整!$K$41*怪物掉落配置方案!$D5105</f>
        <v>2.0839566452699145</v>
      </c>
    </row>
    <row r="11262" spans="1:4" ht="16.5" hidden="1" x14ac:dyDescent="0.3">
      <c r="A11262" s="10" t="str">
        <f>基本属性!$B$4&amp;"|"&amp;基本属性!$C$4</f>
        <v>35|0</v>
      </c>
      <c r="B11262" s="10" t="str">
        <f>参数调整!$J$41</f>
        <v>新增怪物种类6掉落</v>
      </c>
      <c r="C11262" s="8" t="str">
        <f>材料产出!$Z$2</f>
        <v>恶魔头颅</v>
      </c>
      <c r="D11262" s="224">
        <f>参数调整!$K$41*怪物掉落配置方案!$D5106</f>
        <v>3.5444606377789496E-3</v>
      </c>
    </row>
    <row r="11263" spans="1:4" ht="16.5" hidden="1" x14ac:dyDescent="0.3">
      <c r="A11263" s="10" t="str">
        <f>基本属性!$B$5&amp;"|"&amp;基本属性!$C$5</f>
        <v>40|0</v>
      </c>
      <c r="B11263" s="10" t="str">
        <f>参数调整!$J$41</f>
        <v>新增怪物种类6掉落</v>
      </c>
      <c r="C11263" s="8" t="str">
        <f>材料产出!$Z$2</f>
        <v>恶魔头颅</v>
      </c>
      <c r="D11263" s="224">
        <f>参数调整!$K$41*怪物掉落配置方案!$D5107</f>
        <v>4.4859579946889836E-3</v>
      </c>
    </row>
    <row r="11264" spans="1:4" ht="16.5" hidden="1" x14ac:dyDescent="0.3">
      <c r="A11264" s="10" t="str">
        <f>基本属性!$B$6&amp;"|"&amp;基本属性!$C$6</f>
        <v>50|0</v>
      </c>
      <c r="B11264" s="10" t="str">
        <f>参数调整!$J$41</f>
        <v>新增怪物种类6掉落</v>
      </c>
      <c r="C11264" s="8" t="str">
        <f>材料产出!$Z$2</f>
        <v>恶魔头颅</v>
      </c>
      <c r="D11264" s="224">
        <f>参数调整!$K$41*怪物掉落配置方案!$D5108</f>
        <v>5.5382197465296086E-3</v>
      </c>
    </row>
    <row r="11265" spans="1:4" ht="16.5" hidden="1" x14ac:dyDescent="0.3">
      <c r="A11265" s="10" t="str">
        <f>基本属性!$B$7&amp;"|"&amp;基本属性!$C$7</f>
        <v>60|0</v>
      </c>
      <c r="B11265" s="10" t="str">
        <f>参数调整!$J$41</f>
        <v>新增怪物种类6掉落</v>
      </c>
      <c r="C11265" s="8" t="str">
        <f>材料产出!$Z$2</f>
        <v>恶魔头颅</v>
      </c>
      <c r="D11265" s="224">
        <f>参数调整!$K$41*怪物掉落配置方案!$D5109</f>
        <v>6.701245893300828E-3</v>
      </c>
    </row>
    <row r="11266" spans="1:4" ht="16.5" hidden="1" x14ac:dyDescent="0.3">
      <c r="A11266" s="10" t="str">
        <f>基本属性!$B$8&amp;"|"&amp;基本属性!$C$8</f>
        <v>65|0</v>
      </c>
      <c r="B11266" s="10" t="str">
        <f>参数调整!$J$41</f>
        <v>新增怪物种类6掉落</v>
      </c>
      <c r="C11266" s="8" t="str">
        <f>材料产出!$Z$2</f>
        <v>恶魔头颅</v>
      </c>
      <c r="D11266" s="224">
        <f>参数调整!$K$41*怪物掉落配置方案!$D5110</f>
        <v>7.9750364350026377E-3</v>
      </c>
    </row>
    <row r="11267" spans="1:4" ht="16.5" hidden="1" x14ac:dyDescent="0.3">
      <c r="A11267" s="10" t="str">
        <f>基本属性!$B$9&amp;"|"&amp;基本属性!$C$9</f>
        <v>70|0</v>
      </c>
      <c r="B11267" s="10" t="str">
        <f>参数调整!$J$41</f>
        <v>新增怪物种类6掉落</v>
      </c>
      <c r="C11267" s="8" t="str">
        <f>材料产出!$Z$2</f>
        <v>恶魔头颅</v>
      </c>
      <c r="D11267" s="224">
        <f>参数调整!$K$41*怪物掉落配置方案!$D5111</f>
        <v>9.3595913716350392E-3</v>
      </c>
    </row>
    <row r="11268" spans="1:4" ht="16.5" hidden="1" x14ac:dyDescent="0.3">
      <c r="A11268" s="10" t="str">
        <f>基本属性!$B$10&amp;"|"&amp;基本属性!$C$10</f>
        <v>75|0</v>
      </c>
      <c r="B11268" s="10" t="str">
        <f>参数调整!$J$41</f>
        <v>新增怪物种类6掉落</v>
      </c>
      <c r="C11268" s="8" t="str">
        <f>材料产出!$Z$2</f>
        <v>恶魔头颅</v>
      </c>
      <c r="D11268" s="224">
        <f>参数调整!$K$41*怪物掉落配置方案!$D5112</f>
        <v>1.0854910703198033E-2</v>
      </c>
    </row>
    <row r="11269" spans="1:4" ht="16.5" hidden="1" x14ac:dyDescent="0.3">
      <c r="A11269" s="10" t="str">
        <f>基本属性!$B$11&amp;"|"&amp;基本属性!$C$11</f>
        <v>80|1</v>
      </c>
      <c r="B11269" s="10" t="str">
        <f>参数调整!$J$41</f>
        <v>新增怪物种类6掉落</v>
      </c>
      <c r="C11269" s="8" t="str">
        <f>材料产出!$Z$2</f>
        <v>恶魔头颅</v>
      </c>
      <c r="D11269" s="224">
        <f>参数调整!$K$41*怪物掉落配置方案!$D5113</f>
        <v>1.2460994429691622E-2</v>
      </c>
    </row>
    <row r="11270" spans="1:4" ht="16.5" hidden="1" x14ac:dyDescent="0.3">
      <c r="A11270" s="10" t="str">
        <f>基本属性!$B$12&amp;"|"&amp;基本属性!$C$12</f>
        <v>90|2</v>
      </c>
      <c r="B11270" s="10" t="str">
        <f>参数调整!$J$41</f>
        <v>新增怪物种类6掉落</v>
      </c>
      <c r="C11270" s="8" t="str">
        <f>材料产出!$Z$2</f>
        <v>恶魔头颅</v>
      </c>
      <c r="D11270" s="224">
        <f>参数调整!$K$41*怪物掉落配置方案!$D5114</f>
        <v>1.4177842551115802E-2</v>
      </c>
    </row>
    <row r="11271" spans="1:4" ht="16.5" hidden="1" x14ac:dyDescent="0.3">
      <c r="A11271" s="10" t="str">
        <f>基本属性!$B$13&amp;"|"&amp;基本属性!$C$13</f>
        <v>100|3</v>
      </c>
      <c r="B11271" s="10" t="str">
        <f>参数调整!$J$41</f>
        <v>新增怪物种类6掉落</v>
      </c>
      <c r="C11271" s="8" t="str">
        <f>材料产出!$Z$2</f>
        <v>恶魔头颅</v>
      </c>
      <c r="D11271" s="224">
        <f>参数调整!$K$41*怪物掉落配置方案!$D5115</f>
        <v>1.7943831978755938E-2</v>
      </c>
    </row>
    <row r="11272" spans="1:4" ht="16.5" hidden="1" x14ac:dyDescent="0.3">
      <c r="A11272" s="10" t="str">
        <f>基本属性!$B$14&amp;"|"&amp;基本属性!$C$14</f>
        <v>105|4</v>
      </c>
      <c r="B11272" s="10" t="str">
        <f>参数调整!$J$41</f>
        <v>新增怪物种类6掉落</v>
      </c>
      <c r="C11272" s="8" t="str">
        <f>材料产出!$Z$2</f>
        <v>恶魔头颅</v>
      </c>
      <c r="D11272" s="224">
        <f>参数调整!$K$41*怪物掉落配置方案!$D5116</f>
        <v>2.2152878986118434E-2</v>
      </c>
    </row>
    <row r="11273" spans="1:4" ht="16.5" hidden="1" x14ac:dyDescent="0.3">
      <c r="A11273" s="10" t="str">
        <f>基本属性!$B$15&amp;"|"&amp;基本属性!$C$15</f>
        <v>110|5</v>
      </c>
      <c r="B11273" s="10" t="str">
        <f>参数调整!$J$41</f>
        <v>新增怪物种类6掉落</v>
      </c>
      <c r="C11273" s="8" t="str">
        <f>材料产出!$Z$2</f>
        <v>恶魔头颅</v>
      </c>
      <c r="D11273" s="224">
        <f>参数调整!$K$41*怪物掉落配置方案!$D5117</f>
        <v>2.6804983573203312E-2</v>
      </c>
    </row>
    <row r="11274" spans="1:4" ht="16.5" hidden="1" x14ac:dyDescent="0.3">
      <c r="A11274" s="10" t="str">
        <f>基本属性!$B$16&amp;"|"&amp;基本属性!$C$16</f>
        <v>120|6</v>
      </c>
      <c r="B11274" s="10" t="str">
        <f>参数调整!$J$41</f>
        <v>新增怪物种类6掉落</v>
      </c>
      <c r="C11274" s="8" t="str">
        <f>材料产出!$Z$2</f>
        <v>恶魔头颅</v>
      </c>
      <c r="D11274" s="224">
        <f>参数调整!$K$41*怪物掉落配置方案!$D5118</f>
        <v>3.4613873415810056E-2</v>
      </c>
    </row>
    <row r="11275" spans="1:4" ht="16.5" hidden="1" x14ac:dyDescent="0.3">
      <c r="A11275" s="10" t="str">
        <f>基本属性!$B$17&amp;"|"&amp;基本属性!$C$17</f>
        <v>135|7</v>
      </c>
      <c r="B11275" s="10" t="str">
        <f>参数调整!$J$41</f>
        <v>新增怪物种类6掉落</v>
      </c>
      <c r="C11275" s="8" t="str">
        <f>材料产出!$Z$2</f>
        <v>恶魔头颅</v>
      </c>
      <c r="D11275" s="224">
        <f>参数调整!$K$41*怪物掉落配置方案!$D5119</f>
        <v>4.9843977718766488E-2</v>
      </c>
    </row>
    <row r="11276" spans="1:4" ht="16.5" hidden="1" x14ac:dyDescent="0.3">
      <c r="A11276" s="10" t="str">
        <f>基本属性!$B$18&amp;"|"&amp;基本属性!$C$18</f>
        <v>155|8</v>
      </c>
      <c r="B11276" s="10" t="str">
        <f>参数调整!$J$41</f>
        <v>新增怪物种类6掉落</v>
      </c>
      <c r="C11276" s="8" t="str">
        <f>材料产出!$Z$2</f>
        <v>恶魔头颅</v>
      </c>
      <c r="D11276" s="224">
        <f>参数调整!$K$41*怪物掉落配置方案!$D5120</f>
        <v>6.784319189498772E-2</v>
      </c>
    </row>
    <row r="11277" spans="1:4" ht="16.5" hidden="1" x14ac:dyDescent="0.3">
      <c r="A11277" s="10" t="str">
        <f>基本属性!$B$19&amp;"|"&amp;基本属性!$C$19</f>
        <v>190|9</v>
      </c>
      <c r="B11277" s="10" t="str">
        <f>参数调整!$J$41</f>
        <v>新增怪物种类6掉落</v>
      </c>
      <c r="C11277" s="8" t="str">
        <f>材料产出!$Z$2</f>
        <v>恶魔头颅</v>
      </c>
      <c r="D11277" s="224">
        <f>参数调整!$K$41*怪物掉落配置方案!$D5121</f>
        <v>7.5818228329990356E-2</v>
      </c>
    </row>
    <row r="11278" spans="1:4" ht="16.5" hidden="1" x14ac:dyDescent="0.3">
      <c r="A11278" s="10" t="str">
        <f>基本属性!$B$20&amp;"|"&amp;基本属性!$C$20</f>
        <v>200|10</v>
      </c>
      <c r="B11278" s="10" t="str">
        <f>参数调整!$J$41</f>
        <v>新增怪物种类6掉落</v>
      </c>
      <c r="C11278" s="8" t="str">
        <f>材料产出!$Z$2</f>
        <v>恶魔头颅</v>
      </c>
      <c r="D11278" s="224">
        <f>参数调整!$K$41*怪物掉落配置方案!$D5122</f>
        <v>8.8611515944473737E-2</v>
      </c>
    </row>
    <row r="11279" spans="1:4" ht="16.5" hidden="1" x14ac:dyDescent="0.3">
      <c r="A11279" s="10" t="str">
        <f>基本属性!$B$21&amp;"|"&amp;基本属性!$C$21</f>
        <v>200|11</v>
      </c>
      <c r="B11279" s="10" t="str">
        <f>参数调整!$J$41</f>
        <v>新增怪物种类6掉落</v>
      </c>
      <c r="C11279" s="8" t="str">
        <f>材料产出!$Z$2</f>
        <v>恶魔头颅</v>
      </c>
      <c r="D11279" s="224">
        <f>参数调整!$K$41*怪物掉落配置方案!$D5123</f>
        <v>0.10240168311333245</v>
      </c>
    </row>
    <row r="11280" spans="1:4" ht="16.5" hidden="1" x14ac:dyDescent="0.3">
      <c r="A11280" s="10" t="str">
        <f>基本属性!$B$22&amp;"|"&amp;基本属性!$C$22</f>
        <v>210|12</v>
      </c>
      <c r="B11280" s="10" t="str">
        <f>参数调整!$J$41</f>
        <v>新增怪物种类6掉落</v>
      </c>
      <c r="C11280" s="8" t="str">
        <f>材料产出!$Z$2</f>
        <v>恶魔头颅</v>
      </c>
      <c r="D11280" s="224">
        <f>参数调整!$K$41*怪物掉落配置方案!$D5124</f>
        <v>0.1171887298365665</v>
      </c>
    </row>
    <row r="11281" spans="1:4" ht="16.5" hidden="1" x14ac:dyDescent="0.3">
      <c r="A11281" s="10" t="str">
        <f>基本属性!$B$23&amp;"|"&amp;基本属性!$C$23</f>
        <v>210|13</v>
      </c>
      <c r="B11281" s="10" t="str">
        <f>参数调整!$J$41</f>
        <v>新增怪物种类6掉落</v>
      </c>
      <c r="C11281" s="8" t="str">
        <f>材料产出!$Z$2</f>
        <v>恶魔头颅</v>
      </c>
      <c r="D11281" s="224">
        <f>参数调整!$K$41*怪物掉落配置方案!$D5125</f>
        <v>0.13297265611417594</v>
      </c>
    </row>
    <row r="11282" spans="1:4" ht="16.5" hidden="1" x14ac:dyDescent="0.3">
      <c r="A11282" s="10" t="str">
        <f>基本属性!$B$24&amp;"|"&amp;基本属性!$C$24</f>
        <v>220|14</v>
      </c>
      <c r="B11282" s="10" t="str">
        <f>参数调整!$J$41</f>
        <v>新增怪物种类6掉落</v>
      </c>
      <c r="C11282" s="8" t="str">
        <f>材料产出!$Z$2</f>
        <v>恶魔头颅</v>
      </c>
      <c r="D11282" s="224">
        <f>参数调整!$K$41*怪物掉落配置方案!$D5126</f>
        <v>0.14975346194616063</v>
      </c>
    </row>
    <row r="11283" spans="1:4" ht="16.5" hidden="1" x14ac:dyDescent="0.3">
      <c r="A11283" s="10" t="str">
        <f>基本属性!$B$25&amp;"|"&amp;基本属性!$C$25</f>
        <v>220|15</v>
      </c>
      <c r="B11283" s="10" t="str">
        <f>参数调整!$J$41</f>
        <v>新增怪物种类6掉落</v>
      </c>
      <c r="C11283" s="8" t="str">
        <f>材料产出!$Z$2</f>
        <v>恶魔头颅</v>
      </c>
      <c r="D11283" s="224">
        <f>参数调整!$K$41*怪物掉落配置方案!$D5127</f>
        <v>0.16753114733252067</v>
      </c>
    </row>
    <row r="11284" spans="1:4" ht="16.5" hidden="1" x14ac:dyDescent="0.3">
      <c r="A11284" s="10" t="str">
        <f>基本属性!$B$26&amp;"|"&amp;基本属性!$C$26</f>
        <v>230|16</v>
      </c>
      <c r="B11284" s="10" t="str">
        <f>参数调整!$J$41</f>
        <v>新增怪物种类6掉落</v>
      </c>
      <c r="C11284" s="8" t="str">
        <f>材料产出!$Z$2</f>
        <v>恶魔头颅</v>
      </c>
      <c r="D11284" s="224">
        <f>参数调整!$K$41*怪物掉落配置方案!$D5128</f>
        <v>0.18630571227325604</v>
      </c>
    </row>
    <row r="11285" spans="1:4" ht="16.5" hidden="1" x14ac:dyDescent="0.3">
      <c r="A11285" s="10" t="str">
        <f>基本属性!$B$27&amp;"|"&amp;基本属性!$C$27</f>
        <v>230|17</v>
      </c>
      <c r="B11285" s="10" t="str">
        <f>参数调整!$J$41</f>
        <v>新增怪物种类6掉落</v>
      </c>
      <c r="C11285" s="8" t="str">
        <f>材料产出!$Z$2</f>
        <v>恶魔头颅</v>
      </c>
      <c r="D11285" s="224">
        <f>参数调整!$K$41*怪物掉落配置方案!$D5129</f>
        <v>0.20607715676836674</v>
      </c>
    </row>
    <row r="11286" spans="1:4" ht="16.5" hidden="1" x14ac:dyDescent="0.3">
      <c r="A11286" s="10" t="str">
        <f>基本属性!$B$28&amp;"|"&amp;基本属性!$C$28</f>
        <v>240|18</v>
      </c>
      <c r="B11286" s="10" t="str">
        <f>参数调整!$J$41</f>
        <v>新增怪物种类6掉落</v>
      </c>
      <c r="C11286" s="8" t="str">
        <f>材料产出!$Z$2</f>
        <v>恶魔头颅</v>
      </c>
      <c r="D11286" s="224">
        <f>参数调整!$K$41*怪物掉落配置方案!$D5130</f>
        <v>0.22684548081785283</v>
      </c>
    </row>
    <row r="11287" spans="1:4" ht="16.5" hidden="1" x14ac:dyDescent="0.3">
      <c r="A11287" s="10" t="str">
        <f>基本属性!$B$29&amp;"|"&amp;基本属性!$C$29</f>
        <v>240|19</v>
      </c>
      <c r="B11287" s="10" t="str">
        <f>参数调整!$J$41</f>
        <v>新增怪物种类6掉落</v>
      </c>
      <c r="C11287" s="8" t="str">
        <f>材料产出!$Z$2</f>
        <v>恶魔头颅</v>
      </c>
      <c r="D11287" s="224">
        <f>参数调整!$K$41*怪物掉落配置方案!$D5131</f>
        <v>0.24861068442171419</v>
      </c>
    </row>
    <row r="11288" spans="1:4" ht="16.5" hidden="1" x14ac:dyDescent="0.3">
      <c r="A11288" s="10" t="str">
        <f>基本属性!$B$30&amp;"|"&amp;基本属性!$C$30</f>
        <v>250|20</v>
      </c>
      <c r="B11288" s="10" t="str">
        <f>参数调整!$J$41</f>
        <v>新增怪物种类6掉落</v>
      </c>
      <c r="C11288" s="8" t="str">
        <f>材料产出!$Z$2</f>
        <v>恶魔头颅</v>
      </c>
      <c r="D11288" s="224">
        <f>参数调整!$K$41*怪物掉落配置方案!$D5132</f>
        <v>0.27137276757995082</v>
      </c>
    </row>
    <row r="11289" spans="1:4" ht="16.5" hidden="1" x14ac:dyDescent="0.3">
      <c r="A11289" s="10" t="str">
        <f>基本属性!$B$4&amp;"|"&amp;基本属性!$C$4</f>
        <v>35|0</v>
      </c>
      <c r="B11289" s="10" t="str">
        <f>参数调整!$J$42</f>
        <v>新增怪物种类7掉落</v>
      </c>
      <c r="C11289" s="8" t="str">
        <f>材料产出!$R$2</f>
        <v>转生精华</v>
      </c>
      <c r="D11289" s="224">
        <f>参数调整!$K$42*怪物掉落配置方案!$D4107</f>
        <v>2.7692151796118968E-3</v>
      </c>
    </row>
    <row r="11290" spans="1:4" ht="16.5" hidden="1" x14ac:dyDescent="0.3">
      <c r="A11290" s="10" t="str">
        <f>基本属性!$B$5&amp;"|"&amp;基本属性!$C$5</f>
        <v>40|0</v>
      </c>
      <c r="B11290" s="10" t="str">
        <f>参数调整!$J$42</f>
        <v>新增怪物种类7掉落</v>
      </c>
      <c r="C11290" s="8" t="str">
        <f>材料产出!$R$2</f>
        <v>转生精华</v>
      </c>
      <c r="D11290" s="224">
        <f>参数调整!$K$42*怪物掉落配置方案!$D4108</f>
        <v>3.504787961696306E-3</v>
      </c>
    </row>
    <row r="11291" spans="1:4" ht="16.5" hidden="1" x14ac:dyDescent="0.3">
      <c r="A11291" s="10" t="str">
        <f>基本属性!$B$6&amp;"|"&amp;基本属性!$C$6</f>
        <v>50|0</v>
      </c>
      <c r="B11291" s="10" t="str">
        <f>参数调整!$J$42</f>
        <v>新增怪物种类7掉落</v>
      </c>
      <c r="C11291" s="8" t="str">
        <f>材料产出!$R$2</f>
        <v>转生精华</v>
      </c>
      <c r="D11291" s="224">
        <f>参数调整!$K$42*怪物掉落配置方案!$D4109</f>
        <v>4.3268987181435889E-3</v>
      </c>
    </row>
    <row r="11292" spans="1:4" ht="16.5" hidden="1" x14ac:dyDescent="0.3">
      <c r="A11292" s="10" t="str">
        <f>基本属性!$B$7&amp;"|"&amp;基本属性!$C$7</f>
        <v>60|0</v>
      </c>
      <c r="B11292" s="10" t="str">
        <f>参数调整!$J$42</f>
        <v>新增怪物种类7掉落</v>
      </c>
      <c r="C11292" s="8" t="str">
        <f>材料产出!$R$2</f>
        <v>转生精华</v>
      </c>
      <c r="D11292" s="224">
        <f>参数调整!$K$42*怪物掉落配置方案!$D4110</f>
        <v>5.2355474489537424E-3</v>
      </c>
    </row>
    <row r="11293" spans="1:4" ht="16.5" hidden="1" x14ac:dyDescent="0.3">
      <c r="A11293" s="10" t="str">
        <f>基本属性!$B$8&amp;"|"&amp;基本属性!$C$8</f>
        <v>65|0</v>
      </c>
      <c r="B11293" s="10" t="str">
        <f>参数调整!$J$42</f>
        <v>新增怪物种类7掉落</v>
      </c>
      <c r="C11293" s="8" t="str">
        <f>材料产出!$R$2</f>
        <v>转生精华</v>
      </c>
      <c r="D11293" s="224">
        <f>参数调整!$K$42*怪物掉落配置方案!$D4111</f>
        <v>6.2307341541267668E-3</v>
      </c>
    </row>
    <row r="11294" spans="1:4" ht="16.5" hidden="1" x14ac:dyDescent="0.3">
      <c r="A11294" s="10" t="str">
        <f>基本属性!$B$9&amp;"|"&amp;基本属性!$C$9</f>
        <v>70|0</v>
      </c>
      <c r="B11294" s="10" t="str">
        <f>参数调整!$J$42</f>
        <v>新增怪物种类7掉落</v>
      </c>
      <c r="C11294" s="8" t="str">
        <f>材料产出!$R$2</f>
        <v>转生精华</v>
      </c>
      <c r="D11294" s="224">
        <f>参数调整!$K$42*怪物掉落配置方案!$D4112</f>
        <v>7.3124588336626641E-3</v>
      </c>
    </row>
    <row r="11295" spans="1:4" ht="16.5" hidden="1" x14ac:dyDescent="0.3">
      <c r="A11295" s="10" t="str">
        <f>基本属性!$B$10&amp;"|"&amp;基本属性!$C$10</f>
        <v>75|0</v>
      </c>
      <c r="B11295" s="10" t="str">
        <f>参数调整!$J$42</f>
        <v>新增怪物种类7掉落</v>
      </c>
      <c r="C11295" s="8" t="str">
        <f>材料产出!$R$2</f>
        <v>转生精华</v>
      </c>
      <c r="D11295" s="224">
        <f>参数调整!$K$42*怪物掉落配置方案!$D4113</f>
        <v>8.4807214875614306E-3</v>
      </c>
    </row>
    <row r="11296" spans="1:4" ht="16.5" hidden="1" x14ac:dyDescent="0.3">
      <c r="A11296" s="10" t="str">
        <f>基本属性!$B$11&amp;"|"&amp;基本属性!$C$11</f>
        <v>80|1</v>
      </c>
      <c r="B11296" s="10" t="str">
        <f>参数调整!$J$42</f>
        <v>新增怪物种类7掉落</v>
      </c>
      <c r="C11296" s="8" t="str">
        <f>材料产出!$R$2</f>
        <v>转生精华</v>
      </c>
      <c r="D11296" s="224">
        <f>参数调整!$K$42*怪物掉落配置方案!$D4114</f>
        <v>9.7355221158230733E-3</v>
      </c>
    </row>
    <row r="11297" spans="1:4" ht="16.5" hidden="1" x14ac:dyDescent="0.3">
      <c r="A11297" s="10" t="str">
        <f>基本属性!$B$12&amp;"|"&amp;基本属性!$C$12</f>
        <v>90|2</v>
      </c>
      <c r="B11297" s="10" t="str">
        <f>参数调整!$J$42</f>
        <v>新增怪物种类7掉落</v>
      </c>
      <c r="C11297" s="8" t="str">
        <f>材料产出!$R$2</f>
        <v>转生精华</v>
      </c>
      <c r="D11297" s="224">
        <f>参数调整!$K$42*怪物掉落配置方案!$D4115</f>
        <v>1.107686071844759E-2</v>
      </c>
    </row>
    <row r="11298" spans="1:4" ht="16.5" hidden="1" x14ac:dyDescent="0.3">
      <c r="A11298" s="10" t="str">
        <f>基本属性!$B$13&amp;"|"&amp;基本属性!$C$13</f>
        <v>100|3</v>
      </c>
      <c r="B11298" s="10" t="str">
        <f>参数调整!$J$42</f>
        <v>新增怪物种类7掉落</v>
      </c>
      <c r="C11298" s="8" t="str">
        <f>材料产出!$R$2</f>
        <v>转生精华</v>
      </c>
      <c r="D11298" s="224">
        <f>参数调整!$K$42*怪物掉落配置方案!$D4116</f>
        <v>1.4019151846785228E-2</v>
      </c>
    </row>
    <row r="11299" spans="1:4" ht="16.5" hidden="1" x14ac:dyDescent="0.3">
      <c r="A11299" s="10" t="str">
        <f>基本属性!$B$14&amp;"|"&amp;基本属性!$C$14</f>
        <v>105|4</v>
      </c>
      <c r="B11299" s="10" t="str">
        <f>参数调整!$J$42</f>
        <v>新增怪物种类7掉落</v>
      </c>
      <c r="C11299" s="8" t="str">
        <f>材料产出!$R$2</f>
        <v>转生精华</v>
      </c>
      <c r="D11299" s="224">
        <f>参数调整!$K$42*怪物掉落配置方案!$D4117</f>
        <v>1.7307594872574356E-2</v>
      </c>
    </row>
    <row r="11300" spans="1:4" ht="16.5" hidden="1" x14ac:dyDescent="0.3">
      <c r="A11300" s="10" t="str">
        <f>基本属性!$B$15&amp;"|"&amp;基本属性!$C$15</f>
        <v>110|5</v>
      </c>
      <c r="B11300" s="10" t="str">
        <f>参数调整!$J$42</f>
        <v>新增怪物种类7掉落</v>
      </c>
      <c r="C11300" s="8" t="str">
        <f>材料产出!$R$2</f>
        <v>转生精华</v>
      </c>
      <c r="D11300" s="224">
        <f>参数调整!$K$42*怪物掉落配置方案!$D4118</f>
        <v>2.0942189795814973E-2</v>
      </c>
    </row>
    <row r="11301" spans="1:4" ht="16.5" hidden="1" x14ac:dyDescent="0.3">
      <c r="A11301" s="10" t="str">
        <f>基本属性!$B$16&amp;"|"&amp;基本属性!$C$16</f>
        <v>120|6</v>
      </c>
      <c r="B11301" s="10" t="str">
        <f>参数调整!$J$42</f>
        <v>新增怪物种类7掉落</v>
      </c>
      <c r="C11301" s="8" t="str">
        <f>材料产出!$R$2</f>
        <v>转生精华</v>
      </c>
      <c r="D11301" s="224">
        <f>参数调整!$K$42*怪物掉落配置方案!$D4119</f>
        <v>2.7043116988397425E-2</v>
      </c>
    </row>
    <row r="11302" spans="1:4" ht="16.5" hidden="1" x14ac:dyDescent="0.3">
      <c r="A11302" s="10" t="str">
        <f>基本属性!$B$17&amp;"|"&amp;基本属性!$C$17</f>
        <v>135|7</v>
      </c>
      <c r="B11302" s="10" t="str">
        <f>参数调整!$J$42</f>
        <v>新增怪物种类7掉落</v>
      </c>
      <c r="C11302" s="8" t="str">
        <f>材料产出!$R$2</f>
        <v>转生精华</v>
      </c>
      <c r="D11302" s="224">
        <f>参数调整!$K$42*怪物掉落配置方案!$D4120</f>
        <v>3.8942088463292293E-2</v>
      </c>
    </row>
    <row r="11303" spans="1:4" ht="16.5" hidden="1" x14ac:dyDescent="0.3">
      <c r="A11303" s="10" t="str">
        <f>基本属性!$B$18&amp;"|"&amp;基本属性!$C$18</f>
        <v>155|8</v>
      </c>
      <c r="B11303" s="10" t="str">
        <f>参数调整!$J$42</f>
        <v>新增怪物种类7掉落</v>
      </c>
      <c r="C11303" s="8" t="str">
        <f>材料产出!$R$2</f>
        <v>转生精华</v>
      </c>
      <c r="D11303" s="224">
        <f>参数调整!$K$42*怪物掉落配置方案!$D4121</f>
        <v>5.3004509297258966E-2</v>
      </c>
    </row>
    <row r="11304" spans="1:4" ht="16.5" hidden="1" x14ac:dyDescent="0.3">
      <c r="A11304" s="10" t="str">
        <f>基本属性!$B$19&amp;"|"&amp;基本属性!$C$19</f>
        <v>190|9</v>
      </c>
      <c r="B11304" s="10" t="str">
        <f>参数调整!$J$42</f>
        <v>新增怪物种类7掉落</v>
      </c>
      <c r="C11304" s="8" t="str">
        <f>材料产出!$R$2</f>
        <v>转生精华</v>
      </c>
      <c r="D11304" s="224">
        <f>参数调整!$K$42*怪物掉落配置方案!$D4122</f>
        <v>5.923524345138572E-2</v>
      </c>
    </row>
    <row r="11305" spans="1:4" ht="16.5" hidden="1" x14ac:dyDescent="0.3">
      <c r="A11305" s="10" t="str">
        <f>基本属性!$B$20&amp;"|"&amp;基本属性!$C$20</f>
        <v>200|10</v>
      </c>
      <c r="B11305" s="10" t="str">
        <f>参数调整!$J$42</f>
        <v>新增怪物种类7掉落</v>
      </c>
      <c r="C11305" s="8" t="str">
        <f>材料产出!$R$2</f>
        <v>转生精华</v>
      </c>
      <c r="D11305" s="224">
        <f>参数调整!$K$42*怪物掉落配置方案!$D4123</f>
        <v>6.9230379490297422E-2</v>
      </c>
    </row>
    <row r="11306" spans="1:4" ht="16.5" hidden="1" x14ac:dyDescent="0.3">
      <c r="A11306" s="10" t="str">
        <f>基本属性!$B$21&amp;"|"&amp;基本属性!$C$21</f>
        <v>200|11</v>
      </c>
      <c r="B11306" s="10" t="str">
        <f>参数调整!$J$42</f>
        <v>新增怪物种类7掉落</v>
      </c>
      <c r="C11306" s="8" t="str">
        <f>材料产出!$R$2</f>
        <v>转生精华</v>
      </c>
      <c r="D11306" s="224">
        <f>参数调整!$K$42*怪物掉落配置方案!$D4124</f>
        <v>8.0004357298474937E-2</v>
      </c>
    </row>
    <row r="11307" spans="1:4" ht="16.5" hidden="1" x14ac:dyDescent="0.3">
      <c r="A11307" s="10" t="str">
        <f>基本属性!$B$22&amp;"|"&amp;基本属性!$C$22</f>
        <v>210|12</v>
      </c>
      <c r="B11307" s="10" t="str">
        <f>参数调整!$J$42</f>
        <v>新增怪物种类7掉落</v>
      </c>
      <c r="C11307" s="8" t="str">
        <f>材料产出!$R$2</f>
        <v>转生精华</v>
      </c>
      <c r="D11307" s="224">
        <f>参数调整!$K$42*怪物掉落配置方案!$D4125</f>
        <v>9.15571768759183E-2</v>
      </c>
    </row>
    <row r="11308" spans="1:4" ht="16.5" hidden="1" x14ac:dyDescent="0.3">
      <c r="A11308" s="10" t="str">
        <f>基本属性!$B$23&amp;"|"&amp;基本属性!$C$23</f>
        <v>210|13</v>
      </c>
      <c r="B11308" s="10" t="str">
        <f>参数调整!$J$42</f>
        <v>新增怪物种类7掉落</v>
      </c>
      <c r="C11308" s="8" t="str">
        <f>材料产出!$R$2</f>
        <v>转生精华</v>
      </c>
      <c r="D11308" s="224">
        <f>参数调整!$K$42*怪物掉落配置方案!$D4126</f>
        <v>0.10388883822262757</v>
      </c>
    </row>
    <row r="11309" spans="1:4" ht="16.5" hidden="1" x14ac:dyDescent="0.3">
      <c r="A11309" s="10" t="str">
        <f>基本属性!$B$24&amp;"|"&amp;基本属性!$C$24</f>
        <v>220|14</v>
      </c>
      <c r="B11309" s="10" t="str">
        <f>参数调整!$J$42</f>
        <v>新增怪物种类7掉落</v>
      </c>
      <c r="C11309" s="8" t="str">
        <f>材料产出!$R$2</f>
        <v>转生精华</v>
      </c>
      <c r="D11309" s="224">
        <f>参数调整!$K$42*怪物掉落配置方案!$D4127</f>
        <v>0.11699934133860264</v>
      </c>
    </row>
    <row r="11310" spans="1:4" ht="16.5" hidden="1" x14ac:dyDescent="0.3">
      <c r="A11310" s="10" t="str">
        <f>基本属性!$B$25&amp;"|"&amp;基本属性!$C$25</f>
        <v>220|15</v>
      </c>
      <c r="B11310" s="10" t="str">
        <f>参数调整!$J$42</f>
        <v>新增怪物种类7掉落</v>
      </c>
      <c r="C11310" s="8" t="str">
        <f>材料产出!$R$2</f>
        <v>转生精华</v>
      </c>
      <c r="D11310" s="224">
        <f>参数调整!$K$42*怪物掉落配置方案!$D4128</f>
        <v>0.13088868622384353</v>
      </c>
    </row>
    <row r="11311" spans="1:4" ht="16.5" hidden="1" x14ac:dyDescent="0.3">
      <c r="A11311" s="10" t="str">
        <f>基本属性!$B$26&amp;"|"&amp;基本属性!$C$26</f>
        <v>230|16</v>
      </c>
      <c r="B11311" s="10" t="str">
        <f>参数调整!$J$42</f>
        <v>新增怪物种类7掉落</v>
      </c>
      <c r="C11311" s="8" t="str">
        <f>材料产出!$R$2</f>
        <v>转生精华</v>
      </c>
      <c r="D11311" s="224">
        <f>参数调整!$K$42*怪物掉落配置方案!$D4129</f>
        <v>0.14555687287835031</v>
      </c>
    </row>
    <row r="11312" spans="1:4" ht="16.5" hidden="1" x14ac:dyDescent="0.3">
      <c r="A11312" s="10" t="str">
        <f>基本属性!$B$27&amp;"|"&amp;基本属性!$C$27</f>
        <v>230|17</v>
      </c>
      <c r="B11312" s="10" t="str">
        <f>参数调整!$J$42</f>
        <v>新增怪物种类7掉落</v>
      </c>
      <c r="C11312" s="8" t="str">
        <f>材料产出!$R$2</f>
        <v>转生精华</v>
      </c>
      <c r="D11312" s="224">
        <f>参数调整!$K$42*怪物掉落配置方案!$D4130</f>
        <v>0.16100390130212289</v>
      </c>
    </row>
    <row r="11313" spans="1:4" ht="16.5" hidden="1" x14ac:dyDescent="0.3">
      <c r="A11313" s="10" t="str">
        <f>基本属性!$B$28&amp;"|"&amp;基本属性!$C$28</f>
        <v>240|18</v>
      </c>
      <c r="B11313" s="10" t="str">
        <f>参数调整!$J$42</f>
        <v>新增怪物种类7掉落</v>
      </c>
      <c r="C11313" s="8" t="str">
        <f>材料产出!$R$2</f>
        <v>转生精华</v>
      </c>
      <c r="D11313" s="224">
        <f>参数调整!$K$42*怪物掉落配置方案!$D4131</f>
        <v>0.17722977149516139</v>
      </c>
    </row>
    <row r="11314" spans="1:4" ht="16.5" hidden="1" x14ac:dyDescent="0.3">
      <c r="A11314" s="10" t="str">
        <f>基本属性!$B$29&amp;"|"&amp;基本属性!$C$29</f>
        <v>240|19</v>
      </c>
      <c r="B11314" s="10" t="str">
        <f>参数调整!$J$42</f>
        <v>新增怪物种类7掉落</v>
      </c>
      <c r="C11314" s="8" t="str">
        <f>材料产出!$R$2</f>
        <v>转生精华</v>
      </c>
      <c r="D11314" s="224">
        <f>参数调整!$K$42*怪物掉落配置方案!$D4132</f>
        <v>0.19423448345746566</v>
      </c>
    </row>
    <row r="11315" spans="1:4" ht="16.5" hidden="1" x14ac:dyDescent="0.3">
      <c r="A11315" s="10" t="str">
        <f>基本属性!$B$30&amp;"|"&amp;基本属性!$C$30</f>
        <v>250|20</v>
      </c>
      <c r="B11315" s="10" t="str">
        <f>参数调整!$J$42</f>
        <v>新增怪物种类7掉落</v>
      </c>
      <c r="C11315" s="8" t="str">
        <f>材料产出!$R$2</f>
        <v>转生精华</v>
      </c>
      <c r="D11315" s="224">
        <f>参数调整!$K$42*怪物掉落配置方案!$D4133</f>
        <v>0.21201803718903575</v>
      </c>
    </row>
    <row r="11316" spans="1:4" ht="16.5" hidden="1" x14ac:dyDescent="0.3">
      <c r="A11316" s="10" t="str">
        <f>基本属性!$B$4&amp;"|"&amp;基本属性!$C$4</f>
        <v>35|0</v>
      </c>
      <c r="B11316" s="10" t="str">
        <f>参数调整!$J$42</f>
        <v>新增怪物种类7掉落</v>
      </c>
      <c r="C11316" s="8" t="str">
        <f>材料产出!$AJ$2</f>
        <v>中品注灵石</v>
      </c>
      <c r="D11316" s="224">
        <f>参数调整!$K$42*怪物掉落配置方案!$D4134</f>
        <v>3.6290872025964961E-2</v>
      </c>
    </row>
    <row r="11317" spans="1:4" ht="16.5" hidden="1" x14ac:dyDescent="0.3">
      <c r="A11317" s="10" t="str">
        <f>基本属性!$B$5&amp;"|"&amp;基本属性!$C$5</f>
        <v>40|0</v>
      </c>
      <c r="B11317" s="10" t="str">
        <f>参数调整!$J$42</f>
        <v>新增怪物种类7掉落</v>
      </c>
      <c r="C11317" s="8" t="str">
        <f>材料产出!$AJ$2</f>
        <v>中品注灵石</v>
      </c>
      <c r="D11317" s="224">
        <f>参数调整!$K$42*怪物掉落配置方案!$D4135</f>
        <v>4.5930634907861909E-2</v>
      </c>
    </row>
    <row r="11318" spans="1:4" ht="16.5" hidden="1" x14ac:dyDescent="0.3">
      <c r="A11318" s="10" t="str">
        <f>基本属性!$B$6&amp;"|"&amp;基本属性!$C$6</f>
        <v>50|0</v>
      </c>
      <c r="B11318" s="10" t="str">
        <f>参数调整!$J$42</f>
        <v>新增怪物种类7掉落</v>
      </c>
      <c r="C11318" s="8" t="str">
        <f>材料产出!$AJ$2</f>
        <v>中品注灵石</v>
      </c>
      <c r="D11318" s="224">
        <f>参数调整!$K$42*怪物掉落配置方案!$D4136</f>
        <v>5.670448754057026E-2</v>
      </c>
    </row>
    <row r="11319" spans="1:4" ht="16.5" hidden="1" x14ac:dyDescent="0.3">
      <c r="A11319" s="10" t="str">
        <f>基本属性!$B$7&amp;"|"&amp;基本属性!$C$7</f>
        <v>60|0</v>
      </c>
      <c r="B11319" s="10" t="str">
        <f>参数调整!$J$42</f>
        <v>新增怪物种类7掉落</v>
      </c>
      <c r="C11319" s="8" t="str">
        <f>材料产出!$AJ$2</f>
        <v>中品注灵石</v>
      </c>
      <c r="D11319" s="224">
        <f>参数调整!$K$42*怪物掉落配置方案!$D4137</f>
        <v>6.8612429924090029E-2</v>
      </c>
    </row>
    <row r="11320" spans="1:4" ht="16.5" hidden="1" x14ac:dyDescent="0.3">
      <c r="A11320" s="10" t="str">
        <f>基本属性!$B$8&amp;"|"&amp;基本属性!$C$8</f>
        <v>65|0</v>
      </c>
      <c r="B11320" s="10" t="str">
        <f>参数调整!$J$42</f>
        <v>新增怪物种类7掉落</v>
      </c>
      <c r="C11320" s="8" t="str">
        <f>材料产出!$AJ$2</f>
        <v>中品注灵石</v>
      </c>
      <c r="D11320" s="224">
        <f>参数调整!$K$42*怪物掉落配置方案!$D4138</f>
        <v>8.1654462058421168E-2</v>
      </c>
    </row>
    <row r="11321" spans="1:4" ht="16.5" hidden="1" x14ac:dyDescent="0.3">
      <c r="A11321" s="10" t="str">
        <f>基本属性!$B$9&amp;"|"&amp;基本属性!$C$9</f>
        <v>70|0</v>
      </c>
      <c r="B11321" s="10" t="str">
        <f>参数调整!$J$42</f>
        <v>新增怪物种类7掉落</v>
      </c>
      <c r="C11321" s="8" t="str">
        <f>材料产出!$AJ$2</f>
        <v>中品注灵石</v>
      </c>
      <c r="D11321" s="224">
        <f>参数调整!$K$42*怪物掉落配置方案!$D4139</f>
        <v>9.5830583943563738E-2</v>
      </c>
    </row>
    <row r="11322" spans="1:4" ht="16.5" hidden="1" x14ac:dyDescent="0.3">
      <c r="A11322" s="10" t="str">
        <f>基本属性!$B$10&amp;"|"&amp;基本属性!$C$10</f>
        <v>75|0</v>
      </c>
      <c r="B11322" s="10" t="str">
        <f>参数调整!$J$42</f>
        <v>新增怪物种类7掉落</v>
      </c>
      <c r="C11322" s="8" t="str">
        <f>材料产出!$AJ$2</f>
        <v>中品注灵石</v>
      </c>
      <c r="D11322" s="224">
        <f>参数调整!$K$42*怪物掉落配置方案!$D4140</f>
        <v>0.11114079557951768</v>
      </c>
    </row>
    <row r="11323" spans="1:4" ht="16.5" hidden="1" x14ac:dyDescent="0.3">
      <c r="A11323" s="10" t="str">
        <f>基本属性!$B$11&amp;"|"&amp;基本属性!$C$11</f>
        <v>80|1</v>
      </c>
      <c r="B11323" s="10" t="str">
        <f>参数调整!$J$42</f>
        <v>新增怪物种类7掉落</v>
      </c>
      <c r="C11323" s="8" t="str">
        <f>材料产出!$AJ$2</f>
        <v>中品注灵石</v>
      </c>
      <c r="D11323" s="224">
        <f>参数调整!$K$42*怪物掉落配置方案!$D4141</f>
        <v>0.12758509696628309</v>
      </c>
    </row>
    <row r="11324" spans="1:4" ht="16.5" hidden="1" x14ac:dyDescent="0.3">
      <c r="A11324" s="10" t="str">
        <f>基本属性!$B$12&amp;"|"&amp;基本属性!$C$12</f>
        <v>90|2</v>
      </c>
      <c r="B11324" s="10" t="str">
        <f>参数调整!$J$42</f>
        <v>新增怪物种类7掉落</v>
      </c>
      <c r="C11324" s="8" t="str">
        <f>材料产出!$AJ$2</f>
        <v>中品注灵石</v>
      </c>
      <c r="D11324" s="224">
        <f>参数调整!$K$42*怪物掉落配置方案!$D4142</f>
        <v>0.14516348810385987</v>
      </c>
    </row>
    <row r="11325" spans="1:4" ht="16.5" hidden="1" x14ac:dyDescent="0.3">
      <c r="A11325" s="10" t="str">
        <f>基本属性!$B$13&amp;"|"&amp;基本属性!$C$13</f>
        <v>100|3</v>
      </c>
      <c r="B11325" s="10" t="str">
        <f>参数调整!$J$42</f>
        <v>新增怪物种类7掉落</v>
      </c>
      <c r="C11325" s="8" t="str">
        <f>材料产出!$AJ$2</f>
        <v>中品注灵石</v>
      </c>
      <c r="D11325" s="224">
        <f>参数调整!$K$42*怪物掉落配置方案!$D4143</f>
        <v>0.18372253963144763</v>
      </c>
    </row>
    <row r="11326" spans="1:4" ht="16.5" hidden="1" x14ac:dyDescent="0.3">
      <c r="A11326" s="10" t="str">
        <f>基本属性!$B$14&amp;"|"&amp;基本属性!$C$14</f>
        <v>105|4</v>
      </c>
      <c r="B11326" s="10" t="str">
        <f>参数调整!$J$42</f>
        <v>新增怪物种类7掉落</v>
      </c>
      <c r="C11326" s="8" t="str">
        <f>材料产出!$AJ$2</f>
        <v>中品注灵石</v>
      </c>
      <c r="D11326" s="224">
        <f>参数调整!$K$42*怪物掉落配置方案!$D4144</f>
        <v>0.22681795016228104</v>
      </c>
    </row>
    <row r="11327" spans="1:4" ht="16.5" hidden="1" x14ac:dyDescent="0.3">
      <c r="A11327" s="10" t="str">
        <f>基本属性!$B$15&amp;"|"&amp;基本属性!$C$15</f>
        <v>110|5</v>
      </c>
      <c r="B11327" s="10" t="str">
        <f>参数调整!$J$42</f>
        <v>新增怪物种类7掉落</v>
      </c>
      <c r="C11327" s="8" t="str">
        <f>材料产出!$AJ$2</f>
        <v>中品注灵石</v>
      </c>
      <c r="D11327" s="224">
        <f>参数调整!$K$42*怪物掉落配置方案!$D4145</f>
        <v>0.27444971969636012</v>
      </c>
    </row>
    <row r="11328" spans="1:4" ht="16.5" hidden="1" x14ac:dyDescent="0.3">
      <c r="A11328" s="10" t="str">
        <f>基本属性!$B$16&amp;"|"&amp;基本属性!$C$16</f>
        <v>120|6</v>
      </c>
      <c r="B11328" s="10" t="str">
        <f>参数调整!$J$42</f>
        <v>新增怪物种类7掉落</v>
      </c>
      <c r="C11328" s="8" t="str">
        <f>材料产出!$AJ$2</f>
        <v>中品注灵石</v>
      </c>
      <c r="D11328" s="224">
        <f>参数调整!$K$42*怪物掉落配置方案!$D4146</f>
        <v>0.35440304712856413</v>
      </c>
    </row>
    <row r="11329" spans="1:4" ht="16.5" hidden="1" x14ac:dyDescent="0.3">
      <c r="A11329" s="10" t="str">
        <f>基本属性!$B$17&amp;"|"&amp;基本属性!$C$17</f>
        <v>135|7</v>
      </c>
      <c r="B11329" s="10" t="str">
        <f>参数调整!$J$42</f>
        <v>新增怪物种类7掉落</v>
      </c>
      <c r="C11329" s="8" t="str">
        <f>材料产出!$AJ$2</f>
        <v>中品注灵石</v>
      </c>
      <c r="D11329" s="224">
        <f>参数调整!$K$42*怪物掉落配置方案!$D4147</f>
        <v>0.51034038786513236</v>
      </c>
    </row>
    <row r="11330" spans="1:4" ht="16.5" hidden="1" x14ac:dyDescent="0.3">
      <c r="A11330" s="10" t="str">
        <f>基本属性!$B$18&amp;"|"&amp;基本属性!$C$18</f>
        <v>155|8</v>
      </c>
      <c r="B11330" s="10" t="str">
        <f>参数调整!$J$42</f>
        <v>新增怪物种类7掉落</v>
      </c>
      <c r="C11330" s="8" t="str">
        <f>材料产出!$AJ$2</f>
        <v>中品注灵石</v>
      </c>
      <c r="D11330" s="224">
        <f>参数调整!$K$42*怪物掉落配置方案!$D4148</f>
        <v>0.69462997237198565</v>
      </c>
    </row>
    <row r="11331" spans="1:4" ht="16.5" hidden="1" x14ac:dyDescent="0.3">
      <c r="A11331" s="10" t="str">
        <f>基本属性!$B$19&amp;"|"&amp;基本属性!$C$19</f>
        <v>190|9</v>
      </c>
      <c r="B11331" s="10" t="str">
        <f>参数调整!$J$42</f>
        <v>新增怪物种类7掉落</v>
      </c>
      <c r="C11331" s="8" t="str">
        <f>材料产出!$AJ$2</f>
        <v>中品注灵石</v>
      </c>
      <c r="D11331" s="224">
        <f>参数调整!$K$42*怪物掉落配置方案!$D4149</f>
        <v>0.77628443443040696</v>
      </c>
    </row>
    <row r="11332" spans="1:4" ht="16.5" hidden="1" x14ac:dyDescent="0.3">
      <c r="A11332" s="10" t="str">
        <f>基本属性!$B$20&amp;"|"&amp;基本属性!$C$20</f>
        <v>200|10</v>
      </c>
      <c r="B11332" s="10" t="str">
        <f>参数调整!$J$42</f>
        <v>新增怪物种类7掉落</v>
      </c>
      <c r="C11332" s="8" t="str">
        <f>材料产出!$AJ$2</f>
        <v>中品注灵石</v>
      </c>
      <c r="D11332" s="224">
        <f>参数调整!$K$42*怪物掉落配置方案!$D4150</f>
        <v>0.90727180064912416</v>
      </c>
    </row>
    <row r="11333" spans="1:4" ht="16.5" hidden="1" x14ac:dyDescent="0.3">
      <c r="A11333" s="10" t="str">
        <f>基本属性!$B$21&amp;"|"&amp;基本属性!$C$21</f>
        <v>200|11</v>
      </c>
      <c r="B11333" s="10" t="str">
        <f>参数调整!$J$42</f>
        <v>新增怪物种类7掉落</v>
      </c>
      <c r="C11333" s="8" t="str">
        <f>材料产出!$AJ$2</f>
        <v>中品注灵石</v>
      </c>
      <c r="D11333" s="224">
        <f>参数调整!$K$42*怪物掉落配置方案!$D4151</f>
        <v>1.0484659746251439</v>
      </c>
    </row>
    <row r="11334" spans="1:4" ht="16.5" hidden="1" x14ac:dyDescent="0.3">
      <c r="A11334" s="10" t="str">
        <f>基本属性!$B$22&amp;"|"&amp;基本属性!$C$22</f>
        <v>210|12</v>
      </c>
      <c r="B11334" s="10" t="str">
        <f>参数调整!$J$42</f>
        <v>新增怪物种类7掉落</v>
      </c>
      <c r="C11334" s="8" t="str">
        <f>材料产出!$AJ$2</f>
        <v>中品注灵石</v>
      </c>
      <c r="D11334" s="224">
        <f>参数调整!$K$42*怪物掉落配置方案!$D4152</f>
        <v>1.1998669563584663</v>
      </c>
    </row>
    <row r="11335" spans="1:4" ht="16.5" hidden="1" x14ac:dyDescent="0.3">
      <c r="A11335" s="10" t="str">
        <f>基本属性!$B$23&amp;"|"&amp;基本属性!$C$23</f>
        <v>210|13</v>
      </c>
      <c r="B11335" s="10" t="str">
        <f>参数调整!$J$42</f>
        <v>新增怪物种类7掉落</v>
      </c>
      <c r="C11335" s="8" t="str">
        <f>材料产出!$AJ$2</f>
        <v>中品注灵石</v>
      </c>
      <c r="D11335" s="224">
        <f>参数调整!$K$42*怪物掉落配置方案!$D4153</f>
        <v>1.3614747458490919</v>
      </c>
    </row>
    <row r="11336" spans="1:4" ht="16.5" hidden="1" x14ac:dyDescent="0.3">
      <c r="A11336" s="10" t="str">
        <f>基本属性!$B$24&amp;"|"&amp;基本属性!$C$24</f>
        <v>220|14</v>
      </c>
      <c r="B11336" s="10" t="str">
        <f>参数调整!$J$42</f>
        <v>新增怪物种类7掉落</v>
      </c>
      <c r="C11336" s="8" t="str">
        <f>材料产出!$AJ$2</f>
        <v>中品注灵石</v>
      </c>
      <c r="D11336" s="224">
        <f>参数调整!$K$42*怪物掉落配置方案!$D4154</f>
        <v>1.5332893430970198</v>
      </c>
    </row>
    <row r="11337" spans="1:4" ht="16.5" hidden="1" x14ac:dyDescent="0.3">
      <c r="A11337" s="10" t="str">
        <f>基本属性!$B$25&amp;"|"&amp;基本属性!$C$25</f>
        <v>220|15</v>
      </c>
      <c r="B11337" s="10" t="str">
        <f>参数调整!$J$42</f>
        <v>新增怪物种类7掉落</v>
      </c>
      <c r="C11337" s="8" t="str">
        <f>材料产出!$AJ$2</f>
        <v>中品注灵石</v>
      </c>
      <c r="D11337" s="224">
        <f>参数调整!$K$42*怪物掉落配置方案!$D4155</f>
        <v>1.7153107481022503</v>
      </c>
    </row>
    <row r="11338" spans="1:4" ht="16.5" hidden="1" x14ac:dyDescent="0.3">
      <c r="A11338" s="10" t="str">
        <f>基本属性!$B$26&amp;"|"&amp;基本属性!$C$26</f>
        <v>230|16</v>
      </c>
      <c r="B11338" s="10" t="str">
        <f>参数调整!$J$42</f>
        <v>新增怪物种类7掉落</v>
      </c>
      <c r="C11338" s="8" t="str">
        <f>材料产出!$AJ$2</f>
        <v>中品注灵石</v>
      </c>
      <c r="D11338" s="224">
        <f>参数调整!$K$42*怪物掉落配置方案!$D4156</f>
        <v>1.907538960864783</v>
      </c>
    </row>
    <row r="11339" spans="1:4" ht="16.5" hidden="1" x14ac:dyDescent="0.3">
      <c r="A11339" s="10" t="str">
        <f>基本属性!$B$27&amp;"|"&amp;基本属性!$C$27</f>
        <v>230|17</v>
      </c>
      <c r="B11339" s="10" t="str">
        <f>参数调整!$J$42</f>
        <v>新增怪物种类7掉落</v>
      </c>
      <c r="C11339" s="8" t="str">
        <f>材料产出!$AJ$2</f>
        <v>中品注灵石</v>
      </c>
      <c r="D11339" s="224">
        <f>参数调整!$K$42*怪物掉落配置方案!$D4157</f>
        <v>2.109973981384619</v>
      </c>
    </row>
    <row r="11340" spans="1:4" ht="16.5" hidden="1" x14ac:dyDescent="0.3">
      <c r="A11340" s="10" t="str">
        <f>基本属性!$B$28&amp;"|"&amp;基本属性!$C$28</f>
        <v>240|18</v>
      </c>
      <c r="B11340" s="10" t="str">
        <f>参数调整!$J$42</f>
        <v>新增怪物种类7掉落</v>
      </c>
      <c r="C11340" s="8" t="str">
        <f>材料产出!$AJ$2</f>
        <v>中品注灵石</v>
      </c>
      <c r="D11340" s="224">
        <f>参数调整!$K$42*怪物掉落配置方案!$D4158</f>
        <v>2.322615809661758</v>
      </c>
    </row>
    <row r="11341" spans="1:4" ht="16.5" hidden="1" x14ac:dyDescent="0.3">
      <c r="A11341" s="10" t="str">
        <f>基本属性!$B$29&amp;"|"&amp;基本属性!$C$29</f>
        <v>240|19</v>
      </c>
      <c r="B11341" s="10" t="str">
        <f>参数调整!$J$42</f>
        <v>新增怪物种类7掉落</v>
      </c>
      <c r="C11341" s="8" t="str">
        <f>材料产出!$AJ$2</f>
        <v>中品注灵石</v>
      </c>
      <c r="D11341" s="224">
        <f>参数调整!$K$42*怪物掉落配置方案!$D4159</f>
        <v>2.545464445696199</v>
      </c>
    </row>
    <row r="11342" spans="1:4" ht="16.5" hidden="1" x14ac:dyDescent="0.3">
      <c r="A11342" s="10" t="str">
        <f>基本属性!$B$30&amp;"|"&amp;基本属性!$C$30</f>
        <v>250|20</v>
      </c>
      <c r="B11342" s="10" t="str">
        <f>参数调整!$J$42</f>
        <v>新增怪物种类7掉落</v>
      </c>
      <c r="C11342" s="8" t="str">
        <f>材料产出!$AJ$2</f>
        <v>中品注灵石</v>
      </c>
      <c r="D11342" s="224">
        <f>参数调整!$K$42*怪物掉落配置方案!$D4160</f>
        <v>2.7785198894879426</v>
      </c>
    </row>
    <row r="11343" spans="1:4" ht="16.5" hidden="1" x14ac:dyDescent="0.3">
      <c r="A11343" s="10" t="str">
        <f>基本属性!$B$4&amp;"|"&amp;基本属性!$C$4</f>
        <v>35|0</v>
      </c>
      <c r="B11343" s="10" t="str">
        <f>参数调整!$J$42</f>
        <v>新增怪物种类7掉落</v>
      </c>
      <c r="C11343" s="8" t="str">
        <f>材料产出!$J$2</f>
        <v>元宝</v>
      </c>
      <c r="D11343" s="224">
        <f>参数调整!$K$42*怪物掉落配置方案!$D4161</f>
        <v>469</v>
      </c>
    </row>
    <row r="11344" spans="1:4" ht="16.5" hidden="1" x14ac:dyDescent="0.3">
      <c r="A11344" s="10" t="str">
        <f>基本属性!$B$5&amp;"|"&amp;基本属性!$C$5</f>
        <v>40|0</v>
      </c>
      <c r="B11344" s="10" t="str">
        <f>参数调整!$J$42</f>
        <v>新增怪物种类7掉落</v>
      </c>
      <c r="C11344" s="8" t="str">
        <f>材料产出!$J$2</f>
        <v>元宝</v>
      </c>
      <c r="D11344" s="224">
        <f>参数调整!$K$42*怪物掉落配置方案!$D4162</f>
        <v>595</v>
      </c>
    </row>
    <row r="11345" spans="1:4" ht="16.5" hidden="1" x14ac:dyDescent="0.3">
      <c r="A11345" s="10" t="str">
        <f>基本属性!$B$6&amp;"|"&amp;基本属性!$C$6</f>
        <v>50|0</v>
      </c>
      <c r="B11345" s="10" t="str">
        <f>参数调整!$J$42</f>
        <v>新增怪物种类7掉落</v>
      </c>
      <c r="C11345" s="8" t="str">
        <f>材料产出!$J$2</f>
        <v>元宝</v>
      </c>
      <c r="D11345" s="224">
        <f>参数调整!$K$42*怪物掉落配置方案!$D4163</f>
        <v>735</v>
      </c>
    </row>
    <row r="11346" spans="1:4" ht="16.5" hidden="1" x14ac:dyDescent="0.3">
      <c r="A11346" s="10" t="str">
        <f>基本属性!$B$7&amp;"|"&amp;基本属性!$C$7</f>
        <v>60|0</v>
      </c>
      <c r="B11346" s="10" t="str">
        <f>参数调整!$J$42</f>
        <v>新增怪物种类7掉落</v>
      </c>
      <c r="C11346" s="8" t="str">
        <f>材料产出!$J$2</f>
        <v>元宝</v>
      </c>
      <c r="D11346" s="224">
        <f>参数调整!$K$42*怪物掉落配置方案!$D4164</f>
        <v>889</v>
      </c>
    </row>
    <row r="11347" spans="1:4" ht="16.5" hidden="1" x14ac:dyDescent="0.3">
      <c r="A11347" s="10" t="str">
        <f>基本属性!$B$8&amp;"|"&amp;基本属性!$C$8</f>
        <v>65|0</v>
      </c>
      <c r="B11347" s="10" t="str">
        <f>参数调整!$J$42</f>
        <v>新增怪物种类7掉落</v>
      </c>
      <c r="C11347" s="8" t="str">
        <f>材料产出!$J$2</f>
        <v>元宝</v>
      </c>
      <c r="D11347" s="224">
        <f>参数调整!$K$42*怪物掉落配置方案!$D4165</f>
        <v>1057</v>
      </c>
    </row>
    <row r="11348" spans="1:4" ht="16.5" hidden="1" x14ac:dyDescent="0.3">
      <c r="A11348" s="10" t="str">
        <f>基本属性!$B$9&amp;"|"&amp;基本属性!$C$9</f>
        <v>70|0</v>
      </c>
      <c r="B11348" s="10" t="str">
        <f>参数调整!$J$42</f>
        <v>新增怪物种类7掉落</v>
      </c>
      <c r="C11348" s="8" t="str">
        <f>材料产出!$J$2</f>
        <v>元宝</v>
      </c>
      <c r="D11348" s="224">
        <f>参数调整!$K$42*怪物掉落配置方案!$D4166</f>
        <v>1239</v>
      </c>
    </row>
    <row r="11349" spans="1:4" ht="16.5" hidden="1" x14ac:dyDescent="0.3">
      <c r="A11349" s="10" t="str">
        <f>基本属性!$B$10&amp;"|"&amp;基本属性!$C$10</f>
        <v>75|0</v>
      </c>
      <c r="B11349" s="10" t="str">
        <f>参数调整!$J$42</f>
        <v>新增怪物种类7掉落</v>
      </c>
      <c r="C11349" s="8" t="str">
        <f>材料产出!$J$2</f>
        <v>元宝</v>
      </c>
      <c r="D11349" s="224">
        <f>参数调整!$K$42*怪物掉落配置方案!$D4167</f>
        <v>1435</v>
      </c>
    </row>
    <row r="11350" spans="1:4" ht="16.5" hidden="1" x14ac:dyDescent="0.3">
      <c r="A11350" s="10" t="str">
        <f>基本属性!$B$11&amp;"|"&amp;基本属性!$C$11</f>
        <v>80|1</v>
      </c>
      <c r="B11350" s="10" t="str">
        <f>参数调整!$J$42</f>
        <v>新增怪物种类7掉落</v>
      </c>
      <c r="C11350" s="8" t="str">
        <f>材料产出!$J$2</f>
        <v>元宝</v>
      </c>
      <c r="D11350" s="224">
        <f>参数调整!$K$42*怪物掉落配置方案!$D4168</f>
        <v>1652</v>
      </c>
    </row>
    <row r="11351" spans="1:4" ht="16.5" hidden="1" x14ac:dyDescent="0.3">
      <c r="A11351" s="10" t="str">
        <f>基本属性!$B$12&amp;"|"&amp;基本属性!$C$12</f>
        <v>90|2</v>
      </c>
      <c r="B11351" s="10" t="str">
        <f>参数调整!$J$42</f>
        <v>新增怪物种类7掉落</v>
      </c>
      <c r="C11351" s="8" t="str">
        <f>材料产出!$J$2</f>
        <v>元宝</v>
      </c>
      <c r="D11351" s="224">
        <f>参数调整!$K$42*怪物掉落配置方案!$D4169</f>
        <v>1876</v>
      </c>
    </row>
    <row r="11352" spans="1:4" ht="16.5" hidden="1" x14ac:dyDescent="0.3">
      <c r="A11352" s="10" t="str">
        <f>基本属性!$B$13&amp;"|"&amp;基本属性!$C$13</f>
        <v>100|3</v>
      </c>
      <c r="B11352" s="10" t="str">
        <f>参数调整!$J$42</f>
        <v>新增怪物种类7掉落</v>
      </c>
      <c r="C11352" s="8" t="str">
        <f>材料产出!$J$2</f>
        <v>元宝</v>
      </c>
      <c r="D11352" s="224">
        <f>参数调整!$K$42*怪物掉落配置方案!$D4170</f>
        <v>2373</v>
      </c>
    </row>
    <row r="11353" spans="1:4" ht="16.5" hidden="1" x14ac:dyDescent="0.3">
      <c r="A11353" s="10" t="str">
        <f>基本属性!$B$14&amp;"|"&amp;基本属性!$C$14</f>
        <v>105|4</v>
      </c>
      <c r="B11353" s="10" t="str">
        <f>参数调整!$J$42</f>
        <v>新增怪物种类7掉落</v>
      </c>
      <c r="C11353" s="8" t="str">
        <f>材料产出!$J$2</f>
        <v>元宝</v>
      </c>
      <c r="D11353" s="224">
        <f>参数调整!$K$42*怪物掉落配置方案!$D4171</f>
        <v>2933</v>
      </c>
    </row>
    <row r="11354" spans="1:4" ht="16.5" hidden="1" x14ac:dyDescent="0.3">
      <c r="A11354" s="10" t="str">
        <f>基本属性!$B$15&amp;"|"&amp;基本属性!$C$15</f>
        <v>110|5</v>
      </c>
      <c r="B11354" s="10" t="str">
        <f>参数调整!$J$42</f>
        <v>新增怪物种类7掉落</v>
      </c>
      <c r="C11354" s="8" t="str">
        <f>材料产出!$J$2</f>
        <v>元宝</v>
      </c>
      <c r="D11354" s="224">
        <f>参数调整!$K$42*怪物掉落配置方案!$D4172</f>
        <v>3549</v>
      </c>
    </row>
    <row r="11355" spans="1:4" ht="16.5" hidden="1" x14ac:dyDescent="0.3">
      <c r="A11355" s="10" t="str">
        <f>基本属性!$B$16&amp;"|"&amp;基本属性!$C$16</f>
        <v>120|6</v>
      </c>
      <c r="B11355" s="10" t="str">
        <f>参数调整!$J$42</f>
        <v>新增怪物种类7掉落</v>
      </c>
      <c r="C11355" s="8" t="str">
        <f>材料产出!$J$2</f>
        <v>元宝</v>
      </c>
      <c r="D11355" s="224">
        <f>参数调整!$K$42*怪物掉落配置方案!$D4173</f>
        <v>4585</v>
      </c>
    </row>
    <row r="11356" spans="1:4" ht="16.5" hidden="1" x14ac:dyDescent="0.3">
      <c r="A11356" s="10" t="str">
        <f>基本属性!$B$17&amp;"|"&amp;基本属性!$C$17</f>
        <v>135|7</v>
      </c>
      <c r="B11356" s="10" t="str">
        <f>参数调整!$J$42</f>
        <v>新增怪物种类7掉落</v>
      </c>
      <c r="C11356" s="8" t="str">
        <f>材料产出!$J$2</f>
        <v>元宝</v>
      </c>
      <c r="D11356" s="224">
        <f>参数调整!$K$42*怪物掉落配置方案!$D4174</f>
        <v>6601</v>
      </c>
    </row>
    <row r="11357" spans="1:4" ht="16.5" hidden="1" x14ac:dyDescent="0.3">
      <c r="A11357" s="10" t="str">
        <f>基本属性!$B$18&amp;"|"&amp;基本属性!$C$18</f>
        <v>155|8</v>
      </c>
      <c r="B11357" s="10" t="str">
        <f>参数调整!$J$42</f>
        <v>新增怪物种类7掉落</v>
      </c>
      <c r="C11357" s="8" t="str">
        <f>材料产出!$J$2</f>
        <v>元宝</v>
      </c>
      <c r="D11357" s="224">
        <f>参数调整!$K$42*怪物掉落配置方案!$D4175</f>
        <v>8988</v>
      </c>
    </row>
    <row r="11358" spans="1:4" ht="16.5" hidden="1" x14ac:dyDescent="0.3">
      <c r="A11358" s="10" t="str">
        <f>基本属性!$B$19&amp;"|"&amp;基本属性!$C$19</f>
        <v>190|9</v>
      </c>
      <c r="B11358" s="10" t="str">
        <f>参数调整!$J$42</f>
        <v>新增怪物种类7掉落</v>
      </c>
      <c r="C11358" s="8" t="str">
        <f>材料产出!$J$2</f>
        <v>元宝</v>
      </c>
      <c r="D11358" s="224">
        <f>参数调整!$K$42*怪物掉落配置方案!$D4176</f>
        <v>10038</v>
      </c>
    </row>
    <row r="11359" spans="1:4" ht="16.5" hidden="1" x14ac:dyDescent="0.3">
      <c r="A11359" s="10" t="str">
        <f>基本属性!$B$20&amp;"|"&amp;基本属性!$C$20</f>
        <v>200|10</v>
      </c>
      <c r="B11359" s="10" t="str">
        <f>参数调整!$J$42</f>
        <v>新增怪物种类7掉落</v>
      </c>
      <c r="C11359" s="8" t="str">
        <f>材料产出!$J$2</f>
        <v>元宝</v>
      </c>
      <c r="D11359" s="224">
        <f>参数调整!$K$42*怪物掉落配置方案!$D4177</f>
        <v>11739</v>
      </c>
    </row>
    <row r="11360" spans="1:4" ht="16.5" hidden="1" x14ac:dyDescent="0.3">
      <c r="A11360" s="10" t="str">
        <f>基本属性!$B$21&amp;"|"&amp;基本属性!$C$21</f>
        <v>200|11</v>
      </c>
      <c r="B11360" s="10" t="str">
        <f>参数调整!$J$42</f>
        <v>新增怪物种类7掉落</v>
      </c>
      <c r="C11360" s="8" t="str">
        <f>材料产出!$J$2</f>
        <v>元宝</v>
      </c>
      <c r="D11360" s="224">
        <f>参数调整!$K$42*怪物掉落配置方案!$D4178</f>
        <v>13559</v>
      </c>
    </row>
    <row r="11361" spans="1:4" ht="16.5" hidden="1" x14ac:dyDescent="0.3">
      <c r="A11361" s="10" t="str">
        <f>基本属性!$B$22&amp;"|"&amp;基本属性!$C$22</f>
        <v>210|12</v>
      </c>
      <c r="B11361" s="10" t="str">
        <f>参数调整!$J$42</f>
        <v>新增怪物种类7掉落</v>
      </c>
      <c r="C11361" s="8" t="str">
        <f>材料产出!$J$2</f>
        <v>元宝</v>
      </c>
      <c r="D11361" s="224">
        <f>参数调整!$K$42*怪物掉落配置方案!$D4179</f>
        <v>15519</v>
      </c>
    </row>
    <row r="11362" spans="1:4" ht="16.5" hidden="1" x14ac:dyDescent="0.3">
      <c r="A11362" s="10" t="str">
        <f>基本属性!$B$23&amp;"|"&amp;基本属性!$C$23</f>
        <v>210|13</v>
      </c>
      <c r="B11362" s="10" t="str">
        <f>参数调整!$J$42</f>
        <v>新增怪物种类7掉落</v>
      </c>
      <c r="C11362" s="8" t="str">
        <f>材料产出!$J$2</f>
        <v>元宝</v>
      </c>
      <c r="D11362" s="224">
        <f>参数调整!$K$42*怪物掉落配置方案!$D4180</f>
        <v>17612</v>
      </c>
    </row>
    <row r="11363" spans="1:4" ht="16.5" hidden="1" x14ac:dyDescent="0.3">
      <c r="A11363" s="10" t="str">
        <f>基本属性!$B$24&amp;"|"&amp;基本属性!$C$24</f>
        <v>220|14</v>
      </c>
      <c r="B11363" s="10" t="str">
        <f>参数调整!$J$42</f>
        <v>新增怪物种类7掉落</v>
      </c>
      <c r="C11363" s="8" t="str">
        <f>材料产出!$J$2</f>
        <v>元宝</v>
      </c>
      <c r="D11363" s="224">
        <f>参数调整!$K$42*怪物掉落配置方案!$D4181</f>
        <v>19831</v>
      </c>
    </row>
    <row r="11364" spans="1:4" ht="16.5" hidden="1" x14ac:dyDescent="0.3">
      <c r="A11364" s="10" t="str">
        <f>基本属性!$B$25&amp;"|"&amp;基本属性!$C$25</f>
        <v>220|15</v>
      </c>
      <c r="B11364" s="10" t="str">
        <f>参数调整!$J$42</f>
        <v>新增怪物种类7掉落</v>
      </c>
      <c r="C11364" s="8" t="str">
        <f>材料产出!$J$2</f>
        <v>元宝</v>
      </c>
      <c r="D11364" s="224">
        <f>参数调整!$K$42*怪物掉落配置方案!$D4182</f>
        <v>22190</v>
      </c>
    </row>
    <row r="11365" spans="1:4" ht="16.5" hidden="1" x14ac:dyDescent="0.3">
      <c r="A11365" s="10" t="str">
        <f>基本属性!$B$26&amp;"|"&amp;基本属性!$C$26</f>
        <v>230|16</v>
      </c>
      <c r="B11365" s="10" t="str">
        <f>参数调整!$J$42</f>
        <v>新增怪物种类7掉落</v>
      </c>
      <c r="C11365" s="8" t="str">
        <f>材料产出!$J$2</f>
        <v>元宝</v>
      </c>
      <c r="D11365" s="224">
        <f>参数调整!$K$42*怪物掉落配置方案!$D4183</f>
        <v>24675</v>
      </c>
    </row>
    <row r="11366" spans="1:4" ht="16.5" hidden="1" x14ac:dyDescent="0.3">
      <c r="A11366" s="10" t="str">
        <f>基本属性!$B$27&amp;"|"&amp;基本属性!$C$27</f>
        <v>230|17</v>
      </c>
      <c r="B11366" s="10" t="str">
        <f>参数调整!$J$42</f>
        <v>新增怪物种类7掉落</v>
      </c>
      <c r="C11366" s="8" t="str">
        <f>材料产出!$J$2</f>
        <v>元宝</v>
      </c>
      <c r="D11366" s="224">
        <f>参数调整!$K$42*怪物掉落配置方案!$D4184</f>
        <v>27293</v>
      </c>
    </row>
    <row r="11367" spans="1:4" ht="16.5" hidden="1" x14ac:dyDescent="0.3">
      <c r="A11367" s="10" t="str">
        <f>基本属性!$B$28&amp;"|"&amp;基本属性!$C$28</f>
        <v>240|18</v>
      </c>
      <c r="B11367" s="10" t="str">
        <f>参数调整!$J$42</f>
        <v>新增怪物种类7掉落</v>
      </c>
      <c r="C11367" s="8" t="str">
        <f>材料产出!$J$2</f>
        <v>元宝</v>
      </c>
      <c r="D11367" s="224">
        <f>参数调整!$K$42*怪物掉落配置方案!$D4185</f>
        <v>30044</v>
      </c>
    </row>
    <row r="11368" spans="1:4" ht="16.5" hidden="1" x14ac:dyDescent="0.3">
      <c r="A11368" s="10" t="str">
        <f>基本属性!$B$29&amp;"|"&amp;基本属性!$C$29</f>
        <v>240|19</v>
      </c>
      <c r="B11368" s="10" t="str">
        <f>参数调整!$J$42</f>
        <v>新增怪物种类7掉落</v>
      </c>
      <c r="C11368" s="8" t="str">
        <f>材料产出!$J$2</f>
        <v>元宝</v>
      </c>
      <c r="D11368" s="224">
        <f>参数调整!$K$42*怪物掉落配置方案!$D4186</f>
        <v>32928</v>
      </c>
    </row>
    <row r="11369" spans="1:4" ht="16.5" hidden="1" x14ac:dyDescent="0.3">
      <c r="A11369" s="10" t="str">
        <f>基本属性!$B$30&amp;"|"&amp;基本属性!$C$30</f>
        <v>250|20</v>
      </c>
      <c r="B11369" s="10" t="str">
        <f>参数调整!$J$42</f>
        <v>新增怪物种类7掉落</v>
      </c>
      <c r="C11369" s="8" t="str">
        <f>材料产出!$J$2</f>
        <v>元宝</v>
      </c>
      <c r="D11369" s="224">
        <f>参数调整!$K$42*怪物掉落配置方案!$D4187</f>
        <v>35938</v>
      </c>
    </row>
    <row r="11370" spans="1:4" ht="16.5" hidden="1" x14ac:dyDescent="0.3">
      <c r="A11370" s="10" t="str">
        <f>基本属性!$B$4&amp;"|"&amp;基本属性!$C$4</f>
        <v>35|0</v>
      </c>
      <c r="B11370" s="10" t="str">
        <f>参数调整!$J$42</f>
        <v>新增怪物种类7掉落</v>
      </c>
      <c r="C11370" s="8" t="str">
        <f>材料产出!$BB$2</f>
        <v>衣服碎片</v>
      </c>
      <c r="D11370" s="224">
        <f>参数调整!$K$42*怪物掉落配置方案!$D4188</f>
        <v>5.681688045872968E-5</v>
      </c>
    </row>
    <row r="11371" spans="1:4" ht="16.5" hidden="1" x14ac:dyDescent="0.3">
      <c r="A11371" s="10" t="str">
        <f>基本属性!$B$5&amp;"|"&amp;基本属性!$C$5</f>
        <v>40|0</v>
      </c>
      <c r="B11371" s="10" t="str">
        <f>参数调整!$J$42</f>
        <v>新增怪物种类7掉落</v>
      </c>
      <c r="C11371" s="8" t="str">
        <f>材料产出!$BB$2</f>
        <v>衣服碎片</v>
      </c>
      <c r="D11371" s="224">
        <f>参数调整!$K$42*怪物掉落配置方案!$D4189</f>
        <v>7.1908864330579755E-5</v>
      </c>
    </row>
    <row r="11372" spans="1:4" ht="16.5" hidden="1" x14ac:dyDescent="0.3">
      <c r="A11372" s="10" t="str">
        <f>基本属性!$B$6&amp;"|"&amp;基本属性!$C$6</f>
        <v>50|0</v>
      </c>
      <c r="B11372" s="10" t="str">
        <f>参数调整!$J$42</f>
        <v>新增怪物种类7掉落</v>
      </c>
      <c r="C11372" s="8" t="str">
        <f>材料产出!$BB$2</f>
        <v>衣服碎片</v>
      </c>
      <c r="D11372" s="224">
        <f>参数调整!$K$42*怪物掉落配置方案!$D4190</f>
        <v>8.8776375716765132E-5</v>
      </c>
    </row>
    <row r="11373" spans="1:4" ht="16.5" hidden="1" x14ac:dyDescent="0.3">
      <c r="A11373" s="10" t="str">
        <f>基本属性!$B$7&amp;"|"&amp;基本属性!$C$7</f>
        <v>60|0</v>
      </c>
      <c r="B11373" s="10" t="str">
        <f>参数调整!$J$42</f>
        <v>新增怪物种类7掉落</v>
      </c>
      <c r="C11373" s="8" t="str">
        <f>材料产出!$BB$2</f>
        <v>衣服碎片</v>
      </c>
      <c r="D11373" s="224">
        <f>参数调整!$K$42*怪物掉落配置方案!$D4191</f>
        <v>1.074194146172858E-4</v>
      </c>
    </row>
    <row r="11374" spans="1:4" ht="16.5" hidden="1" x14ac:dyDescent="0.3">
      <c r="A11374" s="10" t="str">
        <f>基本属性!$B$8&amp;"|"&amp;基本属性!$C$8</f>
        <v>65|0</v>
      </c>
      <c r="B11374" s="10" t="str">
        <f>参数调整!$J$42</f>
        <v>新增怪物种类7掉落</v>
      </c>
      <c r="C11374" s="8" t="str">
        <f>材料产出!$BB$2</f>
        <v>衣服碎片</v>
      </c>
      <c r="D11374" s="224">
        <f>参数调整!$K$42*怪物掉落配置方案!$D4192</f>
        <v>1.2783798103214178E-4</v>
      </c>
    </row>
    <row r="11375" spans="1:4" ht="16.5" hidden="1" x14ac:dyDescent="0.3">
      <c r="A11375" s="10" t="str">
        <f>基本属性!$B$9&amp;"|"&amp;基本属性!$C$9</f>
        <v>70|0</v>
      </c>
      <c r="B11375" s="10" t="str">
        <f>参数调整!$J$42</f>
        <v>新增怪物种类7掉落</v>
      </c>
      <c r="C11375" s="8" t="str">
        <f>材料产出!$BB$2</f>
        <v>衣服碎片</v>
      </c>
      <c r="D11375" s="224">
        <f>参数调整!$K$42*怪物掉落配置方案!$D4193</f>
        <v>1.5003207496133307E-4</v>
      </c>
    </row>
    <row r="11376" spans="1:4" ht="16.5" hidden="1" x14ac:dyDescent="0.3">
      <c r="A11376" s="10" t="str">
        <f>基本属性!$B$10&amp;"|"&amp;基本属性!$C$10</f>
        <v>75|0</v>
      </c>
      <c r="B11376" s="10" t="str">
        <f>参数调整!$J$42</f>
        <v>新增怪物种类7掉落</v>
      </c>
      <c r="C11376" s="8" t="str">
        <f>材料产出!$BB$2</f>
        <v>衣服碎片</v>
      </c>
      <c r="D11376" s="224">
        <f>参数调整!$K$42*怪物掉落配置方案!$D4194</f>
        <v>1.740016964048596E-4</v>
      </c>
    </row>
    <row r="11377" spans="1:4" ht="16.5" hidden="1" x14ac:dyDescent="0.3">
      <c r="A11377" s="10" t="str">
        <f>基本属性!$B$11&amp;"|"&amp;基本属性!$C$11</f>
        <v>80|1</v>
      </c>
      <c r="B11377" s="10" t="str">
        <f>参数调整!$J$42</f>
        <v>新增怪物种类7掉落</v>
      </c>
      <c r="C11377" s="8" t="str">
        <f>材料产出!$BB$2</f>
        <v>衣服碎片</v>
      </c>
      <c r="D11377" s="224">
        <f>参数调整!$K$42*怪物掉落配置方案!$D4195</f>
        <v>1.9974684536272152E-4</v>
      </c>
    </row>
    <row r="11378" spans="1:4" ht="16.5" hidden="1" x14ac:dyDescent="0.3">
      <c r="A11378" s="10" t="str">
        <f>基本属性!$B$12&amp;"|"&amp;基本属性!$C$12</f>
        <v>90|2</v>
      </c>
      <c r="B11378" s="10" t="str">
        <f>参数调整!$J$42</f>
        <v>新增怪物种类7掉落</v>
      </c>
      <c r="C11378" s="8" t="str">
        <f>材料产出!$BB$2</f>
        <v>衣服碎片</v>
      </c>
      <c r="D11378" s="224">
        <f>参数调整!$K$42*怪物掉落配置方案!$D4196</f>
        <v>2.2726752183491877E-4</v>
      </c>
    </row>
    <row r="11379" spans="1:4" ht="16.5" hidden="1" x14ac:dyDescent="0.3">
      <c r="A11379" s="10" t="str">
        <f>基本属性!$B$13&amp;"|"&amp;基本属性!$C$13</f>
        <v>100|3</v>
      </c>
      <c r="B11379" s="10" t="str">
        <f>参数调整!$J$42</f>
        <v>新增怪物种类7掉落</v>
      </c>
      <c r="C11379" s="8" t="str">
        <f>材料产出!$BB$2</f>
        <v>衣服碎片</v>
      </c>
      <c r="D11379" s="224">
        <f>参数调整!$K$42*怪物掉落配置方案!$D4197</f>
        <v>2.8763545732231907E-4</v>
      </c>
    </row>
    <row r="11380" spans="1:4" ht="16.5" hidden="1" x14ac:dyDescent="0.3">
      <c r="A11380" s="10" t="str">
        <f>基本属性!$B$14&amp;"|"&amp;基本属性!$C$14</f>
        <v>105|4</v>
      </c>
      <c r="B11380" s="10" t="str">
        <f>参数调整!$J$42</f>
        <v>新增怪物种类7掉落</v>
      </c>
      <c r="C11380" s="8" t="str">
        <f>材料产出!$BB$2</f>
        <v>衣服碎片</v>
      </c>
      <c r="D11380" s="224">
        <f>参数调整!$K$42*怪物掉落配置方案!$D4198</f>
        <v>3.5510550286706053E-4</v>
      </c>
    </row>
    <row r="11381" spans="1:4" ht="16.5" hidden="1" x14ac:dyDescent="0.3">
      <c r="A11381" s="10" t="str">
        <f>基本属性!$B$15&amp;"|"&amp;基本属性!$C$15</f>
        <v>110|5</v>
      </c>
      <c r="B11381" s="10" t="str">
        <f>参数调整!$J$42</f>
        <v>新增怪物种类7掉落</v>
      </c>
      <c r="C11381" s="8" t="str">
        <f>材料产出!$BB$2</f>
        <v>衣服碎片</v>
      </c>
      <c r="D11381" s="224">
        <f>参数调整!$K$42*怪物掉落配置方案!$D4199</f>
        <v>4.2967765846914331E-4</v>
      </c>
    </row>
    <row r="11382" spans="1:4" ht="16.5" hidden="1" x14ac:dyDescent="0.3">
      <c r="A11382" s="10" t="str">
        <f>基本属性!$B$16&amp;"|"&amp;基本属性!$C$16</f>
        <v>120|6</v>
      </c>
      <c r="B11382" s="10" t="str">
        <f>参数调整!$J$42</f>
        <v>新增怪物种类7掉落</v>
      </c>
      <c r="C11382" s="8" t="str">
        <f>材料产出!$BB$2</f>
        <v>衣服碎片</v>
      </c>
      <c r="D11382" s="224">
        <f>参数调整!$K$42*怪物掉落配置方案!$D4200</f>
        <v>5.5485234822978213E-4</v>
      </c>
    </row>
    <row r="11383" spans="1:4" ht="16.5" hidden="1" x14ac:dyDescent="0.3">
      <c r="A11383" s="10" t="str">
        <f>基本属性!$B$17&amp;"|"&amp;基本属性!$C$17</f>
        <v>135|7</v>
      </c>
      <c r="B11383" s="10" t="str">
        <f>参数调整!$J$42</f>
        <v>新增怪物种类7掉落</v>
      </c>
      <c r="C11383" s="8" t="str">
        <f>材料产出!$BB$2</f>
        <v>衣服碎片</v>
      </c>
      <c r="D11383" s="224">
        <f>参数调整!$K$42*怪物掉落配置方案!$D4201</f>
        <v>7.9898738145088609E-4</v>
      </c>
    </row>
    <row r="11384" spans="1:4" ht="16.5" hidden="1" x14ac:dyDescent="0.3">
      <c r="A11384" s="10" t="str">
        <f>基本属性!$B$18&amp;"|"&amp;基本属性!$C$18</f>
        <v>155|8</v>
      </c>
      <c r="B11384" s="10" t="str">
        <f>参数调整!$J$42</f>
        <v>新增怪物种类7掉落</v>
      </c>
      <c r="C11384" s="8" t="str">
        <f>材料产出!$BB$2</f>
        <v>衣服碎片</v>
      </c>
      <c r="D11384" s="224">
        <f>参数调整!$K$42*怪物掉落配置方案!$D4202</f>
        <v>1.0875106025303729E-3</v>
      </c>
    </row>
    <row r="11385" spans="1:4" ht="16.5" hidden="1" x14ac:dyDescent="0.3">
      <c r="A11385" s="10" t="str">
        <f>基本属性!$B$19&amp;"|"&amp;基本属性!$C$19</f>
        <v>190|9</v>
      </c>
      <c r="B11385" s="10" t="str">
        <f>参数调整!$J$42</f>
        <v>新增怪物种类7掉落</v>
      </c>
      <c r="C11385" s="8" t="str">
        <f>材料产出!$BB$2</f>
        <v>衣服碎片</v>
      </c>
      <c r="D11385" s="224">
        <f>参数调整!$K$42*怪物掉落配置方案!$D4203</f>
        <v>1.2153485835625145E-3</v>
      </c>
    </row>
    <row r="11386" spans="1:4" ht="16.5" hidden="1" x14ac:dyDescent="0.3">
      <c r="A11386" s="10" t="str">
        <f>基本属性!$B$20&amp;"|"&amp;基本属性!$C$20</f>
        <v>200|10</v>
      </c>
      <c r="B11386" s="10" t="str">
        <f>参数调整!$J$42</f>
        <v>新增怪物种类7掉落</v>
      </c>
      <c r="C11386" s="8" t="str">
        <f>材料产出!$BB$2</f>
        <v>衣服碎片</v>
      </c>
      <c r="D11386" s="224">
        <f>参数调整!$K$42*怪物掉落配置方案!$D4204</f>
        <v>1.4204220114682421E-3</v>
      </c>
    </row>
    <row r="11387" spans="1:4" ht="16.5" hidden="1" x14ac:dyDescent="0.3">
      <c r="A11387" s="10" t="str">
        <f>基本属性!$B$21&amp;"|"&amp;基本属性!$C$21</f>
        <v>200|11</v>
      </c>
      <c r="B11387" s="10" t="str">
        <f>参数调整!$J$42</f>
        <v>新增怪物种类7掉落</v>
      </c>
      <c r="C11387" s="8" t="str">
        <f>材料产出!$BB$2</f>
        <v>衣服碎片</v>
      </c>
      <c r="D11387" s="224">
        <f>参数调整!$K$42*怪物掉落配置方案!$D4205</f>
        <v>1.6414751870029868E-3</v>
      </c>
    </row>
    <row r="11388" spans="1:4" ht="16.5" hidden="1" x14ac:dyDescent="0.3">
      <c r="A11388" s="10" t="str">
        <f>基本属性!$B$22&amp;"|"&amp;基本属性!$C$22</f>
        <v>210|12</v>
      </c>
      <c r="B11388" s="10" t="str">
        <f>参数调整!$J$42</f>
        <v>新增怪物种类7掉落</v>
      </c>
      <c r="C11388" s="8" t="str">
        <f>材料产出!$BB$2</f>
        <v>衣服碎片</v>
      </c>
      <c r="D11388" s="224">
        <f>参数调整!$K$42*怪物掉落配置方案!$D4206</f>
        <v>1.8785081101667495E-3</v>
      </c>
    </row>
    <row r="11389" spans="1:4" ht="16.5" hidden="1" x14ac:dyDescent="0.3">
      <c r="A11389" s="10" t="str">
        <f>基本属性!$B$23&amp;"|"&amp;基本属性!$C$23</f>
        <v>210|13</v>
      </c>
      <c r="B11389" s="10" t="str">
        <f>参数调整!$J$42</f>
        <v>新增怪物种类7掉落</v>
      </c>
      <c r="C11389" s="8" t="str">
        <f>材料产出!$BB$2</f>
        <v>衣服碎片</v>
      </c>
      <c r="D11389" s="224">
        <f>参数调整!$K$42*怪物掉落配置方案!$D4207</f>
        <v>2.131520780959531E-3</v>
      </c>
    </row>
    <row r="11390" spans="1:4" ht="16.5" hidden="1" x14ac:dyDescent="0.3">
      <c r="A11390" s="10" t="str">
        <f>基本属性!$B$24&amp;"|"&amp;基本属性!$C$24</f>
        <v>220|14</v>
      </c>
      <c r="B11390" s="10" t="str">
        <f>参数调整!$J$42</f>
        <v>新增怪物种类7掉落</v>
      </c>
      <c r="C11390" s="8" t="str">
        <f>材料产出!$BB$2</f>
        <v>衣服碎片</v>
      </c>
      <c r="D11390" s="224">
        <f>参数调整!$K$42*怪物掉落配置方案!$D4208</f>
        <v>2.4005131993813291E-3</v>
      </c>
    </row>
    <row r="11391" spans="1:4" ht="16.5" hidden="1" x14ac:dyDescent="0.3">
      <c r="A11391" s="10" t="str">
        <f>基本属性!$B$25&amp;"|"&amp;基本属性!$C$25</f>
        <v>220|15</v>
      </c>
      <c r="B11391" s="10" t="str">
        <f>参数调整!$J$42</f>
        <v>新增怪物种类7掉落</v>
      </c>
      <c r="C11391" s="8" t="str">
        <f>材料产出!$BB$2</f>
        <v>衣服碎片</v>
      </c>
      <c r="D11391" s="224">
        <f>参数调整!$K$42*怪物掉落配置方案!$D4209</f>
        <v>2.6854853654321442E-3</v>
      </c>
    </row>
    <row r="11392" spans="1:4" ht="16.5" hidden="1" x14ac:dyDescent="0.3">
      <c r="A11392" s="10" t="str">
        <f>基本属性!$B$26&amp;"|"&amp;基本属性!$C$26</f>
        <v>230|16</v>
      </c>
      <c r="B11392" s="10" t="str">
        <f>参数调整!$J$42</f>
        <v>新增怪物种类7掉落</v>
      </c>
      <c r="C11392" s="8" t="str">
        <f>材料产出!$BB$2</f>
        <v>衣服碎片</v>
      </c>
      <c r="D11392" s="224">
        <f>参数调整!$K$42*怪物掉落配置方案!$D4210</f>
        <v>2.9864372791119781E-3</v>
      </c>
    </row>
    <row r="11393" spans="1:4" ht="16.5" hidden="1" x14ac:dyDescent="0.3">
      <c r="A11393" s="10" t="str">
        <f>基本属性!$B$27&amp;"|"&amp;基本属性!$C$27</f>
        <v>230|17</v>
      </c>
      <c r="B11393" s="10" t="str">
        <f>参数调整!$J$42</f>
        <v>新增怪物种类7掉落</v>
      </c>
      <c r="C11393" s="8" t="str">
        <f>材料产出!$BB$2</f>
        <v>衣服碎片</v>
      </c>
      <c r="D11393" s="224">
        <f>参数调整!$K$42*怪物掉落配置方案!$D4211</f>
        <v>3.3033689404208299E-3</v>
      </c>
    </row>
    <row r="11394" spans="1:4" ht="16.5" hidden="1" x14ac:dyDescent="0.3">
      <c r="A11394" s="10" t="str">
        <f>基本属性!$B$28&amp;"|"&amp;基本属性!$C$28</f>
        <v>240|18</v>
      </c>
      <c r="B11394" s="10" t="str">
        <f>参数调整!$J$42</f>
        <v>新增怪物种类7掉落</v>
      </c>
      <c r="C11394" s="8" t="str">
        <f>材料产出!$BB$2</f>
        <v>衣服碎片</v>
      </c>
      <c r="D11394" s="224">
        <f>参数调整!$K$42*怪物掉落配置方案!$D4212</f>
        <v>3.6362803493586995E-3</v>
      </c>
    </row>
    <row r="11395" spans="1:4" ht="16.5" hidden="1" x14ac:dyDescent="0.3">
      <c r="A11395" s="10" t="str">
        <f>基本属性!$B$29&amp;"|"&amp;基本属性!$C$29</f>
        <v>240|19</v>
      </c>
      <c r="B11395" s="10" t="str">
        <f>参数调整!$J$42</f>
        <v>新增怪物种类7掉落</v>
      </c>
      <c r="C11395" s="8" t="str">
        <f>材料产出!$BB$2</f>
        <v>衣服碎片</v>
      </c>
      <c r="D11395" s="224">
        <f>参数调整!$K$42*怪物掉落配置方案!$D4213</f>
        <v>3.985171505925587E-3</v>
      </c>
    </row>
    <row r="11396" spans="1:4" ht="16.5" hidden="1" x14ac:dyDescent="0.3">
      <c r="A11396" s="10" t="str">
        <f>基本属性!$B$30&amp;"|"&amp;基本属性!$C$30</f>
        <v>250|20</v>
      </c>
      <c r="B11396" s="10" t="str">
        <f>参数调整!$J$42</f>
        <v>新增怪物种类7掉落</v>
      </c>
      <c r="C11396" s="8" t="str">
        <f>材料产出!$BB$2</f>
        <v>衣服碎片</v>
      </c>
      <c r="D11396" s="224">
        <f>参数调整!$K$42*怪物掉落配置方案!$D4214</f>
        <v>4.3500424101214899E-3</v>
      </c>
    </row>
    <row r="11397" spans="1:4" ht="16.5" hidden="1" x14ac:dyDescent="0.3">
      <c r="A11397" s="10" t="str">
        <f>基本属性!$B$4&amp;"|"&amp;基本属性!$C$4</f>
        <v>35|0</v>
      </c>
      <c r="B11397" s="10" t="str">
        <f>参数调整!$J$42</f>
        <v>新增怪物种类7掉落</v>
      </c>
      <c r="C11397" s="8" t="str">
        <f>材料产出!$HX$2</f>
        <v>星座装备</v>
      </c>
      <c r="D11397" s="224">
        <f>参数调整!$K$42*怪物掉落配置方案!$D4215</f>
        <v>0</v>
      </c>
    </row>
    <row r="11398" spans="1:4" ht="16.5" hidden="1" x14ac:dyDescent="0.3">
      <c r="A11398" s="10" t="str">
        <f>基本属性!$B$5&amp;"|"&amp;基本属性!$C$5</f>
        <v>40|0</v>
      </c>
      <c r="B11398" s="10" t="str">
        <f>参数调整!$J$42</f>
        <v>新增怪物种类7掉落</v>
      </c>
      <c r="C11398" s="8" t="str">
        <f>材料产出!$HX$2</f>
        <v>星座装备</v>
      </c>
      <c r="D11398" s="224">
        <f>参数调整!$K$42*怪物掉落配置方案!$D4216</f>
        <v>0</v>
      </c>
    </row>
    <row r="11399" spans="1:4" ht="16.5" hidden="1" x14ac:dyDescent="0.3">
      <c r="A11399" s="10" t="str">
        <f>基本属性!$B$6&amp;"|"&amp;基本属性!$C$6</f>
        <v>50|0</v>
      </c>
      <c r="B11399" s="10" t="str">
        <f>参数调整!$J$42</f>
        <v>新增怪物种类7掉落</v>
      </c>
      <c r="C11399" s="8" t="str">
        <f>材料产出!$HX$2</f>
        <v>星座装备</v>
      </c>
      <c r="D11399" s="224">
        <f>参数调整!$K$42*怪物掉落配置方案!$D4217</f>
        <v>0</v>
      </c>
    </row>
    <row r="11400" spans="1:4" ht="16.5" hidden="1" x14ac:dyDescent="0.3">
      <c r="A11400" s="10" t="str">
        <f>基本属性!$B$7&amp;"|"&amp;基本属性!$C$7</f>
        <v>60|0</v>
      </c>
      <c r="B11400" s="10" t="str">
        <f>参数调整!$J$42</f>
        <v>新增怪物种类7掉落</v>
      </c>
      <c r="C11400" s="8" t="str">
        <f>材料产出!$HX$2</f>
        <v>星座装备</v>
      </c>
      <c r="D11400" s="224">
        <f>参数调整!$K$42*怪物掉落配置方案!$D4218</f>
        <v>0</v>
      </c>
    </row>
    <row r="11401" spans="1:4" ht="16.5" hidden="1" x14ac:dyDescent="0.3">
      <c r="A11401" s="10" t="str">
        <f>基本属性!$B$8&amp;"|"&amp;基本属性!$C$8</f>
        <v>65|0</v>
      </c>
      <c r="B11401" s="10" t="str">
        <f>参数调整!$J$42</f>
        <v>新增怪物种类7掉落</v>
      </c>
      <c r="C11401" s="8" t="str">
        <f>材料产出!$HX$2</f>
        <v>星座装备</v>
      </c>
      <c r="D11401" s="224">
        <f>参数调整!$K$42*怪物掉落配置方案!$D4219</f>
        <v>0</v>
      </c>
    </row>
    <row r="11402" spans="1:4" ht="16.5" hidden="1" x14ac:dyDescent="0.3">
      <c r="A11402" s="10" t="str">
        <f>基本属性!$B$9&amp;"|"&amp;基本属性!$C$9</f>
        <v>70|0</v>
      </c>
      <c r="B11402" s="10" t="str">
        <f>参数调整!$J$42</f>
        <v>新增怪物种类7掉落</v>
      </c>
      <c r="C11402" s="8" t="str">
        <f>材料产出!$HX$2</f>
        <v>星座装备</v>
      </c>
      <c r="D11402" s="224">
        <f>参数调整!$K$42*怪物掉落配置方案!$D4220</f>
        <v>0</v>
      </c>
    </row>
    <row r="11403" spans="1:4" ht="16.5" hidden="1" x14ac:dyDescent="0.3">
      <c r="A11403" s="10" t="str">
        <f>基本属性!$B$10&amp;"|"&amp;基本属性!$C$10</f>
        <v>75|0</v>
      </c>
      <c r="B11403" s="10" t="str">
        <f>参数调整!$J$42</f>
        <v>新增怪物种类7掉落</v>
      </c>
      <c r="C11403" s="8" t="str">
        <f>材料产出!$HX$2</f>
        <v>星座装备</v>
      </c>
      <c r="D11403" s="224">
        <f>参数调整!$K$42*怪物掉落配置方案!$D4221</f>
        <v>0</v>
      </c>
    </row>
    <row r="11404" spans="1:4" ht="16.5" hidden="1" x14ac:dyDescent="0.3">
      <c r="A11404" s="10" t="str">
        <f>基本属性!$B$11&amp;"|"&amp;基本属性!$C$11</f>
        <v>80|1</v>
      </c>
      <c r="B11404" s="10" t="str">
        <f>参数调整!$J$42</f>
        <v>新增怪物种类7掉落</v>
      </c>
      <c r="C11404" s="8" t="str">
        <f>材料产出!$HX$2</f>
        <v>星座装备</v>
      </c>
      <c r="D11404" s="224">
        <f>参数调整!$K$42*怪物掉落配置方案!$D4222</f>
        <v>0</v>
      </c>
    </row>
    <row r="11405" spans="1:4" ht="16.5" hidden="1" x14ac:dyDescent="0.3">
      <c r="A11405" s="10" t="str">
        <f>基本属性!$B$12&amp;"|"&amp;基本属性!$C$12</f>
        <v>90|2</v>
      </c>
      <c r="B11405" s="10" t="str">
        <f>参数调整!$J$42</f>
        <v>新增怪物种类7掉落</v>
      </c>
      <c r="C11405" s="8" t="str">
        <f>材料产出!$HX$2</f>
        <v>星座装备</v>
      </c>
      <c r="D11405" s="224">
        <f>参数调整!$K$42*怪物掉落配置方案!$D4223</f>
        <v>0</v>
      </c>
    </row>
    <row r="11406" spans="1:4" ht="16.5" hidden="1" x14ac:dyDescent="0.3">
      <c r="A11406" s="10" t="str">
        <f>基本属性!$B$13&amp;"|"&amp;基本属性!$C$13</f>
        <v>100|3</v>
      </c>
      <c r="B11406" s="10" t="str">
        <f>参数调整!$J$42</f>
        <v>新增怪物种类7掉落</v>
      </c>
      <c r="C11406" s="8" t="str">
        <f>材料产出!$HX$2</f>
        <v>星座装备</v>
      </c>
      <c r="D11406" s="224">
        <f>参数调整!$K$42*怪物掉落配置方案!$D4224</f>
        <v>0</v>
      </c>
    </row>
    <row r="11407" spans="1:4" ht="16.5" hidden="1" x14ac:dyDescent="0.3">
      <c r="A11407" s="10" t="str">
        <f>基本属性!$B$14&amp;"|"&amp;基本属性!$C$14</f>
        <v>105|4</v>
      </c>
      <c r="B11407" s="10" t="str">
        <f>参数调整!$J$42</f>
        <v>新增怪物种类7掉落</v>
      </c>
      <c r="C11407" s="8" t="str">
        <f>材料产出!$HX$2</f>
        <v>星座装备</v>
      </c>
      <c r="D11407" s="224">
        <f>参数调整!$K$42*怪物掉落配置方案!$D4225</f>
        <v>0</v>
      </c>
    </row>
    <row r="11408" spans="1:4" ht="16.5" hidden="1" x14ac:dyDescent="0.3">
      <c r="A11408" s="10" t="str">
        <f>基本属性!$B$15&amp;"|"&amp;基本属性!$C$15</f>
        <v>110|5</v>
      </c>
      <c r="B11408" s="10" t="str">
        <f>参数调整!$J$42</f>
        <v>新增怪物种类7掉落</v>
      </c>
      <c r="C11408" s="8" t="str">
        <f>材料产出!$HX$2</f>
        <v>星座装备</v>
      </c>
      <c r="D11408" s="224">
        <f>参数调整!$K$42*怪物掉落配置方案!$D4226</f>
        <v>0</v>
      </c>
    </row>
    <row r="11409" spans="1:4" ht="16.5" hidden="1" x14ac:dyDescent="0.3">
      <c r="A11409" s="10" t="str">
        <f>基本属性!$B$16&amp;"|"&amp;基本属性!$C$16</f>
        <v>120|6</v>
      </c>
      <c r="B11409" s="10" t="str">
        <f>参数调整!$J$42</f>
        <v>新增怪物种类7掉落</v>
      </c>
      <c r="C11409" s="8" t="str">
        <f>材料产出!$HX$2</f>
        <v>星座装备</v>
      </c>
      <c r="D11409" s="224">
        <f>参数调整!$K$42*怪物掉落配置方案!$D4227</f>
        <v>0</v>
      </c>
    </row>
    <row r="11410" spans="1:4" ht="16.5" hidden="1" x14ac:dyDescent="0.3">
      <c r="A11410" s="10" t="str">
        <f>基本属性!$B$17&amp;"|"&amp;基本属性!$C$17</f>
        <v>135|7</v>
      </c>
      <c r="B11410" s="10" t="str">
        <f>参数调整!$J$42</f>
        <v>新增怪物种类7掉落</v>
      </c>
      <c r="C11410" s="8" t="str">
        <f>材料产出!$HX$2</f>
        <v>星座装备</v>
      </c>
      <c r="D11410" s="224">
        <f>参数调整!$K$42*怪物掉落配置方案!$D4228</f>
        <v>0</v>
      </c>
    </row>
    <row r="11411" spans="1:4" ht="16.5" hidden="1" x14ac:dyDescent="0.3">
      <c r="A11411" s="10" t="str">
        <f>基本属性!$B$18&amp;"|"&amp;基本属性!$C$18</f>
        <v>155|8</v>
      </c>
      <c r="B11411" s="10" t="str">
        <f>参数调整!$J$42</f>
        <v>新增怪物种类7掉落</v>
      </c>
      <c r="C11411" s="8" t="str">
        <f>材料产出!$HX$2</f>
        <v>星座装备</v>
      </c>
      <c r="D11411" s="224">
        <f>参数调整!$K$42*怪物掉落配置方案!$D4229</f>
        <v>0</v>
      </c>
    </row>
    <row r="11412" spans="1:4" ht="16.5" hidden="1" x14ac:dyDescent="0.3">
      <c r="A11412" s="10" t="str">
        <f>基本属性!$B$19&amp;"|"&amp;基本属性!$C$19</f>
        <v>190|9</v>
      </c>
      <c r="B11412" s="10" t="str">
        <f>参数调整!$J$42</f>
        <v>新增怪物种类7掉落</v>
      </c>
      <c r="C11412" s="8" t="str">
        <f>材料产出!$HX$2</f>
        <v>星座装备</v>
      </c>
      <c r="D11412" s="224">
        <f>参数调整!$K$42*怪物掉落配置方案!$D4230</f>
        <v>0</v>
      </c>
    </row>
    <row r="11413" spans="1:4" ht="16.5" hidden="1" x14ac:dyDescent="0.3">
      <c r="A11413" s="10" t="str">
        <f>基本属性!$B$20&amp;"|"&amp;基本属性!$C$20</f>
        <v>200|10</v>
      </c>
      <c r="B11413" s="10" t="str">
        <f>参数调整!$J$42</f>
        <v>新增怪物种类7掉落</v>
      </c>
      <c r="C11413" s="8" t="str">
        <f>材料产出!$HX$2</f>
        <v>星座装备</v>
      </c>
      <c r="D11413" s="224">
        <f>参数调整!$K$42*怪物掉落配置方案!$D4231</f>
        <v>0</v>
      </c>
    </row>
    <row r="11414" spans="1:4" ht="16.5" hidden="1" x14ac:dyDescent="0.3">
      <c r="A11414" s="10" t="str">
        <f>基本属性!$B$21&amp;"|"&amp;基本属性!$C$21</f>
        <v>200|11</v>
      </c>
      <c r="B11414" s="10" t="str">
        <f>参数调整!$J$42</f>
        <v>新增怪物种类7掉落</v>
      </c>
      <c r="C11414" s="8" t="str">
        <f>材料产出!$HX$2</f>
        <v>星座装备</v>
      </c>
      <c r="D11414" s="224">
        <f>参数调整!$K$42*怪物掉落配置方案!$D4232</f>
        <v>0</v>
      </c>
    </row>
    <row r="11415" spans="1:4" ht="16.5" hidden="1" x14ac:dyDescent="0.3">
      <c r="A11415" s="10" t="str">
        <f>基本属性!$B$22&amp;"|"&amp;基本属性!$C$22</f>
        <v>210|12</v>
      </c>
      <c r="B11415" s="10" t="str">
        <f>参数调整!$J$42</f>
        <v>新增怪物种类7掉落</v>
      </c>
      <c r="C11415" s="8" t="str">
        <f>材料产出!$HX$2</f>
        <v>星座装备</v>
      </c>
      <c r="D11415" s="224">
        <f>参数调整!$K$42*怪物掉落配置方案!$D4233</f>
        <v>0</v>
      </c>
    </row>
    <row r="11416" spans="1:4" ht="16.5" hidden="1" x14ac:dyDescent="0.3">
      <c r="A11416" s="10" t="str">
        <f>基本属性!$B$23&amp;"|"&amp;基本属性!$C$23</f>
        <v>210|13</v>
      </c>
      <c r="B11416" s="10" t="str">
        <f>参数调整!$J$42</f>
        <v>新增怪物种类7掉落</v>
      </c>
      <c r="C11416" s="8" t="str">
        <f>材料产出!$HX$2</f>
        <v>星座装备</v>
      </c>
      <c r="D11416" s="224">
        <f>参数调整!$K$42*怪物掉落配置方案!$D4234</f>
        <v>0</v>
      </c>
    </row>
    <row r="11417" spans="1:4" ht="16.5" hidden="1" x14ac:dyDescent="0.3">
      <c r="A11417" s="10" t="str">
        <f>基本属性!$B$24&amp;"|"&amp;基本属性!$C$24</f>
        <v>220|14</v>
      </c>
      <c r="B11417" s="10" t="str">
        <f>参数调整!$J$42</f>
        <v>新增怪物种类7掉落</v>
      </c>
      <c r="C11417" s="8" t="str">
        <f>材料产出!$HX$2</f>
        <v>星座装备</v>
      </c>
      <c r="D11417" s="224">
        <f>参数调整!$K$42*怪物掉落配置方案!$D4235</f>
        <v>0</v>
      </c>
    </row>
    <row r="11418" spans="1:4" ht="16.5" hidden="1" x14ac:dyDescent="0.3">
      <c r="A11418" s="10" t="str">
        <f>基本属性!$B$25&amp;"|"&amp;基本属性!$C$25</f>
        <v>220|15</v>
      </c>
      <c r="B11418" s="10" t="str">
        <f>参数调整!$J$42</f>
        <v>新增怪物种类7掉落</v>
      </c>
      <c r="C11418" s="8" t="str">
        <f>材料产出!$HX$2</f>
        <v>星座装备</v>
      </c>
      <c r="D11418" s="224">
        <f>参数调整!$K$42*怪物掉落配置方案!$D4236</f>
        <v>0</v>
      </c>
    </row>
    <row r="11419" spans="1:4" ht="16.5" hidden="1" x14ac:dyDescent="0.3">
      <c r="A11419" s="10" t="str">
        <f>基本属性!$B$26&amp;"|"&amp;基本属性!$C$26</f>
        <v>230|16</v>
      </c>
      <c r="B11419" s="10" t="str">
        <f>参数调整!$J$42</f>
        <v>新增怪物种类7掉落</v>
      </c>
      <c r="C11419" s="8" t="str">
        <f>材料产出!$HX$2</f>
        <v>星座装备</v>
      </c>
      <c r="D11419" s="224">
        <f>参数调整!$K$42*怪物掉落配置方案!$D4237</f>
        <v>0</v>
      </c>
    </row>
    <row r="11420" spans="1:4" ht="16.5" hidden="1" x14ac:dyDescent="0.3">
      <c r="A11420" s="10" t="str">
        <f>基本属性!$B$27&amp;"|"&amp;基本属性!$C$27</f>
        <v>230|17</v>
      </c>
      <c r="B11420" s="10" t="str">
        <f>参数调整!$J$42</f>
        <v>新增怪物种类7掉落</v>
      </c>
      <c r="C11420" s="8" t="str">
        <f>材料产出!$HX$2</f>
        <v>星座装备</v>
      </c>
      <c r="D11420" s="224">
        <f>参数调整!$K$42*怪物掉落配置方案!$D4238</f>
        <v>0</v>
      </c>
    </row>
    <row r="11421" spans="1:4" ht="16.5" hidden="1" x14ac:dyDescent="0.3">
      <c r="A11421" s="10" t="str">
        <f>基本属性!$B$28&amp;"|"&amp;基本属性!$C$28</f>
        <v>240|18</v>
      </c>
      <c r="B11421" s="10" t="str">
        <f>参数调整!$J$42</f>
        <v>新增怪物种类7掉落</v>
      </c>
      <c r="C11421" s="8" t="str">
        <f>材料产出!$HX$2</f>
        <v>星座装备</v>
      </c>
      <c r="D11421" s="224">
        <f>参数调整!$K$42*怪物掉落配置方案!$D4239</f>
        <v>0</v>
      </c>
    </row>
    <row r="11422" spans="1:4" ht="16.5" hidden="1" x14ac:dyDescent="0.3">
      <c r="A11422" s="10" t="str">
        <f>基本属性!$B$29&amp;"|"&amp;基本属性!$C$29</f>
        <v>240|19</v>
      </c>
      <c r="B11422" s="10" t="str">
        <f>参数调整!$J$42</f>
        <v>新增怪物种类7掉落</v>
      </c>
      <c r="C11422" s="8" t="str">
        <f>材料产出!$HX$2</f>
        <v>星座装备</v>
      </c>
      <c r="D11422" s="224">
        <f>参数调整!$K$42*怪物掉落配置方案!$D4240</f>
        <v>0</v>
      </c>
    </row>
    <row r="11423" spans="1:4" ht="16.5" hidden="1" x14ac:dyDescent="0.3">
      <c r="A11423" s="10" t="str">
        <f>基本属性!$B$30&amp;"|"&amp;基本属性!$C$30</f>
        <v>250|20</v>
      </c>
      <c r="B11423" s="10" t="str">
        <f>参数调整!$J$42</f>
        <v>新增怪物种类7掉落</v>
      </c>
      <c r="C11423" s="8" t="str">
        <f>材料产出!$HX$2</f>
        <v>星座装备</v>
      </c>
      <c r="D11423" s="224">
        <f>参数调整!$K$42*怪物掉落配置方案!$D4241</f>
        <v>0</v>
      </c>
    </row>
    <row r="11424" spans="1:4" ht="16.5" hidden="1" x14ac:dyDescent="0.3">
      <c r="A11424" s="10" t="str">
        <f>基本属性!$B$4&amp;"|"&amp;基本属性!$C$4</f>
        <v>35|0</v>
      </c>
      <c r="B11424" s="10" t="str">
        <f>参数调整!$J$42</f>
        <v>新增怪物种类7掉落</v>
      </c>
      <c r="C11424" s="8" t="str">
        <f>材料产出!$BX$2</f>
        <v>新增材料9</v>
      </c>
      <c r="D11424" s="224">
        <f>参数调整!$K$42*怪物掉落配置方案!$D4242</f>
        <v>0</v>
      </c>
    </row>
    <row r="11425" spans="1:4" ht="16.5" hidden="1" x14ac:dyDescent="0.3">
      <c r="A11425" s="10" t="str">
        <f>基本属性!$B$5&amp;"|"&amp;基本属性!$C$5</f>
        <v>40|0</v>
      </c>
      <c r="B11425" s="10" t="str">
        <f>参数调整!$J$42</f>
        <v>新增怪物种类7掉落</v>
      </c>
      <c r="C11425" s="8" t="str">
        <f>材料产出!$BX$2</f>
        <v>新增材料9</v>
      </c>
      <c r="D11425" s="224">
        <f>参数调整!$K$42*怪物掉落配置方案!$D4243</f>
        <v>0</v>
      </c>
    </row>
    <row r="11426" spans="1:4" ht="16.5" hidden="1" x14ac:dyDescent="0.3">
      <c r="A11426" s="10" t="str">
        <f>基本属性!$B$6&amp;"|"&amp;基本属性!$C$6</f>
        <v>50|0</v>
      </c>
      <c r="B11426" s="10" t="str">
        <f>参数调整!$J$42</f>
        <v>新增怪物种类7掉落</v>
      </c>
      <c r="C11426" s="8" t="str">
        <f>材料产出!$BX$2</f>
        <v>新增材料9</v>
      </c>
      <c r="D11426" s="224">
        <f>参数调整!$K$42*怪物掉落配置方案!$D4244</f>
        <v>0</v>
      </c>
    </row>
    <row r="11427" spans="1:4" ht="16.5" hidden="1" x14ac:dyDescent="0.3">
      <c r="A11427" s="10" t="str">
        <f>基本属性!$B$7&amp;"|"&amp;基本属性!$C$7</f>
        <v>60|0</v>
      </c>
      <c r="B11427" s="10" t="str">
        <f>参数调整!$J$42</f>
        <v>新增怪物种类7掉落</v>
      </c>
      <c r="C11427" s="8" t="str">
        <f>材料产出!$BX$2</f>
        <v>新增材料9</v>
      </c>
      <c r="D11427" s="224">
        <f>参数调整!$K$42*怪物掉落配置方案!$D4245</f>
        <v>0</v>
      </c>
    </row>
    <row r="11428" spans="1:4" ht="16.5" hidden="1" x14ac:dyDescent="0.3">
      <c r="A11428" s="10" t="str">
        <f>基本属性!$B$8&amp;"|"&amp;基本属性!$C$8</f>
        <v>65|0</v>
      </c>
      <c r="B11428" s="10" t="str">
        <f>参数调整!$J$42</f>
        <v>新增怪物种类7掉落</v>
      </c>
      <c r="C11428" s="8" t="str">
        <f>材料产出!$BX$2</f>
        <v>新增材料9</v>
      </c>
      <c r="D11428" s="224">
        <f>参数调整!$K$42*怪物掉落配置方案!$D4246</f>
        <v>0</v>
      </c>
    </row>
    <row r="11429" spans="1:4" ht="16.5" hidden="1" x14ac:dyDescent="0.3">
      <c r="A11429" s="10" t="str">
        <f>基本属性!$B$9&amp;"|"&amp;基本属性!$C$9</f>
        <v>70|0</v>
      </c>
      <c r="B11429" s="10" t="str">
        <f>参数调整!$J$42</f>
        <v>新增怪物种类7掉落</v>
      </c>
      <c r="C11429" s="8" t="str">
        <f>材料产出!$BX$2</f>
        <v>新增材料9</v>
      </c>
      <c r="D11429" s="224">
        <f>参数调整!$K$42*怪物掉落配置方案!$D4247</f>
        <v>0</v>
      </c>
    </row>
    <row r="11430" spans="1:4" ht="16.5" hidden="1" x14ac:dyDescent="0.3">
      <c r="A11430" s="10" t="str">
        <f>基本属性!$B$10&amp;"|"&amp;基本属性!$C$10</f>
        <v>75|0</v>
      </c>
      <c r="B11430" s="10" t="str">
        <f>参数调整!$J$42</f>
        <v>新增怪物种类7掉落</v>
      </c>
      <c r="C11430" s="8" t="str">
        <f>材料产出!$BX$2</f>
        <v>新增材料9</v>
      </c>
      <c r="D11430" s="224">
        <f>参数调整!$K$42*怪物掉落配置方案!$D4248</f>
        <v>0</v>
      </c>
    </row>
    <row r="11431" spans="1:4" ht="16.5" hidden="1" x14ac:dyDescent="0.3">
      <c r="A11431" s="10" t="str">
        <f>基本属性!$B$11&amp;"|"&amp;基本属性!$C$11</f>
        <v>80|1</v>
      </c>
      <c r="B11431" s="10" t="str">
        <f>参数调整!$J$42</f>
        <v>新增怪物种类7掉落</v>
      </c>
      <c r="C11431" s="8" t="str">
        <f>材料产出!$BX$2</f>
        <v>新增材料9</v>
      </c>
      <c r="D11431" s="224">
        <f>参数调整!$K$42*怪物掉落配置方案!$D4249</f>
        <v>0</v>
      </c>
    </row>
    <row r="11432" spans="1:4" ht="16.5" hidden="1" x14ac:dyDescent="0.3">
      <c r="A11432" s="10" t="str">
        <f>基本属性!$B$12&amp;"|"&amp;基本属性!$C$12</f>
        <v>90|2</v>
      </c>
      <c r="B11432" s="10" t="str">
        <f>参数调整!$J$42</f>
        <v>新增怪物种类7掉落</v>
      </c>
      <c r="C11432" s="8" t="str">
        <f>材料产出!$BX$2</f>
        <v>新增材料9</v>
      </c>
      <c r="D11432" s="224">
        <f>参数调整!$K$42*怪物掉落配置方案!$D4250</f>
        <v>0</v>
      </c>
    </row>
    <row r="11433" spans="1:4" ht="16.5" hidden="1" x14ac:dyDescent="0.3">
      <c r="A11433" s="10" t="str">
        <f>基本属性!$B$13&amp;"|"&amp;基本属性!$C$13</f>
        <v>100|3</v>
      </c>
      <c r="B11433" s="10" t="str">
        <f>参数调整!$J$42</f>
        <v>新增怪物种类7掉落</v>
      </c>
      <c r="C11433" s="8" t="str">
        <f>材料产出!$BX$2</f>
        <v>新增材料9</v>
      </c>
      <c r="D11433" s="224">
        <f>参数调整!$K$42*怪物掉落配置方案!$D4251</f>
        <v>0</v>
      </c>
    </row>
    <row r="11434" spans="1:4" ht="16.5" hidden="1" x14ac:dyDescent="0.3">
      <c r="A11434" s="10" t="str">
        <f>基本属性!$B$14&amp;"|"&amp;基本属性!$C$14</f>
        <v>105|4</v>
      </c>
      <c r="B11434" s="10" t="str">
        <f>参数调整!$J$42</f>
        <v>新增怪物种类7掉落</v>
      </c>
      <c r="C11434" s="8" t="str">
        <f>材料产出!$BX$2</f>
        <v>新增材料9</v>
      </c>
      <c r="D11434" s="224">
        <f>参数调整!$K$42*怪物掉落配置方案!$D4252</f>
        <v>0</v>
      </c>
    </row>
    <row r="11435" spans="1:4" ht="16.5" hidden="1" x14ac:dyDescent="0.3">
      <c r="A11435" s="10" t="str">
        <f>基本属性!$B$15&amp;"|"&amp;基本属性!$C$15</f>
        <v>110|5</v>
      </c>
      <c r="B11435" s="10" t="str">
        <f>参数调整!$J$42</f>
        <v>新增怪物种类7掉落</v>
      </c>
      <c r="C11435" s="8" t="str">
        <f>材料产出!$BX$2</f>
        <v>新增材料9</v>
      </c>
      <c r="D11435" s="224">
        <f>参数调整!$K$42*怪物掉落配置方案!$D4253</f>
        <v>0</v>
      </c>
    </row>
    <row r="11436" spans="1:4" ht="16.5" hidden="1" x14ac:dyDescent="0.3">
      <c r="A11436" s="10" t="str">
        <f>基本属性!$B$16&amp;"|"&amp;基本属性!$C$16</f>
        <v>120|6</v>
      </c>
      <c r="B11436" s="10" t="str">
        <f>参数调整!$J$42</f>
        <v>新增怪物种类7掉落</v>
      </c>
      <c r="C11436" s="8" t="str">
        <f>材料产出!$BX$2</f>
        <v>新增材料9</v>
      </c>
      <c r="D11436" s="224">
        <f>参数调整!$K$42*怪物掉落配置方案!$D4254</f>
        <v>0</v>
      </c>
    </row>
    <row r="11437" spans="1:4" ht="16.5" hidden="1" x14ac:dyDescent="0.3">
      <c r="A11437" s="10" t="str">
        <f>基本属性!$B$17&amp;"|"&amp;基本属性!$C$17</f>
        <v>135|7</v>
      </c>
      <c r="B11437" s="10" t="str">
        <f>参数调整!$J$42</f>
        <v>新增怪物种类7掉落</v>
      </c>
      <c r="C11437" s="8" t="str">
        <f>材料产出!$BX$2</f>
        <v>新增材料9</v>
      </c>
      <c r="D11437" s="224">
        <f>参数调整!$K$42*怪物掉落配置方案!$D4255</f>
        <v>0</v>
      </c>
    </row>
    <row r="11438" spans="1:4" ht="16.5" hidden="1" x14ac:dyDescent="0.3">
      <c r="A11438" s="10" t="str">
        <f>基本属性!$B$18&amp;"|"&amp;基本属性!$C$18</f>
        <v>155|8</v>
      </c>
      <c r="B11438" s="10" t="str">
        <f>参数调整!$J$42</f>
        <v>新增怪物种类7掉落</v>
      </c>
      <c r="C11438" s="8" t="str">
        <f>材料产出!$BX$2</f>
        <v>新增材料9</v>
      </c>
      <c r="D11438" s="224">
        <f>参数调整!$K$42*怪物掉落配置方案!$D4256</f>
        <v>0</v>
      </c>
    </row>
    <row r="11439" spans="1:4" ht="16.5" hidden="1" x14ac:dyDescent="0.3">
      <c r="A11439" s="10" t="str">
        <f>基本属性!$B$19&amp;"|"&amp;基本属性!$C$19</f>
        <v>190|9</v>
      </c>
      <c r="B11439" s="10" t="str">
        <f>参数调整!$J$42</f>
        <v>新增怪物种类7掉落</v>
      </c>
      <c r="C11439" s="8" t="str">
        <f>材料产出!$BX$2</f>
        <v>新增材料9</v>
      </c>
      <c r="D11439" s="224">
        <f>参数调整!$K$42*怪物掉落配置方案!$D4257</f>
        <v>0</v>
      </c>
    </row>
    <row r="11440" spans="1:4" ht="16.5" hidden="1" x14ac:dyDescent="0.3">
      <c r="A11440" s="10" t="str">
        <f>基本属性!$B$20&amp;"|"&amp;基本属性!$C$20</f>
        <v>200|10</v>
      </c>
      <c r="B11440" s="10" t="str">
        <f>参数调整!$J$42</f>
        <v>新增怪物种类7掉落</v>
      </c>
      <c r="C11440" s="8" t="str">
        <f>材料产出!$BX$2</f>
        <v>新增材料9</v>
      </c>
      <c r="D11440" s="224">
        <f>参数调整!$K$42*怪物掉落配置方案!$D4258</f>
        <v>0</v>
      </c>
    </row>
    <row r="11441" spans="1:4" ht="16.5" hidden="1" x14ac:dyDescent="0.3">
      <c r="A11441" s="10" t="str">
        <f>基本属性!$B$21&amp;"|"&amp;基本属性!$C$21</f>
        <v>200|11</v>
      </c>
      <c r="B11441" s="10" t="str">
        <f>参数调整!$J$42</f>
        <v>新增怪物种类7掉落</v>
      </c>
      <c r="C11441" s="8" t="str">
        <f>材料产出!$BX$2</f>
        <v>新增材料9</v>
      </c>
      <c r="D11441" s="224">
        <f>参数调整!$K$42*怪物掉落配置方案!$D4259</f>
        <v>0</v>
      </c>
    </row>
    <row r="11442" spans="1:4" ht="16.5" hidden="1" x14ac:dyDescent="0.3">
      <c r="A11442" s="10" t="str">
        <f>基本属性!$B$22&amp;"|"&amp;基本属性!$C$22</f>
        <v>210|12</v>
      </c>
      <c r="B11442" s="10" t="str">
        <f>参数调整!$J$42</f>
        <v>新增怪物种类7掉落</v>
      </c>
      <c r="C11442" s="8" t="str">
        <f>材料产出!$BX$2</f>
        <v>新增材料9</v>
      </c>
      <c r="D11442" s="224">
        <f>参数调整!$K$42*怪物掉落配置方案!$D4260</f>
        <v>0</v>
      </c>
    </row>
    <row r="11443" spans="1:4" ht="16.5" hidden="1" x14ac:dyDescent="0.3">
      <c r="A11443" s="10" t="str">
        <f>基本属性!$B$23&amp;"|"&amp;基本属性!$C$23</f>
        <v>210|13</v>
      </c>
      <c r="B11443" s="10" t="str">
        <f>参数调整!$J$42</f>
        <v>新增怪物种类7掉落</v>
      </c>
      <c r="C11443" s="8" t="str">
        <f>材料产出!$BX$2</f>
        <v>新增材料9</v>
      </c>
      <c r="D11443" s="224">
        <f>参数调整!$K$42*怪物掉落配置方案!$D4261</f>
        <v>0</v>
      </c>
    </row>
    <row r="11444" spans="1:4" ht="16.5" hidden="1" x14ac:dyDescent="0.3">
      <c r="A11444" s="10" t="str">
        <f>基本属性!$B$24&amp;"|"&amp;基本属性!$C$24</f>
        <v>220|14</v>
      </c>
      <c r="B11444" s="10" t="str">
        <f>参数调整!$J$42</f>
        <v>新增怪物种类7掉落</v>
      </c>
      <c r="C11444" s="8" t="str">
        <f>材料产出!$BX$2</f>
        <v>新增材料9</v>
      </c>
      <c r="D11444" s="224">
        <f>参数调整!$K$42*怪物掉落配置方案!$D4262</f>
        <v>0</v>
      </c>
    </row>
    <row r="11445" spans="1:4" ht="16.5" hidden="1" x14ac:dyDescent="0.3">
      <c r="A11445" s="10" t="str">
        <f>基本属性!$B$25&amp;"|"&amp;基本属性!$C$25</f>
        <v>220|15</v>
      </c>
      <c r="B11445" s="10" t="str">
        <f>参数调整!$J$42</f>
        <v>新增怪物种类7掉落</v>
      </c>
      <c r="C11445" s="8" t="str">
        <f>材料产出!$BX$2</f>
        <v>新增材料9</v>
      </c>
      <c r="D11445" s="224">
        <f>参数调整!$K$42*怪物掉落配置方案!$D4263</f>
        <v>0</v>
      </c>
    </row>
    <row r="11446" spans="1:4" ht="16.5" hidden="1" x14ac:dyDescent="0.3">
      <c r="A11446" s="10" t="str">
        <f>基本属性!$B$26&amp;"|"&amp;基本属性!$C$26</f>
        <v>230|16</v>
      </c>
      <c r="B11446" s="10" t="str">
        <f>参数调整!$J$42</f>
        <v>新增怪物种类7掉落</v>
      </c>
      <c r="C11446" s="8" t="str">
        <f>材料产出!$BX$2</f>
        <v>新增材料9</v>
      </c>
      <c r="D11446" s="224">
        <f>参数调整!$K$42*怪物掉落配置方案!$D4264</f>
        <v>0</v>
      </c>
    </row>
    <row r="11447" spans="1:4" ht="16.5" hidden="1" x14ac:dyDescent="0.3">
      <c r="A11447" s="10" t="str">
        <f>基本属性!$B$27&amp;"|"&amp;基本属性!$C$27</f>
        <v>230|17</v>
      </c>
      <c r="B11447" s="10" t="str">
        <f>参数调整!$J$42</f>
        <v>新增怪物种类7掉落</v>
      </c>
      <c r="C11447" s="8" t="str">
        <f>材料产出!$BX$2</f>
        <v>新增材料9</v>
      </c>
      <c r="D11447" s="224">
        <f>参数调整!$K$42*怪物掉落配置方案!$D4265</f>
        <v>0</v>
      </c>
    </row>
    <row r="11448" spans="1:4" ht="16.5" hidden="1" x14ac:dyDescent="0.3">
      <c r="A11448" s="10" t="str">
        <f>基本属性!$B$28&amp;"|"&amp;基本属性!$C$28</f>
        <v>240|18</v>
      </c>
      <c r="B11448" s="10" t="str">
        <f>参数调整!$J$42</f>
        <v>新增怪物种类7掉落</v>
      </c>
      <c r="C11448" s="8" t="str">
        <f>材料产出!$BX$2</f>
        <v>新增材料9</v>
      </c>
      <c r="D11448" s="224">
        <f>参数调整!$K$42*怪物掉落配置方案!$D4266</f>
        <v>0</v>
      </c>
    </row>
    <row r="11449" spans="1:4" ht="16.5" hidden="1" x14ac:dyDescent="0.3">
      <c r="A11449" s="10" t="str">
        <f>基本属性!$B$29&amp;"|"&amp;基本属性!$C$29</f>
        <v>240|19</v>
      </c>
      <c r="B11449" s="10" t="str">
        <f>参数调整!$J$42</f>
        <v>新增怪物种类7掉落</v>
      </c>
      <c r="C11449" s="8" t="str">
        <f>材料产出!$BX$2</f>
        <v>新增材料9</v>
      </c>
      <c r="D11449" s="224">
        <f>参数调整!$K$42*怪物掉落配置方案!$D4267</f>
        <v>0</v>
      </c>
    </row>
    <row r="11450" spans="1:4" ht="16.5" hidden="1" x14ac:dyDescent="0.3">
      <c r="A11450" s="10" t="str">
        <f>基本属性!$B$30&amp;"|"&amp;基本属性!$C$30</f>
        <v>250|20</v>
      </c>
      <c r="B11450" s="10" t="str">
        <f>参数调整!$J$42</f>
        <v>新增怪物种类7掉落</v>
      </c>
      <c r="C11450" s="8" t="str">
        <f>材料产出!$BX$2</f>
        <v>新增材料9</v>
      </c>
      <c r="D11450" s="224">
        <f>参数调整!$K$42*怪物掉落配置方案!$D4268</f>
        <v>0</v>
      </c>
    </row>
    <row r="11451" spans="1:4" ht="16.5" hidden="1" x14ac:dyDescent="0.3">
      <c r="A11451" s="10" t="str">
        <f>基本属性!$B$4&amp;"|"&amp;基本属性!$C$4</f>
        <v>35|0</v>
      </c>
      <c r="B11451" s="10" t="str">
        <f>参数调整!$J$42</f>
        <v>新增怪物种类7掉落</v>
      </c>
      <c r="C11451" s="8" t="str">
        <f>材料产出!$BV$2</f>
        <v>新增材料8</v>
      </c>
      <c r="D11451" s="224">
        <f>参数调整!$K$42*怪物掉落配置方案!$D4269</f>
        <v>0</v>
      </c>
    </row>
    <row r="11452" spans="1:4" ht="16.5" hidden="1" x14ac:dyDescent="0.3">
      <c r="A11452" s="10" t="str">
        <f>基本属性!$B$5&amp;"|"&amp;基本属性!$C$5</f>
        <v>40|0</v>
      </c>
      <c r="B11452" s="10" t="str">
        <f>参数调整!$J$42</f>
        <v>新增怪物种类7掉落</v>
      </c>
      <c r="C11452" s="8" t="str">
        <f>材料产出!$BV$2</f>
        <v>新增材料8</v>
      </c>
      <c r="D11452" s="224">
        <f>参数调整!$K$42*怪物掉落配置方案!$D4270</f>
        <v>0</v>
      </c>
    </row>
    <row r="11453" spans="1:4" ht="16.5" hidden="1" x14ac:dyDescent="0.3">
      <c r="A11453" s="10" t="str">
        <f>基本属性!$B$6&amp;"|"&amp;基本属性!$C$6</f>
        <v>50|0</v>
      </c>
      <c r="B11453" s="10" t="str">
        <f>参数调整!$J$42</f>
        <v>新增怪物种类7掉落</v>
      </c>
      <c r="C11453" s="8" t="str">
        <f>材料产出!$BV$2</f>
        <v>新增材料8</v>
      </c>
      <c r="D11453" s="224">
        <f>参数调整!$K$42*怪物掉落配置方案!$D4271</f>
        <v>0</v>
      </c>
    </row>
    <row r="11454" spans="1:4" ht="16.5" hidden="1" x14ac:dyDescent="0.3">
      <c r="A11454" s="10" t="str">
        <f>基本属性!$B$7&amp;"|"&amp;基本属性!$C$7</f>
        <v>60|0</v>
      </c>
      <c r="B11454" s="10" t="str">
        <f>参数调整!$J$42</f>
        <v>新增怪物种类7掉落</v>
      </c>
      <c r="C11454" s="8" t="str">
        <f>材料产出!$BV$2</f>
        <v>新增材料8</v>
      </c>
      <c r="D11454" s="224">
        <f>参数调整!$K$42*怪物掉落配置方案!$D4272</f>
        <v>0</v>
      </c>
    </row>
    <row r="11455" spans="1:4" ht="16.5" hidden="1" x14ac:dyDescent="0.3">
      <c r="A11455" s="10" t="str">
        <f>基本属性!$B$8&amp;"|"&amp;基本属性!$C$8</f>
        <v>65|0</v>
      </c>
      <c r="B11455" s="10" t="str">
        <f>参数调整!$J$42</f>
        <v>新增怪物种类7掉落</v>
      </c>
      <c r="C11455" s="8" t="str">
        <f>材料产出!$BV$2</f>
        <v>新增材料8</v>
      </c>
      <c r="D11455" s="224">
        <f>参数调整!$K$42*怪物掉落配置方案!$D4273</f>
        <v>0</v>
      </c>
    </row>
    <row r="11456" spans="1:4" ht="16.5" hidden="1" x14ac:dyDescent="0.3">
      <c r="A11456" s="10" t="str">
        <f>基本属性!$B$9&amp;"|"&amp;基本属性!$C$9</f>
        <v>70|0</v>
      </c>
      <c r="B11456" s="10" t="str">
        <f>参数调整!$J$42</f>
        <v>新增怪物种类7掉落</v>
      </c>
      <c r="C11456" s="8" t="str">
        <f>材料产出!$BV$2</f>
        <v>新增材料8</v>
      </c>
      <c r="D11456" s="224">
        <f>参数调整!$K$42*怪物掉落配置方案!$D4274</f>
        <v>0</v>
      </c>
    </row>
    <row r="11457" spans="1:4" ht="16.5" hidden="1" x14ac:dyDescent="0.3">
      <c r="A11457" s="10" t="str">
        <f>基本属性!$B$10&amp;"|"&amp;基本属性!$C$10</f>
        <v>75|0</v>
      </c>
      <c r="B11457" s="10" t="str">
        <f>参数调整!$J$42</f>
        <v>新增怪物种类7掉落</v>
      </c>
      <c r="C11457" s="8" t="str">
        <f>材料产出!$BV$2</f>
        <v>新增材料8</v>
      </c>
      <c r="D11457" s="224">
        <f>参数调整!$K$42*怪物掉落配置方案!$D4275</f>
        <v>0</v>
      </c>
    </row>
    <row r="11458" spans="1:4" ht="16.5" hidden="1" x14ac:dyDescent="0.3">
      <c r="A11458" s="10" t="str">
        <f>基本属性!$B$11&amp;"|"&amp;基本属性!$C$11</f>
        <v>80|1</v>
      </c>
      <c r="B11458" s="10" t="str">
        <f>参数调整!$J$42</f>
        <v>新增怪物种类7掉落</v>
      </c>
      <c r="C11458" s="8" t="str">
        <f>材料产出!$BV$2</f>
        <v>新增材料8</v>
      </c>
      <c r="D11458" s="224">
        <f>参数调整!$K$42*怪物掉落配置方案!$D4276</f>
        <v>0</v>
      </c>
    </row>
    <row r="11459" spans="1:4" ht="16.5" hidden="1" x14ac:dyDescent="0.3">
      <c r="A11459" s="10" t="str">
        <f>基本属性!$B$12&amp;"|"&amp;基本属性!$C$12</f>
        <v>90|2</v>
      </c>
      <c r="B11459" s="10" t="str">
        <f>参数调整!$J$42</f>
        <v>新增怪物种类7掉落</v>
      </c>
      <c r="C11459" s="8" t="str">
        <f>材料产出!$BV$2</f>
        <v>新增材料8</v>
      </c>
      <c r="D11459" s="224">
        <f>参数调整!$K$42*怪物掉落配置方案!$D4277</f>
        <v>0</v>
      </c>
    </row>
    <row r="11460" spans="1:4" ht="16.5" hidden="1" x14ac:dyDescent="0.3">
      <c r="A11460" s="10" t="str">
        <f>基本属性!$B$13&amp;"|"&amp;基本属性!$C$13</f>
        <v>100|3</v>
      </c>
      <c r="B11460" s="10" t="str">
        <f>参数调整!$J$42</f>
        <v>新增怪物种类7掉落</v>
      </c>
      <c r="C11460" s="8" t="str">
        <f>材料产出!$BV$2</f>
        <v>新增材料8</v>
      </c>
      <c r="D11460" s="224">
        <f>参数调整!$K$42*怪物掉落配置方案!$D4278</f>
        <v>0</v>
      </c>
    </row>
    <row r="11461" spans="1:4" ht="16.5" hidden="1" x14ac:dyDescent="0.3">
      <c r="A11461" s="10" t="str">
        <f>基本属性!$B$14&amp;"|"&amp;基本属性!$C$14</f>
        <v>105|4</v>
      </c>
      <c r="B11461" s="10" t="str">
        <f>参数调整!$J$42</f>
        <v>新增怪物种类7掉落</v>
      </c>
      <c r="C11461" s="8" t="str">
        <f>材料产出!$BV$2</f>
        <v>新增材料8</v>
      </c>
      <c r="D11461" s="224">
        <f>参数调整!$K$42*怪物掉落配置方案!$D4279</f>
        <v>0</v>
      </c>
    </row>
    <row r="11462" spans="1:4" ht="16.5" hidden="1" x14ac:dyDescent="0.3">
      <c r="A11462" s="10" t="str">
        <f>基本属性!$B$15&amp;"|"&amp;基本属性!$C$15</f>
        <v>110|5</v>
      </c>
      <c r="B11462" s="10" t="str">
        <f>参数调整!$J$42</f>
        <v>新增怪物种类7掉落</v>
      </c>
      <c r="C11462" s="8" t="str">
        <f>材料产出!$BV$2</f>
        <v>新增材料8</v>
      </c>
      <c r="D11462" s="224">
        <f>参数调整!$K$42*怪物掉落配置方案!$D4280</f>
        <v>0</v>
      </c>
    </row>
    <row r="11463" spans="1:4" ht="16.5" hidden="1" x14ac:dyDescent="0.3">
      <c r="A11463" s="10" t="str">
        <f>基本属性!$B$16&amp;"|"&amp;基本属性!$C$16</f>
        <v>120|6</v>
      </c>
      <c r="B11463" s="10" t="str">
        <f>参数调整!$J$42</f>
        <v>新增怪物种类7掉落</v>
      </c>
      <c r="C11463" s="8" t="str">
        <f>材料产出!$BV$2</f>
        <v>新增材料8</v>
      </c>
      <c r="D11463" s="224">
        <f>参数调整!$K$42*怪物掉落配置方案!$D4281</f>
        <v>0</v>
      </c>
    </row>
    <row r="11464" spans="1:4" ht="16.5" hidden="1" x14ac:dyDescent="0.3">
      <c r="A11464" s="10" t="str">
        <f>基本属性!$B$17&amp;"|"&amp;基本属性!$C$17</f>
        <v>135|7</v>
      </c>
      <c r="B11464" s="10" t="str">
        <f>参数调整!$J$42</f>
        <v>新增怪物种类7掉落</v>
      </c>
      <c r="C11464" s="8" t="str">
        <f>材料产出!$BV$2</f>
        <v>新增材料8</v>
      </c>
      <c r="D11464" s="224">
        <f>参数调整!$K$42*怪物掉落配置方案!$D4282</f>
        <v>0</v>
      </c>
    </row>
    <row r="11465" spans="1:4" ht="16.5" hidden="1" x14ac:dyDescent="0.3">
      <c r="A11465" s="10" t="str">
        <f>基本属性!$B$18&amp;"|"&amp;基本属性!$C$18</f>
        <v>155|8</v>
      </c>
      <c r="B11465" s="10" t="str">
        <f>参数调整!$J$42</f>
        <v>新增怪物种类7掉落</v>
      </c>
      <c r="C11465" s="8" t="str">
        <f>材料产出!$BV$2</f>
        <v>新增材料8</v>
      </c>
      <c r="D11465" s="224">
        <f>参数调整!$K$42*怪物掉落配置方案!$D4283</f>
        <v>0</v>
      </c>
    </row>
    <row r="11466" spans="1:4" ht="16.5" hidden="1" x14ac:dyDescent="0.3">
      <c r="A11466" s="10" t="str">
        <f>基本属性!$B$19&amp;"|"&amp;基本属性!$C$19</f>
        <v>190|9</v>
      </c>
      <c r="B11466" s="10" t="str">
        <f>参数调整!$J$42</f>
        <v>新增怪物种类7掉落</v>
      </c>
      <c r="C11466" s="8" t="str">
        <f>材料产出!$BV$2</f>
        <v>新增材料8</v>
      </c>
      <c r="D11466" s="224">
        <f>参数调整!$K$42*怪物掉落配置方案!$D4284</f>
        <v>0</v>
      </c>
    </row>
    <row r="11467" spans="1:4" ht="16.5" hidden="1" x14ac:dyDescent="0.3">
      <c r="A11467" s="10" t="str">
        <f>基本属性!$B$20&amp;"|"&amp;基本属性!$C$20</f>
        <v>200|10</v>
      </c>
      <c r="B11467" s="10" t="str">
        <f>参数调整!$J$42</f>
        <v>新增怪物种类7掉落</v>
      </c>
      <c r="C11467" s="8" t="str">
        <f>材料产出!$BV$2</f>
        <v>新增材料8</v>
      </c>
      <c r="D11467" s="224">
        <f>参数调整!$K$42*怪物掉落配置方案!$D4285</f>
        <v>0</v>
      </c>
    </row>
    <row r="11468" spans="1:4" ht="16.5" hidden="1" x14ac:dyDescent="0.3">
      <c r="A11468" s="10" t="str">
        <f>基本属性!$B$21&amp;"|"&amp;基本属性!$C$21</f>
        <v>200|11</v>
      </c>
      <c r="B11468" s="10" t="str">
        <f>参数调整!$J$42</f>
        <v>新增怪物种类7掉落</v>
      </c>
      <c r="C11468" s="8" t="str">
        <f>材料产出!$BV$2</f>
        <v>新增材料8</v>
      </c>
      <c r="D11468" s="224">
        <f>参数调整!$K$42*怪物掉落配置方案!$D4286</f>
        <v>0</v>
      </c>
    </row>
    <row r="11469" spans="1:4" ht="16.5" hidden="1" x14ac:dyDescent="0.3">
      <c r="A11469" s="10" t="str">
        <f>基本属性!$B$22&amp;"|"&amp;基本属性!$C$22</f>
        <v>210|12</v>
      </c>
      <c r="B11469" s="10" t="str">
        <f>参数调整!$J$42</f>
        <v>新增怪物种类7掉落</v>
      </c>
      <c r="C11469" s="8" t="str">
        <f>材料产出!$BV$2</f>
        <v>新增材料8</v>
      </c>
      <c r="D11469" s="224">
        <f>参数调整!$K$42*怪物掉落配置方案!$D4287</f>
        <v>0</v>
      </c>
    </row>
    <row r="11470" spans="1:4" ht="16.5" hidden="1" x14ac:dyDescent="0.3">
      <c r="A11470" s="10" t="str">
        <f>基本属性!$B$23&amp;"|"&amp;基本属性!$C$23</f>
        <v>210|13</v>
      </c>
      <c r="B11470" s="10" t="str">
        <f>参数调整!$J$42</f>
        <v>新增怪物种类7掉落</v>
      </c>
      <c r="C11470" s="8" t="str">
        <f>材料产出!$BV$2</f>
        <v>新增材料8</v>
      </c>
      <c r="D11470" s="224">
        <f>参数调整!$K$42*怪物掉落配置方案!$D4288</f>
        <v>0</v>
      </c>
    </row>
    <row r="11471" spans="1:4" ht="16.5" hidden="1" x14ac:dyDescent="0.3">
      <c r="A11471" s="10" t="str">
        <f>基本属性!$B$24&amp;"|"&amp;基本属性!$C$24</f>
        <v>220|14</v>
      </c>
      <c r="B11471" s="10" t="str">
        <f>参数调整!$J$42</f>
        <v>新增怪物种类7掉落</v>
      </c>
      <c r="C11471" s="8" t="str">
        <f>材料产出!$BV$2</f>
        <v>新增材料8</v>
      </c>
      <c r="D11471" s="224">
        <f>参数调整!$K$42*怪物掉落配置方案!$D4289</f>
        <v>0</v>
      </c>
    </row>
    <row r="11472" spans="1:4" ht="16.5" hidden="1" x14ac:dyDescent="0.3">
      <c r="A11472" s="10" t="str">
        <f>基本属性!$B$25&amp;"|"&amp;基本属性!$C$25</f>
        <v>220|15</v>
      </c>
      <c r="B11472" s="10" t="str">
        <f>参数调整!$J$42</f>
        <v>新增怪物种类7掉落</v>
      </c>
      <c r="C11472" s="8" t="str">
        <f>材料产出!$BV$2</f>
        <v>新增材料8</v>
      </c>
      <c r="D11472" s="224">
        <f>参数调整!$K$42*怪物掉落配置方案!$D4290</f>
        <v>0</v>
      </c>
    </row>
    <row r="11473" spans="1:4" ht="16.5" hidden="1" x14ac:dyDescent="0.3">
      <c r="A11473" s="10" t="str">
        <f>基本属性!$B$26&amp;"|"&amp;基本属性!$C$26</f>
        <v>230|16</v>
      </c>
      <c r="B11473" s="10" t="str">
        <f>参数调整!$J$42</f>
        <v>新增怪物种类7掉落</v>
      </c>
      <c r="C11473" s="8" t="str">
        <f>材料产出!$BV$2</f>
        <v>新增材料8</v>
      </c>
      <c r="D11473" s="224">
        <f>参数调整!$K$42*怪物掉落配置方案!$D4291</f>
        <v>0</v>
      </c>
    </row>
    <row r="11474" spans="1:4" ht="16.5" hidden="1" x14ac:dyDescent="0.3">
      <c r="A11474" s="10" t="str">
        <f>基本属性!$B$27&amp;"|"&amp;基本属性!$C$27</f>
        <v>230|17</v>
      </c>
      <c r="B11474" s="10" t="str">
        <f>参数调整!$J$42</f>
        <v>新增怪物种类7掉落</v>
      </c>
      <c r="C11474" s="8" t="str">
        <f>材料产出!$BV$2</f>
        <v>新增材料8</v>
      </c>
      <c r="D11474" s="224">
        <f>参数调整!$K$42*怪物掉落配置方案!$D4292</f>
        <v>0</v>
      </c>
    </row>
    <row r="11475" spans="1:4" ht="16.5" hidden="1" x14ac:dyDescent="0.3">
      <c r="A11475" s="10" t="str">
        <f>基本属性!$B$28&amp;"|"&amp;基本属性!$C$28</f>
        <v>240|18</v>
      </c>
      <c r="B11475" s="10" t="str">
        <f>参数调整!$J$42</f>
        <v>新增怪物种类7掉落</v>
      </c>
      <c r="C11475" s="8" t="str">
        <f>材料产出!$BV$2</f>
        <v>新增材料8</v>
      </c>
      <c r="D11475" s="224">
        <f>参数调整!$K$42*怪物掉落配置方案!$D4293</f>
        <v>0</v>
      </c>
    </row>
    <row r="11476" spans="1:4" ht="16.5" hidden="1" x14ac:dyDescent="0.3">
      <c r="A11476" s="10" t="str">
        <f>基本属性!$B$29&amp;"|"&amp;基本属性!$C$29</f>
        <v>240|19</v>
      </c>
      <c r="B11476" s="10" t="str">
        <f>参数调整!$J$42</f>
        <v>新增怪物种类7掉落</v>
      </c>
      <c r="C11476" s="8" t="str">
        <f>材料产出!$BV$2</f>
        <v>新增材料8</v>
      </c>
      <c r="D11476" s="224">
        <f>参数调整!$K$42*怪物掉落配置方案!$D4294</f>
        <v>0</v>
      </c>
    </row>
    <row r="11477" spans="1:4" ht="16.5" hidden="1" x14ac:dyDescent="0.3">
      <c r="A11477" s="10" t="str">
        <f>基本属性!$B$30&amp;"|"&amp;基本属性!$C$30</f>
        <v>250|20</v>
      </c>
      <c r="B11477" s="10" t="str">
        <f>参数调整!$J$42</f>
        <v>新增怪物种类7掉落</v>
      </c>
      <c r="C11477" s="8" t="str">
        <f>材料产出!$BV$2</f>
        <v>新增材料8</v>
      </c>
      <c r="D11477" s="224">
        <f>参数调整!$K$42*怪物掉落配置方案!$D4295</f>
        <v>0</v>
      </c>
    </row>
    <row r="11478" spans="1:4" ht="16.5" hidden="1" x14ac:dyDescent="0.3">
      <c r="A11478" s="10" t="str">
        <f>基本属性!$B$4&amp;"|"&amp;基本属性!$C$4</f>
        <v>35|0</v>
      </c>
      <c r="B11478" s="10" t="str">
        <f>参数调整!$J$42</f>
        <v>新增怪物种类7掉落</v>
      </c>
      <c r="C11478" s="8" t="str">
        <f>材料产出!$BT$2</f>
        <v>新增材料7</v>
      </c>
      <c r="D11478" s="224">
        <f>参数调整!$K$42*怪物掉落配置方案!$D4296</f>
        <v>0</v>
      </c>
    </row>
    <row r="11479" spans="1:4" ht="16.5" hidden="1" x14ac:dyDescent="0.3">
      <c r="A11479" s="10" t="str">
        <f>基本属性!$B$5&amp;"|"&amp;基本属性!$C$5</f>
        <v>40|0</v>
      </c>
      <c r="B11479" s="10" t="str">
        <f>参数调整!$J$42</f>
        <v>新增怪物种类7掉落</v>
      </c>
      <c r="C11479" s="8" t="str">
        <f>材料产出!$BT$2</f>
        <v>新增材料7</v>
      </c>
      <c r="D11479" s="224">
        <f>参数调整!$K$42*怪物掉落配置方案!$D4297</f>
        <v>0</v>
      </c>
    </row>
    <row r="11480" spans="1:4" ht="16.5" hidden="1" x14ac:dyDescent="0.3">
      <c r="A11480" s="10" t="str">
        <f>基本属性!$B$6&amp;"|"&amp;基本属性!$C$6</f>
        <v>50|0</v>
      </c>
      <c r="B11480" s="10" t="str">
        <f>参数调整!$J$42</f>
        <v>新增怪物种类7掉落</v>
      </c>
      <c r="C11480" s="8" t="str">
        <f>材料产出!$BT$2</f>
        <v>新增材料7</v>
      </c>
      <c r="D11480" s="224">
        <f>参数调整!$K$42*怪物掉落配置方案!$D4298</f>
        <v>0</v>
      </c>
    </row>
    <row r="11481" spans="1:4" ht="16.5" hidden="1" x14ac:dyDescent="0.3">
      <c r="A11481" s="10" t="str">
        <f>基本属性!$B$7&amp;"|"&amp;基本属性!$C$7</f>
        <v>60|0</v>
      </c>
      <c r="B11481" s="10" t="str">
        <f>参数调整!$J$42</f>
        <v>新增怪物种类7掉落</v>
      </c>
      <c r="C11481" s="8" t="str">
        <f>材料产出!$BT$2</f>
        <v>新增材料7</v>
      </c>
      <c r="D11481" s="224">
        <f>参数调整!$K$42*怪物掉落配置方案!$D4299</f>
        <v>0</v>
      </c>
    </row>
    <row r="11482" spans="1:4" ht="16.5" hidden="1" x14ac:dyDescent="0.3">
      <c r="A11482" s="10" t="str">
        <f>基本属性!$B$8&amp;"|"&amp;基本属性!$C$8</f>
        <v>65|0</v>
      </c>
      <c r="B11482" s="10" t="str">
        <f>参数调整!$J$42</f>
        <v>新增怪物种类7掉落</v>
      </c>
      <c r="C11482" s="8" t="str">
        <f>材料产出!$BT$2</f>
        <v>新增材料7</v>
      </c>
      <c r="D11482" s="224">
        <f>参数调整!$K$42*怪物掉落配置方案!$D4300</f>
        <v>0</v>
      </c>
    </row>
    <row r="11483" spans="1:4" ht="16.5" hidden="1" x14ac:dyDescent="0.3">
      <c r="A11483" s="10" t="str">
        <f>基本属性!$B$9&amp;"|"&amp;基本属性!$C$9</f>
        <v>70|0</v>
      </c>
      <c r="B11483" s="10" t="str">
        <f>参数调整!$J$42</f>
        <v>新增怪物种类7掉落</v>
      </c>
      <c r="C11483" s="8" t="str">
        <f>材料产出!$BT$2</f>
        <v>新增材料7</v>
      </c>
      <c r="D11483" s="224">
        <f>参数调整!$K$42*怪物掉落配置方案!$D4301</f>
        <v>0</v>
      </c>
    </row>
    <row r="11484" spans="1:4" ht="16.5" hidden="1" x14ac:dyDescent="0.3">
      <c r="A11484" s="10" t="str">
        <f>基本属性!$B$10&amp;"|"&amp;基本属性!$C$10</f>
        <v>75|0</v>
      </c>
      <c r="B11484" s="10" t="str">
        <f>参数调整!$J$42</f>
        <v>新增怪物种类7掉落</v>
      </c>
      <c r="C11484" s="8" t="str">
        <f>材料产出!$BT$2</f>
        <v>新增材料7</v>
      </c>
      <c r="D11484" s="224">
        <f>参数调整!$K$42*怪物掉落配置方案!$D4302</f>
        <v>0</v>
      </c>
    </row>
    <row r="11485" spans="1:4" ht="16.5" hidden="1" x14ac:dyDescent="0.3">
      <c r="A11485" s="10" t="str">
        <f>基本属性!$B$11&amp;"|"&amp;基本属性!$C$11</f>
        <v>80|1</v>
      </c>
      <c r="B11485" s="10" t="str">
        <f>参数调整!$J$42</f>
        <v>新增怪物种类7掉落</v>
      </c>
      <c r="C11485" s="8" t="str">
        <f>材料产出!$BT$2</f>
        <v>新增材料7</v>
      </c>
      <c r="D11485" s="224">
        <f>参数调整!$K$42*怪物掉落配置方案!$D4303</f>
        <v>0</v>
      </c>
    </row>
    <row r="11486" spans="1:4" ht="16.5" hidden="1" x14ac:dyDescent="0.3">
      <c r="A11486" s="10" t="str">
        <f>基本属性!$B$12&amp;"|"&amp;基本属性!$C$12</f>
        <v>90|2</v>
      </c>
      <c r="B11486" s="10" t="str">
        <f>参数调整!$J$42</f>
        <v>新增怪物种类7掉落</v>
      </c>
      <c r="C11486" s="8" t="str">
        <f>材料产出!$BT$2</f>
        <v>新增材料7</v>
      </c>
      <c r="D11486" s="224">
        <f>参数调整!$K$42*怪物掉落配置方案!$D4304</f>
        <v>0</v>
      </c>
    </row>
    <row r="11487" spans="1:4" ht="16.5" hidden="1" x14ac:dyDescent="0.3">
      <c r="A11487" s="10" t="str">
        <f>基本属性!$B$13&amp;"|"&amp;基本属性!$C$13</f>
        <v>100|3</v>
      </c>
      <c r="B11487" s="10" t="str">
        <f>参数调整!$J$42</f>
        <v>新增怪物种类7掉落</v>
      </c>
      <c r="C11487" s="8" t="str">
        <f>材料产出!$BT$2</f>
        <v>新增材料7</v>
      </c>
      <c r="D11487" s="224">
        <f>参数调整!$K$42*怪物掉落配置方案!$D4305</f>
        <v>0</v>
      </c>
    </row>
    <row r="11488" spans="1:4" ht="16.5" hidden="1" x14ac:dyDescent="0.3">
      <c r="A11488" s="10" t="str">
        <f>基本属性!$B$14&amp;"|"&amp;基本属性!$C$14</f>
        <v>105|4</v>
      </c>
      <c r="B11488" s="10" t="str">
        <f>参数调整!$J$42</f>
        <v>新增怪物种类7掉落</v>
      </c>
      <c r="C11488" s="8" t="str">
        <f>材料产出!$BT$2</f>
        <v>新增材料7</v>
      </c>
      <c r="D11488" s="224">
        <f>参数调整!$K$42*怪物掉落配置方案!$D4306</f>
        <v>0</v>
      </c>
    </row>
    <row r="11489" spans="1:4" ht="16.5" hidden="1" x14ac:dyDescent="0.3">
      <c r="A11489" s="10" t="str">
        <f>基本属性!$B$15&amp;"|"&amp;基本属性!$C$15</f>
        <v>110|5</v>
      </c>
      <c r="B11489" s="10" t="str">
        <f>参数调整!$J$42</f>
        <v>新增怪物种类7掉落</v>
      </c>
      <c r="C11489" s="8" t="str">
        <f>材料产出!$BT$2</f>
        <v>新增材料7</v>
      </c>
      <c r="D11489" s="224">
        <f>参数调整!$K$42*怪物掉落配置方案!$D4307</f>
        <v>0</v>
      </c>
    </row>
    <row r="11490" spans="1:4" ht="16.5" hidden="1" x14ac:dyDescent="0.3">
      <c r="A11490" s="10" t="str">
        <f>基本属性!$B$16&amp;"|"&amp;基本属性!$C$16</f>
        <v>120|6</v>
      </c>
      <c r="B11490" s="10" t="str">
        <f>参数调整!$J$42</f>
        <v>新增怪物种类7掉落</v>
      </c>
      <c r="C11490" s="8" t="str">
        <f>材料产出!$BT$2</f>
        <v>新增材料7</v>
      </c>
      <c r="D11490" s="224">
        <f>参数调整!$K$42*怪物掉落配置方案!$D4308</f>
        <v>0</v>
      </c>
    </row>
    <row r="11491" spans="1:4" ht="16.5" hidden="1" x14ac:dyDescent="0.3">
      <c r="A11491" s="10" t="str">
        <f>基本属性!$B$17&amp;"|"&amp;基本属性!$C$17</f>
        <v>135|7</v>
      </c>
      <c r="B11491" s="10" t="str">
        <f>参数调整!$J$42</f>
        <v>新增怪物种类7掉落</v>
      </c>
      <c r="C11491" s="8" t="str">
        <f>材料产出!$BT$2</f>
        <v>新增材料7</v>
      </c>
      <c r="D11491" s="224">
        <f>参数调整!$K$42*怪物掉落配置方案!$D4309</f>
        <v>0</v>
      </c>
    </row>
    <row r="11492" spans="1:4" ht="16.5" hidden="1" x14ac:dyDescent="0.3">
      <c r="A11492" s="10" t="str">
        <f>基本属性!$B$18&amp;"|"&amp;基本属性!$C$18</f>
        <v>155|8</v>
      </c>
      <c r="B11492" s="10" t="str">
        <f>参数调整!$J$42</f>
        <v>新增怪物种类7掉落</v>
      </c>
      <c r="C11492" s="8" t="str">
        <f>材料产出!$BT$2</f>
        <v>新增材料7</v>
      </c>
      <c r="D11492" s="224">
        <f>参数调整!$K$42*怪物掉落配置方案!$D4310</f>
        <v>0</v>
      </c>
    </row>
    <row r="11493" spans="1:4" ht="16.5" hidden="1" x14ac:dyDescent="0.3">
      <c r="A11493" s="10" t="str">
        <f>基本属性!$B$19&amp;"|"&amp;基本属性!$C$19</f>
        <v>190|9</v>
      </c>
      <c r="B11493" s="10" t="str">
        <f>参数调整!$J$42</f>
        <v>新增怪物种类7掉落</v>
      </c>
      <c r="C11493" s="8" t="str">
        <f>材料产出!$BT$2</f>
        <v>新增材料7</v>
      </c>
      <c r="D11493" s="224">
        <f>参数调整!$K$42*怪物掉落配置方案!$D4311</f>
        <v>0</v>
      </c>
    </row>
    <row r="11494" spans="1:4" ht="16.5" hidden="1" x14ac:dyDescent="0.3">
      <c r="A11494" s="10" t="str">
        <f>基本属性!$B$20&amp;"|"&amp;基本属性!$C$20</f>
        <v>200|10</v>
      </c>
      <c r="B11494" s="10" t="str">
        <f>参数调整!$J$42</f>
        <v>新增怪物种类7掉落</v>
      </c>
      <c r="C11494" s="8" t="str">
        <f>材料产出!$BT$2</f>
        <v>新增材料7</v>
      </c>
      <c r="D11494" s="224">
        <f>参数调整!$K$42*怪物掉落配置方案!$D4312</f>
        <v>0</v>
      </c>
    </row>
    <row r="11495" spans="1:4" ht="16.5" hidden="1" x14ac:dyDescent="0.3">
      <c r="A11495" s="10" t="str">
        <f>基本属性!$B$21&amp;"|"&amp;基本属性!$C$21</f>
        <v>200|11</v>
      </c>
      <c r="B11495" s="10" t="str">
        <f>参数调整!$J$42</f>
        <v>新增怪物种类7掉落</v>
      </c>
      <c r="C11495" s="8" t="str">
        <f>材料产出!$BT$2</f>
        <v>新增材料7</v>
      </c>
      <c r="D11495" s="224">
        <f>参数调整!$K$42*怪物掉落配置方案!$D4313</f>
        <v>0</v>
      </c>
    </row>
    <row r="11496" spans="1:4" ht="16.5" hidden="1" x14ac:dyDescent="0.3">
      <c r="A11496" s="10" t="str">
        <f>基本属性!$B$22&amp;"|"&amp;基本属性!$C$22</f>
        <v>210|12</v>
      </c>
      <c r="B11496" s="10" t="str">
        <f>参数调整!$J$42</f>
        <v>新增怪物种类7掉落</v>
      </c>
      <c r="C11496" s="8" t="str">
        <f>材料产出!$BT$2</f>
        <v>新增材料7</v>
      </c>
      <c r="D11496" s="224">
        <f>参数调整!$K$42*怪物掉落配置方案!$D4314</f>
        <v>0</v>
      </c>
    </row>
    <row r="11497" spans="1:4" ht="16.5" hidden="1" x14ac:dyDescent="0.3">
      <c r="A11497" s="10" t="str">
        <f>基本属性!$B$23&amp;"|"&amp;基本属性!$C$23</f>
        <v>210|13</v>
      </c>
      <c r="B11497" s="10" t="str">
        <f>参数调整!$J$42</f>
        <v>新增怪物种类7掉落</v>
      </c>
      <c r="C11497" s="8" t="str">
        <f>材料产出!$BT$2</f>
        <v>新增材料7</v>
      </c>
      <c r="D11497" s="224">
        <f>参数调整!$K$42*怪物掉落配置方案!$D4315</f>
        <v>0</v>
      </c>
    </row>
    <row r="11498" spans="1:4" ht="16.5" hidden="1" x14ac:dyDescent="0.3">
      <c r="A11498" s="10" t="str">
        <f>基本属性!$B$24&amp;"|"&amp;基本属性!$C$24</f>
        <v>220|14</v>
      </c>
      <c r="B11498" s="10" t="str">
        <f>参数调整!$J$42</f>
        <v>新增怪物种类7掉落</v>
      </c>
      <c r="C11498" s="8" t="str">
        <f>材料产出!$BT$2</f>
        <v>新增材料7</v>
      </c>
      <c r="D11498" s="224">
        <f>参数调整!$K$42*怪物掉落配置方案!$D4316</f>
        <v>0</v>
      </c>
    </row>
    <row r="11499" spans="1:4" ht="16.5" hidden="1" x14ac:dyDescent="0.3">
      <c r="A11499" s="10" t="str">
        <f>基本属性!$B$25&amp;"|"&amp;基本属性!$C$25</f>
        <v>220|15</v>
      </c>
      <c r="B11499" s="10" t="str">
        <f>参数调整!$J$42</f>
        <v>新增怪物种类7掉落</v>
      </c>
      <c r="C11499" s="8" t="str">
        <f>材料产出!$BT$2</f>
        <v>新增材料7</v>
      </c>
      <c r="D11499" s="224">
        <f>参数调整!$K$42*怪物掉落配置方案!$D4317</f>
        <v>0</v>
      </c>
    </row>
    <row r="11500" spans="1:4" ht="16.5" hidden="1" x14ac:dyDescent="0.3">
      <c r="A11500" s="10" t="str">
        <f>基本属性!$B$26&amp;"|"&amp;基本属性!$C$26</f>
        <v>230|16</v>
      </c>
      <c r="B11500" s="10" t="str">
        <f>参数调整!$J$42</f>
        <v>新增怪物种类7掉落</v>
      </c>
      <c r="C11500" s="8" t="str">
        <f>材料产出!$BT$2</f>
        <v>新增材料7</v>
      </c>
      <c r="D11500" s="224">
        <f>参数调整!$K$42*怪物掉落配置方案!$D4318</f>
        <v>0</v>
      </c>
    </row>
    <row r="11501" spans="1:4" ht="16.5" hidden="1" x14ac:dyDescent="0.3">
      <c r="A11501" s="10" t="str">
        <f>基本属性!$B$27&amp;"|"&amp;基本属性!$C$27</f>
        <v>230|17</v>
      </c>
      <c r="B11501" s="10" t="str">
        <f>参数调整!$J$42</f>
        <v>新增怪物种类7掉落</v>
      </c>
      <c r="C11501" s="8" t="str">
        <f>材料产出!$BT$2</f>
        <v>新增材料7</v>
      </c>
      <c r="D11501" s="224">
        <f>参数调整!$K$42*怪物掉落配置方案!$D4319</f>
        <v>0</v>
      </c>
    </row>
    <row r="11502" spans="1:4" ht="16.5" hidden="1" x14ac:dyDescent="0.3">
      <c r="A11502" s="10" t="str">
        <f>基本属性!$B$28&amp;"|"&amp;基本属性!$C$28</f>
        <v>240|18</v>
      </c>
      <c r="B11502" s="10" t="str">
        <f>参数调整!$J$42</f>
        <v>新增怪物种类7掉落</v>
      </c>
      <c r="C11502" s="8" t="str">
        <f>材料产出!$BT$2</f>
        <v>新增材料7</v>
      </c>
      <c r="D11502" s="224">
        <f>参数调整!$K$42*怪物掉落配置方案!$D4320</f>
        <v>0</v>
      </c>
    </row>
    <row r="11503" spans="1:4" ht="16.5" hidden="1" x14ac:dyDescent="0.3">
      <c r="A11503" s="10" t="str">
        <f>基本属性!$B$29&amp;"|"&amp;基本属性!$C$29</f>
        <v>240|19</v>
      </c>
      <c r="B11503" s="10" t="str">
        <f>参数调整!$J$42</f>
        <v>新增怪物种类7掉落</v>
      </c>
      <c r="C11503" s="8" t="str">
        <f>材料产出!$BT$2</f>
        <v>新增材料7</v>
      </c>
      <c r="D11503" s="224">
        <f>参数调整!$K$42*怪物掉落配置方案!$D4321</f>
        <v>0</v>
      </c>
    </row>
    <row r="11504" spans="1:4" ht="16.5" hidden="1" x14ac:dyDescent="0.3">
      <c r="A11504" s="10" t="str">
        <f>基本属性!$B$30&amp;"|"&amp;基本属性!$C$30</f>
        <v>250|20</v>
      </c>
      <c r="B11504" s="10" t="str">
        <f>参数调整!$J$42</f>
        <v>新增怪物种类7掉落</v>
      </c>
      <c r="C11504" s="8" t="str">
        <f>材料产出!$BT$2</f>
        <v>新增材料7</v>
      </c>
      <c r="D11504" s="224">
        <f>参数调整!$K$42*怪物掉落配置方案!$D4322</f>
        <v>0</v>
      </c>
    </row>
    <row r="11505" spans="1:4" ht="16.5" hidden="1" x14ac:dyDescent="0.3">
      <c r="A11505" s="10" t="str">
        <f>基本属性!$B$4&amp;"|"&amp;基本属性!$C$4</f>
        <v>35|0</v>
      </c>
      <c r="B11505" s="10" t="str">
        <f>参数调整!$J$42</f>
        <v>新增怪物种类7掉落</v>
      </c>
      <c r="C11505" s="8" t="str">
        <f>材料产出!$BR$2</f>
        <v>新增材料6</v>
      </c>
      <c r="D11505" s="224">
        <f>参数调整!$K$42*怪物掉落配置方案!$D4323</f>
        <v>0</v>
      </c>
    </row>
    <row r="11506" spans="1:4" ht="16.5" hidden="1" x14ac:dyDescent="0.3">
      <c r="A11506" s="10" t="str">
        <f>基本属性!$B$5&amp;"|"&amp;基本属性!$C$5</f>
        <v>40|0</v>
      </c>
      <c r="B11506" s="10" t="str">
        <f>参数调整!$J$42</f>
        <v>新增怪物种类7掉落</v>
      </c>
      <c r="C11506" s="8" t="str">
        <f>材料产出!$BR$2</f>
        <v>新增材料6</v>
      </c>
      <c r="D11506" s="224">
        <f>参数调整!$K$42*怪物掉落配置方案!$D4324</f>
        <v>0</v>
      </c>
    </row>
    <row r="11507" spans="1:4" ht="16.5" hidden="1" x14ac:dyDescent="0.3">
      <c r="A11507" s="10" t="str">
        <f>基本属性!$B$6&amp;"|"&amp;基本属性!$C$6</f>
        <v>50|0</v>
      </c>
      <c r="B11507" s="10" t="str">
        <f>参数调整!$J$42</f>
        <v>新增怪物种类7掉落</v>
      </c>
      <c r="C11507" s="8" t="str">
        <f>材料产出!$BR$2</f>
        <v>新增材料6</v>
      </c>
      <c r="D11507" s="224">
        <f>参数调整!$K$42*怪物掉落配置方案!$D4325</f>
        <v>0</v>
      </c>
    </row>
    <row r="11508" spans="1:4" ht="16.5" hidden="1" x14ac:dyDescent="0.3">
      <c r="A11508" s="10" t="str">
        <f>基本属性!$B$7&amp;"|"&amp;基本属性!$C$7</f>
        <v>60|0</v>
      </c>
      <c r="B11508" s="10" t="str">
        <f>参数调整!$J$42</f>
        <v>新增怪物种类7掉落</v>
      </c>
      <c r="C11508" s="8" t="str">
        <f>材料产出!$BR$2</f>
        <v>新增材料6</v>
      </c>
      <c r="D11508" s="224">
        <f>参数调整!$K$42*怪物掉落配置方案!$D4326</f>
        <v>0</v>
      </c>
    </row>
    <row r="11509" spans="1:4" ht="16.5" hidden="1" x14ac:dyDescent="0.3">
      <c r="A11509" s="10" t="str">
        <f>基本属性!$B$8&amp;"|"&amp;基本属性!$C$8</f>
        <v>65|0</v>
      </c>
      <c r="B11509" s="10" t="str">
        <f>参数调整!$J$42</f>
        <v>新增怪物种类7掉落</v>
      </c>
      <c r="C11509" s="8" t="str">
        <f>材料产出!$BR$2</f>
        <v>新增材料6</v>
      </c>
      <c r="D11509" s="224">
        <f>参数调整!$K$42*怪物掉落配置方案!$D4327</f>
        <v>0</v>
      </c>
    </row>
    <row r="11510" spans="1:4" ht="16.5" hidden="1" x14ac:dyDescent="0.3">
      <c r="A11510" s="10" t="str">
        <f>基本属性!$B$9&amp;"|"&amp;基本属性!$C$9</f>
        <v>70|0</v>
      </c>
      <c r="B11510" s="10" t="str">
        <f>参数调整!$J$42</f>
        <v>新增怪物种类7掉落</v>
      </c>
      <c r="C11510" s="8" t="str">
        <f>材料产出!$BR$2</f>
        <v>新增材料6</v>
      </c>
      <c r="D11510" s="224">
        <f>参数调整!$K$42*怪物掉落配置方案!$D4328</f>
        <v>0</v>
      </c>
    </row>
    <row r="11511" spans="1:4" ht="16.5" hidden="1" x14ac:dyDescent="0.3">
      <c r="A11511" s="10" t="str">
        <f>基本属性!$B$10&amp;"|"&amp;基本属性!$C$10</f>
        <v>75|0</v>
      </c>
      <c r="B11511" s="10" t="str">
        <f>参数调整!$J$42</f>
        <v>新增怪物种类7掉落</v>
      </c>
      <c r="C11511" s="8" t="str">
        <f>材料产出!$BR$2</f>
        <v>新增材料6</v>
      </c>
      <c r="D11511" s="224">
        <f>参数调整!$K$42*怪物掉落配置方案!$D4329</f>
        <v>0</v>
      </c>
    </row>
    <row r="11512" spans="1:4" ht="16.5" hidden="1" x14ac:dyDescent="0.3">
      <c r="A11512" s="10" t="str">
        <f>基本属性!$B$11&amp;"|"&amp;基本属性!$C$11</f>
        <v>80|1</v>
      </c>
      <c r="B11512" s="10" t="str">
        <f>参数调整!$J$42</f>
        <v>新增怪物种类7掉落</v>
      </c>
      <c r="C11512" s="8" t="str">
        <f>材料产出!$BR$2</f>
        <v>新增材料6</v>
      </c>
      <c r="D11512" s="224">
        <f>参数调整!$K$42*怪物掉落配置方案!$D4330</f>
        <v>0</v>
      </c>
    </row>
    <row r="11513" spans="1:4" ht="16.5" hidden="1" x14ac:dyDescent="0.3">
      <c r="A11513" s="10" t="str">
        <f>基本属性!$B$12&amp;"|"&amp;基本属性!$C$12</f>
        <v>90|2</v>
      </c>
      <c r="B11513" s="10" t="str">
        <f>参数调整!$J$42</f>
        <v>新增怪物种类7掉落</v>
      </c>
      <c r="C11513" s="8" t="str">
        <f>材料产出!$BR$2</f>
        <v>新增材料6</v>
      </c>
      <c r="D11513" s="224">
        <f>参数调整!$K$42*怪物掉落配置方案!$D4331</f>
        <v>0</v>
      </c>
    </row>
    <row r="11514" spans="1:4" ht="16.5" hidden="1" x14ac:dyDescent="0.3">
      <c r="A11514" s="10" t="str">
        <f>基本属性!$B$13&amp;"|"&amp;基本属性!$C$13</f>
        <v>100|3</v>
      </c>
      <c r="B11514" s="10" t="str">
        <f>参数调整!$J$42</f>
        <v>新增怪物种类7掉落</v>
      </c>
      <c r="C11514" s="8" t="str">
        <f>材料产出!$BR$2</f>
        <v>新增材料6</v>
      </c>
      <c r="D11514" s="224">
        <f>参数调整!$K$42*怪物掉落配置方案!$D4332</f>
        <v>0</v>
      </c>
    </row>
    <row r="11515" spans="1:4" ht="16.5" hidden="1" x14ac:dyDescent="0.3">
      <c r="A11515" s="10" t="str">
        <f>基本属性!$B$14&amp;"|"&amp;基本属性!$C$14</f>
        <v>105|4</v>
      </c>
      <c r="B11515" s="10" t="str">
        <f>参数调整!$J$42</f>
        <v>新增怪物种类7掉落</v>
      </c>
      <c r="C11515" s="8" t="str">
        <f>材料产出!$BR$2</f>
        <v>新增材料6</v>
      </c>
      <c r="D11515" s="224">
        <f>参数调整!$K$42*怪物掉落配置方案!$D4333</f>
        <v>0</v>
      </c>
    </row>
    <row r="11516" spans="1:4" ht="16.5" hidden="1" x14ac:dyDescent="0.3">
      <c r="A11516" s="10" t="str">
        <f>基本属性!$B$15&amp;"|"&amp;基本属性!$C$15</f>
        <v>110|5</v>
      </c>
      <c r="B11516" s="10" t="str">
        <f>参数调整!$J$42</f>
        <v>新增怪物种类7掉落</v>
      </c>
      <c r="C11516" s="8" t="str">
        <f>材料产出!$BR$2</f>
        <v>新增材料6</v>
      </c>
      <c r="D11516" s="224">
        <f>参数调整!$K$42*怪物掉落配置方案!$D4334</f>
        <v>0</v>
      </c>
    </row>
    <row r="11517" spans="1:4" ht="16.5" hidden="1" x14ac:dyDescent="0.3">
      <c r="A11517" s="10" t="str">
        <f>基本属性!$B$16&amp;"|"&amp;基本属性!$C$16</f>
        <v>120|6</v>
      </c>
      <c r="B11517" s="10" t="str">
        <f>参数调整!$J$42</f>
        <v>新增怪物种类7掉落</v>
      </c>
      <c r="C11517" s="8" t="str">
        <f>材料产出!$BR$2</f>
        <v>新增材料6</v>
      </c>
      <c r="D11517" s="224">
        <f>参数调整!$K$42*怪物掉落配置方案!$D4335</f>
        <v>0</v>
      </c>
    </row>
    <row r="11518" spans="1:4" ht="16.5" hidden="1" x14ac:dyDescent="0.3">
      <c r="A11518" s="10" t="str">
        <f>基本属性!$B$17&amp;"|"&amp;基本属性!$C$17</f>
        <v>135|7</v>
      </c>
      <c r="B11518" s="10" t="str">
        <f>参数调整!$J$42</f>
        <v>新增怪物种类7掉落</v>
      </c>
      <c r="C11518" s="8" t="str">
        <f>材料产出!$BR$2</f>
        <v>新增材料6</v>
      </c>
      <c r="D11518" s="224">
        <f>参数调整!$K$42*怪物掉落配置方案!$D4336</f>
        <v>0</v>
      </c>
    </row>
    <row r="11519" spans="1:4" ht="16.5" hidden="1" x14ac:dyDescent="0.3">
      <c r="A11519" s="10" t="str">
        <f>基本属性!$B$18&amp;"|"&amp;基本属性!$C$18</f>
        <v>155|8</v>
      </c>
      <c r="B11519" s="10" t="str">
        <f>参数调整!$J$42</f>
        <v>新增怪物种类7掉落</v>
      </c>
      <c r="C11519" s="8" t="str">
        <f>材料产出!$BR$2</f>
        <v>新增材料6</v>
      </c>
      <c r="D11519" s="224">
        <f>参数调整!$K$42*怪物掉落配置方案!$D4337</f>
        <v>0</v>
      </c>
    </row>
    <row r="11520" spans="1:4" ht="16.5" hidden="1" x14ac:dyDescent="0.3">
      <c r="A11520" s="10" t="str">
        <f>基本属性!$B$19&amp;"|"&amp;基本属性!$C$19</f>
        <v>190|9</v>
      </c>
      <c r="B11520" s="10" t="str">
        <f>参数调整!$J$42</f>
        <v>新增怪物种类7掉落</v>
      </c>
      <c r="C11520" s="8" t="str">
        <f>材料产出!$BR$2</f>
        <v>新增材料6</v>
      </c>
      <c r="D11520" s="224">
        <f>参数调整!$K$42*怪物掉落配置方案!$D4338</f>
        <v>0</v>
      </c>
    </row>
    <row r="11521" spans="1:4" ht="16.5" hidden="1" x14ac:dyDescent="0.3">
      <c r="A11521" s="10" t="str">
        <f>基本属性!$B$20&amp;"|"&amp;基本属性!$C$20</f>
        <v>200|10</v>
      </c>
      <c r="B11521" s="10" t="str">
        <f>参数调整!$J$42</f>
        <v>新增怪物种类7掉落</v>
      </c>
      <c r="C11521" s="8" t="str">
        <f>材料产出!$BR$2</f>
        <v>新增材料6</v>
      </c>
      <c r="D11521" s="224">
        <f>参数调整!$K$42*怪物掉落配置方案!$D4339</f>
        <v>0</v>
      </c>
    </row>
    <row r="11522" spans="1:4" ht="16.5" hidden="1" x14ac:dyDescent="0.3">
      <c r="A11522" s="10" t="str">
        <f>基本属性!$B$21&amp;"|"&amp;基本属性!$C$21</f>
        <v>200|11</v>
      </c>
      <c r="B11522" s="10" t="str">
        <f>参数调整!$J$42</f>
        <v>新增怪物种类7掉落</v>
      </c>
      <c r="C11522" s="8" t="str">
        <f>材料产出!$BR$2</f>
        <v>新增材料6</v>
      </c>
      <c r="D11522" s="224">
        <f>参数调整!$K$42*怪物掉落配置方案!$D4340</f>
        <v>0</v>
      </c>
    </row>
    <row r="11523" spans="1:4" ht="16.5" hidden="1" x14ac:dyDescent="0.3">
      <c r="A11523" s="10" t="str">
        <f>基本属性!$B$22&amp;"|"&amp;基本属性!$C$22</f>
        <v>210|12</v>
      </c>
      <c r="B11523" s="10" t="str">
        <f>参数调整!$J$42</f>
        <v>新增怪物种类7掉落</v>
      </c>
      <c r="C11523" s="8" t="str">
        <f>材料产出!$BR$2</f>
        <v>新增材料6</v>
      </c>
      <c r="D11523" s="224">
        <f>参数调整!$K$42*怪物掉落配置方案!$D4341</f>
        <v>0</v>
      </c>
    </row>
    <row r="11524" spans="1:4" ht="16.5" hidden="1" x14ac:dyDescent="0.3">
      <c r="A11524" s="10" t="str">
        <f>基本属性!$B$23&amp;"|"&amp;基本属性!$C$23</f>
        <v>210|13</v>
      </c>
      <c r="B11524" s="10" t="str">
        <f>参数调整!$J$42</f>
        <v>新增怪物种类7掉落</v>
      </c>
      <c r="C11524" s="8" t="str">
        <f>材料产出!$BR$2</f>
        <v>新增材料6</v>
      </c>
      <c r="D11524" s="224">
        <f>参数调整!$K$42*怪物掉落配置方案!$D4342</f>
        <v>0</v>
      </c>
    </row>
    <row r="11525" spans="1:4" ht="16.5" hidden="1" x14ac:dyDescent="0.3">
      <c r="A11525" s="10" t="str">
        <f>基本属性!$B$24&amp;"|"&amp;基本属性!$C$24</f>
        <v>220|14</v>
      </c>
      <c r="B11525" s="10" t="str">
        <f>参数调整!$J$42</f>
        <v>新增怪物种类7掉落</v>
      </c>
      <c r="C11525" s="8" t="str">
        <f>材料产出!$BR$2</f>
        <v>新增材料6</v>
      </c>
      <c r="D11525" s="224">
        <f>参数调整!$K$42*怪物掉落配置方案!$D4343</f>
        <v>0</v>
      </c>
    </row>
    <row r="11526" spans="1:4" ht="16.5" hidden="1" x14ac:dyDescent="0.3">
      <c r="A11526" s="10" t="str">
        <f>基本属性!$B$25&amp;"|"&amp;基本属性!$C$25</f>
        <v>220|15</v>
      </c>
      <c r="B11526" s="10" t="str">
        <f>参数调整!$J$42</f>
        <v>新增怪物种类7掉落</v>
      </c>
      <c r="C11526" s="8" t="str">
        <f>材料产出!$BR$2</f>
        <v>新增材料6</v>
      </c>
      <c r="D11526" s="224">
        <f>参数调整!$K$42*怪物掉落配置方案!$D4344</f>
        <v>0</v>
      </c>
    </row>
    <row r="11527" spans="1:4" ht="16.5" hidden="1" x14ac:dyDescent="0.3">
      <c r="A11527" s="10" t="str">
        <f>基本属性!$B$26&amp;"|"&amp;基本属性!$C$26</f>
        <v>230|16</v>
      </c>
      <c r="B11527" s="10" t="str">
        <f>参数调整!$J$42</f>
        <v>新增怪物种类7掉落</v>
      </c>
      <c r="C11527" s="8" t="str">
        <f>材料产出!$BR$2</f>
        <v>新增材料6</v>
      </c>
      <c r="D11527" s="224">
        <f>参数调整!$K$42*怪物掉落配置方案!$D4345</f>
        <v>0</v>
      </c>
    </row>
    <row r="11528" spans="1:4" ht="16.5" hidden="1" x14ac:dyDescent="0.3">
      <c r="A11528" s="10" t="str">
        <f>基本属性!$B$27&amp;"|"&amp;基本属性!$C$27</f>
        <v>230|17</v>
      </c>
      <c r="B11528" s="10" t="str">
        <f>参数调整!$J$42</f>
        <v>新增怪物种类7掉落</v>
      </c>
      <c r="C11528" s="8" t="str">
        <f>材料产出!$BR$2</f>
        <v>新增材料6</v>
      </c>
      <c r="D11528" s="224">
        <f>参数调整!$K$42*怪物掉落配置方案!$D4346</f>
        <v>0</v>
      </c>
    </row>
    <row r="11529" spans="1:4" ht="16.5" hidden="1" x14ac:dyDescent="0.3">
      <c r="A11529" s="10" t="str">
        <f>基本属性!$B$28&amp;"|"&amp;基本属性!$C$28</f>
        <v>240|18</v>
      </c>
      <c r="B11529" s="10" t="str">
        <f>参数调整!$J$42</f>
        <v>新增怪物种类7掉落</v>
      </c>
      <c r="C11529" s="8" t="str">
        <f>材料产出!$BR$2</f>
        <v>新增材料6</v>
      </c>
      <c r="D11529" s="224">
        <f>参数调整!$K$42*怪物掉落配置方案!$D4347</f>
        <v>0</v>
      </c>
    </row>
    <row r="11530" spans="1:4" ht="16.5" hidden="1" x14ac:dyDescent="0.3">
      <c r="A11530" s="10" t="str">
        <f>基本属性!$B$29&amp;"|"&amp;基本属性!$C$29</f>
        <v>240|19</v>
      </c>
      <c r="B11530" s="10" t="str">
        <f>参数调整!$J$42</f>
        <v>新增怪物种类7掉落</v>
      </c>
      <c r="C11530" s="8" t="str">
        <f>材料产出!$BR$2</f>
        <v>新增材料6</v>
      </c>
      <c r="D11530" s="224">
        <f>参数调整!$K$42*怪物掉落配置方案!$D4348</f>
        <v>0</v>
      </c>
    </row>
    <row r="11531" spans="1:4" ht="16.5" hidden="1" x14ac:dyDescent="0.3">
      <c r="A11531" s="10" t="str">
        <f>基本属性!$B$30&amp;"|"&amp;基本属性!$C$30</f>
        <v>250|20</v>
      </c>
      <c r="B11531" s="10" t="str">
        <f>参数调整!$J$42</f>
        <v>新增怪物种类7掉落</v>
      </c>
      <c r="C11531" s="8" t="str">
        <f>材料产出!$BR$2</f>
        <v>新增材料6</v>
      </c>
      <c r="D11531" s="224">
        <f>参数调整!$K$42*怪物掉落配置方案!$D4349</f>
        <v>0</v>
      </c>
    </row>
    <row r="11532" spans="1:4" ht="16.5" hidden="1" x14ac:dyDescent="0.3">
      <c r="A11532" s="10" t="str">
        <f>基本属性!$B$4&amp;"|"&amp;基本属性!$C$4</f>
        <v>35|0</v>
      </c>
      <c r="B11532" s="10" t="str">
        <f>参数调整!$J$42</f>
        <v>新增怪物种类7掉落</v>
      </c>
      <c r="C11532" s="8" t="str">
        <f>材料产出!$BP$2</f>
        <v>新增材料5</v>
      </c>
      <c r="D11532" s="224">
        <f>参数调整!$K$42*怪物掉落配置方案!$D4350</f>
        <v>0</v>
      </c>
    </row>
    <row r="11533" spans="1:4" ht="16.5" hidden="1" x14ac:dyDescent="0.3">
      <c r="A11533" s="10" t="str">
        <f>基本属性!$B$5&amp;"|"&amp;基本属性!$C$5</f>
        <v>40|0</v>
      </c>
      <c r="B11533" s="10" t="str">
        <f>参数调整!$J$42</f>
        <v>新增怪物种类7掉落</v>
      </c>
      <c r="C11533" s="8" t="str">
        <f>材料产出!$BP$2</f>
        <v>新增材料5</v>
      </c>
      <c r="D11533" s="224">
        <f>参数调整!$K$42*怪物掉落配置方案!$D4351</f>
        <v>0</v>
      </c>
    </row>
    <row r="11534" spans="1:4" ht="16.5" hidden="1" x14ac:dyDescent="0.3">
      <c r="A11534" s="10" t="str">
        <f>基本属性!$B$6&amp;"|"&amp;基本属性!$C$6</f>
        <v>50|0</v>
      </c>
      <c r="B11534" s="10" t="str">
        <f>参数调整!$J$42</f>
        <v>新增怪物种类7掉落</v>
      </c>
      <c r="C11534" s="8" t="str">
        <f>材料产出!$BP$2</f>
        <v>新增材料5</v>
      </c>
      <c r="D11534" s="224">
        <f>参数调整!$K$42*怪物掉落配置方案!$D4352</f>
        <v>0</v>
      </c>
    </row>
    <row r="11535" spans="1:4" ht="16.5" hidden="1" x14ac:dyDescent="0.3">
      <c r="A11535" s="10" t="str">
        <f>基本属性!$B$7&amp;"|"&amp;基本属性!$C$7</f>
        <v>60|0</v>
      </c>
      <c r="B11535" s="10" t="str">
        <f>参数调整!$J$42</f>
        <v>新增怪物种类7掉落</v>
      </c>
      <c r="C11535" s="8" t="str">
        <f>材料产出!$BP$2</f>
        <v>新增材料5</v>
      </c>
      <c r="D11535" s="224">
        <f>参数调整!$K$42*怪物掉落配置方案!$D4353</f>
        <v>0</v>
      </c>
    </row>
    <row r="11536" spans="1:4" ht="16.5" hidden="1" x14ac:dyDescent="0.3">
      <c r="A11536" s="10" t="str">
        <f>基本属性!$B$8&amp;"|"&amp;基本属性!$C$8</f>
        <v>65|0</v>
      </c>
      <c r="B11536" s="10" t="str">
        <f>参数调整!$J$42</f>
        <v>新增怪物种类7掉落</v>
      </c>
      <c r="C11536" s="8" t="str">
        <f>材料产出!$BP$2</f>
        <v>新增材料5</v>
      </c>
      <c r="D11536" s="224">
        <f>参数调整!$K$42*怪物掉落配置方案!$D4354</f>
        <v>0</v>
      </c>
    </row>
    <row r="11537" spans="1:4" ht="16.5" hidden="1" x14ac:dyDescent="0.3">
      <c r="A11537" s="10" t="str">
        <f>基本属性!$B$9&amp;"|"&amp;基本属性!$C$9</f>
        <v>70|0</v>
      </c>
      <c r="B11537" s="10" t="str">
        <f>参数调整!$J$42</f>
        <v>新增怪物种类7掉落</v>
      </c>
      <c r="C11537" s="8" t="str">
        <f>材料产出!$BP$2</f>
        <v>新增材料5</v>
      </c>
      <c r="D11537" s="224">
        <f>参数调整!$K$42*怪物掉落配置方案!$D4355</f>
        <v>0</v>
      </c>
    </row>
    <row r="11538" spans="1:4" ht="16.5" hidden="1" x14ac:dyDescent="0.3">
      <c r="A11538" s="10" t="str">
        <f>基本属性!$B$10&amp;"|"&amp;基本属性!$C$10</f>
        <v>75|0</v>
      </c>
      <c r="B11538" s="10" t="str">
        <f>参数调整!$J$42</f>
        <v>新增怪物种类7掉落</v>
      </c>
      <c r="C11538" s="8" t="str">
        <f>材料产出!$BP$2</f>
        <v>新增材料5</v>
      </c>
      <c r="D11538" s="224">
        <f>参数调整!$K$42*怪物掉落配置方案!$D4356</f>
        <v>0</v>
      </c>
    </row>
    <row r="11539" spans="1:4" ht="16.5" hidden="1" x14ac:dyDescent="0.3">
      <c r="A11539" s="10" t="str">
        <f>基本属性!$B$11&amp;"|"&amp;基本属性!$C$11</f>
        <v>80|1</v>
      </c>
      <c r="B11539" s="10" t="str">
        <f>参数调整!$J$42</f>
        <v>新增怪物种类7掉落</v>
      </c>
      <c r="C11539" s="8" t="str">
        <f>材料产出!$BP$2</f>
        <v>新增材料5</v>
      </c>
      <c r="D11539" s="224">
        <f>参数调整!$K$42*怪物掉落配置方案!$D4357</f>
        <v>0</v>
      </c>
    </row>
    <row r="11540" spans="1:4" ht="16.5" hidden="1" x14ac:dyDescent="0.3">
      <c r="A11540" s="10" t="str">
        <f>基本属性!$B$12&amp;"|"&amp;基本属性!$C$12</f>
        <v>90|2</v>
      </c>
      <c r="B11540" s="10" t="str">
        <f>参数调整!$J$42</f>
        <v>新增怪物种类7掉落</v>
      </c>
      <c r="C11540" s="8" t="str">
        <f>材料产出!$BP$2</f>
        <v>新增材料5</v>
      </c>
      <c r="D11540" s="224">
        <f>参数调整!$K$42*怪物掉落配置方案!$D4358</f>
        <v>0</v>
      </c>
    </row>
    <row r="11541" spans="1:4" ht="16.5" hidden="1" x14ac:dyDescent="0.3">
      <c r="A11541" s="10" t="str">
        <f>基本属性!$B$13&amp;"|"&amp;基本属性!$C$13</f>
        <v>100|3</v>
      </c>
      <c r="B11541" s="10" t="str">
        <f>参数调整!$J$42</f>
        <v>新增怪物种类7掉落</v>
      </c>
      <c r="C11541" s="8" t="str">
        <f>材料产出!$BP$2</f>
        <v>新增材料5</v>
      </c>
      <c r="D11541" s="224">
        <f>参数调整!$K$42*怪物掉落配置方案!$D4359</f>
        <v>0</v>
      </c>
    </row>
    <row r="11542" spans="1:4" ht="16.5" hidden="1" x14ac:dyDescent="0.3">
      <c r="A11542" s="10" t="str">
        <f>基本属性!$B$14&amp;"|"&amp;基本属性!$C$14</f>
        <v>105|4</v>
      </c>
      <c r="B11542" s="10" t="str">
        <f>参数调整!$J$42</f>
        <v>新增怪物种类7掉落</v>
      </c>
      <c r="C11542" s="8" t="str">
        <f>材料产出!$BP$2</f>
        <v>新增材料5</v>
      </c>
      <c r="D11542" s="224">
        <f>参数调整!$K$42*怪物掉落配置方案!$D4360</f>
        <v>0</v>
      </c>
    </row>
    <row r="11543" spans="1:4" ht="16.5" hidden="1" x14ac:dyDescent="0.3">
      <c r="A11543" s="10" t="str">
        <f>基本属性!$B$15&amp;"|"&amp;基本属性!$C$15</f>
        <v>110|5</v>
      </c>
      <c r="B11543" s="10" t="str">
        <f>参数调整!$J$42</f>
        <v>新增怪物种类7掉落</v>
      </c>
      <c r="C11543" s="8" t="str">
        <f>材料产出!$BP$2</f>
        <v>新增材料5</v>
      </c>
      <c r="D11543" s="224">
        <f>参数调整!$K$42*怪物掉落配置方案!$D4361</f>
        <v>0</v>
      </c>
    </row>
    <row r="11544" spans="1:4" ht="16.5" hidden="1" x14ac:dyDescent="0.3">
      <c r="A11544" s="10" t="str">
        <f>基本属性!$B$16&amp;"|"&amp;基本属性!$C$16</f>
        <v>120|6</v>
      </c>
      <c r="B11544" s="10" t="str">
        <f>参数调整!$J$42</f>
        <v>新增怪物种类7掉落</v>
      </c>
      <c r="C11544" s="8" t="str">
        <f>材料产出!$BP$2</f>
        <v>新增材料5</v>
      </c>
      <c r="D11544" s="224">
        <f>参数调整!$K$42*怪物掉落配置方案!$D4362</f>
        <v>0</v>
      </c>
    </row>
    <row r="11545" spans="1:4" ht="16.5" hidden="1" x14ac:dyDescent="0.3">
      <c r="A11545" s="10" t="str">
        <f>基本属性!$B$17&amp;"|"&amp;基本属性!$C$17</f>
        <v>135|7</v>
      </c>
      <c r="B11545" s="10" t="str">
        <f>参数调整!$J$42</f>
        <v>新增怪物种类7掉落</v>
      </c>
      <c r="C11545" s="8" t="str">
        <f>材料产出!$BP$2</f>
        <v>新增材料5</v>
      </c>
      <c r="D11545" s="224">
        <f>参数调整!$K$42*怪物掉落配置方案!$D4363</f>
        <v>0</v>
      </c>
    </row>
    <row r="11546" spans="1:4" ht="16.5" hidden="1" x14ac:dyDescent="0.3">
      <c r="A11546" s="10" t="str">
        <f>基本属性!$B$18&amp;"|"&amp;基本属性!$C$18</f>
        <v>155|8</v>
      </c>
      <c r="B11546" s="10" t="str">
        <f>参数调整!$J$42</f>
        <v>新增怪物种类7掉落</v>
      </c>
      <c r="C11546" s="8" t="str">
        <f>材料产出!$BP$2</f>
        <v>新增材料5</v>
      </c>
      <c r="D11546" s="224">
        <f>参数调整!$K$42*怪物掉落配置方案!$D4364</f>
        <v>0</v>
      </c>
    </row>
    <row r="11547" spans="1:4" ht="16.5" hidden="1" x14ac:dyDescent="0.3">
      <c r="A11547" s="10" t="str">
        <f>基本属性!$B$19&amp;"|"&amp;基本属性!$C$19</f>
        <v>190|9</v>
      </c>
      <c r="B11547" s="10" t="str">
        <f>参数调整!$J$42</f>
        <v>新增怪物种类7掉落</v>
      </c>
      <c r="C11547" s="8" t="str">
        <f>材料产出!$BP$2</f>
        <v>新增材料5</v>
      </c>
      <c r="D11547" s="224">
        <f>参数调整!$K$42*怪物掉落配置方案!$D4365</f>
        <v>0</v>
      </c>
    </row>
    <row r="11548" spans="1:4" ht="16.5" hidden="1" x14ac:dyDescent="0.3">
      <c r="A11548" s="10" t="str">
        <f>基本属性!$B$20&amp;"|"&amp;基本属性!$C$20</f>
        <v>200|10</v>
      </c>
      <c r="B11548" s="10" t="str">
        <f>参数调整!$J$42</f>
        <v>新增怪物种类7掉落</v>
      </c>
      <c r="C11548" s="8" t="str">
        <f>材料产出!$BP$2</f>
        <v>新增材料5</v>
      </c>
      <c r="D11548" s="224">
        <f>参数调整!$K$42*怪物掉落配置方案!$D4366</f>
        <v>0</v>
      </c>
    </row>
    <row r="11549" spans="1:4" ht="16.5" hidden="1" x14ac:dyDescent="0.3">
      <c r="A11549" s="10" t="str">
        <f>基本属性!$B$21&amp;"|"&amp;基本属性!$C$21</f>
        <v>200|11</v>
      </c>
      <c r="B11549" s="10" t="str">
        <f>参数调整!$J$42</f>
        <v>新增怪物种类7掉落</v>
      </c>
      <c r="C11549" s="8" t="str">
        <f>材料产出!$BP$2</f>
        <v>新增材料5</v>
      </c>
      <c r="D11549" s="224">
        <f>参数调整!$K$42*怪物掉落配置方案!$D4367</f>
        <v>0</v>
      </c>
    </row>
    <row r="11550" spans="1:4" ht="16.5" hidden="1" x14ac:dyDescent="0.3">
      <c r="A11550" s="10" t="str">
        <f>基本属性!$B$22&amp;"|"&amp;基本属性!$C$22</f>
        <v>210|12</v>
      </c>
      <c r="B11550" s="10" t="str">
        <f>参数调整!$J$42</f>
        <v>新增怪物种类7掉落</v>
      </c>
      <c r="C11550" s="8" t="str">
        <f>材料产出!$BP$2</f>
        <v>新增材料5</v>
      </c>
      <c r="D11550" s="224">
        <f>参数调整!$K$42*怪物掉落配置方案!$D4368</f>
        <v>0</v>
      </c>
    </row>
    <row r="11551" spans="1:4" ht="16.5" hidden="1" x14ac:dyDescent="0.3">
      <c r="A11551" s="10" t="str">
        <f>基本属性!$B$23&amp;"|"&amp;基本属性!$C$23</f>
        <v>210|13</v>
      </c>
      <c r="B11551" s="10" t="str">
        <f>参数调整!$J$42</f>
        <v>新增怪物种类7掉落</v>
      </c>
      <c r="C11551" s="8" t="str">
        <f>材料产出!$BP$2</f>
        <v>新增材料5</v>
      </c>
      <c r="D11551" s="224">
        <f>参数调整!$K$42*怪物掉落配置方案!$D4369</f>
        <v>0</v>
      </c>
    </row>
    <row r="11552" spans="1:4" ht="16.5" hidden="1" x14ac:dyDescent="0.3">
      <c r="A11552" s="10" t="str">
        <f>基本属性!$B$24&amp;"|"&amp;基本属性!$C$24</f>
        <v>220|14</v>
      </c>
      <c r="B11552" s="10" t="str">
        <f>参数调整!$J$42</f>
        <v>新增怪物种类7掉落</v>
      </c>
      <c r="C11552" s="8" t="str">
        <f>材料产出!$BP$2</f>
        <v>新增材料5</v>
      </c>
      <c r="D11552" s="224">
        <f>参数调整!$K$42*怪物掉落配置方案!$D4370</f>
        <v>0</v>
      </c>
    </row>
    <row r="11553" spans="1:4" ht="16.5" hidden="1" x14ac:dyDescent="0.3">
      <c r="A11553" s="10" t="str">
        <f>基本属性!$B$25&amp;"|"&amp;基本属性!$C$25</f>
        <v>220|15</v>
      </c>
      <c r="B11553" s="10" t="str">
        <f>参数调整!$J$42</f>
        <v>新增怪物种类7掉落</v>
      </c>
      <c r="C11553" s="8" t="str">
        <f>材料产出!$BP$2</f>
        <v>新增材料5</v>
      </c>
      <c r="D11553" s="224">
        <f>参数调整!$K$42*怪物掉落配置方案!$D4371</f>
        <v>0</v>
      </c>
    </row>
    <row r="11554" spans="1:4" ht="16.5" hidden="1" x14ac:dyDescent="0.3">
      <c r="A11554" s="10" t="str">
        <f>基本属性!$B$26&amp;"|"&amp;基本属性!$C$26</f>
        <v>230|16</v>
      </c>
      <c r="B11554" s="10" t="str">
        <f>参数调整!$J$42</f>
        <v>新增怪物种类7掉落</v>
      </c>
      <c r="C11554" s="8" t="str">
        <f>材料产出!$BP$2</f>
        <v>新增材料5</v>
      </c>
      <c r="D11554" s="224">
        <f>参数调整!$K$42*怪物掉落配置方案!$D4372</f>
        <v>0</v>
      </c>
    </row>
    <row r="11555" spans="1:4" ht="16.5" hidden="1" x14ac:dyDescent="0.3">
      <c r="A11555" s="10" t="str">
        <f>基本属性!$B$27&amp;"|"&amp;基本属性!$C$27</f>
        <v>230|17</v>
      </c>
      <c r="B11555" s="10" t="str">
        <f>参数调整!$J$42</f>
        <v>新增怪物种类7掉落</v>
      </c>
      <c r="C11555" s="8" t="str">
        <f>材料产出!$BP$2</f>
        <v>新增材料5</v>
      </c>
      <c r="D11555" s="224">
        <f>参数调整!$K$42*怪物掉落配置方案!$D4373</f>
        <v>0</v>
      </c>
    </row>
    <row r="11556" spans="1:4" ht="16.5" hidden="1" x14ac:dyDescent="0.3">
      <c r="A11556" s="10" t="str">
        <f>基本属性!$B$28&amp;"|"&amp;基本属性!$C$28</f>
        <v>240|18</v>
      </c>
      <c r="B11556" s="10" t="str">
        <f>参数调整!$J$42</f>
        <v>新增怪物种类7掉落</v>
      </c>
      <c r="C11556" s="8" t="str">
        <f>材料产出!$BP$2</f>
        <v>新增材料5</v>
      </c>
      <c r="D11556" s="224">
        <f>参数调整!$K$42*怪物掉落配置方案!$D4374</f>
        <v>0</v>
      </c>
    </row>
    <row r="11557" spans="1:4" ht="16.5" hidden="1" x14ac:dyDescent="0.3">
      <c r="A11557" s="10" t="str">
        <f>基本属性!$B$29&amp;"|"&amp;基本属性!$C$29</f>
        <v>240|19</v>
      </c>
      <c r="B11557" s="10" t="str">
        <f>参数调整!$J$42</f>
        <v>新增怪物种类7掉落</v>
      </c>
      <c r="C11557" s="8" t="str">
        <f>材料产出!$BP$2</f>
        <v>新增材料5</v>
      </c>
      <c r="D11557" s="224">
        <f>参数调整!$K$42*怪物掉落配置方案!$D4375</f>
        <v>0</v>
      </c>
    </row>
    <row r="11558" spans="1:4" ht="16.5" hidden="1" x14ac:dyDescent="0.3">
      <c r="A11558" s="10" t="str">
        <f>基本属性!$B$30&amp;"|"&amp;基本属性!$C$30</f>
        <v>250|20</v>
      </c>
      <c r="B11558" s="10" t="str">
        <f>参数调整!$J$42</f>
        <v>新增怪物种类7掉落</v>
      </c>
      <c r="C11558" s="8" t="str">
        <f>材料产出!$BP$2</f>
        <v>新增材料5</v>
      </c>
      <c r="D11558" s="224">
        <f>参数调整!$K$42*怪物掉落配置方案!$D4376</f>
        <v>0</v>
      </c>
    </row>
    <row r="11559" spans="1:4" ht="16.5" hidden="1" x14ac:dyDescent="0.3">
      <c r="A11559" s="10" t="str">
        <f>基本属性!$B$4&amp;"|"&amp;基本属性!$C$4</f>
        <v>35|0</v>
      </c>
      <c r="B11559" s="10" t="str">
        <f>参数调整!$J$42</f>
        <v>新增怪物种类7掉落</v>
      </c>
      <c r="C11559" s="8" t="str">
        <f>材料产出!$BN$2</f>
        <v>新增材料4</v>
      </c>
      <c r="D11559" s="224">
        <f>参数调整!$K$42*怪物掉落配置方案!$D4377</f>
        <v>0</v>
      </c>
    </row>
    <row r="11560" spans="1:4" ht="16.5" hidden="1" x14ac:dyDescent="0.3">
      <c r="A11560" s="10" t="str">
        <f>基本属性!$B$5&amp;"|"&amp;基本属性!$C$5</f>
        <v>40|0</v>
      </c>
      <c r="B11560" s="10" t="str">
        <f>参数调整!$J$42</f>
        <v>新增怪物种类7掉落</v>
      </c>
      <c r="C11560" s="8" t="str">
        <f>材料产出!$BN$2</f>
        <v>新增材料4</v>
      </c>
      <c r="D11560" s="224">
        <f>参数调整!$K$42*怪物掉落配置方案!$D4378</f>
        <v>0</v>
      </c>
    </row>
    <row r="11561" spans="1:4" ht="16.5" hidden="1" x14ac:dyDescent="0.3">
      <c r="A11561" s="10" t="str">
        <f>基本属性!$B$6&amp;"|"&amp;基本属性!$C$6</f>
        <v>50|0</v>
      </c>
      <c r="B11561" s="10" t="str">
        <f>参数调整!$J$42</f>
        <v>新增怪物种类7掉落</v>
      </c>
      <c r="C11561" s="8" t="str">
        <f>材料产出!$BN$2</f>
        <v>新增材料4</v>
      </c>
      <c r="D11561" s="224">
        <f>参数调整!$K$42*怪物掉落配置方案!$D4379</f>
        <v>0</v>
      </c>
    </row>
    <row r="11562" spans="1:4" ht="16.5" hidden="1" x14ac:dyDescent="0.3">
      <c r="A11562" s="10" t="str">
        <f>基本属性!$B$7&amp;"|"&amp;基本属性!$C$7</f>
        <v>60|0</v>
      </c>
      <c r="B11562" s="10" t="str">
        <f>参数调整!$J$42</f>
        <v>新增怪物种类7掉落</v>
      </c>
      <c r="C11562" s="8" t="str">
        <f>材料产出!$BN$2</f>
        <v>新增材料4</v>
      </c>
      <c r="D11562" s="224">
        <f>参数调整!$K$42*怪物掉落配置方案!$D4380</f>
        <v>0</v>
      </c>
    </row>
    <row r="11563" spans="1:4" ht="16.5" hidden="1" x14ac:dyDescent="0.3">
      <c r="A11563" s="10" t="str">
        <f>基本属性!$B$8&amp;"|"&amp;基本属性!$C$8</f>
        <v>65|0</v>
      </c>
      <c r="B11563" s="10" t="str">
        <f>参数调整!$J$42</f>
        <v>新增怪物种类7掉落</v>
      </c>
      <c r="C11563" s="8" t="str">
        <f>材料产出!$BN$2</f>
        <v>新增材料4</v>
      </c>
      <c r="D11563" s="224">
        <f>参数调整!$K$42*怪物掉落配置方案!$D4381</f>
        <v>0</v>
      </c>
    </row>
    <row r="11564" spans="1:4" ht="16.5" hidden="1" x14ac:dyDescent="0.3">
      <c r="A11564" s="10" t="str">
        <f>基本属性!$B$9&amp;"|"&amp;基本属性!$C$9</f>
        <v>70|0</v>
      </c>
      <c r="B11564" s="10" t="str">
        <f>参数调整!$J$42</f>
        <v>新增怪物种类7掉落</v>
      </c>
      <c r="C11564" s="8" t="str">
        <f>材料产出!$BN$2</f>
        <v>新增材料4</v>
      </c>
      <c r="D11564" s="224">
        <f>参数调整!$K$42*怪物掉落配置方案!$D4382</f>
        <v>0</v>
      </c>
    </row>
    <row r="11565" spans="1:4" ht="16.5" hidden="1" x14ac:dyDescent="0.3">
      <c r="A11565" s="10" t="str">
        <f>基本属性!$B$10&amp;"|"&amp;基本属性!$C$10</f>
        <v>75|0</v>
      </c>
      <c r="B11565" s="10" t="str">
        <f>参数调整!$J$42</f>
        <v>新增怪物种类7掉落</v>
      </c>
      <c r="C11565" s="8" t="str">
        <f>材料产出!$BN$2</f>
        <v>新增材料4</v>
      </c>
      <c r="D11565" s="224">
        <f>参数调整!$K$42*怪物掉落配置方案!$D4383</f>
        <v>0</v>
      </c>
    </row>
    <row r="11566" spans="1:4" ht="16.5" hidden="1" x14ac:dyDescent="0.3">
      <c r="A11566" s="10" t="str">
        <f>基本属性!$B$11&amp;"|"&amp;基本属性!$C$11</f>
        <v>80|1</v>
      </c>
      <c r="B11566" s="10" t="str">
        <f>参数调整!$J$42</f>
        <v>新增怪物种类7掉落</v>
      </c>
      <c r="C11566" s="8" t="str">
        <f>材料产出!$BN$2</f>
        <v>新增材料4</v>
      </c>
      <c r="D11566" s="224">
        <f>参数调整!$K$42*怪物掉落配置方案!$D4384</f>
        <v>0</v>
      </c>
    </row>
    <row r="11567" spans="1:4" ht="16.5" hidden="1" x14ac:dyDescent="0.3">
      <c r="A11567" s="10" t="str">
        <f>基本属性!$B$12&amp;"|"&amp;基本属性!$C$12</f>
        <v>90|2</v>
      </c>
      <c r="B11567" s="10" t="str">
        <f>参数调整!$J$42</f>
        <v>新增怪物种类7掉落</v>
      </c>
      <c r="C11567" s="8" t="str">
        <f>材料产出!$BN$2</f>
        <v>新增材料4</v>
      </c>
      <c r="D11567" s="224">
        <f>参数调整!$K$42*怪物掉落配置方案!$D4385</f>
        <v>0</v>
      </c>
    </row>
    <row r="11568" spans="1:4" ht="16.5" hidden="1" x14ac:dyDescent="0.3">
      <c r="A11568" s="10" t="str">
        <f>基本属性!$B$13&amp;"|"&amp;基本属性!$C$13</f>
        <v>100|3</v>
      </c>
      <c r="B11568" s="10" t="str">
        <f>参数调整!$J$42</f>
        <v>新增怪物种类7掉落</v>
      </c>
      <c r="C11568" s="8" t="str">
        <f>材料产出!$BN$2</f>
        <v>新增材料4</v>
      </c>
      <c r="D11568" s="224">
        <f>参数调整!$K$42*怪物掉落配置方案!$D4386</f>
        <v>0</v>
      </c>
    </row>
    <row r="11569" spans="1:4" ht="16.5" hidden="1" x14ac:dyDescent="0.3">
      <c r="A11569" s="10" t="str">
        <f>基本属性!$B$14&amp;"|"&amp;基本属性!$C$14</f>
        <v>105|4</v>
      </c>
      <c r="B11569" s="10" t="str">
        <f>参数调整!$J$42</f>
        <v>新增怪物种类7掉落</v>
      </c>
      <c r="C11569" s="8" t="str">
        <f>材料产出!$BN$2</f>
        <v>新增材料4</v>
      </c>
      <c r="D11569" s="224">
        <f>参数调整!$K$42*怪物掉落配置方案!$D4387</f>
        <v>0</v>
      </c>
    </row>
    <row r="11570" spans="1:4" ht="16.5" hidden="1" x14ac:dyDescent="0.3">
      <c r="A11570" s="10" t="str">
        <f>基本属性!$B$15&amp;"|"&amp;基本属性!$C$15</f>
        <v>110|5</v>
      </c>
      <c r="B11570" s="10" t="str">
        <f>参数调整!$J$42</f>
        <v>新增怪物种类7掉落</v>
      </c>
      <c r="C11570" s="8" t="str">
        <f>材料产出!$BN$2</f>
        <v>新增材料4</v>
      </c>
      <c r="D11570" s="224">
        <f>参数调整!$K$42*怪物掉落配置方案!$D4388</f>
        <v>0</v>
      </c>
    </row>
    <row r="11571" spans="1:4" ht="16.5" hidden="1" x14ac:dyDescent="0.3">
      <c r="A11571" s="10" t="str">
        <f>基本属性!$B$16&amp;"|"&amp;基本属性!$C$16</f>
        <v>120|6</v>
      </c>
      <c r="B11571" s="10" t="str">
        <f>参数调整!$J$42</f>
        <v>新增怪物种类7掉落</v>
      </c>
      <c r="C11571" s="8" t="str">
        <f>材料产出!$BN$2</f>
        <v>新增材料4</v>
      </c>
      <c r="D11571" s="224">
        <f>参数调整!$K$42*怪物掉落配置方案!$D4389</f>
        <v>0</v>
      </c>
    </row>
    <row r="11572" spans="1:4" ht="16.5" hidden="1" x14ac:dyDescent="0.3">
      <c r="A11572" s="10" t="str">
        <f>基本属性!$B$17&amp;"|"&amp;基本属性!$C$17</f>
        <v>135|7</v>
      </c>
      <c r="B11572" s="10" t="str">
        <f>参数调整!$J$42</f>
        <v>新增怪物种类7掉落</v>
      </c>
      <c r="C11572" s="8" t="str">
        <f>材料产出!$BN$2</f>
        <v>新增材料4</v>
      </c>
      <c r="D11572" s="224">
        <f>参数调整!$K$42*怪物掉落配置方案!$D4390</f>
        <v>0</v>
      </c>
    </row>
    <row r="11573" spans="1:4" ht="16.5" hidden="1" x14ac:dyDescent="0.3">
      <c r="A11573" s="10" t="str">
        <f>基本属性!$B$18&amp;"|"&amp;基本属性!$C$18</f>
        <v>155|8</v>
      </c>
      <c r="B11573" s="10" t="str">
        <f>参数调整!$J$42</f>
        <v>新增怪物种类7掉落</v>
      </c>
      <c r="C11573" s="8" t="str">
        <f>材料产出!$BN$2</f>
        <v>新增材料4</v>
      </c>
      <c r="D11573" s="224">
        <f>参数调整!$K$42*怪物掉落配置方案!$D4391</f>
        <v>0</v>
      </c>
    </row>
    <row r="11574" spans="1:4" ht="16.5" hidden="1" x14ac:dyDescent="0.3">
      <c r="A11574" s="10" t="str">
        <f>基本属性!$B$19&amp;"|"&amp;基本属性!$C$19</f>
        <v>190|9</v>
      </c>
      <c r="B11574" s="10" t="str">
        <f>参数调整!$J$42</f>
        <v>新增怪物种类7掉落</v>
      </c>
      <c r="C11574" s="8" t="str">
        <f>材料产出!$BN$2</f>
        <v>新增材料4</v>
      </c>
      <c r="D11574" s="224">
        <f>参数调整!$K$42*怪物掉落配置方案!$D4392</f>
        <v>0</v>
      </c>
    </row>
    <row r="11575" spans="1:4" ht="16.5" hidden="1" x14ac:dyDescent="0.3">
      <c r="A11575" s="10" t="str">
        <f>基本属性!$B$20&amp;"|"&amp;基本属性!$C$20</f>
        <v>200|10</v>
      </c>
      <c r="B11575" s="10" t="str">
        <f>参数调整!$J$42</f>
        <v>新增怪物种类7掉落</v>
      </c>
      <c r="C11575" s="8" t="str">
        <f>材料产出!$BN$2</f>
        <v>新增材料4</v>
      </c>
      <c r="D11575" s="224">
        <f>参数调整!$K$42*怪物掉落配置方案!$D4393</f>
        <v>0</v>
      </c>
    </row>
    <row r="11576" spans="1:4" ht="16.5" hidden="1" x14ac:dyDescent="0.3">
      <c r="A11576" s="10" t="str">
        <f>基本属性!$B$21&amp;"|"&amp;基本属性!$C$21</f>
        <v>200|11</v>
      </c>
      <c r="B11576" s="10" t="str">
        <f>参数调整!$J$42</f>
        <v>新增怪物种类7掉落</v>
      </c>
      <c r="C11576" s="8" t="str">
        <f>材料产出!$BN$2</f>
        <v>新增材料4</v>
      </c>
      <c r="D11576" s="224">
        <f>参数调整!$K$42*怪物掉落配置方案!$D4394</f>
        <v>0</v>
      </c>
    </row>
    <row r="11577" spans="1:4" ht="16.5" hidden="1" x14ac:dyDescent="0.3">
      <c r="A11577" s="10" t="str">
        <f>基本属性!$B$22&amp;"|"&amp;基本属性!$C$22</f>
        <v>210|12</v>
      </c>
      <c r="B11577" s="10" t="str">
        <f>参数调整!$J$42</f>
        <v>新增怪物种类7掉落</v>
      </c>
      <c r="C11577" s="8" t="str">
        <f>材料产出!$BN$2</f>
        <v>新增材料4</v>
      </c>
      <c r="D11577" s="224">
        <f>参数调整!$K$42*怪物掉落配置方案!$D4395</f>
        <v>0</v>
      </c>
    </row>
    <row r="11578" spans="1:4" ht="16.5" hidden="1" x14ac:dyDescent="0.3">
      <c r="A11578" s="10" t="str">
        <f>基本属性!$B$23&amp;"|"&amp;基本属性!$C$23</f>
        <v>210|13</v>
      </c>
      <c r="B11578" s="10" t="str">
        <f>参数调整!$J$42</f>
        <v>新增怪物种类7掉落</v>
      </c>
      <c r="C11578" s="8" t="str">
        <f>材料产出!$BN$2</f>
        <v>新增材料4</v>
      </c>
      <c r="D11578" s="224">
        <f>参数调整!$K$42*怪物掉落配置方案!$D4396</f>
        <v>0</v>
      </c>
    </row>
    <row r="11579" spans="1:4" ht="16.5" hidden="1" x14ac:dyDescent="0.3">
      <c r="A11579" s="10" t="str">
        <f>基本属性!$B$24&amp;"|"&amp;基本属性!$C$24</f>
        <v>220|14</v>
      </c>
      <c r="B11579" s="10" t="str">
        <f>参数调整!$J$42</f>
        <v>新增怪物种类7掉落</v>
      </c>
      <c r="C11579" s="8" t="str">
        <f>材料产出!$BN$2</f>
        <v>新增材料4</v>
      </c>
      <c r="D11579" s="224">
        <f>参数调整!$K$42*怪物掉落配置方案!$D4397</f>
        <v>0</v>
      </c>
    </row>
    <row r="11580" spans="1:4" ht="16.5" hidden="1" x14ac:dyDescent="0.3">
      <c r="A11580" s="10" t="str">
        <f>基本属性!$B$25&amp;"|"&amp;基本属性!$C$25</f>
        <v>220|15</v>
      </c>
      <c r="B11580" s="10" t="str">
        <f>参数调整!$J$42</f>
        <v>新增怪物种类7掉落</v>
      </c>
      <c r="C11580" s="8" t="str">
        <f>材料产出!$BN$2</f>
        <v>新增材料4</v>
      </c>
      <c r="D11580" s="224">
        <f>参数调整!$K$42*怪物掉落配置方案!$D4398</f>
        <v>0</v>
      </c>
    </row>
    <row r="11581" spans="1:4" ht="16.5" hidden="1" x14ac:dyDescent="0.3">
      <c r="A11581" s="10" t="str">
        <f>基本属性!$B$26&amp;"|"&amp;基本属性!$C$26</f>
        <v>230|16</v>
      </c>
      <c r="B11581" s="10" t="str">
        <f>参数调整!$J$42</f>
        <v>新增怪物种类7掉落</v>
      </c>
      <c r="C11581" s="8" t="str">
        <f>材料产出!$BN$2</f>
        <v>新增材料4</v>
      </c>
      <c r="D11581" s="224">
        <f>参数调整!$K$42*怪物掉落配置方案!$D4399</f>
        <v>0</v>
      </c>
    </row>
    <row r="11582" spans="1:4" ht="16.5" hidden="1" x14ac:dyDescent="0.3">
      <c r="A11582" s="10" t="str">
        <f>基本属性!$B$27&amp;"|"&amp;基本属性!$C$27</f>
        <v>230|17</v>
      </c>
      <c r="B11582" s="10" t="str">
        <f>参数调整!$J$42</f>
        <v>新增怪物种类7掉落</v>
      </c>
      <c r="C11582" s="8" t="str">
        <f>材料产出!$BN$2</f>
        <v>新增材料4</v>
      </c>
      <c r="D11582" s="224">
        <f>参数调整!$K$42*怪物掉落配置方案!$D4400</f>
        <v>0</v>
      </c>
    </row>
    <row r="11583" spans="1:4" ht="16.5" hidden="1" x14ac:dyDescent="0.3">
      <c r="A11583" s="10" t="str">
        <f>基本属性!$B$28&amp;"|"&amp;基本属性!$C$28</f>
        <v>240|18</v>
      </c>
      <c r="B11583" s="10" t="str">
        <f>参数调整!$J$42</f>
        <v>新增怪物种类7掉落</v>
      </c>
      <c r="C11583" s="8" t="str">
        <f>材料产出!$BN$2</f>
        <v>新增材料4</v>
      </c>
      <c r="D11583" s="224">
        <f>参数调整!$K$42*怪物掉落配置方案!$D4401</f>
        <v>0</v>
      </c>
    </row>
    <row r="11584" spans="1:4" ht="16.5" hidden="1" x14ac:dyDescent="0.3">
      <c r="A11584" s="10" t="str">
        <f>基本属性!$B$29&amp;"|"&amp;基本属性!$C$29</f>
        <v>240|19</v>
      </c>
      <c r="B11584" s="10" t="str">
        <f>参数调整!$J$42</f>
        <v>新增怪物种类7掉落</v>
      </c>
      <c r="C11584" s="8" t="str">
        <f>材料产出!$BN$2</f>
        <v>新增材料4</v>
      </c>
      <c r="D11584" s="224">
        <f>参数调整!$K$42*怪物掉落配置方案!$D4402</f>
        <v>0</v>
      </c>
    </row>
    <row r="11585" spans="1:4" ht="16.5" hidden="1" x14ac:dyDescent="0.3">
      <c r="A11585" s="10" t="str">
        <f>基本属性!$B$30&amp;"|"&amp;基本属性!$C$30</f>
        <v>250|20</v>
      </c>
      <c r="B11585" s="10" t="str">
        <f>参数调整!$J$42</f>
        <v>新增怪物种类7掉落</v>
      </c>
      <c r="C11585" s="8" t="str">
        <f>材料产出!$BN$2</f>
        <v>新增材料4</v>
      </c>
      <c r="D11585" s="224">
        <f>参数调整!$K$42*怪物掉落配置方案!$D4403</f>
        <v>0</v>
      </c>
    </row>
    <row r="11586" spans="1:4" ht="16.5" hidden="1" x14ac:dyDescent="0.3">
      <c r="A11586" s="10" t="str">
        <f>基本属性!$B$4&amp;"|"&amp;基本属性!$C$4</f>
        <v>35|0</v>
      </c>
      <c r="B11586" s="10" t="str">
        <f>参数调整!$J$42</f>
        <v>新增怪物种类7掉落</v>
      </c>
      <c r="C11586" s="8" t="str">
        <f>材料产出!$BL$2</f>
        <v>新增材料3</v>
      </c>
      <c r="D11586" s="224">
        <f>参数调整!$K$42*怪物掉落配置方案!$D4404</f>
        <v>0</v>
      </c>
    </row>
    <row r="11587" spans="1:4" ht="16.5" hidden="1" x14ac:dyDescent="0.3">
      <c r="A11587" s="10" t="str">
        <f>基本属性!$B$5&amp;"|"&amp;基本属性!$C$5</f>
        <v>40|0</v>
      </c>
      <c r="B11587" s="10" t="str">
        <f>参数调整!$J$42</f>
        <v>新增怪物种类7掉落</v>
      </c>
      <c r="C11587" s="8" t="str">
        <f>材料产出!$BL$2</f>
        <v>新增材料3</v>
      </c>
      <c r="D11587" s="224">
        <f>参数调整!$K$42*怪物掉落配置方案!$D4405</f>
        <v>0</v>
      </c>
    </row>
    <row r="11588" spans="1:4" ht="16.5" hidden="1" x14ac:dyDescent="0.3">
      <c r="A11588" s="10" t="str">
        <f>基本属性!$B$6&amp;"|"&amp;基本属性!$C$6</f>
        <v>50|0</v>
      </c>
      <c r="B11588" s="10" t="str">
        <f>参数调整!$J$42</f>
        <v>新增怪物种类7掉落</v>
      </c>
      <c r="C11588" s="8" t="str">
        <f>材料产出!$BL$2</f>
        <v>新增材料3</v>
      </c>
      <c r="D11588" s="224">
        <f>参数调整!$K$42*怪物掉落配置方案!$D4406</f>
        <v>0</v>
      </c>
    </row>
    <row r="11589" spans="1:4" ht="16.5" hidden="1" x14ac:dyDescent="0.3">
      <c r="A11589" s="10" t="str">
        <f>基本属性!$B$7&amp;"|"&amp;基本属性!$C$7</f>
        <v>60|0</v>
      </c>
      <c r="B11589" s="10" t="str">
        <f>参数调整!$J$42</f>
        <v>新增怪物种类7掉落</v>
      </c>
      <c r="C11589" s="8" t="str">
        <f>材料产出!$BL$2</f>
        <v>新增材料3</v>
      </c>
      <c r="D11589" s="224">
        <f>参数调整!$K$42*怪物掉落配置方案!$D4407</f>
        <v>0</v>
      </c>
    </row>
    <row r="11590" spans="1:4" ht="16.5" hidden="1" x14ac:dyDescent="0.3">
      <c r="A11590" s="10" t="str">
        <f>基本属性!$B$8&amp;"|"&amp;基本属性!$C$8</f>
        <v>65|0</v>
      </c>
      <c r="B11590" s="10" t="str">
        <f>参数调整!$J$42</f>
        <v>新增怪物种类7掉落</v>
      </c>
      <c r="C11590" s="8" t="str">
        <f>材料产出!$BL$2</f>
        <v>新增材料3</v>
      </c>
      <c r="D11590" s="224">
        <f>参数调整!$K$42*怪物掉落配置方案!$D4408</f>
        <v>0</v>
      </c>
    </row>
    <row r="11591" spans="1:4" ht="16.5" hidden="1" x14ac:dyDescent="0.3">
      <c r="A11591" s="10" t="str">
        <f>基本属性!$B$9&amp;"|"&amp;基本属性!$C$9</f>
        <v>70|0</v>
      </c>
      <c r="B11591" s="10" t="str">
        <f>参数调整!$J$42</f>
        <v>新增怪物种类7掉落</v>
      </c>
      <c r="C11591" s="8" t="str">
        <f>材料产出!$BL$2</f>
        <v>新增材料3</v>
      </c>
      <c r="D11591" s="224">
        <f>参数调整!$K$42*怪物掉落配置方案!$D4409</f>
        <v>0</v>
      </c>
    </row>
    <row r="11592" spans="1:4" ht="16.5" hidden="1" x14ac:dyDescent="0.3">
      <c r="A11592" s="10" t="str">
        <f>基本属性!$B$10&amp;"|"&amp;基本属性!$C$10</f>
        <v>75|0</v>
      </c>
      <c r="B11592" s="10" t="str">
        <f>参数调整!$J$42</f>
        <v>新增怪物种类7掉落</v>
      </c>
      <c r="C11592" s="8" t="str">
        <f>材料产出!$BL$2</f>
        <v>新增材料3</v>
      </c>
      <c r="D11592" s="224">
        <f>参数调整!$K$42*怪物掉落配置方案!$D4410</f>
        <v>0</v>
      </c>
    </row>
    <row r="11593" spans="1:4" ht="16.5" hidden="1" x14ac:dyDescent="0.3">
      <c r="A11593" s="10" t="str">
        <f>基本属性!$B$11&amp;"|"&amp;基本属性!$C$11</f>
        <v>80|1</v>
      </c>
      <c r="B11593" s="10" t="str">
        <f>参数调整!$J$42</f>
        <v>新增怪物种类7掉落</v>
      </c>
      <c r="C11593" s="8" t="str">
        <f>材料产出!$BL$2</f>
        <v>新增材料3</v>
      </c>
      <c r="D11593" s="224">
        <f>参数调整!$K$42*怪物掉落配置方案!$D4411</f>
        <v>0</v>
      </c>
    </row>
    <row r="11594" spans="1:4" ht="16.5" hidden="1" x14ac:dyDescent="0.3">
      <c r="A11594" s="10" t="str">
        <f>基本属性!$B$12&amp;"|"&amp;基本属性!$C$12</f>
        <v>90|2</v>
      </c>
      <c r="B11594" s="10" t="str">
        <f>参数调整!$J$42</f>
        <v>新增怪物种类7掉落</v>
      </c>
      <c r="C11594" s="8" t="str">
        <f>材料产出!$BL$2</f>
        <v>新增材料3</v>
      </c>
      <c r="D11594" s="224">
        <f>参数调整!$K$42*怪物掉落配置方案!$D4412</f>
        <v>0</v>
      </c>
    </row>
    <row r="11595" spans="1:4" ht="16.5" hidden="1" x14ac:dyDescent="0.3">
      <c r="A11595" s="10" t="str">
        <f>基本属性!$B$13&amp;"|"&amp;基本属性!$C$13</f>
        <v>100|3</v>
      </c>
      <c r="B11595" s="10" t="str">
        <f>参数调整!$J$42</f>
        <v>新增怪物种类7掉落</v>
      </c>
      <c r="C11595" s="8" t="str">
        <f>材料产出!$BL$2</f>
        <v>新增材料3</v>
      </c>
      <c r="D11595" s="224">
        <f>参数调整!$K$42*怪物掉落配置方案!$D4413</f>
        <v>0</v>
      </c>
    </row>
    <row r="11596" spans="1:4" ht="16.5" hidden="1" x14ac:dyDescent="0.3">
      <c r="A11596" s="10" t="str">
        <f>基本属性!$B$14&amp;"|"&amp;基本属性!$C$14</f>
        <v>105|4</v>
      </c>
      <c r="B11596" s="10" t="str">
        <f>参数调整!$J$42</f>
        <v>新增怪物种类7掉落</v>
      </c>
      <c r="C11596" s="8" t="str">
        <f>材料产出!$BL$2</f>
        <v>新增材料3</v>
      </c>
      <c r="D11596" s="224">
        <f>参数调整!$K$42*怪物掉落配置方案!$D4414</f>
        <v>0</v>
      </c>
    </row>
    <row r="11597" spans="1:4" ht="16.5" hidden="1" x14ac:dyDescent="0.3">
      <c r="A11597" s="10" t="str">
        <f>基本属性!$B$15&amp;"|"&amp;基本属性!$C$15</f>
        <v>110|5</v>
      </c>
      <c r="B11597" s="10" t="str">
        <f>参数调整!$J$42</f>
        <v>新增怪物种类7掉落</v>
      </c>
      <c r="C11597" s="8" t="str">
        <f>材料产出!$BL$2</f>
        <v>新增材料3</v>
      </c>
      <c r="D11597" s="224">
        <f>参数调整!$K$42*怪物掉落配置方案!$D4415</f>
        <v>0</v>
      </c>
    </row>
    <row r="11598" spans="1:4" ht="16.5" hidden="1" x14ac:dyDescent="0.3">
      <c r="A11598" s="10" t="str">
        <f>基本属性!$B$16&amp;"|"&amp;基本属性!$C$16</f>
        <v>120|6</v>
      </c>
      <c r="B11598" s="10" t="str">
        <f>参数调整!$J$42</f>
        <v>新增怪物种类7掉落</v>
      </c>
      <c r="C11598" s="8" t="str">
        <f>材料产出!$BL$2</f>
        <v>新增材料3</v>
      </c>
      <c r="D11598" s="224">
        <f>参数调整!$K$42*怪物掉落配置方案!$D4416</f>
        <v>0</v>
      </c>
    </row>
    <row r="11599" spans="1:4" ht="16.5" hidden="1" x14ac:dyDescent="0.3">
      <c r="A11599" s="10" t="str">
        <f>基本属性!$B$17&amp;"|"&amp;基本属性!$C$17</f>
        <v>135|7</v>
      </c>
      <c r="B11599" s="10" t="str">
        <f>参数调整!$J$42</f>
        <v>新增怪物种类7掉落</v>
      </c>
      <c r="C11599" s="8" t="str">
        <f>材料产出!$BL$2</f>
        <v>新增材料3</v>
      </c>
      <c r="D11599" s="224">
        <f>参数调整!$K$42*怪物掉落配置方案!$D4417</f>
        <v>0</v>
      </c>
    </row>
    <row r="11600" spans="1:4" ht="16.5" hidden="1" x14ac:dyDescent="0.3">
      <c r="A11600" s="10" t="str">
        <f>基本属性!$B$18&amp;"|"&amp;基本属性!$C$18</f>
        <v>155|8</v>
      </c>
      <c r="B11600" s="10" t="str">
        <f>参数调整!$J$42</f>
        <v>新增怪物种类7掉落</v>
      </c>
      <c r="C11600" s="8" t="str">
        <f>材料产出!$BL$2</f>
        <v>新增材料3</v>
      </c>
      <c r="D11600" s="224">
        <f>参数调整!$K$42*怪物掉落配置方案!$D4418</f>
        <v>0</v>
      </c>
    </row>
    <row r="11601" spans="1:4" ht="16.5" hidden="1" x14ac:dyDescent="0.3">
      <c r="A11601" s="10" t="str">
        <f>基本属性!$B$19&amp;"|"&amp;基本属性!$C$19</f>
        <v>190|9</v>
      </c>
      <c r="B11601" s="10" t="str">
        <f>参数调整!$J$42</f>
        <v>新增怪物种类7掉落</v>
      </c>
      <c r="C11601" s="8" t="str">
        <f>材料产出!$BL$2</f>
        <v>新增材料3</v>
      </c>
      <c r="D11601" s="224">
        <f>参数调整!$K$42*怪物掉落配置方案!$D4419</f>
        <v>0</v>
      </c>
    </row>
    <row r="11602" spans="1:4" ht="16.5" hidden="1" x14ac:dyDescent="0.3">
      <c r="A11602" s="10" t="str">
        <f>基本属性!$B$20&amp;"|"&amp;基本属性!$C$20</f>
        <v>200|10</v>
      </c>
      <c r="B11602" s="10" t="str">
        <f>参数调整!$J$42</f>
        <v>新增怪物种类7掉落</v>
      </c>
      <c r="C11602" s="8" t="str">
        <f>材料产出!$BL$2</f>
        <v>新增材料3</v>
      </c>
      <c r="D11602" s="224">
        <f>参数调整!$K$42*怪物掉落配置方案!$D4420</f>
        <v>0</v>
      </c>
    </row>
    <row r="11603" spans="1:4" ht="16.5" hidden="1" x14ac:dyDescent="0.3">
      <c r="A11603" s="10" t="str">
        <f>基本属性!$B$21&amp;"|"&amp;基本属性!$C$21</f>
        <v>200|11</v>
      </c>
      <c r="B11603" s="10" t="str">
        <f>参数调整!$J$42</f>
        <v>新增怪物种类7掉落</v>
      </c>
      <c r="C11603" s="8" t="str">
        <f>材料产出!$BL$2</f>
        <v>新增材料3</v>
      </c>
      <c r="D11603" s="224">
        <f>参数调整!$K$42*怪物掉落配置方案!$D4421</f>
        <v>0</v>
      </c>
    </row>
    <row r="11604" spans="1:4" ht="16.5" hidden="1" x14ac:dyDescent="0.3">
      <c r="A11604" s="10" t="str">
        <f>基本属性!$B$22&amp;"|"&amp;基本属性!$C$22</f>
        <v>210|12</v>
      </c>
      <c r="B11604" s="10" t="str">
        <f>参数调整!$J$42</f>
        <v>新增怪物种类7掉落</v>
      </c>
      <c r="C11604" s="8" t="str">
        <f>材料产出!$BL$2</f>
        <v>新增材料3</v>
      </c>
      <c r="D11604" s="224">
        <f>参数调整!$K$42*怪物掉落配置方案!$D4422</f>
        <v>0</v>
      </c>
    </row>
    <row r="11605" spans="1:4" ht="16.5" hidden="1" x14ac:dyDescent="0.3">
      <c r="A11605" s="10" t="str">
        <f>基本属性!$B$23&amp;"|"&amp;基本属性!$C$23</f>
        <v>210|13</v>
      </c>
      <c r="B11605" s="10" t="str">
        <f>参数调整!$J$42</f>
        <v>新增怪物种类7掉落</v>
      </c>
      <c r="C11605" s="8" t="str">
        <f>材料产出!$BL$2</f>
        <v>新增材料3</v>
      </c>
      <c r="D11605" s="224">
        <f>参数调整!$K$42*怪物掉落配置方案!$D4423</f>
        <v>0</v>
      </c>
    </row>
    <row r="11606" spans="1:4" ht="16.5" hidden="1" x14ac:dyDescent="0.3">
      <c r="A11606" s="10" t="str">
        <f>基本属性!$B$24&amp;"|"&amp;基本属性!$C$24</f>
        <v>220|14</v>
      </c>
      <c r="B11606" s="10" t="str">
        <f>参数调整!$J$42</f>
        <v>新增怪物种类7掉落</v>
      </c>
      <c r="C11606" s="8" t="str">
        <f>材料产出!$BL$2</f>
        <v>新增材料3</v>
      </c>
      <c r="D11606" s="224">
        <f>参数调整!$K$42*怪物掉落配置方案!$D4424</f>
        <v>0</v>
      </c>
    </row>
    <row r="11607" spans="1:4" ht="16.5" hidden="1" x14ac:dyDescent="0.3">
      <c r="A11607" s="10" t="str">
        <f>基本属性!$B$25&amp;"|"&amp;基本属性!$C$25</f>
        <v>220|15</v>
      </c>
      <c r="B11607" s="10" t="str">
        <f>参数调整!$J$42</f>
        <v>新增怪物种类7掉落</v>
      </c>
      <c r="C11607" s="8" t="str">
        <f>材料产出!$BL$2</f>
        <v>新增材料3</v>
      </c>
      <c r="D11607" s="224">
        <f>参数调整!$K$42*怪物掉落配置方案!$D4425</f>
        <v>0</v>
      </c>
    </row>
    <row r="11608" spans="1:4" ht="16.5" hidden="1" x14ac:dyDescent="0.3">
      <c r="A11608" s="10" t="str">
        <f>基本属性!$B$26&amp;"|"&amp;基本属性!$C$26</f>
        <v>230|16</v>
      </c>
      <c r="B11608" s="10" t="str">
        <f>参数调整!$J$42</f>
        <v>新增怪物种类7掉落</v>
      </c>
      <c r="C11608" s="8" t="str">
        <f>材料产出!$BL$2</f>
        <v>新增材料3</v>
      </c>
      <c r="D11608" s="224">
        <f>参数调整!$K$42*怪物掉落配置方案!$D4426</f>
        <v>0</v>
      </c>
    </row>
    <row r="11609" spans="1:4" ht="16.5" hidden="1" x14ac:dyDescent="0.3">
      <c r="A11609" s="10" t="str">
        <f>基本属性!$B$27&amp;"|"&amp;基本属性!$C$27</f>
        <v>230|17</v>
      </c>
      <c r="B11609" s="10" t="str">
        <f>参数调整!$J$42</f>
        <v>新增怪物种类7掉落</v>
      </c>
      <c r="C11609" s="8" t="str">
        <f>材料产出!$BL$2</f>
        <v>新增材料3</v>
      </c>
      <c r="D11609" s="224">
        <f>参数调整!$K$42*怪物掉落配置方案!$D4427</f>
        <v>0</v>
      </c>
    </row>
    <row r="11610" spans="1:4" ht="16.5" hidden="1" x14ac:dyDescent="0.3">
      <c r="A11610" s="10" t="str">
        <f>基本属性!$B$28&amp;"|"&amp;基本属性!$C$28</f>
        <v>240|18</v>
      </c>
      <c r="B11610" s="10" t="str">
        <f>参数调整!$J$42</f>
        <v>新增怪物种类7掉落</v>
      </c>
      <c r="C11610" s="8" t="str">
        <f>材料产出!$BL$2</f>
        <v>新增材料3</v>
      </c>
      <c r="D11610" s="224">
        <f>参数调整!$K$42*怪物掉落配置方案!$D4428</f>
        <v>0</v>
      </c>
    </row>
    <row r="11611" spans="1:4" ht="16.5" hidden="1" x14ac:dyDescent="0.3">
      <c r="A11611" s="10" t="str">
        <f>基本属性!$B$29&amp;"|"&amp;基本属性!$C$29</f>
        <v>240|19</v>
      </c>
      <c r="B11611" s="10" t="str">
        <f>参数调整!$J$42</f>
        <v>新增怪物种类7掉落</v>
      </c>
      <c r="C11611" s="8" t="str">
        <f>材料产出!$BL$2</f>
        <v>新增材料3</v>
      </c>
      <c r="D11611" s="224">
        <f>参数调整!$K$42*怪物掉落配置方案!$D4429</f>
        <v>0</v>
      </c>
    </row>
    <row r="11612" spans="1:4" ht="16.5" hidden="1" x14ac:dyDescent="0.3">
      <c r="A11612" s="10" t="str">
        <f>基本属性!$B$30&amp;"|"&amp;基本属性!$C$30</f>
        <v>250|20</v>
      </c>
      <c r="B11612" s="10" t="str">
        <f>参数调整!$J$42</f>
        <v>新增怪物种类7掉落</v>
      </c>
      <c r="C11612" s="8" t="str">
        <f>材料产出!$BL$2</f>
        <v>新增材料3</v>
      </c>
      <c r="D11612" s="224">
        <f>参数调整!$K$42*怪物掉落配置方案!$D4430</f>
        <v>0</v>
      </c>
    </row>
    <row r="11613" spans="1:4" ht="16.5" hidden="1" x14ac:dyDescent="0.3">
      <c r="A11613" s="10" t="str">
        <f>基本属性!$B$4&amp;"|"&amp;基本属性!$C$4</f>
        <v>35|0</v>
      </c>
      <c r="B11613" s="10" t="str">
        <f>参数调整!$J$42</f>
        <v>新增怪物种类7掉落</v>
      </c>
      <c r="C11613" s="8" t="str">
        <f>材料产出!$BJ$2</f>
        <v>新增材料2</v>
      </c>
      <c r="D11613" s="224">
        <f>参数调整!$K$42*怪物掉落配置方案!$D4431</f>
        <v>0</v>
      </c>
    </row>
    <row r="11614" spans="1:4" ht="16.5" hidden="1" x14ac:dyDescent="0.3">
      <c r="A11614" s="10" t="str">
        <f>基本属性!$B$5&amp;"|"&amp;基本属性!$C$5</f>
        <v>40|0</v>
      </c>
      <c r="B11614" s="10" t="str">
        <f>参数调整!$J$42</f>
        <v>新增怪物种类7掉落</v>
      </c>
      <c r="C11614" s="8" t="str">
        <f>材料产出!$BJ$2</f>
        <v>新增材料2</v>
      </c>
      <c r="D11614" s="224">
        <f>参数调整!$K$42*怪物掉落配置方案!$D4432</f>
        <v>0</v>
      </c>
    </row>
    <row r="11615" spans="1:4" ht="16.5" hidden="1" x14ac:dyDescent="0.3">
      <c r="A11615" s="10" t="str">
        <f>基本属性!$B$6&amp;"|"&amp;基本属性!$C$6</f>
        <v>50|0</v>
      </c>
      <c r="B11615" s="10" t="str">
        <f>参数调整!$J$42</f>
        <v>新增怪物种类7掉落</v>
      </c>
      <c r="C11615" s="8" t="str">
        <f>材料产出!$BJ$2</f>
        <v>新增材料2</v>
      </c>
      <c r="D11615" s="224">
        <f>参数调整!$K$42*怪物掉落配置方案!$D4433</f>
        <v>0</v>
      </c>
    </row>
    <row r="11616" spans="1:4" ht="16.5" hidden="1" x14ac:dyDescent="0.3">
      <c r="A11616" s="10" t="str">
        <f>基本属性!$B$7&amp;"|"&amp;基本属性!$C$7</f>
        <v>60|0</v>
      </c>
      <c r="B11616" s="10" t="str">
        <f>参数调整!$J$42</f>
        <v>新增怪物种类7掉落</v>
      </c>
      <c r="C11616" s="8" t="str">
        <f>材料产出!$BJ$2</f>
        <v>新增材料2</v>
      </c>
      <c r="D11616" s="224">
        <f>参数调整!$K$42*怪物掉落配置方案!$D4434</f>
        <v>0</v>
      </c>
    </row>
    <row r="11617" spans="1:4" ht="16.5" hidden="1" x14ac:dyDescent="0.3">
      <c r="A11617" s="10" t="str">
        <f>基本属性!$B$8&amp;"|"&amp;基本属性!$C$8</f>
        <v>65|0</v>
      </c>
      <c r="B11617" s="10" t="str">
        <f>参数调整!$J$42</f>
        <v>新增怪物种类7掉落</v>
      </c>
      <c r="C11617" s="8" t="str">
        <f>材料产出!$BJ$2</f>
        <v>新增材料2</v>
      </c>
      <c r="D11617" s="224">
        <f>参数调整!$K$42*怪物掉落配置方案!$D4435</f>
        <v>0</v>
      </c>
    </row>
    <row r="11618" spans="1:4" ht="16.5" hidden="1" x14ac:dyDescent="0.3">
      <c r="A11618" s="10" t="str">
        <f>基本属性!$B$9&amp;"|"&amp;基本属性!$C$9</f>
        <v>70|0</v>
      </c>
      <c r="B11618" s="10" t="str">
        <f>参数调整!$J$42</f>
        <v>新增怪物种类7掉落</v>
      </c>
      <c r="C11618" s="8" t="str">
        <f>材料产出!$BJ$2</f>
        <v>新增材料2</v>
      </c>
      <c r="D11618" s="224">
        <f>参数调整!$K$42*怪物掉落配置方案!$D4436</f>
        <v>0</v>
      </c>
    </row>
    <row r="11619" spans="1:4" ht="16.5" hidden="1" x14ac:dyDescent="0.3">
      <c r="A11619" s="10" t="str">
        <f>基本属性!$B$10&amp;"|"&amp;基本属性!$C$10</f>
        <v>75|0</v>
      </c>
      <c r="B11619" s="10" t="str">
        <f>参数调整!$J$42</f>
        <v>新增怪物种类7掉落</v>
      </c>
      <c r="C11619" s="8" t="str">
        <f>材料产出!$BJ$2</f>
        <v>新增材料2</v>
      </c>
      <c r="D11619" s="224">
        <f>参数调整!$K$42*怪物掉落配置方案!$D4437</f>
        <v>0</v>
      </c>
    </row>
    <row r="11620" spans="1:4" ht="16.5" hidden="1" x14ac:dyDescent="0.3">
      <c r="A11620" s="10" t="str">
        <f>基本属性!$B$11&amp;"|"&amp;基本属性!$C$11</f>
        <v>80|1</v>
      </c>
      <c r="B11620" s="10" t="str">
        <f>参数调整!$J$42</f>
        <v>新增怪物种类7掉落</v>
      </c>
      <c r="C11620" s="8" t="str">
        <f>材料产出!$BJ$2</f>
        <v>新增材料2</v>
      </c>
      <c r="D11620" s="224">
        <f>参数调整!$K$42*怪物掉落配置方案!$D4438</f>
        <v>0</v>
      </c>
    </row>
    <row r="11621" spans="1:4" ht="16.5" hidden="1" x14ac:dyDescent="0.3">
      <c r="A11621" s="10" t="str">
        <f>基本属性!$B$12&amp;"|"&amp;基本属性!$C$12</f>
        <v>90|2</v>
      </c>
      <c r="B11621" s="10" t="str">
        <f>参数调整!$J$42</f>
        <v>新增怪物种类7掉落</v>
      </c>
      <c r="C11621" s="8" t="str">
        <f>材料产出!$BJ$2</f>
        <v>新增材料2</v>
      </c>
      <c r="D11621" s="224">
        <f>参数调整!$K$42*怪物掉落配置方案!$D4439</f>
        <v>0</v>
      </c>
    </row>
    <row r="11622" spans="1:4" ht="16.5" hidden="1" x14ac:dyDescent="0.3">
      <c r="A11622" s="10" t="str">
        <f>基本属性!$B$13&amp;"|"&amp;基本属性!$C$13</f>
        <v>100|3</v>
      </c>
      <c r="B11622" s="10" t="str">
        <f>参数调整!$J$42</f>
        <v>新增怪物种类7掉落</v>
      </c>
      <c r="C11622" s="8" t="str">
        <f>材料产出!$BJ$2</f>
        <v>新增材料2</v>
      </c>
      <c r="D11622" s="224">
        <f>参数调整!$K$42*怪物掉落配置方案!$D4440</f>
        <v>0</v>
      </c>
    </row>
    <row r="11623" spans="1:4" ht="16.5" hidden="1" x14ac:dyDescent="0.3">
      <c r="A11623" s="10" t="str">
        <f>基本属性!$B$14&amp;"|"&amp;基本属性!$C$14</f>
        <v>105|4</v>
      </c>
      <c r="B11623" s="10" t="str">
        <f>参数调整!$J$42</f>
        <v>新增怪物种类7掉落</v>
      </c>
      <c r="C11623" s="8" t="str">
        <f>材料产出!$BJ$2</f>
        <v>新增材料2</v>
      </c>
      <c r="D11623" s="224">
        <f>参数调整!$K$42*怪物掉落配置方案!$D4441</f>
        <v>0</v>
      </c>
    </row>
    <row r="11624" spans="1:4" ht="16.5" hidden="1" x14ac:dyDescent="0.3">
      <c r="A11624" s="10" t="str">
        <f>基本属性!$B$15&amp;"|"&amp;基本属性!$C$15</f>
        <v>110|5</v>
      </c>
      <c r="B11624" s="10" t="str">
        <f>参数调整!$J$42</f>
        <v>新增怪物种类7掉落</v>
      </c>
      <c r="C11624" s="8" t="str">
        <f>材料产出!$BJ$2</f>
        <v>新增材料2</v>
      </c>
      <c r="D11624" s="224">
        <f>参数调整!$K$42*怪物掉落配置方案!$D4442</f>
        <v>0</v>
      </c>
    </row>
    <row r="11625" spans="1:4" ht="16.5" hidden="1" x14ac:dyDescent="0.3">
      <c r="A11625" s="10" t="str">
        <f>基本属性!$B$16&amp;"|"&amp;基本属性!$C$16</f>
        <v>120|6</v>
      </c>
      <c r="B11625" s="10" t="str">
        <f>参数调整!$J$42</f>
        <v>新增怪物种类7掉落</v>
      </c>
      <c r="C11625" s="8" t="str">
        <f>材料产出!$BJ$2</f>
        <v>新增材料2</v>
      </c>
      <c r="D11625" s="224">
        <f>参数调整!$K$42*怪物掉落配置方案!$D4443</f>
        <v>0</v>
      </c>
    </row>
    <row r="11626" spans="1:4" ht="16.5" hidden="1" x14ac:dyDescent="0.3">
      <c r="A11626" s="10" t="str">
        <f>基本属性!$B$17&amp;"|"&amp;基本属性!$C$17</f>
        <v>135|7</v>
      </c>
      <c r="B11626" s="10" t="str">
        <f>参数调整!$J$42</f>
        <v>新增怪物种类7掉落</v>
      </c>
      <c r="C11626" s="8" t="str">
        <f>材料产出!$BJ$2</f>
        <v>新增材料2</v>
      </c>
      <c r="D11626" s="224">
        <f>参数调整!$K$42*怪物掉落配置方案!$D4444</f>
        <v>0</v>
      </c>
    </row>
    <row r="11627" spans="1:4" ht="16.5" hidden="1" x14ac:dyDescent="0.3">
      <c r="A11627" s="10" t="str">
        <f>基本属性!$B$18&amp;"|"&amp;基本属性!$C$18</f>
        <v>155|8</v>
      </c>
      <c r="B11627" s="10" t="str">
        <f>参数调整!$J$42</f>
        <v>新增怪物种类7掉落</v>
      </c>
      <c r="C11627" s="8" t="str">
        <f>材料产出!$BJ$2</f>
        <v>新增材料2</v>
      </c>
      <c r="D11627" s="224">
        <f>参数调整!$K$42*怪物掉落配置方案!$D4445</f>
        <v>0</v>
      </c>
    </row>
    <row r="11628" spans="1:4" ht="16.5" hidden="1" x14ac:dyDescent="0.3">
      <c r="A11628" s="10" t="str">
        <f>基本属性!$B$19&amp;"|"&amp;基本属性!$C$19</f>
        <v>190|9</v>
      </c>
      <c r="B11628" s="10" t="str">
        <f>参数调整!$J$42</f>
        <v>新增怪物种类7掉落</v>
      </c>
      <c r="C11628" s="8" t="str">
        <f>材料产出!$BJ$2</f>
        <v>新增材料2</v>
      </c>
      <c r="D11628" s="224">
        <f>参数调整!$K$42*怪物掉落配置方案!$D4446</f>
        <v>0</v>
      </c>
    </row>
    <row r="11629" spans="1:4" ht="16.5" hidden="1" x14ac:dyDescent="0.3">
      <c r="A11629" s="10" t="str">
        <f>基本属性!$B$20&amp;"|"&amp;基本属性!$C$20</f>
        <v>200|10</v>
      </c>
      <c r="B11629" s="10" t="str">
        <f>参数调整!$J$42</f>
        <v>新增怪物种类7掉落</v>
      </c>
      <c r="C11629" s="8" t="str">
        <f>材料产出!$BJ$2</f>
        <v>新增材料2</v>
      </c>
      <c r="D11629" s="224">
        <f>参数调整!$K$42*怪物掉落配置方案!$D4447</f>
        <v>0</v>
      </c>
    </row>
    <row r="11630" spans="1:4" ht="16.5" hidden="1" x14ac:dyDescent="0.3">
      <c r="A11630" s="10" t="str">
        <f>基本属性!$B$21&amp;"|"&amp;基本属性!$C$21</f>
        <v>200|11</v>
      </c>
      <c r="B11630" s="10" t="str">
        <f>参数调整!$J$42</f>
        <v>新增怪物种类7掉落</v>
      </c>
      <c r="C11630" s="8" t="str">
        <f>材料产出!$BJ$2</f>
        <v>新增材料2</v>
      </c>
      <c r="D11630" s="224">
        <f>参数调整!$K$42*怪物掉落配置方案!$D4448</f>
        <v>0</v>
      </c>
    </row>
    <row r="11631" spans="1:4" ht="16.5" hidden="1" x14ac:dyDescent="0.3">
      <c r="A11631" s="10" t="str">
        <f>基本属性!$B$22&amp;"|"&amp;基本属性!$C$22</f>
        <v>210|12</v>
      </c>
      <c r="B11631" s="10" t="str">
        <f>参数调整!$J$42</f>
        <v>新增怪物种类7掉落</v>
      </c>
      <c r="C11631" s="8" t="str">
        <f>材料产出!$BJ$2</f>
        <v>新增材料2</v>
      </c>
      <c r="D11631" s="224">
        <f>参数调整!$K$42*怪物掉落配置方案!$D4449</f>
        <v>0</v>
      </c>
    </row>
    <row r="11632" spans="1:4" ht="16.5" hidden="1" x14ac:dyDescent="0.3">
      <c r="A11632" s="10" t="str">
        <f>基本属性!$B$23&amp;"|"&amp;基本属性!$C$23</f>
        <v>210|13</v>
      </c>
      <c r="B11632" s="10" t="str">
        <f>参数调整!$J$42</f>
        <v>新增怪物种类7掉落</v>
      </c>
      <c r="C11632" s="8" t="str">
        <f>材料产出!$BJ$2</f>
        <v>新增材料2</v>
      </c>
      <c r="D11632" s="224">
        <f>参数调整!$K$42*怪物掉落配置方案!$D4450</f>
        <v>0</v>
      </c>
    </row>
    <row r="11633" spans="1:4" ht="16.5" hidden="1" x14ac:dyDescent="0.3">
      <c r="A11633" s="10" t="str">
        <f>基本属性!$B$24&amp;"|"&amp;基本属性!$C$24</f>
        <v>220|14</v>
      </c>
      <c r="B11633" s="10" t="str">
        <f>参数调整!$J$42</f>
        <v>新增怪物种类7掉落</v>
      </c>
      <c r="C11633" s="8" t="str">
        <f>材料产出!$BJ$2</f>
        <v>新增材料2</v>
      </c>
      <c r="D11633" s="224">
        <f>参数调整!$K$42*怪物掉落配置方案!$D4451</f>
        <v>0</v>
      </c>
    </row>
    <row r="11634" spans="1:4" ht="16.5" hidden="1" x14ac:dyDescent="0.3">
      <c r="A11634" s="10" t="str">
        <f>基本属性!$B$25&amp;"|"&amp;基本属性!$C$25</f>
        <v>220|15</v>
      </c>
      <c r="B11634" s="10" t="str">
        <f>参数调整!$J$42</f>
        <v>新增怪物种类7掉落</v>
      </c>
      <c r="C11634" s="8" t="str">
        <f>材料产出!$BJ$2</f>
        <v>新增材料2</v>
      </c>
      <c r="D11634" s="224">
        <f>参数调整!$K$42*怪物掉落配置方案!$D4452</f>
        <v>0</v>
      </c>
    </row>
    <row r="11635" spans="1:4" ht="16.5" hidden="1" x14ac:dyDescent="0.3">
      <c r="A11635" s="10" t="str">
        <f>基本属性!$B$26&amp;"|"&amp;基本属性!$C$26</f>
        <v>230|16</v>
      </c>
      <c r="B11635" s="10" t="str">
        <f>参数调整!$J$42</f>
        <v>新增怪物种类7掉落</v>
      </c>
      <c r="C11635" s="8" t="str">
        <f>材料产出!$BJ$2</f>
        <v>新增材料2</v>
      </c>
      <c r="D11635" s="224">
        <f>参数调整!$K$42*怪物掉落配置方案!$D4453</f>
        <v>0</v>
      </c>
    </row>
    <row r="11636" spans="1:4" ht="16.5" hidden="1" x14ac:dyDescent="0.3">
      <c r="A11636" s="10" t="str">
        <f>基本属性!$B$27&amp;"|"&amp;基本属性!$C$27</f>
        <v>230|17</v>
      </c>
      <c r="B11636" s="10" t="str">
        <f>参数调整!$J$42</f>
        <v>新增怪物种类7掉落</v>
      </c>
      <c r="C11636" s="8" t="str">
        <f>材料产出!$BJ$2</f>
        <v>新增材料2</v>
      </c>
      <c r="D11636" s="224">
        <f>参数调整!$K$42*怪物掉落配置方案!$D4454</f>
        <v>0</v>
      </c>
    </row>
    <row r="11637" spans="1:4" ht="16.5" hidden="1" x14ac:dyDescent="0.3">
      <c r="A11637" s="10" t="str">
        <f>基本属性!$B$28&amp;"|"&amp;基本属性!$C$28</f>
        <v>240|18</v>
      </c>
      <c r="B11637" s="10" t="str">
        <f>参数调整!$J$42</f>
        <v>新增怪物种类7掉落</v>
      </c>
      <c r="C11637" s="8" t="str">
        <f>材料产出!$BJ$2</f>
        <v>新增材料2</v>
      </c>
      <c r="D11637" s="224">
        <f>参数调整!$K$42*怪物掉落配置方案!$D4455</f>
        <v>0</v>
      </c>
    </row>
    <row r="11638" spans="1:4" ht="16.5" hidden="1" x14ac:dyDescent="0.3">
      <c r="A11638" s="10" t="str">
        <f>基本属性!$B$29&amp;"|"&amp;基本属性!$C$29</f>
        <v>240|19</v>
      </c>
      <c r="B11638" s="10" t="str">
        <f>参数调整!$J$42</f>
        <v>新增怪物种类7掉落</v>
      </c>
      <c r="C11638" s="8" t="str">
        <f>材料产出!$BJ$2</f>
        <v>新增材料2</v>
      </c>
      <c r="D11638" s="224">
        <f>参数调整!$K$42*怪物掉落配置方案!$D4456</f>
        <v>0</v>
      </c>
    </row>
    <row r="11639" spans="1:4" ht="16.5" hidden="1" x14ac:dyDescent="0.3">
      <c r="A11639" s="10" t="str">
        <f>基本属性!$B$30&amp;"|"&amp;基本属性!$C$30</f>
        <v>250|20</v>
      </c>
      <c r="B11639" s="10" t="str">
        <f>参数调整!$J$42</f>
        <v>新增怪物种类7掉落</v>
      </c>
      <c r="C11639" s="8" t="str">
        <f>材料产出!$BJ$2</f>
        <v>新增材料2</v>
      </c>
      <c r="D11639" s="224">
        <f>参数调整!$K$42*怪物掉落配置方案!$D4457</f>
        <v>0</v>
      </c>
    </row>
    <row r="11640" spans="1:4" ht="16.5" hidden="1" x14ac:dyDescent="0.3">
      <c r="A11640" s="10" t="str">
        <f>基本属性!$B$4&amp;"|"&amp;基本属性!$C$4</f>
        <v>35|0</v>
      </c>
      <c r="B11640" s="10" t="str">
        <f>参数调整!$J$42</f>
        <v>新增怪物种类7掉落</v>
      </c>
      <c r="C11640" s="8" t="str">
        <f>材料产出!$BH$2</f>
        <v>新增材料1</v>
      </c>
      <c r="D11640" s="224">
        <f>参数调整!$K$42*怪物掉落配置方案!$D4458</f>
        <v>0</v>
      </c>
    </row>
    <row r="11641" spans="1:4" ht="16.5" hidden="1" x14ac:dyDescent="0.3">
      <c r="A11641" s="10" t="str">
        <f>基本属性!$B$5&amp;"|"&amp;基本属性!$C$5</f>
        <v>40|0</v>
      </c>
      <c r="B11641" s="10" t="str">
        <f>参数调整!$J$42</f>
        <v>新增怪物种类7掉落</v>
      </c>
      <c r="C11641" s="8" t="str">
        <f>材料产出!$BH$2</f>
        <v>新增材料1</v>
      </c>
      <c r="D11641" s="224">
        <f>参数调整!$K$42*怪物掉落配置方案!$D4459</f>
        <v>0</v>
      </c>
    </row>
    <row r="11642" spans="1:4" ht="16.5" hidden="1" x14ac:dyDescent="0.3">
      <c r="A11642" s="10" t="str">
        <f>基本属性!$B$6&amp;"|"&amp;基本属性!$C$6</f>
        <v>50|0</v>
      </c>
      <c r="B11642" s="10" t="str">
        <f>参数调整!$J$42</f>
        <v>新增怪物种类7掉落</v>
      </c>
      <c r="C11642" s="8" t="str">
        <f>材料产出!$BH$2</f>
        <v>新增材料1</v>
      </c>
      <c r="D11642" s="224">
        <f>参数调整!$K$42*怪物掉落配置方案!$D4460</f>
        <v>0</v>
      </c>
    </row>
    <row r="11643" spans="1:4" ht="16.5" hidden="1" x14ac:dyDescent="0.3">
      <c r="A11643" s="10" t="str">
        <f>基本属性!$B$7&amp;"|"&amp;基本属性!$C$7</f>
        <v>60|0</v>
      </c>
      <c r="B11643" s="10" t="str">
        <f>参数调整!$J$42</f>
        <v>新增怪物种类7掉落</v>
      </c>
      <c r="C11643" s="8" t="str">
        <f>材料产出!$BH$2</f>
        <v>新增材料1</v>
      </c>
      <c r="D11643" s="224">
        <f>参数调整!$K$42*怪物掉落配置方案!$D4461</f>
        <v>0</v>
      </c>
    </row>
    <row r="11644" spans="1:4" ht="16.5" hidden="1" x14ac:dyDescent="0.3">
      <c r="A11644" s="10" t="str">
        <f>基本属性!$B$8&amp;"|"&amp;基本属性!$C$8</f>
        <v>65|0</v>
      </c>
      <c r="B11644" s="10" t="str">
        <f>参数调整!$J$42</f>
        <v>新增怪物种类7掉落</v>
      </c>
      <c r="C11644" s="8" t="str">
        <f>材料产出!$BH$2</f>
        <v>新增材料1</v>
      </c>
      <c r="D11644" s="224">
        <f>参数调整!$K$42*怪物掉落配置方案!$D4462</f>
        <v>0</v>
      </c>
    </row>
    <row r="11645" spans="1:4" ht="16.5" hidden="1" x14ac:dyDescent="0.3">
      <c r="A11645" s="10" t="str">
        <f>基本属性!$B$9&amp;"|"&amp;基本属性!$C$9</f>
        <v>70|0</v>
      </c>
      <c r="B11645" s="10" t="str">
        <f>参数调整!$J$42</f>
        <v>新增怪物种类7掉落</v>
      </c>
      <c r="C11645" s="8" t="str">
        <f>材料产出!$BH$2</f>
        <v>新增材料1</v>
      </c>
      <c r="D11645" s="224">
        <f>参数调整!$K$42*怪物掉落配置方案!$D4463</f>
        <v>0</v>
      </c>
    </row>
    <row r="11646" spans="1:4" ht="16.5" hidden="1" x14ac:dyDescent="0.3">
      <c r="A11646" s="10" t="str">
        <f>基本属性!$B$10&amp;"|"&amp;基本属性!$C$10</f>
        <v>75|0</v>
      </c>
      <c r="B11646" s="10" t="str">
        <f>参数调整!$J$42</f>
        <v>新增怪物种类7掉落</v>
      </c>
      <c r="C11646" s="8" t="str">
        <f>材料产出!$BH$2</f>
        <v>新增材料1</v>
      </c>
      <c r="D11646" s="224">
        <f>参数调整!$K$42*怪物掉落配置方案!$D4464</f>
        <v>0</v>
      </c>
    </row>
    <row r="11647" spans="1:4" ht="16.5" hidden="1" x14ac:dyDescent="0.3">
      <c r="A11647" s="10" t="str">
        <f>基本属性!$B$11&amp;"|"&amp;基本属性!$C$11</f>
        <v>80|1</v>
      </c>
      <c r="B11647" s="10" t="str">
        <f>参数调整!$J$42</f>
        <v>新增怪物种类7掉落</v>
      </c>
      <c r="C11647" s="8" t="str">
        <f>材料产出!$BH$2</f>
        <v>新增材料1</v>
      </c>
      <c r="D11647" s="224">
        <f>参数调整!$K$42*怪物掉落配置方案!$D4465</f>
        <v>0</v>
      </c>
    </row>
    <row r="11648" spans="1:4" ht="16.5" hidden="1" x14ac:dyDescent="0.3">
      <c r="A11648" s="10" t="str">
        <f>基本属性!$B$12&amp;"|"&amp;基本属性!$C$12</f>
        <v>90|2</v>
      </c>
      <c r="B11648" s="10" t="str">
        <f>参数调整!$J$42</f>
        <v>新增怪物种类7掉落</v>
      </c>
      <c r="C11648" s="8" t="str">
        <f>材料产出!$BH$2</f>
        <v>新增材料1</v>
      </c>
      <c r="D11648" s="224">
        <f>参数调整!$K$42*怪物掉落配置方案!$D4466</f>
        <v>0</v>
      </c>
    </row>
    <row r="11649" spans="1:4" ht="16.5" hidden="1" x14ac:dyDescent="0.3">
      <c r="A11649" s="10" t="str">
        <f>基本属性!$B$13&amp;"|"&amp;基本属性!$C$13</f>
        <v>100|3</v>
      </c>
      <c r="B11649" s="10" t="str">
        <f>参数调整!$J$42</f>
        <v>新增怪物种类7掉落</v>
      </c>
      <c r="C11649" s="8" t="str">
        <f>材料产出!$BH$2</f>
        <v>新增材料1</v>
      </c>
      <c r="D11649" s="224">
        <f>参数调整!$K$42*怪物掉落配置方案!$D4467</f>
        <v>0</v>
      </c>
    </row>
    <row r="11650" spans="1:4" ht="16.5" hidden="1" x14ac:dyDescent="0.3">
      <c r="A11650" s="10" t="str">
        <f>基本属性!$B$14&amp;"|"&amp;基本属性!$C$14</f>
        <v>105|4</v>
      </c>
      <c r="B11650" s="10" t="str">
        <f>参数调整!$J$42</f>
        <v>新增怪物种类7掉落</v>
      </c>
      <c r="C11650" s="8" t="str">
        <f>材料产出!$BH$2</f>
        <v>新增材料1</v>
      </c>
      <c r="D11650" s="224">
        <f>参数调整!$K$42*怪物掉落配置方案!$D4468</f>
        <v>0</v>
      </c>
    </row>
    <row r="11651" spans="1:4" ht="16.5" hidden="1" x14ac:dyDescent="0.3">
      <c r="A11651" s="10" t="str">
        <f>基本属性!$B$15&amp;"|"&amp;基本属性!$C$15</f>
        <v>110|5</v>
      </c>
      <c r="B11651" s="10" t="str">
        <f>参数调整!$J$42</f>
        <v>新增怪物种类7掉落</v>
      </c>
      <c r="C11651" s="8" t="str">
        <f>材料产出!$BH$2</f>
        <v>新增材料1</v>
      </c>
      <c r="D11651" s="224">
        <f>参数调整!$K$42*怪物掉落配置方案!$D4469</f>
        <v>0</v>
      </c>
    </row>
    <row r="11652" spans="1:4" ht="16.5" hidden="1" x14ac:dyDescent="0.3">
      <c r="A11652" s="10" t="str">
        <f>基本属性!$B$16&amp;"|"&amp;基本属性!$C$16</f>
        <v>120|6</v>
      </c>
      <c r="B11652" s="10" t="str">
        <f>参数调整!$J$42</f>
        <v>新增怪物种类7掉落</v>
      </c>
      <c r="C11652" s="8" t="str">
        <f>材料产出!$BH$2</f>
        <v>新增材料1</v>
      </c>
      <c r="D11652" s="224">
        <f>参数调整!$K$42*怪物掉落配置方案!$D4470</f>
        <v>0</v>
      </c>
    </row>
    <row r="11653" spans="1:4" ht="16.5" hidden="1" x14ac:dyDescent="0.3">
      <c r="A11653" s="10" t="str">
        <f>基本属性!$B$17&amp;"|"&amp;基本属性!$C$17</f>
        <v>135|7</v>
      </c>
      <c r="B11653" s="10" t="str">
        <f>参数调整!$J$42</f>
        <v>新增怪物种类7掉落</v>
      </c>
      <c r="C11653" s="8" t="str">
        <f>材料产出!$BH$2</f>
        <v>新增材料1</v>
      </c>
      <c r="D11653" s="224">
        <f>参数调整!$K$42*怪物掉落配置方案!$D4471</f>
        <v>0</v>
      </c>
    </row>
    <row r="11654" spans="1:4" ht="16.5" hidden="1" x14ac:dyDescent="0.3">
      <c r="A11654" s="10" t="str">
        <f>基本属性!$B$18&amp;"|"&amp;基本属性!$C$18</f>
        <v>155|8</v>
      </c>
      <c r="B11654" s="10" t="str">
        <f>参数调整!$J$42</f>
        <v>新增怪物种类7掉落</v>
      </c>
      <c r="C11654" s="8" t="str">
        <f>材料产出!$BH$2</f>
        <v>新增材料1</v>
      </c>
      <c r="D11654" s="224">
        <f>参数调整!$K$42*怪物掉落配置方案!$D4472</f>
        <v>0</v>
      </c>
    </row>
    <row r="11655" spans="1:4" ht="16.5" hidden="1" x14ac:dyDescent="0.3">
      <c r="A11655" s="10" t="str">
        <f>基本属性!$B$19&amp;"|"&amp;基本属性!$C$19</f>
        <v>190|9</v>
      </c>
      <c r="B11655" s="10" t="str">
        <f>参数调整!$J$42</f>
        <v>新增怪物种类7掉落</v>
      </c>
      <c r="C11655" s="8" t="str">
        <f>材料产出!$BH$2</f>
        <v>新增材料1</v>
      </c>
      <c r="D11655" s="224">
        <f>参数调整!$K$42*怪物掉落配置方案!$D4473</f>
        <v>0</v>
      </c>
    </row>
    <row r="11656" spans="1:4" ht="16.5" hidden="1" x14ac:dyDescent="0.3">
      <c r="A11656" s="10" t="str">
        <f>基本属性!$B$20&amp;"|"&amp;基本属性!$C$20</f>
        <v>200|10</v>
      </c>
      <c r="B11656" s="10" t="str">
        <f>参数调整!$J$42</f>
        <v>新增怪物种类7掉落</v>
      </c>
      <c r="C11656" s="8" t="str">
        <f>材料产出!$BH$2</f>
        <v>新增材料1</v>
      </c>
      <c r="D11656" s="224">
        <f>参数调整!$K$42*怪物掉落配置方案!$D4474</f>
        <v>0</v>
      </c>
    </row>
    <row r="11657" spans="1:4" ht="16.5" hidden="1" x14ac:dyDescent="0.3">
      <c r="A11657" s="10" t="str">
        <f>基本属性!$B$21&amp;"|"&amp;基本属性!$C$21</f>
        <v>200|11</v>
      </c>
      <c r="B11657" s="10" t="str">
        <f>参数调整!$J$42</f>
        <v>新增怪物种类7掉落</v>
      </c>
      <c r="C11657" s="8" t="str">
        <f>材料产出!$BH$2</f>
        <v>新增材料1</v>
      </c>
      <c r="D11657" s="224">
        <f>参数调整!$K$42*怪物掉落配置方案!$D4475</f>
        <v>0</v>
      </c>
    </row>
    <row r="11658" spans="1:4" ht="16.5" hidden="1" x14ac:dyDescent="0.3">
      <c r="A11658" s="10" t="str">
        <f>基本属性!$B$22&amp;"|"&amp;基本属性!$C$22</f>
        <v>210|12</v>
      </c>
      <c r="B11658" s="10" t="str">
        <f>参数调整!$J$42</f>
        <v>新增怪物种类7掉落</v>
      </c>
      <c r="C11658" s="8" t="str">
        <f>材料产出!$BH$2</f>
        <v>新增材料1</v>
      </c>
      <c r="D11658" s="224">
        <f>参数调整!$K$42*怪物掉落配置方案!$D4476</f>
        <v>0</v>
      </c>
    </row>
    <row r="11659" spans="1:4" ht="16.5" hidden="1" x14ac:dyDescent="0.3">
      <c r="A11659" s="10" t="str">
        <f>基本属性!$B$23&amp;"|"&amp;基本属性!$C$23</f>
        <v>210|13</v>
      </c>
      <c r="B11659" s="10" t="str">
        <f>参数调整!$J$42</f>
        <v>新增怪物种类7掉落</v>
      </c>
      <c r="C11659" s="8" t="str">
        <f>材料产出!$BH$2</f>
        <v>新增材料1</v>
      </c>
      <c r="D11659" s="224">
        <f>参数调整!$K$42*怪物掉落配置方案!$D4477</f>
        <v>0</v>
      </c>
    </row>
    <row r="11660" spans="1:4" ht="16.5" hidden="1" x14ac:dyDescent="0.3">
      <c r="A11660" s="10" t="str">
        <f>基本属性!$B$24&amp;"|"&amp;基本属性!$C$24</f>
        <v>220|14</v>
      </c>
      <c r="B11660" s="10" t="str">
        <f>参数调整!$J$42</f>
        <v>新增怪物种类7掉落</v>
      </c>
      <c r="C11660" s="8" t="str">
        <f>材料产出!$BH$2</f>
        <v>新增材料1</v>
      </c>
      <c r="D11660" s="224">
        <f>参数调整!$K$42*怪物掉落配置方案!$D4478</f>
        <v>0</v>
      </c>
    </row>
    <row r="11661" spans="1:4" ht="16.5" hidden="1" x14ac:dyDescent="0.3">
      <c r="A11661" s="10" t="str">
        <f>基本属性!$B$25&amp;"|"&amp;基本属性!$C$25</f>
        <v>220|15</v>
      </c>
      <c r="B11661" s="10" t="str">
        <f>参数调整!$J$42</f>
        <v>新增怪物种类7掉落</v>
      </c>
      <c r="C11661" s="8" t="str">
        <f>材料产出!$BH$2</f>
        <v>新增材料1</v>
      </c>
      <c r="D11661" s="224">
        <f>参数调整!$K$42*怪物掉落配置方案!$D4479</f>
        <v>0</v>
      </c>
    </row>
    <row r="11662" spans="1:4" ht="16.5" hidden="1" x14ac:dyDescent="0.3">
      <c r="A11662" s="10" t="str">
        <f>基本属性!$B$26&amp;"|"&amp;基本属性!$C$26</f>
        <v>230|16</v>
      </c>
      <c r="B11662" s="10" t="str">
        <f>参数调整!$J$42</f>
        <v>新增怪物种类7掉落</v>
      </c>
      <c r="C11662" s="8" t="str">
        <f>材料产出!$BH$2</f>
        <v>新增材料1</v>
      </c>
      <c r="D11662" s="224">
        <f>参数调整!$K$42*怪物掉落配置方案!$D4480</f>
        <v>0</v>
      </c>
    </row>
    <row r="11663" spans="1:4" ht="16.5" hidden="1" x14ac:dyDescent="0.3">
      <c r="A11663" s="10" t="str">
        <f>基本属性!$B$27&amp;"|"&amp;基本属性!$C$27</f>
        <v>230|17</v>
      </c>
      <c r="B11663" s="10" t="str">
        <f>参数调整!$J$42</f>
        <v>新增怪物种类7掉落</v>
      </c>
      <c r="C11663" s="8" t="str">
        <f>材料产出!$BH$2</f>
        <v>新增材料1</v>
      </c>
      <c r="D11663" s="224">
        <f>参数调整!$K$42*怪物掉落配置方案!$D4481</f>
        <v>0</v>
      </c>
    </row>
    <row r="11664" spans="1:4" ht="16.5" hidden="1" x14ac:dyDescent="0.3">
      <c r="A11664" s="10" t="str">
        <f>基本属性!$B$28&amp;"|"&amp;基本属性!$C$28</f>
        <v>240|18</v>
      </c>
      <c r="B11664" s="10" t="str">
        <f>参数调整!$J$42</f>
        <v>新增怪物种类7掉落</v>
      </c>
      <c r="C11664" s="8" t="str">
        <f>材料产出!$BH$2</f>
        <v>新增材料1</v>
      </c>
      <c r="D11664" s="224">
        <f>参数调整!$K$42*怪物掉落配置方案!$D4482</f>
        <v>0</v>
      </c>
    </row>
    <row r="11665" spans="1:4" ht="16.5" hidden="1" x14ac:dyDescent="0.3">
      <c r="A11665" s="10" t="str">
        <f>基本属性!$B$29&amp;"|"&amp;基本属性!$C$29</f>
        <v>240|19</v>
      </c>
      <c r="B11665" s="10" t="str">
        <f>参数调整!$J$42</f>
        <v>新增怪物种类7掉落</v>
      </c>
      <c r="C11665" s="8" t="str">
        <f>材料产出!$BH$2</f>
        <v>新增材料1</v>
      </c>
      <c r="D11665" s="224">
        <f>参数调整!$K$42*怪物掉落配置方案!$D4483</f>
        <v>0</v>
      </c>
    </row>
    <row r="11666" spans="1:4" ht="16.5" hidden="1" x14ac:dyDescent="0.3">
      <c r="A11666" s="10" t="str">
        <f>基本属性!$B$30&amp;"|"&amp;基本属性!$C$30</f>
        <v>250|20</v>
      </c>
      <c r="B11666" s="10" t="str">
        <f>参数调整!$J$42</f>
        <v>新增怪物种类7掉落</v>
      </c>
      <c r="C11666" s="8" t="str">
        <f>材料产出!$BH$2</f>
        <v>新增材料1</v>
      </c>
      <c r="D11666" s="224">
        <f>参数调整!$K$42*怪物掉落配置方案!$D4484</f>
        <v>0</v>
      </c>
    </row>
    <row r="11667" spans="1:4" ht="16.5" hidden="1" x14ac:dyDescent="0.3">
      <c r="A11667" s="10" t="str">
        <f>基本属性!$B$4&amp;"|"&amp;基本属性!$C$4</f>
        <v>35|0</v>
      </c>
      <c r="B11667" s="10" t="str">
        <f>参数调整!$J$42</f>
        <v>新增怪物种类7掉落</v>
      </c>
      <c r="C11667" s="8" t="str">
        <f>材料产出!$AF$2</f>
        <v>仙品升星石</v>
      </c>
      <c r="D11667" s="224">
        <f>参数调整!$K$42*怪物掉落配置方案!$D4485</f>
        <v>1.5877764916342206E-2</v>
      </c>
    </row>
    <row r="11668" spans="1:4" ht="16.5" hidden="1" x14ac:dyDescent="0.3">
      <c r="A11668" s="10" t="str">
        <f>基本属性!$B$5&amp;"|"&amp;基本属性!$C$5</f>
        <v>40|0</v>
      </c>
      <c r="B11668" s="10" t="str">
        <f>参数调整!$J$42</f>
        <v>新增怪物种类7掉落</v>
      </c>
      <c r="C11668" s="8" t="str">
        <f>材料产出!$AF$2</f>
        <v>仙品升星石</v>
      </c>
      <c r="D11668" s="224">
        <f>参数调整!$K$42*怪物掉落配置方案!$D4486</f>
        <v>2.0095296222245613E-2</v>
      </c>
    </row>
    <row r="11669" spans="1:4" ht="16.5" hidden="1" x14ac:dyDescent="0.3">
      <c r="A11669" s="10" t="str">
        <f>基本属性!$B$6&amp;"|"&amp;基本属性!$C$6</f>
        <v>50|0</v>
      </c>
      <c r="B11669" s="10" t="str">
        <f>参数调整!$J$42</f>
        <v>新增怪物种类7掉落</v>
      </c>
      <c r="C11669" s="8" t="str">
        <f>材料产出!$AF$2</f>
        <v>仙品升星石</v>
      </c>
      <c r="D11669" s="224">
        <f>参数调整!$K$42*怪物掉落配置方案!$D4487</f>
        <v>2.4809007681784703E-2</v>
      </c>
    </row>
    <row r="11670" spans="1:4" ht="16.5" hidden="1" x14ac:dyDescent="0.3">
      <c r="A11670" s="10" t="str">
        <f>基本属性!$B$7&amp;"|"&amp;基本属性!$C$7</f>
        <v>60|0</v>
      </c>
      <c r="B11670" s="10" t="str">
        <f>参数调整!$J$42</f>
        <v>新增怪物种类7掉落</v>
      </c>
      <c r="C11670" s="8" t="str">
        <f>材料产出!$AF$2</f>
        <v>仙品升星石</v>
      </c>
      <c r="D11670" s="224">
        <f>参数调整!$K$42*怪物掉落配置方案!$D4488</f>
        <v>3.0018899294959489E-2</v>
      </c>
    </row>
    <row r="11671" spans="1:4" ht="16.5" hidden="1" x14ac:dyDescent="0.3">
      <c r="A11671" s="10" t="str">
        <f>基本属性!$B$8&amp;"|"&amp;基本属性!$C$8</f>
        <v>65|0</v>
      </c>
      <c r="B11671" s="10" t="str">
        <f>参数调整!$J$42</f>
        <v>新增怪物种类7掉落</v>
      </c>
      <c r="C11671" s="8" t="str">
        <f>材料产出!$AF$2</f>
        <v>仙品升星石</v>
      </c>
      <c r="D11671" s="224">
        <f>参数调整!$K$42*怪物掉落配置方案!$D4489</f>
        <v>3.5724971061769972E-2</v>
      </c>
    </row>
    <row r="11672" spans="1:4" ht="16.5" hidden="1" x14ac:dyDescent="0.3">
      <c r="A11672" s="10" t="str">
        <f>基本属性!$B$9&amp;"|"&amp;基本属性!$C$9</f>
        <v>70|0</v>
      </c>
      <c r="B11672" s="10" t="str">
        <f>参数调整!$J$42</f>
        <v>新增怪物种类7掉落</v>
      </c>
      <c r="C11672" s="8" t="str">
        <f>材料产出!$AF$2</f>
        <v>仙品升星石</v>
      </c>
      <c r="D11672" s="224">
        <f>参数调整!$K$42*怪物掉落配置方案!$D4490</f>
        <v>4.1927222982216142E-2</v>
      </c>
    </row>
    <row r="11673" spans="1:4" ht="16.5" hidden="1" x14ac:dyDescent="0.3">
      <c r="A11673" s="10" t="str">
        <f>基本属性!$B$10&amp;"|"&amp;基本属性!$C$10</f>
        <v>75|0</v>
      </c>
      <c r="B11673" s="10" t="str">
        <f>参数调整!$J$42</f>
        <v>新增怪物种类7掉落</v>
      </c>
      <c r="C11673" s="8" t="str">
        <f>材料产出!$AF$2</f>
        <v>仙品升星石</v>
      </c>
      <c r="D11673" s="224">
        <f>参数调整!$K$42*怪物掉落配置方案!$D4491</f>
        <v>4.8625655056298012E-2</v>
      </c>
    </row>
    <row r="11674" spans="1:4" ht="16.5" hidden="1" x14ac:dyDescent="0.3">
      <c r="A11674" s="10" t="str">
        <f>基本属性!$B$11&amp;"|"&amp;基本属性!$C$11</f>
        <v>80|1</v>
      </c>
      <c r="B11674" s="10" t="str">
        <f>参数调整!$J$42</f>
        <v>新增怪物种类7掉落</v>
      </c>
      <c r="C11674" s="8" t="str">
        <f>材料产出!$AF$2</f>
        <v>仙品升星石</v>
      </c>
      <c r="D11674" s="224">
        <f>参数调整!$K$42*怪物掉落配置方案!$D4492</f>
        <v>5.5820267284015575E-2</v>
      </c>
    </row>
    <row r="11675" spans="1:4" ht="16.5" hidden="1" x14ac:dyDescent="0.3">
      <c r="A11675" s="10" t="str">
        <f>基本属性!$B$12&amp;"|"&amp;基本属性!$C$12</f>
        <v>90|2</v>
      </c>
      <c r="B11675" s="10" t="str">
        <f>参数调整!$J$42</f>
        <v>新增怪物种类7掉落</v>
      </c>
      <c r="C11675" s="8" t="str">
        <f>材料产出!$AF$2</f>
        <v>仙品升星石</v>
      </c>
      <c r="D11675" s="224">
        <f>参数调整!$K$42*怪物掉落配置方案!$D4493</f>
        <v>6.3511059665368852E-2</v>
      </c>
    </row>
    <row r="11676" spans="1:4" ht="16.5" hidden="1" x14ac:dyDescent="0.3">
      <c r="A11676" s="10" t="str">
        <f>基本属性!$B$13&amp;"|"&amp;基本属性!$C$13</f>
        <v>100|3</v>
      </c>
      <c r="B11676" s="10" t="str">
        <f>参数调整!$J$42</f>
        <v>新增怪物种类7掉落</v>
      </c>
      <c r="C11676" s="8" t="str">
        <f>材料产出!$AF$2</f>
        <v>仙品升星石</v>
      </c>
      <c r="D11676" s="224">
        <f>参数调整!$K$42*怪物掉落配置方案!$D4494</f>
        <v>8.0381184888982452E-2</v>
      </c>
    </row>
    <row r="11677" spans="1:4" ht="16.5" hidden="1" x14ac:dyDescent="0.3">
      <c r="A11677" s="10" t="str">
        <f>基本属性!$B$14&amp;"|"&amp;基本属性!$C$14</f>
        <v>105|4</v>
      </c>
      <c r="B11677" s="10" t="str">
        <f>参数调整!$J$42</f>
        <v>新增怪物种类7掉落</v>
      </c>
      <c r="C11677" s="8" t="str">
        <f>材料产出!$AF$2</f>
        <v>仙品升星石</v>
      </c>
      <c r="D11677" s="224">
        <f>参数调整!$K$42*怪物掉落配置方案!$D4495</f>
        <v>9.9236030727138796E-2</v>
      </c>
    </row>
    <row r="11678" spans="1:4" ht="16.5" hidden="1" x14ac:dyDescent="0.3">
      <c r="A11678" s="10" t="str">
        <f>基本属性!$B$15&amp;"|"&amp;基本属性!$C$15</f>
        <v>110|5</v>
      </c>
      <c r="B11678" s="10" t="str">
        <f>参数调整!$J$42</f>
        <v>新增怪物种类7掉落</v>
      </c>
      <c r="C11678" s="8" t="str">
        <f>材料产出!$AF$2</f>
        <v>仙品升星石</v>
      </c>
      <c r="D11678" s="224">
        <f>参数调整!$K$42*怪物掉落配置方案!$D4496</f>
        <v>0.12007559717983796</v>
      </c>
    </row>
    <row r="11679" spans="1:4" ht="16.5" hidden="1" x14ac:dyDescent="0.3">
      <c r="A11679" s="10" t="str">
        <f>基本属性!$B$16&amp;"|"&amp;基本属性!$C$16</f>
        <v>120|6</v>
      </c>
      <c r="B11679" s="10" t="str">
        <f>参数调整!$J$42</f>
        <v>新增怪物种类7掉落</v>
      </c>
      <c r="C11679" s="8" t="str">
        <f>材料产出!$AF$2</f>
        <v>仙品升星石</v>
      </c>
      <c r="D11679" s="224">
        <f>参数调整!$K$42*怪物掉落配置方案!$D4497</f>
        <v>0.15505629801115439</v>
      </c>
    </row>
    <row r="11680" spans="1:4" ht="16.5" hidden="1" x14ac:dyDescent="0.3">
      <c r="A11680" s="10" t="str">
        <f>基本属性!$B$17&amp;"|"&amp;基本属性!$C$17</f>
        <v>135|7</v>
      </c>
      <c r="B11680" s="10" t="str">
        <f>参数调整!$J$42</f>
        <v>新增怪物种类7掉落</v>
      </c>
      <c r="C11680" s="8" t="str">
        <f>材料产出!$AF$2</f>
        <v>仙品升星石</v>
      </c>
      <c r="D11680" s="224">
        <f>参数调整!$K$42*怪物掉落配置方案!$D4498</f>
        <v>0.2232810691360623</v>
      </c>
    </row>
    <row r="11681" spans="1:4" ht="16.5" hidden="1" x14ac:dyDescent="0.3">
      <c r="A11681" s="10" t="str">
        <f>基本属性!$B$18&amp;"|"&amp;基本属性!$C$18</f>
        <v>155|8</v>
      </c>
      <c r="B11681" s="10" t="str">
        <f>参数调整!$J$42</f>
        <v>新增怪物种类7掉落</v>
      </c>
      <c r="C11681" s="8" t="str">
        <f>材料产出!$AF$2</f>
        <v>仙品升星石</v>
      </c>
      <c r="D11681" s="224">
        <f>参数调整!$K$42*怪物掉落配置方案!$D4499</f>
        <v>0.30391034410186263</v>
      </c>
    </row>
    <row r="11682" spans="1:4" ht="16.5" hidden="1" x14ac:dyDescent="0.3">
      <c r="A11682" s="10" t="str">
        <f>基本属性!$B$19&amp;"|"&amp;基本属性!$C$19</f>
        <v>190|9</v>
      </c>
      <c r="B11682" s="10" t="str">
        <f>参数调整!$J$42</f>
        <v>新增怪物种类7掉落</v>
      </c>
      <c r="C11682" s="8" t="str">
        <f>材料产出!$AF$2</f>
        <v>仙品升星石</v>
      </c>
      <c r="D11682" s="224">
        <f>参数调整!$K$42*怪物掉落配置方案!$D4500</f>
        <v>0.33963531516363266</v>
      </c>
    </row>
    <row r="11683" spans="1:4" ht="16.5" hidden="1" x14ac:dyDescent="0.3">
      <c r="A11683" s="10" t="str">
        <f>基本属性!$B$20&amp;"|"&amp;基本属性!$C$20</f>
        <v>200|10</v>
      </c>
      <c r="B11683" s="10" t="str">
        <f>参数调整!$J$42</f>
        <v>新增怪物种类7掉落</v>
      </c>
      <c r="C11683" s="8" t="str">
        <f>材料产出!$AF$2</f>
        <v>仙品升星石</v>
      </c>
      <c r="D11683" s="224">
        <f>参数调整!$K$42*怪物掉落配置方案!$D4501</f>
        <v>0.39694412290855519</v>
      </c>
    </row>
    <row r="11684" spans="1:4" ht="16.5" hidden="1" x14ac:dyDescent="0.3">
      <c r="A11684" s="10" t="str">
        <f>基本属性!$B$21&amp;"|"&amp;基本属性!$C$21</f>
        <v>200|11</v>
      </c>
      <c r="B11684" s="10" t="str">
        <f>参数调整!$J$42</f>
        <v>新增怪物种类7掉落</v>
      </c>
      <c r="C11684" s="8" t="str">
        <f>材料产出!$AF$2</f>
        <v>仙品升星石</v>
      </c>
      <c r="D11684" s="224">
        <f>参数调整!$K$42*怪物掉落配置方案!$D4502</f>
        <v>0.45871855203619905</v>
      </c>
    </row>
    <row r="11685" spans="1:4" ht="16.5" hidden="1" x14ac:dyDescent="0.3">
      <c r="A11685" s="10" t="str">
        <f>基本属性!$B$22&amp;"|"&amp;基本属性!$C$22</f>
        <v>210|12</v>
      </c>
      <c r="B11685" s="10" t="str">
        <f>参数调整!$J$42</f>
        <v>新增怪物种类7掉落</v>
      </c>
      <c r="C11685" s="8" t="str">
        <f>材料产出!$AF$2</f>
        <v>仙品升星石</v>
      </c>
      <c r="D11685" s="224">
        <f>参数调整!$K$42*怪物掉落配置方案!$D4503</f>
        <v>0.52495860254656423</v>
      </c>
    </row>
    <row r="11686" spans="1:4" ht="16.5" hidden="1" x14ac:dyDescent="0.3">
      <c r="A11686" s="10" t="str">
        <f>基本属性!$B$23&amp;"|"&amp;基本属性!$C$23</f>
        <v>210|13</v>
      </c>
      <c r="B11686" s="10" t="str">
        <f>参数调整!$J$42</f>
        <v>新增怪物种类7掉落</v>
      </c>
      <c r="C11686" s="8" t="str">
        <f>材料产出!$AF$2</f>
        <v>仙品升星石</v>
      </c>
      <c r="D11686" s="224">
        <f>参数调整!$K$42*怪物掉落配置方案!$D4504</f>
        <v>0.59566427443965064</v>
      </c>
    </row>
    <row r="11687" spans="1:4" ht="16.5" hidden="1" x14ac:dyDescent="0.3">
      <c r="A11687" s="10" t="str">
        <f>基本属性!$B$24&amp;"|"&amp;基本属性!$C$24</f>
        <v>220|14</v>
      </c>
      <c r="B11687" s="10" t="str">
        <f>参数调整!$J$42</f>
        <v>新增怪物种类7掉落</v>
      </c>
      <c r="C11687" s="8" t="str">
        <f>材料产出!$AF$2</f>
        <v>仙品升星石</v>
      </c>
      <c r="D11687" s="224">
        <f>参数调整!$K$42*怪物掉落配置方案!$D4505</f>
        <v>0.67083556771545838</v>
      </c>
    </row>
    <row r="11688" spans="1:4" ht="16.5" hidden="1" x14ac:dyDescent="0.3">
      <c r="A11688" s="10" t="str">
        <f>基本属性!$B$25&amp;"|"&amp;基本属性!$C$25</f>
        <v>220|15</v>
      </c>
      <c r="B11688" s="10" t="str">
        <f>参数调整!$J$42</f>
        <v>新增怪物种类7掉落</v>
      </c>
      <c r="C11688" s="8" t="str">
        <f>材料产出!$AF$2</f>
        <v>仙品升星石</v>
      </c>
      <c r="D11688" s="224">
        <f>参数调整!$K$42*怪物掉落配置方案!$D4506</f>
        <v>0.750472482373987</v>
      </c>
    </row>
    <row r="11689" spans="1:4" ht="16.5" hidden="1" x14ac:dyDescent="0.3">
      <c r="A11689" s="10" t="str">
        <f>基本属性!$B$26&amp;"|"&amp;基本属性!$C$26</f>
        <v>230|16</v>
      </c>
      <c r="B11689" s="10" t="str">
        <f>参数调整!$J$42</f>
        <v>新增怪物种类7掉落</v>
      </c>
      <c r="C11689" s="8" t="str">
        <f>材料产出!$AF$2</f>
        <v>仙品升星石</v>
      </c>
      <c r="D11689" s="224">
        <f>参数调整!$K$42*怪物掉落配置方案!$D4507</f>
        <v>0.83457501841523729</v>
      </c>
    </row>
    <row r="11690" spans="1:4" ht="16.5" hidden="1" x14ac:dyDescent="0.3">
      <c r="A11690" s="10" t="str">
        <f>基本属性!$B$27&amp;"|"&amp;基本属性!$C$27</f>
        <v>230|17</v>
      </c>
      <c r="B11690" s="10" t="str">
        <f>参数调整!$J$42</f>
        <v>新增怪物种类7掉落</v>
      </c>
      <c r="C11690" s="8" t="str">
        <f>材料产出!$AF$2</f>
        <v>仙品升星石</v>
      </c>
      <c r="D11690" s="224">
        <f>参数调整!$K$42*怪物掉落配置方案!$D4508</f>
        <v>0.92314317583920857</v>
      </c>
    </row>
    <row r="11691" spans="1:4" ht="16.5" hidden="1" x14ac:dyDescent="0.3">
      <c r="A11691" s="10" t="str">
        <f>基本属性!$B$28&amp;"|"&amp;基本属性!$C$28</f>
        <v>240|18</v>
      </c>
      <c r="B11691" s="10" t="str">
        <f>参数调整!$J$42</f>
        <v>新增怪物种类7掉落</v>
      </c>
      <c r="C11691" s="8" t="str">
        <f>材料产出!$AF$2</f>
        <v>仙品升星石</v>
      </c>
      <c r="D11691" s="224">
        <f>参数调整!$K$42*怪物掉落配置方案!$D4509</f>
        <v>1.0161769546459014</v>
      </c>
    </row>
    <row r="11692" spans="1:4" ht="16.5" hidden="1" x14ac:dyDescent="0.3">
      <c r="A11692" s="10" t="str">
        <f>基本属性!$B$29&amp;"|"&amp;基本属性!$C$29</f>
        <v>240|19</v>
      </c>
      <c r="B11692" s="10" t="str">
        <f>参数调整!$J$42</f>
        <v>新增怪物种类7掉落</v>
      </c>
      <c r="C11692" s="8" t="str">
        <f>材料产出!$AF$2</f>
        <v>仙品升星石</v>
      </c>
      <c r="D11692" s="224">
        <f>参数调整!$K$42*怪物掉落配置方案!$D4510</f>
        <v>1.1136763548353152</v>
      </c>
    </row>
    <row r="11693" spans="1:4" ht="16.5" hidden="1" x14ac:dyDescent="0.3">
      <c r="A11693" s="10" t="str">
        <f>基本属性!$B$30&amp;"|"&amp;基本属性!$C$30</f>
        <v>250|20</v>
      </c>
      <c r="B11693" s="10" t="str">
        <f>参数调整!$J$42</f>
        <v>新增怪物种类7掉落</v>
      </c>
      <c r="C11693" s="8" t="str">
        <f>材料产出!$AF$2</f>
        <v>仙品升星石</v>
      </c>
      <c r="D11693" s="224">
        <f>参数调整!$K$42*怪物掉落配置方案!$D4511</f>
        <v>1.2156413764074503</v>
      </c>
    </row>
    <row r="11694" spans="1:4" ht="16.5" hidden="1" x14ac:dyDescent="0.3">
      <c r="A11694" s="10" t="str">
        <f>基本属性!$B$4&amp;"|"&amp;基本属性!$C$4</f>
        <v>35|0</v>
      </c>
      <c r="B11694" s="10" t="str">
        <f>参数调整!$J$42</f>
        <v>新增怪物种类7掉落</v>
      </c>
      <c r="C11694" s="8" t="str">
        <f>材料产出!$T$2</f>
        <v>洗髓丹</v>
      </c>
      <c r="D11694" s="224">
        <f>参数调整!$K$42*怪物掉落配置方案!$D4512</f>
        <v>4.1352040774087747E-3</v>
      </c>
    </row>
    <row r="11695" spans="1:4" ht="16.5" hidden="1" x14ac:dyDescent="0.3">
      <c r="A11695" s="10" t="str">
        <f>基本属性!$B$5&amp;"|"&amp;基本属性!$C$5</f>
        <v>40|0</v>
      </c>
      <c r="B11695" s="10" t="str">
        <f>参数调整!$J$42</f>
        <v>新增怪物种类7掉落</v>
      </c>
      <c r="C11695" s="8" t="str">
        <f>材料产出!$T$2</f>
        <v>洗髓丹</v>
      </c>
      <c r="D11695" s="224">
        <f>参数调整!$K$42*怪物掉落配置方案!$D4513</f>
        <v>5.2336176604704807E-3</v>
      </c>
    </row>
    <row r="11696" spans="1:4" ht="16.5" hidden="1" x14ac:dyDescent="0.3">
      <c r="A11696" s="10" t="str">
        <f>基本属性!$B$6&amp;"|"&amp;基本属性!$C$6</f>
        <v>50|0</v>
      </c>
      <c r="B11696" s="10" t="str">
        <f>参数调整!$J$42</f>
        <v>新增怪物种类7掉落</v>
      </c>
      <c r="C11696" s="8" t="str">
        <f>材料产出!$T$2</f>
        <v>洗髓丹</v>
      </c>
      <c r="D11696" s="224">
        <f>参数调整!$K$42*怪物掉落配置方案!$D4514</f>
        <v>6.4612563709512101E-3</v>
      </c>
    </row>
    <row r="11697" spans="1:4" ht="16.5" hidden="1" x14ac:dyDescent="0.3">
      <c r="A11697" s="10" t="str">
        <f>基本属性!$B$7&amp;"|"&amp;基本属性!$C$7</f>
        <v>60|0</v>
      </c>
      <c r="B11697" s="10" t="str">
        <f>参数调整!$J$42</f>
        <v>新增怪物种类7掉落</v>
      </c>
      <c r="C11697" s="8" t="str">
        <f>材料产出!$T$2</f>
        <v>洗髓丹</v>
      </c>
      <c r="D11697" s="224">
        <f>参数调整!$K$42*怪物掉落配置方案!$D4515</f>
        <v>7.8181202088509656E-3</v>
      </c>
    </row>
    <row r="11698" spans="1:4" ht="16.5" hidden="1" x14ac:dyDescent="0.3">
      <c r="A11698" s="10" t="str">
        <f>基本属性!$B$8&amp;"|"&amp;基本属性!$C$8</f>
        <v>65|0</v>
      </c>
      <c r="B11698" s="10" t="str">
        <f>参数调整!$J$42</f>
        <v>新增怪物种类7掉落</v>
      </c>
      <c r="C11698" s="8" t="str">
        <f>材料产出!$T$2</f>
        <v>洗髓丹</v>
      </c>
      <c r="D11698" s="224">
        <f>参数调整!$K$42*怪物掉落配置方案!$D4516</f>
        <v>9.3042091741697436E-3</v>
      </c>
    </row>
    <row r="11699" spans="1:4" ht="16.5" hidden="1" x14ac:dyDescent="0.3">
      <c r="A11699" s="10" t="str">
        <f>基本属性!$B$9&amp;"|"&amp;基本属性!$C$9</f>
        <v>70|0</v>
      </c>
      <c r="B11699" s="10" t="str">
        <f>参数调整!$J$42</f>
        <v>新增怪物种类7掉落</v>
      </c>
      <c r="C11699" s="8" t="str">
        <f>材料产出!$T$2</f>
        <v>洗髓丹</v>
      </c>
      <c r="D11699" s="224">
        <f>参数调整!$K$42*怪物掉落配置方案!$D4517</f>
        <v>1.0919523266907547E-2</v>
      </c>
    </row>
    <row r="11700" spans="1:4" ht="16.5" hidden="1" x14ac:dyDescent="0.3">
      <c r="A11700" s="10" t="str">
        <f>基本属性!$B$10&amp;"|"&amp;基本属性!$C$10</f>
        <v>75|0</v>
      </c>
      <c r="B11700" s="10" t="str">
        <f>参数调整!$J$42</f>
        <v>新增怪物种类7掉落</v>
      </c>
      <c r="C11700" s="8" t="str">
        <f>材料产出!$T$2</f>
        <v>洗髓丹</v>
      </c>
      <c r="D11700" s="224">
        <f>参数调整!$K$42*怪物掉落配置方案!$D4518</f>
        <v>1.2664062487064372E-2</v>
      </c>
    </row>
    <row r="11701" spans="1:4" ht="16.5" hidden="1" x14ac:dyDescent="0.3">
      <c r="A11701" s="10" t="str">
        <f>基本属性!$B$11&amp;"|"&amp;基本属性!$C$11</f>
        <v>80|1</v>
      </c>
      <c r="B11701" s="10" t="str">
        <f>参数调整!$J$42</f>
        <v>新增怪物种类7掉落</v>
      </c>
      <c r="C11701" s="8" t="str">
        <f>材料产出!$T$2</f>
        <v>洗髓丹</v>
      </c>
      <c r="D11701" s="224">
        <f>参数调整!$K$42*怪物掉落配置方案!$D4519</f>
        <v>1.4537826834640225E-2</v>
      </c>
    </row>
    <row r="11702" spans="1:4" ht="16.5" hidden="1" x14ac:dyDescent="0.3">
      <c r="A11702" s="10" t="str">
        <f>基本属性!$B$12&amp;"|"&amp;基本属性!$C$12</f>
        <v>90|2</v>
      </c>
      <c r="B11702" s="10" t="str">
        <f>参数调整!$J$42</f>
        <v>新增怪物种类7掉落</v>
      </c>
      <c r="C11702" s="8" t="str">
        <f>材料产出!$T$2</f>
        <v>洗髓丹</v>
      </c>
      <c r="D11702" s="224">
        <f>参数调整!$K$42*怪物掉落配置方案!$D4520</f>
        <v>1.6540816309635102E-2</v>
      </c>
    </row>
    <row r="11703" spans="1:4" ht="16.5" hidden="1" x14ac:dyDescent="0.3">
      <c r="A11703" s="10" t="str">
        <f>基本属性!$B$13&amp;"|"&amp;基本属性!$C$13</f>
        <v>100|3</v>
      </c>
      <c r="B11703" s="10" t="str">
        <f>参数调整!$J$42</f>
        <v>新增怪物种类7掉落</v>
      </c>
      <c r="C11703" s="8" t="str">
        <f>材料产出!$T$2</f>
        <v>洗髓丹</v>
      </c>
      <c r="D11703" s="224">
        <f>参数调整!$K$42*怪物掉落配置方案!$D4521</f>
        <v>2.0934470641881926E-2</v>
      </c>
    </row>
    <row r="11704" spans="1:4" ht="16.5" hidden="1" x14ac:dyDescent="0.3">
      <c r="A11704" s="10" t="str">
        <f>基本属性!$B$14&amp;"|"&amp;基本属性!$C$14</f>
        <v>105|4</v>
      </c>
      <c r="B11704" s="10" t="str">
        <f>参数调整!$J$42</f>
        <v>新增怪物种类7掉落</v>
      </c>
      <c r="C11704" s="8" t="str">
        <f>材料产出!$T$2</f>
        <v>洗髓丹</v>
      </c>
      <c r="D11704" s="224">
        <f>参数调整!$K$42*怪物掉落配置方案!$D4522</f>
        <v>2.5845025483804841E-2</v>
      </c>
    </row>
    <row r="11705" spans="1:4" ht="16.5" hidden="1" x14ac:dyDescent="0.3">
      <c r="A11705" s="10" t="str">
        <f>基本属性!$B$15&amp;"|"&amp;基本属性!$C$15</f>
        <v>110|5</v>
      </c>
      <c r="B11705" s="10" t="str">
        <f>参数调整!$J$42</f>
        <v>新增怪物种类7掉落</v>
      </c>
      <c r="C11705" s="8" t="str">
        <f>材料产出!$T$2</f>
        <v>洗髓丹</v>
      </c>
      <c r="D11705" s="224">
        <f>参数调整!$K$42*怪物掉落配置方案!$D4523</f>
        <v>3.1272480835403862E-2</v>
      </c>
    </row>
    <row r="11706" spans="1:4" ht="16.5" hidden="1" x14ac:dyDescent="0.3">
      <c r="A11706" s="10" t="str">
        <f>基本属性!$B$16&amp;"|"&amp;基本属性!$C$16</f>
        <v>120|6</v>
      </c>
      <c r="B11706" s="10" t="str">
        <f>参数调整!$J$42</f>
        <v>新增怪物种类7掉落</v>
      </c>
      <c r="C11706" s="8" t="str">
        <f>材料产出!$T$2</f>
        <v>洗髓丹</v>
      </c>
      <c r="D11706" s="224">
        <f>参数调整!$K$42*怪物掉落配置方案!$D4524</f>
        <v>4.0382852318445066E-2</v>
      </c>
    </row>
    <row r="11707" spans="1:4" ht="16.5" hidden="1" x14ac:dyDescent="0.3">
      <c r="A11707" s="10" t="str">
        <f>基本属性!$B$17&amp;"|"&amp;基本属性!$C$17</f>
        <v>135|7</v>
      </c>
      <c r="B11707" s="10" t="str">
        <f>参数调整!$J$42</f>
        <v>新增怪物种类7掉落</v>
      </c>
      <c r="C11707" s="8" t="str">
        <f>材料产出!$T$2</f>
        <v>洗髓丹</v>
      </c>
      <c r="D11707" s="224">
        <f>参数调整!$K$42*怪物掉落配置方案!$D4525</f>
        <v>5.8151307338560901E-2</v>
      </c>
    </row>
    <row r="11708" spans="1:4" ht="16.5" hidden="1" x14ac:dyDescent="0.3">
      <c r="A11708" s="10" t="str">
        <f>基本属性!$B$18&amp;"|"&amp;基本属性!$C$18</f>
        <v>155|8</v>
      </c>
      <c r="B11708" s="10" t="str">
        <f>参数调整!$J$42</f>
        <v>新增怪物种类7掉落</v>
      </c>
      <c r="C11708" s="8" t="str">
        <f>材料产出!$T$2</f>
        <v>洗髓丹</v>
      </c>
      <c r="D11708" s="224">
        <f>参数调整!$K$42*怪物掉落配置方案!$D4526</f>
        <v>7.9150390544152349E-2</v>
      </c>
    </row>
    <row r="11709" spans="1:4" ht="16.5" hidden="1" x14ac:dyDescent="0.3">
      <c r="A11709" s="10" t="str">
        <f>基本属性!$B$19&amp;"|"&amp;基本属性!$C$19</f>
        <v>190|9</v>
      </c>
      <c r="B11709" s="10" t="str">
        <f>参数调整!$J$42</f>
        <v>新增怪物种类7掉落</v>
      </c>
      <c r="C11709" s="8" t="str">
        <f>材料产出!$T$2</f>
        <v>洗髓丹</v>
      </c>
      <c r="D11709" s="224">
        <f>参数调整!$K$42*怪物掉落配置方案!$D4527</f>
        <v>8.8454599718322091E-2</v>
      </c>
    </row>
    <row r="11710" spans="1:4" ht="16.5" hidden="1" x14ac:dyDescent="0.3">
      <c r="A11710" s="10" t="str">
        <f>基本属性!$B$20&amp;"|"&amp;基本属性!$C$20</f>
        <v>200|10</v>
      </c>
      <c r="B11710" s="10" t="str">
        <f>参数调整!$J$42</f>
        <v>新增怪物种类7掉落</v>
      </c>
      <c r="C11710" s="8" t="str">
        <f>材料产出!$T$2</f>
        <v>洗髓丹</v>
      </c>
      <c r="D11710" s="224">
        <f>参数调整!$K$42*怪物掉落配置方案!$D4528</f>
        <v>0.10338010193521936</v>
      </c>
    </row>
    <row r="11711" spans="1:4" ht="16.5" hidden="1" x14ac:dyDescent="0.3">
      <c r="A11711" s="10" t="str">
        <f>基本属性!$B$21&amp;"|"&amp;基本属性!$C$21</f>
        <v>200|11</v>
      </c>
      <c r="B11711" s="10" t="str">
        <f>参数调整!$J$42</f>
        <v>新增怪物种类7掉落</v>
      </c>
      <c r="C11711" s="8" t="str">
        <f>材料产出!$T$2</f>
        <v>洗髓丹</v>
      </c>
      <c r="D11711" s="224">
        <f>参数调整!$K$42*怪物掉落配置方案!$D4529</f>
        <v>0.11946863029888785</v>
      </c>
    </row>
    <row r="11712" spans="1:4" ht="16.5" hidden="1" x14ac:dyDescent="0.3">
      <c r="A11712" s="10" t="str">
        <f>基本属性!$B$22&amp;"|"&amp;基本属性!$C$22</f>
        <v>210|12</v>
      </c>
      <c r="B11712" s="10" t="str">
        <f>参数调整!$J$42</f>
        <v>新增怪物种类7掉落</v>
      </c>
      <c r="C11712" s="8" t="str">
        <f>材料产出!$T$2</f>
        <v>洗髓丹</v>
      </c>
      <c r="D11712" s="224">
        <f>参数调整!$K$42*怪物掉落配置方案!$D4530</f>
        <v>0.13672018480932757</v>
      </c>
    </row>
    <row r="11713" spans="1:4" ht="16.5" hidden="1" x14ac:dyDescent="0.3">
      <c r="A11713" s="10" t="str">
        <f>基本属性!$B$23&amp;"|"&amp;基本属性!$C$23</f>
        <v>210|13</v>
      </c>
      <c r="B11713" s="10" t="str">
        <f>参数调整!$J$42</f>
        <v>新增怪物种类7掉落</v>
      </c>
      <c r="C11713" s="8" t="str">
        <f>材料产出!$T$2</f>
        <v>洗髓丹</v>
      </c>
      <c r="D11713" s="224">
        <f>参数调整!$K$42*怪物掉落配置方案!$D4531</f>
        <v>0.15513476546653859</v>
      </c>
    </row>
    <row r="11714" spans="1:4" ht="16.5" hidden="1" x14ac:dyDescent="0.3">
      <c r="A11714" s="10" t="str">
        <f>基本属性!$B$24&amp;"|"&amp;基本属性!$C$24</f>
        <v>220|14</v>
      </c>
      <c r="B11714" s="10" t="str">
        <f>参数调整!$J$42</f>
        <v>新增怪物种类7掉落</v>
      </c>
      <c r="C11714" s="8" t="str">
        <f>材料产出!$T$2</f>
        <v>洗髓丹</v>
      </c>
      <c r="D11714" s="224">
        <f>参数调整!$K$42*怪物掉落配置方案!$D4532</f>
        <v>0.17471237227052075</v>
      </c>
    </row>
    <row r="11715" spans="1:4" ht="16.5" hidden="1" x14ac:dyDescent="0.3">
      <c r="A11715" s="10" t="str">
        <f>基本属性!$B$25&amp;"|"&amp;基本属性!$C$25</f>
        <v>220|15</v>
      </c>
      <c r="B11715" s="10" t="str">
        <f>参数调整!$J$42</f>
        <v>新增怪物种类7掉落</v>
      </c>
      <c r="C11715" s="8" t="str">
        <f>材料产出!$T$2</f>
        <v>洗髓丹</v>
      </c>
      <c r="D11715" s="224">
        <f>参数调整!$K$42*怪物掉落配置方案!$D4533</f>
        <v>0.1954530052212741</v>
      </c>
    </row>
    <row r="11716" spans="1:4" ht="16.5" hidden="1" x14ac:dyDescent="0.3">
      <c r="A11716" s="10" t="str">
        <f>基本属性!$B$26&amp;"|"&amp;基本属性!$C$26</f>
        <v>230|16</v>
      </c>
      <c r="B11716" s="10" t="str">
        <f>参数调整!$J$42</f>
        <v>新增怪物种类7掉落</v>
      </c>
      <c r="C11716" s="8" t="str">
        <f>材料产出!$T$2</f>
        <v>洗髓丹</v>
      </c>
      <c r="D11716" s="224">
        <f>参数调整!$K$42*怪物掉落配置方案!$D4534</f>
        <v>0.21735666431879871</v>
      </c>
    </row>
    <row r="11717" spans="1:4" ht="16.5" hidden="1" x14ac:dyDescent="0.3">
      <c r="A11717" s="10" t="str">
        <f>基本属性!$B$27&amp;"|"&amp;基本属性!$C$27</f>
        <v>230|17</v>
      </c>
      <c r="B11717" s="10" t="str">
        <f>参数调整!$J$42</f>
        <v>新增怪物种类7掉落</v>
      </c>
      <c r="C11717" s="8" t="str">
        <f>材料产出!$T$2</f>
        <v>洗髓丹</v>
      </c>
      <c r="D11717" s="224">
        <f>参数调整!$K$42*怪物掉落配置方案!$D4535</f>
        <v>0.24042334956309452</v>
      </c>
    </row>
    <row r="11718" spans="1:4" ht="16.5" hidden="1" x14ac:dyDescent="0.3">
      <c r="A11718" s="10" t="str">
        <f>基本属性!$B$28&amp;"|"&amp;基本属性!$C$28</f>
        <v>240|18</v>
      </c>
      <c r="B11718" s="10" t="str">
        <f>参数调整!$J$42</f>
        <v>新增怪物种类7掉落</v>
      </c>
      <c r="C11718" s="8" t="str">
        <f>材料产出!$T$2</f>
        <v>洗髓丹</v>
      </c>
      <c r="D11718" s="224">
        <f>参数调整!$K$42*怪物掉落配置方案!$D4536</f>
        <v>0.26465306095416163</v>
      </c>
    </row>
    <row r="11719" spans="1:4" ht="16.5" hidden="1" x14ac:dyDescent="0.3">
      <c r="A11719" s="10" t="str">
        <f>基本属性!$B$29&amp;"|"&amp;基本属性!$C$29</f>
        <v>240|19</v>
      </c>
      <c r="B11719" s="10" t="str">
        <f>参数调整!$J$42</f>
        <v>新增怪物种类7掉落</v>
      </c>
      <c r="C11719" s="8" t="str">
        <f>材料产出!$T$2</f>
        <v>洗髓丹</v>
      </c>
      <c r="D11719" s="224">
        <f>参数调整!$K$42*怪物掉落配置方案!$D4537</f>
        <v>0.29004579849199985</v>
      </c>
    </row>
    <row r="11720" spans="1:4" ht="16.5" hidden="1" x14ac:dyDescent="0.3">
      <c r="A11720" s="10" t="str">
        <f>基本属性!$B$30&amp;"|"&amp;基本属性!$C$30</f>
        <v>250|20</v>
      </c>
      <c r="B11720" s="10" t="str">
        <f>参数调整!$J$42</f>
        <v>新增怪物种类7掉落</v>
      </c>
      <c r="C11720" s="8" t="str">
        <f>材料产出!$T$2</f>
        <v>洗髓丹</v>
      </c>
      <c r="D11720" s="224">
        <f>参数调整!$K$42*怪物掉落配置方案!$D4538</f>
        <v>0.31660156217660929</v>
      </c>
    </row>
    <row r="11721" spans="1:4" ht="16.5" hidden="1" x14ac:dyDescent="0.3">
      <c r="A11721" s="10" t="str">
        <f>基本属性!$B$4&amp;"|"&amp;基本属性!$C$4</f>
        <v>35|0</v>
      </c>
      <c r="B11721" s="10" t="str">
        <f>参数调整!$J$42</f>
        <v>新增怪物种类7掉落</v>
      </c>
      <c r="C11721" s="8" t="str">
        <f>材料产出!$AZ$2</f>
        <v>武器碎片</v>
      </c>
      <c r="D11721" s="224">
        <f>参数调整!$K$42*怪物掉落配置方案!$D4539</f>
        <v>5.681688045872968E-5</v>
      </c>
    </row>
    <row r="11722" spans="1:4" ht="16.5" hidden="1" x14ac:dyDescent="0.3">
      <c r="A11722" s="10" t="str">
        <f>基本属性!$B$5&amp;"|"&amp;基本属性!$C$5</f>
        <v>40|0</v>
      </c>
      <c r="B11722" s="10" t="str">
        <f>参数调整!$J$42</f>
        <v>新增怪物种类7掉落</v>
      </c>
      <c r="C11722" s="8" t="str">
        <f>材料产出!$AZ$2</f>
        <v>武器碎片</v>
      </c>
      <c r="D11722" s="224">
        <f>参数调整!$K$42*怪物掉落配置方案!$D4540</f>
        <v>7.1908864330579755E-5</v>
      </c>
    </row>
    <row r="11723" spans="1:4" ht="16.5" hidden="1" x14ac:dyDescent="0.3">
      <c r="A11723" s="10" t="str">
        <f>基本属性!$B$6&amp;"|"&amp;基本属性!$C$6</f>
        <v>50|0</v>
      </c>
      <c r="B11723" s="10" t="str">
        <f>参数调整!$J$42</f>
        <v>新增怪物种类7掉落</v>
      </c>
      <c r="C11723" s="8" t="str">
        <f>材料产出!$AZ$2</f>
        <v>武器碎片</v>
      </c>
      <c r="D11723" s="224">
        <f>参数调整!$K$42*怪物掉落配置方案!$D4541</f>
        <v>8.8776375716765132E-5</v>
      </c>
    </row>
    <row r="11724" spans="1:4" ht="16.5" hidden="1" x14ac:dyDescent="0.3">
      <c r="A11724" s="10" t="str">
        <f>基本属性!$B$7&amp;"|"&amp;基本属性!$C$7</f>
        <v>60|0</v>
      </c>
      <c r="B11724" s="10" t="str">
        <f>参数调整!$J$42</f>
        <v>新增怪物种类7掉落</v>
      </c>
      <c r="C11724" s="8" t="str">
        <f>材料产出!$AZ$2</f>
        <v>武器碎片</v>
      </c>
      <c r="D11724" s="224">
        <f>参数调整!$K$42*怪物掉落配置方案!$D4542</f>
        <v>1.074194146172858E-4</v>
      </c>
    </row>
    <row r="11725" spans="1:4" ht="16.5" hidden="1" x14ac:dyDescent="0.3">
      <c r="A11725" s="10" t="str">
        <f>基本属性!$B$8&amp;"|"&amp;基本属性!$C$8</f>
        <v>65|0</v>
      </c>
      <c r="B11725" s="10" t="str">
        <f>参数调整!$J$42</f>
        <v>新增怪物种类7掉落</v>
      </c>
      <c r="C11725" s="8" t="str">
        <f>材料产出!$AZ$2</f>
        <v>武器碎片</v>
      </c>
      <c r="D11725" s="224">
        <f>参数调整!$K$42*怪物掉落配置方案!$D4543</f>
        <v>1.2783798103214178E-4</v>
      </c>
    </row>
    <row r="11726" spans="1:4" ht="16.5" hidden="1" x14ac:dyDescent="0.3">
      <c r="A11726" s="10" t="str">
        <f>基本属性!$B$9&amp;"|"&amp;基本属性!$C$9</f>
        <v>70|0</v>
      </c>
      <c r="B11726" s="10" t="str">
        <f>参数调整!$J$42</f>
        <v>新增怪物种类7掉落</v>
      </c>
      <c r="C11726" s="8" t="str">
        <f>材料产出!$AZ$2</f>
        <v>武器碎片</v>
      </c>
      <c r="D11726" s="224">
        <f>参数调整!$K$42*怪物掉落配置方案!$D4544</f>
        <v>1.5003207496133307E-4</v>
      </c>
    </row>
    <row r="11727" spans="1:4" ht="16.5" hidden="1" x14ac:dyDescent="0.3">
      <c r="A11727" s="10" t="str">
        <f>基本属性!$B$10&amp;"|"&amp;基本属性!$C$10</f>
        <v>75|0</v>
      </c>
      <c r="B11727" s="10" t="str">
        <f>参数调整!$J$42</f>
        <v>新增怪物种类7掉落</v>
      </c>
      <c r="C11727" s="8" t="str">
        <f>材料产出!$AZ$2</f>
        <v>武器碎片</v>
      </c>
      <c r="D11727" s="224">
        <f>参数调整!$K$42*怪物掉落配置方案!$D4545</f>
        <v>1.740016964048596E-4</v>
      </c>
    </row>
    <row r="11728" spans="1:4" ht="16.5" hidden="1" x14ac:dyDescent="0.3">
      <c r="A11728" s="10" t="str">
        <f>基本属性!$B$11&amp;"|"&amp;基本属性!$C$11</f>
        <v>80|1</v>
      </c>
      <c r="B11728" s="10" t="str">
        <f>参数调整!$J$42</f>
        <v>新增怪物种类7掉落</v>
      </c>
      <c r="C11728" s="8" t="str">
        <f>材料产出!$AZ$2</f>
        <v>武器碎片</v>
      </c>
      <c r="D11728" s="224">
        <f>参数调整!$K$42*怪物掉落配置方案!$D4546</f>
        <v>1.9974684536272152E-4</v>
      </c>
    </row>
    <row r="11729" spans="1:4" ht="16.5" hidden="1" x14ac:dyDescent="0.3">
      <c r="A11729" s="10" t="str">
        <f>基本属性!$B$12&amp;"|"&amp;基本属性!$C$12</f>
        <v>90|2</v>
      </c>
      <c r="B11729" s="10" t="str">
        <f>参数调整!$J$42</f>
        <v>新增怪物种类7掉落</v>
      </c>
      <c r="C11729" s="8" t="str">
        <f>材料产出!$AZ$2</f>
        <v>武器碎片</v>
      </c>
      <c r="D11729" s="224">
        <f>参数调整!$K$42*怪物掉落配置方案!$D4547</f>
        <v>2.2726752183491877E-4</v>
      </c>
    </row>
    <row r="11730" spans="1:4" ht="16.5" hidden="1" x14ac:dyDescent="0.3">
      <c r="A11730" s="10" t="str">
        <f>基本属性!$B$13&amp;"|"&amp;基本属性!$C$13</f>
        <v>100|3</v>
      </c>
      <c r="B11730" s="10" t="str">
        <f>参数调整!$J$42</f>
        <v>新增怪物种类7掉落</v>
      </c>
      <c r="C11730" s="8" t="str">
        <f>材料产出!$AZ$2</f>
        <v>武器碎片</v>
      </c>
      <c r="D11730" s="224">
        <f>参数调整!$K$42*怪物掉落配置方案!$D4548</f>
        <v>2.8763545732231907E-4</v>
      </c>
    </row>
    <row r="11731" spans="1:4" ht="16.5" hidden="1" x14ac:dyDescent="0.3">
      <c r="A11731" s="10" t="str">
        <f>基本属性!$B$14&amp;"|"&amp;基本属性!$C$14</f>
        <v>105|4</v>
      </c>
      <c r="B11731" s="10" t="str">
        <f>参数调整!$J$42</f>
        <v>新增怪物种类7掉落</v>
      </c>
      <c r="C11731" s="8" t="str">
        <f>材料产出!$AZ$2</f>
        <v>武器碎片</v>
      </c>
      <c r="D11731" s="224">
        <f>参数调整!$K$42*怪物掉落配置方案!$D4549</f>
        <v>3.5510550286706053E-4</v>
      </c>
    </row>
    <row r="11732" spans="1:4" ht="16.5" hidden="1" x14ac:dyDescent="0.3">
      <c r="A11732" s="10" t="str">
        <f>基本属性!$B$15&amp;"|"&amp;基本属性!$C$15</f>
        <v>110|5</v>
      </c>
      <c r="B11732" s="10" t="str">
        <f>参数调整!$J$42</f>
        <v>新增怪物种类7掉落</v>
      </c>
      <c r="C11732" s="8" t="str">
        <f>材料产出!$AZ$2</f>
        <v>武器碎片</v>
      </c>
      <c r="D11732" s="224">
        <f>参数调整!$K$42*怪物掉落配置方案!$D4550</f>
        <v>4.2967765846914331E-4</v>
      </c>
    </row>
    <row r="11733" spans="1:4" ht="16.5" hidden="1" x14ac:dyDescent="0.3">
      <c r="A11733" s="10" t="str">
        <f>基本属性!$B$16&amp;"|"&amp;基本属性!$C$16</f>
        <v>120|6</v>
      </c>
      <c r="B11733" s="10" t="str">
        <f>参数调整!$J$42</f>
        <v>新增怪物种类7掉落</v>
      </c>
      <c r="C11733" s="8" t="str">
        <f>材料产出!$AZ$2</f>
        <v>武器碎片</v>
      </c>
      <c r="D11733" s="224">
        <f>参数调整!$K$42*怪物掉落配置方案!$D4551</f>
        <v>5.5485234822978213E-4</v>
      </c>
    </row>
    <row r="11734" spans="1:4" ht="16.5" hidden="1" x14ac:dyDescent="0.3">
      <c r="A11734" s="10" t="str">
        <f>基本属性!$B$17&amp;"|"&amp;基本属性!$C$17</f>
        <v>135|7</v>
      </c>
      <c r="B11734" s="10" t="str">
        <f>参数调整!$J$42</f>
        <v>新增怪物种类7掉落</v>
      </c>
      <c r="C11734" s="8" t="str">
        <f>材料产出!$AZ$2</f>
        <v>武器碎片</v>
      </c>
      <c r="D11734" s="224">
        <f>参数调整!$K$42*怪物掉落配置方案!$D4552</f>
        <v>7.9898738145088609E-4</v>
      </c>
    </row>
    <row r="11735" spans="1:4" ht="16.5" hidden="1" x14ac:dyDescent="0.3">
      <c r="A11735" s="10" t="str">
        <f>基本属性!$B$18&amp;"|"&amp;基本属性!$C$18</f>
        <v>155|8</v>
      </c>
      <c r="B11735" s="10" t="str">
        <f>参数调整!$J$42</f>
        <v>新增怪物种类7掉落</v>
      </c>
      <c r="C11735" s="8" t="str">
        <f>材料产出!$AZ$2</f>
        <v>武器碎片</v>
      </c>
      <c r="D11735" s="224">
        <f>参数调整!$K$42*怪物掉落配置方案!$D4553</f>
        <v>1.0875106025303729E-3</v>
      </c>
    </row>
    <row r="11736" spans="1:4" ht="16.5" hidden="1" x14ac:dyDescent="0.3">
      <c r="A11736" s="10" t="str">
        <f>基本属性!$B$19&amp;"|"&amp;基本属性!$C$19</f>
        <v>190|9</v>
      </c>
      <c r="B11736" s="10" t="str">
        <f>参数调整!$J$42</f>
        <v>新增怪物种类7掉落</v>
      </c>
      <c r="C11736" s="8" t="str">
        <f>材料产出!$AZ$2</f>
        <v>武器碎片</v>
      </c>
      <c r="D11736" s="224">
        <f>参数调整!$K$42*怪物掉落配置方案!$D4554</f>
        <v>1.2153485835625145E-3</v>
      </c>
    </row>
    <row r="11737" spans="1:4" ht="16.5" hidden="1" x14ac:dyDescent="0.3">
      <c r="A11737" s="10" t="str">
        <f>基本属性!$B$20&amp;"|"&amp;基本属性!$C$20</f>
        <v>200|10</v>
      </c>
      <c r="B11737" s="10" t="str">
        <f>参数调整!$J$42</f>
        <v>新增怪物种类7掉落</v>
      </c>
      <c r="C11737" s="8" t="str">
        <f>材料产出!$AZ$2</f>
        <v>武器碎片</v>
      </c>
      <c r="D11737" s="224">
        <f>参数调整!$K$42*怪物掉落配置方案!$D4555</f>
        <v>1.4204220114682421E-3</v>
      </c>
    </row>
    <row r="11738" spans="1:4" ht="16.5" hidden="1" x14ac:dyDescent="0.3">
      <c r="A11738" s="10" t="str">
        <f>基本属性!$B$21&amp;"|"&amp;基本属性!$C$21</f>
        <v>200|11</v>
      </c>
      <c r="B11738" s="10" t="str">
        <f>参数调整!$J$42</f>
        <v>新增怪物种类7掉落</v>
      </c>
      <c r="C11738" s="8" t="str">
        <f>材料产出!$AZ$2</f>
        <v>武器碎片</v>
      </c>
      <c r="D11738" s="224">
        <f>参数调整!$K$42*怪物掉落配置方案!$D4556</f>
        <v>1.6414751870029868E-3</v>
      </c>
    </row>
    <row r="11739" spans="1:4" ht="16.5" hidden="1" x14ac:dyDescent="0.3">
      <c r="A11739" s="10" t="str">
        <f>基本属性!$B$22&amp;"|"&amp;基本属性!$C$22</f>
        <v>210|12</v>
      </c>
      <c r="B11739" s="10" t="str">
        <f>参数调整!$J$42</f>
        <v>新增怪物种类7掉落</v>
      </c>
      <c r="C11739" s="8" t="str">
        <f>材料产出!$AZ$2</f>
        <v>武器碎片</v>
      </c>
      <c r="D11739" s="224">
        <f>参数调整!$K$42*怪物掉落配置方案!$D4557</f>
        <v>1.8785081101667495E-3</v>
      </c>
    </row>
    <row r="11740" spans="1:4" ht="16.5" hidden="1" x14ac:dyDescent="0.3">
      <c r="A11740" s="10" t="str">
        <f>基本属性!$B$23&amp;"|"&amp;基本属性!$C$23</f>
        <v>210|13</v>
      </c>
      <c r="B11740" s="10" t="str">
        <f>参数调整!$J$42</f>
        <v>新增怪物种类7掉落</v>
      </c>
      <c r="C11740" s="8" t="str">
        <f>材料产出!$AZ$2</f>
        <v>武器碎片</v>
      </c>
      <c r="D11740" s="224">
        <f>参数调整!$K$42*怪物掉落配置方案!$D4558</f>
        <v>2.131520780959531E-3</v>
      </c>
    </row>
    <row r="11741" spans="1:4" ht="16.5" hidden="1" x14ac:dyDescent="0.3">
      <c r="A11741" s="10" t="str">
        <f>基本属性!$B$24&amp;"|"&amp;基本属性!$C$24</f>
        <v>220|14</v>
      </c>
      <c r="B11741" s="10" t="str">
        <f>参数调整!$J$42</f>
        <v>新增怪物种类7掉落</v>
      </c>
      <c r="C11741" s="8" t="str">
        <f>材料产出!$AZ$2</f>
        <v>武器碎片</v>
      </c>
      <c r="D11741" s="224">
        <f>参数调整!$K$42*怪物掉落配置方案!$D4559</f>
        <v>2.4005131993813291E-3</v>
      </c>
    </row>
    <row r="11742" spans="1:4" ht="16.5" hidden="1" x14ac:dyDescent="0.3">
      <c r="A11742" s="10" t="str">
        <f>基本属性!$B$25&amp;"|"&amp;基本属性!$C$25</f>
        <v>220|15</v>
      </c>
      <c r="B11742" s="10" t="str">
        <f>参数调整!$J$42</f>
        <v>新增怪物种类7掉落</v>
      </c>
      <c r="C11742" s="8" t="str">
        <f>材料产出!$AZ$2</f>
        <v>武器碎片</v>
      </c>
      <c r="D11742" s="224">
        <f>参数调整!$K$42*怪物掉落配置方案!$D4560</f>
        <v>2.6854853654321442E-3</v>
      </c>
    </row>
    <row r="11743" spans="1:4" ht="16.5" hidden="1" x14ac:dyDescent="0.3">
      <c r="A11743" s="10" t="str">
        <f>基本属性!$B$26&amp;"|"&amp;基本属性!$C$26</f>
        <v>230|16</v>
      </c>
      <c r="B11743" s="10" t="str">
        <f>参数调整!$J$42</f>
        <v>新增怪物种类7掉落</v>
      </c>
      <c r="C11743" s="8" t="str">
        <f>材料产出!$AZ$2</f>
        <v>武器碎片</v>
      </c>
      <c r="D11743" s="224">
        <f>参数调整!$K$42*怪物掉落配置方案!$D4561</f>
        <v>2.9864372791119781E-3</v>
      </c>
    </row>
    <row r="11744" spans="1:4" ht="16.5" hidden="1" x14ac:dyDescent="0.3">
      <c r="A11744" s="10" t="str">
        <f>基本属性!$B$27&amp;"|"&amp;基本属性!$C$27</f>
        <v>230|17</v>
      </c>
      <c r="B11744" s="10" t="str">
        <f>参数调整!$J$42</f>
        <v>新增怪物种类7掉落</v>
      </c>
      <c r="C11744" s="8" t="str">
        <f>材料产出!$AZ$2</f>
        <v>武器碎片</v>
      </c>
      <c r="D11744" s="224">
        <f>参数调整!$K$42*怪物掉落配置方案!$D4562</f>
        <v>3.3033689404208299E-3</v>
      </c>
    </row>
    <row r="11745" spans="1:4" ht="16.5" hidden="1" x14ac:dyDescent="0.3">
      <c r="A11745" s="10" t="str">
        <f>基本属性!$B$28&amp;"|"&amp;基本属性!$C$28</f>
        <v>240|18</v>
      </c>
      <c r="B11745" s="10" t="str">
        <f>参数调整!$J$42</f>
        <v>新增怪物种类7掉落</v>
      </c>
      <c r="C11745" s="8" t="str">
        <f>材料产出!$AZ$2</f>
        <v>武器碎片</v>
      </c>
      <c r="D11745" s="224">
        <f>参数调整!$K$42*怪物掉落配置方案!$D4563</f>
        <v>3.6362803493586995E-3</v>
      </c>
    </row>
    <row r="11746" spans="1:4" ht="16.5" hidden="1" x14ac:dyDescent="0.3">
      <c r="A11746" s="10" t="str">
        <f>基本属性!$B$29&amp;"|"&amp;基本属性!$C$29</f>
        <v>240|19</v>
      </c>
      <c r="B11746" s="10" t="str">
        <f>参数调整!$J$42</f>
        <v>新增怪物种类7掉落</v>
      </c>
      <c r="C11746" s="8" t="str">
        <f>材料产出!$AZ$2</f>
        <v>武器碎片</v>
      </c>
      <c r="D11746" s="224">
        <f>参数调整!$K$42*怪物掉落配置方案!$D4564</f>
        <v>3.985171505925587E-3</v>
      </c>
    </row>
    <row r="11747" spans="1:4" ht="16.5" hidden="1" x14ac:dyDescent="0.3">
      <c r="A11747" s="10" t="str">
        <f>基本属性!$B$30&amp;"|"&amp;基本属性!$C$30</f>
        <v>250|20</v>
      </c>
      <c r="B11747" s="10" t="str">
        <f>参数调整!$J$42</f>
        <v>新增怪物种类7掉落</v>
      </c>
      <c r="C11747" s="8" t="str">
        <f>材料产出!$AZ$2</f>
        <v>武器碎片</v>
      </c>
      <c r="D11747" s="224">
        <f>参数调整!$K$42*怪物掉落配置方案!$D4565</f>
        <v>4.3500424101214899E-3</v>
      </c>
    </row>
    <row r="11748" spans="1:4" ht="16.5" hidden="1" x14ac:dyDescent="0.3">
      <c r="A11748" s="10" t="str">
        <f>基本属性!$B$4&amp;"|"&amp;基本属性!$C$4</f>
        <v>35|0</v>
      </c>
      <c r="B11748" s="10" t="str">
        <f>参数调整!$J$42</f>
        <v>新增怪物种类7掉落</v>
      </c>
      <c r="C11748" s="8" t="str">
        <f>材料产出!$HW$2</f>
        <v>特戒装备</v>
      </c>
      <c r="D11748" s="224">
        <f>参数调整!$K$42*怪物掉落配置方案!$D4566</f>
        <v>0</v>
      </c>
    </row>
    <row r="11749" spans="1:4" ht="16.5" hidden="1" x14ac:dyDescent="0.3">
      <c r="A11749" s="10" t="str">
        <f>基本属性!$B$5&amp;"|"&amp;基本属性!$C$5</f>
        <v>40|0</v>
      </c>
      <c r="B11749" s="10" t="str">
        <f>参数调整!$J$42</f>
        <v>新增怪物种类7掉落</v>
      </c>
      <c r="C11749" s="8" t="str">
        <f>材料产出!$HW$2</f>
        <v>特戒装备</v>
      </c>
      <c r="D11749" s="224">
        <f>参数调整!$K$42*怪物掉落配置方案!$D4567</f>
        <v>0</v>
      </c>
    </row>
    <row r="11750" spans="1:4" ht="16.5" hidden="1" x14ac:dyDescent="0.3">
      <c r="A11750" s="10" t="str">
        <f>基本属性!$B$6&amp;"|"&amp;基本属性!$C$6</f>
        <v>50|0</v>
      </c>
      <c r="B11750" s="10" t="str">
        <f>参数调整!$J$42</f>
        <v>新增怪物种类7掉落</v>
      </c>
      <c r="C11750" s="8" t="str">
        <f>材料产出!$HW$2</f>
        <v>特戒装备</v>
      </c>
      <c r="D11750" s="224">
        <f>参数调整!$K$42*怪物掉落配置方案!$D4568</f>
        <v>0</v>
      </c>
    </row>
    <row r="11751" spans="1:4" ht="16.5" hidden="1" x14ac:dyDescent="0.3">
      <c r="A11751" s="10" t="str">
        <f>基本属性!$B$7&amp;"|"&amp;基本属性!$C$7</f>
        <v>60|0</v>
      </c>
      <c r="B11751" s="10" t="str">
        <f>参数调整!$J$42</f>
        <v>新增怪物种类7掉落</v>
      </c>
      <c r="C11751" s="8" t="str">
        <f>材料产出!$HW$2</f>
        <v>特戒装备</v>
      </c>
      <c r="D11751" s="224">
        <f>参数调整!$K$42*怪物掉落配置方案!$D4569</f>
        <v>0</v>
      </c>
    </row>
    <row r="11752" spans="1:4" ht="16.5" hidden="1" x14ac:dyDescent="0.3">
      <c r="A11752" s="10" t="str">
        <f>基本属性!$B$8&amp;"|"&amp;基本属性!$C$8</f>
        <v>65|0</v>
      </c>
      <c r="B11752" s="10" t="str">
        <f>参数调整!$J$42</f>
        <v>新增怪物种类7掉落</v>
      </c>
      <c r="C11752" s="8" t="str">
        <f>材料产出!$HW$2</f>
        <v>特戒装备</v>
      </c>
      <c r="D11752" s="224">
        <f>参数调整!$K$42*怪物掉落配置方案!$D4570</f>
        <v>0</v>
      </c>
    </row>
    <row r="11753" spans="1:4" ht="16.5" hidden="1" x14ac:dyDescent="0.3">
      <c r="A11753" s="10" t="str">
        <f>基本属性!$B$9&amp;"|"&amp;基本属性!$C$9</f>
        <v>70|0</v>
      </c>
      <c r="B11753" s="10" t="str">
        <f>参数调整!$J$42</f>
        <v>新增怪物种类7掉落</v>
      </c>
      <c r="C11753" s="8" t="str">
        <f>材料产出!$HW$2</f>
        <v>特戒装备</v>
      </c>
      <c r="D11753" s="224">
        <f>参数调整!$K$42*怪物掉落配置方案!$D4571</f>
        <v>0</v>
      </c>
    </row>
    <row r="11754" spans="1:4" ht="16.5" hidden="1" x14ac:dyDescent="0.3">
      <c r="A11754" s="10" t="str">
        <f>基本属性!$B$10&amp;"|"&amp;基本属性!$C$10</f>
        <v>75|0</v>
      </c>
      <c r="B11754" s="10" t="str">
        <f>参数调整!$J$42</f>
        <v>新增怪物种类7掉落</v>
      </c>
      <c r="C11754" s="8" t="str">
        <f>材料产出!$HW$2</f>
        <v>特戒装备</v>
      </c>
      <c r="D11754" s="224">
        <f>参数调整!$K$42*怪物掉落配置方案!$D4572</f>
        <v>0</v>
      </c>
    </row>
    <row r="11755" spans="1:4" ht="16.5" hidden="1" x14ac:dyDescent="0.3">
      <c r="A11755" s="10" t="str">
        <f>基本属性!$B$11&amp;"|"&amp;基本属性!$C$11</f>
        <v>80|1</v>
      </c>
      <c r="B11755" s="10" t="str">
        <f>参数调整!$J$42</f>
        <v>新增怪物种类7掉落</v>
      </c>
      <c r="C11755" s="8" t="str">
        <f>材料产出!$HW$2</f>
        <v>特戒装备</v>
      </c>
      <c r="D11755" s="224">
        <f>参数调整!$K$42*怪物掉落配置方案!$D4573</f>
        <v>0</v>
      </c>
    </row>
    <row r="11756" spans="1:4" ht="16.5" hidden="1" x14ac:dyDescent="0.3">
      <c r="A11756" s="10" t="str">
        <f>基本属性!$B$12&amp;"|"&amp;基本属性!$C$12</f>
        <v>90|2</v>
      </c>
      <c r="B11756" s="10" t="str">
        <f>参数调整!$J$42</f>
        <v>新增怪物种类7掉落</v>
      </c>
      <c r="C11756" s="8" t="str">
        <f>材料产出!$HW$2</f>
        <v>特戒装备</v>
      </c>
      <c r="D11756" s="224">
        <f>参数调整!$K$42*怪物掉落配置方案!$D4574</f>
        <v>0</v>
      </c>
    </row>
    <row r="11757" spans="1:4" ht="16.5" hidden="1" x14ac:dyDescent="0.3">
      <c r="A11757" s="10" t="str">
        <f>基本属性!$B$13&amp;"|"&amp;基本属性!$C$13</f>
        <v>100|3</v>
      </c>
      <c r="B11757" s="10" t="str">
        <f>参数调整!$J$42</f>
        <v>新增怪物种类7掉落</v>
      </c>
      <c r="C11757" s="8" t="str">
        <f>材料产出!$HW$2</f>
        <v>特戒装备</v>
      </c>
      <c r="D11757" s="224">
        <f>参数调整!$K$42*怪物掉落配置方案!$D4575</f>
        <v>0</v>
      </c>
    </row>
    <row r="11758" spans="1:4" ht="16.5" hidden="1" x14ac:dyDescent="0.3">
      <c r="A11758" s="10" t="str">
        <f>基本属性!$B$14&amp;"|"&amp;基本属性!$C$14</f>
        <v>105|4</v>
      </c>
      <c r="B11758" s="10" t="str">
        <f>参数调整!$J$42</f>
        <v>新增怪物种类7掉落</v>
      </c>
      <c r="C11758" s="8" t="str">
        <f>材料产出!$HW$2</f>
        <v>特戒装备</v>
      </c>
      <c r="D11758" s="224">
        <f>参数调整!$K$42*怪物掉落配置方案!$D4576</f>
        <v>0</v>
      </c>
    </row>
    <row r="11759" spans="1:4" ht="16.5" hidden="1" x14ac:dyDescent="0.3">
      <c r="A11759" s="10" t="str">
        <f>基本属性!$B$15&amp;"|"&amp;基本属性!$C$15</f>
        <v>110|5</v>
      </c>
      <c r="B11759" s="10" t="str">
        <f>参数调整!$J$42</f>
        <v>新增怪物种类7掉落</v>
      </c>
      <c r="C11759" s="8" t="str">
        <f>材料产出!$HW$2</f>
        <v>特戒装备</v>
      </c>
      <c r="D11759" s="224">
        <f>参数调整!$K$42*怪物掉落配置方案!$D4577</f>
        <v>0</v>
      </c>
    </row>
    <row r="11760" spans="1:4" ht="16.5" hidden="1" x14ac:dyDescent="0.3">
      <c r="A11760" s="10" t="str">
        <f>基本属性!$B$16&amp;"|"&amp;基本属性!$C$16</f>
        <v>120|6</v>
      </c>
      <c r="B11760" s="10" t="str">
        <f>参数调整!$J$42</f>
        <v>新增怪物种类7掉落</v>
      </c>
      <c r="C11760" s="8" t="str">
        <f>材料产出!$HW$2</f>
        <v>特戒装备</v>
      </c>
      <c r="D11760" s="224">
        <f>参数调整!$K$42*怪物掉落配置方案!$D4578</f>
        <v>0</v>
      </c>
    </row>
    <row r="11761" spans="1:4" ht="16.5" hidden="1" x14ac:dyDescent="0.3">
      <c r="A11761" s="10" t="str">
        <f>基本属性!$B$17&amp;"|"&amp;基本属性!$C$17</f>
        <v>135|7</v>
      </c>
      <c r="B11761" s="10" t="str">
        <f>参数调整!$J$42</f>
        <v>新增怪物种类7掉落</v>
      </c>
      <c r="C11761" s="8" t="str">
        <f>材料产出!$HW$2</f>
        <v>特戒装备</v>
      </c>
      <c r="D11761" s="224">
        <f>参数调整!$K$42*怪物掉落配置方案!$D4579</f>
        <v>0</v>
      </c>
    </row>
    <row r="11762" spans="1:4" ht="16.5" hidden="1" x14ac:dyDescent="0.3">
      <c r="A11762" s="10" t="str">
        <f>基本属性!$B$18&amp;"|"&amp;基本属性!$C$18</f>
        <v>155|8</v>
      </c>
      <c r="B11762" s="10" t="str">
        <f>参数调整!$J$42</f>
        <v>新增怪物种类7掉落</v>
      </c>
      <c r="C11762" s="8" t="str">
        <f>材料产出!$HW$2</f>
        <v>特戒装备</v>
      </c>
      <c r="D11762" s="224">
        <f>参数调整!$K$42*怪物掉落配置方案!$D4580</f>
        <v>0</v>
      </c>
    </row>
    <row r="11763" spans="1:4" ht="16.5" hidden="1" x14ac:dyDescent="0.3">
      <c r="A11763" s="10" t="str">
        <f>基本属性!$B$19&amp;"|"&amp;基本属性!$C$19</f>
        <v>190|9</v>
      </c>
      <c r="B11763" s="10" t="str">
        <f>参数调整!$J$42</f>
        <v>新增怪物种类7掉落</v>
      </c>
      <c r="C11763" s="8" t="str">
        <f>材料产出!$HW$2</f>
        <v>特戒装备</v>
      </c>
      <c r="D11763" s="224">
        <f>参数调整!$K$42*怪物掉落配置方案!$D4581</f>
        <v>0</v>
      </c>
    </row>
    <row r="11764" spans="1:4" ht="16.5" hidden="1" x14ac:dyDescent="0.3">
      <c r="A11764" s="10" t="str">
        <f>基本属性!$B$20&amp;"|"&amp;基本属性!$C$20</f>
        <v>200|10</v>
      </c>
      <c r="B11764" s="10" t="str">
        <f>参数调整!$J$42</f>
        <v>新增怪物种类7掉落</v>
      </c>
      <c r="C11764" s="8" t="str">
        <f>材料产出!$HW$2</f>
        <v>特戒装备</v>
      </c>
      <c r="D11764" s="224">
        <f>参数调整!$K$42*怪物掉落配置方案!$D4582</f>
        <v>0</v>
      </c>
    </row>
    <row r="11765" spans="1:4" ht="16.5" hidden="1" x14ac:dyDescent="0.3">
      <c r="A11765" s="10" t="str">
        <f>基本属性!$B$21&amp;"|"&amp;基本属性!$C$21</f>
        <v>200|11</v>
      </c>
      <c r="B11765" s="10" t="str">
        <f>参数调整!$J$42</f>
        <v>新增怪物种类7掉落</v>
      </c>
      <c r="C11765" s="8" t="str">
        <f>材料产出!$HW$2</f>
        <v>特戒装备</v>
      </c>
      <c r="D11765" s="224">
        <f>参数调整!$K$42*怪物掉落配置方案!$D4583</f>
        <v>0</v>
      </c>
    </row>
    <row r="11766" spans="1:4" ht="16.5" hidden="1" x14ac:dyDescent="0.3">
      <c r="A11766" s="10" t="str">
        <f>基本属性!$B$22&amp;"|"&amp;基本属性!$C$22</f>
        <v>210|12</v>
      </c>
      <c r="B11766" s="10" t="str">
        <f>参数调整!$J$42</f>
        <v>新增怪物种类7掉落</v>
      </c>
      <c r="C11766" s="8" t="str">
        <f>材料产出!$HW$2</f>
        <v>特戒装备</v>
      </c>
      <c r="D11766" s="224">
        <f>参数调整!$K$42*怪物掉落配置方案!$D4584</f>
        <v>0</v>
      </c>
    </row>
    <row r="11767" spans="1:4" ht="16.5" hidden="1" x14ac:dyDescent="0.3">
      <c r="A11767" s="10" t="str">
        <f>基本属性!$B$23&amp;"|"&amp;基本属性!$C$23</f>
        <v>210|13</v>
      </c>
      <c r="B11767" s="10" t="str">
        <f>参数调整!$J$42</f>
        <v>新增怪物种类7掉落</v>
      </c>
      <c r="C11767" s="8" t="str">
        <f>材料产出!$HW$2</f>
        <v>特戒装备</v>
      </c>
      <c r="D11767" s="224">
        <f>参数调整!$K$42*怪物掉落配置方案!$D4585</f>
        <v>0</v>
      </c>
    </row>
    <row r="11768" spans="1:4" ht="16.5" hidden="1" x14ac:dyDescent="0.3">
      <c r="A11768" s="10" t="str">
        <f>基本属性!$B$24&amp;"|"&amp;基本属性!$C$24</f>
        <v>220|14</v>
      </c>
      <c r="B11768" s="10" t="str">
        <f>参数调整!$J$42</f>
        <v>新增怪物种类7掉落</v>
      </c>
      <c r="C11768" s="8" t="str">
        <f>材料产出!$HW$2</f>
        <v>特戒装备</v>
      </c>
      <c r="D11768" s="224">
        <f>参数调整!$K$42*怪物掉落配置方案!$D4586</f>
        <v>0</v>
      </c>
    </row>
    <row r="11769" spans="1:4" ht="16.5" hidden="1" x14ac:dyDescent="0.3">
      <c r="A11769" s="10" t="str">
        <f>基本属性!$B$25&amp;"|"&amp;基本属性!$C$25</f>
        <v>220|15</v>
      </c>
      <c r="B11769" s="10" t="str">
        <f>参数调整!$J$42</f>
        <v>新增怪物种类7掉落</v>
      </c>
      <c r="C11769" s="8" t="str">
        <f>材料产出!$HW$2</f>
        <v>特戒装备</v>
      </c>
      <c r="D11769" s="224">
        <f>参数调整!$K$42*怪物掉落配置方案!$D4587</f>
        <v>0</v>
      </c>
    </row>
    <row r="11770" spans="1:4" ht="16.5" hidden="1" x14ac:dyDescent="0.3">
      <c r="A11770" s="10" t="str">
        <f>基本属性!$B$26&amp;"|"&amp;基本属性!$C$26</f>
        <v>230|16</v>
      </c>
      <c r="B11770" s="10" t="str">
        <f>参数调整!$J$42</f>
        <v>新增怪物种类7掉落</v>
      </c>
      <c r="C11770" s="8" t="str">
        <f>材料产出!$HW$2</f>
        <v>特戒装备</v>
      </c>
      <c r="D11770" s="224">
        <f>参数调整!$K$42*怪物掉落配置方案!$D4588</f>
        <v>0</v>
      </c>
    </row>
    <row r="11771" spans="1:4" ht="16.5" hidden="1" x14ac:dyDescent="0.3">
      <c r="A11771" s="10" t="str">
        <f>基本属性!$B$27&amp;"|"&amp;基本属性!$C$27</f>
        <v>230|17</v>
      </c>
      <c r="B11771" s="10" t="str">
        <f>参数调整!$J$42</f>
        <v>新增怪物种类7掉落</v>
      </c>
      <c r="C11771" s="8" t="str">
        <f>材料产出!$HW$2</f>
        <v>特戒装备</v>
      </c>
      <c r="D11771" s="224">
        <f>参数调整!$K$42*怪物掉落配置方案!$D4589</f>
        <v>0</v>
      </c>
    </row>
    <row r="11772" spans="1:4" ht="16.5" hidden="1" x14ac:dyDescent="0.3">
      <c r="A11772" s="10" t="str">
        <f>基本属性!$B$28&amp;"|"&amp;基本属性!$C$28</f>
        <v>240|18</v>
      </c>
      <c r="B11772" s="10" t="str">
        <f>参数调整!$J$42</f>
        <v>新增怪物种类7掉落</v>
      </c>
      <c r="C11772" s="8" t="str">
        <f>材料产出!$HW$2</f>
        <v>特戒装备</v>
      </c>
      <c r="D11772" s="224">
        <f>参数调整!$K$42*怪物掉落配置方案!$D4590</f>
        <v>0</v>
      </c>
    </row>
    <row r="11773" spans="1:4" ht="16.5" hidden="1" x14ac:dyDescent="0.3">
      <c r="A11773" s="10" t="str">
        <f>基本属性!$B$29&amp;"|"&amp;基本属性!$C$29</f>
        <v>240|19</v>
      </c>
      <c r="B11773" s="10" t="str">
        <f>参数调整!$J$42</f>
        <v>新增怪物种类7掉落</v>
      </c>
      <c r="C11773" s="8" t="str">
        <f>材料产出!$HW$2</f>
        <v>特戒装备</v>
      </c>
      <c r="D11773" s="224">
        <f>参数调整!$K$42*怪物掉落配置方案!$D4591</f>
        <v>0</v>
      </c>
    </row>
    <row r="11774" spans="1:4" ht="16.5" hidden="1" x14ac:dyDescent="0.3">
      <c r="A11774" s="10" t="str">
        <f>基本属性!$B$30&amp;"|"&amp;基本属性!$C$30</f>
        <v>250|20</v>
      </c>
      <c r="B11774" s="10" t="str">
        <f>参数调整!$J$42</f>
        <v>新增怪物种类7掉落</v>
      </c>
      <c r="C11774" s="8" t="str">
        <f>材料产出!$HW$2</f>
        <v>特戒装备</v>
      </c>
      <c r="D11774" s="224">
        <f>参数调整!$K$42*怪物掉落配置方案!$D4592</f>
        <v>0</v>
      </c>
    </row>
    <row r="11775" spans="1:4" ht="16.5" hidden="1" x14ac:dyDescent="0.3">
      <c r="A11775" s="10" t="str">
        <f>基本属性!$B$4&amp;"|"&amp;基本属性!$C$4</f>
        <v>35|0</v>
      </c>
      <c r="B11775" s="10" t="str">
        <f>参数调整!$J$42</f>
        <v>新增怪物种类7掉落</v>
      </c>
      <c r="C11775" s="8" t="str">
        <f>材料产出!$BF$2</f>
        <v>首饰碎片</v>
      </c>
      <c r="D11775" s="224">
        <f>参数调整!$K$42*怪物掉落配置方案!$D4593</f>
        <v>2.8408440229364841E-4</v>
      </c>
    </row>
    <row r="11776" spans="1:4" ht="16.5" hidden="1" x14ac:dyDescent="0.3">
      <c r="A11776" s="10" t="str">
        <f>基本属性!$B$5&amp;"|"&amp;基本属性!$C$5</f>
        <v>40|0</v>
      </c>
      <c r="B11776" s="10" t="str">
        <f>参数调整!$J$42</f>
        <v>新增怪物种类7掉落</v>
      </c>
      <c r="C11776" s="8" t="str">
        <f>材料产出!$BF$2</f>
        <v>首饰碎片</v>
      </c>
      <c r="D11776" s="224">
        <f>参数调整!$K$42*怪物掉落配置方案!$D4594</f>
        <v>3.5954432165289876E-4</v>
      </c>
    </row>
    <row r="11777" spans="1:4" ht="16.5" hidden="1" x14ac:dyDescent="0.3">
      <c r="A11777" s="10" t="str">
        <f>基本属性!$B$6&amp;"|"&amp;基本属性!$C$6</f>
        <v>50|0</v>
      </c>
      <c r="B11777" s="10" t="str">
        <f>参数调整!$J$42</f>
        <v>新增怪物种类7掉落</v>
      </c>
      <c r="C11777" s="8" t="str">
        <f>材料产出!$BF$2</f>
        <v>首饰碎片</v>
      </c>
      <c r="D11777" s="224">
        <f>参数调整!$K$42*怪物掉落配置方案!$D4595</f>
        <v>4.4388187858382562E-4</v>
      </c>
    </row>
    <row r="11778" spans="1:4" ht="16.5" hidden="1" x14ac:dyDescent="0.3">
      <c r="A11778" s="10" t="str">
        <f>基本属性!$B$7&amp;"|"&amp;基本属性!$C$7</f>
        <v>60|0</v>
      </c>
      <c r="B11778" s="10" t="str">
        <f>参数调整!$J$42</f>
        <v>新增怪物种类7掉落</v>
      </c>
      <c r="C11778" s="8" t="str">
        <f>材料产出!$BF$2</f>
        <v>首饰碎片</v>
      </c>
      <c r="D11778" s="224">
        <f>参数调整!$K$42*怪物掉落配置方案!$D4596</f>
        <v>5.370970730864291E-4</v>
      </c>
    </row>
    <row r="11779" spans="1:4" ht="16.5" hidden="1" x14ac:dyDescent="0.3">
      <c r="A11779" s="10" t="str">
        <f>基本属性!$B$8&amp;"|"&amp;基本属性!$C$8</f>
        <v>65|0</v>
      </c>
      <c r="B11779" s="10" t="str">
        <f>参数调整!$J$42</f>
        <v>新增怪物种类7掉落</v>
      </c>
      <c r="C11779" s="8" t="str">
        <f>材料产出!$BF$2</f>
        <v>首饰碎片</v>
      </c>
      <c r="D11779" s="224">
        <f>参数调整!$K$42*怪物掉落配置方案!$D4597</f>
        <v>6.3918990516070883E-4</v>
      </c>
    </row>
    <row r="11780" spans="1:4" ht="16.5" hidden="1" x14ac:dyDescent="0.3">
      <c r="A11780" s="10" t="str">
        <f>基本属性!$B$9&amp;"|"&amp;基本属性!$C$9</f>
        <v>70|0</v>
      </c>
      <c r="B11780" s="10" t="str">
        <f>参数调整!$J$42</f>
        <v>新增怪物种类7掉落</v>
      </c>
      <c r="C11780" s="8" t="str">
        <f>材料产出!$BF$2</f>
        <v>首饰碎片</v>
      </c>
      <c r="D11780" s="224">
        <f>参数调整!$K$42*怪物掉落配置方案!$D4598</f>
        <v>7.5016037480666535E-4</v>
      </c>
    </row>
    <row r="11781" spans="1:4" ht="16.5" hidden="1" x14ac:dyDescent="0.3">
      <c r="A11781" s="10" t="str">
        <f>基本属性!$B$10&amp;"|"&amp;基本属性!$C$10</f>
        <v>75|0</v>
      </c>
      <c r="B11781" s="10" t="str">
        <f>参数调整!$J$42</f>
        <v>新增怪物种类7掉落</v>
      </c>
      <c r="C11781" s="8" t="str">
        <f>材料产出!$BF$2</f>
        <v>首饰碎片</v>
      </c>
      <c r="D11781" s="224">
        <f>参数调整!$K$42*怪物掉落配置方案!$D4599</f>
        <v>8.700084820242981E-4</v>
      </c>
    </row>
    <row r="11782" spans="1:4" ht="16.5" hidden="1" x14ac:dyDescent="0.3">
      <c r="A11782" s="10" t="str">
        <f>基本属性!$B$11&amp;"|"&amp;基本属性!$C$11</f>
        <v>80|1</v>
      </c>
      <c r="B11782" s="10" t="str">
        <f>参数调整!$J$42</f>
        <v>新增怪物种类7掉落</v>
      </c>
      <c r="C11782" s="8" t="str">
        <f>材料产出!$BF$2</f>
        <v>首饰碎片</v>
      </c>
      <c r="D11782" s="224">
        <f>参数调整!$K$42*怪物掉落配置方案!$D4600</f>
        <v>9.9873422681360765E-4</v>
      </c>
    </row>
    <row r="11783" spans="1:4" ht="16.5" hidden="1" x14ac:dyDescent="0.3">
      <c r="A11783" s="10" t="str">
        <f>基本属性!$B$12&amp;"|"&amp;基本属性!$C$12</f>
        <v>90|2</v>
      </c>
      <c r="B11783" s="10" t="str">
        <f>参数调整!$J$42</f>
        <v>新增怪物种类7掉落</v>
      </c>
      <c r="C11783" s="8" t="str">
        <f>材料产出!$BF$2</f>
        <v>首饰碎片</v>
      </c>
      <c r="D11783" s="224">
        <f>参数调整!$K$42*怪物掉落配置方案!$D4601</f>
        <v>1.1363376091745939E-3</v>
      </c>
    </row>
    <row r="11784" spans="1:4" ht="16.5" hidden="1" x14ac:dyDescent="0.3">
      <c r="A11784" s="10" t="str">
        <f>基本属性!$B$13&amp;"|"&amp;基本属性!$C$13</f>
        <v>100|3</v>
      </c>
      <c r="B11784" s="10" t="str">
        <f>参数调整!$J$42</f>
        <v>新增怪物种类7掉落</v>
      </c>
      <c r="C11784" s="8" t="str">
        <f>材料产出!$BF$2</f>
        <v>首饰碎片</v>
      </c>
      <c r="D11784" s="224">
        <f>参数调整!$K$42*怪物掉落配置方案!$D4602</f>
        <v>1.4381772866115953E-3</v>
      </c>
    </row>
    <row r="11785" spans="1:4" ht="16.5" hidden="1" x14ac:dyDescent="0.3">
      <c r="A11785" s="10" t="str">
        <f>基本属性!$B$14&amp;"|"&amp;基本属性!$C$14</f>
        <v>105|4</v>
      </c>
      <c r="B11785" s="10" t="str">
        <f>参数调整!$J$42</f>
        <v>新增怪物种类7掉落</v>
      </c>
      <c r="C11785" s="8" t="str">
        <f>材料产出!$BF$2</f>
        <v>首饰碎片</v>
      </c>
      <c r="D11785" s="224">
        <f>参数调整!$K$42*怪物掉落配置方案!$D4603</f>
        <v>1.7755275143353027E-3</v>
      </c>
    </row>
    <row r="11786" spans="1:4" ht="16.5" hidden="1" x14ac:dyDescent="0.3">
      <c r="A11786" s="10" t="str">
        <f>基本属性!$B$15&amp;"|"&amp;基本属性!$C$15</f>
        <v>110|5</v>
      </c>
      <c r="B11786" s="10" t="str">
        <f>参数调整!$J$42</f>
        <v>新增怪物种类7掉落</v>
      </c>
      <c r="C11786" s="8" t="str">
        <f>材料产出!$BF$2</f>
        <v>首饰碎片</v>
      </c>
      <c r="D11786" s="224">
        <f>参数调整!$K$42*怪物掉落配置方案!$D4604</f>
        <v>2.1483882923457164E-3</v>
      </c>
    </row>
    <row r="11787" spans="1:4" ht="16.5" hidden="1" x14ac:dyDescent="0.3">
      <c r="A11787" s="10" t="str">
        <f>基本属性!$B$16&amp;"|"&amp;基本属性!$C$16</f>
        <v>120|6</v>
      </c>
      <c r="B11787" s="10" t="str">
        <f>参数调整!$J$42</f>
        <v>新增怪物种类7掉落</v>
      </c>
      <c r="C11787" s="8" t="str">
        <f>材料产出!$BF$2</f>
        <v>首饰碎片</v>
      </c>
      <c r="D11787" s="224">
        <f>参数调整!$K$42*怪物掉落配置方案!$D4605</f>
        <v>2.7742617411489101E-3</v>
      </c>
    </row>
    <row r="11788" spans="1:4" ht="16.5" hidden="1" x14ac:dyDescent="0.3">
      <c r="A11788" s="10" t="str">
        <f>基本属性!$B$17&amp;"|"&amp;基本属性!$C$17</f>
        <v>135|7</v>
      </c>
      <c r="B11788" s="10" t="str">
        <f>参数调整!$J$42</f>
        <v>新增怪物种类7掉落</v>
      </c>
      <c r="C11788" s="8" t="str">
        <f>材料产出!$BF$2</f>
        <v>首饰碎片</v>
      </c>
      <c r="D11788" s="224">
        <f>参数调整!$K$42*怪物掉落配置方案!$D4606</f>
        <v>3.9949369072544306E-3</v>
      </c>
    </row>
    <row r="11789" spans="1:4" ht="16.5" hidden="1" x14ac:dyDescent="0.3">
      <c r="A11789" s="10" t="str">
        <f>基本属性!$B$18&amp;"|"&amp;基本属性!$C$18</f>
        <v>155|8</v>
      </c>
      <c r="B11789" s="10" t="str">
        <f>参数调整!$J$42</f>
        <v>新增怪物种类7掉落</v>
      </c>
      <c r="C11789" s="8" t="str">
        <f>材料产出!$BF$2</f>
        <v>首饰碎片</v>
      </c>
      <c r="D11789" s="224">
        <f>参数调整!$K$42*怪物掉落配置方案!$D4607</f>
        <v>5.4375530126518643E-3</v>
      </c>
    </row>
    <row r="11790" spans="1:4" ht="16.5" hidden="1" x14ac:dyDescent="0.3">
      <c r="A11790" s="10" t="str">
        <f>基本属性!$B$19&amp;"|"&amp;基本属性!$C$19</f>
        <v>190|9</v>
      </c>
      <c r="B11790" s="10" t="str">
        <f>参数调整!$J$42</f>
        <v>新增怪物种类7掉落</v>
      </c>
      <c r="C11790" s="8" t="str">
        <f>材料产出!$BF$2</f>
        <v>首饰碎片</v>
      </c>
      <c r="D11790" s="224">
        <f>参数调整!$K$42*怪物掉落配置方案!$D4608</f>
        <v>6.0767429178125729E-3</v>
      </c>
    </row>
    <row r="11791" spans="1:4" ht="16.5" hidden="1" x14ac:dyDescent="0.3">
      <c r="A11791" s="10" t="str">
        <f>基本属性!$B$20&amp;"|"&amp;基本属性!$C$20</f>
        <v>200|10</v>
      </c>
      <c r="B11791" s="10" t="str">
        <f>参数调整!$J$42</f>
        <v>新增怪物种类7掉落</v>
      </c>
      <c r="C11791" s="8" t="str">
        <f>材料产出!$BF$2</f>
        <v>首饰碎片</v>
      </c>
      <c r="D11791" s="224">
        <f>参数调整!$K$42*怪物掉落配置方案!$D4609</f>
        <v>7.1021100573412108E-3</v>
      </c>
    </row>
    <row r="11792" spans="1:4" ht="16.5" hidden="1" x14ac:dyDescent="0.3">
      <c r="A11792" s="10" t="str">
        <f>基本属性!$B$21&amp;"|"&amp;基本属性!$C$21</f>
        <v>200|11</v>
      </c>
      <c r="B11792" s="10" t="str">
        <f>参数调整!$J$42</f>
        <v>新增怪物种类7掉落</v>
      </c>
      <c r="C11792" s="8" t="str">
        <f>材料产出!$BF$2</f>
        <v>首饰碎片</v>
      </c>
      <c r="D11792" s="224">
        <f>参数调整!$K$42*怪物掉落配置方案!$D4610</f>
        <v>8.2073759350149329E-3</v>
      </c>
    </row>
    <row r="11793" spans="1:4" ht="16.5" hidden="1" x14ac:dyDescent="0.3">
      <c r="A11793" s="10" t="str">
        <f>基本属性!$B$22&amp;"|"&amp;基本属性!$C$22</f>
        <v>210|12</v>
      </c>
      <c r="B11793" s="10" t="str">
        <f>参数调整!$J$42</f>
        <v>新增怪物种类7掉落</v>
      </c>
      <c r="C11793" s="8" t="str">
        <f>材料产出!$BF$2</f>
        <v>首饰碎片</v>
      </c>
      <c r="D11793" s="224">
        <f>参数调整!$K$42*怪物掉落配置方案!$D4611</f>
        <v>9.392540550833748E-3</v>
      </c>
    </row>
    <row r="11794" spans="1:4" ht="16.5" hidden="1" x14ac:dyDescent="0.3">
      <c r="A11794" s="10" t="str">
        <f>基本属性!$B$23&amp;"|"&amp;基本属性!$C$23</f>
        <v>210|13</v>
      </c>
      <c r="B11794" s="10" t="str">
        <f>参数调整!$J$42</f>
        <v>新增怪物种类7掉落</v>
      </c>
      <c r="C11794" s="8" t="str">
        <f>材料产出!$BF$2</f>
        <v>首饰碎片</v>
      </c>
      <c r="D11794" s="224">
        <f>参数调整!$K$42*怪物掉落配置方案!$D4612</f>
        <v>1.0657603904797655E-2</v>
      </c>
    </row>
    <row r="11795" spans="1:4" ht="16.5" hidden="1" x14ac:dyDescent="0.3">
      <c r="A11795" s="10" t="str">
        <f>基本属性!$B$24&amp;"|"&amp;基本属性!$C$24</f>
        <v>220|14</v>
      </c>
      <c r="B11795" s="10" t="str">
        <f>参数调整!$J$42</f>
        <v>新增怪物种类7掉落</v>
      </c>
      <c r="C11795" s="8" t="str">
        <f>材料产出!$BF$2</f>
        <v>首饰碎片</v>
      </c>
      <c r="D11795" s="224">
        <f>参数调整!$K$42*怪物掉落配置方案!$D4613</f>
        <v>1.2002565996906646E-2</v>
      </c>
    </row>
    <row r="11796" spans="1:4" ht="16.5" hidden="1" x14ac:dyDescent="0.3">
      <c r="A11796" s="10" t="str">
        <f>基本属性!$B$25&amp;"|"&amp;基本属性!$C$25</f>
        <v>220|15</v>
      </c>
      <c r="B11796" s="10" t="str">
        <f>参数调整!$J$42</f>
        <v>新增怪物种类7掉落</v>
      </c>
      <c r="C11796" s="8" t="str">
        <f>材料产出!$BF$2</f>
        <v>首饰碎片</v>
      </c>
      <c r="D11796" s="224">
        <f>参数调整!$K$42*怪物掉落配置方案!$D4614</f>
        <v>1.3427426827160723E-2</v>
      </c>
    </row>
    <row r="11797" spans="1:4" ht="16.5" hidden="1" x14ac:dyDescent="0.3">
      <c r="A11797" s="10" t="str">
        <f>基本属性!$B$26&amp;"|"&amp;基本属性!$C$26</f>
        <v>230|16</v>
      </c>
      <c r="B11797" s="10" t="str">
        <f>参数调整!$J$42</f>
        <v>新增怪物种类7掉落</v>
      </c>
      <c r="C11797" s="8" t="str">
        <f>材料产出!$BF$2</f>
        <v>首饰碎片</v>
      </c>
      <c r="D11797" s="224">
        <f>参数调整!$K$42*怪物掉落配置方案!$D4615</f>
        <v>1.493218639555989E-2</v>
      </c>
    </row>
    <row r="11798" spans="1:4" ht="16.5" hidden="1" x14ac:dyDescent="0.3">
      <c r="A11798" s="10" t="str">
        <f>基本属性!$B$27&amp;"|"&amp;基本属性!$C$27</f>
        <v>230|17</v>
      </c>
      <c r="B11798" s="10" t="str">
        <f>参数调整!$J$42</f>
        <v>新增怪物种类7掉落</v>
      </c>
      <c r="C11798" s="8" t="str">
        <f>材料产出!$BF$2</f>
        <v>首饰碎片</v>
      </c>
      <c r="D11798" s="224">
        <f>参数调整!$K$42*怪物掉落配置方案!$D4616</f>
        <v>1.6516844702104148E-2</v>
      </c>
    </row>
    <row r="11799" spans="1:4" ht="16.5" hidden="1" x14ac:dyDescent="0.3">
      <c r="A11799" s="10" t="str">
        <f>基本属性!$B$28&amp;"|"&amp;基本属性!$C$28</f>
        <v>240|18</v>
      </c>
      <c r="B11799" s="10" t="str">
        <f>参数调整!$J$42</f>
        <v>新增怪物种类7掉落</v>
      </c>
      <c r="C11799" s="8" t="str">
        <f>材料产出!$BF$2</f>
        <v>首饰碎片</v>
      </c>
      <c r="D11799" s="224">
        <f>参数调整!$K$42*怪物掉落配置方案!$D4617</f>
        <v>1.8181401746793502E-2</v>
      </c>
    </row>
    <row r="11800" spans="1:4" ht="16.5" hidden="1" x14ac:dyDescent="0.3">
      <c r="A11800" s="10" t="str">
        <f>基本属性!$B$29&amp;"|"&amp;基本属性!$C$29</f>
        <v>240|19</v>
      </c>
      <c r="B11800" s="10" t="str">
        <f>参数调整!$J$42</f>
        <v>新增怪物种类7掉落</v>
      </c>
      <c r="C11800" s="8" t="str">
        <f>材料产出!$BF$2</f>
        <v>首饰碎片</v>
      </c>
      <c r="D11800" s="224">
        <f>参数调整!$K$42*怪物掉落配置方案!$D4618</f>
        <v>1.9925857529627933E-2</v>
      </c>
    </row>
    <row r="11801" spans="1:4" ht="16.5" hidden="1" x14ac:dyDescent="0.3">
      <c r="A11801" s="10" t="str">
        <f>基本属性!$B$30&amp;"|"&amp;基本属性!$C$30</f>
        <v>250|20</v>
      </c>
      <c r="B11801" s="10" t="str">
        <f>参数调整!$J$42</f>
        <v>新增怪物种类7掉落</v>
      </c>
      <c r="C11801" s="8" t="str">
        <f>材料产出!$BF$2</f>
        <v>首饰碎片</v>
      </c>
      <c r="D11801" s="224">
        <f>参数调整!$K$42*怪物掉落配置方案!$D4619</f>
        <v>2.1750212050607454E-2</v>
      </c>
    </row>
    <row r="11802" spans="1:4" ht="16.5" hidden="1" x14ac:dyDescent="0.3">
      <c r="A11802" s="10" t="str">
        <f>基本属性!$B$4&amp;"|"&amp;基本属性!$C$4</f>
        <v>35|0</v>
      </c>
      <c r="B11802" s="10" t="str">
        <f>参数调整!$J$42</f>
        <v>新增怪物种类7掉落</v>
      </c>
      <c r="C11802" s="8" t="str">
        <f>材料产出!$P$2</f>
        <v>声望</v>
      </c>
      <c r="D11802" s="224">
        <f>参数调整!$K$42*怪物掉落配置方案!$D4620</f>
        <v>4.5465065612808428E-2</v>
      </c>
    </row>
    <row r="11803" spans="1:4" ht="16.5" hidden="1" x14ac:dyDescent="0.3">
      <c r="A11803" s="10" t="str">
        <f>基本属性!$B$5&amp;"|"&amp;基本属性!$C$5</f>
        <v>40|0</v>
      </c>
      <c r="B11803" s="10" t="str">
        <f>参数调整!$J$42</f>
        <v>新增怪物种类7掉落</v>
      </c>
      <c r="C11803" s="8" t="str">
        <f>材料产出!$P$2</f>
        <v>声望</v>
      </c>
      <c r="D11803" s="224">
        <f>参数调整!$K$42*怪物掉落配置方案!$D4621</f>
        <v>5.7541723666210673E-2</v>
      </c>
    </row>
    <row r="11804" spans="1:4" ht="16.5" hidden="1" x14ac:dyDescent="0.3">
      <c r="A11804" s="10" t="str">
        <f>基本属性!$B$6&amp;"|"&amp;基本属性!$C$6</f>
        <v>50|0</v>
      </c>
      <c r="B11804" s="10" t="str">
        <f>参数调整!$J$42</f>
        <v>新增怪物种类7掉落</v>
      </c>
      <c r="C11804" s="8" t="str">
        <f>材料产出!$P$2</f>
        <v>声望</v>
      </c>
      <c r="D11804" s="224">
        <f>参数调整!$K$42*怪物掉落配置方案!$D4622</f>
        <v>7.1039165020013173E-2</v>
      </c>
    </row>
    <row r="11805" spans="1:4" ht="16.5" hidden="1" x14ac:dyDescent="0.3">
      <c r="A11805" s="10" t="str">
        <f>基本属性!$B$7&amp;"|"&amp;基本属性!$C$7</f>
        <v>60|0</v>
      </c>
      <c r="B11805" s="10" t="str">
        <f>参数调整!$J$42</f>
        <v>新增怪物种类7掉落</v>
      </c>
      <c r="C11805" s="8" t="str">
        <f>材料产出!$P$2</f>
        <v>声望</v>
      </c>
      <c r="D11805" s="224">
        <f>参数调整!$K$42*怪物掉落配置方案!$D4623</f>
        <v>8.5957389674215942E-2</v>
      </c>
    </row>
    <row r="11806" spans="1:4" ht="16.5" hidden="1" x14ac:dyDescent="0.3">
      <c r="A11806" s="10" t="str">
        <f>基本属性!$B$8&amp;"|"&amp;基本属性!$C$8</f>
        <v>65|0</v>
      </c>
      <c r="B11806" s="10" t="str">
        <f>参数调整!$J$42</f>
        <v>新增怪物种类7掉落</v>
      </c>
      <c r="C11806" s="8" t="str">
        <f>材料产出!$P$2</f>
        <v>声望</v>
      </c>
      <c r="D11806" s="224">
        <f>参数调整!$K$42*怪物掉落配置方案!$D4624</f>
        <v>0.10229639762881897</v>
      </c>
    </row>
    <row r="11807" spans="1:4" ht="16.5" hidden="1" x14ac:dyDescent="0.3">
      <c r="A11807" s="10" t="str">
        <f>基本属性!$B$9&amp;"|"&amp;基本属性!$C$9</f>
        <v>70|0</v>
      </c>
      <c r="B11807" s="10" t="str">
        <f>参数调整!$J$42</f>
        <v>新增怪物种类7掉落</v>
      </c>
      <c r="C11807" s="8" t="str">
        <f>材料产出!$P$2</f>
        <v>声望</v>
      </c>
      <c r="D11807" s="224">
        <f>参数调整!$K$42*怪物掉落配置方案!$D4625</f>
        <v>0.12005618888382226</v>
      </c>
    </row>
    <row r="11808" spans="1:4" ht="16.5" hidden="1" x14ac:dyDescent="0.3">
      <c r="A11808" s="10" t="str">
        <f>基本属性!$B$10&amp;"|"&amp;基本属性!$C$10</f>
        <v>75|0</v>
      </c>
      <c r="B11808" s="10" t="str">
        <f>参数调整!$J$42</f>
        <v>新增怪物种类7掉落</v>
      </c>
      <c r="C11808" s="8" t="str">
        <f>材料产出!$P$2</f>
        <v>声望</v>
      </c>
      <c r="D11808" s="224">
        <f>参数调整!$K$42*怪物掉落配置方案!$D4626</f>
        <v>0.13923676343922581</v>
      </c>
    </row>
    <row r="11809" spans="1:4" ht="16.5" hidden="1" x14ac:dyDescent="0.3">
      <c r="A11809" s="10" t="str">
        <f>基本属性!$B$11&amp;"|"&amp;基本属性!$C$11</f>
        <v>80|1</v>
      </c>
      <c r="B11809" s="10" t="str">
        <f>参数调整!$J$42</f>
        <v>新增怪物种类7掉落</v>
      </c>
      <c r="C11809" s="8" t="str">
        <f>材料产出!$P$2</f>
        <v>声望</v>
      </c>
      <c r="D11809" s="224">
        <f>参数调整!$K$42*怪物掉落配置方案!$D4627</f>
        <v>0.15983812129502961</v>
      </c>
    </row>
    <row r="11810" spans="1:4" ht="16.5" hidden="1" x14ac:dyDescent="0.3">
      <c r="A11810" s="10" t="str">
        <f>基本属性!$B$12&amp;"|"&amp;基本属性!$C$12</f>
        <v>90|2</v>
      </c>
      <c r="B11810" s="10" t="str">
        <f>参数调整!$J$42</f>
        <v>新增怪物种类7掉落</v>
      </c>
      <c r="C11810" s="8" t="str">
        <f>材料产出!$P$2</f>
        <v>声望</v>
      </c>
      <c r="D11810" s="224">
        <f>参数调整!$K$42*怪物掉落配置方案!$D4628</f>
        <v>0.18186026245123374</v>
      </c>
    </row>
    <row r="11811" spans="1:4" ht="16.5" hidden="1" x14ac:dyDescent="0.3">
      <c r="A11811" s="10" t="str">
        <f>基本属性!$B$13&amp;"|"&amp;基本属性!$C$13</f>
        <v>100|3</v>
      </c>
      <c r="B11811" s="10" t="str">
        <f>参数调整!$J$42</f>
        <v>新增怪物种类7掉落</v>
      </c>
      <c r="C11811" s="8" t="str">
        <f>材料产出!$P$2</f>
        <v>声望</v>
      </c>
      <c r="D11811" s="224">
        <f>参数调整!$K$42*怪物掉落配置方案!$D4629</f>
        <v>0.23016689466484269</v>
      </c>
    </row>
    <row r="11812" spans="1:4" ht="16.5" hidden="1" x14ac:dyDescent="0.3">
      <c r="A11812" s="10" t="str">
        <f>基本属性!$B$14&amp;"|"&amp;基本属性!$C$14</f>
        <v>105|4</v>
      </c>
      <c r="B11812" s="10" t="str">
        <f>参数调整!$J$42</f>
        <v>新增怪物种类7掉落</v>
      </c>
      <c r="C11812" s="8" t="str">
        <f>材料产出!$P$2</f>
        <v>声望</v>
      </c>
      <c r="D11812" s="224">
        <f>参数调整!$K$42*怪物掉落配置方案!$D4630</f>
        <v>0.28415666008005275</v>
      </c>
    </row>
    <row r="11813" spans="1:4" ht="16.5" hidden="1" x14ac:dyDescent="0.3">
      <c r="A11813" s="10" t="str">
        <f>基本属性!$B$15&amp;"|"&amp;基本属性!$C$15</f>
        <v>110|5</v>
      </c>
      <c r="B11813" s="10" t="str">
        <f>参数调整!$J$42</f>
        <v>新增怪物种类7掉落</v>
      </c>
      <c r="C11813" s="8" t="str">
        <f>材料产出!$P$2</f>
        <v>声望</v>
      </c>
      <c r="D11813" s="224">
        <f>参数调整!$K$42*怪物掉落配置方案!$D4631</f>
        <v>0.34382955869686377</v>
      </c>
    </row>
    <row r="11814" spans="1:4" ht="16.5" hidden="1" x14ac:dyDescent="0.3">
      <c r="A11814" s="10" t="str">
        <f>基本属性!$B$16&amp;"|"&amp;基本属性!$C$16</f>
        <v>120|6</v>
      </c>
      <c r="B11814" s="10" t="str">
        <f>参数调整!$J$42</f>
        <v>新增怪物种类7掉落</v>
      </c>
      <c r="C11814" s="8" t="str">
        <f>材料产出!$P$2</f>
        <v>声望</v>
      </c>
      <c r="D11814" s="224">
        <f>参数调整!$K$42*怪物掉落配置方案!$D4632</f>
        <v>0.4439947813750823</v>
      </c>
    </row>
    <row r="11815" spans="1:4" ht="16.5" hidden="1" x14ac:dyDescent="0.3">
      <c r="A11815" s="10" t="str">
        <f>基本属性!$B$17&amp;"|"&amp;基本属性!$C$17</f>
        <v>135|7</v>
      </c>
      <c r="B11815" s="10" t="str">
        <f>参数调整!$J$42</f>
        <v>新增怪物种类7掉落</v>
      </c>
      <c r="C11815" s="8" t="str">
        <f>材料产出!$P$2</f>
        <v>声望</v>
      </c>
      <c r="D11815" s="224">
        <f>参数调整!$K$42*怪物掉落配置方案!$D4633</f>
        <v>0.63935248518011845</v>
      </c>
    </row>
    <row r="11816" spans="1:4" ht="16.5" hidden="1" x14ac:dyDescent="0.3">
      <c r="A11816" s="10" t="str">
        <f>基本属性!$B$18&amp;"|"&amp;基本属性!$C$18</f>
        <v>155|8</v>
      </c>
      <c r="B11816" s="10" t="str">
        <f>参数调整!$J$42</f>
        <v>新增怪物种类7掉落</v>
      </c>
      <c r="C11816" s="8" t="str">
        <f>材料产出!$P$2</f>
        <v>声望</v>
      </c>
      <c r="D11816" s="224">
        <f>参数调整!$K$42*怪物掉落配置方案!$D4634</f>
        <v>0.87022977149516134</v>
      </c>
    </row>
    <row r="11817" spans="1:4" ht="16.5" hidden="1" x14ac:dyDescent="0.3">
      <c r="A11817" s="10" t="str">
        <f>基本属性!$B$19&amp;"|"&amp;基本属性!$C$19</f>
        <v>190|9</v>
      </c>
      <c r="B11817" s="10" t="str">
        <f>参数调整!$J$42</f>
        <v>新增怪物种类7掉落</v>
      </c>
      <c r="C11817" s="8" t="str">
        <f>材料产出!$P$2</f>
        <v>声望</v>
      </c>
      <c r="D11817" s="224">
        <f>参数调整!$K$42*怪物掉落配置方案!$D4635</f>
        <v>0.97252616912398049</v>
      </c>
    </row>
    <row r="11818" spans="1:4" ht="16.5" hidden="1" x14ac:dyDescent="0.3">
      <c r="A11818" s="10" t="str">
        <f>基本属性!$B$20&amp;"|"&amp;基本属性!$C$20</f>
        <v>200|10</v>
      </c>
      <c r="B11818" s="10" t="str">
        <f>参数调整!$J$42</f>
        <v>新增怪物种类7掉落</v>
      </c>
      <c r="C11818" s="8" t="str">
        <f>材料产出!$P$2</f>
        <v>声望</v>
      </c>
      <c r="D11818" s="224">
        <f>参数调整!$K$42*怪物掉落配置方案!$D4636</f>
        <v>1.136626640320211</v>
      </c>
    </row>
    <row r="11819" spans="1:4" ht="16.5" hidden="1" x14ac:dyDescent="0.3">
      <c r="A11819" s="10" t="str">
        <f>基本属性!$B$21&amp;"|"&amp;基本属性!$C$21</f>
        <v>200|11</v>
      </c>
      <c r="B11819" s="10" t="str">
        <f>参数调整!$J$42</f>
        <v>新增怪物种类7掉落</v>
      </c>
      <c r="C11819" s="8" t="str">
        <f>材料产出!$P$2</f>
        <v>声望</v>
      </c>
      <c r="D11819" s="224">
        <f>参数调整!$K$42*怪物掉落配置方案!$D4637</f>
        <v>1.3135141612200434</v>
      </c>
    </row>
    <row r="11820" spans="1:4" ht="16.5" hidden="1" x14ac:dyDescent="0.3">
      <c r="A11820" s="10" t="str">
        <f>基本属性!$B$22&amp;"|"&amp;基本属性!$C$22</f>
        <v>210|12</v>
      </c>
      <c r="B11820" s="10" t="str">
        <f>参数调整!$J$42</f>
        <v>新增怪物种类7掉落</v>
      </c>
      <c r="C11820" s="8" t="str">
        <f>材料产出!$P$2</f>
        <v>声望</v>
      </c>
      <c r="D11820" s="224">
        <f>参数调整!$K$42*怪物掉落配置方案!$D4638</f>
        <v>1.5031887318234782</v>
      </c>
    </row>
    <row r="11821" spans="1:4" ht="16.5" hidden="1" x14ac:dyDescent="0.3">
      <c r="A11821" s="10" t="str">
        <f>基本属性!$B$23&amp;"|"&amp;基本属性!$C$23</f>
        <v>210|13</v>
      </c>
      <c r="B11821" s="10" t="str">
        <f>参数调整!$J$42</f>
        <v>新增怪物种类7掉落</v>
      </c>
      <c r="C11821" s="8" t="str">
        <f>材料产出!$P$2</f>
        <v>声望</v>
      </c>
      <c r="D11821" s="224">
        <f>参数调整!$K$42*怪物掉落配置方案!$D4639</f>
        <v>1.7056503521305166</v>
      </c>
    </row>
    <row r="11822" spans="1:4" ht="16.5" hidden="1" x14ac:dyDescent="0.3">
      <c r="A11822" s="10" t="str">
        <f>基本属性!$B$24&amp;"|"&amp;基本属性!$C$24</f>
        <v>220|14</v>
      </c>
      <c r="B11822" s="10" t="str">
        <f>参数调整!$J$42</f>
        <v>新增怪物种类7掉落</v>
      </c>
      <c r="C11822" s="8" t="str">
        <f>材料产出!$P$2</f>
        <v>声望</v>
      </c>
      <c r="D11822" s="224">
        <f>参数调整!$K$42*怪物掉落配置方案!$D4640</f>
        <v>1.9208990221411562</v>
      </c>
    </row>
    <row r="11823" spans="1:4" ht="16.5" hidden="1" x14ac:dyDescent="0.3">
      <c r="A11823" s="10" t="str">
        <f>基本属性!$B$25&amp;"|"&amp;基本属性!$C$25</f>
        <v>220|15</v>
      </c>
      <c r="B11823" s="10" t="str">
        <f>参数调整!$J$42</f>
        <v>新增怪物种类7掉落</v>
      </c>
      <c r="C11823" s="8" t="str">
        <f>材料产出!$P$2</f>
        <v>声望</v>
      </c>
      <c r="D11823" s="224">
        <f>参数调整!$K$42*怪物掉落配置方案!$D4641</f>
        <v>2.1489347418553981</v>
      </c>
    </row>
    <row r="11824" spans="1:4" ht="16.5" hidden="1" x14ac:dyDescent="0.3">
      <c r="A11824" s="10" t="str">
        <f>基本属性!$B$26&amp;"|"&amp;基本属性!$C$26</f>
        <v>230|16</v>
      </c>
      <c r="B11824" s="10" t="str">
        <f>参数调整!$J$42</f>
        <v>新增怪物种类7掉落</v>
      </c>
      <c r="C11824" s="8" t="str">
        <f>材料产出!$P$2</f>
        <v>声望</v>
      </c>
      <c r="D11824" s="224">
        <f>参数调整!$K$42*怪物掉落配置方案!$D4642</f>
        <v>2.3897575112732432</v>
      </c>
    </row>
    <row r="11825" spans="1:4" ht="16.5" hidden="1" x14ac:dyDescent="0.3">
      <c r="A11825" s="10" t="str">
        <f>基本属性!$B$27&amp;"|"&amp;基本属性!$C$27</f>
        <v>230|17</v>
      </c>
      <c r="B11825" s="10" t="str">
        <f>参数调整!$J$42</f>
        <v>新增怪物种类7掉落</v>
      </c>
      <c r="C11825" s="8" t="str">
        <f>材料产出!$P$2</f>
        <v>声望</v>
      </c>
      <c r="D11825" s="224">
        <f>参数调整!$K$42*怪物掉落配置方案!$D4643</f>
        <v>2.6433673303946899</v>
      </c>
    </row>
    <row r="11826" spans="1:4" ht="16.5" hidden="1" x14ac:dyDescent="0.3">
      <c r="A11826" s="10" t="str">
        <f>基本属性!$B$28&amp;"|"&amp;基本属性!$C$28</f>
        <v>240|18</v>
      </c>
      <c r="B11826" s="10" t="str">
        <f>参数调整!$J$42</f>
        <v>新增怪物种类7掉落</v>
      </c>
      <c r="C11826" s="8" t="str">
        <f>材料产出!$P$2</f>
        <v>声望</v>
      </c>
      <c r="D11826" s="224">
        <f>参数调整!$K$42*怪物掉落配置方案!$D4644</f>
        <v>2.9097641992197398</v>
      </c>
    </row>
    <row r="11827" spans="1:4" ht="16.5" hidden="1" x14ac:dyDescent="0.3">
      <c r="A11827" s="10" t="str">
        <f>基本属性!$B$29&amp;"|"&amp;基本属性!$C$29</f>
        <v>240|19</v>
      </c>
      <c r="B11827" s="10" t="str">
        <f>参数调整!$J$42</f>
        <v>新增怪物种类7掉落</v>
      </c>
      <c r="C11827" s="8" t="str">
        <f>材料产出!$P$2</f>
        <v>声望</v>
      </c>
      <c r="D11827" s="224">
        <f>参数调整!$K$42*怪物掉落配置方案!$D4645</f>
        <v>3.1889481177483914</v>
      </c>
    </row>
    <row r="11828" spans="1:4" ht="16.5" hidden="1" x14ac:dyDescent="0.3">
      <c r="A11828" s="10" t="str">
        <f>基本属性!$B$30&amp;"|"&amp;基本属性!$C$30</f>
        <v>250|20</v>
      </c>
      <c r="B11828" s="10" t="str">
        <f>参数调整!$J$42</f>
        <v>新增怪物种类7掉落</v>
      </c>
      <c r="C11828" s="8" t="str">
        <f>材料产出!$P$2</f>
        <v>声望</v>
      </c>
      <c r="D11828" s="224">
        <f>参数调整!$K$42*怪物掉落配置方案!$D4646</f>
        <v>3.4809190859806449</v>
      </c>
    </row>
    <row r="11829" spans="1:4" ht="16.5" hidden="1" x14ac:dyDescent="0.3">
      <c r="A11829" s="10" t="str">
        <f>基本属性!$B$4&amp;"|"&amp;基本属性!$C$4</f>
        <v>35|0</v>
      </c>
      <c r="B11829" s="10" t="str">
        <f>参数调整!$J$42</f>
        <v>新增怪物种类7掉落</v>
      </c>
      <c r="C11829" s="8" t="str">
        <f>材料产出!$AV$2</f>
        <v>神器图纸</v>
      </c>
      <c r="D11829" s="224">
        <f>参数调整!$K$42*怪物掉落配置方案!$D4647</f>
        <v>2.0454076965142681E-4</v>
      </c>
    </row>
    <row r="11830" spans="1:4" ht="16.5" hidden="1" x14ac:dyDescent="0.3">
      <c r="A11830" s="10" t="str">
        <f>基本属性!$B$5&amp;"|"&amp;基本属性!$C$5</f>
        <v>40|0</v>
      </c>
      <c r="B11830" s="10" t="str">
        <f>参数调整!$J$42</f>
        <v>新增怪物种类7掉落</v>
      </c>
      <c r="C11830" s="8" t="str">
        <f>材料产出!$AV$2</f>
        <v>神器图纸</v>
      </c>
      <c r="D11830" s="224">
        <f>参数调整!$K$42*怪物掉落配置方案!$D4648</f>
        <v>2.5887191159008703E-4</v>
      </c>
    </row>
    <row r="11831" spans="1:4" ht="16.5" hidden="1" x14ac:dyDescent="0.3">
      <c r="A11831" s="10" t="str">
        <f>基本属性!$B$6&amp;"|"&amp;基本属性!$C$6</f>
        <v>50|0</v>
      </c>
      <c r="B11831" s="10" t="str">
        <f>参数调整!$J$42</f>
        <v>新增怪物种类7掉落</v>
      </c>
      <c r="C11831" s="8" t="str">
        <f>材料产出!$AV$2</f>
        <v>神器图纸</v>
      </c>
      <c r="D11831" s="224">
        <f>参数调整!$K$42*怪物掉落配置方案!$D4649</f>
        <v>3.1959495258035442E-4</v>
      </c>
    </row>
    <row r="11832" spans="1:4" ht="16.5" hidden="1" x14ac:dyDescent="0.3">
      <c r="A11832" s="10" t="str">
        <f>基本属性!$B$7&amp;"|"&amp;基本属性!$C$7</f>
        <v>60|0</v>
      </c>
      <c r="B11832" s="10" t="str">
        <f>参数调整!$J$42</f>
        <v>新增怪物种类7掉落</v>
      </c>
      <c r="C11832" s="8" t="str">
        <f>材料产出!$AV$2</f>
        <v>神器图纸</v>
      </c>
      <c r="D11832" s="224">
        <f>参数调整!$K$42*怪物掉落配置方案!$D4650</f>
        <v>3.867098926222289E-4</v>
      </c>
    </row>
    <row r="11833" spans="1:4" ht="16.5" hidden="1" x14ac:dyDescent="0.3">
      <c r="A11833" s="10" t="str">
        <f>基本属性!$B$8&amp;"|"&amp;基本属性!$C$8</f>
        <v>65|0</v>
      </c>
      <c r="B11833" s="10" t="str">
        <f>参数调整!$J$42</f>
        <v>新增怪物种类7掉落</v>
      </c>
      <c r="C11833" s="8" t="str">
        <f>材料产出!$AV$2</f>
        <v>神器图纸</v>
      </c>
      <c r="D11833" s="224">
        <f>参数调整!$K$42*怪物掉落配置方案!$D4651</f>
        <v>4.6021673171571032E-4</v>
      </c>
    </row>
    <row r="11834" spans="1:4" ht="16.5" hidden="1" x14ac:dyDescent="0.3">
      <c r="A11834" s="10" t="str">
        <f>基本属性!$B$9&amp;"|"&amp;基本属性!$C$9</f>
        <v>70|0</v>
      </c>
      <c r="B11834" s="10" t="str">
        <f>参数调整!$J$42</f>
        <v>新增怪物种类7掉落</v>
      </c>
      <c r="C11834" s="8" t="str">
        <f>材料产出!$AV$2</f>
        <v>神器图纸</v>
      </c>
      <c r="D11834" s="224">
        <f>参数调整!$K$42*怪物掉落配置方案!$D4652</f>
        <v>5.4011546986079901E-4</v>
      </c>
    </row>
    <row r="11835" spans="1:4" ht="16.5" hidden="1" x14ac:dyDescent="0.3">
      <c r="A11835" s="10" t="str">
        <f>基本属性!$B$10&amp;"|"&amp;基本属性!$C$10</f>
        <v>75|0</v>
      </c>
      <c r="B11835" s="10" t="str">
        <f>参数调整!$J$42</f>
        <v>新增怪物种类7掉落</v>
      </c>
      <c r="C11835" s="8" t="str">
        <f>材料产出!$AV$2</f>
        <v>神器图纸</v>
      </c>
      <c r="D11835" s="224">
        <f>参数调整!$K$42*怪物掉落配置方案!$D4653</f>
        <v>6.2640610705749463E-4</v>
      </c>
    </row>
    <row r="11836" spans="1:4" ht="16.5" hidden="1" x14ac:dyDescent="0.3">
      <c r="A11836" s="10" t="str">
        <f>基本属性!$B$11&amp;"|"&amp;基本属性!$C$11</f>
        <v>80|1</v>
      </c>
      <c r="B11836" s="10" t="str">
        <f>参数调整!$J$42</f>
        <v>新增怪物种类7掉落</v>
      </c>
      <c r="C11836" s="8" t="str">
        <f>材料产出!$AV$2</f>
        <v>神器图纸</v>
      </c>
      <c r="D11836" s="224">
        <f>参数调整!$K$42*怪物掉落配置方案!$D4654</f>
        <v>7.190886433057973E-4</v>
      </c>
    </row>
    <row r="11837" spans="1:4" ht="16.5" hidden="1" x14ac:dyDescent="0.3">
      <c r="A11837" s="10" t="str">
        <f>基本属性!$B$12&amp;"|"&amp;基本属性!$C$12</f>
        <v>90|2</v>
      </c>
      <c r="B11837" s="10" t="str">
        <f>参数调整!$J$42</f>
        <v>新增怪物种类7掉落</v>
      </c>
      <c r="C11837" s="8" t="str">
        <f>材料产出!$AV$2</f>
        <v>神器图纸</v>
      </c>
      <c r="D11837" s="224">
        <f>参数调整!$K$42*怪物掉落配置方案!$D4655</f>
        <v>8.1816307860570745E-4</v>
      </c>
    </row>
    <row r="11838" spans="1:4" ht="16.5" hidden="1" x14ac:dyDescent="0.3">
      <c r="A11838" s="10" t="str">
        <f>基本属性!$B$13&amp;"|"&amp;基本属性!$C$13</f>
        <v>100|3</v>
      </c>
      <c r="B11838" s="10" t="str">
        <f>参数调整!$J$42</f>
        <v>新增怪物种类7掉落</v>
      </c>
      <c r="C11838" s="8" t="str">
        <f>材料产出!$AV$2</f>
        <v>神器图纸</v>
      </c>
      <c r="D11838" s="224">
        <f>参数调整!$K$42*怪物掉落配置方案!$D4656</f>
        <v>1.0354876463603484E-3</v>
      </c>
    </row>
    <row r="11839" spans="1:4" ht="16.5" hidden="1" x14ac:dyDescent="0.3">
      <c r="A11839" s="10" t="str">
        <f>基本属性!$B$14&amp;"|"&amp;基本属性!$C$14</f>
        <v>105|4</v>
      </c>
      <c r="B11839" s="10" t="str">
        <f>参数调整!$J$42</f>
        <v>新增怪物种类7掉落</v>
      </c>
      <c r="C11839" s="8" t="str">
        <f>材料产出!$AV$2</f>
        <v>神器图纸</v>
      </c>
      <c r="D11839" s="224">
        <f>参数调整!$K$42*怪物掉落配置方案!$D4657</f>
        <v>1.2783798103214177E-3</v>
      </c>
    </row>
    <row r="11840" spans="1:4" ht="16.5" hidden="1" x14ac:dyDescent="0.3">
      <c r="A11840" s="10" t="str">
        <f>基本属性!$B$15&amp;"|"&amp;基本属性!$C$15</f>
        <v>110|5</v>
      </c>
      <c r="B11840" s="10" t="str">
        <f>参数调整!$J$42</f>
        <v>新增怪物种类7掉落</v>
      </c>
      <c r="C11840" s="8" t="str">
        <f>材料产出!$AV$2</f>
        <v>神器图纸</v>
      </c>
      <c r="D11840" s="224">
        <f>参数调整!$K$42*怪物掉落配置方案!$D4658</f>
        <v>1.5468395704889156E-3</v>
      </c>
    </row>
    <row r="11841" spans="1:4" ht="16.5" hidden="1" x14ac:dyDescent="0.3">
      <c r="A11841" s="10" t="str">
        <f>基本属性!$B$16&amp;"|"&amp;基本属性!$C$16</f>
        <v>120|6</v>
      </c>
      <c r="B11841" s="10" t="str">
        <f>参数调整!$J$42</f>
        <v>新增怪物种类7掉落</v>
      </c>
      <c r="C11841" s="8" t="str">
        <f>材料产出!$AV$2</f>
        <v>神器图纸</v>
      </c>
      <c r="D11841" s="224">
        <f>参数调整!$K$42*怪物掉落配置方案!$D4659</f>
        <v>1.9974684536272153E-3</v>
      </c>
    </row>
    <row r="11842" spans="1:4" ht="16.5" hidden="1" x14ac:dyDescent="0.3">
      <c r="A11842" s="10" t="str">
        <f>基本属性!$B$17&amp;"|"&amp;基本属性!$C$17</f>
        <v>135|7</v>
      </c>
      <c r="B11842" s="10" t="str">
        <f>参数调整!$J$42</f>
        <v>新增怪物种类7掉落</v>
      </c>
      <c r="C11842" s="8" t="str">
        <f>材料产出!$AV$2</f>
        <v>神器图纸</v>
      </c>
      <c r="D11842" s="224">
        <f>参数调整!$K$42*怪物掉落配置方案!$D4660</f>
        <v>2.8763545732231892E-3</v>
      </c>
    </row>
    <row r="11843" spans="1:4" ht="16.5" hidden="1" x14ac:dyDescent="0.3">
      <c r="A11843" s="10" t="str">
        <f>基本属性!$B$18&amp;"|"&amp;基本属性!$C$18</f>
        <v>155|8</v>
      </c>
      <c r="B11843" s="10" t="str">
        <f>参数调整!$J$42</f>
        <v>新增怪物种类7掉落</v>
      </c>
      <c r="C11843" s="8" t="str">
        <f>材料产出!$AV$2</f>
        <v>神器图纸</v>
      </c>
      <c r="D11843" s="224">
        <f>参数调整!$K$42*怪物掉落配置方案!$D4661</f>
        <v>3.915038169109342E-3</v>
      </c>
    </row>
    <row r="11844" spans="1:4" ht="16.5" hidden="1" x14ac:dyDescent="0.3">
      <c r="A11844" s="10" t="str">
        <f>基本属性!$B$19&amp;"|"&amp;基本属性!$C$19</f>
        <v>190|9</v>
      </c>
      <c r="B11844" s="10" t="str">
        <f>参数调整!$J$42</f>
        <v>新增怪物种类7掉落</v>
      </c>
      <c r="C11844" s="8" t="str">
        <f>材料产出!$AV$2</f>
        <v>神器图纸</v>
      </c>
      <c r="D11844" s="224">
        <f>参数调整!$K$42*怪物掉落配置方案!$D4662</f>
        <v>4.375254900825052E-3</v>
      </c>
    </row>
    <row r="11845" spans="1:4" ht="16.5" hidden="1" x14ac:dyDescent="0.3">
      <c r="A11845" s="10" t="str">
        <f>基本属性!$B$20&amp;"|"&amp;基本属性!$C$20</f>
        <v>200|10</v>
      </c>
      <c r="B11845" s="10" t="str">
        <f>参数调整!$J$42</f>
        <v>新增怪物种类7掉落</v>
      </c>
      <c r="C11845" s="8" t="str">
        <f>材料产出!$AV$2</f>
        <v>神器图纸</v>
      </c>
      <c r="D11845" s="224">
        <f>参数调整!$K$42*怪物掉落配置方案!$D4663</f>
        <v>5.1135192412856707E-3</v>
      </c>
    </row>
    <row r="11846" spans="1:4" ht="16.5" hidden="1" x14ac:dyDescent="0.3">
      <c r="A11846" s="10" t="str">
        <f>基本属性!$B$21&amp;"|"&amp;基本属性!$C$21</f>
        <v>200|11</v>
      </c>
      <c r="B11846" s="10" t="str">
        <f>参数调整!$J$42</f>
        <v>新增怪物种类7掉落</v>
      </c>
      <c r="C11846" s="8" t="str">
        <f>材料产出!$AV$2</f>
        <v>神器图纸</v>
      </c>
      <c r="D11846" s="224">
        <f>参数调整!$K$42*怪物掉落配置方案!$D4664</f>
        <v>5.909310673210752E-3</v>
      </c>
    </row>
    <row r="11847" spans="1:4" ht="16.5" hidden="1" x14ac:dyDescent="0.3">
      <c r="A11847" s="10" t="str">
        <f>基本属性!$B$22&amp;"|"&amp;基本属性!$C$22</f>
        <v>210|12</v>
      </c>
      <c r="B11847" s="10" t="str">
        <f>参数调整!$J$42</f>
        <v>新增怪物种类7掉落</v>
      </c>
      <c r="C11847" s="8" t="str">
        <f>材料产出!$AV$2</f>
        <v>神器图纸</v>
      </c>
      <c r="D11847" s="224">
        <f>参数调整!$K$42*怪物掉落配置方案!$D4665</f>
        <v>6.7626291966002968E-3</v>
      </c>
    </row>
    <row r="11848" spans="1:4" ht="16.5" hidden="1" x14ac:dyDescent="0.3">
      <c r="A11848" s="10" t="str">
        <f>基本属性!$B$23&amp;"|"&amp;基本属性!$C$23</f>
        <v>210|13</v>
      </c>
      <c r="B11848" s="10" t="str">
        <f>参数调整!$J$42</f>
        <v>新增怪物种类7掉落</v>
      </c>
      <c r="C11848" s="8" t="str">
        <f>材料产出!$AV$2</f>
        <v>神器图纸</v>
      </c>
      <c r="D11848" s="224">
        <f>参数调整!$K$42*怪物掉落配置方案!$D4666</f>
        <v>7.6734748114543113E-3</v>
      </c>
    </row>
    <row r="11849" spans="1:4" ht="16.5" hidden="1" x14ac:dyDescent="0.3">
      <c r="A11849" s="10" t="str">
        <f>基本属性!$B$24&amp;"|"&amp;基本属性!$C$24</f>
        <v>220|14</v>
      </c>
      <c r="B11849" s="10" t="str">
        <f>参数调整!$J$42</f>
        <v>新增怪物种类7掉落</v>
      </c>
      <c r="C11849" s="8" t="str">
        <f>材料产出!$AV$2</f>
        <v>神器图纸</v>
      </c>
      <c r="D11849" s="224">
        <f>参数调整!$K$42*怪物掉落配置方案!$D4667</f>
        <v>8.6418475177727841E-3</v>
      </c>
    </row>
    <row r="11850" spans="1:4" ht="16.5" hidden="1" x14ac:dyDescent="0.3">
      <c r="A11850" s="10" t="str">
        <f>基本属性!$B$25&amp;"|"&amp;基本属性!$C$25</f>
        <v>220|15</v>
      </c>
      <c r="B11850" s="10" t="str">
        <f>参数调整!$J$42</f>
        <v>新增怪物种类7掉落</v>
      </c>
      <c r="C11850" s="8" t="str">
        <f>材料产出!$AV$2</f>
        <v>神器图纸</v>
      </c>
      <c r="D11850" s="224">
        <f>参数调整!$K$42*怪物掉落配置方案!$D4668</f>
        <v>9.6677473155557195E-3</v>
      </c>
    </row>
    <row r="11851" spans="1:4" ht="16.5" hidden="1" x14ac:dyDescent="0.3">
      <c r="A11851" s="10" t="str">
        <f>基本属性!$B$26&amp;"|"&amp;基本属性!$C$26</f>
        <v>230|16</v>
      </c>
      <c r="B11851" s="10" t="str">
        <f>参数调整!$J$42</f>
        <v>新增怪物种类7掉落</v>
      </c>
      <c r="C11851" s="8" t="str">
        <f>材料产出!$AV$2</f>
        <v>神器图纸</v>
      </c>
      <c r="D11851" s="224">
        <f>参数调整!$K$42*怪物掉落配置方案!$D4669</f>
        <v>1.0751174204803121E-2</v>
      </c>
    </row>
    <row r="11852" spans="1:4" ht="16.5" hidden="1" x14ac:dyDescent="0.3">
      <c r="A11852" s="10" t="str">
        <f>基本属性!$B$27&amp;"|"&amp;基本属性!$C$27</f>
        <v>230|17</v>
      </c>
      <c r="B11852" s="10" t="str">
        <f>参数调整!$J$42</f>
        <v>新增怪物种类7掉落</v>
      </c>
      <c r="C11852" s="8" t="str">
        <f>材料产出!$AV$2</f>
        <v>神器图纸</v>
      </c>
      <c r="D11852" s="224">
        <f>参数调整!$K$42*怪物掉落配置方案!$D4670</f>
        <v>1.1892128185514985E-2</v>
      </c>
    </row>
    <row r="11853" spans="1:4" ht="16.5" hidden="1" x14ac:dyDescent="0.3">
      <c r="A11853" s="10" t="str">
        <f>基本属性!$B$28&amp;"|"&amp;基本属性!$C$28</f>
        <v>240|18</v>
      </c>
      <c r="B11853" s="10" t="str">
        <f>参数调整!$J$42</f>
        <v>新增怪物种类7掉落</v>
      </c>
      <c r="C11853" s="8" t="str">
        <f>材料产出!$AV$2</f>
        <v>神器图纸</v>
      </c>
      <c r="D11853" s="224">
        <f>参数调整!$K$42*怪物掉落配置方案!$D4671</f>
        <v>1.3090609257691319E-2</v>
      </c>
    </row>
    <row r="11854" spans="1:4" ht="16.5" hidden="1" x14ac:dyDescent="0.3">
      <c r="A11854" s="10" t="str">
        <f>基本属性!$B$29&amp;"|"&amp;基本属性!$C$29</f>
        <v>240|19</v>
      </c>
      <c r="B11854" s="10" t="str">
        <f>参数调整!$J$42</f>
        <v>新增怪物种类7掉落</v>
      </c>
      <c r="C11854" s="8" t="str">
        <f>材料产出!$AV$2</f>
        <v>神器图纸</v>
      </c>
      <c r="D11854" s="224">
        <f>参数调整!$K$42*怪物掉落配置方案!$D4672</f>
        <v>1.4346617421332111E-2</v>
      </c>
    </row>
    <row r="11855" spans="1:4" ht="16.5" hidden="1" x14ac:dyDescent="0.3">
      <c r="A11855" s="10" t="str">
        <f>基本属性!$B$30&amp;"|"&amp;基本属性!$C$30</f>
        <v>250|20</v>
      </c>
      <c r="B11855" s="10" t="str">
        <f>参数调整!$J$42</f>
        <v>新增怪物种类7掉落</v>
      </c>
      <c r="C11855" s="8" t="str">
        <f>材料产出!$AV$2</f>
        <v>神器图纸</v>
      </c>
      <c r="D11855" s="224">
        <f>参数调整!$K$42*怪物掉落配置方案!$D4673</f>
        <v>1.5660152676437365E-2</v>
      </c>
    </row>
    <row r="11856" spans="1:4" ht="16.5" hidden="1" x14ac:dyDescent="0.3">
      <c r="A11856" s="10" t="str">
        <f>基本属性!$B$4&amp;"|"&amp;基本属性!$C$4</f>
        <v>35|0</v>
      </c>
      <c r="B11856" s="10" t="str">
        <f>参数调整!$J$42</f>
        <v>新增怪物种类7掉落</v>
      </c>
      <c r="C11856" s="8" t="str">
        <f>材料产出!$AH$2</f>
        <v>神品升星石</v>
      </c>
      <c r="D11856" s="224">
        <f>参数调整!$K$42*怪物掉落配置方案!$D4674</f>
        <v>3.1755529832684414E-3</v>
      </c>
    </row>
    <row r="11857" spans="1:4" ht="16.5" hidden="1" x14ac:dyDescent="0.3">
      <c r="A11857" s="10" t="str">
        <f>基本属性!$B$5&amp;"|"&amp;基本属性!$C$5</f>
        <v>40|0</v>
      </c>
      <c r="B11857" s="10" t="str">
        <f>参数调整!$J$42</f>
        <v>新增怪物种类7掉落</v>
      </c>
      <c r="C11857" s="8" t="str">
        <f>材料产出!$AH$2</f>
        <v>神品升星石</v>
      </c>
      <c r="D11857" s="224">
        <f>参数调整!$K$42*怪物掉落配置方案!$D4675</f>
        <v>4.0190592444491217E-3</v>
      </c>
    </row>
    <row r="11858" spans="1:4" ht="16.5" hidden="1" x14ac:dyDescent="0.3">
      <c r="A11858" s="10" t="str">
        <f>基本属性!$B$6&amp;"|"&amp;基本属性!$C$6</f>
        <v>50|0</v>
      </c>
      <c r="B11858" s="10" t="str">
        <f>参数调整!$J$42</f>
        <v>新增怪物种类7掉落</v>
      </c>
      <c r="C11858" s="8" t="str">
        <f>材料产出!$AH$2</f>
        <v>神品升星石</v>
      </c>
      <c r="D11858" s="224">
        <f>参数调整!$K$42*怪物掉落配置方案!$D4676</f>
        <v>4.9618015363569398E-3</v>
      </c>
    </row>
    <row r="11859" spans="1:4" ht="16.5" hidden="1" x14ac:dyDescent="0.3">
      <c r="A11859" s="10" t="str">
        <f>基本属性!$B$7&amp;"|"&amp;基本属性!$C$7</f>
        <v>60|0</v>
      </c>
      <c r="B11859" s="10" t="str">
        <f>参数调整!$J$42</f>
        <v>新增怪物种类7掉落</v>
      </c>
      <c r="C11859" s="8" t="str">
        <f>材料产出!$AH$2</f>
        <v>神品升星石</v>
      </c>
      <c r="D11859" s="224">
        <f>参数调整!$K$42*怪物掉落配置方案!$D4677</f>
        <v>6.0037798589918975E-3</v>
      </c>
    </row>
    <row r="11860" spans="1:4" ht="16.5" hidden="1" x14ac:dyDescent="0.3">
      <c r="A11860" s="10" t="str">
        <f>基本属性!$B$8&amp;"|"&amp;基本属性!$C$8</f>
        <v>65|0</v>
      </c>
      <c r="B11860" s="10" t="str">
        <f>参数调整!$J$42</f>
        <v>新增怪物种类7掉落</v>
      </c>
      <c r="C11860" s="8" t="str">
        <f>材料产出!$AH$2</f>
        <v>神品升星石</v>
      </c>
      <c r="D11860" s="224">
        <f>参数调整!$K$42*怪物掉落配置方案!$D4678</f>
        <v>7.1449942123539938E-3</v>
      </c>
    </row>
    <row r="11861" spans="1:4" ht="16.5" hidden="1" x14ac:dyDescent="0.3">
      <c r="A11861" s="10" t="str">
        <f>基本属性!$B$9&amp;"|"&amp;基本属性!$C$9</f>
        <v>70|0</v>
      </c>
      <c r="B11861" s="10" t="str">
        <f>参数调整!$J$42</f>
        <v>新增怪物种类7掉落</v>
      </c>
      <c r="C11861" s="8" t="str">
        <f>材料产出!$AH$2</f>
        <v>神品升星石</v>
      </c>
      <c r="D11861" s="224">
        <f>参数调整!$K$42*怪物掉落配置方案!$D4679</f>
        <v>8.3854445964432305E-3</v>
      </c>
    </row>
    <row r="11862" spans="1:4" ht="16.5" hidden="1" x14ac:dyDescent="0.3">
      <c r="A11862" s="10" t="str">
        <f>基本属性!$B$10&amp;"|"&amp;基本属性!$C$10</f>
        <v>75|0</v>
      </c>
      <c r="B11862" s="10" t="str">
        <f>参数调整!$J$42</f>
        <v>新增怪物种类7掉落</v>
      </c>
      <c r="C11862" s="8" t="str">
        <f>材料产出!$AH$2</f>
        <v>神品升星石</v>
      </c>
      <c r="D11862" s="224">
        <f>参数调整!$K$42*怪物掉落配置方案!$D4680</f>
        <v>9.7251310112596006E-3</v>
      </c>
    </row>
    <row r="11863" spans="1:4" ht="16.5" hidden="1" x14ac:dyDescent="0.3">
      <c r="A11863" s="10" t="str">
        <f>基本属性!$B$11&amp;"|"&amp;基本属性!$C$11</f>
        <v>80|1</v>
      </c>
      <c r="B11863" s="10" t="str">
        <f>参数调整!$J$42</f>
        <v>新增怪物种类7掉落</v>
      </c>
      <c r="C11863" s="8" t="str">
        <f>材料产出!$AH$2</f>
        <v>神品升星石</v>
      </c>
      <c r="D11863" s="224">
        <f>参数调整!$K$42*怪物掉落配置方案!$D4681</f>
        <v>1.1164053456803115E-2</v>
      </c>
    </row>
    <row r="11864" spans="1:4" ht="16.5" hidden="1" x14ac:dyDescent="0.3">
      <c r="A11864" s="10" t="str">
        <f>基本属性!$B$12&amp;"|"&amp;基本属性!$C$12</f>
        <v>90|2</v>
      </c>
      <c r="B11864" s="10" t="str">
        <f>参数调整!$J$42</f>
        <v>新增怪物种类7掉落</v>
      </c>
      <c r="C11864" s="8" t="str">
        <f>材料产出!$AH$2</f>
        <v>神品升星石</v>
      </c>
      <c r="D11864" s="224">
        <f>参数调整!$K$42*怪物掉落配置方案!$D4682</f>
        <v>1.2702211933073769E-2</v>
      </c>
    </row>
    <row r="11865" spans="1:4" ht="16.5" hidden="1" x14ac:dyDescent="0.3">
      <c r="A11865" s="10" t="str">
        <f>基本属性!$B$13&amp;"|"&amp;基本属性!$C$13</f>
        <v>100|3</v>
      </c>
      <c r="B11865" s="10" t="str">
        <f>参数调整!$J$42</f>
        <v>新增怪物种类7掉落</v>
      </c>
      <c r="C11865" s="8" t="str">
        <f>材料产出!$AH$2</f>
        <v>神品升星石</v>
      </c>
      <c r="D11865" s="224">
        <f>参数调整!$K$42*怪物掉落配置方案!$D4683</f>
        <v>1.607623697779649E-2</v>
      </c>
    </row>
    <row r="11866" spans="1:4" ht="16.5" hidden="1" x14ac:dyDescent="0.3">
      <c r="A11866" s="10" t="str">
        <f>基本属性!$B$14&amp;"|"&amp;基本属性!$C$14</f>
        <v>105|4</v>
      </c>
      <c r="B11866" s="10" t="str">
        <f>参数调整!$J$42</f>
        <v>新增怪物种类7掉落</v>
      </c>
      <c r="C11866" s="8" t="str">
        <f>材料产出!$AH$2</f>
        <v>神品升星石</v>
      </c>
      <c r="D11866" s="224">
        <f>参数调整!$K$42*怪物掉落配置方案!$D4684</f>
        <v>1.9847206145427759E-2</v>
      </c>
    </row>
    <row r="11867" spans="1:4" ht="16.5" hidden="1" x14ac:dyDescent="0.3">
      <c r="A11867" s="10" t="str">
        <f>基本属性!$B$15&amp;"|"&amp;基本属性!$C$15</f>
        <v>110|5</v>
      </c>
      <c r="B11867" s="10" t="str">
        <f>参数调整!$J$42</f>
        <v>新增怪物种类7掉落</v>
      </c>
      <c r="C11867" s="8" t="str">
        <f>材料产出!$AH$2</f>
        <v>神品升星石</v>
      </c>
      <c r="D11867" s="224">
        <f>参数调整!$K$42*怪物掉落配置方案!$D4685</f>
        <v>2.4015119435967593E-2</v>
      </c>
    </row>
    <row r="11868" spans="1:4" ht="16.5" hidden="1" x14ac:dyDescent="0.3">
      <c r="A11868" s="10" t="str">
        <f>基本属性!$B$16&amp;"|"&amp;基本属性!$C$16</f>
        <v>120|6</v>
      </c>
      <c r="B11868" s="10" t="str">
        <f>参数调整!$J$42</f>
        <v>新增怪物种类7掉落</v>
      </c>
      <c r="C11868" s="8" t="str">
        <f>材料产出!$AH$2</f>
        <v>神品升星石</v>
      </c>
      <c r="D11868" s="224">
        <f>参数调整!$K$42*怪物掉落配置方案!$D4686</f>
        <v>3.1011259602230883E-2</v>
      </c>
    </row>
    <row r="11869" spans="1:4" ht="16.5" hidden="1" x14ac:dyDescent="0.3">
      <c r="A11869" s="10" t="str">
        <f>基本属性!$B$17&amp;"|"&amp;基本属性!$C$17</f>
        <v>135|7</v>
      </c>
      <c r="B11869" s="10" t="str">
        <f>参数调整!$J$42</f>
        <v>新增怪物种类7掉落</v>
      </c>
      <c r="C11869" s="8" t="str">
        <f>材料产出!$AH$2</f>
        <v>神品升星石</v>
      </c>
      <c r="D11869" s="224">
        <f>参数调整!$K$42*怪物掉落配置方案!$D4687</f>
        <v>4.4656213827212458E-2</v>
      </c>
    </row>
    <row r="11870" spans="1:4" ht="16.5" hidden="1" x14ac:dyDescent="0.3">
      <c r="A11870" s="10" t="str">
        <f>基本属性!$B$18&amp;"|"&amp;基本属性!$C$18</f>
        <v>155|8</v>
      </c>
      <c r="B11870" s="10" t="str">
        <f>参数调整!$J$42</f>
        <v>新增怪物种类7掉落</v>
      </c>
      <c r="C11870" s="8" t="str">
        <f>材料产出!$AH$2</f>
        <v>神品升星石</v>
      </c>
      <c r="D11870" s="224">
        <f>参数调整!$K$42*怪物掉落配置方案!$D4688</f>
        <v>6.0782068820372528E-2</v>
      </c>
    </row>
    <row r="11871" spans="1:4" ht="16.5" hidden="1" x14ac:dyDescent="0.3">
      <c r="A11871" s="10" t="str">
        <f>基本属性!$B$19&amp;"|"&amp;基本属性!$C$19</f>
        <v>190|9</v>
      </c>
      <c r="B11871" s="10" t="str">
        <f>参数调整!$J$42</f>
        <v>新增怪物种类7掉落</v>
      </c>
      <c r="C11871" s="8" t="str">
        <f>材料产出!$AH$2</f>
        <v>神品升星石</v>
      </c>
      <c r="D11871" s="224">
        <f>参数调整!$K$42*怪物掉落配置方案!$D4689</f>
        <v>6.7927063032726526E-2</v>
      </c>
    </row>
    <row r="11872" spans="1:4" ht="16.5" hidden="1" x14ac:dyDescent="0.3">
      <c r="A11872" s="10" t="str">
        <f>基本属性!$B$20&amp;"|"&amp;基本属性!$C$20</f>
        <v>200|10</v>
      </c>
      <c r="B11872" s="10" t="str">
        <f>参数调整!$J$42</f>
        <v>新增怪物种类7掉落</v>
      </c>
      <c r="C11872" s="8" t="str">
        <f>材料产出!$AH$2</f>
        <v>神品升星石</v>
      </c>
      <c r="D11872" s="224">
        <f>参数调整!$K$42*怪物掉落配置方案!$D4690</f>
        <v>7.9388824581711037E-2</v>
      </c>
    </row>
    <row r="11873" spans="1:4" ht="16.5" hidden="1" x14ac:dyDescent="0.3">
      <c r="A11873" s="10" t="str">
        <f>基本属性!$B$21&amp;"|"&amp;基本属性!$C$21</f>
        <v>200|11</v>
      </c>
      <c r="B11873" s="10" t="str">
        <f>参数调整!$J$42</f>
        <v>新增怪物种类7掉落</v>
      </c>
      <c r="C11873" s="8" t="str">
        <f>材料产出!$AH$2</f>
        <v>神品升星石</v>
      </c>
      <c r="D11873" s="224">
        <f>参数调整!$K$42*怪物掉落配置方案!$D4691</f>
        <v>9.1743710407239804E-2</v>
      </c>
    </row>
    <row r="11874" spans="1:4" ht="16.5" hidden="1" x14ac:dyDescent="0.3">
      <c r="A11874" s="10" t="str">
        <f>基本属性!$B$22&amp;"|"&amp;基本属性!$C$22</f>
        <v>210|12</v>
      </c>
      <c r="B11874" s="10" t="str">
        <f>参数调整!$J$42</f>
        <v>新增怪物种类7掉落</v>
      </c>
      <c r="C11874" s="8" t="str">
        <f>材料产出!$AH$2</f>
        <v>神品升星石</v>
      </c>
      <c r="D11874" s="224">
        <f>参数调整!$K$42*怪物掉落配置方案!$D4692</f>
        <v>0.10499172050931282</v>
      </c>
    </row>
    <row r="11875" spans="1:4" ht="16.5" hidden="1" x14ac:dyDescent="0.3">
      <c r="A11875" s="10" t="str">
        <f>基本属性!$B$23&amp;"|"&amp;基本属性!$C$23</f>
        <v>210|13</v>
      </c>
      <c r="B11875" s="10" t="str">
        <f>参数调整!$J$42</f>
        <v>新增怪物种类7掉落</v>
      </c>
      <c r="C11875" s="8" t="str">
        <f>材料产出!$AH$2</f>
        <v>神品升星石</v>
      </c>
      <c r="D11875" s="224">
        <f>参数调整!$K$42*怪物掉落配置方案!$D4693</f>
        <v>0.11913285488793016</v>
      </c>
    </row>
    <row r="11876" spans="1:4" ht="16.5" hidden="1" x14ac:dyDescent="0.3">
      <c r="A11876" s="10" t="str">
        <f>基本属性!$B$24&amp;"|"&amp;基本属性!$C$24</f>
        <v>220|14</v>
      </c>
      <c r="B11876" s="10" t="str">
        <f>参数调整!$J$42</f>
        <v>新增怪物种类7掉落</v>
      </c>
      <c r="C11876" s="8" t="str">
        <f>材料产出!$AH$2</f>
        <v>神品升星石</v>
      </c>
      <c r="D11876" s="224">
        <f>参数调整!$K$42*怪物掉落配置方案!$D4694</f>
        <v>0.13416711354309169</v>
      </c>
    </row>
    <row r="11877" spans="1:4" ht="16.5" hidden="1" x14ac:dyDescent="0.3">
      <c r="A11877" s="10" t="str">
        <f>基本属性!$B$25&amp;"|"&amp;基本属性!$C$25</f>
        <v>220|15</v>
      </c>
      <c r="B11877" s="10" t="str">
        <f>参数调整!$J$42</f>
        <v>新增怪物种类7掉落</v>
      </c>
      <c r="C11877" s="8" t="str">
        <f>材料产出!$AH$2</f>
        <v>神品升星石</v>
      </c>
      <c r="D11877" s="224">
        <f>参数调整!$K$42*怪物掉落配置方案!$D4695</f>
        <v>0.15009449647479745</v>
      </c>
    </row>
    <row r="11878" spans="1:4" ht="16.5" hidden="1" x14ac:dyDescent="0.3">
      <c r="A11878" s="10" t="str">
        <f>基本属性!$B$26&amp;"|"&amp;基本属性!$C$26</f>
        <v>230|16</v>
      </c>
      <c r="B11878" s="10" t="str">
        <f>参数调整!$J$42</f>
        <v>新增怪物种类7掉落</v>
      </c>
      <c r="C11878" s="8" t="str">
        <f>材料产出!$AH$2</f>
        <v>神品升星石</v>
      </c>
      <c r="D11878" s="224">
        <f>参数调整!$K$42*怪物掉落配置方案!$D4696</f>
        <v>0.16691500368304746</v>
      </c>
    </row>
    <row r="11879" spans="1:4" ht="16.5" hidden="1" x14ac:dyDescent="0.3">
      <c r="A11879" s="10" t="str">
        <f>基本属性!$B$27&amp;"|"&amp;基本属性!$C$27</f>
        <v>230|17</v>
      </c>
      <c r="B11879" s="10" t="str">
        <f>参数调整!$J$42</f>
        <v>新增怪物种类7掉落</v>
      </c>
      <c r="C11879" s="8" t="str">
        <f>材料产出!$AH$2</f>
        <v>神品升星石</v>
      </c>
      <c r="D11879" s="224">
        <f>参数调整!$K$42*怪物掉落配置方案!$D4697</f>
        <v>0.18462863516784173</v>
      </c>
    </row>
    <row r="11880" spans="1:4" ht="16.5" hidden="1" x14ac:dyDescent="0.3">
      <c r="A11880" s="10" t="str">
        <f>基本属性!$B$28&amp;"|"&amp;基本属性!$C$28</f>
        <v>240|18</v>
      </c>
      <c r="B11880" s="10" t="str">
        <f>参数调整!$J$42</f>
        <v>新增怪物种类7掉落</v>
      </c>
      <c r="C11880" s="8" t="str">
        <f>材料产出!$AH$2</f>
        <v>神品升星石</v>
      </c>
      <c r="D11880" s="224">
        <f>参数调整!$K$42*怪物掉落配置方案!$D4698</f>
        <v>0.20323539092918025</v>
      </c>
    </row>
    <row r="11881" spans="1:4" ht="16.5" hidden="1" x14ac:dyDescent="0.3">
      <c r="A11881" s="10" t="str">
        <f>基本属性!$B$29&amp;"|"&amp;基本属性!$C$29</f>
        <v>240|19</v>
      </c>
      <c r="B11881" s="10" t="str">
        <f>参数调整!$J$42</f>
        <v>新增怪物种类7掉落</v>
      </c>
      <c r="C11881" s="8" t="str">
        <f>材料产出!$AH$2</f>
        <v>神品升星石</v>
      </c>
      <c r="D11881" s="224">
        <f>参数调整!$K$42*怪物掉落配置方案!$D4699</f>
        <v>0.22273527096706308</v>
      </c>
    </row>
    <row r="11882" spans="1:4" ht="16.5" hidden="1" x14ac:dyDescent="0.3">
      <c r="A11882" s="10" t="str">
        <f>基本属性!$B$30&amp;"|"&amp;基本属性!$C$30</f>
        <v>250|20</v>
      </c>
      <c r="B11882" s="10" t="str">
        <f>参数调整!$J$42</f>
        <v>新增怪物种类7掉落</v>
      </c>
      <c r="C11882" s="8" t="str">
        <f>材料产出!$AH$2</f>
        <v>神品升星石</v>
      </c>
      <c r="D11882" s="224">
        <f>参数调整!$K$42*怪物掉落配置方案!$D4700</f>
        <v>0.24312827528149</v>
      </c>
    </row>
    <row r="11883" spans="1:4" ht="16.5" hidden="1" x14ac:dyDescent="0.3">
      <c r="A11883" s="10" t="str">
        <f>基本属性!$B$4&amp;"|"&amp;基本属性!$C$4</f>
        <v>35|0</v>
      </c>
      <c r="B11883" s="10" t="str">
        <f>参数调整!$J$42</f>
        <v>新增怪物种类7掉落</v>
      </c>
      <c r="C11883" s="8" t="str">
        <f>材料产出!$AL$2</f>
        <v>上品注灵石</v>
      </c>
      <c r="D11883" s="224">
        <f>参数调整!$K$42*怪物掉落配置方案!$D4701</f>
        <v>1.8145436012982481E-2</v>
      </c>
    </row>
    <row r="11884" spans="1:4" ht="16.5" hidden="1" x14ac:dyDescent="0.3">
      <c r="A11884" s="10" t="str">
        <f>基本属性!$B$5&amp;"|"&amp;基本属性!$C$5</f>
        <v>40|0</v>
      </c>
      <c r="B11884" s="10" t="str">
        <f>参数调整!$J$42</f>
        <v>新增怪物种类7掉落</v>
      </c>
      <c r="C11884" s="8" t="str">
        <f>材料产出!$AL$2</f>
        <v>上品注灵石</v>
      </c>
      <c r="D11884" s="224">
        <f>参数调整!$K$42*怪物掉落配置方案!$D4702</f>
        <v>2.2965317453930954E-2</v>
      </c>
    </row>
    <row r="11885" spans="1:4" ht="16.5" hidden="1" x14ac:dyDescent="0.3">
      <c r="A11885" s="10" t="str">
        <f>基本属性!$B$6&amp;"|"&amp;基本属性!$C$6</f>
        <v>50|0</v>
      </c>
      <c r="B11885" s="10" t="str">
        <f>参数调整!$J$42</f>
        <v>新增怪物种类7掉落</v>
      </c>
      <c r="C11885" s="8" t="str">
        <f>材料产出!$AL$2</f>
        <v>上品注灵石</v>
      </c>
      <c r="D11885" s="224">
        <f>参数调整!$K$42*怪物掉落配置方案!$D4703</f>
        <v>2.835224377028513E-2</v>
      </c>
    </row>
    <row r="11886" spans="1:4" ht="16.5" hidden="1" x14ac:dyDescent="0.3">
      <c r="A11886" s="10" t="str">
        <f>基本属性!$B$7&amp;"|"&amp;基本属性!$C$7</f>
        <v>60|0</v>
      </c>
      <c r="B11886" s="10" t="str">
        <f>参数调整!$J$42</f>
        <v>新增怪物种类7掉落</v>
      </c>
      <c r="C11886" s="8" t="str">
        <f>材料产出!$AL$2</f>
        <v>上品注灵石</v>
      </c>
      <c r="D11886" s="224">
        <f>参数调整!$K$42*怪物掉落配置方案!$D4704</f>
        <v>3.4306214962045015E-2</v>
      </c>
    </row>
    <row r="11887" spans="1:4" ht="16.5" hidden="1" x14ac:dyDescent="0.3">
      <c r="A11887" s="10" t="str">
        <f>基本属性!$B$8&amp;"|"&amp;基本属性!$C$8</f>
        <v>65|0</v>
      </c>
      <c r="B11887" s="10" t="str">
        <f>参数调整!$J$42</f>
        <v>新增怪物种类7掉落</v>
      </c>
      <c r="C11887" s="8" t="str">
        <f>材料产出!$AL$2</f>
        <v>上品注灵石</v>
      </c>
      <c r="D11887" s="224">
        <f>参数调整!$K$42*怪物掉落配置方案!$D4705</f>
        <v>4.0827231029210584E-2</v>
      </c>
    </row>
    <row r="11888" spans="1:4" ht="16.5" hidden="1" x14ac:dyDescent="0.3">
      <c r="A11888" s="10" t="str">
        <f>基本属性!$B$9&amp;"|"&amp;基本属性!$C$9</f>
        <v>70|0</v>
      </c>
      <c r="B11888" s="10" t="str">
        <f>参数调整!$J$42</f>
        <v>新增怪物种类7掉落</v>
      </c>
      <c r="C11888" s="8" t="str">
        <f>材料产出!$AL$2</f>
        <v>上品注灵石</v>
      </c>
      <c r="D11888" s="224">
        <f>参数调整!$K$42*怪物掉落配置方案!$D4706</f>
        <v>4.7915291971781869E-2</v>
      </c>
    </row>
    <row r="11889" spans="1:4" ht="16.5" hidden="1" x14ac:dyDescent="0.3">
      <c r="A11889" s="10" t="str">
        <f>基本属性!$B$10&amp;"|"&amp;基本属性!$C$10</f>
        <v>75|0</v>
      </c>
      <c r="B11889" s="10" t="str">
        <f>参数调整!$J$42</f>
        <v>新增怪物种类7掉落</v>
      </c>
      <c r="C11889" s="8" t="str">
        <f>材料产出!$AL$2</f>
        <v>上品注灵石</v>
      </c>
      <c r="D11889" s="224">
        <f>参数调整!$K$42*怪物掉落配置方案!$D4707</f>
        <v>5.5570397789758842E-2</v>
      </c>
    </row>
    <row r="11890" spans="1:4" ht="16.5" hidden="1" x14ac:dyDescent="0.3">
      <c r="A11890" s="10" t="str">
        <f>基本属性!$B$11&amp;"|"&amp;基本属性!$C$11</f>
        <v>80|1</v>
      </c>
      <c r="B11890" s="10" t="str">
        <f>参数调整!$J$42</f>
        <v>新增怪物种类7掉落</v>
      </c>
      <c r="C11890" s="8" t="str">
        <f>材料产出!$AL$2</f>
        <v>上品注灵石</v>
      </c>
      <c r="D11890" s="224">
        <f>参数调整!$K$42*怪物掉落配置方案!$D4708</f>
        <v>6.3792548483141545E-2</v>
      </c>
    </row>
    <row r="11891" spans="1:4" ht="16.5" hidden="1" x14ac:dyDescent="0.3">
      <c r="A11891" s="10" t="str">
        <f>基本属性!$B$12&amp;"|"&amp;基本属性!$C$12</f>
        <v>90|2</v>
      </c>
      <c r="B11891" s="10" t="str">
        <f>参数调整!$J$42</f>
        <v>新增怪物种类7掉落</v>
      </c>
      <c r="C11891" s="8" t="str">
        <f>材料产出!$AL$2</f>
        <v>上品注灵石</v>
      </c>
      <c r="D11891" s="224">
        <f>参数调整!$K$42*怪物掉落配置方案!$D4709</f>
        <v>7.2581744051929936E-2</v>
      </c>
    </row>
    <row r="11892" spans="1:4" ht="16.5" hidden="1" x14ac:dyDescent="0.3">
      <c r="A11892" s="10" t="str">
        <f>基本属性!$B$13&amp;"|"&amp;基本属性!$C$13</f>
        <v>100|3</v>
      </c>
      <c r="B11892" s="10" t="str">
        <f>参数调整!$J$42</f>
        <v>新增怪物种类7掉落</v>
      </c>
      <c r="C11892" s="8" t="str">
        <f>材料产出!$AL$2</f>
        <v>上品注灵石</v>
      </c>
      <c r="D11892" s="224">
        <f>参数调整!$K$42*怪物掉落配置方案!$D4710</f>
        <v>9.1861269815723817E-2</v>
      </c>
    </row>
    <row r="11893" spans="1:4" ht="16.5" hidden="1" x14ac:dyDescent="0.3">
      <c r="A11893" s="10" t="str">
        <f>基本属性!$B$14&amp;"|"&amp;基本属性!$C$14</f>
        <v>105|4</v>
      </c>
      <c r="B11893" s="10" t="str">
        <f>参数调整!$J$42</f>
        <v>新增怪物种类7掉落</v>
      </c>
      <c r="C11893" s="8" t="str">
        <f>材料产出!$AL$2</f>
        <v>上品注灵石</v>
      </c>
      <c r="D11893" s="224">
        <f>参数调整!$K$42*怪物掉落配置方案!$D4711</f>
        <v>0.11340897508114052</v>
      </c>
    </row>
    <row r="11894" spans="1:4" ht="16.5" hidden="1" x14ac:dyDescent="0.3">
      <c r="A11894" s="10" t="str">
        <f>基本属性!$B$15&amp;"|"&amp;基本属性!$C$15</f>
        <v>110|5</v>
      </c>
      <c r="B11894" s="10" t="str">
        <f>参数调整!$J$42</f>
        <v>新增怪物种类7掉落</v>
      </c>
      <c r="C11894" s="8" t="str">
        <f>材料产出!$AL$2</f>
        <v>上品注灵石</v>
      </c>
      <c r="D11894" s="224">
        <f>参数调整!$K$42*怪物掉落配置方案!$D4712</f>
        <v>0.13722485984818006</v>
      </c>
    </row>
    <row r="11895" spans="1:4" ht="16.5" hidden="1" x14ac:dyDescent="0.3">
      <c r="A11895" s="10" t="str">
        <f>基本属性!$B$16&amp;"|"&amp;基本属性!$C$16</f>
        <v>120|6</v>
      </c>
      <c r="B11895" s="10" t="str">
        <f>参数调整!$J$42</f>
        <v>新增怪物种类7掉落</v>
      </c>
      <c r="C11895" s="8" t="str">
        <f>材料产出!$AL$2</f>
        <v>上品注灵石</v>
      </c>
      <c r="D11895" s="224">
        <f>参数调整!$K$42*怪物掉落配置方案!$D4713</f>
        <v>0.17720152356428207</v>
      </c>
    </row>
    <row r="11896" spans="1:4" ht="16.5" hidden="1" x14ac:dyDescent="0.3">
      <c r="A11896" s="10" t="str">
        <f>基本属性!$B$17&amp;"|"&amp;基本属性!$C$17</f>
        <v>135|7</v>
      </c>
      <c r="B11896" s="10" t="str">
        <f>参数调整!$J$42</f>
        <v>新增怪物种类7掉落</v>
      </c>
      <c r="C11896" s="8" t="str">
        <f>材料产出!$AL$2</f>
        <v>上品注灵石</v>
      </c>
      <c r="D11896" s="224">
        <f>参数调整!$K$42*怪物掉落配置方案!$D4714</f>
        <v>0.25517019393256618</v>
      </c>
    </row>
    <row r="11897" spans="1:4" ht="16.5" hidden="1" x14ac:dyDescent="0.3">
      <c r="A11897" s="10" t="str">
        <f>基本属性!$B$18&amp;"|"&amp;基本属性!$C$18</f>
        <v>155|8</v>
      </c>
      <c r="B11897" s="10" t="str">
        <f>参数调整!$J$42</f>
        <v>新增怪物种类7掉落</v>
      </c>
      <c r="C11897" s="8" t="str">
        <f>材料产出!$AL$2</f>
        <v>上品注灵石</v>
      </c>
      <c r="D11897" s="224">
        <f>参数调整!$K$42*怪物掉落配置方案!$D4715</f>
        <v>0.34731498618599282</v>
      </c>
    </row>
    <row r="11898" spans="1:4" ht="16.5" hidden="1" x14ac:dyDescent="0.3">
      <c r="A11898" s="10" t="str">
        <f>基本属性!$B$19&amp;"|"&amp;基本属性!$C$19</f>
        <v>190|9</v>
      </c>
      <c r="B11898" s="10" t="str">
        <f>参数调整!$J$42</f>
        <v>新增怪物种类7掉落</v>
      </c>
      <c r="C11898" s="8" t="str">
        <f>材料产出!$AL$2</f>
        <v>上品注灵石</v>
      </c>
      <c r="D11898" s="224">
        <f>参数调整!$K$42*怪物掉落配置方案!$D4716</f>
        <v>0.38814221721520348</v>
      </c>
    </row>
    <row r="11899" spans="1:4" ht="16.5" hidden="1" x14ac:dyDescent="0.3">
      <c r="A11899" s="10" t="str">
        <f>基本属性!$B$20&amp;"|"&amp;基本属性!$C$20</f>
        <v>200|10</v>
      </c>
      <c r="B11899" s="10" t="str">
        <f>参数调整!$J$42</f>
        <v>新增怪物种类7掉落</v>
      </c>
      <c r="C11899" s="8" t="str">
        <f>材料产出!$AL$2</f>
        <v>上品注灵石</v>
      </c>
      <c r="D11899" s="224">
        <f>参数调整!$K$42*怪物掉落配置方案!$D4717</f>
        <v>0.45363590032456208</v>
      </c>
    </row>
    <row r="11900" spans="1:4" ht="16.5" hidden="1" x14ac:dyDescent="0.3">
      <c r="A11900" s="10" t="str">
        <f>基本属性!$B$21&amp;"|"&amp;基本属性!$C$21</f>
        <v>200|11</v>
      </c>
      <c r="B11900" s="10" t="str">
        <f>参数调整!$J$42</f>
        <v>新增怪物种类7掉落</v>
      </c>
      <c r="C11900" s="8" t="str">
        <f>材料产出!$AL$2</f>
        <v>上品注灵石</v>
      </c>
      <c r="D11900" s="224">
        <f>参数调整!$K$42*怪物掉落配置方案!$D4718</f>
        <v>0.52423298731257195</v>
      </c>
    </row>
    <row r="11901" spans="1:4" ht="16.5" hidden="1" x14ac:dyDescent="0.3">
      <c r="A11901" s="10" t="str">
        <f>基本属性!$B$22&amp;"|"&amp;基本属性!$C$22</f>
        <v>210|12</v>
      </c>
      <c r="B11901" s="10" t="str">
        <f>参数调整!$J$42</f>
        <v>新增怪物种类7掉落</v>
      </c>
      <c r="C11901" s="8" t="str">
        <f>材料产出!$AL$2</f>
        <v>上品注灵石</v>
      </c>
      <c r="D11901" s="224">
        <f>参数调整!$K$42*怪物掉落配置方案!$D4719</f>
        <v>0.59993347817923315</v>
      </c>
    </row>
    <row r="11902" spans="1:4" ht="16.5" hidden="1" x14ac:dyDescent="0.3">
      <c r="A11902" s="10" t="str">
        <f>基本属性!$B$23&amp;"|"&amp;基本属性!$C$23</f>
        <v>210|13</v>
      </c>
      <c r="B11902" s="10" t="str">
        <f>参数调整!$J$42</f>
        <v>新增怪物种类7掉落</v>
      </c>
      <c r="C11902" s="8" t="str">
        <f>材料产出!$AL$2</f>
        <v>上品注灵石</v>
      </c>
      <c r="D11902" s="224">
        <f>参数调整!$K$42*怪物掉落配置方案!$D4720</f>
        <v>0.68073737292454595</v>
      </c>
    </row>
    <row r="11903" spans="1:4" ht="16.5" hidden="1" x14ac:dyDescent="0.3">
      <c r="A11903" s="10" t="str">
        <f>基本属性!$B$24&amp;"|"&amp;基本属性!$C$24</f>
        <v>220|14</v>
      </c>
      <c r="B11903" s="10" t="str">
        <f>参数调整!$J$42</f>
        <v>新增怪物种类7掉落</v>
      </c>
      <c r="C11903" s="8" t="str">
        <f>材料产出!$AL$2</f>
        <v>上品注灵石</v>
      </c>
      <c r="D11903" s="224">
        <f>参数调整!$K$42*怪物掉落配置方案!$D4721</f>
        <v>0.7666446715485099</v>
      </c>
    </row>
    <row r="11904" spans="1:4" ht="16.5" hidden="1" x14ac:dyDescent="0.3">
      <c r="A11904" s="10" t="str">
        <f>基本属性!$B$25&amp;"|"&amp;基本属性!$C$25</f>
        <v>220|15</v>
      </c>
      <c r="B11904" s="10" t="str">
        <f>参数调整!$J$42</f>
        <v>新增怪物种类7掉落</v>
      </c>
      <c r="C11904" s="8" t="str">
        <f>材料产出!$AL$2</f>
        <v>上品注灵石</v>
      </c>
      <c r="D11904" s="224">
        <f>参数调整!$K$42*怪物掉落配置方案!$D4722</f>
        <v>0.85765537405112513</v>
      </c>
    </row>
    <row r="11905" spans="1:4" ht="16.5" hidden="1" x14ac:dyDescent="0.3">
      <c r="A11905" s="10" t="str">
        <f>基本属性!$B$26&amp;"|"&amp;基本属性!$C$26</f>
        <v>230|16</v>
      </c>
      <c r="B11905" s="10" t="str">
        <f>参数调整!$J$42</f>
        <v>新增怪物种类7掉落</v>
      </c>
      <c r="C11905" s="8" t="str">
        <f>材料产出!$AL$2</f>
        <v>上品注灵石</v>
      </c>
      <c r="D11905" s="224">
        <f>参数调整!$K$42*怪物掉落配置方案!$D4723</f>
        <v>0.95376948043239151</v>
      </c>
    </row>
    <row r="11906" spans="1:4" ht="16.5" hidden="1" x14ac:dyDescent="0.3">
      <c r="A11906" s="10" t="str">
        <f>基本属性!$B$27&amp;"|"&amp;基本属性!$C$27</f>
        <v>230|17</v>
      </c>
      <c r="B11906" s="10" t="str">
        <f>参数调整!$J$42</f>
        <v>新增怪物种类7掉落</v>
      </c>
      <c r="C11906" s="8" t="str">
        <f>材料产出!$AL$2</f>
        <v>上品注灵石</v>
      </c>
      <c r="D11906" s="224">
        <f>参数调整!$K$42*怪物掉落配置方案!$D4724</f>
        <v>1.0549869906923095</v>
      </c>
    </row>
    <row r="11907" spans="1:4" ht="16.5" hidden="1" x14ac:dyDescent="0.3">
      <c r="A11907" s="10" t="str">
        <f>基本属性!$B$28&amp;"|"&amp;基本属性!$C$28</f>
        <v>240|18</v>
      </c>
      <c r="B11907" s="10" t="str">
        <f>参数调整!$J$42</f>
        <v>新增怪物种类7掉落</v>
      </c>
      <c r="C11907" s="8" t="str">
        <f>材料产出!$AL$2</f>
        <v>上品注灵石</v>
      </c>
      <c r="D11907" s="224">
        <f>参数调整!$K$42*怪物掉落配置方案!$D4725</f>
        <v>1.161307904830879</v>
      </c>
    </row>
    <row r="11908" spans="1:4" ht="16.5" hidden="1" x14ac:dyDescent="0.3">
      <c r="A11908" s="10" t="str">
        <f>基本属性!$B$29&amp;"|"&amp;基本属性!$C$29</f>
        <v>240|19</v>
      </c>
      <c r="B11908" s="10" t="str">
        <f>参数调整!$J$42</f>
        <v>新增怪物种类7掉落</v>
      </c>
      <c r="C11908" s="8" t="str">
        <f>材料产出!$AL$2</f>
        <v>上品注灵石</v>
      </c>
      <c r="D11908" s="224">
        <f>参数调整!$K$42*怪物掉落配置方案!$D4726</f>
        <v>1.2727322228480995</v>
      </c>
    </row>
    <row r="11909" spans="1:4" ht="16.5" hidden="1" x14ac:dyDescent="0.3">
      <c r="A11909" s="10" t="str">
        <f>基本属性!$B$30&amp;"|"&amp;基本属性!$C$30</f>
        <v>250|20</v>
      </c>
      <c r="B11909" s="10" t="str">
        <f>参数调整!$J$42</f>
        <v>新增怪物种类7掉落</v>
      </c>
      <c r="C11909" s="8" t="str">
        <f>材料产出!$AL$2</f>
        <v>上品注灵石</v>
      </c>
      <c r="D11909" s="224">
        <f>参数调整!$K$42*怪物掉落配置方案!$D4727</f>
        <v>1.3892599447439713</v>
      </c>
    </row>
    <row r="11910" spans="1:4" ht="16.5" hidden="1" x14ac:dyDescent="0.3">
      <c r="A11910" s="10" t="str">
        <f>基本属性!$B$4&amp;"|"&amp;基本属性!$C$4</f>
        <v>35|0</v>
      </c>
      <c r="B11910" s="10" t="str">
        <f>参数调整!$J$42</f>
        <v>新增怪物种类7掉落</v>
      </c>
      <c r="C11910" s="8" t="str">
        <f>材料产出!$AT$2</f>
        <v>魔龙之心</v>
      </c>
      <c r="D11910" s="224">
        <f>参数调整!$K$42*怪物掉落配置方案!$D4728</f>
        <v>2.2726752183491876E-5</v>
      </c>
    </row>
    <row r="11911" spans="1:4" ht="16.5" hidden="1" x14ac:dyDescent="0.3">
      <c r="A11911" s="10" t="str">
        <f>基本属性!$B$5&amp;"|"&amp;基本属性!$C$5</f>
        <v>40|0</v>
      </c>
      <c r="B11911" s="10" t="str">
        <f>参数调整!$J$42</f>
        <v>新增怪物种类7掉落</v>
      </c>
      <c r="C11911" s="8" t="str">
        <f>材料产出!$AT$2</f>
        <v>魔龙之心</v>
      </c>
      <c r="D11911" s="224">
        <f>参数调整!$K$42*怪物掉落配置方案!$D4729</f>
        <v>2.8763545732231902E-5</v>
      </c>
    </row>
    <row r="11912" spans="1:4" ht="16.5" hidden="1" x14ac:dyDescent="0.3">
      <c r="A11912" s="10" t="str">
        <f>基本属性!$B$6&amp;"|"&amp;基本属性!$C$6</f>
        <v>50|0</v>
      </c>
      <c r="B11912" s="10" t="str">
        <f>参数调整!$J$42</f>
        <v>新增怪物种类7掉落</v>
      </c>
      <c r="C11912" s="8" t="str">
        <f>材料产出!$AT$2</f>
        <v>魔龙之心</v>
      </c>
      <c r="D11912" s="224">
        <f>参数调整!$K$42*怪物掉落配置方案!$D4730</f>
        <v>3.5510550286706052E-5</v>
      </c>
    </row>
    <row r="11913" spans="1:4" ht="16.5" hidden="1" x14ac:dyDescent="0.3">
      <c r="A11913" s="10" t="str">
        <f>基本属性!$B$7&amp;"|"&amp;基本属性!$C$7</f>
        <v>60|0</v>
      </c>
      <c r="B11913" s="10" t="str">
        <f>参数调整!$J$42</f>
        <v>新增怪物种类7掉落</v>
      </c>
      <c r="C11913" s="8" t="str">
        <f>材料产出!$AT$2</f>
        <v>魔龙之心</v>
      </c>
      <c r="D11913" s="224">
        <f>参数调整!$K$42*怪物掉落配置方案!$D4731</f>
        <v>4.2967765846914332E-5</v>
      </c>
    </row>
    <row r="11914" spans="1:4" ht="16.5" hidden="1" x14ac:dyDescent="0.3">
      <c r="A11914" s="10" t="str">
        <f>基本属性!$B$8&amp;"|"&amp;基本属性!$C$8</f>
        <v>65|0</v>
      </c>
      <c r="B11914" s="10" t="str">
        <f>参数调整!$J$42</f>
        <v>新增怪物种类7掉落</v>
      </c>
      <c r="C11914" s="8" t="str">
        <f>材料产出!$AT$2</f>
        <v>魔龙之心</v>
      </c>
      <c r="D11914" s="224">
        <f>参数调整!$K$42*怪物掉落配置方案!$D4732</f>
        <v>5.1135192412856709E-5</v>
      </c>
    </row>
    <row r="11915" spans="1:4" ht="16.5" hidden="1" x14ac:dyDescent="0.3">
      <c r="A11915" s="10" t="str">
        <f>基本属性!$B$9&amp;"|"&amp;基本属性!$C$9</f>
        <v>70|0</v>
      </c>
      <c r="B11915" s="10" t="str">
        <f>参数调整!$J$42</f>
        <v>新增怪物种类7掉落</v>
      </c>
      <c r="C11915" s="8" t="str">
        <f>材料产出!$AT$2</f>
        <v>魔龙之心</v>
      </c>
      <c r="D11915" s="224">
        <f>参数调整!$K$42*怪物掉落配置方案!$D4733</f>
        <v>6.0012829984533224E-5</v>
      </c>
    </row>
    <row r="11916" spans="1:4" ht="16.5" hidden="1" x14ac:dyDescent="0.3">
      <c r="A11916" s="10" t="str">
        <f>基本属性!$B$10&amp;"|"&amp;基本属性!$C$10</f>
        <v>75|0</v>
      </c>
      <c r="B11916" s="10" t="str">
        <f>参数调整!$J$42</f>
        <v>新增怪物种类7掉落</v>
      </c>
      <c r="C11916" s="8" t="str">
        <f>材料产出!$AT$2</f>
        <v>魔龙之心</v>
      </c>
      <c r="D11916" s="224">
        <f>参数调整!$K$42*怪物掉落配置方案!$D4734</f>
        <v>6.9600678561943842E-5</v>
      </c>
    </row>
    <row r="11917" spans="1:4" ht="16.5" hidden="1" x14ac:dyDescent="0.3">
      <c r="A11917" s="10" t="str">
        <f>基本属性!$B$11&amp;"|"&amp;基本属性!$C$11</f>
        <v>80|1</v>
      </c>
      <c r="B11917" s="10" t="str">
        <f>参数调整!$J$42</f>
        <v>新增怪物种类7掉落</v>
      </c>
      <c r="C11917" s="8" t="str">
        <f>材料产出!$AT$2</f>
        <v>魔龙之心</v>
      </c>
      <c r="D11917" s="224">
        <f>参数调整!$K$42*怪物掉落配置方案!$D4735</f>
        <v>7.9898738145088604E-5</v>
      </c>
    </row>
    <row r="11918" spans="1:4" ht="16.5" hidden="1" x14ac:dyDescent="0.3">
      <c r="A11918" s="10" t="str">
        <f>基本属性!$B$12&amp;"|"&amp;基本属性!$C$12</f>
        <v>90|2</v>
      </c>
      <c r="B11918" s="10" t="str">
        <f>参数调整!$J$42</f>
        <v>新增怪物种类7掉落</v>
      </c>
      <c r="C11918" s="8" t="str">
        <f>材料产出!$AT$2</f>
        <v>魔龙之心</v>
      </c>
      <c r="D11918" s="224">
        <f>参数调整!$K$42*怪物掉落配置方案!$D4736</f>
        <v>9.0907008733967504E-5</v>
      </c>
    </row>
    <row r="11919" spans="1:4" ht="16.5" hidden="1" x14ac:dyDescent="0.3">
      <c r="A11919" s="10" t="str">
        <f>基本属性!$B$13&amp;"|"&amp;基本属性!$C$13</f>
        <v>100|3</v>
      </c>
      <c r="B11919" s="10" t="str">
        <f>参数调整!$J$42</f>
        <v>新增怪物种类7掉落</v>
      </c>
      <c r="C11919" s="8" t="str">
        <f>材料产出!$AT$2</f>
        <v>魔龙之心</v>
      </c>
      <c r="D11919" s="224">
        <f>参数调整!$K$42*怪物掉落配置方案!$D4737</f>
        <v>1.1505418292892763E-4</v>
      </c>
    </row>
    <row r="11920" spans="1:4" ht="16.5" hidden="1" x14ac:dyDescent="0.3">
      <c r="A11920" s="10" t="str">
        <f>基本属性!$B$14&amp;"|"&amp;基本属性!$C$14</f>
        <v>105|4</v>
      </c>
      <c r="B11920" s="10" t="str">
        <f>参数调整!$J$42</f>
        <v>新增怪物种类7掉落</v>
      </c>
      <c r="C11920" s="8" t="str">
        <f>材料产出!$AT$2</f>
        <v>魔龙之心</v>
      </c>
      <c r="D11920" s="224">
        <f>参数调整!$K$42*怪物掉落配置方案!$D4738</f>
        <v>1.4204220114682421E-4</v>
      </c>
    </row>
    <row r="11921" spans="1:4" ht="16.5" hidden="1" x14ac:dyDescent="0.3">
      <c r="A11921" s="10" t="str">
        <f>基本属性!$B$15&amp;"|"&amp;基本属性!$C$15</f>
        <v>110|5</v>
      </c>
      <c r="B11921" s="10" t="str">
        <f>参数调整!$J$42</f>
        <v>新增怪物种类7掉落</v>
      </c>
      <c r="C11921" s="8" t="str">
        <f>材料产出!$AT$2</f>
        <v>魔龙之心</v>
      </c>
      <c r="D11921" s="224">
        <f>参数调整!$K$42*怪物掉落配置方案!$D4739</f>
        <v>1.7187106338765733E-4</v>
      </c>
    </row>
    <row r="11922" spans="1:4" ht="16.5" hidden="1" x14ac:dyDescent="0.3">
      <c r="A11922" s="10" t="str">
        <f>基本属性!$B$16&amp;"|"&amp;基本属性!$C$16</f>
        <v>120|6</v>
      </c>
      <c r="B11922" s="10" t="str">
        <f>参数调整!$J$42</f>
        <v>新增怪物种类7掉落</v>
      </c>
      <c r="C11922" s="8" t="str">
        <f>材料产出!$AT$2</f>
        <v>魔龙之心</v>
      </c>
      <c r="D11922" s="224">
        <f>参数调整!$K$42*怪物掉落配置方案!$D4740</f>
        <v>2.2194093929191284E-4</v>
      </c>
    </row>
    <row r="11923" spans="1:4" ht="16.5" hidden="1" x14ac:dyDescent="0.3">
      <c r="A11923" s="10" t="str">
        <f>基本属性!$B$17&amp;"|"&amp;基本属性!$C$17</f>
        <v>135|7</v>
      </c>
      <c r="B11923" s="10" t="str">
        <f>参数调整!$J$42</f>
        <v>新增怪物种类7掉落</v>
      </c>
      <c r="C11923" s="8" t="str">
        <f>材料产出!$AT$2</f>
        <v>魔龙之心</v>
      </c>
      <c r="D11923" s="224">
        <f>参数调整!$K$42*怪物掉落配置方案!$D4741</f>
        <v>3.1959495258035442E-4</v>
      </c>
    </row>
    <row r="11924" spans="1:4" ht="16.5" hidden="1" x14ac:dyDescent="0.3">
      <c r="A11924" s="10" t="str">
        <f>基本属性!$B$18&amp;"|"&amp;基本属性!$C$18</f>
        <v>155|8</v>
      </c>
      <c r="B11924" s="10" t="str">
        <f>参数调整!$J$42</f>
        <v>新增怪物种类7掉落</v>
      </c>
      <c r="C11924" s="8" t="str">
        <f>材料产出!$AT$2</f>
        <v>魔龙之心</v>
      </c>
      <c r="D11924" s="224">
        <f>参数调整!$K$42*怪物掉落配置方案!$D4742</f>
        <v>4.3500424101214921E-4</v>
      </c>
    </row>
    <row r="11925" spans="1:4" ht="16.5" hidden="1" x14ac:dyDescent="0.3">
      <c r="A11925" s="10" t="str">
        <f>基本属性!$B$19&amp;"|"&amp;基本属性!$C$19</f>
        <v>190|9</v>
      </c>
      <c r="B11925" s="10" t="str">
        <f>参数调整!$J$42</f>
        <v>新增怪物种类7掉落</v>
      </c>
      <c r="C11925" s="8" t="str">
        <f>材料产出!$AT$2</f>
        <v>魔龙之心</v>
      </c>
      <c r="D11925" s="224">
        <f>参数调整!$K$42*怪物掉落配置方案!$D4743</f>
        <v>4.8613943342500581E-4</v>
      </c>
    </row>
    <row r="11926" spans="1:4" ht="16.5" hidden="1" x14ac:dyDescent="0.3">
      <c r="A11926" s="10" t="str">
        <f>基本属性!$B$20&amp;"|"&amp;基本属性!$C$20</f>
        <v>200|10</v>
      </c>
      <c r="B11926" s="10" t="str">
        <f>参数调整!$J$42</f>
        <v>新增怪物种类7掉落</v>
      </c>
      <c r="C11926" s="8" t="str">
        <f>材料产出!$AT$2</f>
        <v>魔龙之心</v>
      </c>
      <c r="D11926" s="224">
        <f>参数调整!$K$42*怪物掉落配置方案!$D4744</f>
        <v>5.6816880458729682E-4</v>
      </c>
    </row>
    <row r="11927" spans="1:4" ht="16.5" hidden="1" x14ac:dyDescent="0.3">
      <c r="A11927" s="10" t="str">
        <f>基本属性!$B$21&amp;"|"&amp;基本属性!$C$21</f>
        <v>200|11</v>
      </c>
      <c r="B11927" s="10" t="str">
        <f>参数调整!$J$42</f>
        <v>新增怪物种类7掉落</v>
      </c>
      <c r="C11927" s="8" t="str">
        <f>材料产出!$AT$2</f>
        <v>魔龙之心</v>
      </c>
      <c r="D11927" s="224">
        <f>参数调整!$K$42*怪物掉落配置方案!$D4745</f>
        <v>6.5659007480119473E-4</v>
      </c>
    </row>
    <row r="11928" spans="1:4" ht="16.5" hidden="1" x14ac:dyDescent="0.3">
      <c r="A11928" s="10" t="str">
        <f>基本属性!$B$22&amp;"|"&amp;基本属性!$C$22</f>
        <v>210|12</v>
      </c>
      <c r="B11928" s="10" t="str">
        <f>参数调整!$J$42</f>
        <v>新增怪物种类7掉落</v>
      </c>
      <c r="C11928" s="8" t="str">
        <f>材料产出!$AT$2</f>
        <v>魔龙之心</v>
      </c>
      <c r="D11928" s="224">
        <f>参数调整!$K$42*怪物掉落配置方案!$D4746</f>
        <v>7.5140324406669989E-4</v>
      </c>
    </row>
    <row r="11929" spans="1:4" ht="16.5" hidden="1" x14ac:dyDescent="0.3">
      <c r="A11929" s="10" t="str">
        <f>基本属性!$B$23&amp;"|"&amp;基本属性!$C$23</f>
        <v>210|13</v>
      </c>
      <c r="B11929" s="10" t="str">
        <f>参数调整!$J$42</f>
        <v>新增怪物种类7掉落</v>
      </c>
      <c r="C11929" s="8" t="str">
        <f>材料产出!$AT$2</f>
        <v>魔龙之心</v>
      </c>
      <c r="D11929" s="224">
        <f>参数调整!$K$42*怪物掉落配置方案!$D4747</f>
        <v>8.5260831238381243E-4</v>
      </c>
    </row>
    <row r="11930" spans="1:4" ht="16.5" hidden="1" x14ac:dyDescent="0.3">
      <c r="A11930" s="10" t="str">
        <f>基本属性!$B$24&amp;"|"&amp;基本属性!$C$24</f>
        <v>220|14</v>
      </c>
      <c r="B11930" s="10" t="str">
        <f>参数调整!$J$42</f>
        <v>新增怪物种类7掉落</v>
      </c>
      <c r="C11930" s="8" t="str">
        <f>材料产出!$AT$2</f>
        <v>魔龙之心</v>
      </c>
      <c r="D11930" s="224">
        <f>参数调整!$K$42*怪物掉落配置方案!$D4748</f>
        <v>9.6020527975253158E-4</v>
      </c>
    </row>
    <row r="11931" spans="1:4" ht="16.5" hidden="1" x14ac:dyDescent="0.3">
      <c r="A11931" s="10" t="str">
        <f>基本属性!$B$25&amp;"|"&amp;基本属性!$C$25</f>
        <v>220|15</v>
      </c>
      <c r="B11931" s="10" t="str">
        <f>参数调整!$J$42</f>
        <v>新增怪物种类7掉落</v>
      </c>
      <c r="C11931" s="8" t="str">
        <f>材料产出!$AT$2</f>
        <v>魔龙之心</v>
      </c>
      <c r="D11931" s="224">
        <f>参数调整!$K$42*怪物掉落配置方案!$D4749</f>
        <v>1.0741941461728578E-3</v>
      </c>
    </row>
    <row r="11932" spans="1:4" ht="16.5" hidden="1" x14ac:dyDescent="0.3">
      <c r="A11932" s="10" t="str">
        <f>基本属性!$B$26&amp;"|"&amp;基本属性!$C$26</f>
        <v>230|16</v>
      </c>
      <c r="B11932" s="10" t="str">
        <f>参数调整!$J$42</f>
        <v>新增怪物种类7掉落</v>
      </c>
      <c r="C11932" s="8" t="str">
        <f>材料产出!$AT$2</f>
        <v>魔龙之心</v>
      </c>
      <c r="D11932" s="224">
        <f>参数调整!$K$42*怪物掉落配置方案!$D4750</f>
        <v>1.1945749116447912E-3</v>
      </c>
    </row>
    <row r="11933" spans="1:4" ht="16.5" hidden="1" x14ac:dyDescent="0.3">
      <c r="A11933" s="10" t="str">
        <f>基本属性!$B$27&amp;"|"&amp;基本属性!$C$27</f>
        <v>230|17</v>
      </c>
      <c r="B11933" s="10" t="str">
        <f>参数调整!$J$42</f>
        <v>新增怪物种类7掉落</v>
      </c>
      <c r="C11933" s="8" t="str">
        <f>材料产出!$AT$2</f>
        <v>魔龙之心</v>
      </c>
      <c r="D11933" s="224">
        <f>参数调整!$K$42*怪物掉落配置方案!$D4751</f>
        <v>1.3213475761683319E-3</v>
      </c>
    </row>
    <row r="11934" spans="1:4" ht="16.5" hidden="1" x14ac:dyDescent="0.3">
      <c r="A11934" s="10" t="str">
        <f>基本属性!$B$28&amp;"|"&amp;基本属性!$C$28</f>
        <v>240|18</v>
      </c>
      <c r="B11934" s="10" t="str">
        <f>参数调整!$J$42</f>
        <v>新增怪物种类7掉落</v>
      </c>
      <c r="C11934" s="8" t="str">
        <f>材料产出!$AT$2</f>
        <v>魔龙之心</v>
      </c>
      <c r="D11934" s="224">
        <f>参数调整!$K$42*怪物掉落配置方案!$D4752</f>
        <v>1.4545121397434801E-3</v>
      </c>
    </row>
    <row r="11935" spans="1:4" ht="16.5" hidden="1" x14ac:dyDescent="0.3">
      <c r="A11935" s="10" t="str">
        <f>基本属性!$B$29&amp;"|"&amp;基本属性!$C$29</f>
        <v>240|19</v>
      </c>
      <c r="B11935" s="10" t="str">
        <f>参数调整!$J$42</f>
        <v>新增怪物种类7掉落</v>
      </c>
      <c r="C11935" s="8" t="str">
        <f>材料产出!$AT$2</f>
        <v>魔龙之心</v>
      </c>
      <c r="D11935" s="224">
        <f>参数调整!$K$42*怪物掉落配置方案!$D4753</f>
        <v>1.594068602370235E-3</v>
      </c>
    </row>
    <row r="11936" spans="1:4" ht="16.5" hidden="1" x14ac:dyDescent="0.3">
      <c r="A11936" s="10" t="str">
        <f>基本属性!$B$30&amp;"|"&amp;基本属性!$C$30</f>
        <v>250|20</v>
      </c>
      <c r="B11936" s="10" t="str">
        <f>参数调整!$J$42</f>
        <v>新增怪物种类7掉落</v>
      </c>
      <c r="C11936" s="8" t="str">
        <f>材料产出!$AT$2</f>
        <v>魔龙之心</v>
      </c>
      <c r="D11936" s="224">
        <f>参数调整!$K$42*怪物掉落配置方案!$D4754</f>
        <v>1.7400169640485962E-3</v>
      </c>
    </row>
    <row r="11937" spans="1:4" ht="16.5" hidden="1" x14ac:dyDescent="0.3">
      <c r="A11937" s="10" t="str">
        <f>基本属性!$B$4&amp;"|"&amp;基本属性!$C$4</f>
        <v>35|0</v>
      </c>
      <c r="B11937" s="10" t="str">
        <f>参数调整!$J$42</f>
        <v>新增怪物种类7掉落</v>
      </c>
      <c r="C11937" s="8" t="str">
        <f>材料产出!$X$2</f>
        <v>龍の心</v>
      </c>
      <c r="D11937" s="224">
        <f>参数调整!$K$42*怪物掉落配置方案!$D4755</f>
        <v>4.1352040774087747E-3</v>
      </c>
    </row>
    <row r="11938" spans="1:4" ht="16.5" hidden="1" x14ac:dyDescent="0.3">
      <c r="A11938" s="10" t="str">
        <f>基本属性!$B$5&amp;"|"&amp;基本属性!$C$5</f>
        <v>40|0</v>
      </c>
      <c r="B11938" s="10" t="str">
        <f>参数调整!$J$42</f>
        <v>新增怪物种类7掉落</v>
      </c>
      <c r="C11938" s="8" t="str">
        <f>材料产出!$X$2</f>
        <v>龍の心</v>
      </c>
      <c r="D11938" s="224">
        <f>参数调整!$K$42*怪物掉落配置方案!$D4756</f>
        <v>5.2336176604704807E-3</v>
      </c>
    </row>
    <row r="11939" spans="1:4" ht="16.5" hidden="1" x14ac:dyDescent="0.3">
      <c r="A11939" s="10" t="str">
        <f>基本属性!$B$6&amp;"|"&amp;基本属性!$C$6</f>
        <v>50|0</v>
      </c>
      <c r="B11939" s="10" t="str">
        <f>参数调整!$J$42</f>
        <v>新增怪物种类7掉落</v>
      </c>
      <c r="C11939" s="8" t="str">
        <f>材料产出!$X$2</f>
        <v>龍の心</v>
      </c>
      <c r="D11939" s="224">
        <f>参数调整!$K$42*怪物掉落配置方案!$D4757</f>
        <v>6.4612563709512101E-3</v>
      </c>
    </row>
    <row r="11940" spans="1:4" ht="16.5" hidden="1" x14ac:dyDescent="0.3">
      <c r="A11940" s="10" t="str">
        <f>基本属性!$B$7&amp;"|"&amp;基本属性!$C$7</f>
        <v>60|0</v>
      </c>
      <c r="B11940" s="10" t="str">
        <f>参数调整!$J$42</f>
        <v>新增怪物种类7掉落</v>
      </c>
      <c r="C11940" s="8" t="str">
        <f>材料产出!$X$2</f>
        <v>龍の心</v>
      </c>
      <c r="D11940" s="224">
        <f>参数调整!$K$42*怪物掉落配置方案!$D4758</f>
        <v>7.8181202088509656E-3</v>
      </c>
    </row>
    <row r="11941" spans="1:4" ht="16.5" hidden="1" x14ac:dyDescent="0.3">
      <c r="A11941" s="10" t="str">
        <f>基本属性!$B$8&amp;"|"&amp;基本属性!$C$8</f>
        <v>65|0</v>
      </c>
      <c r="B11941" s="10" t="str">
        <f>参数调整!$J$42</f>
        <v>新增怪物种类7掉落</v>
      </c>
      <c r="C11941" s="8" t="str">
        <f>材料产出!$X$2</f>
        <v>龍の心</v>
      </c>
      <c r="D11941" s="224">
        <f>参数调整!$K$42*怪物掉落配置方案!$D4759</f>
        <v>9.3042091741697436E-3</v>
      </c>
    </row>
    <row r="11942" spans="1:4" ht="16.5" hidden="1" x14ac:dyDescent="0.3">
      <c r="A11942" s="10" t="str">
        <f>基本属性!$B$9&amp;"|"&amp;基本属性!$C$9</f>
        <v>70|0</v>
      </c>
      <c r="B11942" s="10" t="str">
        <f>参数调整!$J$42</f>
        <v>新增怪物种类7掉落</v>
      </c>
      <c r="C11942" s="8" t="str">
        <f>材料产出!$X$2</f>
        <v>龍の心</v>
      </c>
      <c r="D11942" s="224">
        <f>参数调整!$K$42*怪物掉落配置方案!$D4760</f>
        <v>1.0919523266907547E-2</v>
      </c>
    </row>
    <row r="11943" spans="1:4" ht="16.5" hidden="1" x14ac:dyDescent="0.3">
      <c r="A11943" s="10" t="str">
        <f>基本属性!$B$10&amp;"|"&amp;基本属性!$C$10</f>
        <v>75|0</v>
      </c>
      <c r="B11943" s="10" t="str">
        <f>参数调整!$J$42</f>
        <v>新增怪物种类7掉落</v>
      </c>
      <c r="C11943" s="8" t="str">
        <f>材料产出!$X$2</f>
        <v>龍の心</v>
      </c>
      <c r="D11943" s="224">
        <f>参数调整!$K$42*怪物掉落配置方案!$D4761</f>
        <v>1.2664062487064372E-2</v>
      </c>
    </row>
    <row r="11944" spans="1:4" ht="16.5" hidden="1" x14ac:dyDescent="0.3">
      <c r="A11944" s="10" t="str">
        <f>基本属性!$B$11&amp;"|"&amp;基本属性!$C$11</f>
        <v>80|1</v>
      </c>
      <c r="B11944" s="10" t="str">
        <f>参数调整!$J$42</f>
        <v>新增怪物种类7掉落</v>
      </c>
      <c r="C11944" s="8" t="str">
        <f>材料产出!$X$2</f>
        <v>龍の心</v>
      </c>
      <c r="D11944" s="224">
        <f>参数调整!$K$42*怪物掉落配置方案!$D4762</f>
        <v>1.4537826834640225E-2</v>
      </c>
    </row>
    <row r="11945" spans="1:4" ht="16.5" hidden="1" x14ac:dyDescent="0.3">
      <c r="A11945" s="10" t="str">
        <f>基本属性!$B$12&amp;"|"&amp;基本属性!$C$12</f>
        <v>90|2</v>
      </c>
      <c r="B11945" s="10" t="str">
        <f>参数调整!$J$42</f>
        <v>新增怪物种类7掉落</v>
      </c>
      <c r="C11945" s="8" t="str">
        <f>材料产出!$X$2</f>
        <v>龍の心</v>
      </c>
      <c r="D11945" s="224">
        <f>参数调整!$K$42*怪物掉落配置方案!$D4763</f>
        <v>1.6540816309635102E-2</v>
      </c>
    </row>
    <row r="11946" spans="1:4" ht="16.5" hidden="1" x14ac:dyDescent="0.3">
      <c r="A11946" s="10" t="str">
        <f>基本属性!$B$13&amp;"|"&amp;基本属性!$C$13</f>
        <v>100|3</v>
      </c>
      <c r="B11946" s="10" t="str">
        <f>参数调整!$J$42</f>
        <v>新增怪物种类7掉落</v>
      </c>
      <c r="C11946" s="8" t="str">
        <f>材料产出!$X$2</f>
        <v>龍の心</v>
      </c>
      <c r="D11946" s="224">
        <f>参数调整!$K$42*怪物掉落配置方案!$D4764</f>
        <v>2.0934470641881926E-2</v>
      </c>
    </row>
    <row r="11947" spans="1:4" ht="16.5" hidden="1" x14ac:dyDescent="0.3">
      <c r="A11947" s="10" t="str">
        <f>基本属性!$B$14&amp;"|"&amp;基本属性!$C$14</f>
        <v>105|4</v>
      </c>
      <c r="B11947" s="10" t="str">
        <f>参数调整!$J$42</f>
        <v>新增怪物种类7掉落</v>
      </c>
      <c r="C11947" s="8" t="str">
        <f>材料产出!$X$2</f>
        <v>龍の心</v>
      </c>
      <c r="D11947" s="224">
        <f>参数调整!$K$42*怪物掉落配置方案!$D4765</f>
        <v>2.5845025483804841E-2</v>
      </c>
    </row>
    <row r="11948" spans="1:4" ht="16.5" hidden="1" x14ac:dyDescent="0.3">
      <c r="A11948" s="10" t="str">
        <f>基本属性!$B$15&amp;"|"&amp;基本属性!$C$15</f>
        <v>110|5</v>
      </c>
      <c r="B11948" s="10" t="str">
        <f>参数调整!$J$42</f>
        <v>新增怪物种类7掉落</v>
      </c>
      <c r="C11948" s="8" t="str">
        <f>材料产出!$X$2</f>
        <v>龍の心</v>
      </c>
      <c r="D11948" s="224">
        <f>参数调整!$K$42*怪物掉落配置方案!$D4766</f>
        <v>3.1272480835403862E-2</v>
      </c>
    </row>
    <row r="11949" spans="1:4" ht="16.5" hidden="1" x14ac:dyDescent="0.3">
      <c r="A11949" s="10" t="str">
        <f>基本属性!$B$16&amp;"|"&amp;基本属性!$C$16</f>
        <v>120|6</v>
      </c>
      <c r="B11949" s="10" t="str">
        <f>参数调整!$J$42</f>
        <v>新增怪物种类7掉落</v>
      </c>
      <c r="C11949" s="8" t="str">
        <f>材料产出!$X$2</f>
        <v>龍の心</v>
      </c>
      <c r="D11949" s="224">
        <f>参数调整!$K$42*怪物掉落配置方案!$D4767</f>
        <v>4.0382852318445066E-2</v>
      </c>
    </row>
    <row r="11950" spans="1:4" ht="16.5" hidden="1" x14ac:dyDescent="0.3">
      <c r="A11950" s="10" t="str">
        <f>基本属性!$B$17&amp;"|"&amp;基本属性!$C$17</f>
        <v>135|7</v>
      </c>
      <c r="B11950" s="10" t="str">
        <f>参数调整!$J$42</f>
        <v>新增怪物种类7掉落</v>
      </c>
      <c r="C11950" s="8" t="str">
        <f>材料产出!$X$2</f>
        <v>龍の心</v>
      </c>
      <c r="D11950" s="224">
        <f>参数调整!$K$42*怪物掉落配置方案!$D4768</f>
        <v>5.8151307338560901E-2</v>
      </c>
    </row>
    <row r="11951" spans="1:4" ht="16.5" hidden="1" x14ac:dyDescent="0.3">
      <c r="A11951" s="10" t="str">
        <f>基本属性!$B$18&amp;"|"&amp;基本属性!$C$18</f>
        <v>155|8</v>
      </c>
      <c r="B11951" s="10" t="str">
        <f>参数调整!$J$42</f>
        <v>新增怪物种类7掉落</v>
      </c>
      <c r="C11951" s="8" t="str">
        <f>材料产出!$X$2</f>
        <v>龍の心</v>
      </c>
      <c r="D11951" s="224">
        <f>参数调整!$K$42*怪物掉落配置方案!$D4769</f>
        <v>7.9150390544152349E-2</v>
      </c>
    </row>
    <row r="11952" spans="1:4" ht="16.5" hidden="1" x14ac:dyDescent="0.3">
      <c r="A11952" s="10" t="str">
        <f>基本属性!$B$19&amp;"|"&amp;基本属性!$C$19</f>
        <v>190|9</v>
      </c>
      <c r="B11952" s="10" t="str">
        <f>参数调整!$J$42</f>
        <v>新增怪物种类7掉落</v>
      </c>
      <c r="C11952" s="8" t="str">
        <f>材料产出!$X$2</f>
        <v>龍の心</v>
      </c>
      <c r="D11952" s="224">
        <f>参数调整!$K$42*怪物掉落配置方案!$D4770</f>
        <v>8.8454599718322091E-2</v>
      </c>
    </row>
    <row r="11953" spans="1:4" ht="16.5" hidden="1" x14ac:dyDescent="0.3">
      <c r="A11953" s="10" t="str">
        <f>基本属性!$B$20&amp;"|"&amp;基本属性!$C$20</f>
        <v>200|10</v>
      </c>
      <c r="B11953" s="10" t="str">
        <f>参数调整!$J$42</f>
        <v>新增怪物种类7掉落</v>
      </c>
      <c r="C11953" s="8" t="str">
        <f>材料产出!$X$2</f>
        <v>龍の心</v>
      </c>
      <c r="D11953" s="224">
        <f>参数调整!$K$42*怪物掉落配置方案!$D4771</f>
        <v>0.10338010193521936</v>
      </c>
    </row>
    <row r="11954" spans="1:4" ht="16.5" hidden="1" x14ac:dyDescent="0.3">
      <c r="A11954" s="10" t="str">
        <f>基本属性!$B$21&amp;"|"&amp;基本属性!$C$21</f>
        <v>200|11</v>
      </c>
      <c r="B11954" s="10" t="str">
        <f>参数调整!$J$42</f>
        <v>新增怪物种类7掉落</v>
      </c>
      <c r="C11954" s="8" t="str">
        <f>材料产出!$X$2</f>
        <v>龍の心</v>
      </c>
      <c r="D11954" s="224">
        <f>参数调整!$K$42*怪物掉落配置方案!$D4772</f>
        <v>0.11946863029888785</v>
      </c>
    </row>
    <row r="11955" spans="1:4" ht="16.5" hidden="1" x14ac:dyDescent="0.3">
      <c r="A11955" s="10" t="str">
        <f>基本属性!$B$22&amp;"|"&amp;基本属性!$C$22</f>
        <v>210|12</v>
      </c>
      <c r="B11955" s="10" t="str">
        <f>参数调整!$J$42</f>
        <v>新增怪物种类7掉落</v>
      </c>
      <c r="C11955" s="8" t="str">
        <f>材料产出!$X$2</f>
        <v>龍の心</v>
      </c>
      <c r="D11955" s="224">
        <f>参数调整!$K$42*怪物掉落配置方案!$D4773</f>
        <v>0.13672018480932757</v>
      </c>
    </row>
    <row r="11956" spans="1:4" ht="16.5" hidden="1" x14ac:dyDescent="0.3">
      <c r="A11956" s="10" t="str">
        <f>基本属性!$B$23&amp;"|"&amp;基本属性!$C$23</f>
        <v>210|13</v>
      </c>
      <c r="B11956" s="10" t="str">
        <f>参数调整!$J$42</f>
        <v>新增怪物种类7掉落</v>
      </c>
      <c r="C11956" s="8" t="str">
        <f>材料产出!$X$2</f>
        <v>龍の心</v>
      </c>
      <c r="D11956" s="224">
        <f>参数调整!$K$42*怪物掉落配置方案!$D4774</f>
        <v>0.15513476546653859</v>
      </c>
    </row>
    <row r="11957" spans="1:4" ht="16.5" hidden="1" x14ac:dyDescent="0.3">
      <c r="A11957" s="10" t="str">
        <f>基本属性!$B$24&amp;"|"&amp;基本属性!$C$24</f>
        <v>220|14</v>
      </c>
      <c r="B11957" s="10" t="str">
        <f>参数调整!$J$42</f>
        <v>新增怪物种类7掉落</v>
      </c>
      <c r="C11957" s="8" t="str">
        <f>材料产出!$X$2</f>
        <v>龍の心</v>
      </c>
      <c r="D11957" s="224">
        <f>参数调整!$K$42*怪物掉落配置方案!$D4775</f>
        <v>0.17471237227052075</v>
      </c>
    </row>
    <row r="11958" spans="1:4" ht="16.5" hidden="1" x14ac:dyDescent="0.3">
      <c r="A11958" s="10" t="str">
        <f>基本属性!$B$25&amp;"|"&amp;基本属性!$C$25</f>
        <v>220|15</v>
      </c>
      <c r="B11958" s="10" t="str">
        <f>参数调整!$J$42</f>
        <v>新增怪物种类7掉落</v>
      </c>
      <c r="C11958" s="8" t="str">
        <f>材料产出!$X$2</f>
        <v>龍の心</v>
      </c>
      <c r="D11958" s="224">
        <f>参数调整!$K$42*怪物掉落配置方案!$D4776</f>
        <v>0.1954530052212741</v>
      </c>
    </row>
    <row r="11959" spans="1:4" ht="16.5" hidden="1" x14ac:dyDescent="0.3">
      <c r="A11959" s="10" t="str">
        <f>基本属性!$B$26&amp;"|"&amp;基本属性!$C$26</f>
        <v>230|16</v>
      </c>
      <c r="B11959" s="10" t="str">
        <f>参数调整!$J$42</f>
        <v>新增怪物种类7掉落</v>
      </c>
      <c r="C11959" s="8" t="str">
        <f>材料产出!$X$2</f>
        <v>龍の心</v>
      </c>
      <c r="D11959" s="224">
        <f>参数调整!$K$42*怪物掉落配置方案!$D4777</f>
        <v>0.21735666431879871</v>
      </c>
    </row>
    <row r="11960" spans="1:4" ht="16.5" hidden="1" x14ac:dyDescent="0.3">
      <c r="A11960" s="10" t="str">
        <f>基本属性!$B$27&amp;"|"&amp;基本属性!$C$27</f>
        <v>230|17</v>
      </c>
      <c r="B11960" s="10" t="str">
        <f>参数调整!$J$42</f>
        <v>新增怪物种类7掉落</v>
      </c>
      <c r="C11960" s="8" t="str">
        <f>材料产出!$X$2</f>
        <v>龍の心</v>
      </c>
      <c r="D11960" s="224">
        <f>参数调整!$K$42*怪物掉落配置方案!$D4778</f>
        <v>0.24042334956309452</v>
      </c>
    </row>
    <row r="11961" spans="1:4" ht="16.5" hidden="1" x14ac:dyDescent="0.3">
      <c r="A11961" s="10" t="str">
        <f>基本属性!$B$28&amp;"|"&amp;基本属性!$C$28</f>
        <v>240|18</v>
      </c>
      <c r="B11961" s="10" t="str">
        <f>参数调整!$J$42</f>
        <v>新增怪物种类7掉落</v>
      </c>
      <c r="C11961" s="8" t="str">
        <f>材料产出!$X$2</f>
        <v>龍の心</v>
      </c>
      <c r="D11961" s="224">
        <f>参数调整!$K$42*怪物掉落配置方案!$D4779</f>
        <v>0.26465306095416163</v>
      </c>
    </row>
    <row r="11962" spans="1:4" ht="16.5" hidden="1" x14ac:dyDescent="0.3">
      <c r="A11962" s="10" t="str">
        <f>基本属性!$B$29&amp;"|"&amp;基本属性!$C$29</f>
        <v>240|19</v>
      </c>
      <c r="B11962" s="10" t="str">
        <f>参数调整!$J$42</f>
        <v>新增怪物种类7掉落</v>
      </c>
      <c r="C11962" s="8" t="str">
        <f>材料产出!$X$2</f>
        <v>龍の心</v>
      </c>
      <c r="D11962" s="224">
        <f>参数调整!$K$42*怪物掉落配置方案!$D4780</f>
        <v>0.29004579849199985</v>
      </c>
    </row>
    <row r="11963" spans="1:4" ht="16.5" hidden="1" x14ac:dyDescent="0.3">
      <c r="A11963" s="10" t="str">
        <f>基本属性!$B$30&amp;"|"&amp;基本属性!$C$30</f>
        <v>250|20</v>
      </c>
      <c r="B11963" s="10" t="str">
        <f>参数调整!$J$42</f>
        <v>新增怪物种类7掉落</v>
      </c>
      <c r="C11963" s="8" t="str">
        <f>材料产出!$X$2</f>
        <v>龍の心</v>
      </c>
      <c r="D11963" s="224">
        <f>参数调整!$K$42*怪物掉落配置方案!$D4781</f>
        <v>0.31660156217660929</v>
      </c>
    </row>
    <row r="11964" spans="1:4" ht="16.5" hidden="1" x14ac:dyDescent="0.3">
      <c r="A11964" s="10" t="str">
        <f>基本属性!$B$4&amp;"|"&amp;基本属性!$C$4</f>
        <v>35|0</v>
      </c>
      <c r="B11964" s="10" t="str">
        <f>参数调整!$J$42</f>
        <v>新增怪物种类7掉落</v>
      </c>
      <c r="C11964" s="8" t="str">
        <f>材料产出!$V$2</f>
        <v>龍の魄</v>
      </c>
      <c r="D11964" s="224">
        <f>参数调整!$K$42*怪物掉落配置方案!$D4782</f>
        <v>4.1352040774087747E-3</v>
      </c>
    </row>
    <row r="11965" spans="1:4" ht="16.5" hidden="1" x14ac:dyDescent="0.3">
      <c r="A11965" s="10" t="str">
        <f>基本属性!$B$5&amp;"|"&amp;基本属性!$C$5</f>
        <v>40|0</v>
      </c>
      <c r="B11965" s="10" t="str">
        <f>参数调整!$J$42</f>
        <v>新增怪物种类7掉落</v>
      </c>
      <c r="C11965" s="8" t="str">
        <f>材料产出!$V$2</f>
        <v>龍の魄</v>
      </c>
      <c r="D11965" s="224">
        <f>参数调整!$K$42*怪物掉落配置方案!$D4783</f>
        <v>5.2336176604704807E-3</v>
      </c>
    </row>
    <row r="11966" spans="1:4" ht="16.5" hidden="1" x14ac:dyDescent="0.3">
      <c r="A11966" s="10" t="str">
        <f>基本属性!$B$6&amp;"|"&amp;基本属性!$C$6</f>
        <v>50|0</v>
      </c>
      <c r="B11966" s="10" t="str">
        <f>参数调整!$J$42</f>
        <v>新增怪物种类7掉落</v>
      </c>
      <c r="C11966" s="8" t="str">
        <f>材料产出!$V$2</f>
        <v>龍の魄</v>
      </c>
      <c r="D11966" s="224">
        <f>参数调整!$K$42*怪物掉落配置方案!$D4784</f>
        <v>6.4612563709512101E-3</v>
      </c>
    </row>
    <row r="11967" spans="1:4" ht="16.5" hidden="1" x14ac:dyDescent="0.3">
      <c r="A11967" s="10" t="str">
        <f>基本属性!$B$7&amp;"|"&amp;基本属性!$C$7</f>
        <v>60|0</v>
      </c>
      <c r="B11967" s="10" t="str">
        <f>参数调整!$J$42</f>
        <v>新增怪物种类7掉落</v>
      </c>
      <c r="C11967" s="8" t="str">
        <f>材料产出!$V$2</f>
        <v>龍の魄</v>
      </c>
      <c r="D11967" s="224">
        <f>参数调整!$K$42*怪物掉落配置方案!$D4785</f>
        <v>7.8181202088509656E-3</v>
      </c>
    </row>
    <row r="11968" spans="1:4" ht="16.5" hidden="1" x14ac:dyDescent="0.3">
      <c r="A11968" s="10" t="str">
        <f>基本属性!$B$8&amp;"|"&amp;基本属性!$C$8</f>
        <v>65|0</v>
      </c>
      <c r="B11968" s="10" t="str">
        <f>参数调整!$J$42</f>
        <v>新增怪物种类7掉落</v>
      </c>
      <c r="C11968" s="8" t="str">
        <f>材料产出!$V$2</f>
        <v>龍の魄</v>
      </c>
      <c r="D11968" s="224">
        <f>参数调整!$K$42*怪物掉落配置方案!$D4786</f>
        <v>9.3042091741697436E-3</v>
      </c>
    </row>
    <row r="11969" spans="1:4" ht="16.5" hidden="1" x14ac:dyDescent="0.3">
      <c r="A11969" s="10" t="str">
        <f>基本属性!$B$9&amp;"|"&amp;基本属性!$C$9</f>
        <v>70|0</v>
      </c>
      <c r="B11969" s="10" t="str">
        <f>参数调整!$J$42</f>
        <v>新增怪物种类7掉落</v>
      </c>
      <c r="C11969" s="8" t="str">
        <f>材料产出!$V$2</f>
        <v>龍の魄</v>
      </c>
      <c r="D11969" s="224">
        <f>参数调整!$K$42*怪物掉落配置方案!$D4787</f>
        <v>1.0919523266907547E-2</v>
      </c>
    </row>
    <row r="11970" spans="1:4" ht="16.5" hidden="1" x14ac:dyDescent="0.3">
      <c r="A11970" s="10" t="str">
        <f>基本属性!$B$10&amp;"|"&amp;基本属性!$C$10</f>
        <v>75|0</v>
      </c>
      <c r="B11970" s="10" t="str">
        <f>参数调整!$J$42</f>
        <v>新增怪物种类7掉落</v>
      </c>
      <c r="C11970" s="8" t="str">
        <f>材料产出!$V$2</f>
        <v>龍の魄</v>
      </c>
      <c r="D11970" s="224">
        <f>参数调整!$K$42*怪物掉落配置方案!$D4788</f>
        <v>1.2664062487064372E-2</v>
      </c>
    </row>
    <row r="11971" spans="1:4" ht="16.5" hidden="1" x14ac:dyDescent="0.3">
      <c r="A11971" s="10" t="str">
        <f>基本属性!$B$11&amp;"|"&amp;基本属性!$C$11</f>
        <v>80|1</v>
      </c>
      <c r="B11971" s="10" t="str">
        <f>参数调整!$J$42</f>
        <v>新增怪物种类7掉落</v>
      </c>
      <c r="C11971" s="8" t="str">
        <f>材料产出!$V$2</f>
        <v>龍の魄</v>
      </c>
      <c r="D11971" s="224">
        <f>参数调整!$K$42*怪物掉落配置方案!$D4789</f>
        <v>1.4537826834640225E-2</v>
      </c>
    </row>
    <row r="11972" spans="1:4" ht="16.5" hidden="1" x14ac:dyDescent="0.3">
      <c r="A11972" s="10" t="str">
        <f>基本属性!$B$12&amp;"|"&amp;基本属性!$C$12</f>
        <v>90|2</v>
      </c>
      <c r="B11972" s="10" t="str">
        <f>参数调整!$J$42</f>
        <v>新增怪物种类7掉落</v>
      </c>
      <c r="C11972" s="8" t="str">
        <f>材料产出!$V$2</f>
        <v>龍の魄</v>
      </c>
      <c r="D11972" s="224">
        <f>参数调整!$K$42*怪物掉落配置方案!$D4790</f>
        <v>1.6540816309635102E-2</v>
      </c>
    </row>
    <row r="11973" spans="1:4" ht="16.5" hidden="1" x14ac:dyDescent="0.3">
      <c r="A11973" s="10" t="str">
        <f>基本属性!$B$13&amp;"|"&amp;基本属性!$C$13</f>
        <v>100|3</v>
      </c>
      <c r="B11973" s="10" t="str">
        <f>参数调整!$J$42</f>
        <v>新增怪物种类7掉落</v>
      </c>
      <c r="C11973" s="8" t="str">
        <f>材料产出!$V$2</f>
        <v>龍の魄</v>
      </c>
      <c r="D11973" s="224">
        <f>参数调整!$K$42*怪物掉落配置方案!$D4791</f>
        <v>2.0934470641881926E-2</v>
      </c>
    </row>
    <row r="11974" spans="1:4" ht="16.5" hidden="1" x14ac:dyDescent="0.3">
      <c r="A11974" s="10" t="str">
        <f>基本属性!$B$14&amp;"|"&amp;基本属性!$C$14</f>
        <v>105|4</v>
      </c>
      <c r="B11974" s="10" t="str">
        <f>参数调整!$J$42</f>
        <v>新增怪物种类7掉落</v>
      </c>
      <c r="C11974" s="8" t="str">
        <f>材料产出!$V$2</f>
        <v>龍の魄</v>
      </c>
      <c r="D11974" s="224">
        <f>参数调整!$K$42*怪物掉落配置方案!$D4792</f>
        <v>2.5845025483804841E-2</v>
      </c>
    </row>
    <row r="11975" spans="1:4" ht="16.5" hidden="1" x14ac:dyDescent="0.3">
      <c r="A11975" s="10" t="str">
        <f>基本属性!$B$15&amp;"|"&amp;基本属性!$C$15</f>
        <v>110|5</v>
      </c>
      <c r="B11975" s="10" t="str">
        <f>参数调整!$J$42</f>
        <v>新增怪物种类7掉落</v>
      </c>
      <c r="C11975" s="8" t="str">
        <f>材料产出!$V$2</f>
        <v>龍の魄</v>
      </c>
      <c r="D11975" s="224">
        <f>参数调整!$K$42*怪物掉落配置方案!$D4793</f>
        <v>3.1272480835403862E-2</v>
      </c>
    </row>
    <row r="11976" spans="1:4" ht="16.5" hidden="1" x14ac:dyDescent="0.3">
      <c r="A11976" s="10" t="str">
        <f>基本属性!$B$16&amp;"|"&amp;基本属性!$C$16</f>
        <v>120|6</v>
      </c>
      <c r="B11976" s="10" t="str">
        <f>参数调整!$J$42</f>
        <v>新增怪物种类7掉落</v>
      </c>
      <c r="C11976" s="8" t="str">
        <f>材料产出!$V$2</f>
        <v>龍の魄</v>
      </c>
      <c r="D11976" s="224">
        <f>参数调整!$K$42*怪物掉落配置方案!$D4794</f>
        <v>4.0382852318445066E-2</v>
      </c>
    </row>
    <row r="11977" spans="1:4" ht="16.5" hidden="1" x14ac:dyDescent="0.3">
      <c r="A11977" s="10" t="str">
        <f>基本属性!$B$17&amp;"|"&amp;基本属性!$C$17</f>
        <v>135|7</v>
      </c>
      <c r="B11977" s="10" t="str">
        <f>参数调整!$J$42</f>
        <v>新增怪物种类7掉落</v>
      </c>
      <c r="C11977" s="8" t="str">
        <f>材料产出!$V$2</f>
        <v>龍の魄</v>
      </c>
      <c r="D11977" s="224">
        <f>参数调整!$K$42*怪物掉落配置方案!$D4795</f>
        <v>5.8151307338560901E-2</v>
      </c>
    </row>
    <row r="11978" spans="1:4" ht="16.5" hidden="1" x14ac:dyDescent="0.3">
      <c r="A11978" s="10" t="str">
        <f>基本属性!$B$18&amp;"|"&amp;基本属性!$C$18</f>
        <v>155|8</v>
      </c>
      <c r="B11978" s="10" t="str">
        <f>参数调整!$J$42</f>
        <v>新增怪物种类7掉落</v>
      </c>
      <c r="C11978" s="8" t="str">
        <f>材料产出!$V$2</f>
        <v>龍の魄</v>
      </c>
      <c r="D11978" s="224">
        <f>参数调整!$K$42*怪物掉落配置方案!$D4796</f>
        <v>7.9150390544152349E-2</v>
      </c>
    </row>
    <row r="11979" spans="1:4" ht="16.5" hidden="1" x14ac:dyDescent="0.3">
      <c r="A11979" s="10" t="str">
        <f>基本属性!$B$19&amp;"|"&amp;基本属性!$C$19</f>
        <v>190|9</v>
      </c>
      <c r="B11979" s="10" t="str">
        <f>参数调整!$J$42</f>
        <v>新增怪物种类7掉落</v>
      </c>
      <c r="C11979" s="8" t="str">
        <f>材料产出!$V$2</f>
        <v>龍の魄</v>
      </c>
      <c r="D11979" s="224">
        <f>参数调整!$K$42*怪物掉落配置方案!$D4797</f>
        <v>8.8454599718322091E-2</v>
      </c>
    </row>
    <row r="11980" spans="1:4" ht="16.5" hidden="1" x14ac:dyDescent="0.3">
      <c r="A11980" s="10" t="str">
        <f>基本属性!$B$20&amp;"|"&amp;基本属性!$C$20</f>
        <v>200|10</v>
      </c>
      <c r="B11980" s="10" t="str">
        <f>参数调整!$J$42</f>
        <v>新增怪物种类7掉落</v>
      </c>
      <c r="C11980" s="8" t="str">
        <f>材料产出!$V$2</f>
        <v>龍の魄</v>
      </c>
      <c r="D11980" s="224">
        <f>参数调整!$K$42*怪物掉落配置方案!$D4798</f>
        <v>0.10338010193521936</v>
      </c>
    </row>
    <row r="11981" spans="1:4" ht="16.5" hidden="1" x14ac:dyDescent="0.3">
      <c r="A11981" s="10" t="str">
        <f>基本属性!$B$21&amp;"|"&amp;基本属性!$C$21</f>
        <v>200|11</v>
      </c>
      <c r="B11981" s="10" t="str">
        <f>参数调整!$J$42</f>
        <v>新增怪物种类7掉落</v>
      </c>
      <c r="C11981" s="8" t="str">
        <f>材料产出!$V$2</f>
        <v>龍の魄</v>
      </c>
      <c r="D11981" s="224">
        <f>参数调整!$K$42*怪物掉落配置方案!$D4799</f>
        <v>0.11946863029888785</v>
      </c>
    </row>
    <row r="11982" spans="1:4" ht="16.5" hidden="1" x14ac:dyDescent="0.3">
      <c r="A11982" s="10" t="str">
        <f>基本属性!$B$22&amp;"|"&amp;基本属性!$C$22</f>
        <v>210|12</v>
      </c>
      <c r="B11982" s="10" t="str">
        <f>参数调整!$J$42</f>
        <v>新增怪物种类7掉落</v>
      </c>
      <c r="C11982" s="8" t="str">
        <f>材料产出!$V$2</f>
        <v>龍の魄</v>
      </c>
      <c r="D11982" s="224">
        <f>参数调整!$K$42*怪物掉落配置方案!$D4800</f>
        <v>0.13672018480932757</v>
      </c>
    </row>
    <row r="11983" spans="1:4" ht="16.5" hidden="1" x14ac:dyDescent="0.3">
      <c r="A11983" s="10" t="str">
        <f>基本属性!$B$23&amp;"|"&amp;基本属性!$C$23</f>
        <v>210|13</v>
      </c>
      <c r="B11983" s="10" t="str">
        <f>参数调整!$J$42</f>
        <v>新增怪物种类7掉落</v>
      </c>
      <c r="C11983" s="8" t="str">
        <f>材料产出!$V$2</f>
        <v>龍の魄</v>
      </c>
      <c r="D11983" s="224">
        <f>参数调整!$K$42*怪物掉落配置方案!$D4801</f>
        <v>0.15513476546653859</v>
      </c>
    </row>
    <row r="11984" spans="1:4" ht="16.5" hidden="1" x14ac:dyDescent="0.3">
      <c r="A11984" s="10" t="str">
        <f>基本属性!$B$24&amp;"|"&amp;基本属性!$C$24</f>
        <v>220|14</v>
      </c>
      <c r="B11984" s="10" t="str">
        <f>参数调整!$J$42</f>
        <v>新增怪物种类7掉落</v>
      </c>
      <c r="C11984" s="8" t="str">
        <f>材料产出!$V$2</f>
        <v>龍の魄</v>
      </c>
      <c r="D11984" s="224">
        <f>参数调整!$K$42*怪物掉落配置方案!$D4802</f>
        <v>0.17471237227052075</v>
      </c>
    </row>
    <row r="11985" spans="1:4" ht="16.5" hidden="1" x14ac:dyDescent="0.3">
      <c r="A11985" s="10" t="str">
        <f>基本属性!$B$25&amp;"|"&amp;基本属性!$C$25</f>
        <v>220|15</v>
      </c>
      <c r="B11985" s="10" t="str">
        <f>参数调整!$J$42</f>
        <v>新增怪物种类7掉落</v>
      </c>
      <c r="C11985" s="8" t="str">
        <f>材料产出!$V$2</f>
        <v>龍の魄</v>
      </c>
      <c r="D11985" s="224">
        <f>参数调整!$K$42*怪物掉落配置方案!$D4803</f>
        <v>0.1954530052212741</v>
      </c>
    </row>
    <row r="11986" spans="1:4" ht="16.5" hidden="1" x14ac:dyDescent="0.3">
      <c r="A11986" s="10" t="str">
        <f>基本属性!$B$26&amp;"|"&amp;基本属性!$C$26</f>
        <v>230|16</v>
      </c>
      <c r="B11986" s="10" t="str">
        <f>参数调整!$J$42</f>
        <v>新增怪物种类7掉落</v>
      </c>
      <c r="C11986" s="8" t="str">
        <f>材料产出!$V$2</f>
        <v>龍の魄</v>
      </c>
      <c r="D11986" s="224">
        <f>参数调整!$K$42*怪物掉落配置方案!$D4804</f>
        <v>0.21735666431879871</v>
      </c>
    </row>
    <row r="11987" spans="1:4" ht="16.5" hidden="1" x14ac:dyDescent="0.3">
      <c r="A11987" s="10" t="str">
        <f>基本属性!$B$27&amp;"|"&amp;基本属性!$C$27</f>
        <v>230|17</v>
      </c>
      <c r="B11987" s="10" t="str">
        <f>参数调整!$J$42</f>
        <v>新增怪物种类7掉落</v>
      </c>
      <c r="C11987" s="8" t="str">
        <f>材料产出!$V$2</f>
        <v>龍の魄</v>
      </c>
      <c r="D11987" s="224">
        <f>参数调整!$K$42*怪物掉落配置方案!$D4805</f>
        <v>0.24042334956309452</v>
      </c>
    </row>
    <row r="11988" spans="1:4" ht="16.5" hidden="1" x14ac:dyDescent="0.3">
      <c r="A11988" s="10" t="str">
        <f>基本属性!$B$28&amp;"|"&amp;基本属性!$C$28</f>
        <v>240|18</v>
      </c>
      <c r="B11988" s="10" t="str">
        <f>参数调整!$J$42</f>
        <v>新增怪物种类7掉落</v>
      </c>
      <c r="C11988" s="8" t="str">
        <f>材料产出!$V$2</f>
        <v>龍の魄</v>
      </c>
      <c r="D11988" s="224">
        <f>参数调整!$K$42*怪物掉落配置方案!$D4806</f>
        <v>0.26465306095416163</v>
      </c>
    </row>
    <row r="11989" spans="1:4" ht="16.5" hidden="1" x14ac:dyDescent="0.3">
      <c r="A11989" s="10" t="str">
        <f>基本属性!$B$29&amp;"|"&amp;基本属性!$C$29</f>
        <v>240|19</v>
      </c>
      <c r="B11989" s="10" t="str">
        <f>参数调整!$J$42</f>
        <v>新增怪物种类7掉落</v>
      </c>
      <c r="C11989" s="8" t="str">
        <f>材料产出!$V$2</f>
        <v>龍の魄</v>
      </c>
      <c r="D11989" s="224">
        <f>参数调整!$K$42*怪物掉落配置方案!$D4807</f>
        <v>0.29004579849199985</v>
      </c>
    </row>
    <row r="11990" spans="1:4" ht="16.5" hidden="1" x14ac:dyDescent="0.3">
      <c r="A11990" s="10" t="str">
        <f>基本属性!$B$30&amp;"|"&amp;基本属性!$C$30</f>
        <v>250|20</v>
      </c>
      <c r="B11990" s="10" t="str">
        <f>参数调整!$J$42</f>
        <v>新增怪物种类7掉落</v>
      </c>
      <c r="C11990" s="8" t="str">
        <f>材料产出!$V$2</f>
        <v>龍の魄</v>
      </c>
      <c r="D11990" s="224">
        <f>参数调整!$K$42*怪物掉落配置方案!$D4808</f>
        <v>0.31660156217660929</v>
      </c>
    </row>
    <row r="11991" spans="1:4" ht="16.5" hidden="1" x14ac:dyDescent="0.3">
      <c r="A11991" s="10" t="str">
        <f>基本属性!$B$4&amp;"|"&amp;基本属性!$C$4</f>
        <v>35|0</v>
      </c>
      <c r="B11991" s="10" t="str">
        <f>参数调整!$J$42</f>
        <v>新增怪物种类7掉落</v>
      </c>
      <c r="C11991" s="8" t="str">
        <f>材料产出!$AB$2</f>
        <v>龙晶碎片</v>
      </c>
      <c r="D11991" s="224">
        <f>参数调整!$K$42*怪物掉落配置方案!$D4809</f>
        <v>0.10600192531793079</v>
      </c>
    </row>
    <row r="11992" spans="1:4" ht="16.5" hidden="1" x14ac:dyDescent="0.3">
      <c r="A11992" s="10" t="str">
        <f>基本属性!$B$5&amp;"|"&amp;基本属性!$C$5</f>
        <v>40|0</v>
      </c>
      <c r="B11992" s="10" t="str">
        <f>参数调整!$J$42</f>
        <v>新增怪物种类7掉落</v>
      </c>
      <c r="C11992" s="8" t="str">
        <f>材料产出!$AB$2</f>
        <v>龙晶碎片</v>
      </c>
      <c r="D11992" s="224">
        <f>参数调整!$K$42*怪物掉落配置方案!$D4810</f>
        <v>0.13415868673050618</v>
      </c>
    </row>
    <row r="11993" spans="1:4" ht="16.5" hidden="1" x14ac:dyDescent="0.3">
      <c r="A11993" s="10" t="str">
        <f>基本属性!$B$6&amp;"|"&amp;基本属性!$C$6</f>
        <v>50|0</v>
      </c>
      <c r="B11993" s="10" t="str">
        <f>参数调整!$J$42</f>
        <v>新增怪物种类7掉落</v>
      </c>
      <c r="C11993" s="8" t="str">
        <f>材料产出!$AB$2</f>
        <v>龙晶碎片</v>
      </c>
      <c r="D11993" s="224">
        <f>参数调整!$K$42*怪物掉落配置方案!$D4811</f>
        <v>0.16562800830926686</v>
      </c>
    </row>
    <row r="11994" spans="1:4" ht="16.5" hidden="1" x14ac:dyDescent="0.3">
      <c r="A11994" s="10" t="str">
        <f>基本属性!$B$7&amp;"|"&amp;基本属性!$C$7</f>
        <v>60|0</v>
      </c>
      <c r="B11994" s="10" t="str">
        <f>参数调整!$J$42</f>
        <v>新增怪物种类7掉落</v>
      </c>
      <c r="C11994" s="8" t="str">
        <f>材料产出!$AB$2</f>
        <v>龙晶碎片</v>
      </c>
      <c r="D11994" s="224">
        <f>参数调整!$K$42*怪物掉落配置方案!$D4812</f>
        <v>0.20040989005421295</v>
      </c>
    </row>
    <row r="11995" spans="1:4" ht="16.5" hidden="1" x14ac:dyDescent="0.3">
      <c r="A11995" s="10" t="str">
        <f>基本属性!$B$8&amp;"|"&amp;基本属性!$C$8</f>
        <v>65|0</v>
      </c>
      <c r="B11995" s="10" t="str">
        <f>参数调整!$J$42</f>
        <v>新增怪物种类7掉落</v>
      </c>
      <c r="C11995" s="8" t="str">
        <f>材料产出!$AB$2</f>
        <v>龙晶碎片</v>
      </c>
      <c r="D11995" s="224">
        <f>参数调整!$K$42*怪物掉落配置方案!$D4813</f>
        <v>0.23850433196534429</v>
      </c>
    </row>
    <row r="11996" spans="1:4" ht="16.5" hidden="1" x14ac:dyDescent="0.3">
      <c r="A11996" s="10" t="str">
        <f>基本属性!$B$9&amp;"|"&amp;基本属性!$C$9</f>
        <v>70|0</v>
      </c>
      <c r="B11996" s="10" t="str">
        <f>参数调整!$J$42</f>
        <v>新增怪物种类7掉落</v>
      </c>
      <c r="C11996" s="8" t="str">
        <f>材料产出!$AB$2</f>
        <v>龙晶碎片</v>
      </c>
      <c r="D11996" s="224">
        <f>参数调整!$K$42*怪物掉落配置方案!$D4814</f>
        <v>0.27991133404266094</v>
      </c>
    </row>
    <row r="11997" spans="1:4" ht="16.5" hidden="1" x14ac:dyDescent="0.3">
      <c r="A11997" s="10" t="str">
        <f>基本属性!$B$10&amp;"|"&amp;基本属性!$C$10</f>
        <v>75|0</v>
      </c>
      <c r="B11997" s="10" t="str">
        <f>参数调整!$J$42</f>
        <v>新增怪物种类7掉落</v>
      </c>
      <c r="C11997" s="8" t="str">
        <f>材料产出!$AB$2</f>
        <v>龙晶碎片</v>
      </c>
      <c r="D11997" s="224">
        <f>参数调整!$K$42*怪物掉落配置方案!$D4815</f>
        <v>0.32463089628616298</v>
      </c>
    </row>
    <row r="11998" spans="1:4" ht="16.5" hidden="1" x14ac:dyDescent="0.3">
      <c r="A11998" s="10" t="str">
        <f>基本属性!$B$11&amp;"|"&amp;基本属性!$C$11</f>
        <v>80|1</v>
      </c>
      <c r="B11998" s="10" t="str">
        <f>参数调整!$J$42</f>
        <v>新增怪物种类7掉落</v>
      </c>
      <c r="C11998" s="8" t="str">
        <f>材料产出!$AB$2</f>
        <v>龙晶碎片</v>
      </c>
      <c r="D11998" s="224">
        <f>参数调整!$K$42*怪物掉落配置方案!$D4816</f>
        <v>0.37266301869585039</v>
      </c>
    </row>
    <row r="11999" spans="1:4" ht="16.5" hidden="1" x14ac:dyDescent="0.3">
      <c r="A11999" s="10" t="str">
        <f>基本属性!$B$12&amp;"|"&amp;基本属性!$C$12</f>
        <v>90|2</v>
      </c>
      <c r="B11999" s="10" t="str">
        <f>参数调整!$J$42</f>
        <v>新增怪物种类7掉落</v>
      </c>
      <c r="C11999" s="8" t="str">
        <f>材料产出!$AB$2</f>
        <v>龙晶碎片</v>
      </c>
      <c r="D11999" s="224">
        <f>参数调整!$K$42*怪物掉落配置方案!$D4817</f>
        <v>0.42400770127172321</v>
      </c>
    </row>
    <row r="12000" spans="1:4" ht="16.5" hidden="1" x14ac:dyDescent="0.3">
      <c r="A12000" s="10" t="str">
        <f>基本属性!$B$13&amp;"|"&amp;基本属性!$C$13</f>
        <v>100|3</v>
      </c>
      <c r="B12000" s="10" t="str">
        <f>参数调整!$J$42</f>
        <v>新增怪物种类7掉落</v>
      </c>
      <c r="C12000" s="8" t="str">
        <f>材料产出!$AB$2</f>
        <v>龙晶碎片</v>
      </c>
      <c r="D12000" s="224">
        <f>参数调整!$K$42*怪物掉落配置方案!$D4818</f>
        <v>0.53663474692202473</v>
      </c>
    </row>
    <row r="12001" spans="1:4" ht="16.5" hidden="1" x14ac:dyDescent="0.3">
      <c r="A12001" s="10" t="str">
        <f>基本属性!$B$14&amp;"|"&amp;基本属性!$C$14</f>
        <v>105|4</v>
      </c>
      <c r="B12001" s="10" t="str">
        <f>参数调整!$J$42</f>
        <v>新增怪物种类7掉落</v>
      </c>
      <c r="C12001" s="8" t="str">
        <f>材料产出!$AB$2</f>
        <v>龙晶碎片</v>
      </c>
      <c r="D12001" s="224">
        <f>参数调整!$K$42*怪物掉落配置方案!$D4819</f>
        <v>0.66251203323706753</v>
      </c>
    </row>
    <row r="12002" spans="1:4" ht="16.5" hidden="1" x14ac:dyDescent="0.3">
      <c r="A12002" s="10" t="str">
        <f>基本属性!$B$15&amp;"|"&amp;基本属性!$C$15</f>
        <v>110|5</v>
      </c>
      <c r="B12002" s="10" t="str">
        <f>参数调整!$J$42</f>
        <v>新增怪物种类7掉落</v>
      </c>
      <c r="C12002" s="8" t="str">
        <f>材料产出!$AB$2</f>
        <v>龙晶碎片</v>
      </c>
      <c r="D12002" s="224">
        <f>参数调整!$K$42*怪物掉落配置方案!$D4820</f>
        <v>0.80163956021685179</v>
      </c>
    </row>
    <row r="12003" spans="1:4" ht="16.5" hidden="1" x14ac:dyDescent="0.3">
      <c r="A12003" s="10" t="str">
        <f>基本属性!$B$16&amp;"|"&amp;基本属性!$C$16</f>
        <v>120|6</v>
      </c>
      <c r="B12003" s="10" t="str">
        <f>参数调整!$J$42</f>
        <v>新增怪物种类7掉落</v>
      </c>
      <c r="C12003" s="8" t="str">
        <f>材料产出!$AB$2</f>
        <v>龙晶碎片</v>
      </c>
      <c r="D12003" s="224">
        <f>参数调整!$K$42*怪物掉落配置方案!$D4821</f>
        <v>1.0351750519329177</v>
      </c>
    </row>
    <row r="12004" spans="1:4" ht="16.5" hidden="1" x14ac:dyDescent="0.3">
      <c r="A12004" s="10" t="str">
        <f>基本属性!$B$17&amp;"|"&amp;基本属性!$C$17</f>
        <v>135|7</v>
      </c>
      <c r="B12004" s="10" t="str">
        <f>参数调整!$J$42</f>
        <v>新增怪物种类7掉落</v>
      </c>
      <c r="C12004" s="8" t="str">
        <f>材料产出!$AB$2</f>
        <v>龙晶碎片</v>
      </c>
      <c r="D12004" s="224">
        <f>参数调整!$K$42*怪物掉落配置方案!$D4822</f>
        <v>1.4906520747834016</v>
      </c>
    </row>
    <row r="12005" spans="1:4" ht="16.5" hidden="1" x14ac:dyDescent="0.3">
      <c r="A12005" s="10" t="str">
        <f>基本属性!$B$18&amp;"|"&amp;基本属性!$C$18</f>
        <v>155|8</v>
      </c>
      <c r="B12005" s="10" t="str">
        <f>参数调整!$J$42</f>
        <v>新增怪物种类7掉落</v>
      </c>
      <c r="C12005" s="8" t="str">
        <f>材料产出!$AB$2</f>
        <v>龙晶碎片</v>
      </c>
      <c r="D12005" s="224">
        <f>参数调整!$K$42*怪物掉落配置方案!$D4823</f>
        <v>2.0289431017885193</v>
      </c>
    </row>
    <row r="12006" spans="1:4" ht="16.5" hidden="1" x14ac:dyDescent="0.3">
      <c r="A12006" s="10" t="str">
        <f>基本属性!$B$19&amp;"|"&amp;基本属性!$C$19</f>
        <v>190|9</v>
      </c>
      <c r="B12006" s="10" t="str">
        <f>参数调整!$J$42</f>
        <v>新增怪物种类7掉落</v>
      </c>
      <c r="C12006" s="8" t="str">
        <f>材料产出!$AB$2</f>
        <v>龙晶碎片</v>
      </c>
      <c r="D12006" s="224">
        <f>参数调整!$K$42*怪物掉落配置方案!$D4824</f>
        <v>2.2674474337538637</v>
      </c>
    </row>
    <row r="12007" spans="1:4" ht="16.5" hidden="1" x14ac:dyDescent="0.3">
      <c r="A12007" s="10" t="str">
        <f>基本属性!$B$20&amp;"|"&amp;基本属性!$C$20</f>
        <v>200|10</v>
      </c>
      <c r="B12007" s="10" t="str">
        <f>参数调整!$J$42</f>
        <v>新增怪物种类7掉落</v>
      </c>
      <c r="C12007" s="8" t="str">
        <f>材料产出!$AB$2</f>
        <v>龙晶碎片</v>
      </c>
      <c r="D12007" s="224">
        <f>参数调整!$K$42*怪物掉落配置方案!$D4825</f>
        <v>2.6500481329482701</v>
      </c>
    </row>
    <row r="12008" spans="1:4" ht="16.5" hidden="1" x14ac:dyDescent="0.3">
      <c r="A12008" s="10" t="str">
        <f>基本属性!$B$21&amp;"|"&amp;基本属性!$C$21</f>
        <v>200|11</v>
      </c>
      <c r="B12008" s="10" t="str">
        <f>参数调整!$J$42</f>
        <v>新增怪物种类7掉落</v>
      </c>
      <c r="C12008" s="8" t="str">
        <f>材料产出!$AB$2</f>
        <v>龙晶碎片</v>
      </c>
      <c r="D12008" s="224">
        <f>参数调整!$K$42*怪物掉落配置方案!$D4826</f>
        <v>3.0624618736383433</v>
      </c>
    </row>
    <row r="12009" spans="1:4" ht="16.5" hidden="1" x14ac:dyDescent="0.3">
      <c r="A12009" s="10" t="str">
        <f>基本属性!$B$22&amp;"|"&amp;基本属性!$C$22</f>
        <v>210|12</v>
      </c>
      <c r="B12009" s="10" t="str">
        <f>参数调整!$J$42</f>
        <v>新增怪物种类7掉落</v>
      </c>
      <c r="C12009" s="8" t="str">
        <f>材料产出!$AB$2</f>
        <v>龙晶碎片</v>
      </c>
      <c r="D12009" s="224">
        <f>参数调整!$K$42*怪物掉落配置方案!$D4827</f>
        <v>3.5046886558240864</v>
      </c>
    </row>
    <row r="12010" spans="1:4" ht="16.5" hidden="1" x14ac:dyDescent="0.3">
      <c r="A12010" s="10" t="str">
        <f>基本属性!$B$23&amp;"|"&amp;基本属性!$C$23</f>
        <v>210|13</v>
      </c>
      <c r="B12010" s="10" t="str">
        <f>参数调整!$J$42</f>
        <v>新增怪物种类7掉落</v>
      </c>
      <c r="C12010" s="8" t="str">
        <f>材料产出!$AB$2</f>
        <v>龙晶碎片</v>
      </c>
      <c r="D12010" s="224">
        <f>参数调整!$K$42*怪物掉落配置方案!$D4828</f>
        <v>3.9767284795054971</v>
      </c>
    </row>
    <row r="12011" spans="1:4" ht="16.5" hidden="1" x14ac:dyDescent="0.3">
      <c r="A12011" s="10" t="str">
        <f>基本属性!$B$24&amp;"|"&amp;基本属性!$C$24</f>
        <v>220|14</v>
      </c>
      <c r="B12011" s="10" t="str">
        <f>参数调整!$J$42</f>
        <v>新增怪物种类7掉落</v>
      </c>
      <c r="C12011" s="8" t="str">
        <f>材料产出!$AB$2</f>
        <v>龙晶碎片</v>
      </c>
      <c r="D12011" s="224">
        <f>参数调整!$K$42*怪物掉落配置方案!$D4829</f>
        <v>4.478581344682576</v>
      </c>
    </row>
    <row r="12012" spans="1:4" ht="16.5" hidden="1" x14ac:dyDescent="0.3">
      <c r="A12012" s="10" t="str">
        <f>基本属性!$B$25&amp;"|"&amp;基本属性!$C$25</f>
        <v>220|15</v>
      </c>
      <c r="B12012" s="10" t="str">
        <f>参数调整!$J$42</f>
        <v>新增怪物种类7掉落</v>
      </c>
      <c r="C12012" s="8" t="str">
        <f>材料产出!$AB$2</f>
        <v>龙晶碎片</v>
      </c>
      <c r="D12012" s="224">
        <f>参数调整!$K$42*怪物掉落配置方案!$D4830</f>
        <v>5.010247251355322</v>
      </c>
    </row>
    <row r="12013" spans="1:4" ht="16.5" hidden="1" x14ac:dyDescent="0.3">
      <c r="A12013" s="10" t="str">
        <f>基本属性!$B$26&amp;"|"&amp;基本属性!$C$26</f>
        <v>230|16</v>
      </c>
      <c r="B12013" s="10" t="str">
        <f>参数调整!$J$42</f>
        <v>新增怪物种类7掉落</v>
      </c>
      <c r="C12013" s="8" t="str">
        <f>材料产出!$AB$2</f>
        <v>龙晶碎片</v>
      </c>
      <c r="D12013" s="224">
        <f>参数调整!$K$42*怪物掉落配置方案!$D4831</f>
        <v>5.571726199523737</v>
      </c>
    </row>
    <row r="12014" spans="1:4" ht="16.5" hidden="1" x14ac:dyDescent="0.3">
      <c r="A12014" s="10" t="str">
        <f>基本属性!$B$27&amp;"|"&amp;基本属性!$C$27</f>
        <v>230|17</v>
      </c>
      <c r="B12014" s="10" t="str">
        <f>参数调整!$J$42</f>
        <v>新增怪物种类7掉落</v>
      </c>
      <c r="C12014" s="8" t="str">
        <f>材料产出!$AB$2</f>
        <v>龙晶碎片</v>
      </c>
      <c r="D12014" s="224">
        <f>参数调整!$K$42*怪物掉落配置方案!$D4832</f>
        <v>6.1630181891878193</v>
      </c>
    </row>
    <row r="12015" spans="1:4" ht="16.5" hidden="1" x14ac:dyDescent="0.3">
      <c r="A12015" s="10" t="str">
        <f>基本属性!$B$28&amp;"|"&amp;基本属性!$C$28</f>
        <v>240|18</v>
      </c>
      <c r="B12015" s="10" t="str">
        <f>参数调整!$J$42</f>
        <v>新增怪物种类7掉落</v>
      </c>
      <c r="C12015" s="8" t="str">
        <f>材料产出!$AB$2</f>
        <v>龙晶碎片</v>
      </c>
      <c r="D12015" s="224">
        <f>参数调整!$K$42*怪物掉落配置方案!$D4833</f>
        <v>6.7841232203475714</v>
      </c>
    </row>
    <row r="12016" spans="1:4" ht="16.5" hidden="1" x14ac:dyDescent="0.3">
      <c r="A12016" s="10" t="str">
        <f>基本属性!$B$29&amp;"|"&amp;基本属性!$C$29</f>
        <v>240|19</v>
      </c>
      <c r="B12016" s="10" t="str">
        <f>参数调整!$J$42</f>
        <v>新增怪物种类7掉落</v>
      </c>
      <c r="C12016" s="8" t="str">
        <f>材料产出!$AB$2</f>
        <v>龙晶碎片</v>
      </c>
      <c r="D12016" s="224">
        <f>参数调整!$K$42*怪物掉落配置方案!$D4834</f>
        <v>7.4350412930029899</v>
      </c>
    </row>
    <row r="12017" spans="1:4" ht="16.5" hidden="1" x14ac:dyDescent="0.3">
      <c r="A12017" s="10" t="str">
        <f>基本属性!$B$30&amp;"|"&amp;基本属性!$C$30</f>
        <v>250|20</v>
      </c>
      <c r="B12017" s="10" t="str">
        <f>参数调整!$J$42</f>
        <v>新增怪物种类7掉落</v>
      </c>
      <c r="C12017" s="8" t="str">
        <f>材料产出!$AB$2</f>
        <v>龙晶碎片</v>
      </c>
      <c r="D12017" s="224">
        <f>参数调整!$K$42*怪物掉落配置方案!$D4835</f>
        <v>8.1157724071540738</v>
      </c>
    </row>
    <row r="12018" spans="1:4" ht="16.5" hidden="1" x14ac:dyDescent="0.3">
      <c r="A12018" s="10" t="str">
        <f>基本属性!$B$4&amp;"|"&amp;基本属性!$C$4</f>
        <v>35|0</v>
      </c>
      <c r="B12018" s="10" t="str">
        <f>参数调整!$J$42</f>
        <v>新增怪物种类7掉落</v>
      </c>
      <c r="C12018" s="8" t="str">
        <f>材料产出!$AX$2</f>
        <v>烈焰玄铁</v>
      </c>
      <c r="D12018" s="224">
        <f>参数调整!$K$42*怪物掉落配置方案!$D4836</f>
        <v>6.2498568504602652E-4</v>
      </c>
    </row>
    <row r="12019" spans="1:4" ht="16.5" hidden="1" x14ac:dyDescent="0.3">
      <c r="A12019" s="10" t="str">
        <f>基本属性!$B$5&amp;"|"&amp;基本属性!$C$5</f>
        <v>40|0</v>
      </c>
      <c r="B12019" s="10" t="str">
        <f>参数调整!$J$42</f>
        <v>新增怪物种类7掉落</v>
      </c>
      <c r="C12019" s="8" t="str">
        <f>材料产出!$AX$2</f>
        <v>烈焰玄铁</v>
      </c>
      <c r="D12019" s="224">
        <f>参数调整!$K$42*怪物掉落配置方案!$D4837</f>
        <v>7.9099750763637715E-4</v>
      </c>
    </row>
    <row r="12020" spans="1:4" ht="16.5" hidden="1" x14ac:dyDescent="0.3">
      <c r="A12020" s="10" t="str">
        <f>基本属性!$B$6&amp;"|"&amp;基本属性!$C$6</f>
        <v>50|0</v>
      </c>
      <c r="B12020" s="10" t="str">
        <f>参数调整!$J$42</f>
        <v>新增怪物种类7掉落</v>
      </c>
      <c r="C12020" s="8" t="str">
        <f>材料产出!$AX$2</f>
        <v>烈焰玄铁</v>
      </c>
      <c r="D12020" s="224">
        <f>参数调整!$K$42*怪物掉落配置方案!$D4838</f>
        <v>9.7654013288441628E-4</v>
      </c>
    </row>
    <row r="12021" spans="1:4" ht="16.5" hidden="1" x14ac:dyDescent="0.3">
      <c r="A12021" s="10" t="str">
        <f>基本属性!$B$7&amp;"|"&amp;基本属性!$C$7</f>
        <v>60|0</v>
      </c>
      <c r="B12021" s="10" t="str">
        <f>参数调整!$J$42</f>
        <v>新增怪物种类7掉落</v>
      </c>
      <c r="C12021" s="8" t="str">
        <f>材料产出!$AX$2</f>
        <v>烈焰玄铁</v>
      </c>
      <c r="D12021" s="224">
        <f>参数调整!$K$42*怪物掉落配置方案!$D4839</f>
        <v>1.1816135607901439E-3</v>
      </c>
    </row>
    <row r="12022" spans="1:4" ht="16.5" hidden="1" x14ac:dyDescent="0.3">
      <c r="A12022" s="10" t="str">
        <f>基本属性!$B$8&amp;"|"&amp;基本属性!$C$8</f>
        <v>65|0</v>
      </c>
      <c r="B12022" s="10" t="str">
        <f>参数调整!$J$42</f>
        <v>新增怪物种类7掉落</v>
      </c>
      <c r="C12022" s="8" t="str">
        <f>材料产出!$AX$2</f>
        <v>烈焰玄铁</v>
      </c>
      <c r="D12022" s="224">
        <f>参数调整!$K$42*怪物掉落配置方案!$D4840</f>
        <v>1.4062177913535595E-3</v>
      </c>
    </row>
    <row r="12023" spans="1:4" ht="16.5" hidden="1" x14ac:dyDescent="0.3">
      <c r="A12023" s="10" t="str">
        <f>基本属性!$B$9&amp;"|"&amp;基本属性!$C$9</f>
        <v>70|0</v>
      </c>
      <c r="B12023" s="10" t="str">
        <f>参数调整!$J$42</f>
        <v>新增怪物种类7掉落</v>
      </c>
      <c r="C12023" s="8" t="str">
        <f>材料产出!$AX$2</f>
        <v>烈焰玄铁</v>
      </c>
      <c r="D12023" s="224">
        <f>参数调整!$K$42*怪物掉落配置方案!$D4841</f>
        <v>1.6503528245746639E-3</v>
      </c>
    </row>
    <row r="12024" spans="1:4" ht="16.5" hidden="1" x14ac:dyDescent="0.3">
      <c r="A12024" s="10" t="str">
        <f>基本属性!$B$10&amp;"|"&amp;基本属性!$C$10</f>
        <v>75|0</v>
      </c>
      <c r="B12024" s="10" t="str">
        <f>参数调整!$J$42</f>
        <v>新增怪物种类7掉落</v>
      </c>
      <c r="C12024" s="8" t="str">
        <f>材料产出!$AX$2</f>
        <v>烈焰玄铁</v>
      </c>
      <c r="D12024" s="224">
        <f>参数调整!$K$42*怪物掉落配置方案!$D4842</f>
        <v>1.9140186604534558E-3</v>
      </c>
    </row>
    <row r="12025" spans="1:4" ht="16.5" hidden="1" x14ac:dyDescent="0.3">
      <c r="A12025" s="10" t="str">
        <f>基本属性!$B$11&amp;"|"&amp;基本属性!$C$11</f>
        <v>80|1</v>
      </c>
      <c r="B12025" s="10" t="str">
        <f>参数调整!$J$42</f>
        <v>新增怪物种类7掉落</v>
      </c>
      <c r="C12025" s="8" t="str">
        <f>材料产出!$AX$2</f>
        <v>烈焰玄铁</v>
      </c>
      <c r="D12025" s="224">
        <f>参数调整!$K$42*怪物掉落配置方案!$D4843</f>
        <v>2.1972152989899367E-3</v>
      </c>
    </row>
    <row r="12026" spans="1:4" ht="16.5" hidden="1" x14ac:dyDescent="0.3">
      <c r="A12026" s="10" t="str">
        <f>基本属性!$B$12&amp;"|"&amp;基本属性!$C$12</f>
        <v>90|2</v>
      </c>
      <c r="B12026" s="10" t="str">
        <f>参数调整!$J$42</f>
        <v>新增怪物种类7掉落</v>
      </c>
      <c r="C12026" s="8" t="str">
        <f>材料产出!$AX$2</f>
        <v>烈焰玄铁</v>
      </c>
      <c r="D12026" s="224">
        <f>参数调整!$K$42*怪物掉落配置方案!$D4844</f>
        <v>2.4999427401841065E-3</v>
      </c>
    </row>
    <row r="12027" spans="1:4" ht="16.5" hidden="1" x14ac:dyDescent="0.3">
      <c r="A12027" s="10" t="str">
        <f>基本属性!$B$13&amp;"|"&amp;基本属性!$C$13</f>
        <v>100|3</v>
      </c>
      <c r="B12027" s="10" t="str">
        <f>参数调整!$J$42</f>
        <v>新增怪物种类7掉落</v>
      </c>
      <c r="C12027" s="8" t="str">
        <f>材料产出!$AX$2</f>
        <v>烈焰玄铁</v>
      </c>
      <c r="D12027" s="224">
        <f>参数调整!$K$42*怪物掉落配置方案!$D4845</f>
        <v>3.1639900305455095E-3</v>
      </c>
    </row>
    <row r="12028" spans="1:4" ht="16.5" hidden="1" x14ac:dyDescent="0.3">
      <c r="A12028" s="10" t="str">
        <f>基本属性!$B$14&amp;"|"&amp;基本属性!$C$14</f>
        <v>105|4</v>
      </c>
      <c r="B12028" s="10" t="str">
        <f>参数调整!$J$42</f>
        <v>新增怪物种类7掉落</v>
      </c>
      <c r="C12028" s="8" t="str">
        <f>材料产出!$AX$2</f>
        <v>烈焰玄铁</v>
      </c>
      <c r="D12028" s="224">
        <f>参数调整!$K$42*怪物掉落配置方案!$D4846</f>
        <v>3.906160531537666E-3</v>
      </c>
    </row>
    <row r="12029" spans="1:4" ht="16.5" hidden="1" x14ac:dyDescent="0.3">
      <c r="A12029" s="10" t="str">
        <f>基本属性!$B$15&amp;"|"&amp;基本属性!$C$15</f>
        <v>110|5</v>
      </c>
      <c r="B12029" s="10" t="str">
        <f>参数调整!$J$42</f>
        <v>新增怪物种类7掉落</v>
      </c>
      <c r="C12029" s="8" t="str">
        <f>材料产出!$AX$2</f>
        <v>烈焰玄铁</v>
      </c>
      <c r="D12029" s="224">
        <f>参数调整!$K$42*怪物掉落配置方案!$D4847</f>
        <v>4.7264542431605765E-3</v>
      </c>
    </row>
    <row r="12030" spans="1:4" ht="16.5" hidden="1" x14ac:dyDescent="0.3">
      <c r="A12030" s="10" t="str">
        <f>基本属性!$B$16&amp;"|"&amp;基本属性!$C$16</f>
        <v>120|6</v>
      </c>
      <c r="B12030" s="10" t="str">
        <f>参数调整!$J$42</f>
        <v>新增怪物种类7掉落</v>
      </c>
      <c r="C12030" s="8" t="str">
        <f>材料产出!$AX$2</f>
        <v>烈焰玄铁</v>
      </c>
      <c r="D12030" s="224">
        <f>参数调整!$K$42*怪物掉落配置方案!$D4848</f>
        <v>6.1033758305276018E-3</v>
      </c>
    </row>
    <row r="12031" spans="1:4" ht="16.5" hidden="1" x14ac:dyDescent="0.3">
      <c r="A12031" s="10" t="str">
        <f>基本属性!$B$17&amp;"|"&amp;基本属性!$C$17</f>
        <v>135|7</v>
      </c>
      <c r="B12031" s="10" t="str">
        <f>参数调整!$J$42</f>
        <v>新增怪物种类7掉落</v>
      </c>
      <c r="C12031" s="8" t="str">
        <f>材料产出!$AX$2</f>
        <v>烈焰玄铁</v>
      </c>
      <c r="D12031" s="224">
        <f>参数调整!$K$42*怪物掉落配置方案!$D4849</f>
        <v>8.7888611959597469E-3</v>
      </c>
    </row>
    <row r="12032" spans="1:4" ht="16.5" hidden="1" x14ac:dyDescent="0.3">
      <c r="A12032" s="10" t="str">
        <f>基本属性!$B$18&amp;"|"&amp;基本属性!$C$18</f>
        <v>155|8</v>
      </c>
      <c r="B12032" s="10" t="str">
        <f>参数调整!$J$42</f>
        <v>新增怪物种类7掉落</v>
      </c>
      <c r="C12032" s="8" t="str">
        <f>材料产出!$AX$2</f>
        <v>烈焰玄铁</v>
      </c>
      <c r="D12032" s="224">
        <f>参数调整!$K$42*怪物掉落配置方案!$D4850</f>
        <v>1.1962616627834101E-2</v>
      </c>
    </row>
    <row r="12033" spans="1:4" ht="16.5" hidden="1" x14ac:dyDescent="0.3">
      <c r="A12033" s="10" t="str">
        <f>基本属性!$B$19&amp;"|"&amp;基本属性!$C$19</f>
        <v>190|9</v>
      </c>
      <c r="B12033" s="10" t="str">
        <f>参数调整!$J$42</f>
        <v>新增怪物种类7掉落</v>
      </c>
      <c r="C12033" s="8" t="str">
        <f>材料产出!$AX$2</f>
        <v>烈焰玄铁</v>
      </c>
      <c r="D12033" s="224">
        <f>参数调整!$K$42*怪物掉落配置方案!$D4851</f>
        <v>1.3368834419187662E-2</v>
      </c>
    </row>
    <row r="12034" spans="1:4" ht="16.5" hidden="1" x14ac:dyDescent="0.3">
      <c r="A12034" s="10" t="str">
        <f>基本属性!$B$20&amp;"|"&amp;基本属性!$C$20</f>
        <v>200|10</v>
      </c>
      <c r="B12034" s="10" t="str">
        <f>参数调整!$J$42</f>
        <v>新增怪物种类7掉落</v>
      </c>
      <c r="C12034" s="8" t="str">
        <f>材料产出!$AX$2</f>
        <v>烈焰玄铁</v>
      </c>
      <c r="D12034" s="224">
        <f>参数调整!$K$42*怪物掉落配置方案!$D4852</f>
        <v>1.5624642126150664E-2</v>
      </c>
    </row>
    <row r="12035" spans="1:4" ht="16.5" hidden="1" x14ac:dyDescent="0.3">
      <c r="A12035" s="10" t="str">
        <f>基本属性!$B$21&amp;"|"&amp;基本属性!$C$21</f>
        <v>200|11</v>
      </c>
      <c r="B12035" s="10" t="str">
        <f>参数调整!$J$42</f>
        <v>新增怪物种类7掉落</v>
      </c>
      <c r="C12035" s="8" t="str">
        <f>材料产出!$AX$2</f>
        <v>烈焰玄铁</v>
      </c>
      <c r="D12035" s="224">
        <f>参数调整!$K$42*怪物掉落配置方案!$D4853</f>
        <v>1.8056227057032855E-2</v>
      </c>
    </row>
    <row r="12036" spans="1:4" ht="16.5" hidden="1" x14ac:dyDescent="0.3">
      <c r="A12036" s="10" t="str">
        <f>基本属性!$B$22&amp;"|"&amp;基本属性!$C$22</f>
        <v>210|12</v>
      </c>
      <c r="B12036" s="10" t="str">
        <f>参数调整!$J$42</f>
        <v>新增怪物种类7掉落</v>
      </c>
      <c r="C12036" s="8" t="str">
        <f>材料产出!$AX$2</f>
        <v>烈焰玄铁</v>
      </c>
      <c r="D12036" s="224">
        <f>参数调整!$K$42*怪物掉落配置方案!$D4854</f>
        <v>2.0663589211834244E-2</v>
      </c>
    </row>
    <row r="12037" spans="1:4" ht="16.5" hidden="1" x14ac:dyDescent="0.3">
      <c r="A12037" s="10" t="str">
        <f>基本属性!$B$23&amp;"|"&amp;基本属性!$C$23</f>
        <v>210|13</v>
      </c>
      <c r="B12037" s="10" t="str">
        <f>参数调整!$J$42</f>
        <v>新增怪物种类7掉落</v>
      </c>
      <c r="C12037" s="8" t="str">
        <f>材料产出!$AX$2</f>
        <v>烈焰玄铁</v>
      </c>
      <c r="D12037" s="224">
        <f>参数调整!$K$42*怪物掉落配置方案!$D4855</f>
        <v>2.3446728590554841E-2</v>
      </c>
    </row>
    <row r="12038" spans="1:4" ht="16.5" hidden="1" x14ac:dyDescent="0.3">
      <c r="A12038" s="10" t="str">
        <f>基本属性!$B$24&amp;"|"&amp;基本属性!$C$24</f>
        <v>220|14</v>
      </c>
      <c r="B12038" s="10" t="str">
        <f>参数调整!$J$42</f>
        <v>新增怪物种类7掉落</v>
      </c>
      <c r="C12038" s="8" t="str">
        <f>材料产出!$AX$2</f>
        <v>烈焰玄铁</v>
      </c>
      <c r="D12038" s="224">
        <f>参数调整!$K$42*怪物掉落配置方案!$D4856</f>
        <v>2.6405645193194618E-2</v>
      </c>
    </row>
    <row r="12039" spans="1:4" ht="16.5" hidden="1" x14ac:dyDescent="0.3">
      <c r="A12039" s="10" t="str">
        <f>基本属性!$B$25&amp;"|"&amp;基本属性!$C$25</f>
        <v>220|15</v>
      </c>
      <c r="B12039" s="10" t="str">
        <f>参数调整!$J$42</f>
        <v>新增怪物种类7掉落</v>
      </c>
      <c r="C12039" s="8" t="str">
        <f>材料产出!$AX$2</f>
        <v>烈焰玄铁</v>
      </c>
      <c r="D12039" s="224">
        <f>参数调整!$K$42*怪物掉落配置方案!$D4857</f>
        <v>2.9540339019753593E-2</v>
      </c>
    </row>
    <row r="12040" spans="1:4" ht="16.5" hidden="1" x14ac:dyDescent="0.3">
      <c r="A12040" s="10" t="str">
        <f>基本属性!$B$26&amp;"|"&amp;基本属性!$C$26</f>
        <v>230|16</v>
      </c>
      <c r="B12040" s="10" t="str">
        <f>参数调整!$J$42</f>
        <v>新增怪物种类7掉落</v>
      </c>
      <c r="C12040" s="8" t="str">
        <f>材料产出!$AX$2</f>
        <v>烈焰玄铁</v>
      </c>
      <c r="D12040" s="224">
        <f>参数调整!$K$42*怪物掉落配置方案!$D4858</f>
        <v>3.2850810070231759E-2</v>
      </c>
    </row>
    <row r="12041" spans="1:4" ht="16.5" hidden="1" x14ac:dyDescent="0.3">
      <c r="A12041" s="10" t="str">
        <f>基本属性!$B$27&amp;"|"&amp;基本属性!$C$27</f>
        <v>230|17</v>
      </c>
      <c r="B12041" s="10" t="str">
        <f>参数调整!$J$42</f>
        <v>新增怪物种类7掉落</v>
      </c>
      <c r="C12041" s="8" t="str">
        <f>材料产出!$AX$2</f>
        <v>烈焰玄铁</v>
      </c>
      <c r="D12041" s="224">
        <f>参数调整!$K$42*怪物掉落配置方案!$D4859</f>
        <v>3.6337058344629122E-2</v>
      </c>
    </row>
    <row r="12042" spans="1:4" ht="16.5" hidden="1" x14ac:dyDescent="0.3">
      <c r="A12042" s="10" t="str">
        <f>基本属性!$B$28&amp;"|"&amp;基本属性!$C$28</f>
        <v>240|18</v>
      </c>
      <c r="B12042" s="10" t="str">
        <f>参数调整!$J$42</f>
        <v>新增怪物种类7掉落</v>
      </c>
      <c r="C12042" s="8" t="str">
        <f>材料产出!$AX$2</f>
        <v>烈焰玄铁</v>
      </c>
      <c r="D12042" s="224">
        <f>参数调整!$K$42*怪物掉落配置方案!$D4860</f>
        <v>3.9999083842945704E-2</v>
      </c>
    </row>
    <row r="12043" spans="1:4" ht="16.5" hidden="1" x14ac:dyDescent="0.3">
      <c r="A12043" s="10" t="str">
        <f>基本属性!$B$29&amp;"|"&amp;基本属性!$C$29</f>
        <v>240|19</v>
      </c>
      <c r="B12043" s="10" t="str">
        <f>参数调整!$J$42</f>
        <v>新增怪物种类7掉落</v>
      </c>
      <c r="C12043" s="8" t="str">
        <f>材料产出!$AX$2</f>
        <v>烈焰玄铁</v>
      </c>
      <c r="D12043" s="224">
        <f>参数调整!$K$42*怪物掉落配置方案!$D4861</f>
        <v>4.3836886565181449E-2</v>
      </c>
    </row>
    <row r="12044" spans="1:4" ht="16.5" hidden="1" x14ac:dyDescent="0.3">
      <c r="A12044" s="10" t="str">
        <f>基本属性!$B$30&amp;"|"&amp;基本属性!$C$30</f>
        <v>250|20</v>
      </c>
      <c r="B12044" s="10" t="str">
        <f>参数调整!$J$42</f>
        <v>新增怪物种类7掉落</v>
      </c>
      <c r="C12044" s="8" t="str">
        <f>材料产出!$AX$2</f>
        <v>烈焰玄铁</v>
      </c>
      <c r="D12044" s="224">
        <f>参数调整!$K$42*怪物掉落配置方案!$D4862</f>
        <v>4.7850466511336398E-2</v>
      </c>
    </row>
    <row r="12045" spans="1:4" ht="16.5" hidden="1" x14ac:dyDescent="0.3">
      <c r="A12045" s="10" t="str">
        <f>基本属性!$B$4&amp;"|"&amp;基本属性!$C$4</f>
        <v>35|0</v>
      </c>
      <c r="B12045" s="10" t="str">
        <f>参数调整!$J$42</f>
        <v>新增怪物种类7掉落</v>
      </c>
      <c r="C12045" s="8" t="str">
        <f>材料产出!$H$2</f>
        <v>经验</v>
      </c>
      <c r="D12045" s="224">
        <f>参数调整!$K$42*怪物掉落配置方案!$D4863</f>
        <v>5831</v>
      </c>
    </row>
    <row r="12046" spans="1:4" ht="16.5" hidden="1" x14ac:dyDescent="0.3">
      <c r="A12046" s="10" t="str">
        <f>基本属性!$B$5&amp;"|"&amp;基本属性!$C$5</f>
        <v>40|0</v>
      </c>
      <c r="B12046" s="10" t="str">
        <f>参数调整!$J$42</f>
        <v>新增怪物种类7掉落</v>
      </c>
      <c r="C12046" s="8" t="str">
        <f>材料产出!$H$2</f>
        <v>经验</v>
      </c>
      <c r="D12046" s="224">
        <f>参数调整!$K$42*怪物掉落配置方案!$D4864</f>
        <v>11179</v>
      </c>
    </row>
    <row r="12047" spans="1:4" ht="16.5" hidden="1" x14ac:dyDescent="0.3">
      <c r="A12047" s="10" t="str">
        <f>基本属性!$B$6&amp;"|"&amp;基本属性!$C$6</f>
        <v>50|0</v>
      </c>
      <c r="B12047" s="10" t="str">
        <f>参数调整!$J$42</f>
        <v>新增怪物种类7掉落</v>
      </c>
      <c r="C12047" s="8" t="str">
        <f>材料产出!$H$2</f>
        <v>经验</v>
      </c>
      <c r="D12047" s="224">
        <f>参数调整!$K$42*怪物掉落配置方案!$D4865</f>
        <v>30331</v>
      </c>
    </row>
    <row r="12048" spans="1:4" ht="16.5" hidden="1" x14ac:dyDescent="0.3">
      <c r="A12048" s="10" t="str">
        <f>基本属性!$B$7&amp;"|"&amp;基本属性!$C$7</f>
        <v>60|0</v>
      </c>
      <c r="B12048" s="10" t="str">
        <f>参数调整!$J$42</f>
        <v>新增怪物种类7掉落</v>
      </c>
      <c r="C12048" s="8" t="str">
        <f>材料产出!$H$2</f>
        <v>经验</v>
      </c>
      <c r="D12048" s="224">
        <f>参数调整!$K$42*怪物掉落配置方案!$D4866</f>
        <v>37919</v>
      </c>
    </row>
    <row r="12049" spans="1:4" ht="16.5" hidden="1" x14ac:dyDescent="0.3">
      <c r="A12049" s="10" t="str">
        <f>基本属性!$B$8&amp;"|"&amp;基本属性!$C$8</f>
        <v>65|0</v>
      </c>
      <c r="B12049" s="10" t="str">
        <f>参数调整!$J$42</f>
        <v>新增怪物种类7掉落</v>
      </c>
      <c r="C12049" s="8" t="str">
        <f>材料产出!$H$2</f>
        <v>经验</v>
      </c>
      <c r="D12049" s="224">
        <f>参数调整!$K$42*怪物掉落配置方案!$D4867</f>
        <v>38108</v>
      </c>
    </row>
    <row r="12050" spans="1:4" ht="16.5" hidden="1" x14ac:dyDescent="0.3">
      <c r="A12050" s="10" t="str">
        <f>基本属性!$B$9&amp;"|"&amp;基本属性!$C$9</f>
        <v>70|0</v>
      </c>
      <c r="B12050" s="10" t="str">
        <f>参数调整!$J$42</f>
        <v>新增怪物种类7掉落</v>
      </c>
      <c r="C12050" s="8" t="str">
        <f>材料产出!$H$2</f>
        <v>经验</v>
      </c>
      <c r="D12050" s="224">
        <f>参数调整!$K$42*怪物掉落配置方案!$D4868</f>
        <v>39018</v>
      </c>
    </row>
    <row r="12051" spans="1:4" ht="16.5" hidden="1" x14ac:dyDescent="0.3">
      <c r="A12051" s="10" t="str">
        <f>基本属性!$B$10&amp;"|"&amp;基本属性!$C$10</f>
        <v>75|0</v>
      </c>
      <c r="B12051" s="10" t="str">
        <f>参数调整!$J$42</f>
        <v>新增怪物种类7掉落</v>
      </c>
      <c r="C12051" s="8" t="str">
        <f>材料产出!$H$2</f>
        <v>经验</v>
      </c>
      <c r="D12051" s="224">
        <f>参数调整!$K$42*怪物掉落配置方案!$D4869</f>
        <v>44037</v>
      </c>
    </row>
    <row r="12052" spans="1:4" ht="16.5" hidden="1" x14ac:dyDescent="0.3">
      <c r="A12052" s="10" t="str">
        <f>基本属性!$B$11&amp;"|"&amp;基本属性!$C$11</f>
        <v>80|1</v>
      </c>
      <c r="B12052" s="10" t="str">
        <f>参数调整!$J$42</f>
        <v>新增怪物种类7掉落</v>
      </c>
      <c r="C12052" s="8" t="str">
        <f>材料产出!$H$2</f>
        <v>经验</v>
      </c>
      <c r="D12052" s="224">
        <f>参数调整!$K$42*怪物掉落配置方案!$D4870</f>
        <v>70567</v>
      </c>
    </row>
    <row r="12053" spans="1:4" ht="16.5" hidden="1" x14ac:dyDescent="0.3">
      <c r="A12053" s="10" t="str">
        <f>基本属性!$B$12&amp;"|"&amp;基本属性!$C$12</f>
        <v>90|2</v>
      </c>
      <c r="B12053" s="10" t="str">
        <f>参数调整!$J$42</f>
        <v>新增怪物种类7掉落</v>
      </c>
      <c r="C12053" s="8" t="str">
        <f>材料产出!$H$2</f>
        <v>经验</v>
      </c>
      <c r="D12053" s="224">
        <f>参数调整!$K$42*怪物掉落配置方案!$D4871</f>
        <v>121345</v>
      </c>
    </row>
    <row r="12054" spans="1:4" ht="16.5" hidden="1" x14ac:dyDescent="0.3">
      <c r="A12054" s="10" t="str">
        <f>基本属性!$B$13&amp;"|"&amp;基本属性!$C$13</f>
        <v>100|3</v>
      </c>
      <c r="B12054" s="10" t="str">
        <f>参数调整!$J$42</f>
        <v>新增怪物种类7掉落</v>
      </c>
      <c r="C12054" s="8" t="str">
        <f>材料产出!$H$2</f>
        <v>经验</v>
      </c>
      <c r="D12054" s="224">
        <f>参数调整!$K$42*怪物掉落配置方案!$D4872</f>
        <v>142779</v>
      </c>
    </row>
    <row r="12055" spans="1:4" ht="16.5" hidden="1" x14ac:dyDescent="0.3">
      <c r="A12055" s="10" t="str">
        <f>基本属性!$B$14&amp;"|"&amp;基本属性!$C$14</f>
        <v>105|4</v>
      </c>
      <c r="B12055" s="10" t="str">
        <f>参数调整!$J$42</f>
        <v>新增怪物种类7掉落</v>
      </c>
      <c r="C12055" s="8" t="str">
        <f>材料产出!$H$2</f>
        <v>经验</v>
      </c>
      <c r="D12055" s="224">
        <f>参数调整!$K$42*怪物掉落配置方案!$D4873</f>
        <v>220500</v>
      </c>
    </row>
    <row r="12056" spans="1:4" ht="16.5" hidden="1" x14ac:dyDescent="0.3">
      <c r="A12056" s="10" t="str">
        <f>基本属性!$B$15&amp;"|"&amp;基本属性!$C$15</f>
        <v>110|5</v>
      </c>
      <c r="B12056" s="10" t="str">
        <f>参数调整!$J$42</f>
        <v>新增怪物种类7掉落</v>
      </c>
      <c r="C12056" s="8" t="str">
        <f>材料产出!$H$2</f>
        <v>经验</v>
      </c>
      <c r="D12056" s="224">
        <f>参数调整!$K$42*怪物掉落配置方案!$D4874</f>
        <v>227892</v>
      </c>
    </row>
    <row r="12057" spans="1:4" ht="16.5" hidden="1" x14ac:dyDescent="0.3">
      <c r="A12057" s="10" t="str">
        <f>基本属性!$B$16&amp;"|"&amp;基本属性!$C$16</f>
        <v>120|6</v>
      </c>
      <c r="B12057" s="10" t="str">
        <f>参数调整!$J$42</f>
        <v>新增怪物种类7掉落</v>
      </c>
      <c r="C12057" s="8" t="str">
        <f>材料产出!$H$2</f>
        <v>经验</v>
      </c>
      <c r="D12057" s="224">
        <f>参数调整!$K$42*怪物掉落配置方案!$D4875</f>
        <v>908698</v>
      </c>
    </row>
    <row r="12058" spans="1:4" ht="16.5" hidden="1" x14ac:dyDescent="0.3">
      <c r="A12058" s="10" t="str">
        <f>基本属性!$B$17&amp;"|"&amp;基本属性!$C$17</f>
        <v>135|7</v>
      </c>
      <c r="B12058" s="10" t="str">
        <f>参数调整!$J$42</f>
        <v>新增怪物种类7掉落</v>
      </c>
      <c r="C12058" s="8" t="str">
        <f>材料产出!$H$2</f>
        <v>经验</v>
      </c>
      <c r="D12058" s="224">
        <f>参数调整!$K$42*怪物掉落配置方案!$D4876</f>
        <v>3110919</v>
      </c>
    </row>
    <row r="12059" spans="1:4" ht="16.5" hidden="1" x14ac:dyDescent="0.3">
      <c r="A12059" s="10" t="str">
        <f>基本属性!$B$18&amp;"|"&amp;基本属性!$C$18</f>
        <v>155|8</v>
      </c>
      <c r="B12059" s="10" t="str">
        <f>参数调整!$J$42</f>
        <v>新增怪物种类7掉落</v>
      </c>
      <c r="C12059" s="8" t="str">
        <f>材料产出!$H$2</f>
        <v>经验</v>
      </c>
      <c r="D12059" s="224">
        <f>参数调整!$K$42*怪物掉落配置方案!$D4877</f>
        <v>37578723</v>
      </c>
    </row>
    <row r="12060" spans="1:4" ht="16.5" hidden="1" x14ac:dyDescent="0.3">
      <c r="A12060" s="10" t="str">
        <f>基本属性!$B$19&amp;"|"&amp;基本属性!$C$19</f>
        <v>190|9</v>
      </c>
      <c r="B12060" s="10" t="str">
        <f>参数调整!$J$42</f>
        <v>新增怪物种类7掉落</v>
      </c>
      <c r="C12060" s="8" t="str">
        <f>材料产出!$H$2</f>
        <v>经验</v>
      </c>
      <c r="D12060" s="224">
        <f>参数调整!$K$42*怪物掉落配置方案!$D4878</f>
        <v>34170269</v>
      </c>
    </row>
    <row r="12061" spans="1:4" ht="16.5" hidden="1" x14ac:dyDescent="0.3">
      <c r="A12061" s="10" t="str">
        <f>基本属性!$B$20&amp;"|"&amp;基本属性!$C$20</f>
        <v>200|10</v>
      </c>
      <c r="B12061" s="10" t="str">
        <f>参数调整!$J$42</f>
        <v>新增怪物种类7掉落</v>
      </c>
      <c r="C12061" s="8" t="str">
        <f>材料产出!$H$2</f>
        <v>经验</v>
      </c>
      <c r="D12061" s="224">
        <f>参数调整!$K$42*怪物掉落配置方案!$D4879</f>
        <v>40833331</v>
      </c>
    </row>
    <row r="12062" spans="1:4" ht="16.5" hidden="1" x14ac:dyDescent="0.3">
      <c r="A12062" s="10" t="str">
        <f>基本属性!$B$21&amp;"|"&amp;基本属性!$C$21</f>
        <v>200|11</v>
      </c>
      <c r="B12062" s="10" t="str">
        <f>参数调整!$J$42</f>
        <v>新增怪物种类7掉落</v>
      </c>
      <c r="C12062" s="8" t="str">
        <f>材料产出!$H$2</f>
        <v>经验</v>
      </c>
      <c r="D12062" s="224">
        <f>参数调整!$K$42*怪物掉落配置方案!$D4880</f>
        <v>8166669</v>
      </c>
    </row>
    <row r="12063" spans="1:4" ht="16.5" hidden="1" x14ac:dyDescent="0.3">
      <c r="A12063" s="10" t="str">
        <f>基本属性!$B$22&amp;"|"&amp;基本属性!$C$22</f>
        <v>210|12</v>
      </c>
      <c r="B12063" s="10" t="str">
        <f>参数调整!$J$42</f>
        <v>新增怪物种类7掉落</v>
      </c>
      <c r="C12063" s="8" t="str">
        <f>材料产出!$H$2</f>
        <v>经验</v>
      </c>
      <c r="D12063" s="224">
        <f>参数调整!$K$42*怪物掉落配置方案!$D4881</f>
        <v>8166669</v>
      </c>
    </row>
    <row r="12064" spans="1:4" ht="16.5" hidden="1" x14ac:dyDescent="0.3">
      <c r="A12064" s="10" t="str">
        <f>基本属性!$B$23&amp;"|"&amp;基本属性!$C$23</f>
        <v>210|13</v>
      </c>
      <c r="B12064" s="10" t="str">
        <f>参数调整!$J$42</f>
        <v>新增怪物种类7掉落</v>
      </c>
      <c r="C12064" s="8" t="str">
        <f>材料产出!$H$2</f>
        <v>经验</v>
      </c>
      <c r="D12064" s="224">
        <f>参数调整!$K$42*怪物掉落配置方案!$D4882</f>
        <v>8166669</v>
      </c>
    </row>
    <row r="12065" spans="1:4" ht="16.5" hidden="1" x14ac:dyDescent="0.3">
      <c r="A12065" s="10" t="str">
        <f>基本属性!$B$24&amp;"|"&amp;基本属性!$C$24</f>
        <v>220|14</v>
      </c>
      <c r="B12065" s="10" t="str">
        <f>参数调整!$J$42</f>
        <v>新增怪物种类7掉落</v>
      </c>
      <c r="C12065" s="8" t="str">
        <f>材料产出!$H$2</f>
        <v>经验</v>
      </c>
      <c r="D12065" s="224">
        <f>参数调整!$K$42*怪物掉落配置方案!$D4883</f>
        <v>8166669</v>
      </c>
    </row>
    <row r="12066" spans="1:4" ht="16.5" hidden="1" x14ac:dyDescent="0.3">
      <c r="A12066" s="10" t="str">
        <f>基本属性!$B$25&amp;"|"&amp;基本属性!$C$25</f>
        <v>220|15</v>
      </c>
      <c r="B12066" s="10" t="str">
        <f>参数调整!$J$42</f>
        <v>新增怪物种类7掉落</v>
      </c>
      <c r="C12066" s="8" t="str">
        <f>材料产出!$H$2</f>
        <v>经验</v>
      </c>
      <c r="D12066" s="224">
        <f>参数调整!$K$42*怪物掉落配置方案!$D4884</f>
        <v>8166669</v>
      </c>
    </row>
    <row r="12067" spans="1:4" ht="16.5" hidden="1" x14ac:dyDescent="0.3">
      <c r="A12067" s="10" t="str">
        <f>基本属性!$B$26&amp;"|"&amp;基本属性!$C$26</f>
        <v>230|16</v>
      </c>
      <c r="B12067" s="10" t="str">
        <f>参数调整!$J$42</f>
        <v>新增怪物种类7掉落</v>
      </c>
      <c r="C12067" s="8" t="str">
        <f>材料产出!$H$2</f>
        <v>经验</v>
      </c>
      <c r="D12067" s="224">
        <f>参数调整!$K$42*怪物掉落配置方案!$D4885</f>
        <v>4083331</v>
      </c>
    </row>
    <row r="12068" spans="1:4" ht="16.5" hidden="1" x14ac:dyDescent="0.3">
      <c r="A12068" s="10" t="str">
        <f>基本属性!$B$27&amp;"|"&amp;基本属性!$C$27</f>
        <v>230|17</v>
      </c>
      <c r="B12068" s="10" t="str">
        <f>参数调整!$J$42</f>
        <v>新增怪物种类7掉落</v>
      </c>
      <c r="C12068" s="8" t="str">
        <f>材料产出!$H$2</f>
        <v>经验</v>
      </c>
      <c r="D12068" s="224">
        <f>参数调整!$K$42*怪物掉落配置方案!$D4886</f>
        <v>4083331</v>
      </c>
    </row>
    <row r="12069" spans="1:4" ht="16.5" hidden="1" x14ac:dyDescent="0.3">
      <c r="A12069" s="10" t="str">
        <f>基本属性!$B$28&amp;"|"&amp;基本属性!$C$28</f>
        <v>240|18</v>
      </c>
      <c r="B12069" s="10" t="str">
        <f>参数调整!$J$42</f>
        <v>新增怪物种类7掉落</v>
      </c>
      <c r="C12069" s="8" t="str">
        <f>材料产出!$H$2</f>
        <v>经验</v>
      </c>
      <c r="D12069" s="224">
        <f>参数调整!$K$42*怪物掉落配置方案!$D4887</f>
        <v>4083331</v>
      </c>
    </row>
    <row r="12070" spans="1:4" ht="16.5" hidden="1" x14ac:dyDescent="0.3">
      <c r="A12070" s="10" t="str">
        <f>基本属性!$B$29&amp;"|"&amp;基本属性!$C$29</f>
        <v>240|19</v>
      </c>
      <c r="B12070" s="10" t="str">
        <f>参数调整!$J$42</f>
        <v>新增怪物种类7掉落</v>
      </c>
      <c r="C12070" s="8" t="str">
        <f>材料产出!$H$2</f>
        <v>经验</v>
      </c>
      <c r="D12070" s="224">
        <f>参数调整!$K$42*怪物掉落配置方案!$D4888</f>
        <v>4083331</v>
      </c>
    </row>
    <row r="12071" spans="1:4" ht="16.5" hidden="1" x14ac:dyDescent="0.3">
      <c r="A12071" s="10" t="str">
        <f>基本属性!$B$30&amp;"|"&amp;基本属性!$C$30</f>
        <v>250|20</v>
      </c>
      <c r="B12071" s="10" t="str">
        <f>参数调整!$J$42</f>
        <v>新增怪物种类7掉落</v>
      </c>
      <c r="C12071" s="8" t="str">
        <f>材料产出!$H$2</f>
        <v>经验</v>
      </c>
      <c r="D12071" s="224">
        <f>参数调整!$K$42*怪物掉落配置方案!$D4889</f>
        <v>4083331</v>
      </c>
    </row>
    <row r="12072" spans="1:4" ht="16.5" hidden="1" x14ac:dyDescent="0.3">
      <c r="A12072" s="10" t="str">
        <f>基本属性!$B$4&amp;"|"&amp;基本属性!$C$4</f>
        <v>35|0</v>
      </c>
      <c r="B12072" s="10" t="str">
        <f>参数调整!$J$42</f>
        <v>新增怪物种类7掉落</v>
      </c>
      <c r="C12072" s="8" t="str">
        <f>材料产出!$AN$2</f>
        <v>极品注灵石</v>
      </c>
      <c r="D12072" s="224">
        <f>参数调整!$K$42*怪物掉落配置方案!$D4890</f>
        <v>3.6290872025964965E-3</v>
      </c>
    </row>
    <row r="12073" spans="1:4" ht="16.5" hidden="1" x14ac:dyDescent="0.3">
      <c r="A12073" s="10" t="str">
        <f>基本属性!$B$5&amp;"|"&amp;基本属性!$C$5</f>
        <v>40|0</v>
      </c>
      <c r="B12073" s="10" t="str">
        <f>参数调整!$J$42</f>
        <v>新增怪物种类7掉落</v>
      </c>
      <c r="C12073" s="8" t="str">
        <f>材料产出!$AN$2</f>
        <v>极品注灵石</v>
      </c>
      <c r="D12073" s="224">
        <f>参数调整!$K$42*怪物掉落配置方案!$D4891</f>
        <v>4.5930634907861909E-3</v>
      </c>
    </row>
    <row r="12074" spans="1:4" ht="16.5" hidden="1" x14ac:dyDescent="0.3">
      <c r="A12074" s="10" t="str">
        <f>基本属性!$B$6&amp;"|"&amp;基本属性!$C$6</f>
        <v>50|0</v>
      </c>
      <c r="B12074" s="10" t="str">
        <f>参数调整!$J$42</f>
        <v>新增怪物种类7掉落</v>
      </c>
      <c r="C12074" s="8" t="str">
        <f>材料产出!$AN$2</f>
        <v>极品注灵石</v>
      </c>
      <c r="D12074" s="224">
        <f>参数调整!$K$42*怪物掉落配置方案!$D4892</f>
        <v>5.6704487540570258E-3</v>
      </c>
    </row>
    <row r="12075" spans="1:4" ht="16.5" hidden="1" x14ac:dyDescent="0.3">
      <c r="A12075" s="10" t="str">
        <f>基本属性!$B$7&amp;"|"&amp;基本属性!$C$7</f>
        <v>60|0</v>
      </c>
      <c r="B12075" s="10" t="str">
        <f>参数调整!$J$42</f>
        <v>新增怪物种类7掉落</v>
      </c>
      <c r="C12075" s="8" t="str">
        <f>材料产出!$AN$2</f>
        <v>极品注灵石</v>
      </c>
      <c r="D12075" s="224">
        <f>参数调整!$K$42*怪物掉落配置方案!$D4893</f>
        <v>6.8612429924090031E-3</v>
      </c>
    </row>
    <row r="12076" spans="1:4" ht="16.5" hidden="1" x14ac:dyDescent="0.3">
      <c r="A12076" s="10" t="str">
        <f>基本属性!$B$8&amp;"|"&amp;基本属性!$C$8</f>
        <v>65|0</v>
      </c>
      <c r="B12076" s="10" t="str">
        <f>参数调整!$J$42</f>
        <v>新增怪物种类7掉落</v>
      </c>
      <c r="C12076" s="8" t="str">
        <f>材料产出!$AN$2</f>
        <v>极品注灵石</v>
      </c>
      <c r="D12076" s="224">
        <f>参数调整!$K$42*怪物掉落配置方案!$D4894</f>
        <v>8.1654462058421157E-3</v>
      </c>
    </row>
    <row r="12077" spans="1:4" ht="16.5" hidden="1" x14ac:dyDescent="0.3">
      <c r="A12077" s="10" t="str">
        <f>基本属性!$B$9&amp;"|"&amp;基本属性!$C$9</f>
        <v>70|0</v>
      </c>
      <c r="B12077" s="10" t="str">
        <f>参数调整!$J$42</f>
        <v>新增怪物种类7掉落</v>
      </c>
      <c r="C12077" s="8" t="str">
        <f>材料产出!$AN$2</f>
        <v>极品注灵石</v>
      </c>
      <c r="D12077" s="224">
        <f>参数调整!$K$42*怪物掉落配置方案!$D4895</f>
        <v>9.5830583943563759E-3</v>
      </c>
    </row>
    <row r="12078" spans="1:4" ht="16.5" hidden="1" x14ac:dyDescent="0.3">
      <c r="A12078" s="10" t="str">
        <f>基本属性!$B$10&amp;"|"&amp;基本属性!$C$10</f>
        <v>75|0</v>
      </c>
      <c r="B12078" s="10" t="str">
        <f>参数调整!$J$42</f>
        <v>新增怪物种类7掉落</v>
      </c>
      <c r="C12078" s="8" t="str">
        <f>材料产出!$AN$2</f>
        <v>极品注灵石</v>
      </c>
      <c r="D12078" s="224">
        <f>参数调整!$K$42*怪物掉落配置方案!$D4896</f>
        <v>1.1114079557951769E-2</v>
      </c>
    </row>
    <row r="12079" spans="1:4" ht="16.5" hidden="1" x14ac:dyDescent="0.3">
      <c r="A12079" s="10" t="str">
        <f>基本属性!$B$11&amp;"|"&amp;基本属性!$C$11</f>
        <v>80|1</v>
      </c>
      <c r="B12079" s="10" t="str">
        <f>参数调整!$J$42</f>
        <v>新增怪物种类7掉落</v>
      </c>
      <c r="C12079" s="8" t="str">
        <f>材料产出!$AN$2</f>
        <v>极品注灵石</v>
      </c>
      <c r="D12079" s="224">
        <f>参数调整!$K$42*怪物掉落配置方案!$D4897</f>
        <v>1.275850969662831E-2</v>
      </c>
    </row>
    <row r="12080" spans="1:4" ht="16.5" hidden="1" x14ac:dyDescent="0.3">
      <c r="A12080" s="10" t="str">
        <f>基本属性!$B$12&amp;"|"&amp;基本属性!$C$12</f>
        <v>90|2</v>
      </c>
      <c r="B12080" s="10" t="str">
        <f>参数调整!$J$42</f>
        <v>新增怪物种类7掉落</v>
      </c>
      <c r="C12080" s="8" t="str">
        <f>材料产出!$AN$2</f>
        <v>极品注灵石</v>
      </c>
      <c r="D12080" s="224">
        <f>参数调整!$K$42*怪物掉落配置方案!$D4898</f>
        <v>1.4516348810385989E-2</v>
      </c>
    </row>
    <row r="12081" spans="1:4" ht="16.5" hidden="1" x14ac:dyDescent="0.3">
      <c r="A12081" s="10" t="str">
        <f>基本属性!$B$13&amp;"|"&amp;基本属性!$C$13</f>
        <v>100|3</v>
      </c>
      <c r="B12081" s="10" t="str">
        <f>参数调整!$J$42</f>
        <v>新增怪物种类7掉落</v>
      </c>
      <c r="C12081" s="8" t="str">
        <f>材料产出!$AN$2</f>
        <v>极品注灵石</v>
      </c>
      <c r="D12081" s="224">
        <f>参数调整!$K$42*怪物掉落配置方案!$D4899</f>
        <v>1.8372253963144767E-2</v>
      </c>
    </row>
    <row r="12082" spans="1:4" ht="16.5" hidden="1" x14ac:dyDescent="0.3">
      <c r="A12082" s="10" t="str">
        <f>基本属性!$B$14&amp;"|"&amp;基本属性!$C$14</f>
        <v>105|4</v>
      </c>
      <c r="B12082" s="10" t="str">
        <f>参数调整!$J$42</f>
        <v>新增怪物种类7掉落</v>
      </c>
      <c r="C12082" s="8" t="str">
        <f>材料产出!$AN$2</f>
        <v>极品注灵石</v>
      </c>
      <c r="D12082" s="224">
        <f>参数调整!$K$42*怪物掉落配置方案!$D4900</f>
        <v>2.2681795016228103E-2</v>
      </c>
    </row>
    <row r="12083" spans="1:4" ht="16.5" hidden="1" x14ac:dyDescent="0.3">
      <c r="A12083" s="10" t="str">
        <f>基本属性!$B$15&amp;"|"&amp;基本属性!$C$15</f>
        <v>110|5</v>
      </c>
      <c r="B12083" s="10" t="str">
        <f>参数调整!$J$42</f>
        <v>新增怪物种类7掉落</v>
      </c>
      <c r="C12083" s="8" t="str">
        <f>材料产出!$AN$2</f>
        <v>极品注灵石</v>
      </c>
      <c r="D12083" s="224">
        <f>参数调整!$K$42*怪物掉落配置方案!$D4901</f>
        <v>2.7444971969636012E-2</v>
      </c>
    </row>
    <row r="12084" spans="1:4" ht="16.5" hidden="1" x14ac:dyDescent="0.3">
      <c r="A12084" s="10" t="str">
        <f>基本属性!$B$16&amp;"|"&amp;基本属性!$C$16</f>
        <v>120|6</v>
      </c>
      <c r="B12084" s="10" t="str">
        <f>参数调整!$J$42</f>
        <v>新增怪物种类7掉落</v>
      </c>
      <c r="C12084" s="8" t="str">
        <f>材料产出!$AN$2</f>
        <v>极品注灵石</v>
      </c>
      <c r="D12084" s="224">
        <f>参数调整!$K$42*怪物掉落配置方案!$D4902</f>
        <v>3.5440304712856412E-2</v>
      </c>
    </row>
    <row r="12085" spans="1:4" ht="16.5" hidden="1" x14ac:dyDescent="0.3">
      <c r="A12085" s="10" t="str">
        <f>基本属性!$B$17&amp;"|"&amp;基本属性!$C$17</f>
        <v>135|7</v>
      </c>
      <c r="B12085" s="10" t="str">
        <f>参数调整!$J$42</f>
        <v>新增怪物种类7掉落</v>
      </c>
      <c r="C12085" s="8" t="str">
        <f>材料产出!$AN$2</f>
        <v>极品注灵石</v>
      </c>
      <c r="D12085" s="224">
        <f>参数调整!$K$42*怪物掉落配置方案!$D4903</f>
        <v>5.1034038786513233E-2</v>
      </c>
    </row>
    <row r="12086" spans="1:4" ht="16.5" hidden="1" x14ac:dyDescent="0.3">
      <c r="A12086" s="10" t="str">
        <f>基本属性!$B$18&amp;"|"&amp;基本属性!$C$18</f>
        <v>155|8</v>
      </c>
      <c r="B12086" s="10" t="str">
        <f>参数调整!$J$42</f>
        <v>新增怪物种类7掉落</v>
      </c>
      <c r="C12086" s="8" t="str">
        <f>材料产出!$AN$2</f>
        <v>极品注灵石</v>
      </c>
      <c r="D12086" s="224">
        <f>参数调整!$K$42*怪物掉落配置方案!$D4904</f>
        <v>6.9462997237198579E-2</v>
      </c>
    </row>
    <row r="12087" spans="1:4" ht="16.5" hidden="1" x14ac:dyDescent="0.3">
      <c r="A12087" s="10" t="str">
        <f>基本属性!$B$19&amp;"|"&amp;基本属性!$C$19</f>
        <v>190|9</v>
      </c>
      <c r="B12087" s="10" t="str">
        <f>参数调整!$J$42</f>
        <v>新增怪物种类7掉落</v>
      </c>
      <c r="C12087" s="8" t="str">
        <f>材料产出!$AN$2</f>
        <v>极品注灵石</v>
      </c>
      <c r="D12087" s="224">
        <f>参数调整!$K$42*怪物掉落配置方案!$D4905</f>
        <v>7.7628443443040693E-2</v>
      </c>
    </row>
    <row r="12088" spans="1:4" ht="16.5" hidden="1" x14ac:dyDescent="0.3">
      <c r="A12088" s="10" t="str">
        <f>基本属性!$B$20&amp;"|"&amp;基本属性!$C$20</f>
        <v>200|10</v>
      </c>
      <c r="B12088" s="10" t="str">
        <f>参数调整!$J$42</f>
        <v>新增怪物种类7掉落</v>
      </c>
      <c r="C12088" s="8" t="str">
        <f>材料产出!$AN$2</f>
        <v>极品注灵石</v>
      </c>
      <c r="D12088" s="224">
        <f>参数调整!$K$42*怪物掉落配置方案!$D4906</f>
        <v>9.0727180064912413E-2</v>
      </c>
    </row>
    <row r="12089" spans="1:4" ht="16.5" hidden="1" x14ac:dyDescent="0.3">
      <c r="A12089" s="10" t="str">
        <f>基本属性!$B$21&amp;"|"&amp;基本属性!$C$21</f>
        <v>200|11</v>
      </c>
      <c r="B12089" s="10" t="str">
        <f>参数调整!$J$42</f>
        <v>新增怪物种类7掉落</v>
      </c>
      <c r="C12089" s="8" t="str">
        <f>材料产出!$AN$2</f>
        <v>极品注灵石</v>
      </c>
      <c r="D12089" s="224">
        <f>参数调整!$K$42*怪物掉落配置方案!$D4907</f>
        <v>0.10484659746251439</v>
      </c>
    </row>
    <row r="12090" spans="1:4" ht="16.5" hidden="1" x14ac:dyDescent="0.3">
      <c r="A12090" s="10" t="str">
        <f>基本属性!$B$22&amp;"|"&amp;基本属性!$C$22</f>
        <v>210|12</v>
      </c>
      <c r="B12090" s="10" t="str">
        <f>参数调整!$J$42</f>
        <v>新增怪物种类7掉落</v>
      </c>
      <c r="C12090" s="8" t="str">
        <f>材料产出!$AN$2</f>
        <v>极品注灵石</v>
      </c>
      <c r="D12090" s="224">
        <f>参数调整!$K$42*怪物掉落配置方案!$D4908</f>
        <v>0.11998669563584666</v>
      </c>
    </row>
    <row r="12091" spans="1:4" ht="16.5" hidden="1" x14ac:dyDescent="0.3">
      <c r="A12091" s="10" t="str">
        <f>基本属性!$B$23&amp;"|"&amp;基本属性!$C$23</f>
        <v>210|13</v>
      </c>
      <c r="B12091" s="10" t="str">
        <f>参数调整!$J$42</f>
        <v>新增怪物种类7掉落</v>
      </c>
      <c r="C12091" s="8" t="str">
        <f>材料产出!$AN$2</f>
        <v>极品注灵石</v>
      </c>
      <c r="D12091" s="224">
        <f>参数调整!$K$42*怪物掉落配置方案!$D4909</f>
        <v>0.13614747458490919</v>
      </c>
    </row>
    <row r="12092" spans="1:4" ht="16.5" hidden="1" x14ac:dyDescent="0.3">
      <c r="A12092" s="10" t="str">
        <f>基本属性!$B$24&amp;"|"&amp;基本属性!$C$24</f>
        <v>220|14</v>
      </c>
      <c r="B12092" s="10" t="str">
        <f>参数调整!$J$42</f>
        <v>新增怪物种类7掉落</v>
      </c>
      <c r="C12092" s="8" t="str">
        <f>材料产出!$AN$2</f>
        <v>极品注灵石</v>
      </c>
      <c r="D12092" s="224">
        <f>参数调整!$K$42*怪物掉落配置方案!$D4910</f>
        <v>0.15332893430970201</v>
      </c>
    </row>
    <row r="12093" spans="1:4" ht="16.5" hidden="1" x14ac:dyDescent="0.3">
      <c r="A12093" s="10" t="str">
        <f>基本属性!$B$25&amp;"|"&amp;基本属性!$C$25</f>
        <v>220|15</v>
      </c>
      <c r="B12093" s="10" t="str">
        <f>参数调整!$J$42</f>
        <v>新增怪物种类7掉落</v>
      </c>
      <c r="C12093" s="8" t="str">
        <f>材料产出!$AN$2</f>
        <v>极品注灵石</v>
      </c>
      <c r="D12093" s="224">
        <f>参数调整!$K$42*怪物掉落配置方案!$D4911</f>
        <v>0.171531074810225</v>
      </c>
    </row>
    <row r="12094" spans="1:4" ht="16.5" hidden="1" x14ac:dyDescent="0.3">
      <c r="A12094" s="10" t="str">
        <f>基本属性!$B$26&amp;"|"&amp;基本属性!$C$26</f>
        <v>230|16</v>
      </c>
      <c r="B12094" s="10" t="str">
        <f>参数调整!$J$42</f>
        <v>新增怪物种类7掉落</v>
      </c>
      <c r="C12094" s="8" t="str">
        <f>材料产出!$AN$2</f>
        <v>极品注灵石</v>
      </c>
      <c r="D12094" s="224">
        <f>参数调整!$K$42*怪物掉落配置方案!$D4912</f>
        <v>0.19075389608647833</v>
      </c>
    </row>
    <row r="12095" spans="1:4" ht="16.5" hidden="1" x14ac:dyDescent="0.3">
      <c r="A12095" s="10" t="str">
        <f>基本属性!$B$27&amp;"|"&amp;基本属性!$C$27</f>
        <v>230|17</v>
      </c>
      <c r="B12095" s="10" t="str">
        <f>参数调整!$J$42</f>
        <v>新增怪物种类7掉落</v>
      </c>
      <c r="C12095" s="8" t="str">
        <f>材料产出!$AN$2</f>
        <v>极品注灵石</v>
      </c>
      <c r="D12095" s="224">
        <f>参数调整!$K$42*怪物掉落配置方案!$D4913</f>
        <v>0.21099739813846191</v>
      </c>
    </row>
    <row r="12096" spans="1:4" ht="16.5" hidden="1" x14ac:dyDescent="0.3">
      <c r="A12096" s="10" t="str">
        <f>基本属性!$B$28&amp;"|"&amp;基本属性!$C$28</f>
        <v>240|18</v>
      </c>
      <c r="B12096" s="10" t="str">
        <f>参数调整!$J$42</f>
        <v>新增怪物种类7掉落</v>
      </c>
      <c r="C12096" s="8" t="str">
        <f>材料产出!$AN$2</f>
        <v>极品注灵石</v>
      </c>
      <c r="D12096" s="224">
        <f>参数调整!$K$42*怪物掉落配置方案!$D4914</f>
        <v>0.23226158096617583</v>
      </c>
    </row>
    <row r="12097" spans="1:4" ht="16.5" hidden="1" x14ac:dyDescent="0.3">
      <c r="A12097" s="10" t="str">
        <f>基本属性!$B$29&amp;"|"&amp;基本属性!$C$29</f>
        <v>240|19</v>
      </c>
      <c r="B12097" s="10" t="str">
        <f>参数调整!$J$42</f>
        <v>新增怪物种类7掉落</v>
      </c>
      <c r="C12097" s="8" t="str">
        <f>材料产出!$AN$2</f>
        <v>极品注灵石</v>
      </c>
      <c r="D12097" s="224">
        <f>参数调整!$K$42*怪物掉落配置方案!$D4915</f>
        <v>0.25454644456961995</v>
      </c>
    </row>
    <row r="12098" spans="1:4" ht="16.5" hidden="1" x14ac:dyDescent="0.3">
      <c r="A12098" s="10" t="str">
        <f>基本属性!$B$30&amp;"|"&amp;基本属性!$C$30</f>
        <v>250|20</v>
      </c>
      <c r="B12098" s="10" t="str">
        <f>参数调整!$J$42</f>
        <v>新增怪物种类7掉落</v>
      </c>
      <c r="C12098" s="8" t="str">
        <f>材料产出!$AN$2</f>
        <v>极品注灵石</v>
      </c>
      <c r="D12098" s="224">
        <f>参数调整!$K$42*怪物掉落配置方案!$D4916</f>
        <v>0.2778519889487942</v>
      </c>
    </row>
    <row r="12099" spans="1:4" ht="16.5" hidden="1" x14ac:dyDescent="0.3">
      <c r="A12099" s="10" t="str">
        <f>基本属性!$B$4&amp;"|"&amp;基本属性!$C$4</f>
        <v>35|0</v>
      </c>
      <c r="B12099" s="10" t="str">
        <f>参数调整!$J$42</f>
        <v>新增怪物种类7掉落</v>
      </c>
      <c r="C12099" s="8" t="str">
        <f>材料产出!$HV$2</f>
        <v>基本装备</v>
      </c>
      <c r="D12099" s="224">
        <f>参数调整!$K$42*怪物掉落配置方案!$D4917</f>
        <v>0</v>
      </c>
    </row>
    <row r="12100" spans="1:4" ht="16.5" hidden="1" x14ac:dyDescent="0.3">
      <c r="A12100" s="10" t="str">
        <f>基本属性!$B$5&amp;"|"&amp;基本属性!$C$5</f>
        <v>40|0</v>
      </c>
      <c r="B12100" s="10" t="str">
        <f>参数调整!$J$42</f>
        <v>新增怪物种类7掉落</v>
      </c>
      <c r="C12100" s="8" t="str">
        <f>材料产出!$HV$2</f>
        <v>基本装备</v>
      </c>
      <c r="D12100" s="224">
        <f>参数调整!$K$42*怪物掉落配置方案!$D4918</f>
        <v>0</v>
      </c>
    </row>
    <row r="12101" spans="1:4" ht="16.5" hidden="1" x14ac:dyDescent="0.3">
      <c r="A12101" s="10" t="str">
        <f>基本属性!$B$6&amp;"|"&amp;基本属性!$C$6</f>
        <v>50|0</v>
      </c>
      <c r="B12101" s="10" t="str">
        <f>参数调整!$J$42</f>
        <v>新增怪物种类7掉落</v>
      </c>
      <c r="C12101" s="8" t="str">
        <f>材料产出!$HV$2</f>
        <v>基本装备</v>
      </c>
      <c r="D12101" s="224">
        <f>参数调整!$K$42*怪物掉落配置方案!$D4919</f>
        <v>0</v>
      </c>
    </row>
    <row r="12102" spans="1:4" ht="16.5" hidden="1" x14ac:dyDescent="0.3">
      <c r="A12102" s="10" t="str">
        <f>基本属性!$B$7&amp;"|"&amp;基本属性!$C$7</f>
        <v>60|0</v>
      </c>
      <c r="B12102" s="10" t="str">
        <f>参数调整!$J$42</f>
        <v>新增怪物种类7掉落</v>
      </c>
      <c r="C12102" s="8" t="str">
        <f>材料产出!$HV$2</f>
        <v>基本装备</v>
      </c>
      <c r="D12102" s="224">
        <f>参数调整!$K$42*怪物掉落配置方案!$D4920</f>
        <v>0</v>
      </c>
    </row>
    <row r="12103" spans="1:4" ht="16.5" hidden="1" x14ac:dyDescent="0.3">
      <c r="A12103" s="10" t="str">
        <f>基本属性!$B$8&amp;"|"&amp;基本属性!$C$8</f>
        <v>65|0</v>
      </c>
      <c r="B12103" s="10" t="str">
        <f>参数调整!$J$42</f>
        <v>新增怪物种类7掉落</v>
      </c>
      <c r="C12103" s="8" t="str">
        <f>材料产出!$HV$2</f>
        <v>基本装备</v>
      </c>
      <c r="D12103" s="224">
        <f>参数调整!$K$42*怪物掉落配置方案!$D4921</f>
        <v>0</v>
      </c>
    </row>
    <row r="12104" spans="1:4" ht="16.5" hidden="1" x14ac:dyDescent="0.3">
      <c r="A12104" s="10" t="str">
        <f>基本属性!$B$9&amp;"|"&amp;基本属性!$C$9</f>
        <v>70|0</v>
      </c>
      <c r="B12104" s="10" t="str">
        <f>参数调整!$J$42</f>
        <v>新增怪物种类7掉落</v>
      </c>
      <c r="C12104" s="8" t="str">
        <f>材料产出!$HV$2</f>
        <v>基本装备</v>
      </c>
      <c r="D12104" s="224">
        <f>参数调整!$K$42*怪物掉落配置方案!$D4922</f>
        <v>0</v>
      </c>
    </row>
    <row r="12105" spans="1:4" ht="16.5" hidden="1" x14ac:dyDescent="0.3">
      <c r="A12105" s="10" t="str">
        <f>基本属性!$B$10&amp;"|"&amp;基本属性!$C$10</f>
        <v>75|0</v>
      </c>
      <c r="B12105" s="10" t="str">
        <f>参数调整!$J$42</f>
        <v>新增怪物种类7掉落</v>
      </c>
      <c r="C12105" s="8" t="str">
        <f>材料产出!$HV$2</f>
        <v>基本装备</v>
      </c>
      <c r="D12105" s="224">
        <f>参数调整!$K$42*怪物掉落配置方案!$D4923</f>
        <v>0</v>
      </c>
    </row>
    <row r="12106" spans="1:4" ht="16.5" hidden="1" x14ac:dyDescent="0.3">
      <c r="A12106" s="10" t="str">
        <f>基本属性!$B$11&amp;"|"&amp;基本属性!$C$11</f>
        <v>80|1</v>
      </c>
      <c r="B12106" s="10" t="str">
        <f>参数调整!$J$42</f>
        <v>新增怪物种类7掉落</v>
      </c>
      <c r="C12106" s="8" t="str">
        <f>材料产出!$HV$2</f>
        <v>基本装备</v>
      </c>
      <c r="D12106" s="224">
        <f>参数调整!$K$42*怪物掉落配置方案!$D4924</f>
        <v>0</v>
      </c>
    </row>
    <row r="12107" spans="1:4" ht="16.5" hidden="1" x14ac:dyDescent="0.3">
      <c r="A12107" s="10" t="str">
        <f>基本属性!$B$12&amp;"|"&amp;基本属性!$C$12</f>
        <v>90|2</v>
      </c>
      <c r="B12107" s="10" t="str">
        <f>参数调整!$J$42</f>
        <v>新增怪物种类7掉落</v>
      </c>
      <c r="C12107" s="8" t="str">
        <f>材料产出!$HV$2</f>
        <v>基本装备</v>
      </c>
      <c r="D12107" s="224">
        <f>参数调整!$K$42*怪物掉落配置方案!$D4925</f>
        <v>0</v>
      </c>
    </row>
    <row r="12108" spans="1:4" ht="16.5" hidden="1" x14ac:dyDescent="0.3">
      <c r="A12108" s="10" t="str">
        <f>基本属性!$B$13&amp;"|"&amp;基本属性!$C$13</f>
        <v>100|3</v>
      </c>
      <c r="B12108" s="10" t="str">
        <f>参数调整!$J$42</f>
        <v>新增怪物种类7掉落</v>
      </c>
      <c r="C12108" s="8" t="str">
        <f>材料产出!$HV$2</f>
        <v>基本装备</v>
      </c>
      <c r="D12108" s="224">
        <f>参数调整!$K$42*怪物掉落配置方案!$D4926</f>
        <v>0</v>
      </c>
    </row>
    <row r="12109" spans="1:4" ht="16.5" hidden="1" x14ac:dyDescent="0.3">
      <c r="A12109" s="10" t="str">
        <f>基本属性!$B$14&amp;"|"&amp;基本属性!$C$14</f>
        <v>105|4</v>
      </c>
      <c r="B12109" s="10" t="str">
        <f>参数调整!$J$42</f>
        <v>新增怪物种类7掉落</v>
      </c>
      <c r="C12109" s="8" t="str">
        <f>材料产出!$HV$2</f>
        <v>基本装备</v>
      </c>
      <c r="D12109" s="224">
        <f>参数调整!$K$42*怪物掉落配置方案!$D4927</f>
        <v>0</v>
      </c>
    </row>
    <row r="12110" spans="1:4" ht="16.5" hidden="1" x14ac:dyDescent="0.3">
      <c r="A12110" s="10" t="str">
        <f>基本属性!$B$15&amp;"|"&amp;基本属性!$C$15</f>
        <v>110|5</v>
      </c>
      <c r="B12110" s="10" t="str">
        <f>参数调整!$J$42</f>
        <v>新增怪物种类7掉落</v>
      </c>
      <c r="C12110" s="8" t="str">
        <f>材料产出!$HV$2</f>
        <v>基本装备</v>
      </c>
      <c r="D12110" s="224">
        <f>参数调整!$K$42*怪物掉落配置方案!$D4928</f>
        <v>0</v>
      </c>
    </row>
    <row r="12111" spans="1:4" ht="16.5" hidden="1" x14ac:dyDescent="0.3">
      <c r="A12111" s="10" t="str">
        <f>基本属性!$B$16&amp;"|"&amp;基本属性!$C$16</f>
        <v>120|6</v>
      </c>
      <c r="B12111" s="10" t="str">
        <f>参数调整!$J$42</f>
        <v>新增怪物种类7掉落</v>
      </c>
      <c r="C12111" s="8" t="str">
        <f>材料产出!$HV$2</f>
        <v>基本装备</v>
      </c>
      <c r="D12111" s="224">
        <f>参数调整!$K$42*怪物掉落配置方案!$D4929</f>
        <v>0</v>
      </c>
    </row>
    <row r="12112" spans="1:4" ht="16.5" hidden="1" x14ac:dyDescent="0.3">
      <c r="A12112" s="10" t="str">
        <f>基本属性!$B$17&amp;"|"&amp;基本属性!$C$17</f>
        <v>135|7</v>
      </c>
      <c r="B12112" s="10" t="str">
        <f>参数调整!$J$42</f>
        <v>新增怪物种类7掉落</v>
      </c>
      <c r="C12112" s="8" t="str">
        <f>材料产出!$HV$2</f>
        <v>基本装备</v>
      </c>
      <c r="D12112" s="224">
        <f>参数调整!$K$42*怪物掉落配置方案!$D4930</f>
        <v>0</v>
      </c>
    </row>
    <row r="12113" spans="1:4" ht="16.5" hidden="1" x14ac:dyDescent="0.3">
      <c r="A12113" s="10" t="str">
        <f>基本属性!$B$18&amp;"|"&amp;基本属性!$C$18</f>
        <v>155|8</v>
      </c>
      <c r="B12113" s="10" t="str">
        <f>参数调整!$J$42</f>
        <v>新增怪物种类7掉落</v>
      </c>
      <c r="C12113" s="8" t="str">
        <f>材料产出!$HV$2</f>
        <v>基本装备</v>
      </c>
      <c r="D12113" s="224">
        <f>参数调整!$K$42*怪物掉落配置方案!$D4931</f>
        <v>0</v>
      </c>
    </row>
    <row r="12114" spans="1:4" ht="16.5" hidden="1" x14ac:dyDescent="0.3">
      <c r="A12114" s="10" t="str">
        <f>基本属性!$B$19&amp;"|"&amp;基本属性!$C$19</f>
        <v>190|9</v>
      </c>
      <c r="B12114" s="10" t="str">
        <f>参数调整!$J$42</f>
        <v>新增怪物种类7掉落</v>
      </c>
      <c r="C12114" s="8" t="str">
        <f>材料产出!$HV$2</f>
        <v>基本装备</v>
      </c>
      <c r="D12114" s="224">
        <f>参数调整!$K$42*怪物掉落配置方案!$D4932</f>
        <v>0</v>
      </c>
    </row>
    <row r="12115" spans="1:4" ht="16.5" hidden="1" x14ac:dyDescent="0.3">
      <c r="A12115" s="10" t="str">
        <f>基本属性!$B$20&amp;"|"&amp;基本属性!$C$20</f>
        <v>200|10</v>
      </c>
      <c r="B12115" s="10" t="str">
        <f>参数调整!$J$42</f>
        <v>新增怪物种类7掉落</v>
      </c>
      <c r="C12115" s="8" t="str">
        <f>材料产出!$HV$2</f>
        <v>基本装备</v>
      </c>
      <c r="D12115" s="224">
        <f>参数调整!$K$42*怪物掉落配置方案!$D4933</f>
        <v>0</v>
      </c>
    </row>
    <row r="12116" spans="1:4" ht="16.5" hidden="1" x14ac:dyDescent="0.3">
      <c r="A12116" s="10" t="str">
        <f>基本属性!$B$21&amp;"|"&amp;基本属性!$C$21</f>
        <v>200|11</v>
      </c>
      <c r="B12116" s="10" t="str">
        <f>参数调整!$J$42</f>
        <v>新增怪物种类7掉落</v>
      </c>
      <c r="C12116" s="8" t="str">
        <f>材料产出!$HV$2</f>
        <v>基本装备</v>
      </c>
      <c r="D12116" s="224">
        <f>参数调整!$K$42*怪物掉落配置方案!$D4934</f>
        <v>0</v>
      </c>
    </row>
    <row r="12117" spans="1:4" ht="16.5" hidden="1" x14ac:dyDescent="0.3">
      <c r="A12117" s="10" t="str">
        <f>基本属性!$B$22&amp;"|"&amp;基本属性!$C$22</f>
        <v>210|12</v>
      </c>
      <c r="B12117" s="10" t="str">
        <f>参数调整!$J$42</f>
        <v>新增怪物种类7掉落</v>
      </c>
      <c r="C12117" s="8" t="str">
        <f>材料产出!$HV$2</f>
        <v>基本装备</v>
      </c>
      <c r="D12117" s="224">
        <f>参数调整!$K$42*怪物掉落配置方案!$D4935</f>
        <v>0</v>
      </c>
    </row>
    <row r="12118" spans="1:4" ht="16.5" hidden="1" x14ac:dyDescent="0.3">
      <c r="A12118" s="10" t="str">
        <f>基本属性!$B$23&amp;"|"&amp;基本属性!$C$23</f>
        <v>210|13</v>
      </c>
      <c r="B12118" s="10" t="str">
        <f>参数调整!$J$42</f>
        <v>新增怪物种类7掉落</v>
      </c>
      <c r="C12118" s="8" t="str">
        <f>材料产出!$HV$2</f>
        <v>基本装备</v>
      </c>
      <c r="D12118" s="224">
        <f>参数调整!$K$42*怪物掉落配置方案!$D4936</f>
        <v>0</v>
      </c>
    </row>
    <row r="12119" spans="1:4" ht="16.5" hidden="1" x14ac:dyDescent="0.3">
      <c r="A12119" s="10" t="str">
        <f>基本属性!$B$24&amp;"|"&amp;基本属性!$C$24</f>
        <v>220|14</v>
      </c>
      <c r="B12119" s="10" t="str">
        <f>参数调整!$J$42</f>
        <v>新增怪物种类7掉落</v>
      </c>
      <c r="C12119" s="8" t="str">
        <f>材料产出!$HV$2</f>
        <v>基本装备</v>
      </c>
      <c r="D12119" s="224">
        <f>参数调整!$K$42*怪物掉落配置方案!$D4937</f>
        <v>0</v>
      </c>
    </row>
    <row r="12120" spans="1:4" ht="16.5" hidden="1" x14ac:dyDescent="0.3">
      <c r="A12120" s="10" t="str">
        <f>基本属性!$B$25&amp;"|"&amp;基本属性!$C$25</f>
        <v>220|15</v>
      </c>
      <c r="B12120" s="10" t="str">
        <f>参数调整!$J$42</f>
        <v>新增怪物种类7掉落</v>
      </c>
      <c r="C12120" s="8" t="str">
        <f>材料产出!$HV$2</f>
        <v>基本装备</v>
      </c>
      <c r="D12120" s="224">
        <f>参数调整!$K$42*怪物掉落配置方案!$D4938</f>
        <v>0</v>
      </c>
    </row>
    <row r="12121" spans="1:4" ht="16.5" hidden="1" x14ac:dyDescent="0.3">
      <c r="A12121" s="10" t="str">
        <f>基本属性!$B$26&amp;"|"&amp;基本属性!$C$26</f>
        <v>230|16</v>
      </c>
      <c r="B12121" s="10" t="str">
        <f>参数调整!$J$42</f>
        <v>新增怪物种类7掉落</v>
      </c>
      <c r="C12121" s="8" t="str">
        <f>材料产出!$HV$2</f>
        <v>基本装备</v>
      </c>
      <c r="D12121" s="224">
        <f>参数调整!$K$42*怪物掉落配置方案!$D4939</f>
        <v>0</v>
      </c>
    </row>
    <row r="12122" spans="1:4" ht="16.5" hidden="1" x14ac:dyDescent="0.3">
      <c r="A12122" s="10" t="str">
        <f>基本属性!$B$27&amp;"|"&amp;基本属性!$C$27</f>
        <v>230|17</v>
      </c>
      <c r="B12122" s="10" t="str">
        <f>参数调整!$J$42</f>
        <v>新增怪物种类7掉落</v>
      </c>
      <c r="C12122" s="8" t="str">
        <f>材料产出!$HV$2</f>
        <v>基本装备</v>
      </c>
      <c r="D12122" s="224">
        <f>参数调整!$K$42*怪物掉落配置方案!$D4940</f>
        <v>0</v>
      </c>
    </row>
    <row r="12123" spans="1:4" ht="16.5" hidden="1" x14ac:dyDescent="0.3">
      <c r="A12123" s="10" t="str">
        <f>基本属性!$B$28&amp;"|"&amp;基本属性!$C$28</f>
        <v>240|18</v>
      </c>
      <c r="B12123" s="10" t="str">
        <f>参数调整!$J$42</f>
        <v>新增怪物种类7掉落</v>
      </c>
      <c r="C12123" s="8" t="str">
        <f>材料产出!$HV$2</f>
        <v>基本装备</v>
      </c>
      <c r="D12123" s="224">
        <f>参数调整!$K$42*怪物掉落配置方案!$D4941</f>
        <v>0</v>
      </c>
    </row>
    <row r="12124" spans="1:4" ht="16.5" hidden="1" x14ac:dyDescent="0.3">
      <c r="A12124" s="10" t="str">
        <f>基本属性!$B$29&amp;"|"&amp;基本属性!$C$29</f>
        <v>240|19</v>
      </c>
      <c r="B12124" s="10" t="str">
        <f>参数调整!$J$42</f>
        <v>新增怪物种类7掉落</v>
      </c>
      <c r="C12124" s="8" t="str">
        <f>材料产出!$HV$2</f>
        <v>基本装备</v>
      </c>
      <c r="D12124" s="224">
        <f>参数调整!$K$42*怪物掉落配置方案!$D4942</f>
        <v>0</v>
      </c>
    </row>
    <row r="12125" spans="1:4" ht="16.5" hidden="1" x14ac:dyDescent="0.3">
      <c r="A12125" s="10" t="str">
        <f>基本属性!$B$30&amp;"|"&amp;基本属性!$C$30</f>
        <v>250|20</v>
      </c>
      <c r="B12125" s="10" t="str">
        <f>参数调整!$J$42</f>
        <v>新增怪物种类7掉落</v>
      </c>
      <c r="C12125" s="8" t="str">
        <f>材料产出!$HV$2</f>
        <v>基本装备</v>
      </c>
      <c r="D12125" s="224">
        <f>参数调整!$K$42*怪物掉落配置方案!$D4943</f>
        <v>0</v>
      </c>
    </row>
    <row r="12126" spans="1:4" ht="16.5" hidden="1" x14ac:dyDescent="0.3">
      <c r="A12126" s="10" t="str">
        <f>基本属性!$B$4&amp;"|"&amp;基本属性!$C$4</f>
        <v>35|0</v>
      </c>
      <c r="B12126" s="10" t="str">
        <f>参数调整!$J$42</f>
        <v>新增怪物种类7掉落</v>
      </c>
      <c r="C12126" s="8" t="str">
        <f>材料产出!$AP$2</f>
        <v>火龙气息</v>
      </c>
      <c r="D12126" s="224">
        <f>参数调整!$K$42*怪物掉落配置方案!$D4944</f>
        <v>1.7217786187907094E-3</v>
      </c>
    </row>
    <row r="12127" spans="1:4" ht="16.5" hidden="1" x14ac:dyDescent="0.3">
      <c r="A12127" s="10" t="str">
        <f>基本属性!$B$5&amp;"|"&amp;基本属性!$C$5</f>
        <v>40|0</v>
      </c>
      <c r="B12127" s="10" t="str">
        <f>参数调整!$J$42</f>
        <v>新增怪物种类7掉落</v>
      </c>
      <c r="C12127" s="8" t="str">
        <f>材料产出!$AP$2</f>
        <v>火龙气息</v>
      </c>
      <c r="D12127" s="224">
        <f>参数调整!$K$42*怪物掉落配置方案!$D4945</f>
        <v>2.1791260644069919E-3</v>
      </c>
    </row>
    <row r="12128" spans="1:4" ht="16.5" hidden="1" x14ac:dyDescent="0.3">
      <c r="A12128" s="10" t="str">
        <f>基本属性!$B$6&amp;"|"&amp;基本属性!$C$6</f>
        <v>50|0</v>
      </c>
      <c r="B12128" s="10" t="str">
        <f>参数调整!$J$42</f>
        <v>新增怪物种类7掉落</v>
      </c>
      <c r="C12128" s="8" t="str">
        <f>材料产出!$AP$2</f>
        <v>火龙气息</v>
      </c>
      <c r="D12128" s="224">
        <f>参数调整!$K$42*怪物掉落配置方案!$D4946</f>
        <v>2.6902790918604839E-3</v>
      </c>
    </row>
    <row r="12129" spans="1:4" ht="16.5" hidden="1" x14ac:dyDescent="0.3">
      <c r="A12129" s="10" t="str">
        <f>基本属性!$B$7&amp;"|"&amp;基本属性!$C$7</f>
        <v>60|0</v>
      </c>
      <c r="B12129" s="10" t="str">
        <f>参数调整!$J$42</f>
        <v>新增怪物种类7掉落</v>
      </c>
      <c r="C12129" s="8" t="str">
        <f>材料产出!$AP$2</f>
        <v>火龙气息</v>
      </c>
      <c r="D12129" s="224">
        <f>参数调整!$K$42*怪物掉落配置方案!$D4947</f>
        <v>3.255237701151186E-3</v>
      </c>
    </row>
    <row r="12130" spans="1:4" ht="16.5" hidden="1" x14ac:dyDescent="0.3">
      <c r="A12130" s="10" t="str">
        <f>基本属性!$B$8&amp;"|"&amp;基本属性!$C$8</f>
        <v>65|0</v>
      </c>
      <c r="B12130" s="10" t="str">
        <f>参数调整!$J$42</f>
        <v>新增怪物种类7掉落</v>
      </c>
      <c r="C12130" s="8" t="str">
        <f>材料产出!$AP$2</f>
        <v>火龙气息</v>
      </c>
      <c r="D12130" s="224">
        <f>参数调整!$K$42*怪物掉落配置方案!$D4948</f>
        <v>3.8740018922790963E-3</v>
      </c>
    </row>
    <row r="12131" spans="1:4" ht="16.5" hidden="1" x14ac:dyDescent="0.3">
      <c r="A12131" s="10" t="str">
        <f>基本属性!$B$9&amp;"|"&amp;基本属性!$C$9</f>
        <v>70|0</v>
      </c>
      <c r="B12131" s="10" t="str">
        <f>参数调整!$J$42</f>
        <v>新增怪物种类7掉落</v>
      </c>
      <c r="C12131" s="8" t="str">
        <f>材料产出!$AP$2</f>
        <v>火龙气息</v>
      </c>
      <c r="D12131" s="224">
        <f>参数调整!$K$42*怪物掉落配置方案!$D4949</f>
        <v>4.5465716652442166E-3</v>
      </c>
    </row>
    <row r="12132" spans="1:4" ht="16.5" hidden="1" x14ac:dyDescent="0.3">
      <c r="A12132" s="10" t="str">
        <f>基本属性!$B$10&amp;"|"&amp;基本属性!$C$10</f>
        <v>75|0</v>
      </c>
      <c r="B12132" s="10" t="str">
        <f>参数调整!$J$42</f>
        <v>新增怪物种类7掉落</v>
      </c>
      <c r="C12132" s="8" t="str">
        <f>材料产出!$AP$2</f>
        <v>火龙气息</v>
      </c>
      <c r="D12132" s="224">
        <f>参数调整!$K$42*怪物掉落配置方案!$D4950</f>
        <v>5.2729470200465469E-3</v>
      </c>
    </row>
    <row r="12133" spans="1:4" ht="16.5" hidden="1" x14ac:dyDescent="0.3">
      <c r="A12133" s="10" t="str">
        <f>基本属性!$B$11&amp;"|"&amp;基本属性!$C$11</f>
        <v>80|1</v>
      </c>
      <c r="B12133" s="10" t="str">
        <f>参数调整!$J$42</f>
        <v>新增怪物种类7掉落</v>
      </c>
      <c r="C12133" s="8" t="str">
        <f>材料产出!$AP$2</f>
        <v>火龙气息</v>
      </c>
      <c r="D12133" s="224">
        <f>参数调整!$K$42*怪物掉落配置方案!$D4951</f>
        <v>6.0531279566860881E-3</v>
      </c>
    </row>
    <row r="12134" spans="1:4" ht="16.5" hidden="1" x14ac:dyDescent="0.3">
      <c r="A12134" s="10" t="str">
        <f>基本属性!$B$12&amp;"|"&amp;基本属性!$C$12</f>
        <v>90|2</v>
      </c>
      <c r="B12134" s="10" t="str">
        <f>参数调整!$J$42</f>
        <v>新增怪物种类7掉落</v>
      </c>
      <c r="C12134" s="8" t="str">
        <f>材料产出!$AP$2</f>
        <v>火龙气息</v>
      </c>
      <c r="D12134" s="224">
        <f>参数调整!$K$42*怪物掉落配置方案!$D4952</f>
        <v>6.8871144751628376E-3</v>
      </c>
    </row>
    <row r="12135" spans="1:4" ht="16.5" hidden="1" x14ac:dyDescent="0.3">
      <c r="A12135" s="10" t="str">
        <f>基本属性!$B$13&amp;"|"&amp;基本属性!$C$13</f>
        <v>100|3</v>
      </c>
      <c r="B12135" s="10" t="str">
        <f>参数调整!$J$42</f>
        <v>新增怪物种类7掉落</v>
      </c>
      <c r="C12135" s="8" t="str">
        <f>材料产出!$AP$2</f>
        <v>火龙气息</v>
      </c>
      <c r="D12135" s="224">
        <f>参数调整!$K$42*怪物掉落配置方案!$D4953</f>
        <v>8.7165042576279675E-3</v>
      </c>
    </row>
    <row r="12136" spans="1:4" ht="16.5" hidden="1" x14ac:dyDescent="0.3">
      <c r="A12136" s="10" t="str">
        <f>基本属性!$B$14&amp;"|"&amp;基本属性!$C$14</f>
        <v>105|4</v>
      </c>
      <c r="B12136" s="10" t="str">
        <f>参数调整!$J$42</f>
        <v>新增怪物种类7掉落</v>
      </c>
      <c r="C12136" s="8" t="str">
        <f>材料产出!$AP$2</f>
        <v>火龙气息</v>
      </c>
      <c r="D12136" s="224">
        <f>参数调整!$K$42*怪物掉落配置方案!$D4954</f>
        <v>1.0761116367441936E-2</v>
      </c>
    </row>
    <row r="12137" spans="1:4" ht="16.5" hidden="1" x14ac:dyDescent="0.3">
      <c r="A12137" s="10" t="str">
        <f>基本属性!$B$15&amp;"|"&amp;基本属性!$C$15</f>
        <v>110|5</v>
      </c>
      <c r="B12137" s="10" t="str">
        <f>参数调整!$J$42</f>
        <v>新增怪物种类7掉落</v>
      </c>
      <c r="C12137" s="8" t="str">
        <f>材料产出!$AP$2</f>
        <v>火龙气息</v>
      </c>
      <c r="D12137" s="224">
        <f>参数调整!$K$42*怪物掉落配置方案!$D4955</f>
        <v>1.3020950804604744E-2</v>
      </c>
    </row>
    <row r="12138" spans="1:4" ht="16.5" hidden="1" x14ac:dyDescent="0.3">
      <c r="A12138" s="10" t="str">
        <f>基本属性!$B$16&amp;"|"&amp;基本属性!$C$16</f>
        <v>120|6</v>
      </c>
      <c r="B12138" s="10" t="str">
        <f>参数调整!$J$42</f>
        <v>新增怪物种类7掉落</v>
      </c>
      <c r="C12138" s="8" t="str">
        <f>材料产出!$AP$2</f>
        <v>火龙气息</v>
      </c>
      <c r="D12138" s="224">
        <f>参数调整!$K$42*怪物掉落配置方案!$D4956</f>
        <v>1.6814244324128022E-2</v>
      </c>
    </row>
    <row r="12139" spans="1:4" ht="16.5" hidden="1" x14ac:dyDescent="0.3">
      <c r="A12139" s="10" t="str">
        <f>基本属性!$B$17&amp;"|"&amp;基本属性!$C$17</f>
        <v>135|7</v>
      </c>
      <c r="B12139" s="10" t="str">
        <f>参数调整!$J$42</f>
        <v>新增怪物种类7掉落</v>
      </c>
      <c r="C12139" s="8" t="str">
        <f>材料产出!$AP$2</f>
        <v>火龙气息</v>
      </c>
      <c r="D12139" s="224">
        <f>参数调整!$K$42*怪物掉落配置方案!$D4957</f>
        <v>2.4212511826744353E-2</v>
      </c>
    </row>
    <row r="12140" spans="1:4" ht="16.5" hidden="1" x14ac:dyDescent="0.3">
      <c r="A12140" s="10" t="str">
        <f>基本属性!$B$18&amp;"|"&amp;基本属性!$C$18</f>
        <v>155|8</v>
      </c>
      <c r="B12140" s="10" t="str">
        <f>参数调整!$J$42</f>
        <v>新增怪物种类7掉落</v>
      </c>
      <c r="C12140" s="8" t="str">
        <f>材料产出!$AP$2</f>
        <v>火龙气息</v>
      </c>
      <c r="D12140" s="224">
        <f>参数调整!$K$42*怪物掉落配置方案!$D4958</f>
        <v>3.2955918875290924E-2</v>
      </c>
    </row>
    <row r="12141" spans="1:4" ht="16.5" hidden="1" x14ac:dyDescent="0.3">
      <c r="A12141" s="10" t="str">
        <f>基本属性!$B$19&amp;"|"&amp;基本属性!$C$19</f>
        <v>190|9</v>
      </c>
      <c r="B12141" s="10" t="str">
        <f>参数调整!$J$42</f>
        <v>新增怪物种类7掉落</v>
      </c>
      <c r="C12141" s="8" t="str">
        <f>材料产出!$AP$2</f>
        <v>火龙气息</v>
      </c>
      <c r="D12141" s="224">
        <f>参数调整!$K$42*怪物掉落配置方案!$D4959</f>
        <v>3.6829920767570024E-2</v>
      </c>
    </row>
    <row r="12142" spans="1:4" ht="16.5" hidden="1" x14ac:dyDescent="0.3">
      <c r="A12142" s="10" t="str">
        <f>基本属性!$B$20&amp;"|"&amp;基本属性!$C$20</f>
        <v>200|10</v>
      </c>
      <c r="B12142" s="10" t="str">
        <f>参数调整!$J$42</f>
        <v>新增怪物种类7掉落</v>
      </c>
      <c r="C12142" s="8" t="str">
        <f>材料产出!$AP$2</f>
        <v>火龙气息</v>
      </c>
      <c r="D12142" s="224">
        <f>参数调整!$K$42*怪物掉落配置方案!$D4960</f>
        <v>4.3044465469767743E-2</v>
      </c>
    </row>
    <row r="12143" spans="1:4" ht="16.5" hidden="1" x14ac:dyDescent="0.3">
      <c r="A12143" s="10" t="str">
        <f>基本属性!$B$21&amp;"|"&amp;基本属性!$C$21</f>
        <v>200|11</v>
      </c>
      <c r="B12143" s="10" t="str">
        <f>参数调整!$J$42</f>
        <v>新增怪物种类7掉落</v>
      </c>
      <c r="C12143" s="8" t="str">
        <f>材料产出!$AP$2</f>
        <v>火龙气息</v>
      </c>
      <c r="D12143" s="224">
        <f>参数调整!$K$42*怪物掉落配置方案!$D4961</f>
        <v>4.9743260408500335E-2</v>
      </c>
    </row>
    <row r="12144" spans="1:4" ht="16.5" hidden="1" x14ac:dyDescent="0.3">
      <c r="A12144" s="10" t="str">
        <f>基本属性!$B$22&amp;"|"&amp;基本属性!$C$22</f>
        <v>210|12</v>
      </c>
      <c r="B12144" s="10" t="str">
        <f>参数调整!$J$42</f>
        <v>新增怪物种类7掉落</v>
      </c>
      <c r="C12144" s="8" t="str">
        <f>材料产出!$AP$2</f>
        <v>火龙气息</v>
      </c>
      <c r="D12144" s="224">
        <f>参数调整!$K$42*怪物掉落配置方案!$D4962</f>
        <v>5.6926305583767815E-2</v>
      </c>
    </row>
    <row r="12145" spans="1:4" ht="16.5" hidden="1" x14ac:dyDescent="0.3">
      <c r="A12145" s="10" t="str">
        <f>基本属性!$B$23&amp;"|"&amp;基本属性!$C$23</f>
        <v>210|13</v>
      </c>
      <c r="B12145" s="10" t="str">
        <f>参数调整!$J$42</f>
        <v>新增怪物种类7掉落</v>
      </c>
      <c r="C12145" s="8" t="str">
        <f>材料产出!$AP$2</f>
        <v>火龙气息</v>
      </c>
      <c r="D12145" s="224">
        <f>参数调整!$K$42*怪物掉落配置方案!$D4963</f>
        <v>6.4593600995570224E-2</v>
      </c>
    </row>
    <row r="12146" spans="1:4" ht="16.5" hidden="1" x14ac:dyDescent="0.3">
      <c r="A12146" s="10" t="str">
        <f>基本属性!$B$24&amp;"|"&amp;基本属性!$C$24</f>
        <v>220|14</v>
      </c>
      <c r="B12146" s="10" t="str">
        <f>参数调整!$J$42</f>
        <v>新增怪物种类7掉落</v>
      </c>
      <c r="C12146" s="8" t="str">
        <f>材料产出!$AP$2</f>
        <v>火龙气息</v>
      </c>
      <c r="D12146" s="224">
        <f>参数调整!$K$42*怪物掉落配置方案!$D4964</f>
        <v>7.2745146643907466E-2</v>
      </c>
    </row>
    <row r="12147" spans="1:4" ht="16.5" hidden="1" x14ac:dyDescent="0.3">
      <c r="A12147" s="10" t="str">
        <f>基本属性!$B$25&amp;"|"&amp;基本属性!$C$25</f>
        <v>220|15</v>
      </c>
      <c r="B12147" s="10" t="str">
        <f>参数调整!$J$42</f>
        <v>新增怪物种类7掉落</v>
      </c>
      <c r="C12147" s="8" t="str">
        <f>材料产出!$AP$2</f>
        <v>火龙气息</v>
      </c>
      <c r="D12147" s="224">
        <f>参数调整!$K$42*怪物掉落配置方案!$D4965</f>
        <v>8.1380942528779629E-2</v>
      </c>
    </row>
    <row r="12148" spans="1:4" ht="16.5" hidden="1" x14ac:dyDescent="0.3">
      <c r="A12148" s="10" t="str">
        <f>基本属性!$B$26&amp;"|"&amp;基本属性!$C$26</f>
        <v>230|16</v>
      </c>
      <c r="B12148" s="10" t="str">
        <f>参数调整!$J$42</f>
        <v>新增怪物种类7掉落</v>
      </c>
      <c r="C12148" s="8" t="str">
        <f>材料产出!$AP$2</f>
        <v>火龙气息</v>
      </c>
      <c r="D12148" s="224">
        <f>参数调整!$K$42*怪物掉落配置方案!$D4966</f>
        <v>9.0500988650186659E-2</v>
      </c>
    </row>
    <row r="12149" spans="1:4" ht="16.5" hidden="1" x14ac:dyDescent="0.3">
      <c r="A12149" s="10" t="str">
        <f>基本属性!$B$27&amp;"|"&amp;基本属性!$C$27</f>
        <v>230|17</v>
      </c>
      <c r="B12149" s="10" t="str">
        <f>参数调整!$J$42</f>
        <v>新增怪物种类7掉落</v>
      </c>
      <c r="C12149" s="8" t="str">
        <f>材料产出!$AP$2</f>
        <v>火龙气息</v>
      </c>
      <c r="D12149" s="224">
        <f>参数调整!$K$42*怪物掉落配置方案!$D4967</f>
        <v>0.10010528500812858</v>
      </c>
    </row>
    <row r="12150" spans="1:4" ht="16.5" hidden="1" x14ac:dyDescent="0.3">
      <c r="A12150" s="10" t="str">
        <f>基本属性!$B$28&amp;"|"&amp;基本属性!$C$28</f>
        <v>240|18</v>
      </c>
      <c r="B12150" s="10" t="str">
        <f>参数调整!$J$42</f>
        <v>新增怪物种类7掉落</v>
      </c>
      <c r="C12150" s="8" t="str">
        <f>材料产出!$AP$2</f>
        <v>火龙气息</v>
      </c>
      <c r="D12150" s="224">
        <f>参数调整!$K$42*怪物掉落配置方案!$D4968</f>
        <v>0.1101938316026054</v>
      </c>
    </row>
    <row r="12151" spans="1:4" ht="16.5" hidden="1" x14ac:dyDescent="0.3">
      <c r="A12151" s="10" t="str">
        <f>基本属性!$B$29&amp;"|"&amp;基本属性!$C$29</f>
        <v>240|19</v>
      </c>
      <c r="B12151" s="10" t="str">
        <f>参数调整!$J$42</f>
        <v>新增怪物种类7掉落</v>
      </c>
      <c r="C12151" s="8" t="str">
        <f>材料产出!$AP$2</f>
        <v>火龙气息</v>
      </c>
      <c r="D12151" s="224">
        <f>参数调整!$K$42*怪物掉落配置方案!$D4969</f>
        <v>0.12076662843361713</v>
      </c>
    </row>
    <row r="12152" spans="1:4" ht="16.5" hidden="1" x14ac:dyDescent="0.3">
      <c r="A12152" s="10" t="str">
        <f>基本属性!$B$30&amp;"|"&amp;基本属性!$C$30</f>
        <v>250|20</v>
      </c>
      <c r="B12152" s="10" t="str">
        <f>参数调整!$J$42</f>
        <v>新增怪物种类7掉落</v>
      </c>
      <c r="C12152" s="8" t="str">
        <f>材料产出!$AP$2</f>
        <v>火龙气息</v>
      </c>
      <c r="D12152" s="224">
        <f>参数调整!$K$42*怪物掉落配置方案!$D4970</f>
        <v>0.1318236755011637</v>
      </c>
    </row>
    <row r="12153" spans="1:4" ht="16.5" hidden="1" x14ac:dyDescent="0.3">
      <c r="A12153" s="10" t="str">
        <f>基本属性!$B$4&amp;"|"&amp;基本属性!$C$4</f>
        <v>35|0</v>
      </c>
      <c r="B12153" s="10" t="str">
        <f>参数调整!$J$42</f>
        <v>新增怪物种类7掉落</v>
      </c>
      <c r="C12153" s="8" t="str">
        <f>材料产出!$N$2</f>
        <v>火龙凭证</v>
      </c>
      <c r="D12153" s="224">
        <f>参数调整!$K$42*怪物掉落配置方案!$D4971</f>
        <v>4.5465065612808428E-2</v>
      </c>
    </row>
    <row r="12154" spans="1:4" ht="16.5" hidden="1" x14ac:dyDescent="0.3">
      <c r="A12154" s="10" t="str">
        <f>基本属性!$B$5&amp;"|"&amp;基本属性!$C$5</f>
        <v>40|0</v>
      </c>
      <c r="B12154" s="10" t="str">
        <f>参数调整!$J$42</f>
        <v>新增怪物种类7掉落</v>
      </c>
      <c r="C12154" s="8" t="str">
        <f>材料产出!$N$2</f>
        <v>火龙凭证</v>
      </c>
      <c r="D12154" s="224">
        <f>参数调整!$K$42*怪物掉落配置方案!$D4972</f>
        <v>5.7541723666210673E-2</v>
      </c>
    </row>
    <row r="12155" spans="1:4" ht="16.5" hidden="1" x14ac:dyDescent="0.3">
      <c r="A12155" s="10" t="str">
        <f>基本属性!$B$6&amp;"|"&amp;基本属性!$C$6</f>
        <v>50|0</v>
      </c>
      <c r="B12155" s="10" t="str">
        <f>参数调整!$J$42</f>
        <v>新增怪物种类7掉落</v>
      </c>
      <c r="C12155" s="8" t="str">
        <f>材料产出!$N$2</f>
        <v>火龙凭证</v>
      </c>
      <c r="D12155" s="224">
        <f>参数调整!$K$42*怪物掉落配置方案!$D4973</f>
        <v>7.1039165020013173E-2</v>
      </c>
    </row>
    <row r="12156" spans="1:4" ht="16.5" hidden="1" x14ac:dyDescent="0.3">
      <c r="A12156" s="10" t="str">
        <f>基本属性!$B$7&amp;"|"&amp;基本属性!$C$7</f>
        <v>60|0</v>
      </c>
      <c r="B12156" s="10" t="str">
        <f>参数调整!$J$42</f>
        <v>新增怪物种类7掉落</v>
      </c>
      <c r="C12156" s="8" t="str">
        <f>材料产出!$N$2</f>
        <v>火龙凭证</v>
      </c>
      <c r="D12156" s="224">
        <f>参数调整!$K$42*怪物掉落配置方案!$D4974</f>
        <v>8.5957389674215942E-2</v>
      </c>
    </row>
    <row r="12157" spans="1:4" ht="16.5" hidden="1" x14ac:dyDescent="0.3">
      <c r="A12157" s="10" t="str">
        <f>基本属性!$B$8&amp;"|"&amp;基本属性!$C$8</f>
        <v>65|0</v>
      </c>
      <c r="B12157" s="10" t="str">
        <f>参数调整!$J$42</f>
        <v>新增怪物种类7掉落</v>
      </c>
      <c r="C12157" s="8" t="str">
        <f>材料产出!$N$2</f>
        <v>火龙凭证</v>
      </c>
      <c r="D12157" s="224">
        <f>参数调整!$K$42*怪物掉落配置方案!$D4975</f>
        <v>0.10229639762881897</v>
      </c>
    </row>
    <row r="12158" spans="1:4" ht="16.5" hidden="1" x14ac:dyDescent="0.3">
      <c r="A12158" s="10" t="str">
        <f>基本属性!$B$9&amp;"|"&amp;基本属性!$C$9</f>
        <v>70|0</v>
      </c>
      <c r="B12158" s="10" t="str">
        <f>参数调整!$J$42</f>
        <v>新增怪物种类7掉落</v>
      </c>
      <c r="C12158" s="8" t="str">
        <f>材料产出!$N$2</f>
        <v>火龙凭证</v>
      </c>
      <c r="D12158" s="224">
        <f>参数调整!$K$42*怪物掉落配置方案!$D4976</f>
        <v>0.12005618888382226</v>
      </c>
    </row>
    <row r="12159" spans="1:4" ht="16.5" hidden="1" x14ac:dyDescent="0.3">
      <c r="A12159" s="10" t="str">
        <f>基本属性!$B$10&amp;"|"&amp;基本属性!$C$10</f>
        <v>75|0</v>
      </c>
      <c r="B12159" s="10" t="str">
        <f>参数调整!$J$42</f>
        <v>新增怪物种类7掉落</v>
      </c>
      <c r="C12159" s="8" t="str">
        <f>材料产出!$N$2</f>
        <v>火龙凭证</v>
      </c>
      <c r="D12159" s="224">
        <f>参数调整!$K$42*怪物掉落配置方案!$D4977</f>
        <v>0.13923676343922581</v>
      </c>
    </row>
    <row r="12160" spans="1:4" ht="16.5" hidden="1" x14ac:dyDescent="0.3">
      <c r="A12160" s="10" t="str">
        <f>基本属性!$B$11&amp;"|"&amp;基本属性!$C$11</f>
        <v>80|1</v>
      </c>
      <c r="B12160" s="10" t="str">
        <f>参数调整!$J$42</f>
        <v>新增怪物种类7掉落</v>
      </c>
      <c r="C12160" s="8" t="str">
        <f>材料产出!$N$2</f>
        <v>火龙凭证</v>
      </c>
      <c r="D12160" s="224">
        <f>参数调整!$K$42*怪物掉落配置方案!$D4978</f>
        <v>0.15983812129502961</v>
      </c>
    </row>
    <row r="12161" spans="1:4" ht="16.5" hidden="1" x14ac:dyDescent="0.3">
      <c r="A12161" s="10" t="str">
        <f>基本属性!$B$12&amp;"|"&amp;基本属性!$C$12</f>
        <v>90|2</v>
      </c>
      <c r="B12161" s="10" t="str">
        <f>参数调整!$J$42</f>
        <v>新增怪物种类7掉落</v>
      </c>
      <c r="C12161" s="8" t="str">
        <f>材料产出!$N$2</f>
        <v>火龙凭证</v>
      </c>
      <c r="D12161" s="224">
        <f>参数调整!$K$42*怪物掉落配置方案!$D4979</f>
        <v>0.18186026245123374</v>
      </c>
    </row>
    <row r="12162" spans="1:4" ht="16.5" hidden="1" x14ac:dyDescent="0.3">
      <c r="A12162" s="10" t="str">
        <f>基本属性!$B$13&amp;"|"&amp;基本属性!$C$13</f>
        <v>100|3</v>
      </c>
      <c r="B12162" s="10" t="str">
        <f>参数调整!$J$42</f>
        <v>新增怪物种类7掉落</v>
      </c>
      <c r="C12162" s="8" t="str">
        <f>材料产出!$N$2</f>
        <v>火龙凭证</v>
      </c>
      <c r="D12162" s="224">
        <f>参数调整!$K$42*怪物掉落配置方案!$D4980</f>
        <v>0.23016689466484269</v>
      </c>
    </row>
    <row r="12163" spans="1:4" ht="16.5" hidden="1" x14ac:dyDescent="0.3">
      <c r="A12163" s="10" t="str">
        <f>基本属性!$B$14&amp;"|"&amp;基本属性!$C$14</f>
        <v>105|4</v>
      </c>
      <c r="B12163" s="10" t="str">
        <f>参数调整!$J$42</f>
        <v>新增怪物种类7掉落</v>
      </c>
      <c r="C12163" s="8" t="str">
        <f>材料产出!$N$2</f>
        <v>火龙凭证</v>
      </c>
      <c r="D12163" s="224">
        <f>参数调整!$K$42*怪物掉落配置方案!$D4981</f>
        <v>0.28415666008005275</v>
      </c>
    </row>
    <row r="12164" spans="1:4" ht="16.5" hidden="1" x14ac:dyDescent="0.3">
      <c r="A12164" s="10" t="str">
        <f>基本属性!$B$15&amp;"|"&amp;基本属性!$C$15</f>
        <v>110|5</v>
      </c>
      <c r="B12164" s="10" t="str">
        <f>参数调整!$J$42</f>
        <v>新增怪物种类7掉落</v>
      </c>
      <c r="C12164" s="8" t="str">
        <f>材料产出!$N$2</f>
        <v>火龙凭证</v>
      </c>
      <c r="D12164" s="224">
        <f>参数调整!$K$42*怪物掉落配置方案!$D4982</f>
        <v>0.34382955869686377</v>
      </c>
    </row>
    <row r="12165" spans="1:4" ht="16.5" hidden="1" x14ac:dyDescent="0.3">
      <c r="A12165" s="10" t="str">
        <f>基本属性!$B$16&amp;"|"&amp;基本属性!$C$16</f>
        <v>120|6</v>
      </c>
      <c r="B12165" s="10" t="str">
        <f>参数调整!$J$42</f>
        <v>新增怪物种类7掉落</v>
      </c>
      <c r="C12165" s="8" t="str">
        <f>材料产出!$N$2</f>
        <v>火龙凭证</v>
      </c>
      <c r="D12165" s="224">
        <f>参数调整!$K$42*怪物掉落配置方案!$D4983</f>
        <v>0.4439947813750823</v>
      </c>
    </row>
    <row r="12166" spans="1:4" ht="16.5" hidden="1" x14ac:dyDescent="0.3">
      <c r="A12166" s="10" t="str">
        <f>基本属性!$B$17&amp;"|"&amp;基本属性!$C$17</f>
        <v>135|7</v>
      </c>
      <c r="B12166" s="10" t="str">
        <f>参数调整!$J$42</f>
        <v>新增怪物种类7掉落</v>
      </c>
      <c r="C12166" s="8" t="str">
        <f>材料产出!$N$2</f>
        <v>火龙凭证</v>
      </c>
      <c r="D12166" s="224">
        <f>参数调整!$K$42*怪物掉落配置方案!$D4984</f>
        <v>0.63935248518011845</v>
      </c>
    </row>
    <row r="12167" spans="1:4" ht="16.5" hidden="1" x14ac:dyDescent="0.3">
      <c r="A12167" s="10" t="str">
        <f>基本属性!$B$18&amp;"|"&amp;基本属性!$C$18</f>
        <v>155|8</v>
      </c>
      <c r="B12167" s="10" t="str">
        <f>参数调整!$J$42</f>
        <v>新增怪物种类7掉落</v>
      </c>
      <c r="C12167" s="8" t="str">
        <f>材料产出!$N$2</f>
        <v>火龙凭证</v>
      </c>
      <c r="D12167" s="224">
        <f>参数调整!$K$42*怪物掉落配置方案!$D4985</f>
        <v>0.87022977149516134</v>
      </c>
    </row>
    <row r="12168" spans="1:4" ht="16.5" hidden="1" x14ac:dyDescent="0.3">
      <c r="A12168" s="10" t="str">
        <f>基本属性!$B$19&amp;"|"&amp;基本属性!$C$19</f>
        <v>190|9</v>
      </c>
      <c r="B12168" s="10" t="str">
        <f>参数调整!$J$42</f>
        <v>新增怪物种类7掉落</v>
      </c>
      <c r="C12168" s="8" t="str">
        <f>材料产出!$N$2</f>
        <v>火龙凭证</v>
      </c>
      <c r="D12168" s="224">
        <f>参数调整!$K$42*怪物掉落配置方案!$D4986</f>
        <v>0.97252616912398049</v>
      </c>
    </row>
    <row r="12169" spans="1:4" ht="16.5" hidden="1" x14ac:dyDescent="0.3">
      <c r="A12169" s="10" t="str">
        <f>基本属性!$B$20&amp;"|"&amp;基本属性!$C$20</f>
        <v>200|10</v>
      </c>
      <c r="B12169" s="10" t="str">
        <f>参数调整!$J$42</f>
        <v>新增怪物种类7掉落</v>
      </c>
      <c r="C12169" s="8" t="str">
        <f>材料产出!$N$2</f>
        <v>火龙凭证</v>
      </c>
      <c r="D12169" s="224">
        <f>参数调整!$K$42*怪物掉落配置方案!$D4987</f>
        <v>1.136626640320211</v>
      </c>
    </row>
    <row r="12170" spans="1:4" ht="16.5" hidden="1" x14ac:dyDescent="0.3">
      <c r="A12170" s="10" t="str">
        <f>基本属性!$B$21&amp;"|"&amp;基本属性!$C$21</f>
        <v>200|11</v>
      </c>
      <c r="B12170" s="10" t="str">
        <f>参数调整!$J$42</f>
        <v>新增怪物种类7掉落</v>
      </c>
      <c r="C12170" s="8" t="str">
        <f>材料产出!$N$2</f>
        <v>火龙凭证</v>
      </c>
      <c r="D12170" s="224">
        <f>参数调整!$K$42*怪物掉落配置方案!$D4988</f>
        <v>1.3135141612200434</v>
      </c>
    </row>
    <row r="12171" spans="1:4" ht="16.5" hidden="1" x14ac:dyDescent="0.3">
      <c r="A12171" s="10" t="str">
        <f>基本属性!$B$22&amp;"|"&amp;基本属性!$C$22</f>
        <v>210|12</v>
      </c>
      <c r="B12171" s="10" t="str">
        <f>参数调整!$J$42</f>
        <v>新增怪物种类7掉落</v>
      </c>
      <c r="C12171" s="8" t="str">
        <f>材料产出!$N$2</f>
        <v>火龙凭证</v>
      </c>
      <c r="D12171" s="224">
        <f>参数调整!$K$42*怪物掉落配置方案!$D4989</f>
        <v>1.5031887318234782</v>
      </c>
    </row>
    <row r="12172" spans="1:4" ht="16.5" hidden="1" x14ac:dyDescent="0.3">
      <c r="A12172" s="10" t="str">
        <f>基本属性!$B$23&amp;"|"&amp;基本属性!$C$23</f>
        <v>210|13</v>
      </c>
      <c r="B12172" s="10" t="str">
        <f>参数调整!$J$42</f>
        <v>新增怪物种类7掉落</v>
      </c>
      <c r="C12172" s="8" t="str">
        <f>材料产出!$N$2</f>
        <v>火龙凭证</v>
      </c>
      <c r="D12172" s="224">
        <f>参数调整!$K$42*怪物掉落配置方案!$D4990</f>
        <v>1.7056503521305166</v>
      </c>
    </row>
    <row r="12173" spans="1:4" ht="16.5" hidden="1" x14ac:dyDescent="0.3">
      <c r="A12173" s="10" t="str">
        <f>基本属性!$B$24&amp;"|"&amp;基本属性!$C$24</f>
        <v>220|14</v>
      </c>
      <c r="B12173" s="10" t="str">
        <f>参数调整!$J$42</f>
        <v>新增怪物种类7掉落</v>
      </c>
      <c r="C12173" s="8" t="str">
        <f>材料产出!$N$2</f>
        <v>火龙凭证</v>
      </c>
      <c r="D12173" s="224">
        <f>参数调整!$K$42*怪物掉落配置方案!$D4991</f>
        <v>1.9208990221411562</v>
      </c>
    </row>
    <row r="12174" spans="1:4" ht="16.5" hidden="1" x14ac:dyDescent="0.3">
      <c r="A12174" s="10" t="str">
        <f>基本属性!$B$25&amp;"|"&amp;基本属性!$C$25</f>
        <v>220|15</v>
      </c>
      <c r="B12174" s="10" t="str">
        <f>参数调整!$J$42</f>
        <v>新增怪物种类7掉落</v>
      </c>
      <c r="C12174" s="8" t="str">
        <f>材料产出!$N$2</f>
        <v>火龙凭证</v>
      </c>
      <c r="D12174" s="224">
        <f>参数调整!$K$42*怪物掉落配置方案!$D4992</f>
        <v>2.1489347418553981</v>
      </c>
    </row>
    <row r="12175" spans="1:4" ht="16.5" hidden="1" x14ac:dyDescent="0.3">
      <c r="A12175" s="10" t="str">
        <f>基本属性!$B$26&amp;"|"&amp;基本属性!$C$26</f>
        <v>230|16</v>
      </c>
      <c r="B12175" s="10" t="str">
        <f>参数调整!$J$42</f>
        <v>新增怪物种类7掉落</v>
      </c>
      <c r="C12175" s="8" t="str">
        <f>材料产出!$N$2</f>
        <v>火龙凭证</v>
      </c>
      <c r="D12175" s="224">
        <f>参数调整!$K$42*怪物掉落配置方案!$D4993</f>
        <v>2.3897575112732432</v>
      </c>
    </row>
    <row r="12176" spans="1:4" ht="16.5" hidden="1" x14ac:dyDescent="0.3">
      <c r="A12176" s="10" t="str">
        <f>基本属性!$B$27&amp;"|"&amp;基本属性!$C$27</f>
        <v>230|17</v>
      </c>
      <c r="B12176" s="10" t="str">
        <f>参数调整!$J$42</f>
        <v>新增怪物种类7掉落</v>
      </c>
      <c r="C12176" s="8" t="str">
        <f>材料产出!$N$2</f>
        <v>火龙凭证</v>
      </c>
      <c r="D12176" s="224">
        <f>参数调整!$K$42*怪物掉落配置方案!$D4994</f>
        <v>2.6433673303946899</v>
      </c>
    </row>
    <row r="12177" spans="1:4" ht="16.5" hidden="1" x14ac:dyDescent="0.3">
      <c r="A12177" s="10" t="str">
        <f>基本属性!$B$28&amp;"|"&amp;基本属性!$C$28</f>
        <v>240|18</v>
      </c>
      <c r="B12177" s="10" t="str">
        <f>参数调整!$J$42</f>
        <v>新增怪物种类7掉落</v>
      </c>
      <c r="C12177" s="8" t="str">
        <f>材料产出!$N$2</f>
        <v>火龙凭证</v>
      </c>
      <c r="D12177" s="224">
        <f>参数调整!$K$42*怪物掉落配置方案!$D4995</f>
        <v>2.9097641992197398</v>
      </c>
    </row>
    <row r="12178" spans="1:4" ht="16.5" hidden="1" x14ac:dyDescent="0.3">
      <c r="A12178" s="10" t="str">
        <f>基本属性!$B$29&amp;"|"&amp;基本属性!$C$29</f>
        <v>240|19</v>
      </c>
      <c r="B12178" s="10" t="str">
        <f>参数调整!$J$42</f>
        <v>新增怪物种类7掉落</v>
      </c>
      <c r="C12178" s="8" t="str">
        <f>材料产出!$N$2</f>
        <v>火龙凭证</v>
      </c>
      <c r="D12178" s="224">
        <f>参数调整!$K$42*怪物掉落配置方案!$D4996</f>
        <v>3.1889481177483914</v>
      </c>
    </row>
    <row r="12179" spans="1:4" ht="16.5" hidden="1" x14ac:dyDescent="0.3">
      <c r="A12179" s="10" t="str">
        <f>基本属性!$B$30&amp;"|"&amp;基本属性!$C$30</f>
        <v>250|20</v>
      </c>
      <c r="B12179" s="10" t="str">
        <f>参数调整!$J$42</f>
        <v>新增怪物种类7掉落</v>
      </c>
      <c r="C12179" s="8" t="str">
        <f>材料产出!$N$2</f>
        <v>火龙凭证</v>
      </c>
      <c r="D12179" s="224">
        <f>参数调整!$K$42*怪物掉落配置方案!$D4997</f>
        <v>3.4809190859806449</v>
      </c>
    </row>
    <row r="12180" spans="1:4" ht="16.5" hidden="1" x14ac:dyDescent="0.3">
      <c r="A12180" s="10" t="str">
        <f>基本属性!$B$4&amp;"|"&amp;基本属性!$C$4</f>
        <v>35|0</v>
      </c>
      <c r="B12180" s="10" t="str">
        <f>参数调整!$J$42</f>
        <v>新增怪物种类7掉落</v>
      </c>
      <c r="C12180" s="8" t="str">
        <f>材料产出!$AR$2</f>
        <v>火龙精魄</v>
      </c>
      <c r="D12180" s="224">
        <f>参数调整!$K$42*怪物掉落配置方案!$D4998</f>
        <v>2.2726752183491876E-5</v>
      </c>
    </row>
    <row r="12181" spans="1:4" ht="16.5" hidden="1" x14ac:dyDescent="0.3">
      <c r="A12181" s="10" t="str">
        <f>基本属性!$B$5&amp;"|"&amp;基本属性!$C$5</f>
        <v>40|0</v>
      </c>
      <c r="B12181" s="10" t="str">
        <f>参数调整!$J$42</f>
        <v>新增怪物种类7掉落</v>
      </c>
      <c r="C12181" s="8" t="str">
        <f>材料产出!$AR$2</f>
        <v>火龙精魄</v>
      </c>
      <c r="D12181" s="224">
        <f>参数调整!$K$42*怪物掉落配置方案!$D4999</f>
        <v>2.8763545732231902E-5</v>
      </c>
    </row>
    <row r="12182" spans="1:4" ht="16.5" hidden="1" x14ac:dyDescent="0.3">
      <c r="A12182" s="10" t="str">
        <f>基本属性!$B$6&amp;"|"&amp;基本属性!$C$6</f>
        <v>50|0</v>
      </c>
      <c r="B12182" s="10" t="str">
        <f>参数调整!$J$42</f>
        <v>新增怪物种类7掉落</v>
      </c>
      <c r="C12182" s="8" t="str">
        <f>材料产出!$AR$2</f>
        <v>火龙精魄</v>
      </c>
      <c r="D12182" s="224">
        <f>参数调整!$K$42*怪物掉落配置方案!$D5000</f>
        <v>3.5510550286706052E-5</v>
      </c>
    </row>
    <row r="12183" spans="1:4" ht="16.5" hidden="1" x14ac:dyDescent="0.3">
      <c r="A12183" s="10" t="str">
        <f>基本属性!$B$7&amp;"|"&amp;基本属性!$C$7</f>
        <v>60|0</v>
      </c>
      <c r="B12183" s="10" t="str">
        <f>参数调整!$J$42</f>
        <v>新增怪物种类7掉落</v>
      </c>
      <c r="C12183" s="8" t="str">
        <f>材料产出!$AR$2</f>
        <v>火龙精魄</v>
      </c>
      <c r="D12183" s="224">
        <f>参数调整!$K$42*怪物掉落配置方案!$D5001</f>
        <v>4.2967765846914332E-5</v>
      </c>
    </row>
    <row r="12184" spans="1:4" ht="16.5" hidden="1" x14ac:dyDescent="0.3">
      <c r="A12184" s="10" t="str">
        <f>基本属性!$B$8&amp;"|"&amp;基本属性!$C$8</f>
        <v>65|0</v>
      </c>
      <c r="B12184" s="10" t="str">
        <f>参数调整!$J$42</f>
        <v>新增怪物种类7掉落</v>
      </c>
      <c r="C12184" s="8" t="str">
        <f>材料产出!$AR$2</f>
        <v>火龙精魄</v>
      </c>
      <c r="D12184" s="224">
        <f>参数调整!$K$42*怪物掉落配置方案!$D5002</f>
        <v>5.1135192412856709E-5</v>
      </c>
    </row>
    <row r="12185" spans="1:4" ht="16.5" hidden="1" x14ac:dyDescent="0.3">
      <c r="A12185" s="10" t="str">
        <f>基本属性!$B$9&amp;"|"&amp;基本属性!$C$9</f>
        <v>70|0</v>
      </c>
      <c r="B12185" s="10" t="str">
        <f>参数调整!$J$42</f>
        <v>新增怪物种类7掉落</v>
      </c>
      <c r="C12185" s="8" t="str">
        <f>材料产出!$AR$2</f>
        <v>火龙精魄</v>
      </c>
      <c r="D12185" s="224">
        <f>参数调整!$K$42*怪物掉落配置方案!$D5003</f>
        <v>6.0012829984533224E-5</v>
      </c>
    </row>
    <row r="12186" spans="1:4" ht="16.5" hidden="1" x14ac:dyDescent="0.3">
      <c r="A12186" s="10" t="str">
        <f>基本属性!$B$10&amp;"|"&amp;基本属性!$C$10</f>
        <v>75|0</v>
      </c>
      <c r="B12186" s="10" t="str">
        <f>参数调整!$J$42</f>
        <v>新增怪物种类7掉落</v>
      </c>
      <c r="C12186" s="8" t="str">
        <f>材料产出!$AR$2</f>
        <v>火龙精魄</v>
      </c>
      <c r="D12186" s="224">
        <f>参数调整!$K$42*怪物掉落配置方案!$D5004</f>
        <v>6.9600678561943842E-5</v>
      </c>
    </row>
    <row r="12187" spans="1:4" ht="16.5" hidden="1" x14ac:dyDescent="0.3">
      <c r="A12187" s="10" t="str">
        <f>基本属性!$B$11&amp;"|"&amp;基本属性!$C$11</f>
        <v>80|1</v>
      </c>
      <c r="B12187" s="10" t="str">
        <f>参数调整!$J$42</f>
        <v>新增怪物种类7掉落</v>
      </c>
      <c r="C12187" s="8" t="str">
        <f>材料产出!$AR$2</f>
        <v>火龙精魄</v>
      </c>
      <c r="D12187" s="224">
        <f>参数调整!$K$42*怪物掉落配置方案!$D5005</f>
        <v>7.9898738145088604E-5</v>
      </c>
    </row>
    <row r="12188" spans="1:4" ht="16.5" hidden="1" x14ac:dyDescent="0.3">
      <c r="A12188" s="10" t="str">
        <f>基本属性!$B$12&amp;"|"&amp;基本属性!$C$12</f>
        <v>90|2</v>
      </c>
      <c r="B12188" s="10" t="str">
        <f>参数调整!$J$42</f>
        <v>新增怪物种类7掉落</v>
      </c>
      <c r="C12188" s="8" t="str">
        <f>材料产出!$AR$2</f>
        <v>火龙精魄</v>
      </c>
      <c r="D12188" s="224">
        <f>参数调整!$K$42*怪物掉落配置方案!$D5006</f>
        <v>9.0907008733967504E-5</v>
      </c>
    </row>
    <row r="12189" spans="1:4" ht="16.5" hidden="1" x14ac:dyDescent="0.3">
      <c r="A12189" s="10" t="str">
        <f>基本属性!$B$13&amp;"|"&amp;基本属性!$C$13</f>
        <v>100|3</v>
      </c>
      <c r="B12189" s="10" t="str">
        <f>参数调整!$J$42</f>
        <v>新增怪物种类7掉落</v>
      </c>
      <c r="C12189" s="8" t="str">
        <f>材料产出!$AR$2</f>
        <v>火龙精魄</v>
      </c>
      <c r="D12189" s="224">
        <f>参数调整!$K$42*怪物掉落配置方案!$D5007</f>
        <v>1.1505418292892763E-4</v>
      </c>
    </row>
    <row r="12190" spans="1:4" ht="16.5" hidden="1" x14ac:dyDescent="0.3">
      <c r="A12190" s="10" t="str">
        <f>基本属性!$B$14&amp;"|"&amp;基本属性!$C$14</f>
        <v>105|4</v>
      </c>
      <c r="B12190" s="10" t="str">
        <f>参数调整!$J$42</f>
        <v>新增怪物种类7掉落</v>
      </c>
      <c r="C12190" s="8" t="str">
        <f>材料产出!$AR$2</f>
        <v>火龙精魄</v>
      </c>
      <c r="D12190" s="224">
        <f>参数调整!$K$42*怪物掉落配置方案!$D5008</f>
        <v>1.4204220114682421E-4</v>
      </c>
    </row>
    <row r="12191" spans="1:4" ht="16.5" hidden="1" x14ac:dyDescent="0.3">
      <c r="A12191" s="10" t="str">
        <f>基本属性!$B$15&amp;"|"&amp;基本属性!$C$15</f>
        <v>110|5</v>
      </c>
      <c r="B12191" s="10" t="str">
        <f>参数调整!$J$42</f>
        <v>新增怪物种类7掉落</v>
      </c>
      <c r="C12191" s="8" t="str">
        <f>材料产出!$AR$2</f>
        <v>火龙精魄</v>
      </c>
      <c r="D12191" s="224">
        <f>参数调整!$K$42*怪物掉落配置方案!$D5009</f>
        <v>1.7187106338765733E-4</v>
      </c>
    </row>
    <row r="12192" spans="1:4" ht="16.5" hidden="1" x14ac:dyDescent="0.3">
      <c r="A12192" s="10" t="str">
        <f>基本属性!$B$16&amp;"|"&amp;基本属性!$C$16</f>
        <v>120|6</v>
      </c>
      <c r="B12192" s="10" t="str">
        <f>参数调整!$J$42</f>
        <v>新增怪物种类7掉落</v>
      </c>
      <c r="C12192" s="8" t="str">
        <f>材料产出!$AR$2</f>
        <v>火龙精魄</v>
      </c>
      <c r="D12192" s="224">
        <f>参数调整!$K$42*怪物掉落配置方案!$D5010</f>
        <v>2.2194093929191284E-4</v>
      </c>
    </row>
    <row r="12193" spans="1:4" ht="16.5" hidden="1" x14ac:dyDescent="0.3">
      <c r="A12193" s="10" t="str">
        <f>基本属性!$B$17&amp;"|"&amp;基本属性!$C$17</f>
        <v>135|7</v>
      </c>
      <c r="B12193" s="10" t="str">
        <f>参数调整!$J$42</f>
        <v>新增怪物种类7掉落</v>
      </c>
      <c r="C12193" s="8" t="str">
        <f>材料产出!$AR$2</f>
        <v>火龙精魄</v>
      </c>
      <c r="D12193" s="224">
        <f>参数调整!$K$42*怪物掉落配置方案!$D5011</f>
        <v>3.1959495258035442E-4</v>
      </c>
    </row>
    <row r="12194" spans="1:4" ht="16.5" hidden="1" x14ac:dyDescent="0.3">
      <c r="A12194" s="10" t="str">
        <f>基本属性!$B$18&amp;"|"&amp;基本属性!$C$18</f>
        <v>155|8</v>
      </c>
      <c r="B12194" s="10" t="str">
        <f>参数调整!$J$42</f>
        <v>新增怪物种类7掉落</v>
      </c>
      <c r="C12194" s="8" t="str">
        <f>材料产出!$AR$2</f>
        <v>火龙精魄</v>
      </c>
      <c r="D12194" s="224">
        <f>参数调整!$K$42*怪物掉落配置方案!$D5012</f>
        <v>4.3500424101214921E-4</v>
      </c>
    </row>
    <row r="12195" spans="1:4" ht="16.5" hidden="1" x14ac:dyDescent="0.3">
      <c r="A12195" s="10" t="str">
        <f>基本属性!$B$19&amp;"|"&amp;基本属性!$C$19</f>
        <v>190|9</v>
      </c>
      <c r="B12195" s="10" t="str">
        <f>参数调整!$J$42</f>
        <v>新增怪物种类7掉落</v>
      </c>
      <c r="C12195" s="8" t="str">
        <f>材料产出!$AR$2</f>
        <v>火龙精魄</v>
      </c>
      <c r="D12195" s="224">
        <f>参数调整!$K$42*怪物掉落配置方案!$D5013</f>
        <v>4.8613943342500581E-4</v>
      </c>
    </row>
    <row r="12196" spans="1:4" ht="16.5" hidden="1" x14ac:dyDescent="0.3">
      <c r="A12196" s="10" t="str">
        <f>基本属性!$B$20&amp;"|"&amp;基本属性!$C$20</f>
        <v>200|10</v>
      </c>
      <c r="B12196" s="10" t="str">
        <f>参数调整!$J$42</f>
        <v>新增怪物种类7掉落</v>
      </c>
      <c r="C12196" s="8" t="str">
        <f>材料产出!$AR$2</f>
        <v>火龙精魄</v>
      </c>
      <c r="D12196" s="224">
        <f>参数调整!$K$42*怪物掉落配置方案!$D5014</f>
        <v>5.6816880458729682E-4</v>
      </c>
    </row>
    <row r="12197" spans="1:4" ht="16.5" hidden="1" x14ac:dyDescent="0.3">
      <c r="A12197" s="10" t="str">
        <f>基本属性!$B$21&amp;"|"&amp;基本属性!$C$21</f>
        <v>200|11</v>
      </c>
      <c r="B12197" s="10" t="str">
        <f>参数调整!$J$42</f>
        <v>新增怪物种类7掉落</v>
      </c>
      <c r="C12197" s="8" t="str">
        <f>材料产出!$AR$2</f>
        <v>火龙精魄</v>
      </c>
      <c r="D12197" s="224">
        <f>参数调整!$K$42*怪物掉落配置方案!$D5015</f>
        <v>6.5659007480119473E-4</v>
      </c>
    </row>
    <row r="12198" spans="1:4" ht="16.5" hidden="1" x14ac:dyDescent="0.3">
      <c r="A12198" s="10" t="str">
        <f>基本属性!$B$22&amp;"|"&amp;基本属性!$C$22</f>
        <v>210|12</v>
      </c>
      <c r="B12198" s="10" t="str">
        <f>参数调整!$J$42</f>
        <v>新增怪物种类7掉落</v>
      </c>
      <c r="C12198" s="8" t="str">
        <f>材料产出!$AR$2</f>
        <v>火龙精魄</v>
      </c>
      <c r="D12198" s="224">
        <f>参数调整!$K$42*怪物掉落配置方案!$D5016</f>
        <v>7.5140324406669989E-4</v>
      </c>
    </row>
    <row r="12199" spans="1:4" ht="16.5" hidden="1" x14ac:dyDescent="0.3">
      <c r="A12199" s="10" t="str">
        <f>基本属性!$B$23&amp;"|"&amp;基本属性!$C$23</f>
        <v>210|13</v>
      </c>
      <c r="B12199" s="10" t="str">
        <f>参数调整!$J$42</f>
        <v>新增怪物种类7掉落</v>
      </c>
      <c r="C12199" s="8" t="str">
        <f>材料产出!$AR$2</f>
        <v>火龙精魄</v>
      </c>
      <c r="D12199" s="224">
        <f>参数调整!$K$42*怪物掉落配置方案!$D5017</f>
        <v>8.5260831238381243E-4</v>
      </c>
    </row>
    <row r="12200" spans="1:4" ht="16.5" hidden="1" x14ac:dyDescent="0.3">
      <c r="A12200" s="10" t="str">
        <f>基本属性!$B$24&amp;"|"&amp;基本属性!$C$24</f>
        <v>220|14</v>
      </c>
      <c r="B12200" s="10" t="str">
        <f>参数调整!$J$42</f>
        <v>新增怪物种类7掉落</v>
      </c>
      <c r="C12200" s="8" t="str">
        <f>材料产出!$AR$2</f>
        <v>火龙精魄</v>
      </c>
      <c r="D12200" s="224">
        <f>参数调整!$K$42*怪物掉落配置方案!$D5018</f>
        <v>9.6020527975253158E-4</v>
      </c>
    </row>
    <row r="12201" spans="1:4" ht="16.5" hidden="1" x14ac:dyDescent="0.3">
      <c r="A12201" s="10" t="str">
        <f>基本属性!$B$25&amp;"|"&amp;基本属性!$C$25</f>
        <v>220|15</v>
      </c>
      <c r="B12201" s="10" t="str">
        <f>参数调整!$J$42</f>
        <v>新增怪物种类7掉落</v>
      </c>
      <c r="C12201" s="8" t="str">
        <f>材料产出!$AR$2</f>
        <v>火龙精魄</v>
      </c>
      <c r="D12201" s="224">
        <f>参数调整!$K$42*怪物掉落配置方案!$D5019</f>
        <v>1.0741941461728578E-3</v>
      </c>
    </row>
    <row r="12202" spans="1:4" ht="16.5" hidden="1" x14ac:dyDescent="0.3">
      <c r="A12202" s="10" t="str">
        <f>基本属性!$B$26&amp;"|"&amp;基本属性!$C$26</f>
        <v>230|16</v>
      </c>
      <c r="B12202" s="10" t="str">
        <f>参数调整!$J$42</f>
        <v>新增怪物种类7掉落</v>
      </c>
      <c r="C12202" s="8" t="str">
        <f>材料产出!$AR$2</f>
        <v>火龙精魄</v>
      </c>
      <c r="D12202" s="224">
        <f>参数调整!$K$42*怪物掉落配置方案!$D5020</f>
        <v>1.1945749116447912E-3</v>
      </c>
    </row>
    <row r="12203" spans="1:4" ht="16.5" hidden="1" x14ac:dyDescent="0.3">
      <c r="A12203" s="10" t="str">
        <f>基本属性!$B$27&amp;"|"&amp;基本属性!$C$27</f>
        <v>230|17</v>
      </c>
      <c r="B12203" s="10" t="str">
        <f>参数调整!$J$42</f>
        <v>新增怪物种类7掉落</v>
      </c>
      <c r="C12203" s="8" t="str">
        <f>材料产出!$AR$2</f>
        <v>火龙精魄</v>
      </c>
      <c r="D12203" s="224">
        <f>参数调整!$K$42*怪物掉落配置方案!$D5021</f>
        <v>1.3213475761683319E-3</v>
      </c>
    </row>
    <row r="12204" spans="1:4" ht="16.5" hidden="1" x14ac:dyDescent="0.3">
      <c r="A12204" s="10" t="str">
        <f>基本属性!$B$28&amp;"|"&amp;基本属性!$C$28</f>
        <v>240|18</v>
      </c>
      <c r="B12204" s="10" t="str">
        <f>参数调整!$J$42</f>
        <v>新增怪物种类7掉落</v>
      </c>
      <c r="C12204" s="8" t="str">
        <f>材料产出!$AR$2</f>
        <v>火龙精魄</v>
      </c>
      <c r="D12204" s="224">
        <f>参数调整!$K$42*怪物掉落配置方案!$D5022</f>
        <v>1.4545121397434801E-3</v>
      </c>
    </row>
    <row r="12205" spans="1:4" ht="16.5" hidden="1" x14ac:dyDescent="0.3">
      <c r="A12205" s="10" t="str">
        <f>基本属性!$B$29&amp;"|"&amp;基本属性!$C$29</f>
        <v>240|19</v>
      </c>
      <c r="B12205" s="10" t="str">
        <f>参数调整!$J$42</f>
        <v>新增怪物种类7掉落</v>
      </c>
      <c r="C12205" s="8" t="str">
        <f>材料产出!$AR$2</f>
        <v>火龙精魄</v>
      </c>
      <c r="D12205" s="224">
        <f>参数调整!$K$42*怪物掉落配置方案!$D5023</f>
        <v>1.594068602370235E-3</v>
      </c>
    </row>
    <row r="12206" spans="1:4" ht="16.5" hidden="1" x14ac:dyDescent="0.3">
      <c r="A12206" s="10" t="str">
        <f>基本属性!$B$30&amp;"|"&amp;基本属性!$C$30</f>
        <v>250|20</v>
      </c>
      <c r="B12206" s="10" t="str">
        <f>参数调整!$J$42</f>
        <v>新增怪物种类7掉落</v>
      </c>
      <c r="C12206" s="8" t="str">
        <f>材料产出!$AR$2</f>
        <v>火龙精魄</v>
      </c>
      <c r="D12206" s="224">
        <f>参数调整!$K$42*怪物掉落配置方案!$D5024</f>
        <v>1.7400169640485962E-3</v>
      </c>
    </row>
    <row r="12207" spans="1:4" ht="16.5" hidden="1" x14ac:dyDescent="0.3">
      <c r="A12207" s="10" t="str">
        <f>基本属性!$B$4&amp;"|"&amp;基本属性!$C$4</f>
        <v>35|0</v>
      </c>
      <c r="B12207" s="10" t="str">
        <f>参数调整!$J$42</f>
        <v>新增怪物种类7掉落</v>
      </c>
      <c r="C12207" s="8" t="str">
        <f>材料产出!$L$2</f>
        <v>火龙币</v>
      </c>
      <c r="D12207" s="224">
        <f>参数调整!$K$42*怪物掉落配置方案!$D5025</f>
        <v>6.2498568504602645E-3</v>
      </c>
    </row>
    <row r="12208" spans="1:4" ht="16.5" hidden="1" x14ac:dyDescent="0.3">
      <c r="A12208" s="10" t="str">
        <f>基本属性!$B$5&amp;"|"&amp;基本属性!$C$5</f>
        <v>40|0</v>
      </c>
      <c r="B12208" s="10" t="str">
        <f>参数调整!$J$42</f>
        <v>新增怪物种类7掉落</v>
      </c>
      <c r="C12208" s="8" t="str">
        <f>材料产出!$L$2</f>
        <v>火龙币</v>
      </c>
      <c r="D12208" s="224">
        <f>参数调整!$K$42*怪物掉落配置方案!$D5026</f>
        <v>7.9099750763637726E-3</v>
      </c>
    </row>
    <row r="12209" spans="1:4" ht="16.5" hidden="1" x14ac:dyDescent="0.3">
      <c r="A12209" s="10" t="str">
        <f>基本属性!$B$6&amp;"|"&amp;基本属性!$C$6</f>
        <v>50|0</v>
      </c>
      <c r="B12209" s="10" t="str">
        <f>参数调整!$J$42</f>
        <v>新增怪物种类7掉落</v>
      </c>
      <c r="C12209" s="8" t="str">
        <f>材料产出!$L$2</f>
        <v>火龙币</v>
      </c>
      <c r="D12209" s="224">
        <f>参数调整!$K$42*怪物掉落配置方案!$D5027</f>
        <v>9.7654013288441636E-3</v>
      </c>
    </row>
    <row r="12210" spans="1:4" ht="16.5" hidden="1" x14ac:dyDescent="0.3">
      <c r="A12210" s="10" t="str">
        <f>基本属性!$B$7&amp;"|"&amp;基本属性!$C$7</f>
        <v>60|0</v>
      </c>
      <c r="B12210" s="10" t="str">
        <f>参数调整!$J$42</f>
        <v>新增怪物种类7掉落</v>
      </c>
      <c r="C12210" s="8" t="str">
        <f>材料产出!$L$2</f>
        <v>火龙币</v>
      </c>
      <c r="D12210" s="224">
        <f>参数调整!$K$42*怪物掉落配置方案!$D5028</f>
        <v>1.1816135607901438E-2</v>
      </c>
    </row>
    <row r="12211" spans="1:4" ht="16.5" hidden="1" x14ac:dyDescent="0.3">
      <c r="A12211" s="10" t="str">
        <f>基本属性!$B$8&amp;"|"&amp;基本属性!$C$8</f>
        <v>65|0</v>
      </c>
      <c r="B12211" s="10" t="str">
        <f>参数调整!$J$42</f>
        <v>新增怪物种类7掉落</v>
      </c>
      <c r="C12211" s="8" t="str">
        <f>材料产出!$L$2</f>
        <v>火龙币</v>
      </c>
      <c r="D12211" s="224">
        <f>参数调整!$K$42*怪物掉落配置方案!$D5029</f>
        <v>1.4062177913535593E-2</v>
      </c>
    </row>
    <row r="12212" spans="1:4" ht="16.5" hidden="1" x14ac:dyDescent="0.3">
      <c r="A12212" s="10" t="str">
        <f>基本属性!$B$9&amp;"|"&amp;基本属性!$C$9</f>
        <v>70|0</v>
      </c>
      <c r="B12212" s="10" t="str">
        <f>参数调整!$J$42</f>
        <v>新增怪物种类7掉落</v>
      </c>
      <c r="C12212" s="8" t="str">
        <f>材料产出!$L$2</f>
        <v>火龙币</v>
      </c>
      <c r="D12212" s="224">
        <f>参数调整!$K$42*怪物掉落配置方案!$D5030</f>
        <v>1.6503528245746635E-2</v>
      </c>
    </row>
    <row r="12213" spans="1:4" ht="16.5" hidden="1" x14ac:dyDescent="0.3">
      <c r="A12213" s="10" t="str">
        <f>基本属性!$B$10&amp;"|"&amp;基本属性!$C$10</f>
        <v>75|0</v>
      </c>
      <c r="B12213" s="10" t="str">
        <f>参数调整!$J$42</f>
        <v>新增怪物种类7掉落</v>
      </c>
      <c r="C12213" s="8" t="str">
        <f>材料产出!$L$2</f>
        <v>火龙币</v>
      </c>
      <c r="D12213" s="224">
        <f>参数调整!$K$42*怪物掉落配置方案!$D5031</f>
        <v>1.9140186604534554E-2</v>
      </c>
    </row>
    <row r="12214" spans="1:4" ht="16.5" hidden="1" x14ac:dyDescent="0.3">
      <c r="A12214" s="10" t="str">
        <f>基本属性!$B$11&amp;"|"&amp;基本属性!$C$11</f>
        <v>80|1</v>
      </c>
      <c r="B12214" s="10" t="str">
        <f>参数调整!$J$42</f>
        <v>新增怪物种类7掉落</v>
      </c>
      <c r="C12214" s="8" t="str">
        <f>材料产出!$L$2</f>
        <v>火龙币</v>
      </c>
      <c r="D12214" s="224">
        <f>参数调整!$K$42*怪物掉落配置方案!$D5032</f>
        <v>2.1972152989899366E-2</v>
      </c>
    </row>
    <row r="12215" spans="1:4" ht="16.5" hidden="1" x14ac:dyDescent="0.3">
      <c r="A12215" s="10" t="str">
        <f>基本属性!$B$12&amp;"|"&amp;基本属性!$C$12</f>
        <v>90|2</v>
      </c>
      <c r="B12215" s="10" t="str">
        <f>参数调整!$J$42</f>
        <v>新增怪物种类7掉落</v>
      </c>
      <c r="C12215" s="8" t="str">
        <f>材料产出!$L$2</f>
        <v>火龙币</v>
      </c>
      <c r="D12215" s="224">
        <f>参数调整!$K$42*怪物掉落配置方案!$D5033</f>
        <v>2.4999427401841062E-2</v>
      </c>
    </row>
    <row r="12216" spans="1:4" ht="16.5" hidden="1" x14ac:dyDescent="0.3">
      <c r="A12216" s="10" t="str">
        <f>基本属性!$B$13&amp;"|"&amp;基本属性!$C$13</f>
        <v>100|3</v>
      </c>
      <c r="B12216" s="10" t="str">
        <f>参数调整!$J$42</f>
        <v>新增怪物种类7掉落</v>
      </c>
      <c r="C12216" s="8" t="str">
        <f>材料产出!$L$2</f>
        <v>火龙币</v>
      </c>
      <c r="D12216" s="224">
        <f>参数调整!$K$42*怪物掉落配置方案!$D5034</f>
        <v>3.163990030545509E-2</v>
      </c>
    </row>
    <row r="12217" spans="1:4" ht="16.5" hidden="1" x14ac:dyDescent="0.3">
      <c r="A12217" s="10" t="str">
        <f>基本属性!$B$14&amp;"|"&amp;基本属性!$C$14</f>
        <v>105|4</v>
      </c>
      <c r="B12217" s="10" t="str">
        <f>参数调整!$J$42</f>
        <v>新增怪物种类7掉落</v>
      </c>
      <c r="C12217" s="8" t="str">
        <f>材料产出!$L$2</f>
        <v>火龙币</v>
      </c>
      <c r="D12217" s="224">
        <f>参数调整!$K$42*怪物掉落配置方案!$D5035</f>
        <v>3.9061605315376655E-2</v>
      </c>
    </row>
    <row r="12218" spans="1:4" ht="16.5" hidden="1" x14ac:dyDescent="0.3">
      <c r="A12218" s="10" t="str">
        <f>基本属性!$B$15&amp;"|"&amp;基本属性!$C$15</f>
        <v>110|5</v>
      </c>
      <c r="B12218" s="10" t="str">
        <f>参数调整!$J$42</f>
        <v>新增怪物种类7掉落</v>
      </c>
      <c r="C12218" s="8" t="str">
        <f>材料产出!$L$2</f>
        <v>火龙币</v>
      </c>
      <c r="D12218" s="224">
        <f>参数调整!$K$42*怪物掉落配置方案!$D5036</f>
        <v>4.7264542431605758E-2</v>
      </c>
    </row>
    <row r="12219" spans="1:4" ht="16.5" hidden="1" x14ac:dyDescent="0.3">
      <c r="A12219" s="10" t="str">
        <f>基本属性!$B$16&amp;"|"&amp;基本属性!$C$16</f>
        <v>120|6</v>
      </c>
      <c r="B12219" s="10" t="str">
        <f>参数调整!$J$42</f>
        <v>新增怪物种类7掉落</v>
      </c>
      <c r="C12219" s="8" t="str">
        <f>材料产出!$L$2</f>
        <v>火龙币</v>
      </c>
      <c r="D12219" s="224">
        <f>参数调整!$K$42*怪物掉落配置方案!$D5037</f>
        <v>6.1033758305276027E-2</v>
      </c>
    </row>
    <row r="12220" spans="1:4" ht="16.5" hidden="1" x14ac:dyDescent="0.3">
      <c r="A12220" s="10" t="str">
        <f>基本属性!$B$17&amp;"|"&amp;基本属性!$C$17</f>
        <v>135|7</v>
      </c>
      <c r="B12220" s="10" t="str">
        <f>参数调整!$J$42</f>
        <v>新增怪物种类7掉落</v>
      </c>
      <c r="C12220" s="8" t="str">
        <f>材料产出!$L$2</f>
        <v>火龙币</v>
      </c>
      <c r="D12220" s="224">
        <f>参数调整!$K$42*怪物掉落配置方案!$D5038</f>
        <v>8.7888611959597462E-2</v>
      </c>
    </row>
    <row r="12221" spans="1:4" ht="16.5" hidden="1" x14ac:dyDescent="0.3">
      <c r="A12221" s="10" t="str">
        <f>基本属性!$B$18&amp;"|"&amp;基本属性!$C$18</f>
        <v>155|8</v>
      </c>
      <c r="B12221" s="10" t="str">
        <f>参数调整!$J$42</f>
        <v>新增怪物种类7掉落</v>
      </c>
      <c r="C12221" s="8" t="str">
        <f>材料产出!$L$2</f>
        <v>火龙币</v>
      </c>
      <c r="D12221" s="224">
        <f>参数调整!$K$42*怪物掉落配置方案!$D5039</f>
        <v>0.119626166278341</v>
      </c>
    </row>
    <row r="12222" spans="1:4" ht="16.5" hidden="1" x14ac:dyDescent="0.3">
      <c r="A12222" s="10" t="str">
        <f>基本属性!$B$19&amp;"|"&amp;基本属性!$C$19</f>
        <v>190|9</v>
      </c>
      <c r="B12222" s="10" t="str">
        <f>参数调整!$J$42</f>
        <v>新增怪物种类7掉落</v>
      </c>
      <c r="C12222" s="8" t="str">
        <f>材料产出!$L$2</f>
        <v>火龙币</v>
      </c>
      <c r="D12222" s="224">
        <f>参数调整!$K$42*怪物掉落配置方案!$D5040</f>
        <v>0.13368834419187658</v>
      </c>
    </row>
    <row r="12223" spans="1:4" ht="16.5" hidden="1" x14ac:dyDescent="0.3">
      <c r="A12223" s="10" t="str">
        <f>基本属性!$B$20&amp;"|"&amp;基本属性!$C$20</f>
        <v>200|10</v>
      </c>
      <c r="B12223" s="10" t="str">
        <f>参数调整!$J$42</f>
        <v>新增怪物种类7掉落</v>
      </c>
      <c r="C12223" s="8" t="str">
        <f>材料产出!$L$2</f>
        <v>火龙币</v>
      </c>
      <c r="D12223" s="224">
        <f>参数调整!$K$42*怪物掉落配置方案!$D5041</f>
        <v>0.15624642126150662</v>
      </c>
    </row>
    <row r="12224" spans="1:4" ht="16.5" hidden="1" x14ac:dyDescent="0.3">
      <c r="A12224" s="10" t="str">
        <f>基本属性!$B$21&amp;"|"&amp;基本属性!$C$21</f>
        <v>200|11</v>
      </c>
      <c r="B12224" s="10" t="str">
        <f>参数调整!$J$42</f>
        <v>新增怪物种类7掉落</v>
      </c>
      <c r="C12224" s="8" t="str">
        <f>材料产出!$L$2</f>
        <v>火龙币</v>
      </c>
      <c r="D12224" s="224">
        <f>参数调整!$K$42*怪物掉落配置方案!$D5042</f>
        <v>0.18056227057032853</v>
      </c>
    </row>
    <row r="12225" spans="1:4" ht="16.5" hidden="1" x14ac:dyDescent="0.3">
      <c r="A12225" s="10" t="str">
        <f>基本属性!$B$22&amp;"|"&amp;基本属性!$C$22</f>
        <v>210|12</v>
      </c>
      <c r="B12225" s="10" t="str">
        <f>参数调整!$J$42</f>
        <v>新增怪物种类7掉落</v>
      </c>
      <c r="C12225" s="8" t="str">
        <f>材料产出!$L$2</f>
        <v>火龙币</v>
      </c>
      <c r="D12225" s="224">
        <f>参数调整!$K$42*怪物掉落配置方案!$D5043</f>
        <v>0.20663589211834246</v>
      </c>
    </row>
    <row r="12226" spans="1:4" ht="16.5" hidden="1" x14ac:dyDescent="0.3">
      <c r="A12226" s="10" t="str">
        <f>基本属性!$B$23&amp;"|"&amp;基本属性!$C$23</f>
        <v>210|13</v>
      </c>
      <c r="B12226" s="10" t="str">
        <f>参数调整!$J$42</f>
        <v>新增怪物种类7掉落</v>
      </c>
      <c r="C12226" s="8" t="str">
        <f>材料产出!$L$2</f>
        <v>火龙币</v>
      </c>
      <c r="D12226" s="224">
        <f>参数调整!$K$42*怪物掉落配置方案!$D5044</f>
        <v>0.23446728590554838</v>
      </c>
    </row>
    <row r="12227" spans="1:4" ht="16.5" hidden="1" x14ac:dyDescent="0.3">
      <c r="A12227" s="10" t="str">
        <f>基本属性!$B$24&amp;"|"&amp;基本属性!$C$24</f>
        <v>220|14</v>
      </c>
      <c r="B12227" s="10" t="str">
        <f>参数调整!$J$42</f>
        <v>新增怪物种类7掉落</v>
      </c>
      <c r="C12227" s="8" t="str">
        <f>材料产出!$L$2</f>
        <v>火龙币</v>
      </c>
      <c r="D12227" s="224">
        <f>参数调整!$K$42*怪物掉落配置方案!$D5045</f>
        <v>0.26405645193194621</v>
      </c>
    </row>
    <row r="12228" spans="1:4" ht="16.5" hidden="1" x14ac:dyDescent="0.3">
      <c r="A12228" s="10" t="str">
        <f>基本属性!$B$25&amp;"|"&amp;基本属性!$C$25</f>
        <v>220|15</v>
      </c>
      <c r="B12228" s="10" t="str">
        <f>参数调整!$J$42</f>
        <v>新增怪物种类7掉落</v>
      </c>
      <c r="C12228" s="8" t="str">
        <f>材料产出!$L$2</f>
        <v>火龙币</v>
      </c>
      <c r="D12228" s="224">
        <f>参数调整!$K$42*怪物掉落配置方案!$D5046</f>
        <v>0.29540339019753592</v>
      </c>
    </row>
    <row r="12229" spans="1:4" ht="16.5" hidden="1" x14ac:dyDescent="0.3">
      <c r="A12229" s="10" t="str">
        <f>基本属性!$B$26&amp;"|"&amp;基本属性!$C$26</f>
        <v>230|16</v>
      </c>
      <c r="B12229" s="10" t="str">
        <f>参数调整!$J$42</f>
        <v>新增怪物种类7掉落</v>
      </c>
      <c r="C12229" s="8" t="str">
        <f>材料产出!$L$2</f>
        <v>火龙币</v>
      </c>
      <c r="D12229" s="224">
        <f>参数调整!$K$42*怪物掉落配置方案!$D5047</f>
        <v>0.32850810070231762</v>
      </c>
    </row>
    <row r="12230" spans="1:4" ht="16.5" hidden="1" x14ac:dyDescent="0.3">
      <c r="A12230" s="10" t="str">
        <f>基本属性!$B$27&amp;"|"&amp;基本属性!$C$27</f>
        <v>230|17</v>
      </c>
      <c r="B12230" s="10" t="str">
        <f>参数调整!$J$42</f>
        <v>新增怪物种类7掉落</v>
      </c>
      <c r="C12230" s="8" t="str">
        <f>材料产出!$L$2</f>
        <v>火龙币</v>
      </c>
      <c r="D12230" s="224">
        <f>参数调整!$K$42*怪物掉落配置方案!$D5048</f>
        <v>0.36337058344629125</v>
      </c>
    </row>
    <row r="12231" spans="1:4" ht="16.5" hidden="1" x14ac:dyDescent="0.3">
      <c r="A12231" s="10" t="str">
        <f>基本属性!$B$28&amp;"|"&amp;基本属性!$C$28</f>
        <v>240|18</v>
      </c>
      <c r="B12231" s="10" t="str">
        <f>参数调整!$J$42</f>
        <v>新增怪物种类7掉落</v>
      </c>
      <c r="C12231" s="8" t="str">
        <f>材料产出!$L$2</f>
        <v>火龙币</v>
      </c>
      <c r="D12231" s="224">
        <f>参数调整!$K$42*怪物掉落配置方案!$D5049</f>
        <v>0.39999083842945693</v>
      </c>
    </row>
    <row r="12232" spans="1:4" ht="16.5" hidden="1" x14ac:dyDescent="0.3">
      <c r="A12232" s="10" t="str">
        <f>基本属性!$B$29&amp;"|"&amp;基本属性!$C$29</f>
        <v>240|19</v>
      </c>
      <c r="B12232" s="10" t="str">
        <f>参数调整!$J$42</f>
        <v>新增怪物种类7掉落</v>
      </c>
      <c r="C12232" s="8" t="str">
        <f>材料产出!$L$2</f>
        <v>火龙币</v>
      </c>
      <c r="D12232" s="224">
        <f>参数调整!$K$42*怪物掉落配置方案!$D5050</f>
        <v>0.43836886565181443</v>
      </c>
    </row>
    <row r="12233" spans="1:4" ht="16.5" hidden="1" x14ac:dyDescent="0.3">
      <c r="A12233" s="10" t="str">
        <f>基本属性!$B$30&amp;"|"&amp;基本属性!$C$30</f>
        <v>250|20</v>
      </c>
      <c r="B12233" s="10" t="str">
        <f>参数调整!$J$42</f>
        <v>新增怪物种类7掉落</v>
      </c>
      <c r="C12233" s="8" t="str">
        <f>材料产出!$L$2</f>
        <v>火龙币</v>
      </c>
      <c r="D12233" s="224">
        <f>参数调整!$K$42*怪物掉落配置方案!$D5051</f>
        <v>0.47850466511336387</v>
      </c>
    </row>
    <row r="12234" spans="1:4" ht="16.5" hidden="1" x14ac:dyDescent="0.3">
      <c r="A12234" s="10" t="str">
        <f>基本属性!$B$4&amp;"|"&amp;基本属性!$C$4</f>
        <v>35|0</v>
      </c>
      <c r="B12234" s="10" t="str">
        <f>参数调整!$J$42</f>
        <v>新增怪物种类7掉落</v>
      </c>
      <c r="C12234" s="8" t="str">
        <f>材料产出!$BD$2</f>
        <v>防具碎片</v>
      </c>
      <c r="D12234" s="224">
        <f>参数调整!$K$42*怪物掉落配置方案!$D5052</f>
        <v>2.2726752183491872E-4</v>
      </c>
    </row>
    <row r="12235" spans="1:4" ht="16.5" hidden="1" x14ac:dyDescent="0.3">
      <c r="A12235" s="10" t="str">
        <f>基本属性!$B$5&amp;"|"&amp;基本属性!$C$5</f>
        <v>40|0</v>
      </c>
      <c r="B12235" s="10" t="str">
        <f>参数调整!$J$42</f>
        <v>新增怪物种类7掉落</v>
      </c>
      <c r="C12235" s="8" t="str">
        <f>材料产出!$BD$2</f>
        <v>防具碎片</v>
      </c>
      <c r="D12235" s="224">
        <f>参数调整!$K$42*怪物掉落配置方案!$D5053</f>
        <v>2.8763545732231902E-4</v>
      </c>
    </row>
    <row r="12236" spans="1:4" ht="16.5" hidden="1" x14ac:dyDescent="0.3">
      <c r="A12236" s="10" t="str">
        <f>基本属性!$B$6&amp;"|"&amp;基本属性!$C$6</f>
        <v>50|0</v>
      </c>
      <c r="B12236" s="10" t="str">
        <f>参数调整!$J$42</f>
        <v>新增怪物种类7掉落</v>
      </c>
      <c r="C12236" s="8" t="str">
        <f>材料产出!$BD$2</f>
        <v>防具碎片</v>
      </c>
      <c r="D12236" s="224">
        <f>参数调整!$K$42*怪物掉落配置方案!$D5054</f>
        <v>3.5510550286706053E-4</v>
      </c>
    </row>
    <row r="12237" spans="1:4" ht="16.5" hidden="1" x14ac:dyDescent="0.3">
      <c r="A12237" s="10" t="str">
        <f>基本属性!$B$7&amp;"|"&amp;基本属性!$C$7</f>
        <v>60|0</v>
      </c>
      <c r="B12237" s="10" t="str">
        <f>参数调整!$J$42</f>
        <v>新增怪物种类7掉落</v>
      </c>
      <c r="C12237" s="8" t="str">
        <f>材料产出!$BD$2</f>
        <v>防具碎片</v>
      </c>
      <c r="D12237" s="224">
        <f>参数调整!$K$42*怪物掉落配置方案!$D5055</f>
        <v>4.296776584691432E-4</v>
      </c>
    </row>
    <row r="12238" spans="1:4" ht="16.5" hidden="1" x14ac:dyDescent="0.3">
      <c r="A12238" s="10" t="str">
        <f>基本属性!$B$8&amp;"|"&amp;基本属性!$C$8</f>
        <v>65|0</v>
      </c>
      <c r="B12238" s="10" t="str">
        <f>参数调整!$J$42</f>
        <v>新增怪物种类7掉落</v>
      </c>
      <c r="C12238" s="8" t="str">
        <f>材料产出!$BD$2</f>
        <v>防具碎片</v>
      </c>
      <c r="D12238" s="224">
        <f>参数调整!$K$42*怪物掉落配置方案!$D5056</f>
        <v>5.1135192412856713E-4</v>
      </c>
    </row>
    <row r="12239" spans="1:4" ht="16.5" hidden="1" x14ac:dyDescent="0.3">
      <c r="A12239" s="10" t="str">
        <f>基本属性!$B$9&amp;"|"&amp;基本属性!$C$9</f>
        <v>70|0</v>
      </c>
      <c r="B12239" s="10" t="str">
        <f>参数调整!$J$42</f>
        <v>新增怪物种类7掉落</v>
      </c>
      <c r="C12239" s="8" t="str">
        <f>材料产出!$BD$2</f>
        <v>防具碎片</v>
      </c>
      <c r="D12239" s="224">
        <f>参数调整!$K$42*怪物掉落配置方案!$D5057</f>
        <v>6.0012829984533228E-4</v>
      </c>
    </row>
    <row r="12240" spans="1:4" ht="16.5" hidden="1" x14ac:dyDescent="0.3">
      <c r="A12240" s="10" t="str">
        <f>基本属性!$B$10&amp;"|"&amp;基本属性!$C$10</f>
        <v>75|0</v>
      </c>
      <c r="B12240" s="10" t="str">
        <f>参数调整!$J$42</f>
        <v>新增怪物种类7掉落</v>
      </c>
      <c r="C12240" s="8" t="str">
        <f>材料产出!$BD$2</f>
        <v>防具碎片</v>
      </c>
      <c r="D12240" s="224">
        <f>参数调整!$K$42*怪物掉落配置方案!$D5058</f>
        <v>6.9600678561943842E-4</v>
      </c>
    </row>
    <row r="12241" spans="1:4" ht="16.5" hidden="1" x14ac:dyDescent="0.3">
      <c r="A12241" s="10" t="str">
        <f>基本属性!$B$11&amp;"|"&amp;基本属性!$C$11</f>
        <v>80|1</v>
      </c>
      <c r="B12241" s="10" t="str">
        <f>参数调整!$J$42</f>
        <v>新增怪物种类7掉落</v>
      </c>
      <c r="C12241" s="8" t="str">
        <f>材料产出!$BD$2</f>
        <v>防具碎片</v>
      </c>
      <c r="D12241" s="224">
        <f>参数调整!$K$42*怪物掉落配置方案!$D5059</f>
        <v>7.9898738145088609E-4</v>
      </c>
    </row>
    <row r="12242" spans="1:4" ht="16.5" hidden="1" x14ac:dyDescent="0.3">
      <c r="A12242" s="10" t="str">
        <f>基本属性!$B$12&amp;"|"&amp;基本属性!$C$12</f>
        <v>90|2</v>
      </c>
      <c r="B12242" s="10" t="str">
        <f>参数调整!$J$42</f>
        <v>新增怪物种类7掉落</v>
      </c>
      <c r="C12242" s="8" t="str">
        <f>材料产出!$BD$2</f>
        <v>防具碎片</v>
      </c>
      <c r="D12242" s="224">
        <f>参数调整!$K$42*怪物掉落配置方案!$D5060</f>
        <v>9.0907008733967509E-4</v>
      </c>
    </row>
    <row r="12243" spans="1:4" ht="16.5" hidden="1" x14ac:dyDescent="0.3">
      <c r="A12243" s="10" t="str">
        <f>基本属性!$B$13&amp;"|"&amp;基本属性!$C$13</f>
        <v>100|3</v>
      </c>
      <c r="B12243" s="10" t="str">
        <f>参数调整!$J$42</f>
        <v>新增怪物种类7掉落</v>
      </c>
      <c r="C12243" s="8" t="str">
        <f>材料产出!$BD$2</f>
        <v>防具碎片</v>
      </c>
      <c r="D12243" s="224">
        <f>参数调整!$K$42*怪物掉落配置方案!$D5061</f>
        <v>1.1505418292892763E-3</v>
      </c>
    </row>
    <row r="12244" spans="1:4" ht="16.5" hidden="1" x14ac:dyDescent="0.3">
      <c r="A12244" s="10" t="str">
        <f>基本属性!$B$14&amp;"|"&amp;基本属性!$C$14</f>
        <v>105|4</v>
      </c>
      <c r="B12244" s="10" t="str">
        <f>参数调整!$J$42</f>
        <v>新增怪物种类7掉落</v>
      </c>
      <c r="C12244" s="8" t="str">
        <f>材料产出!$BD$2</f>
        <v>防具碎片</v>
      </c>
      <c r="D12244" s="224">
        <f>参数调整!$K$42*怪物掉落配置方案!$D5062</f>
        <v>1.4204220114682421E-3</v>
      </c>
    </row>
    <row r="12245" spans="1:4" ht="16.5" hidden="1" x14ac:dyDescent="0.3">
      <c r="A12245" s="10" t="str">
        <f>基本属性!$B$15&amp;"|"&amp;基本属性!$C$15</f>
        <v>110|5</v>
      </c>
      <c r="B12245" s="10" t="str">
        <f>参数调整!$J$42</f>
        <v>新增怪物种类7掉落</v>
      </c>
      <c r="C12245" s="8" t="str">
        <f>材料产出!$BD$2</f>
        <v>防具碎片</v>
      </c>
      <c r="D12245" s="224">
        <f>参数调整!$K$42*怪物掉落配置方案!$D5063</f>
        <v>1.7187106338765732E-3</v>
      </c>
    </row>
    <row r="12246" spans="1:4" ht="16.5" hidden="1" x14ac:dyDescent="0.3">
      <c r="A12246" s="10" t="str">
        <f>基本属性!$B$16&amp;"|"&amp;基本属性!$C$16</f>
        <v>120|6</v>
      </c>
      <c r="B12246" s="10" t="str">
        <f>参数调整!$J$42</f>
        <v>新增怪物种类7掉落</v>
      </c>
      <c r="C12246" s="8" t="str">
        <f>材料产出!$BD$2</f>
        <v>防具碎片</v>
      </c>
      <c r="D12246" s="224">
        <f>参数调整!$K$42*怪物掉落配置方案!$D5064</f>
        <v>2.2194093929191285E-3</v>
      </c>
    </row>
    <row r="12247" spans="1:4" ht="16.5" hidden="1" x14ac:dyDescent="0.3">
      <c r="A12247" s="10" t="str">
        <f>基本属性!$B$17&amp;"|"&amp;基本属性!$C$17</f>
        <v>135|7</v>
      </c>
      <c r="B12247" s="10" t="str">
        <f>参数调整!$J$42</f>
        <v>新增怪物种类7掉落</v>
      </c>
      <c r="C12247" s="8" t="str">
        <f>材料产出!$BD$2</f>
        <v>防具碎片</v>
      </c>
      <c r="D12247" s="224">
        <f>参数调整!$K$42*怪物掉落配置方案!$D5065</f>
        <v>3.1959495258035444E-3</v>
      </c>
    </row>
    <row r="12248" spans="1:4" ht="16.5" hidden="1" x14ac:dyDescent="0.3">
      <c r="A12248" s="10" t="str">
        <f>基本属性!$B$18&amp;"|"&amp;基本属性!$C$18</f>
        <v>155|8</v>
      </c>
      <c r="B12248" s="10" t="str">
        <f>参数调整!$J$42</f>
        <v>新增怪物种类7掉落</v>
      </c>
      <c r="C12248" s="8" t="str">
        <f>材料产出!$BD$2</f>
        <v>防具碎片</v>
      </c>
      <c r="D12248" s="224">
        <f>参数调整!$K$42*怪物掉落配置方案!$D5066</f>
        <v>4.3500424101214916E-3</v>
      </c>
    </row>
    <row r="12249" spans="1:4" ht="16.5" hidden="1" x14ac:dyDescent="0.3">
      <c r="A12249" s="10" t="str">
        <f>基本属性!$B$19&amp;"|"&amp;基本属性!$C$19</f>
        <v>190|9</v>
      </c>
      <c r="B12249" s="10" t="str">
        <f>参数调整!$J$42</f>
        <v>新增怪物种类7掉落</v>
      </c>
      <c r="C12249" s="8" t="str">
        <f>材料产出!$BD$2</f>
        <v>防具碎片</v>
      </c>
      <c r="D12249" s="224">
        <f>参数调整!$K$42*怪物掉落配置方案!$D5067</f>
        <v>4.861394334250058E-3</v>
      </c>
    </row>
    <row r="12250" spans="1:4" ht="16.5" hidden="1" x14ac:dyDescent="0.3">
      <c r="A12250" s="10" t="str">
        <f>基本属性!$B$20&amp;"|"&amp;基本属性!$C$20</f>
        <v>200|10</v>
      </c>
      <c r="B12250" s="10" t="str">
        <f>参数调整!$J$42</f>
        <v>新增怪物种类7掉落</v>
      </c>
      <c r="C12250" s="8" t="str">
        <f>材料产出!$BD$2</f>
        <v>防具碎片</v>
      </c>
      <c r="D12250" s="224">
        <f>参数调整!$K$42*怪物掉落配置方案!$D5068</f>
        <v>5.6816880458729685E-3</v>
      </c>
    </row>
    <row r="12251" spans="1:4" ht="16.5" hidden="1" x14ac:dyDescent="0.3">
      <c r="A12251" s="10" t="str">
        <f>基本属性!$B$21&amp;"|"&amp;基本属性!$C$21</f>
        <v>200|11</v>
      </c>
      <c r="B12251" s="10" t="str">
        <f>参数调整!$J$42</f>
        <v>新增怪物种类7掉落</v>
      </c>
      <c r="C12251" s="8" t="str">
        <f>材料产出!$BD$2</f>
        <v>防具碎片</v>
      </c>
      <c r="D12251" s="224">
        <f>参数调整!$K$42*怪物掉落配置方案!$D5069</f>
        <v>6.565900748011947E-3</v>
      </c>
    </row>
    <row r="12252" spans="1:4" ht="16.5" hidden="1" x14ac:dyDescent="0.3">
      <c r="A12252" s="10" t="str">
        <f>基本属性!$B$22&amp;"|"&amp;基本属性!$C$22</f>
        <v>210|12</v>
      </c>
      <c r="B12252" s="10" t="str">
        <f>参数调整!$J$42</f>
        <v>新增怪物种类7掉落</v>
      </c>
      <c r="C12252" s="8" t="str">
        <f>材料产出!$BD$2</f>
        <v>防具碎片</v>
      </c>
      <c r="D12252" s="224">
        <f>参数调整!$K$42*怪物掉落配置方案!$D5070</f>
        <v>7.514032440666998E-3</v>
      </c>
    </row>
    <row r="12253" spans="1:4" ht="16.5" hidden="1" x14ac:dyDescent="0.3">
      <c r="A12253" s="10" t="str">
        <f>基本属性!$B$23&amp;"|"&amp;基本属性!$C$23</f>
        <v>210|13</v>
      </c>
      <c r="B12253" s="10" t="str">
        <f>参数调整!$J$42</f>
        <v>新增怪物种类7掉落</v>
      </c>
      <c r="C12253" s="8" t="str">
        <f>材料产出!$BD$2</f>
        <v>防具碎片</v>
      </c>
      <c r="D12253" s="224">
        <f>参数调整!$K$42*怪物掉落配置方案!$D5071</f>
        <v>8.5260831238381241E-3</v>
      </c>
    </row>
    <row r="12254" spans="1:4" ht="16.5" hidden="1" x14ac:dyDescent="0.3">
      <c r="A12254" s="10" t="str">
        <f>基本属性!$B$24&amp;"|"&amp;基本属性!$C$24</f>
        <v>220|14</v>
      </c>
      <c r="B12254" s="10" t="str">
        <f>参数调整!$J$42</f>
        <v>新增怪物种类7掉落</v>
      </c>
      <c r="C12254" s="8" t="str">
        <f>材料产出!$BD$2</f>
        <v>防具碎片</v>
      </c>
      <c r="D12254" s="224">
        <f>参数调整!$K$42*怪物掉落配置方案!$D5072</f>
        <v>9.6020527975253164E-3</v>
      </c>
    </row>
    <row r="12255" spans="1:4" ht="16.5" hidden="1" x14ac:dyDescent="0.3">
      <c r="A12255" s="10" t="str">
        <f>基本属性!$B$25&amp;"|"&amp;基本属性!$C$25</f>
        <v>220|15</v>
      </c>
      <c r="B12255" s="10" t="str">
        <f>参数调整!$J$42</f>
        <v>新增怪物种类7掉落</v>
      </c>
      <c r="C12255" s="8" t="str">
        <f>材料产出!$BD$2</f>
        <v>防具碎片</v>
      </c>
      <c r="D12255" s="224">
        <f>参数调整!$K$42*怪物掉落配置方案!$D5073</f>
        <v>1.0741941461728577E-2</v>
      </c>
    </row>
    <row r="12256" spans="1:4" ht="16.5" hidden="1" x14ac:dyDescent="0.3">
      <c r="A12256" s="10" t="str">
        <f>基本属性!$B$26&amp;"|"&amp;基本属性!$C$26</f>
        <v>230|16</v>
      </c>
      <c r="B12256" s="10" t="str">
        <f>参数调整!$J$42</f>
        <v>新增怪物种类7掉落</v>
      </c>
      <c r="C12256" s="8" t="str">
        <f>材料产出!$BD$2</f>
        <v>防具碎片</v>
      </c>
      <c r="D12256" s="224">
        <f>参数调整!$K$42*怪物掉落配置方案!$D5074</f>
        <v>1.1945749116447912E-2</v>
      </c>
    </row>
    <row r="12257" spans="1:4" ht="16.5" hidden="1" x14ac:dyDescent="0.3">
      <c r="A12257" s="10" t="str">
        <f>基本属性!$B$27&amp;"|"&amp;基本属性!$C$27</f>
        <v>230|17</v>
      </c>
      <c r="B12257" s="10" t="str">
        <f>参数调整!$J$42</f>
        <v>新增怪物种类7掉落</v>
      </c>
      <c r="C12257" s="8" t="str">
        <f>材料产出!$BD$2</f>
        <v>防具碎片</v>
      </c>
      <c r="D12257" s="224">
        <f>参数调整!$K$42*怪物掉落配置方案!$D5075</f>
        <v>1.3213475761683319E-2</v>
      </c>
    </row>
    <row r="12258" spans="1:4" ht="16.5" hidden="1" x14ac:dyDescent="0.3">
      <c r="A12258" s="10" t="str">
        <f>基本属性!$B$28&amp;"|"&amp;基本属性!$C$28</f>
        <v>240|18</v>
      </c>
      <c r="B12258" s="10" t="str">
        <f>参数调整!$J$42</f>
        <v>新增怪物种类7掉落</v>
      </c>
      <c r="C12258" s="8" t="str">
        <f>材料产出!$BD$2</f>
        <v>防具碎片</v>
      </c>
      <c r="D12258" s="224">
        <f>参数调整!$K$42*怪物掉落配置方案!$D5076</f>
        <v>1.4545121397434798E-2</v>
      </c>
    </row>
    <row r="12259" spans="1:4" ht="16.5" hidden="1" x14ac:dyDescent="0.3">
      <c r="A12259" s="10" t="str">
        <f>基本属性!$B$29&amp;"|"&amp;基本属性!$C$29</f>
        <v>240|19</v>
      </c>
      <c r="B12259" s="10" t="str">
        <f>参数调整!$J$42</f>
        <v>新增怪物种类7掉落</v>
      </c>
      <c r="C12259" s="8" t="str">
        <f>材料产出!$BD$2</f>
        <v>防具碎片</v>
      </c>
      <c r="D12259" s="224">
        <f>参数调整!$K$42*怪物掉落配置方案!$D5077</f>
        <v>1.5940686023702348E-2</v>
      </c>
    </row>
    <row r="12260" spans="1:4" ht="16.5" hidden="1" x14ac:dyDescent="0.3">
      <c r="A12260" s="10" t="str">
        <f>基本属性!$B$30&amp;"|"&amp;基本属性!$C$30</f>
        <v>250|20</v>
      </c>
      <c r="B12260" s="10" t="str">
        <f>参数调整!$J$42</f>
        <v>新增怪物种类7掉落</v>
      </c>
      <c r="C12260" s="8" t="str">
        <f>材料产出!$BD$2</f>
        <v>防具碎片</v>
      </c>
      <c r="D12260" s="224">
        <f>参数调整!$K$42*怪物掉落配置方案!$D5078</f>
        <v>1.7400169640485959E-2</v>
      </c>
    </row>
    <row r="12261" spans="1:4" ht="16.5" hidden="1" x14ac:dyDescent="0.3">
      <c r="A12261" s="10" t="str">
        <f>基本属性!$B$4&amp;"|"&amp;基本属性!$C$4</f>
        <v>35|0</v>
      </c>
      <c r="B12261" s="10" t="str">
        <f>参数调整!$J$42</f>
        <v>新增怪物种类7掉落</v>
      </c>
      <c r="C12261" s="8" t="str">
        <f>材料产出!$AD$2</f>
        <v>凡品升星石</v>
      </c>
      <c r="D12261" s="224">
        <f>参数调整!$K$42*怪物掉落配置方案!$D5079</f>
        <v>3.1755529832684412E-2</v>
      </c>
    </row>
    <row r="12262" spans="1:4" ht="16.5" hidden="1" x14ac:dyDescent="0.3">
      <c r="A12262" s="10" t="str">
        <f>基本属性!$B$5&amp;"|"&amp;基本属性!$C$5</f>
        <v>40|0</v>
      </c>
      <c r="B12262" s="10" t="str">
        <f>参数调整!$J$42</f>
        <v>新增怪物种类7掉落</v>
      </c>
      <c r="C12262" s="8" t="str">
        <f>材料产出!$AD$2</f>
        <v>凡品升星石</v>
      </c>
      <c r="D12262" s="224">
        <f>参数调整!$K$42*怪物掉落配置方案!$D5080</f>
        <v>4.0190592444491226E-2</v>
      </c>
    </row>
    <row r="12263" spans="1:4" ht="16.5" hidden="1" x14ac:dyDescent="0.3">
      <c r="A12263" s="10" t="str">
        <f>基本属性!$B$6&amp;"|"&amp;基本属性!$C$6</f>
        <v>50|0</v>
      </c>
      <c r="B12263" s="10" t="str">
        <f>参数调整!$J$42</f>
        <v>新增怪物种类7掉落</v>
      </c>
      <c r="C12263" s="8" t="str">
        <f>材料产出!$AD$2</f>
        <v>凡品升星石</v>
      </c>
      <c r="D12263" s="224">
        <f>参数调整!$K$42*怪物掉落配置方案!$D5081</f>
        <v>4.9618015363569405E-2</v>
      </c>
    </row>
    <row r="12264" spans="1:4" ht="16.5" hidden="1" x14ac:dyDescent="0.3">
      <c r="A12264" s="10" t="str">
        <f>基本属性!$B$7&amp;"|"&amp;基本属性!$C$7</f>
        <v>60|0</v>
      </c>
      <c r="B12264" s="10" t="str">
        <f>参数调整!$J$42</f>
        <v>新增怪物种类7掉落</v>
      </c>
      <c r="C12264" s="8" t="str">
        <f>材料产出!$AD$2</f>
        <v>凡品升星石</v>
      </c>
      <c r="D12264" s="224">
        <f>参数调整!$K$42*怪物掉落配置方案!$D5082</f>
        <v>6.0037798589918978E-2</v>
      </c>
    </row>
    <row r="12265" spans="1:4" ht="16.5" hidden="1" x14ac:dyDescent="0.3">
      <c r="A12265" s="10" t="str">
        <f>基本属性!$B$8&amp;"|"&amp;基本属性!$C$8</f>
        <v>65|0</v>
      </c>
      <c r="B12265" s="10" t="str">
        <f>参数调整!$J$42</f>
        <v>新增怪物种类7掉落</v>
      </c>
      <c r="C12265" s="8" t="str">
        <f>材料产出!$AD$2</f>
        <v>凡品升星石</v>
      </c>
      <c r="D12265" s="224">
        <f>参数调整!$K$42*怪物掉落配置方案!$D5083</f>
        <v>7.1449942123539945E-2</v>
      </c>
    </row>
    <row r="12266" spans="1:4" ht="16.5" hidden="1" x14ac:dyDescent="0.3">
      <c r="A12266" s="10" t="str">
        <f>基本属性!$B$9&amp;"|"&amp;基本属性!$C$9</f>
        <v>70|0</v>
      </c>
      <c r="B12266" s="10" t="str">
        <f>参数调整!$J$42</f>
        <v>新增怪物种类7掉落</v>
      </c>
      <c r="C12266" s="8" t="str">
        <f>材料产出!$AD$2</f>
        <v>凡品升星石</v>
      </c>
      <c r="D12266" s="224">
        <f>参数调整!$K$42*怪物掉落配置方案!$D5084</f>
        <v>8.3854445964432284E-2</v>
      </c>
    </row>
    <row r="12267" spans="1:4" ht="16.5" hidden="1" x14ac:dyDescent="0.3">
      <c r="A12267" s="10" t="str">
        <f>基本属性!$B$10&amp;"|"&amp;基本属性!$C$10</f>
        <v>75|0</v>
      </c>
      <c r="B12267" s="10" t="str">
        <f>参数调整!$J$42</f>
        <v>新增怪物种类7掉落</v>
      </c>
      <c r="C12267" s="8" t="str">
        <f>材料产出!$AD$2</f>
        <v>凡品升星石</v>
      </c>
      <c r="D12267" s="224">
        <f>参数调整!$K$42*怪物掉落配置方案!$D5085</f>
        <v>9.7251310112596023E-2</v>
      </c>
    </row>
    <row r="12268" spans="1:4" ht="16.5" hidden="1" x14ac:dyDescent="0.3">
      <c r="A12268" s="10" t="str">
        <f>基本属性!$B$11&amp;"|"&amp;基本属性!$C$11</f>
        <v>80|1</v>
      </c>
      <c r="B12268" s="10" t="str">
        <f>参数调整!$J$42</f>
        <v>新增怪物种类7掉落</v>
      </c>
      <c r="C12268" s="8" t="str">
        <f>材料产出!$AD$2</f>
        <v>凡品升星石</v>
      </c>
      <c r="D12268" s="224">
        <f>参数调整!$K$42*怪物掉落配置方案!$D5086</f>
        <v>0.11164053456803115</v>
      </c>
    </row>
    <row r="12269" spans="1:4" ht="16.5" hidden="1" x14ac:dyDescent="0.3">
      <c r="A12269" s="10" t="str">
        <f>基本属性!$B$12&amp;"|"&amp;基本属性!$C$12</f>
        <v>90|2</v>
      </c>
      <c r="B12269" s="10" t="str">
        <f>参数调整!$J$42</f>
        <v>新增怪物种类7掉落</v>
      </c>
      <c r="C12269" s="8" t="str">
        <f>材料产出!$AD$2</f>
        <v>凡品升星石</v>
      </c>
      <c r="D12269" s="224">
        <f>参数调整!$K$42*怪物掉落配置方案!$D5087</f>
        <v>0.1270221193307377</v>
      </c>
    </row>
    <row r="12270" spans="1:4" ht="16.5" hidden="1" x14ac:dyDescent="0.3">
      <c r="A12270" s="10" t="str">
        <f>基本属性!$B$13&amp;"|"&amp;基本属性!$C$13</f>
        <v>100|3</v>
      </c>
      <c r="B12270" s="10" t="str">
        <f>参数调整!$J$42</f>
        <v>新增怪物种类7掉落</v>
      </c>
      <c r="C12270" s="8" t="str">
        <f>材料产出!$AD$2</f>
        <v>凡品升星石</v>
      </c>
      <c r="D12270" s="224">
        <f>参数调整!$K$42*怪物掉落配置方案!$D5088</f>
        <v>0.1607623697779649</v>
      </c>
    </row>
    <row r="12271" spans="1:4" ht="16.5" hidden="1" x14ac:dyDescent="0.3">
      <c r="A12271" s="10" t="str">
        <f>基本属性!$B$14&amp;"|"&amp;基本属性!$C$14</f>
        <v>105|4</v>
      </c>
      <c r="B12271" s="10" t="str">
        <f>参数调整!$J$42</f>
        <v>新增怪物种类7掉落</v>
      </c>
      <c r="C12271" s="8" t="str">
        <f>材料产出!$AD$2</f>
        <v>凡品升星石</v>
      </c>
      <c r="D12271" s="224">
        <f>参数调整!$K$42*怪物掉落配置方案!$D5089</f>
        <v>0.19847206145427759</v>
      </c>
    </row>
    <row r="12272" spans="1:4" ht="16.5" hidden="1" x14ac:dyDescent="0.3">
      <c r="A12272" s="10" t="str">
        <f>基本属性!$B$15&amp;"|"&amp;基本属性!$C$15</f>
        <v>110|5</v>
      </c>
      <c r="B12272" s="10" t="str">
        <f>参数调整!$J$42</f>
        <v>新增怪物种类7掉落</v>
      </c>
      <c r="C12272" s="8" t="str">
        <f>材料产出!$AD$2</f>
        <v>凡品升星石</v>
      </c>
      <c r="D12272" s="224">
        <f>参数调整!$K$42*怪物掉落配置方案!$D5090</f>
        <v>0.24015119435967591</v>
      </c>
    </row>
    <row r="12273" spans="1:4" ht="16.5" hidden="1" x14ac:dyDescent="0.3">
      <c r="A12273" s="10" t="str">
        <f>基本属性!$B$16&amp;"|"&amp;基本属性!$C$16</f>
        <v>120|6</v>
      </c>
      <c r="B12273" s="10" t="str">
        <f>参数调整!$J$42</f>
        <v>新增怪物种类7掉落</v>
      </c>
      <c r="C12273" s="8" t="str">
        <f>材料产出!$AD$2</f>
        <v>凡品升星石</v>
      </c>
      <c r="D12273" s="224">
        <f>参数调整!$K$42*怪物掉落配置方案!$D5091</f>
        <v>0.31011259602230878</v>
      </c>
    </row>
    <row r="12274" spans="1:4" ht="16.5" hidden="1" x14ac:dyDescent="0.3">
      <c r="A12274" s="10" t="str">
        <f>基本属性!$B$17&amp;"|"&amp;基本属性!$C$17</f>
        <v>135|7</v>
      </c>
      <c r="B12274" s="10" t="str">
        <f>参数调整!$J$42</f>
        <v>新增怪物种类7掉落</v>
      </c>
      <c r="C12274" s="8" t="str">
        <f>材料产出!$AD$2</f>
        <v>凡品升星石</v>
      </c>
      <c r="D12274" s="224">
        <f>参数调整!$K$42*怪物掉落配置方案!$D5092</f>
        <v>0.4465621382721246</v>
      </c>
    </row>
    <row r="12275" spans="1:4" ht="16.5" hidden="1" x14ac:dyDescent="0.3">
      <c r="A12275" s="10" t="str">
        <f>基本属性!$B$18&amp;"|"&amp;基本属性!$C$18</f>
        <v>155|8</v>
      </c>
      <c r="B12275" s="10" t="str">
        <f>参数调整!$J$42</f>
        <v>新增怪物种类7掉落</v>
      </c>
      <c r="C12275" s="8" t="str">
        <f>材料产出!$AD$2</f>
        <v>凡品升星石</v>
      </c>
      <c r="D12275" s="224">
        <f>参数调整!$K$42*怪物掉落配置方案!$D5093</f>
        <v>0.60782068820372526</v>
      </c>
    </row>
    <row r="12276" spans="1:4" ht="16.5" hidden="1" x14ac:dyDescent="0.3">
      <c r="A12276" s="10" t="str">
        <f>基本属性!$B$19&amp;"|"&amp;基本属性!$C$19</f>
        <v>190|9</v>
      </c>
      <c r="B12276" s="10" t="str">
        <f>参数调整!$J$42</f>
        <v>新增怪物种类7掉落</v>
      </c>
      <c r="C12276" s="8" t="str">
        <f>材料产出!$AD$2</f>
        <v>凡品升星石</v>
      </c>
      <c r="D12276" s="224">
        <f>参数调整!$K$42*怪物掉落配置方案!$D5094</f>
        <v>0.67927063032726531</v>
      </c>
    </row>
    <row r="12277" spans="1:4" ht="16.5" hidden="1" x14ac:dyDescent="0.3">
      <c r="A12277" s="10" t="str">
        <f>基本属性!$B$20&amp;"|"&amp;基本属性!$C$20</f>
        <v>200|10</v>
      </c>
      <c r="B12277" s="10" t="str">
        <f>参数调整!$J$42</f>
        <v>新增怪物种类7掉落</v>
      </c>
      <c r="C12277" s="8" t="str">
        <f>材料产出!$AD$2</f>
        <v>凡品升星石</v>
      </c>
      <c r="D12277" s="224">
        <f>参数调整!$K$42*怪物掉落配置方案!$D5095</f>
        <v>0.79388824581711037</v>
      </c>
    </row>
    <row r="12278" spans="1:4" ht="16.5" hidden="1" x14ac:dyDescent="0.3">
      <c r="A12278" s="10" t="str">
        <f>基本属性!$B$21&amp;"|"&amp;基本属性!$C$21</f>
        <v>200|11</v>
      </c>
      <c r="B12278" s="10" t="str">
        <f>参数调整!$J$42</f>
        <v>新增怪物种类7掉落</v>
      </c>
      <c r="C12278" s="8" t="str">
        <f>材料产出!$AD$2</f>
        <v>凡品升星石</v>
      </c>
      <c r="D12278" s="224">
        <f>参数调整!$K$42*怪物掉落配置方案!$D5096</f>
        <v>0.91743710407239809</v>
      </c>
    </row>
    <row r="12279" spans="1:4" ht="16.5" hidden="1" x14ac:dyDescent="0.3">
      <c r="A12279" s="10" t="str">
        <f>基本属性!$B$22&amp;"|"&amp;基本属性!$C$22</f>
        <v>210|12</v>
      </c>
      <c r="B12279" s="10" t="str">
        <f>参数调整!$J$42</f>
        <v>新增怪物种类7掉落</v>
      </c>
      <c r="C12279" s="8" t="str">
        <f>材料产出!$AD$2</f>
        <v>凡品升星石</v>
      </c>
      <c r="D12279" s="224">
        <f>参数调整!$K$42*怪物掉落配置方案!$D5097</f>
        <v>1.0499172050931285</v>
      </c>
    </row>
    <row r="12280" spans="1:4" ht="16.5" hidden="1" x14ac:dyDescent="0.3">
      <c r="A12280" s="10" t="str">
        <f>基本属性!$B$23&amp;"|"&amp;基本属性!$C$23</f>
        <v>210|13</v>
      </c>
      <c r="B12280" s="10" t="str">
        <f>参数调整!$J$42</f>
        <v>新增怪物种类7掉落</v>
      </c>
      <c r="C12280" s="8" t="str">
        <f>材料产出!$AD$2</f>
        <v>凡品升星石</v>
      </c>
      <c r="D12280" s="224">
        <f>参数调整!$K$42*怪物掉落配置方案!$D5098</f>
        <v>1.1913285488793013</v>
      </c>
    </row>
    <row r="12281" spans="1:4" ht="16.5" hidden="1" x14ac:dyDescent="0.3">
      <c r="A12281" s="10" t="str">
        <f>基本属性!$B$24&amp;"|"&amp;基本属性!$C$24</f>
        <v>220|14</v>
      </c>
      <c r="B12281" s="10" t="str">
        <f>参数调整!$J$42</f>
        <v>新增怪物种类7掉落</v>
      </c>
      <c r="C12281" s="8" t="str">
        <f>材料产出!$AD$2</f>
        <v>凡品升星石</v>
      </c>
      <c r="D12281" s="224">
        <f>参数调整!$K$42*怪物掉落配置方案!$D5099</f>
        <v>1.3416711354309168</v>
      </c>
    </row>
    <row r="12282" spans="1:4" ht="16.5" hidden="1" x14ac:dyDescent="0.3">
      <c r="A12282" s="10" t="str">
        <f>基本属性!$B$25&amp;"|"&amp;基本属性!$C$25</f>
        <v>220|15</v>
      </c>
      <c r="B12282" s="10" t="str">
        <f>参数调整!$J$42</f>
        <v>新增怪物种类7掉落</v>
      </c>
      <c r="C12282" s="8" t="str">
        <f>材料产出!$AD$2</f>
        <v>凡品升星石</v>
      </c>
      <c r="D12282" s="224">
        <f>参数调整!$K$42*怪物掉落配置方案!$D5100</f>
        <v>1.500944964747974</v>
      </c>
    </row>
    <row r="12283" spans="1:4" ht="16.5" hidden="1" x14ac:dyDescent="0.3">
      <c r="A12283" s="10" t="str">
        <f>基本属性!$B$26&amp;"|"&amp;基本属性!$C$26</f>
        <v>230|16</v>
      </c>
      <c r="B12283" s="10" t="str">
        <f>参数调整!$J$42</f>
        <v>新增怪物种类7掉落</v>
      </c>
      <c r="C12283" s="8" t="str">
        <f>材料产出!$AD$2</f>
        <v>凡品升星石</v>
      </c>
      <c r="D12283" s="224">
        <f>参数调整!$K$42*怪物掉落配置方案!$D5101</f>
        <v>1.6691500368304746</v>
      </c>
    </row>
    <row r="12284" spans="1:4" ht="16.5" hidden="1" x14ac:dyDescent="0.3">
      <c r="A12284" s="10" t="str">
        <f>基本属性!$B$27&amp;"|"&amp;基本属性!$C$27</f>
        <v>230|17</v>
      </c>
      <c r="B12284" s="10" t="str">
        <f>参数调整!$J$42</f>
        <v>新增怪物种类7掉落</v>
      </c>
      <c r="C12284" s="8" t="str">
        <f>材料产出!$AD$2</f>
        <v>凡品升星石</v>
      </c>
      <c r="D12284" s="224">
        <f>参数调整!$K$42*怪物掉落配置方案!$D5102</f>
        <v>1.8462863516784171</v>
      </c>
    </row>
    <row r="12285" spans="1:4" ht="16.5" hidden="1" x14ac:dyDescent="0.3">
      <c r="A12285" s="10" t="str">
        <f>基本属性!$B$28&amp;"|"&amp;基本属性!$C$28</f>
        <v>240|18</v>
      </c>
      <c r="B12285" s="10" t="str">
        <f>参数调整!$J$42</f>
        <v>新增怪物种类7掉落</v>
      </c>
      <c r="C12285" s="8" t="str">
        <f>材料产出!$AD$2</f>
        <v>凡品升星石</v>
      </c>
      <c r="D12285" s="224">
        <f>参数调整!$K$42*怪物掉落配置方案!$D5103</f>
        <v>2.0323539092918028</v>
      </c>
    </row>
    <row r="12286" spans="1:4" ht="16.5" hidden="1" x14ac:dyDescent="0.3">
      <c r="A12286" s="10" t="str">
        <f>基本属性!$B$29&amp;"|"&amp;基本属性!$C$29</f>
        <v>240|19</v>
      </c>
      <c r="B12286" s="10" t="str">
        <f>参数调整!$J$42</f>
        <v>新增怪物种类7掉落</v>
      </c>
      <c r="C12286" s="8" t="str">
        <f>材料产出!$AD$2</f>
        <v>凡品升星石</v>
      </c>
      <c r="D12286" s="224">
        <f>参数调整!$K$42*怪物掉落配置方案!$D5104</f>
        <v>2.2273527096706305</v>
      </c>
    </row>
    <row r="12287" spans="1:4" ht="16.5" hidden="1" x14ac:dyDescent="0.3">
      <c r="A12287" s="10" t="str">
        <f>基本属性!$B$30&amp;"|"&amp;基本属性!$C$30</f>
        <v>250|20</v>
      </c>
      <c r="B12287" s="10" t="str">
        <f>参数调整!$J$42</f>
        <v>新增怪物种类7掉落</v>
      </c>
      <c r="C12287" s="8" t="str">
        <f>材料产出!$AD$2</f>
        <v>凡品升星石</v>
      </c>
      <c r="D12287" s="224">
        <f>参数调整!$K$42*怪物掉落配置方案!$D5105</f>
        <v>2.4312827528149006</v>
      </c>
    </row>
    <row r="12288" spans="1:4" ht="16.5" hidden="1" x14ac:dyDescent="0.3">
      <c r="A12288" s="10" t="str">
        <f>基本属性!$B$4&amp;"|"&amp;基本属性!$C$4</f>
        <v>35|0</v>
      </c>
      <c r="B12288" s="10" t="str">
        <f>参数调整!$J$42</f>
        <v>新增怪物种类7掉落</v>
      </c>
      <c r="C12288" s="8" t="str">
        <f>材料产出!$Z$2</f>
        <v>恶魔头颅</v>
      </c>
      <c r="D12288" s="224">
        <f>参数调整!$K$42*怪物掉落配置方案!$D5106</f>
        <v>4.1352040774087747E-3</v>
      </c>
    </row>
    <row r="12289" spans="1:4" ht="16.5" hidden="1" x14ac:dyDescent="0.3">
      <c r="A12289" s="10" t="str">
        <f>基本属性!$B$5&amp;"|"&amp;基本属性!$C$5</f>
        <v>40|0</v>
      </c>
      <c r="B12289" s="10" t="str">
        <f>参数调整!$J$42</f>
        <v>新增怪物种类7掉落</v>
      </c>
      <c r="C12289" s="8" t="str">
        <f>材料产出!$Z$2</f>
        <v>恶魔头颅</v>
      </c>
      <c r="D12289" s="224">
        <f>参数调整!$K$42*怪物掉落配置方案!$D5107</f>
        <v>5.2336176604704807E-3</v>
      </c>
    </row>
    <row r="12290" spans="1:4" ht="16.5" hidden="1" x14ac:dyDescent="0.3">
      <c r="A12290" s="10" t="str">
        <f>基本属性!$B$6&amp;"|"&amp;基本属性!$C$6</f>
        <v>50|0</v>
      </c>
      <c r="B12290" s="10" t="str">
        <f>参数调整!$J$42</f>
        <v>新增怪物种类7掉落</v>
      </c>
      <c r="C12290" s="8" t="str">
        <f>材料产出!$Z$2</f>
        <v>恶魔头颅</v>
      </c>
      <c r="D12290" s="224">
        <f>参数调整!$K$42*怪物掉落配置方案!$D5108</f>
        <v>6.4612563709512101E-3</v>
      </c>
    </row>
    <row r="12291" spans="1:4" ht="16.5" hidden="1" x14ac:dyDescent="0.3">
      <c r="A12291" s="10" t="str">
        <f>基本属性!$B$7&amp;"|"&amp;基本属性!$C$7</f>
        <v>60|0</v>
      </c>
      <c r="B12291" s="10" t="str">
        <f>参数调整!$J$42</f>
        <v>新增怪物种类7掉落</v>
      </c>
      <c r="C12291" s="8" t="str">
        <f>材料产出!$Z$2</f>
        <v>恶魔头颅</v>
      </c>
      <c r="D12291" s="224">
        <f>参数调整!$K$42*怪物掉落配置方案!$D5109</f>
        <v>7.8181202088509656E-3</v>
      </c>
    </row>
    <row r="12292" spans="1:4" ht="16.5" hidden="1" x14ac:dyDescent="0.3">
      <c r="A12292" s="10" t="str">
        <f>基本属性!$B$8&amp;"|"&amp;基本属性!$C$8</f>
        <v>65|0</v>
      </c>
      <c r="B12292" s="10" t="str">
        <f>参数调整!$J$42</f>
        <v>新增怪物种类7掉落</v>
      </c>
      <c r="C12292" s="8" t="str">
        <f>材料产出!$Z$2</f>
        <v>恶魔头颅</v>
      </c>
      <c r="D12292" s="224">
        <f>参数调整!$K$42*怪物掉落配置方案!$D5110</f>
        <v>9.3042091741697436E-3</v>
      </c>
    </row>
    <row r="12293" spans="1:4" ht="16.5" hidden="1" x14ac:dyDescent="0.3">
      <c r="A12293" s="10" t="str">
        <f>基本属性!$B$9&amp;"|"&amp;基本属性!$C$9</f>
        <v>70|0</v>
      </c>
      <c r="B12293" s="10" t="str">
        <f>参数调整!$J$42</f>
        <v>新增怪物种类7掉落</v>
      </c>
      <c r="C12293" s="8" t="str">
        <f>材料产出!$Z$2</f>
        <v>恶魔头颅</v>
      </c>
      <c r="D12293" s="224">
        <f>参数调整!$K$42*怪物掉落配置方案!$D5111</f>
        <v>1.0919523266907547E-2</v>
      </c>
    </row>
    <row r="12294" spans="1:4" ht="16.5" hidden="1" x14ac:dyDescent="0.3">
      <c r="A12294" s="10" t="str">
        <f>基本属性!$B$10&amp;"|"&amp;基本属性!$C$10</f>
        <v>75|0</v>
      </c>
      <c r="B12294" s="10" t="str">
        <f>参数调整!$J$42</f>
        <v>新增怪物种类7掉落</v>
      </c>
      <c r="C12294" s="8" t="str">
        <f>材料产出!$Z$2</f>
        <v>恶魔头颅</v>
      </c>
      <c r="D12294" s="224">
        <f>参数调整!$K$42*怪物掉落配置方案!$D5112</f>
        <v>1.2664062487064372E-2</v>
      </c>
    </row>
    <row r="12295" spans="1:4" ht="16.5" hidden="1" x14ac:dyDescent="0.3">
      <c r="A12295" s="10" t="str">
        <f>基本属性!$B$11&amp;"|"&amp;基本属性!$C$11</f>
        <v>80|1</v>
      </c>
      <c r="B12295" s="10" t="str">
        <f>参数调整!$J$42</f>
        <v>新增怪物种类7掉落</v>
      </c>
      <c r="C12295" s="8" t="str">
        <f>材料产出!$Z$2</f>
        <v>恶魔头颅</v>
      </c>
      <c r="D12295" s="224">
        <f>参数调整!$K$42*怪物掉落配置方案!$D5113</f>
        <v>1.4537826834640225E-2</v>
      </c>
    </row>
    <row r="12296" spans="1:4" ht="16.5" hidden="1" x14ac:dyDescent="0.3">
      <c r="A12296" s="10" t="str">
        <f>基本属性!$B$12&amp;"|"&amp;基本属性!$C$12</f>
        <v>90|2</v>
      </c>
      <c r="B12296" s="10" t="str">
        <f>参数调整!$J$42</f>
        <v>新增怪物种类7掉落</v>
      </c>
      <c r="C12296" s="8" t="str">
        <f>材料产出!$Z$2</f>
        <v>恶魔头颅</v>
      </c>
      <c r="D12296" s="224">
        <f>参数调整!$K$42*怪物掉落配置方案!$D5114</f>
        <v>1.6540816309635102E-2</v>
      </c>
    </row>
    <row r="12297" spans="1:4" ht="16.5" hidden="1" x14ac:dyDescent="0.3">
      <c r="A12297" s="10" t="str">
        <f>基本属性!$B$13&amp;"|"&amp;基本属性!$C$13</f>
        <v>100|3</v>
      </c>
      <c r="B12297" s="10" t="str">
        <f>参数调整!$J$42</f>
        <v>新增怪物种类7掉落</v>
      </c>
      <c r="C12297" s="8" t="str">
        <f>材料产出!$Z$2</f>
        <v>恶魔头颅</v>
      </c>
      <c r="D12297" s="224">
        <f>参数调整!$K$42*怪物掉落配置方案!$D5115</f>
        <v>2.0934470641881926E-2</v>
      </c>
    </row>
    <row r="12298" spans="1:4" ht="16.5" hidden="1" x14ac:dyDescent="0.3">
      <c r="A12298" s="10" t="str">
        <f>基本属性!$B$14&amp;"|"&amp;基本属性!$C$14</f>
        <v>105|4</v>
      </c>
      <c r="B12298" s="10" t="str">
        <f>参数调整!$J$42</f>
        <v>新增怪物种类7掉落</v>
      </c>
      <c r="C12298" s="8" t="str">
        <f>材料产出!$Z$2</f>
        <v>恶魔头颅</v>
      </c>
      <c r="D12298" s="224">
        <f>参数调整!$K$42*怪物掉落配置方案!$D5116</f>
        <v>2.5845025483804841E-2</v>
      </c>
    </row>
    <row r="12299" spans="1:4" ht="16.5" hidden="1" x14ac:dyDescent="0.3">
      <c r="A12299" s="10" t="str">
        <f>基本属性!$B$15&amp;"|"&amp;基本属性!$C$15</f>
        <v>110|5</v>
      </c>
      <c r="B12299" s="10" t="str">
        <f>参数调整!$J$42</f>
        <v>新增怪物种类7掉落</v>
      </c>
      <c r="C12299" s="8" t="str">
        <f>材料产出!$Z$2</f>
        <v>恶魔头颅</v>
      </c>
      <c r="D12299" s="224">
        <f>参数调整!$K$42*怪物掉落配置方案!$D5117</f>
        <v>3.1272480835403862E-2</v>
      </c>
    </row>
    <row r="12300" spans="1:4" ht="16.5" hidden="1" x14ac:dyDescent="0.3">
      <c r="A12300" s="10" t="str">
        <f>基本属性!$B$16&amp;"|"&amp;基本属性!$C$16</f>
        <v>120|6</v>
      </c>
      <c r="B12300" s="10" t="str">
        <f>参数调整!$J$42</f>
        <v>新增怪物种类7掉落</v>
      </c>
      <c r="C12300" s="8" t="str">
        <f>材料产出!$Z$2</f>
        <v>恶魔头颅</v>
      </c>
      <c r="D12300" s="224">
        <f>参数调整!$K$42*怪物掉落配置方案!$D5118</f>
        <v>4.0382852318445066E-2</v>
      </c>
    </row>
    <row r="12301" spans="1:4" ht="16.5" hidden="1" x14ac:dyDescent="0.3">
      <c r="A12301" s="10" t="str">
        <f>基本属性!$B$17&amp;"|"&amp;基本属性!$C$17</f>
        <v>135|7</v>
      </c>
      <c r="B12301" s="10" t="str">
        <f>参数调整!$J$42</f>
        <v>新增怪物种类7掉落</v>
      </c>
      <c r="C12301" s="8" t="str">
        <f>材料产出!$Z$2</f>
        <v>恶魔头颅</v>
      </c>
      <c r="D12301" s="224">
        <f>参数调整!$K$42*怪物掉落配置方案!$D5119</f>
        <v>5.8151307338560901E-2</v>
      </c>
    </row>
    <row r="12302" spans="1:4" ht="16.5" hidden="1" x14ac:dyDescent="0.3">
      <c r="A12302" s="10" t="str">
        <f>基本属性!$B$18&amp;"|"&amp;基本属性!$C$18</f>
        <v>155|8</v>
      </c>
      <c r="B12302" s="10" t="str">
        <f>参数调整!$J$42</f>
        <v>新增怪物种类7掉落</v>
      </c>
      <c r="C12302" s="8" t="str">
        <f>材料产出!$Z$2</f>
        <v>恶魔头颅</v>
      </c>
      <c r="D12302" s="224">
        <f>参数调整!$K$42*怪物掉落配置方案!$D5120</f>
        <v>7.9150390544152349E-2</v>
      </c>
    </row>
    <row r="12303" spans="1:4" ht="16.5" hidden="1" x14ac:dyDescent="0.3">
      <c r="A12303" s="10" t="str">
        <f>基本属性!$B$19&amp;"|"&amp;基本属性!$C$19</f>
        <v>190|9</v>
      </c>
      <c r="B12303" s="10" t="str">
        <f>参数调整!$J$42</f>
        <v>新增怪物种类7掉落</v>
      </c>
      <c r="C12303" s="8" t="str">
        <f>材料产出!$Z$2</f>
        <v>恶魔头颅</v>
      </c>
      <c r="D12303" s="224">
        <f>参数调整!$K$42*怪物掉落配置方案!$D5121</f>
        <v>8.8454599718322091E-2</v>
      </c>
    </row>
    <row r="12304" spans="1:4" ht="16.5" hidden="1" x14ac:dyDescent="0.3">
      <c r="A12304" s="10" t="str">
        <f>基本属性!$B$20&amp;"|"&amp;基本属性!$C$20</f>
        <v>200|10</v>
      </c>
      <c r="B12304" s="10" t="str">
        <f>参数调整!$J$42</f>
        <v>新增怪物种类7掉落</v>
      </c>
      <c r="C12304" s="8" t="str">
        <f>材料产出!$Z$2</f>
        <v>恶魔头颅</v>
      </c>
      <c r="D12304" s="224">
        <f>参数调整!$K$42*怪物掉落配置方案!$D5122</f>
        <v>0.10338010193521936</v>
      </c>
    </row>
    <row r="12305" spans="1:4" ht="16.5" hidden="1" x14ac:dyDescent="0.3">
      <c r="A12305" s="10" t="str">
        <f>基本属性!$B$21&amp;"|"&amp;基本属性!$C$21</f>
        <v>200|11</v>
      </c>
      <c r="B12305" s="10" t="str">
        <f>参数调整!$J$42</f>
        <v>新增怪物种类7掉落</v>
      </c>
      <c r="C12305" s="8" t="str">
        <f>材料产出!$Z$2</f>
        <v>恶魔头颅</v>
      </c>
      <c r="D12305" s="224">
        <f>参数调整!$K$42*怪物掉落配置方案!$D5123</f>
        <v>0.11946863029888785</v>
      </c>
    </row>
    <row r="12306" spans="1:4" ht="16.5" hidden="1" x14ac:dyDescent="0.3">
      <c r="A12306" s="10" t="str">
        <f>基本属性!$B$22&amp;"|"&amp;基本属性!$C$22</f>
        <v>210|12</v>
      </c>
      <c r="B12306" s="10" t="str">
        <f>参数调整!$J$42</f>
        <v>新增怪物种类7掉落</v>
      </c>
      <c r="C12306" s="8" t="str">
        <f>材料产出!$Z$2</f>
        <v>恶魔头颅</v>
      </c>
      <c r="D12306" s="224">
        <f>参数调整!$K$42*怪物掉落配置方案!$D5124</f>
        <v>0.13672018480932757</v>
      </c>
    </row>
    <row r="12307" spans="1:4" ht="16.5" hidden="1" x14ac:dyDescent="0.3">
      <c r="A12307" s="10" t="str">
        <f>基本属性!$B$23&amp;"|"&amp;基本属性!$C$23</f>
        <v>210|13</v>
      </c>
      <c r="B12307" s="10" t="str">
        <f>参数调整!$J$42</f>
        <v>新增怪物种类7掉落</v>
      </c>
      <c r="C12307" s="8" t="str">
        <f>材料产出!$Z$2</f>
        <v>恶魔头颅</v>
      </c>
      <c r="D12307" s="224">
        <f>参数调整!$K$42*怪物掉落配置方案!$D5125</f>
        <v>0.15513476546653859</v>
      </c>
    </row>
    <row r="12308" spans="1:4" ht="16.5" hidden="1" x14ac:dyDescent="0.3">
      <c r="A12308" s="10" t="str">
        <f>基本属性!$B$24&amp;"|"&amp;基本属性!$C$24</f>
        <v>220|14</v>
      </c>
      <c r="B12308" s="10" t="str">
        <f>参数调整!$J$42</f>
        <v>新增怪物种类7掉落</v>
      </c>
      <c r="C12308" s="8" t="str">
        <f>材料产出!$Z$2</f>
        <v>恶魔头颅</v>
      </c>
      <c r="D12308" s="224">
        <f>参数调整!$K$42*怪物掉落配置方案!$D5126</f>
        <v>0.17471237227052075</v>
      </c>
    </row>
    <row r="12309" spans="1:4" ht="16.5" hidden="1" x14ac:dyDescent="0.3">
      <c r="A12309" s="10" t="str">
        <f>基本属性!$B$25&amp;"|"&amp;基本属性!$C$25</f>
        <v>220|15</v>
      </c>
      <c r="B12309" s="10" t="str">
        <f>参数调整!$J$42</f>
        <v>新增怪物种类7掉落</v>
      </c>
      <c r="C12309" s="8" t="str">
        <f>材料产出!$Z$2</f>
        <v>恶魔头颅</v>
      </c>
      <c r="D12309" s="224">
        <f>参数调整!$K$42*怪物掉落配置方案!$D5127</f>
        <v>0.1954530052212741</v>
      </c>
    </row>
    <row r="12310" spans="1:4" ht="16.5" hidden="1" x14ac:dyDescent="0.3">
      <c r="A12310" s="10" t="str">
        <f>基本属性!$B$26&amp;"|"&amp;基本属性!$C$26</f>
        <v>230|16</v>
      </c>
      <c r="B12310" s="10" t="str">
        <f>参数调整!$J$42</f>
        <v>新增怪物种类7掉落</v>
      </c>
      <c r="C12310" s="8" t="str">
        <f>材料产出!$Z$2</f>
        <v>恶魔头颅</v>
      </c>
      <c r="D12310" s="224">
        <f>参数调整!$K$42*怪物掉落配置方案!$D5128</f>
        <v>0.21735666431879871</v>
      </c>
    </row>
    <row r="12311" spans="1:4" ht="16.5" hidden="1" x14ac:dyDescent="0.3">
      <c r="A12311" s="10" t="str">
        <f>基本属性!$B$27&amp;"|"&amp;基本属性!$C$27</f>
        <v>230|17</v>
      </c>
      <c r="B12311" s="10" t="str">
        <f>参数调整!$J$42</f>
        <v>新增怪物种类7掉落</v>
      </c>
      <c r="C12311" s="8" t="str">
        <f>材料产出!$Z$2</f>
        <v>恶魔头颅</v>
      </c>
      <c r="D12311" s="224">
        <f>参数调整!$K$42*怪物掉落配置方案!$D5129</f>
        <v>0.24042334956309452</v>
      </c>
    </row>
    <row r="12312" spans="1:4" ht="16.5" hidden="1" x14ac:dyDescent="0.3">
      <c r="A12312" s="10" t="str">
        <f>基本属性!$B$28&amp;"|"&amp;基本属性!$C$28</f>
        <v>240|18</v>
      </c>
      <c r="B12312" s="10" t="str">
        <f>参数调整!$J$42</f>
        <v>新增怪物种类7掉落</v>
      </c>
      <c r="C12312" s="8" t="str">
        <f>材料产出!$Z$2</f>
        <v>恶魔头颅</v>
      </c>
      <c r="D12312" s="224">
        <f>参数调整!$K$42*怪物掉落配置方案!$D5130</f>
        <v>0.26465306095416163</v>
      </c>
    </row>
    <row r="12313" spans="1:4" ht="16.5" hidden="1" x14ac:dyDescent="0.3">
      <c r="A12313" s="10" t="str">
        <f>基本属性!$B$29&amp;"|"&amp;基本属性!$C$29</f>
        <v>240|19</v>
      </c>
      <c r="B12313" s="10" t="str">
        <f>参数调整!$J$42</f>
        <v>新增怪物种类7掉落</v>
      </c>
      <c r="C12313" s="8" t="str">
        <f>材料产出!$Z$2</f>
        <v>恶魔头颅</v>
      </c>
      <c r="D12313" s="224">
        <f>参数调整!$K$42*怪物掉落配置方案!$D5131</f>
        <v>0.29004579849199985</v>
      </c>
    </row>
    <row r="12314" spans="1:4" ht="16.5" hidden="1" x14ac:dyDescent="0.3">
      <c r="A12314" s="10" t="str">
        <f>基本属性!$B$30&amp;"|"&amp;基本属性!$C$30</f>
        <v>250|20</v>
      </c>
      <c r="B12314" s="10" t="str">
        <f>参数调整!$J$42</f>
        <v>新增怪物种类7掉落</v>
      </c>
      <c r="C12314" s="8" t="str">
        <f>材料产出!$Z$2</f>
        <v>恶魔头颅</v>
      </c>
      <c r="D12314" s="224">
        <f>参数调整!$K$42*怪物掉落配置方案!$D5132</f>
        <v>0.31660156217660929</v>
      </c>
    </row>
  </sheetData>
  <autoFilter ref="A2:D12314" xr:uid="{44C23F15-DBFA-4A2D-8845-457A1AF2C47C}">
    <filterColumn colId="1">
      <filters>
        <filter val="小怪掉落"/>
      </filters>
    </filterColumn>
  </autoFilter>
  <sortState xmlns:xlrd2="http://schemas.microsoft.com/office/spreadsheetml/2017/richdata2" ref="A3:G12314">
    <sortCondition ref="B3:B12314"/>
    <sortCondition descending="1" ref="C3:C12314"/>
  </sortState>
  <mergeCells count="1">
    <mergeCell ref="A1:D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8C2-3AD9-44CF-ADDA-7E5B2CABDDFA}">
  <sheetPr>
    <tabColor theme="5" tint="0.79998168889431442"/>
  </sheetPr>
  <dimension ref="A1:AF339"/>
  <sheetViews>
    <sheetView topLeftCell="A16" workbookViewId="0">
      <selection activeCell="K5" sqref="K5"/>
    </sheetView>
  </sheetViews>
  <sheetFormatPr defaultRowHeight="14.25" x14ac:dyDescent="0.2"/>
  <cols>
    <col min="1" max="1" width="16.25" bestFit="1" customWidth="1"/>
    <col min="2" max="2" width="15.125" bestFit="1" customWidth="1"/>
    <col min="9" max="9" width="10.25" bestFit="1" customWidth="1"/>
    <col min="10" max="10" width="102.875" bestFit="1" customWidth="1"/>
    <col min="11" max="11" width="8.125" bestFit="1" customWidth="1"/>
    <col min="18" max="18" width="9" style="94"/>
    <col min="20" max="20" width="65.5" customWidth="1"/>
  </cols>
  <sheetData>
    <row r="1" spans="1:32" s="154" customFormat="1" x14ac:dyDescent="0.3">
      <c r="A1" s="154" t="s">
        <v>3327</v>
      </c>
      <c r="B1" s="154">
        <v>1</v>
      </c>
      <c r="C1" s="154">
        <v>2</v>
      </c>
      <c r="D1" s="154">
        <v>3</v>
      </c>
      <c r="E1" s="154">
        <v>4</v>
      </c>
      <c r="F1" s="154">
        <v>5</v>
      </c>
      <c r="G1" s="154">
        <v>6</v>
      </c>
      <c r="H1" s="154">
        <v>7</v>
      </c>
      <c r="I1" s="154">
        <v>8</v>
      </c>
      <c r="J1" s="154">
        <v>9</v>
      </c>
      <c r="K1" s="154">
        <v>10</v>
      </c>
      <c r="L1" s="154">
        <v>11</v>
      </c>
      <c r="M1" s="154">
        <v>12</v>
      </c>
      <c r="N1" s="154">
        <v>13</v>
      </c>
      <c r="O1" s="154">
        <v>14</v>
      </c>
      <c r="P1" s="154">
        <v>15</v>
      </c>
      <c r="Q1" s="154">
        <v>16</v>
      </c>
      <c r="R1" s="153">
        <v>17</v>
      </c>
      <c r="S1" s="154">
        <v>18</v>
      </c>
      <c r="T1" s="154">
        <v>19</v>
      </c>
      <c r="U1" s="154">
        <v>20</v>
      </c>
      <c r="V1" s="154">
        <v>21</v>
      </c>
      <c r="W1" s="154">
        <v>22</v>
      </c>
      <c r="X1" s="154">
        <v>23</v>
      </c>
      <c r="Y1" s="154">
        <v>24</v>
      </c>
      <c r="Z1" s="154">
        <v>25</v>
      </c>
      <c r="AA1" s="154">
        <v>26</v>
      </c>
      <c r="AB1" s="154">
        <v>27</v>
      </c>
      <c r="AC1" s="154">
        <v>28</v>
      </c>
    </row>
    <row r="2" spans="1:32" s="154" customFormat="1" x14ac:dyDescent="0.3">
      <c r="A2" s="154" t="s">
        <v>3384</v>
      </c>
      <c r="B2" s="153" t="s">
        <v>3328</v>
      </c>
      <c r="C2" s="153" t="s">
        <v>3329</v>
      </c>
      <c r="D2" s="153" t="s">
        <v>3330</v>
      </c>
      <c r="E2" s="153" t="s">
        <v>3331</v>
      </c>
      <c r="F2" s="153" t="s">
        <v>3332</v>
      </c>
      <c r="G2" s="153" t="s">
        <v>3333</v>
      </c>
      <c r="H2" s="153" t="s">
        <v>3334</v>
      </c>
      <c r="I2" s="153" t="s">
        <v>3335</v>
      </c>
      <c r="J2" s="154" t="s">
        <v>3336</v>
      </c>
      <c r="K2" s="154" t="s">
        <v>3337</v>
      </c>
      <c r="L2" s="154" t="s">
        <v>3338</v>
      </c>
      <c r="M2" s="154" t="s">
        <v>3339</v>
      </c>
      <c r="N2" s="154" t="s">
        <v>3340</v>
      </c>
      <c r="O2" s="154" t="s">
        <v>3341</v>
      </c>
      <c r="P2" s="154" t="s">
        <v>3342</v>
      </c>
      <c r="Q2" s="154" t="s">
        <v>3343</v>
      </c>
      <c r="R2" s="153" t="s">
        <v>3344</v>
      </c>
      <c r="S2" s="154" t="s">
        <v>3345</v>
      </c>
      <c r="T2" s="154" t="s">
        <v>3346</v>
      </c>
      <c r="U2" s="154" t="s">
        <v>3347</v>
      </c>
      <c r="V2" s="154" t="s">
        <v>3348</v>
      </c>
      <c r="W2" s="154" t="s">
        <v>3349</v>
      </c>
      <c r="X2" s="154" t="s">
        <v>3350</v>
      </c>
      <c r="Y2" s="154" t="s">
        <v>3351</v>
      </c>
      <c r="Z2" s="154" t="s">
        <v>3352</v>
      </c>
      <c r="AA2" s="154" t="s">
        <v>3353</v>
      </c>
      <c r="AB2" s="154" t="s">
        <v>3354</v>
      </c>
      <c r="AC2" s="154" t="s">
        <v>3355</v>
      </c>
    </row>
    <row r="3" spans="1:32" s="154" customFormat="1" x14ac:dyDescent="0.3">
      <c r="A3" s="154" t="s">
        <v>3356</v>
      </c>
      <c r="B3" s="153" t="s">
        <v>3357</v>
      </c>
      <c r="C3" s="153" t="s">
        <v>3358</v>
      </c>
      <c r="D3" s="153" t="s">
        <v>3359</v>
      </c>
      <c r="E3" s="153" t="s">
        <v>3360</v>
      </c>
      <c r="F3" s="153" t="s">
        <v>3361</v>
      </c>
      <c r="G3" s="153" t="s">
        <v>3362</v>
      </c>
      <c r="H3" s="153" t="s">
        <v>3363</v>
      </c>
      <c r="I3" s="153" t="s">
        <v>3364</v>
      </c>
      <c r="J3" s="154" t="s">
        <v>3365</v>
      </c>
      <c r="K3" s="154" t="s">
        <v>3366</v>
      </c>
      <c r="L3" s="154" t="s">
        <v>3367</v>
      </c>
      <c r="M3" s="154" t="s">
        <v>3368</v>
      </c>
      <c r="N3" s="154" t="s">
        <v>3369</v>
      </c>
      <c r="O3" s="154" t="s">
        <v>3370</v>
      </c>
      <c r="P3" s="154" t="s">
        <v>3371</v>
      </c>
      <c r="Q3" s="154" t="s">
        <v>201</v>
      </c>
      <c r="R3" s="153" t="s">
        <v>3372</v>
      </c>
      <c r="S3" s="154" t="s">
        <v>3373</v>
      </c>
      <c r="T3" s="154" t="s">
        <v>3374</v>
      </c>
      <c r="U3" s="154" t="s">
        <v>3375</v>
      </c>
      <c r="V3" s="154" t="s">
        <v>3376</v>
      </c>
      <c r="W3" s="154" t="s">
        <v>3377</v>
      </c>
      <c r="X3" s="154" t="s">
        <v>3378</v>
      </c>
      <c r="Y3" s="154" t="s">
        <v>3379</v>
      </c>
      <c r="Z3" s="154" t="s">
        <v>3380</v>
      </c>
      <c r="AA3" s="154" t="s">
        <v>3381</v>
      </c>
      <c r="AB3" s="154" t="s">
        <v>3382</v>
      </c>
      <c r="AC3" s="154" t="s">
        <v>3383</v>
      </c>
    </row>
    <row r="4" spans="1:32" s="155" customFormat="1" x14ac:dyDescent="0.3">
      <c r="A4" s="155" t="s">
        <v>3385</v>
      </c>
      <c r="B4" s="156"/>
      <c r="C4" s="156"/>
      <c r="D4" s="156"/>
      <c r="E4" s="156"/>
      <c r="F4" s="156"/>
      <c r="G4" s="156"/>
      <c r="H4" s="156"/>
      <c r="I4" s="156"/>
      <c r="R4" s="156"/>
    </row>
    <row r="5" spans="1:32" s="154" customFormat="1" x14ac:dyDescent="0.3">
      <c r="A5" s="154">
        <v>35</v>
      </c>
      <c r="B5" s="153" t="str">
        <f t="shared" ref="B5:B11" si="0">A5&amp;"级小怪"</f>
        <v>35级小怪</v>
      </c>
      <c r="C5" s="153">
        <v>81</v>
      </c>
      <c r="D5" s="153">
        <v>19</v>
      </c>
      <c r="E5" s="153">
        <v>112</v>
      </c>
      <c r="F5" s="153">
        <v>35</v>
      </c>
      <c r="G5" s="153">
        <v>1</v>
      </c>
      <c r="H5" s="153">
        <v>0</v>
      </c>
      <c r="I5" s="153">
        <f>INT(怪物掉落配置方案!D4863/10)*10</f>
        <v>830</v>
      </c>
      <c r="J5" s="154" t="str">
        <f>"3#1#"&amp;基本属性!BE4&amp;"|"&amp;"3#3#"&amp;INT(0.8*基本属性!I4)&amp;"|"&amp;"3#4#"&amp;INT(1.2*基本属性!I4)&amp;"|"&amp;"3#5#"&amp;INT(0.8*基本属性!I4)&amp;"|"&amp;"3#6#"&amp;INT(1.2*基本属性!I4)&amp;"|"&amp;"3#7#"&amp;INT(0.8*基本属性!I4)&amp;"|"&amp;"3#8#"&amp;INT(1.2*基本属性!I4)&amp;"|"&amp;"3#9#"&amp;基本属性!J4&amp;"|"&amp;"3#10#"&amp;基本属性!J4&amp;"|"&amp;"3#11#"&amp;基本属性!J4&amp;"|"&amp;"3#12#"&amp;基本属性!J4</f>
        <v>3#1#1500|3#3#97|3#4#146|3#5#97|3#6#146|3#7#97|3#8#146|3#9#60|3#10#60|3#11#60|3#12#60</v>
      </c>
      <c r="K5" s="154">
        <f>INT(0.8*基本属性!BX4)</f>
        <v>2</v>
      </c>
      <c r="L5" s="154">
        <v>999</v>
      </c>
      <c r="M5" s="154">
        <v>1100</v>
      </c>
      <c r="N5" s="154">
        <v>1</v>
      </c>
      <c r="O5" s="154">
        <v>0</v>
      </c>
      <c r="P5" s="154">
        <v>600</v>
      </c>
      <c r="R5" s="153"/>
      <c r="T5" s="154">
        <v>1</v>
      </c>
      <c r="U5" s="154">
        <v>5</v>
      </c>
    </row>
    <row r="6" spans="1:32" ht="15.75" x14ac:dyDescent="0.3">
      <c r="A6" s="154">
        <v>40</v>
      </c>
      <c r="B6" s="153" t="str">
        <f t="shared" si="0"/>
        <v>40级小怪</v>
      </c>
      <c r="C6" s="153">
        <v>81</v>
      </c>
      <c r="D6" s="153">
        <v>19</v>
      </c>
      <c r="E6" s="153">
        <v>112</v>
      </c>
      <c r="F6" s="153">
        <v>40</v>
      </c>
      <c r="G6" s="153">
        <v>1</v>
      </c>
      <c r="H6" s="153">
        <v>0</v>
      </c>
      <c r="I6" s="153">
        <f>INT(怪物掉落配置方案!D4864/10)*10</f>
        <v>1590</v>
      </c>
      <c r="J6" s="154" t="str">
        <f>"3#1#"&amp;基本属性!BE5&amp;"|"&amp;"3#3#"&amp;INT(0.8*基本属性!I5)&amp;"|"&amp;"3#4#"&amp;INT(1.2*基本属性!I5)&amp;"|"&amp;"3#5#"&amp;INT(0.8*基本属性!I5)&amp;"|"&amp;"3#6#"&amp;INT(1.2*基本属性!I5)&amp;"|"&amp;"3#7#"&amp;INT(0.8*基本属性!I5)&amp;"|"&amp;"3#8#"&amp;INT(1.2*基本属性!I5)&amp;"|"&amp;"3#9#"&amp;基本属性!J5&amp;"|"&amp;"3#10#"&amp;基本属性!J5&amp;"|"&amp;"3#11#"&amp;基本属性!J5&amp;"|"&amp;"3#12#"&amp;基本属性!J5</f>
        <v>3#1#2500|3#3#151|3#4#226|3#5#151|3#6#226|3#7#151|3#8#226|3#9#90|3#10#90|3#11#90|3#12#90</v>
      </c>
      <c r="K6" s="154">
        <f>INT(0.8*基本属性!BX5)</f>
        <v>4</v>
      </c>
      <c r="L6" s="154">
        <v>999</v>
      </c>
      <c r="M6" s="154">
        <v>1100</v>
      </c>
      <c r="N6" s="154">
        <v>1</v>
      </c>
      <c r="O6" s="154">
        <v>0</v>
      </c>
      <c r="P6" s="154">
        <v>600</v>
      </c>
      <c r="Q6" s="154"/>
      <c r="R6" s="153"/>
      <c r="S6" s="154"/>
      <c r="T6" s="154">
        <v>1</v>
      </c>
      <c r="U6" s="154">
        <v>5</v>
      </c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</row>
    <row r="7" spans="1:32" ht="15.75" x14ac:dyDescent="0.3">
      <c r="A7" s="154">
        <v>50</v>
      </c>
      <c r="B7" s="153" t="str">
        <f t="shared" si="0"/>
        <v>50级小怪</v>
      </c>
      <c r="C7" s="153">
        <v>81</v>
      </c>
      <c r="D7" s="153">
        <v>19</v>
      </c>
      <c r="E7" s="153">
        <v>112</v>
      </c>
      <c r="F7" s="153">
        <v>50</v>
      </c>
      <c r="G7" s="153">
        <v>1</v>
      </c>
      <c r="H7" s="153">
        <v>0</v>
      </c>
      <c r="I7" s="153">
        <f>INT(怪物掉落配置方案!D4865/10)*10</f>
        <v>4330</v>
      </c>
      <c r="J7" s="154" t="str">
        <f>"3#1#"&amp;基本属性!BE6&amp;"|"&amp;"3#3#"&amp;INT(0.8*基本属性!I6)&amp;"|"&amp;"3#4#"&amp;INT(1.2*基本属性!I6)&amp;"|"&amp;"3#5#"&amp;INT(0.8*基本属性!I6)&amp;"|"&amp;"3#6#"&amp;INT(1.2*基本属性!I6)&amp;"|"&amp;"3#7#"&amp;INT(0.8*基本属性!I6)&amp;"|"&amp;"3#8#"&amp;INT(1.2*基本属性!I6)&amp;"|"&amp;"3#9#"&amp;基本属性!J6&amp;"|"&amp;"3#10#"&amp;基本属性!J6&amp;"|"&amp;"3#11#"&amp;基本属性!J6&amp;"|"&amp;"3#12#"&amp;基本属性!J6</f>
        <v>3#1#3800|3#3#207|3#4#310|3#5#207|3#6#310|3#7#207|3#8#310|3#9#120|3#10#120|3#11#120|3#12#120</v>
      </c>
      <c r="K7" s="154">
        <f>INT(0.8*基本属性!BX6)</f>
        <v>6</v>
      </c>
      <c r="L7" s="154">
        <v>999</v>
      </c>
      <c r="M7" s="154">
        <v>1100</v>
      </c>
      <c r="N7" s="154">
        <v>1</v>
      </c>
      <c r="O7" s="154">
        <v>0</v>
      </c>
      <c r="P7" s="154">
        <v>600</v>
      </c>
      <c r="Q7" s="154"/>
      <c r="R7" s="153"/>
      <c r="S7" s="154"/>
      <c r="T7" s="154">
        <v>1</v>
      </c>
      <c r="U7" s="154">
        <v>5</v>
      </c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</row>
    <row r="8" spans="1:32" ht="15.75" x14ac:dyDescent="0.3">
      <c r="A8" s="154">
        <v>60</v>
      </c>
      <c r="B8" s="153" t="str">
        <f t="shared" si="0"/>
        <v>60级小怪</v>
      </c>
      <c r="C8" s="153">
        <v>81</v>
      </c>
      <c r="D8" s="153">
        <v>19</v>
      </c>
      <c r="E8" s="153">
        <v>112</v>
      </c>
      <c r="F8" s="153">
        <v>60</v>
      </c>
      <c r="G8" s="153">
        <v>1</v>
      </c>
      <c r="H8" s="153">
        <v>0</v>
      </c>
      <c r="I8" s="153">
        <f>INT(怪物掉落配置方案!D4866/10)*10</f>
        <v>5410</v>
      </c>
      <c r="J8" s="154" t="str">
        <f>"3#1#"&amp;基本属性!BE7&amp;"|"&amp;"3#3#"&amp;INT(0.8*基本属性!I7)&amp;"|"&amp;"3#4#"&amp;INT(1.2*基本属性!I7)&amp;"|"&amp;"3#5#"&amp;INT(0.8*基本属性!I7)&amp;"|"&amp;"3#6#"&amp;INT(1.2*基本属性!I7)&amp;"|"&amp;"3#7#"&amp;INT(0.8*基本属性!I7)&amp;"|"&amp;"3#8#"&amp;INT(1.2*基本属性!I7)&amp;"|"&amp;"3#9#"&amp;基本属性!J7&amp;"|"&amp;"3#10#"&amp;基本属性!J7&amp;"|"&amp;"3#11#"&amp;基本属性!J7&amp;"|"&amp;"3#12#"&amp;基本属性!J7</f>
        <v>3#1#5700|3#3#266|3#4#399|3#5#266|3#6#399|3#7#266|3#8#399|3#9#150|3#10#150|3#11#150|3#12#150</v>
      </c>
      <c r="K8" s="154">
        <f>INT(0.8*基本属性!BX7)</f>
        <v>9</v>
      </c>
      <c r="L8" s="154">
        <v>999</v>
      </c>
      <c r="M8" s="154">
        <v>1100</v>
      </c>
      <c r="N8" s="154">
        <v>1</v>
      </c>
      <c r="O8" s="154">
        <v>0</v>
      </c>
      <c r="P8" s="154">
        <v>600</v>
      </c>
      <c r="Q8" s="154"/>
      <c r="R8" s="153"/>
      <c r="S8" s="154"/>
      <c r="T8" s="154">
        <v>1</v>
      </c>
      <c r="U8" s="154">
        <v>5</v>
      </c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</row>
    <row r="9" spans="1:32" ht="15.75" x14ac:dyDescent="0.3">
      <c r="A9" s="154">
        <v>65</v>
      </c>
      <c r="B9" s="153" t="str">
        <f t="shared" si="0"/>
        <v>65级小怪</v>
      </c>
      <c r="C9" s="153">
        <v>81</v>
      </c>
      <c r="D9" s="153">
        <v>19</v>
      </c>
      <c r="E9" s="153">
        <v>112</v>
      </c>
      <c r="F9" s="153">
        <v>65</v>
      </c>
      <c r="G9" s="153">
        <v>1</v>
      </c>
      <c r="H9" s="153">
        <v>0</v>
      </c>
      <c r="I9" s="153">
        <f>INT(怪物掉落配置方案!D4867/10)*10</f>
        <v>5440</v>
      </c>
      <c r="J9" s="154" t="str">
        <f>"3#1#"&amp;基本属性!BE8&amp;"|"&amp;"3#3#"&amp;INT(0.8*基本属性!I8)&amp;"|"&amp;"3#4#"&amp;INT(1.2*基本属性!I8)&amp;"|"&amp;"3#5#"&amp;INT(0.8*基本属性!I8)&amp;"|"&amp;"3#6#"&amp;INT(1.2*基本属性!I8)&amp;"|"&amp;"3#7#"&amp;INT(0.8*基本属性!I8)&amp;"|"&amp;"3#8#"&amp;INT(1.2*基本属性!I8)&amp;"|"&amp;"3#9#"&amp;基本属性!J8&amp;"|"&amp;"3#10#"&amp;基本属性!J8&amp;"|"&amp;"3#11#"&amp;基本属性!J8&amp;"|"&amp;"3#12#"&amp;基本属性!J8</f>
        <v>3#1#8300|3#3#357|3#4#536|3#5#357|3#6#536|3#7#357|3#8#536|3#9#195|3#10#195|3#11#195|3#12#195</v>
      </c>
      <c r="K9" s="154">
        <f>INT(0.8*基本属性!BX8)</f>
        <v>12</v>
      </c>
      <c r="L9" s="154">
        <v>999</v>
      </c>
      <c r="M9" s="154">
        <v>1100</v>
      </c>
      <c r="N9" s="154">
        <v>1</v>
      </c>
      <c r="O9" s="154">
        <v>0</v>
      </c>
      <c r="P9" s="154">
        <v>600</v>
      </c>
      <c r="Q9" s="154"/>
      <c r="R9" s="153"/>
      <c r="S9" s="154"/>
      <c r="T9" s="154">
        <v>1</v>
      </c>
      <c r="U9" s="154">
        <v>5</v>
      </c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</row>
    <row r="10" spans="1:32" ht="15.75" x14ac:dyDescent="0.3">
      <c r="A10" s="154">
        <v>70</v>
      </c>
      <c r="B10" s="153" t="str">
        <f t="shared" si="0"/>
        <v>70级小怪</v>
      </c>
      <c r="C10" s="153">
        <v>81</v>
      </c>
      <c r="D10" s="153">
        <v>19</v>
      </c>
      <c r="E10" s="153">
        <v>112</v>
      </c>
      <c r="F10" s="153">
        <v>70</v>
      </c>
      <c r="G10" s="153">
        <v>1</v>
      </c>
      <c r="H10" s="153">
        <v>0</v>
      </c>
      <c r="I10" s="153">
        <f>INT(怪物掉落配置方案!D4868/10)*10</f>
        <v>5570</v>
      </c>
      <c r="J10" s="154" t="str">
        <f>"3#1#"&amp;基本属性!BE9&amp;"|"&amp;"3#3#"&amp;INT(0.8*基本属性!I9)&amp;"|"&amp;"3#4#"&amp;INT(1.2*基本属性!I9)&amp;"|"&amp;"3#5#"&amp;INT(0.8*基本属性!I9)&amp;"|"&amp;"3#6#"&amp;INT(1.2*基本属性!I9)&amp;"|"&amp;"3#7#"&amp;INT(0.8*基本属性!I9)&amp;"|"&amp;"3#8#"&amp;INT(1.2*基本属性!I9)&amp;"|"&amp;"3#9#"&amp;基本属性!J9&amp;"|"&amp;"3#10#"&amp;基本属性!J9&amp;"|"&amp;"3#11#"&amp;基本属性!J9&amp;"|"&amp;"3#12#"&amp;基本属性!J9</f>
        <v>3#1#11300|3#3#454|3#4#681|3#5#454|3#6#681|3#7#454|3#8#681|3#9#240|3#10#240|3#11#240|3#12#240</v>
      </c>
      <c r="K10" s="154">
        <f>INT(0.8*基本属性!BX9)</f>
        <v>14</v>
      </c>
      <c r="L10" s="154">
        <v>999</v>
      </c>
      <c r="M10" s="154">
        <v>1100</v>
      </c>
      <c r="N10" s="154">
        <v>1</v>
      </c>
      <c r="O10" s="154">
        <v>0</v>
      </c>
      <c r="P10" s="154">
        <v>600</v>
      </c>
      <c r="Q10" s="154"/>
      <c r="R10" s="153"/>
      <c r="S10" s="154"/>
      <c r="T10" s="154">
        <v>1</v>
      </c>
      <c r="U10" s="154">
        <v>5</v>
      </c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</row>
    <row r="11" spans="1:32" ht="15.75" x14ac:dyDescent="0.3">
      <c r="A11" s="154">
        <v>75</v>
      </c>
      <c r="B11" s="153" t="str">
        <f t="shared" si="0"/>
        <v>75级小怪</v>
      </c>
      <c r="C11" s="153">
        <v>81</v>
      </c>
      <c r="D11" s="153">
        <v>19</v>
      </c>
      <c r="E11" s="153">
        <v>112</v>
      </c>
      <c r="F11" s="153">
        <v>75</v>
      </c>
      <c r="G11" s="153">
        <v>1</v>
      </c>
      <c r="H11" s="153">
        <v>0</v>
      </c>
      <c r="I11" s="153">
        <f>INT(怪物掉落配置方案!D4869/10)*10</f>
        <v>6290</v>
      </c>
      <c r="J11" s="154" t="str">
        <f>"3#1#"&amp;基本属性!BE10&amp;"|"&amp;"3#3#"&amp;INT(0.8*基本属性!I10)&amp;"|"&amp;"3#4#"&amp;INT(1.2*基本属性!I10)&amp;"|"&amp;"3#5#"&amp;INT(0.8*基本属性!I10)&amp;"|"&amp;"3#6#"&amp;INT(1.2*基本属性!I10)&amp;"|"&amp;"3#7#"&amp;INT(0.8*基本属性!I10)&amp;"|"&amp;"3#8#"&amp;INT(1.2*基本属性!I10)&amp;"|"&amp;"3#9#"&amp;基本属性!J10&amp;"|"&amp;"3#10#"&amp;基本属性!J10&amp;"|"&amp;"3#11#"&amp;基本属性!J10&amp;"|"&amp;"3#12#"&amp;基本属性!J10</f>
        <v>3#1#16100|3#3#557|3#4#836|3#5#557|3#6#836|3#7#557|3#8#836|3#9#285|3#10#285|3#11#285|3#12#285</v>
      </c>
      <c r="K11" s="154">
        <f>INT(0.8*基本属性!BX10)</f>
        <v>17</v>
      </c>
      <c r="L11" s="154">
        <v>999</v>
      </c>
      <c r="M11" s="154">
        <v>1100</v>
      </c>
      <c r="N11" s="154">
        <v>1</v>
      </c>
      <c r="O11" s="154">
        <v>0</v>
      </c>
      <c r="P11" s="154">
        <v>600</v>
      </c>
      <c r="Q11" s="154"/>
      <c r="R11" s="153"/>
      <c r="S11" s="154"/>
      <c r="T11" s="154">
        <v>1</v>
      </c>
      <c r="U11" s="154">
        <v>5</v>
      </c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</row>
    <row r="12" spans="1:32" ht="15.75" x14ac:dyDescent="0.3">
      <c r="A12" s="154">
        <v>1</v>
      </c>
      <c r="B12" s="153" t="str">
        <f t="shared" ref="B12:B31" si="1">A12&amp;"转小怪"</f>
        <v>1转小怪</v>
      </c>
      <c r="C12" s="153">
        <v>81</v>
      </c>
      <c r="D12" s="153">
        <v>19</v>
      </c>
      <c r="E12" s="153">
        <v>112</v>
      </c>
      <c r="F12" s="153">
        <v>80</v>
      </c>
      <c r="G12" s="153">
        <v>1</v>
      </c>
      <c r="H12" s="153">
        <v>0</v>
      </c>
      <c r="I12" s="153">
        <f>INT(怪物掉落配置方案!D4870/10)*10</f>
        <v>10080</v>
      </c>
      <c r="J12" s="154" t="str">
        <f>"3#1#"&amp;基本属性!BE11&amp;"|"&amp;"3#3#"&amp;INT(0.8*基本属性!I11)&amp;"|"&amp;"3#4#"&amp;INT(1.2*基本属性!I11)&amp;"|"&amp;"3#5#"&amp;INT(0.8*基本属性!I11)&amp;"|"&amp;"3#6#"&amp;INT(1.2*基本属性!I11)&amp;"|"&amp;"3#7#"&amp;INT(0.8*基本属性!I11)&amp;"|"&amp;"3#8#"&amp;INT(1.2*基本属性!I11)&amp;"|"&amp;"3#9#"&amp;基本属性!J11&amp;"|"&amp;"3#10#"&amp;基本属性!J11&amp;"|"&amp;"3#11#"&amp;基本属性!J11&amp;"|"&amp;"3#12#"&amp;基本属性!J11</f>
        <v>3#1#20600|3#3#668|3#4#1003|3#5#668|3#6#1003|3#7#668|3#8#1003|3#9#330|3#10#330|3#11#330|3#12#330</v>
      </c>
      <c r="K12" s="154">
        <f>INT(0.8*基本属性!BX11)</f>
        <v>20</v>
      </c>
      <c r="L12" s="154">
        <v>999</v>
      </c>
      <c r="M12" s="154">
        <v>1100</v>
      </c>
      <c r="N12" s="154">
        <v>1</v>
      </c>
      <c r="O12" s="154">
        <v>0</v>
      </c>
      <c r="P12" s="154">
        <v>600</v>
      </c>
      <c r="Q12" s="154"/>
      <c r="R12" s="153"/>
      <c r="S12" s="154"/>
      <c r="T12" s="154">
        <v>1</v>
      </c>
      <c r="U12" s="154">
        <v>5</v>
      </c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</row>
    <row r="13" spans="1:32" ht="15.75" x14ac:dyDescent="0.3">
      <c r="A13" s="154">
        <v>2</v>
      </c>
      <c r="B13" s="153" t="str">
        <f t="shared" si="1"/>
        <v>2转小怪</v>
      </c>
      <c r="C13" s="153">
        <v>81</v>
      </c>
      <c r="D13" s="153">
        <v>19</v>
      </c>
      <c r="E13" s="153">
        <v>112</v>
      </c>
      <c r="F13" s="153">
        <v>90</v>
      </c>
      <c r="G13" s="153">
        <v>1</v>
      </c>
      <c r="H13" s="153">
        <v>0</v>
      </c>
      <c r="I13" s="153">
        <f>INT(怪物掉落配置方案!D4871/10)*10</f>
        <v>17330</v>
      </c>
      <c r="J13" s="154" t="str">
        <f>"3#1#"&amp;基本属性!BE12&amp;"|"&amp;"3#3#"&amp;INT(0.8*基本属性!I12)&amp;"|"&amp;"3#4#"&amp;INT(1.2*基本属性!I12)&amp;"|"&amp;"3#5#"&amp;INT(0.8*基本属性!I12)&amp;"|"&amp;"3#6#"&amp;INT(1.2*基本属性!I12)&amp;"|"&amp;"3#7#"&amp;INT(0.8*基本属性!I12)&amp;"|"&amp;"3#8#"&amp;INT(1.2*基本属性!I12)&amp;"|"&amp;"3#9#"&amp;基本属性!J12&amp;"|"&amp;"3#10#"&amp;基本属性!J12&amp;"|"&amp;"3#11#"&amp;基本属性!J12&amp;"|"&amp;"3#12#"&amp;基本属性!J12</f>
        <v>3#1#29000|3#3#884|3#4#1326|3#5#884|3#6#1326|3#7#884|3#8#1326|3#9#420|3#10#420|3#11#420|3#12#420</v>
      </c>
      <c r="K13" s="154">
        <f>INT(0.8*基本属性!BX12)</f>
        <v>23</v>
      </c>
      <c r="L13" s="154">
        <v>999</v>
      </c>
      <c r="M13" s="154">
        <v>1100</v>
      </c>
      <c r="N13" s="154">
        <v>1</v>
      </c>
      <c r="O13" s="154">
        <v>0</v>
      </c>
      <c r="P13" s="154">
        <v>600</v>
      </c>
      <c r="Q13" s="154"/>
      <c r="R13" s="153"/>
      <c r="S13" s="154"/>
      <c r="T13" s="154">
        <v>1</v>
      </c>
      <c r="U13" s="154">
        <v>5</v>
      </c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</row>
    <row r="14" spans="1:32" ht="15.75" x14ac:dyDescent="0.3">
      <c r="A14" s="154">
        <v>3</v>
      </c>
      <c r="B14" s="153" t="str">
        <f t="shared" si="1"/>
        <v>3转小怪</v>
      </c>
      <c r="C14" s="153">
        <v>81</v>
      </c>
      <c r="D14" s="153">
        <v>19</v>
      </c>
      <c r="E14" s="153">
        <v>112</v>
      </c>
      <c r="F14" s="153">
        <v>100</v>
      </c>
      <c r="G14" s="153">
        <v>1</v>
      </c>
      <c r="H14" s="153">
        <v>0</v>
      </c>
      <c r="I14" s="153">
        <f>INT(怪物掉落配置方案!D4872/10)*10</f>
        <v>20390</v>
      </c>
      <c r="J14" s="154" t="str">
        <f>"3#1#"&amp;基本属性!BE13&amp;"|"&amp;"3#3#"&amp;INT(0.8*基本属性!I13)&amp;"|"&amp;"3#4#"&amp;INT(1.2*基本属性!I13)&amp;"|"&amp;"3#5#"&amp;INT(0.8*基本属性!I13)&amp;"|"&amp;"3#6#"&amp;INT(1.2*基本属性!I13)&amp;"|"&amp;"3#7#"&amp;INT(0.8*基本属性!I13)&amp;"|"&amp;"3#8#"&amp;INT(1.2*基本属性!I13)&amp;"|"&amp;"3#9#"&amp;基本属性!J13&amp;"|"&amp;"3#10#"&amp;基本属性!J13&amp;"|"&amp;"3#11#"&amp;基本属性!J13&amp;"|"&amp;"3#12#"&amp;基本属性!J13</f>
        <v>3#1#41000|3#3#1180|3#4#1771|3#5#1180|3#6#1771|3#7#1180|3#8#1771|3#9#540|3#10#540|3#11#540|3#12#540</v>
      </c>
      <c r="K14" s="154">
        <f>INT(0.8*基本属性!BX13)</f>
        <v>26</v>
      </c>
      <c r="L14" s="154">
        <v>999</v>
      </c>
      <c r="M14" s="154">
        <v>1100</v>
      </c>
      <c r="N14" s="154">
        <v>1</v>
      </c>
      <c r="O14" s="154">
        <v>0</v>
      </c>
      <c r="P14" s="154">
        <v>600</v>
      </c>
      <c r="Q14" s="154"/>
      <c r="R14" s="153"/>
      <c r="S14" s="154"/>
      <c r="T14" s="154">
        <v>1</v>
      </c>
      <c r="U14" s="154">
        <v>5</v>
      </c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</row>
    <row r="15" spans="1:32" ht="15.75" x14ac:dyDescent="0.3">
      <c r="A15" s="154">
        <v>4</v>
      </c>
      <c r="B15" s="153" t="str">
        <f t="shared" si="1"/>
        <v>4转小怪</v>
      </c>
      <c r="C15" s="153">
        <v>81</v>
      </c>
      <c r="D15" s="153">
        <v>19</v>
      </c>
      <c r="E15" s="153">
        <v>112</v>
      </c>
      <c r="F15" s="153">
        <v>105</v>
      </c>
      <c r="G15" s="153">
        <v>1</v>
      </c>
      <c r="H15" s="153">
        <v>0</v>
      </c>
      <c r="I15" s="153">
        <f>INT(怪物掉落配置方案!D4873/10)*10</f>
        <v>31500</v>
      </c>
      <c r="J15" s="154" t="str">
        <f>"3#1#"&amp;基本属性!BE14&amp;"|"&amp;"3#3#"&amp;INT(0.8*基本属性!I14)&amp;"|"&amp;"3#4#"&amp;INT(1.2*基本属性!I14)&amp;"|"&amp;"3#5#"&amp;INT(0.8*基本属性!I14)&amp;"|"&amp;"3#6#"&amp;INT(1.2*基本属性!I14)&amp;"|"&amp;"3#7#"&amp;INT(0.8*基本属性!I14)&amp;"|"&amp;"3#8#"&amp;INT(1.2*基本属性!I14)&amp;"|"&amp;"3#9#"&amp;基本属性!J14&amp;"|"&amp;"3#10#"&amp;基本属性!J14&amp;"|"&amp;"3#11#"&amp;基本属性!J14&amp;"|"&amp;"3#12#"&amp;基本属性!J14</f>
        <v>3#1#59800|3#3#1503|3#4#2254|3#5#1503|3#6#2254|3#7#1503|3#8#2254|3#9#660|3#10#660|3#11#660|3#12#660</v>
      </c>
      <c r="K15" s="154">
        <f>INT(0.8*基本属性!BX14)</f>
        <v>29</v>
      </c>
      <c r="L15" s="154">
        <v>999</v>
      </c>
      <c r="M15" s="154">
        <v>1100</v>
      </c>
      <c r="N15" s="154">
        <v>1</v>
      </c>
      <c r="O15" s="154">
        <v>0</v>
      </c>
      <c r="P15" s="154">
        <v>600</v>
      </c>
      <c r="Q15" s="154"/>
      <c r="R15" s="153"/>
      <c r="S15" s="154"/>
      <c r="T15" s="154">
        <v>1</v>
      </c>
      <c r="U15" s="154">
        <v>5</v>
      </c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</row>
    <row r="16" spans="1:32" ht="15.75" x14ac:dyDescent="0.3">
      <c r="A16" s="154">
        <v>5</v>
      </c>
      <c r="B16" s="153" t="str">
        <f t="shared" si="1"/>
        <v>5转小怪</v>
      </c>
      <c r="C16" s="153">
        <v>81</v>
      </c>
      <c r="D16" s="153">
        <v>19</v>
      </c>
      <c r="E16" s="153">
        <v>112</v>
      </c>
      <c r="F16" s="153">
        <v>110</v>
      </c>
      <c r="G16" s="153">
        <v>1</v>
      </c>
      <c r="H16" s="153">
        <v>0</v>
      </c>
      <c r="I16" s="153">
        <f>INT(怪物掉落配置方案!D4874/10)*10</f>
        <v>32550</v>
      </c>
      <c r="J16" s="154" t="str">
        <f>"3#1#"&amp;基本属性!BE15&amp;"|"&amp;"3#3#"&amp;INT(0.8*基本属性!I15)&amp;"|"&amp;"3#4#"&amp;INT(1.2*基本属性!I15)&amp;"|"&amp;"3#5#"&amp;INT(0.8*基本属性!I15)&amp;"|"&amp;"3#6#"&amp;INT(1.2*基本属性!I15)&amp;"|"&amp;"3#7#"&amp;INT(0.8*基本属性!I15)&amp;"|"&amp;"3#8#"&amp;INT(1.2*基本属性!I15)&amp;"|"&amp;"3#9#"&amp;基本属性!J15&amp;"|"&amp;"3#10#"&amp;基本属性!J15&amp;"|"&amp;"3#11#"&amp;基本属性!J15&amp;"|"&amp;"3#12#"&amp;基本属性!J15</f>
        <v>3#1#76200|3#3#1817|3#4#2726|3#5#1817|3#6#2726|3#7#1817|3#8#2726|3#9#765|3#10#765|3#11#765|3#12#765</v>
      </c>
      <c r="K16" s="154">
        <f>INT(0.8*基本属性!BX15)</f>
        <v>32</v>
      </c>
      <c r="L16" s="154">
        <v>999</v>
      </c>
      <c r="M16" s="154">
        <v>1100</v>
      </c>
      <c r="N16" s="154">
        <v>1</v>
      </c>
      <c r="O16" s="154">
        <v>0</v>
      </c>
      <c r="P16" s="154">
        <v>600</v>
      </c>
      <c r="Q16" s="154"/>
      <c r="R16" s="153"/>
      <c r="S16" s="154"/>
      <c r="T16" s="154">
        <v>1</v>
      </c>
      <c r="U16" s="154">
        <v>5</v>
      </c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</row>
    <row r="17" spans="1:32" ht="15.75" x14ac:dyDescent="0.3">
      <c r="A17" s="154">
        <v>6</v>
      </c>
      <c r="B17" s="153" t="str">
        <f t="shared" si="1"/>
        <v>6转小怪</v>
      </c>
      <c r="C17" s="153">
        <v>81</v>
      </c>
      <c r="D17" s="153">
        <v>19</v>
      </c>
      <c r="E17" s="153">
        <v>112</v>
      </c>
      <c r="F17" s="153">
        <v>120</v>
      </c>
      <c r="G17" s="153">
        <v>1</v>
      </c>
      <c r="H17" s="153">
        <v>0</v>
      </c>
      <c r="I17" s="153">
        <f>INT(怪物掉落配置方案!D4875/10)*10</f>
        <v>129810</v>
      </c>
      <c r="J17" s="154" t="str">
        <f>"3#1#"&amp;基本属性!BE16&amp;"|"&amp;"3#3#"&amp;INT(0.8*基本属性!I16)&amp;"|"&amp;"3#4#"&amp;INT(1.2*基本属性!I16)&amp;"|"&amp;"3#5#"&amp;INT(0.8*基本属性!I16)&amp;"|"&amp;"3#6#"&amp;INT(1.2*基本属性!I16)&amp;"|"&amp;"3#7#"&amp;INT(0.8*基本属性!I16)&amp;"|"&amp;"3#8#"&amp;INT(1.2*基本属性!I16)&amp;"|"&amp;"3#9#"&amp;基本属性!J16&amp;"|"&amp;"3#10#"&amp;基本属性!J16&amp;"|"&amp;"3#11#"&amp;基本属性!J16&amp;"|"&amp;"3#12#"&amp;基本属性!J16</f>
        <v>3#1#95300|3#3#2161|3#4#3242|3#5#2161|3#6#3242|3#7#2161|3#8#3242|3#9#870|3#10#870|3#11#870|3#12#870</v>
      </c>
      <c r="K17" s="154">
        <f>INT(0.8*基本属性!BX16)</f>
        <v>36</v>
      </c>
      <c r="L17" s="154">
        <v>999</v>
      </c>
      <c r="M17" s="154">
        <v>1100</v>
      </c>
      <c r="N17" s="154">
        <v>1</v>
      </c>
      <c r="O17" s="154">
        <v>0</v>
      </c>
      <c r="P17" s="154">
        <v>600</v>
      </c>
      <c r="Q17" s="154"/>
      <c r="R17" s="153"/>
      <c r="S17" s="154"/>
      <c r="T17" s="154">
        <v>1</v>
      </c>
      <c r="U17" s="154">
        <v>5</v>
      </c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</row>
    <row r="18" spans="1:32" ht="15.75" x14ac:dyDescent="0.3">
      <c r="A18" s="154">
        <v>7</v>
      </c>
      <c r="B18" s="153" t="str">
        <f t="shared" si="1"/>
        <v>7转小怪</v>
      </c>
      <c r="C18" s="153">
        <v>81</v>
      </c>
      <c r="D18" s="153">
        <v>19</v>
      </c>
      <c r="E18" s="153">
        <v>112</v>
      </c>
      <c r="F18" s="153">
        <v>135</v>
      </c>
      <c r="G18" s="153">
        <v>1</v>
      </c>
      <c r="H18" s="153">
        <v>0</v>
      </c>
      <c r="I18" s="153">
        <f>INT(怪物掉落配置方案!D4876/10)*10</f>
        <v>444410</v>
      </c>
      <c r="J18" s="154" t="str">
        <f>"3#1#"&amp;基本属性!BE17&amp;"|"&amp;"3#3#"&amp;INT(0.8*基本属性!I17)&amp;"|"&amp;"3#4#"&amp;INT(1.2*基本属性!I17)&amp;"|"&amp;"3#5#"&amp;INT(0.8*基本属性!I17)&amp;"|"&amp;"3#6#"&amp;INT(1.2*基本属性!I17)&amp;"|"&amp;"3#7#"&amp;INT(0.8*基本属性!I17)&amp;"|"&amp;"3#8#"&amp;INT(1.2*基本属性!I17)&amp;"|"&amp;"3#9#"&amp;基本属性!J17&amp;"|"&amp;"3#10#"&amp;基本属性!J17&amp;"|"&amp;"3#11#"&amp;基本属性!J17&amp;"|"&amp;"3#12#"&amp;基本属性!J17</f>
        <v>3#1#115400|3#3#2499|3#4#3748|3#5#2499|3#6#3748|3#7#2499|3#8#3748|3#9#960|3#10#960|3#11#960|3#12#960</v>
      </c>
      <c r="K18" s="154">
        <f>INT(0.8*基本属性!BX17)</f>
        <v>39</v>
      </c>
      <c r="L18" s="154">
        <v>999</v>
      </c>
      <c r="M18" s="154">
        <v>1100</v>
      </c>
      <c r="N18" s="154">
        <v>1</v>
      </c>
      <c r="O18" s="154">
        <v>0</v>
      </c>
      <c r="P18" s="154">
        <v>600</v>
      </c>
      <c r="Q18" s="154"/>
      <c r="R18" s="153"/>
      <c r="S18" s="154"/>
      <c r="T18" s="154">
        <v>1</v>
      </c>
      <c r="U18" s="154">
        <v>5</v>
      </c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</row>
    <row r="19" spans="1:32" ht="15.75" x14ac:dyDescent="0.3">
      <c r="A19" s="154">
        <v>8</v>
      </c>
      <c r="B19" s="153" t="str">
        <f t="shared" si="1"/>
        <v>8转小怪</v>
      </c>
      <c r="C19" s="153">
        <v>81</v>
      </c>
      <c r="D19" s="153">
        <v>19</v>
      </c>
      <c r="E19" s="153">
        <v>112</v>
      </c>
      <c r="F19" s="153">
        <v>155</v>
      </c>
      <c r="G19" s="153">
        <v>1</v>
      </c>
      <c r="H19" s="153">
        <v>0</v>
      </c>
      <c r="I19" s="153">
        <f>INT(怪物掉落配置方案!D4877/10)*10</f>
        <v>5368380</v>
      </c>
      <c r="J19" s="154" t="str">
        <f>"3#1#"&amp;基本属性!BE18&amp;"|"&amp;"3#3#"&amp;INT(0.8*基本属性!I18)&amp;"|"&amp;"3#4#"&amp;INT(1.2*基本属性!I18)&amp;"|"&amp;"3#5#"&amp;INT(0.8*基本属性!I18)&amp;"|"&amp;"3#6#"&amp;INT(1.2*基本属性!I18)&amp;"|"&amp;"3#7#"&amp;INT(0.8*基本属性!I18)&amp;"|"&amp;"3#8#"&amp;INT(1.2*基本属性!I18)&amp;"|"&amp;"3#9#"&amp;基本属性!J18&amp;"|"&amp;"3#10#"&amp;基本属性!J18&amp;"|"&amp;"3#11#"&amp;基本属性!J18&amp;"|"&amp;"3#12#"&amp;基本属性!J18</f>
        <v>3#1#149200|3#3#2870|3#4#4305|3#5#2870|3#6#4305|3#7#2870|3#8#4305|3#9#1050|3#10#1050|3#11#1050|3#12#1050</v>
      </c>
      <c r="K19" s="154">
        <f>INT(0.8*基本属性!BX18)</f>
        <v>43</v>
      </c>
      <c r="L19" s="154">
        <v>999</v>
      </c>
      <c r="M19" s="154">
        <v>1100</v>
      </c>
      <c r="N19" s="154">
        <v>1</v>
      </c>
      <c r="O19" s="154">
        <v>0</v>
      </c>
      <c r="P19" s="154">
        <v>600</v>
      </c>
      <c r="Q19" s="154"/>
      <c r="R19" s="153"/>
      <c r="S19" s="154"/>
      <c r="T19" s="154">
        <v>1</v>
      </c>
      <c r="U19" s="154">
        <v>5</v>
      </c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</row>
    <row r="20" spans="1:32" ht="15.75" x14ac:dyDescent="0.3">
      <c r="A20" s="154">
        <v>9</v>
      </c>
      <c r="B20" s="153" t="str">
        <f t="shared" si="1"/>
        <v>9转小怪</v>
      </c>
      <c r="C20" s="153">
        <v>81</v>
      </c>
      <c r="D20" s="153">
        <v>19</v>
      </c>
      <c r="E20" s="153">
        <v>112</v>
      </c>
      <c r="F20" s="153">
        <v>190</v>
      </c>
      <c r="G20" s="153">
        <v>1</v>
      </c>
      <c r="H20" s="153">
        <v>0</v>
      </c>
      <c r="I20" s="153">
        <f>INT(怪物掉落配置方案!D4878/10)*10</f>
        <v>4881460</v>
      </c>
      <c r="J20" s="154" t="str">
        <f>"3#1#"&amp;基本属性!BE19&amp;"|"&amp;"3#3#"&amp;INT(0.8*基本属性!I19)&amp;"|"&amp;"3#4#"&amp;INT(1.2*基本属性!I19)&amp;"|"&amp;"3#5#"&amp;INT(0.8*基本属性!I19)&amp;"|"&amp;"3#6#"&amp;INT(1.2*基本属性!I19)&amp;"|"&amp;"3#7#"&amp;INT(0.8*基本属性!I19)&amp;"|"&amp;"3#8#"&amp;INT(1.2*基本属性!I19)&amp;"|"&amp;"3#9#"&amp;基本属性!J19&amp;"|"&amp;"3#10#"&amp;基本属性!J19&amp;"|"&amp;"3#11#"&amp;基本属性!J19&amp;"|"&amp;"3#12#"&amp;基本属性!J19</f>
        <v>3#1#175300|3#3#3237|3#4#4856|3#5#3237|3#6#4856|3#7#3237|3#8#4856|3#9#1125|3#10#1125|3#11#1125|3#12#1125</v>
      </c>
      <c r="K20" s="154">
        <f>INT(0.8*基本属性!BX19)</f>
        <v>46</v>
      </c>
      <c r="L20" s="154">
        <v>999</v>
      </c>
      <c r="M20" s="154">
        <v>1100</v>
      </c>
      <c r="N20" s="154">
        <v>1</v>
      </c>
      <c r="O20" s="154">
        <v>0</v>
      </c>
      <c r="P20" s="154">
        <v>600</v>
      </c>
      <c r="Q20" s="154"/>
      <c r="R20" s="153"/>
      <c r="S20" s="154"/>
      <c r="T20" s="154">
        <v>1</v>
      </c>
      <c r="U20" s="154">
        <v>5</v>
      </c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</row>
    <row r="21" spans="1:32" ht="15.75" x14ac:dyDescent="0.3">
      <c r="A21" s="154">
        <v>10</v>
      </c>
      <c r="B21" s="153" t="str">
        <f t="shared" si="1"/>
        <v>10转小怪</v>
      </c>
      <c r="C21" s="153">
        <v>81</v>
      </c>
      <c r="D21" s="153">
        <v>19</v>
      </c>
      <c r="E21" s="153">
        <v>112</v>
      </c>
      <c r="F21" s="153">
        <v>200</v>
      </c>
      <c r="G21" s="153">
        <v>1</v>
      </c>
      <c r="H21" s="153">
        <v>0</v>
      </c>
      <c r="I21" s="153">
        <f>INT(怪物掉落配置方案!D4879/10)*10</f>
        <v>5833330</v>
      </c>
      <c r="J21" s="154" t="str">
        <f>"3#1#"&amp;基本属性!BE20&amp;"|"&amp;"3#3#"&amp;INT(0.8*基本属性!I20)&amp;"|"&amp;"3#4#"&amp;INT(1.2*基本属性!I20)&amp;"|"&amp;"3#5#"&amp;INT(0.8*基本属性!I20)&amp;"|"&amp;"3#6#"&amp;INT(1.2*基本属性!I20)&amp;"|"&amp;"3#7#"&amp;INT(0.8*基本属性!I20)&amp;"|"&amp;"3#8#"&amp;INT(1.2*基本属性!I20)&amp;"|"&amp;"3#9#"&amp;基本属性!J20&amp;"|"&amp;"3#10#"&amp;基本属性!J20&amp;"|"&amp;"3#11#"&amp;基本属性!J20&amp;"|"&amp;"3#12#"&amp;基本属性!J20</f>
        <v>3#1#204900|3#3#3645|3#4#5468|3#5#3645|3#6#5468|3#7#3645|3#8#5468|3#9#1200|3#10#1200|3#11#1200|3#12#1200</v>
      </c>
      <c r="K21" s="154">
        <f>INT(0.8*基本属性!BX20)</f>
        <v>50</v>
      </c>
      <c r="L21" s="154">
        <v>999</v>
      </c>
      <c r="M21" s="154">
        <v>1100</v>
      </c>
      <c r="N21" s="154">
        <v>1</v>
      </c>
      <c r="O21" s="154">
        <v>0</v>
      </c>
      <c r="P21" s="154">
        <v>600</v>
      </c>
      <c r="Q21" s="154"/>
      <c r="R21" s="153"/>
      <c r="S21" s="154"/>
      <c r="T21" s="154">
        <v>1</v>
      </c>
      <c r="U21" s="154">
        <v>5</v>
      </c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</row>
    <row r="22" spans="1:32" ht="15.75" x14ac:dyDescent="0.3">
      <c r="A22" s="154">
        <v>11</v>
      </c>
      <c r="B22" s="153" t="str">
        <f t="shared" si="1"/>
        <v>11转小怪</v>
      </c>
      <c r="C22" s="153">
        <v>81</v>
      </c>
      <c r="D22" s="153">
        <v>19</v>
      </c>
      <c r="E22" s="153">
        <v>112</v>
      </c>
      <c r="F22" s="153">
        <v>200</v>
      </c>
      <c r="G22" s="153">
        <v>1</v>
      </c>
      <c r="H22" s="153">
        <v>0</v>
      </c>
      <c r="I22" s="153">
        <f>INT(怪物掉落配置方案!D4880/10)*10</f>
        <v>1166660</v>
      </c>
      <c r="J22" s="154" t="str">
        <f>"3#1#"&amp;基本属性!BE21&amp;"|"&amp;"3#3#"&amp;INT(0.8*基本属性!I21)&amp;"|"&amp;"3#4#"&amp;INT(1.2*基本属性!I21)&amp;"|"&amp;"3#5#"&amp;INT(0.8*基本属性!I21)&amp;"|"&amp;"3#6#"&amp;INT(1.2*基本属性!I21)&amp;"|"&amp;"3#7#"&amp;INT(0.8*基本属性!I21)&amp;"|"&amp;"3#8#"&amp;INT(1.2*基本属性!I21)&amp;"|"&amp;"3#9#"&amp;基本属性!J21&amp;"|"&amp;"3#10#"&amp;基本属性!J21&amp;"|"&amp;"3#11#"&amp;基本属性!J21&amp;"|"&amp;"3#12#"&amp;基本属性!J21</f>
        <v>3#1#246900|3#3#4244|3#4#6367|3#5#4244|3#6#6367|3#7#4244|3#8#6367|3#9#1320|3#10#1320|3#11#1320|3#12#1320</v>
      </c>
      <c r="K22" s="154">
        <f>INT(0.8*基本属性!BX21)</f>
        <v>54</v>
      </c>
      <c r="L22" s="154">
        <v>999</v>
      </c>
      <c r="M22" s="154">
        <v>1100</v>
      </c>
      <c r="N22" s="154">
        <v>1</v>
      </c>
      <c r="O22" s="154">
        <v>0</v>
      </c>
      <c r="P22" s="154">
        <v>600</v>
      </c>
      <c r="Q22" s="154"/>
      <c r="R22" s="153"/>
      <c r="S22" s="154"/>
      <c r="T22" s="154">
        <v>1</v>
      </c>
      <c r="U22" s="154">
        <v>5</v>
      </c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</row>
    <row r="23" spans="1:32" ht="15.75" x14ac:dyDescent="0.3">
      <c r="A23" s="154">
        <v>12</v>
      </c>
      <c r="B23" s="153" t="str">
        <f t="shared" si="1"/>
        <v>12转小怪</v>
      </c>
      <c r="C23" s="153">
        <v>81</v>
      </c>
      <c r="D23" s="153">
        <v>19</v>
      </c>
      <c r="E23" s="153">
        <v>112</v>
      </c>
      <c r="F23" s="153">
        <v>210</v>
      </c>
      <c r="G23" s="153">
        <v>1</v>
      </c>
      <c r="H23" s="153">
        <v>0</v>
      </c>
      <c r="I23" s="153">
        <f>INT(怪物掉落配置方案!D4881/10)*10</f>
        <v>1166660</v>
      </c>
      <c r="J23" s="154" t="str">
        <f>"3#1#"&amp;基本属性!BE22&amp;"|"&amp;"3#3#"&amp;INT(0.8*基本属性!I22)&amp;"|"&amp;"3#4#"&amp;INT(1.2*基本属性!I22)&amp;"|"&amp;"3#5#"&amp;INT(0.8*基本属性!I22)&amp;"|"&amp;"3#6#"&amp;INT(1.2*基本属性!I22)&amp;"|"&amp;"3#7#"&amp;INT(0.8*基本属性!I22)&amp;"|"&amp;"3#8#"&amp;INT(1.2*基本属性!I22)&amp;"|"&amp;"3#9#"&amp;基本属性!J22&amp;"|"&amp;"3#10#"&amp;基本属性!J22&amp;"|"&amp;"3#11#"&amp;基本属性!J22&amp;"|"&amp;"3#12#"&amp;基本属性!J22</f>
        <v>3#1#315900|3#3#4916|3#4#7374|3#5#4916|3#6#7374|3#7#4916|3#8#7374|3#9#1440|3#10#1440|3#11#1440|3#12#1440</v>
      </c>
      <c r="K23" s="154">
        <f>INT(0.8*基本属性!BX22)</f>
        <v>58</v>
      </c>
      <c r="L23" s="154">
        <v>999</v>
      </c>
      <c r="M23" s="154">
        <v>1100</v>
      </c>
      <c r="N23" s="154">
        <v>1</v>
      </c>
      <c r="O23" s="154">
        <v>0</v>
      </c>
      <c r="P23" s="154">
        <v>600</v>
      </c>
      <c r="Q23" s="154"/>
      <c r="R23" s="153"/>
      <c r="S23" s="154"/>
      <c r="T23" s="154">
        <v>1</v>
      </c>
      <c r="U23" s="154">
        <v>5</v>
      </c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</row>
    <row r="24" spans="1:32" ht="15.75" x14ac:dyDescent="0.3">
      <c r="A24" s="154">
        <v>13</v>
      </c>
      <c r="B24" s="153" t="str">
        <f t="shared" si="1"/>
        <v>13转小怪</v>
      </c>
      <c r="C24" s="153">
        <v>81</v>
      </c>
      <c r="D24" s="153">
        <v>19</v>
      </c>
      <c r="E24" s="153">
        <v>112</v>
      </c>
      <c r="F24" s="153">
        <v>210</v>
      </c>
      <c r="G24" s="153">
        <v>1</v>
      </c>
      <c r="H24" s="153">
        <v>0</v>
      </c>
      <c r="I24" s="153">
        <f>INT(怪物掉落配置方案!D4882/10)*10</f>
        <v>1166660</v>
      </c>
      <c r="J24" s="154" t="str">
        <f>"3#1#"&amp;基本属性!BE23&amp;"|"&amp;"3#3#"&amp;INT(0.8*基本属性!I23)&amp;"|"&amp;"3#4#"&amp;INT(1.2*基本属性!I23)&amp;"|"&amp;"3#5#"&amp;INT(0.8*基本属性!I23)&amp;"|"&amp;"3#6#"&amp;INT(1.2*基本属性!I23)&amp;"|"&amp;"3#7#"&amp;INT(0.8*基本属性!I23)&amp;"|"&amp;"3#8#"&amp;INT(1.2*基本属性!I23)&amp;"|"&amp;"3#9#"&amp;基本属性!J23&amp;"|"&amp;"3#10#"&amp;基本属性!J23&amp;"|"&amp;"3#11#"&amp;基本属性!J23&amp;"|"&amp;"3#12#"&amp;基本属性!J23</f>
        <v>3#1#381500|3#3#5780|3#4#8671|3#5#5780|3#6#8671|3#7#5780|3#8#8671|3#9#1590|3#10#1590|3#11#1590|3#12#1590</v>
      </c>
      <c r="K24" s="154">
        <f>INT(0.8*基本属性!BX23)</f>
        <v>62</v>
      </c>
      <c r="L24" s="154">
        <v>999</v>
      </c>
      <c r="M24" s="154">
        <v>1100</v>
      </c>
      <c r="N24" s="154">
        <v>1</v>
      </c>
      <c r="O24" s="154">
        <v>0</v>
      </c>
      <c r="P24" s="154">
        <v>600</v>
      </c>
      <c r="Q24" s="154"/>
      <c r="R24" s="153"/>
      <c r="S24" s="154"/>
      <c r="T24" s="154">
        <v>1</v>
      </c>
      <c r="U24" s="154">
        <v>5</v>
      </c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</row>
    <row r="25" spans="1:32" ht="15.75" x14ac:dyDescent="0.3">
      <c r="A25" s="154">
        <v>14</v>
      </c>
      <c r="B25" s="153" t="str">
        <f t="shared" si="1"/>
        <v>14转小怪</v>
      </c>
      <c r="C25" s="153">
        <v>81</v>
      </c>
      <c r="D25" s="153">
        <v>19</v>
      </c>
      <c r="E25" s="153">
        <v>112</v>
      </c>
      <c r="F25" s="153">
        <v>220</v>
      </c>
      <c r="G25" s="153">
        <v>1</v>
      </c>
      <c r="H25" s="153">
        <v>0</v>
      </c>
      <c r="I25" s="153">
        <f>INT(怪物掉落配置方案!D4883/10)*10</f>
        <v>1166660</v>
      </c>
      <c r="J25" s="154" t="str">
        <f>"3#1#"&amp;基本属性!BE24&amp;"|"&amp;"3#3#"&amp;INT(0.8*基本属性!I24)&amp;"|"&amp;"3#4#"&amp;INT(1.2*基本属性!I24)&amp;"|"&amp;"3#5#"&amp;INT(0.8*基本属性!I24)&amp;"|"&amp;"3#6#"&amp;INT(1.2*基本属性!I24)&amp;"|"&amp;"3#7#"&amp;INT(0.8*基本属性!I24)&amp;"|"&amp;"3#8#"&amp;INT(1.2*基本属性!I24)&amp;"|"&amp;"3#9#"&amp;基本属性!J24&amp;"|"&amp;"3#10#"&amp;基本属性!J24&amp;"|"&amp;"3#11#"&amp;基本属性!J24&amp;"|"&amp;"3#12#"&amp;基本属性!J24</f>
        <v>3#1#456300|3#3#6761|3#4#10142|3#5#6761|3#6#10142|3#7#6761|3#8#10142|3#9#1740|3#10#1740|3#11#1740|3#12#1740</v>
      </c>
      <c r="K25" s="154">
        <f>INT(0.8*基本属性!BX24)</f>
        <v>66</v>
      </c>
      <c r="L25" s="154">
        <v>999</v>
      </c>
      <c r="M25" s="154">
        <v>1100</v>
      </c>
      <c r="N25" s="154">
        <v>1</v>
      </c>
      <c r="O25" s="154">
        <v>0</v>
      </c>
      <c r="P25" s="154">
        <v>600</v>
      </c>
      <c r="Q25" s="154"/>
      <c r="R25" s="153"/>
      <c r="S25" s="154"/>
      <c r="T25" s="154">
        <v>1</v>
      </c>
      <c r="U25" s="154">
        <v>5</v>
      </c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</row>
    <row r="26" spans="1:32" ht="15.75" x14ac:dyDescent="0.3">
      <c r="A26" s="154">
        <v>15</v>
      </c>
      <c r="B26" s="153" t="str">
        <f t="shared" si="1"/>
        <v>15转小怪</v>
      </c>
      <c r="C26" s="153">
        <v>81</v>
      </c>
      <c r="D26" s="153">
        <v>19</v>
      </c>
      <c r="E26" s="153">
        <v>112</v>
      </c>
      <c r="F26" s="153">
        <v>220</v>
      </c>
      <c r="G26" s="153">
        <v>1</v>
      </c>
      <c r="H26" s="153">
        <v>0</v>
      </c>
      <c r="I26" s="153">
        <f>INT(怪物掉落配置方案!D4884/10)*10</f>
        <v>1166660</v>
      </c>
      <c r="J26" s="154" t="str">
        <f>"3#1#"&amp;基本属性!BE25&amp;"|"&amp;"3#3#"&amp;INT(0.8*基本属性!I25)&amp;"|"&amp;"3#4#"&amp;INT(1.2*基本属性!I25)&amp;"|"&amp;"3#5#"&amp;INT(0.8*基本属性!I25)&amp;"|"&amp;"3#6#"&amp;INT(1.2*基本属性!I25)&amp;"|"&amp;"3#7#"&amp;INT(0.8*基本属性!I25)&amp;"|"&amp;"3#8#"&amp;INT(1.2*基本属性!I25)&amp;"|"&amp;"3#9#"&amp;基本属性!J25&amp;"|"&amp;"3#10#"&amp;基本属性!J25&amp;"|"&amp;"3#11#"&amp;基本属性!J25&amp;"|"&amp;"3#12#"&amp;基本属性!J25</f>
        <v>3#1#550100|3#3#8004|3#4#12006|3#5#8004|3#6#12006|3#7#8004|3#8#12006|3#9#1920|3#10#1920|3#11#1920|3#12#1920</v>
      </c>
      <c r="K26" s="154">
        <f>INT(0.8*基本属性!BX25)</f>
        <v>70</v>
      </c>
      <c r="L26" s="154">
        <v>999</v>
      </c>
      <c r="M26" s="154">
        <v>1100</v>
      </c>
      <c r="N26" s="154">
        <v>1</v>
      </c>
      <c r="O26" s="154">
        <v>0</v>
      </c>
      <c r="P26" s="154">
        <v>600</v>
      </c>
      <c r="Q26" s="154"/>
      <c r="R26" s="153"/>
      <c r="S26" s="154"/>
      <c r="T26" s="154">
        <v>1</v>
      </c>
      <c r="U26" s="154">
        <v>5</v>
      </c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</row>
    <row r="27" spans="1:32" ht="15.75" x14ac:dyDescent="0.3">
      <c r="A27" s="154">
        <v>16</v>
      </c>
      <c r="B27" s="153" t="str">
        <f t="shared" si="1"/>
        <v>16转小怪</v>
      </c>
      <c r="C27" s="153">
        <v>81</v>
      </c>
      <c r="D27" s="153">
        <v>19</v>
      </c>
      <c r="E27" s="153">
        <v>112</v>
      </c>
      <c r="F27" s="153">
        <v>230</v>
      </c>
      <c r="G27" s="153">
        <v>1</v>
      </c>
      <c r="H27" s="153">
        <v>0</v>
      </c>
      <c r="I27" s="153">
        <f>INT(怪物掉落配置方案!D4885/10)*10</f>
        <v>583330</v>
      </c>
      <c r="J27" s="154" t="str">
        <f>"3#1#"&amp;基本属性!BE26&amp;"|"&amp;"3#3#"&amp;INT(0.8*基本属性!I26)&amp;"|"&amp;"3#4#"&amp;INT(1.2*基本属性!I26)&amp;"|"&amp;"3#5#"&amp;INT(0.8*基本属性!I26)&amp;"|"&amp;"3#6#"&amp;INT(1.2*基本属性!I26)&amp;"|"&amp;"3#7#"&amp;INT(0.8*基本属性!I26)&amp;"|"&amp;"3#8#"&amp;INT(1.2*基本属性!I26)&amp;"|"&amp;"3#9#"&amp;基本属性!J26&amp;"|"&amp;"3#10#"&amp;基本属性!J26&amp;"|"&amp;"3#11#"&amp;基本属性!J26&amp;"|"&amp;"3#12#"&amp;基本属性!J26</f>
        <v>3#1#700700|3#3#9430|3#4#14145|3#5#9430|3#6#14145|3#7#9430|3#8#14145|3#9#2100|3#10#2100|3#11#2100|3#12#2100</v>
      </c>
      <c r="K27" s="154">
        <f>INT(0.8*基本属性!BX26)</f>
        <v>75</v>
      </c>
      <c r="L27" s="154">
        <v>999</v>
      </c>
      <c r="M27" s="154">
        <v>1100</v>
      </c>
      <c r="N27" s="154">
        <v>1</v>
      </c>
      <c r="O27" s="154">
        <v>0</v>
      </c>
      <c r="P27" s="154">
        <v>600</v>
      </c>
      <c r="Q27" s="154"/>
      <c r="R27" s="153"/>
      <c r="S27" s="154"/>
      <c r="T27" s="154">
        <v>1</v>
      </c>
      <c r="U27" s="154">
        <v>5</v>
      </c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</row>
    <row r="28" spans="1:32" ht="15.75" x14ac:dyDescent="0.3">
      <c r="A28" s="154">
        <v>17</v>
      </c>
      <c r="B28" s="153" t="str">
        <f t="shared" si="1"/>
        <v>17转小怪</v>
      </c>
      <c r="C28" s="153">
        <v>81</v>
      </c>
      <c r="D28" s="153">
        <v>19</v>
      </c>
      <c r="E28" s="153">
        <v>112</v>
      </c>
      <c r="F28" s="153">
        <v>230</v>
      </c>
      <c r="G28" s="153">
        <v>1</v>
      </c>
      <c r="H28" s="153">
        <v>0</v>
      </c>
      <c r="I28" s="153">
        <f>INT(怪物掉落配置方案!D4886/10)*10</f>
        <v>583330</v>
      </c>
      <c r="J28" s="154" t="str">
        <f>"3#1#"&amp;基本属性!BE27&amp;"|"&amp;"3#3#"&amp;INT(0.8*基本属性!I27)&amp;"|"&amp;"3#4#"&amp;INT(1.2*基本属性!I27)&amp;"|"&amp;"3#5#"&amp;INT(0.8*基本属性!I27)&amp;"|"&amp;"3#6#"&amp;INT(1.2*基本属性!I27)&amp;"|"&amp;"3#7#"&amp;INT(0.8*基本属性!I27)&amp;"|"&amp;"3#8#"&amp;INT(1.2*基本属性!I27)&amp;"|"&amp;"3#9#"&amp;基本属性!J27&amp;"|"&amp;"3#10#"&amp;基本属性!J27&amp;"|"&amp;"3#11#"&amp;基本属性!J27&amp;"|"&amp;"3#12#"&amp;基本属性!J27</f>
        <v>3#1#819100|3#3#10934|3#4#16401|3#5#10934|3#6#16401|3#7#10934|3#8#16401|3#9#2250|3#10#2250|3#11#2250|3#12#2250</v>
      </c>
      <c r="K28" s="154">
        <f>INT(0.8*基本属性!BX27)</f>
        <v>79</v>
      </c>
      <c r="L28" s="154">
        <v>999</v>
      </c>
      <c r="M28" s="154">
        <v>1100</v>
      </c>
      <c r="N28" s="154">
        <v>1</v>
      </c>
      <c r="O28" s="154">
        <v>0</v>
      </c>
      <c r="P28" s="154">
        <v>600</v>
      </c>
      <c r="Q28" s="154"/>
      <c r="R28" s="153"/>
      <c r="S28" s="154"/>
      <c r="T28" s="154">
        <v>1</v>
      </c>
      <c r="U28" s="154">
        <v>5</v>
      </c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</row>
    <row r="29" spans="1:32" ht="15.75" x14ac:dyDescent="0.3">
      <c r="A29" s="154">
        <v>18</v>
      </c>
      <c r="B29" s="153" t="str">
        <f t="shared" si="1"/>
        <v>18转小怪</v>
      </c>
      <c r="C29" s="153">
        <v>81</v>
      </c>
      <c r="D29" s="153">
        <v>19</v>
      </c>
      <c r="E29" s="153">
        <v>112</v>
      </c>
      <c r="F29" s="153">
        <v>240</v>
      </c>
      <c r="G29" s="153">
        <v>1</v>
      </c>
      <c r="H29" s="153">
        <v>0</v>
      </c>
      <c r="I29" s="153">
        <f>INT(怪物掉落配置方案!D4887/10)*10</f>
        <v>583330</v>
      </c>
      <c r="J29" s="154" t="str">
        <f>"3#1#"&amp;基本属性!BE28&amp;"|"&amp;"3#3#"&amp;INT(0.8*基本属性!I28)&amp;"|"&amp;"3#4#"&amp;INT(1.2*基本属性!I28)&amp;"|"&amp;"3#5#"&amp;INT(0.8*基本属性!I28)&amp;"|"&amp;"3#6#"&amp;INT(1.2*基本属性!I28)&amp;"|"&amp;"3#7#"&amp;INT(0.8*基本属性!I28)&amp;"|"&amp;"3#8#"&amp;INT(1.2*基本属性!I28)&amp;"|"&amp;"3#9#"&amp;基本属性!J28&amp;"|"&amp;"3#10#"&amp;基本属性!J28&amp;"|"&amp;"3#11#"&amp;基本属性!J28&amp;"|"&amp;"3#12#"&amp;基本属性!J28</f>
        <v>3#1#952800|3#3#12684|3#4#19027|3#5#12684|3#6#19027|3#7#12684|3#8#19027|3#9#2400|3#10#2400|3#11#2400|3#12#2400</v>
      </c>
      <c r="K29" s="154">
        <f>INT(0.8*基本属性!BX28)</f>
        <v>84</v>
      </c>
      <c r="L29" s="154">
        <v>999</v>
      </c>
      <c r="M29" s="154">
        <v>1100</v>
      </c>
      <c r="N29" s="154">
        <v>1</v>
      </c>
      <c r="O29" s="154">
        <v>0</v>
      </c>
      <c r="P29" s="154">
        <v>600</v>
      </c>
      <c r="Q29" s="154"/>
      <c r="R29" s="153"/>
      <c r="S29" s="154"/>
      <c r="T29" s="154">
        <v>1</v>
      </c>
      <c r="U29" s="154">
        <v>5</v>
      </c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</row>
    <row r="30" spans="1:32" ht="15.75" x14ac:dyDescent="0.3">
      <c r="A30" s="154">
        <v>19</v>
      </c>
      <c r="B30" s="153" t="str">
        <f t="shared" si="1"/>
        <v>19转小怪</v>
      </c>
      <c r="C30" s="153">
        <v>81</v>
      </c>
      <c r="D30" s="153">
        <v>19</v>
      </c>
      <c r="E30" s="153">
        <v>112</v>
      </c>
      <c r="F30" s="153">
        <v>240</v>
      </c>
      <c r="G30" s="153">
        <v>1</v>
      </c>
      <c r="H30" s="153">
        <v>0</v>
      </c>
      <c r="I30" s="153">
        <f>INT(怪物掉落配置方案!D4888/10)*10</f>
        <v>583330</v>
      </c>
      <c r="J30" s="154" t="str">
        <f>"3#1#"&amp;基本属性!BE29&amp;"|"&amp;"3#3#"&amp;INT(0.8*基本属性!I29)&amp;"|"&amp;"3#4#"&amp;INT(1.2*基本属性!I29)&amp;"|"&amp;"3#5#"&amp;INT(0.8*基本属性!I29)&amp;"|"&amp;"3#6#"&amp;INT(1.2*基本属性!I29)&amp;"|"&amp;"3#7#"&amp;INT(0.8*基本属性!I29)&amp;"|"&amp;"3#8#"&amp;INT(1.2*基本属性!I29)&amp;"|"&amp;"3#9#"&amp;基本属性!J29&amp;"|"&amp;"3#10#"&amp;基本属性!J29&amp;"|"&amp;"3#11#"&amp;基本属性!J29&amp;"|"&amp;"3#12#"&amp;基本属性!J29</f>
        <v>3#1#1168200|3#3#15607|3#4#23410|3#5#15607|3#6#23410|3#7#15607|3#8#23410|3#9#2700|3#10#2700|3#11#2700|3#12#2700</v>
      </c>
      <c r="K30" s="154">
        <f>INT(0.8*基本属性!BX29)</f>
        <v>88</v>
      </c>
      <c r="L30" s="154">
        <v>999</v>
      </c>
      <c r="M30" s="154">
        <v>1100</v>
      </c>
      <c r="N30" s="154">
        <v>1</v>
      </c>
      <c r="O30" s="154">
        <v>0</v>
      </c>
      <c r="P30" s="154">
        <v>600</v>
      </c>
      <c r="Q30" s="154"/>
      <c r="R30" s="153"/>
      <c r="S30" s="154"/>
      <c r="T30" s="154">
        <v>1</v>
      </c>
      <c r="U30" s="154">
        <v>5</v>
      </c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</row>
    <row r="31" spans="1:32" ht="15.75" x14ac:dyDescent="0.3">
      <c r="A31" s="154">
        <v>20</v>
      </c>
      <c r="B31" s="153" t="str">
        <f t="shared" si="1"/>
        <v>20转小怪</v>
      </c>
      <c r="C31" s="153">
        <v>81</v>
      </c>
      <c r="D31" s="153">
        <v>19</v>
      </c>
      <c r="E31" s="153">
        <v>112</v>
      </c>
      <c r="F31" s="153">
        <v>250</v>
      </c>
      <c r="G31" s="153">
        <v>1</v>
      </c>
      <c r="H31" s="153">
        <v>0</v>
      </c>
      <c r="I31" s="153">
        <f>INT(怪物掉落配置方案!D4889/10)*10</f>
        <v>583330</v>
      </c>
      <c r="J31" s="154" t="str">
        <f>"3#1#"&amp;基本属性!BE30&amp;"|"&amp;"3#3#"&amp;INT(0.8*基本属性!I30)&amp;"|"&amp;"3#4#"&amp;INT(1.2*基本属性!I30)&amp;"|"&amp;"3#5#"&amp;INT(0.8*基本属性!I30)&amp;"|"&amp;"3#6#"&amp;INT(1.2*基本属性!I30)&amp;"|"&amp;"3#7#"&amp;INT(0.8*基本属性!I30)&amp;"|"&amp;"3#8#"&amp;INT(1.2*基本属性!I30)&amp;"|"&amp;"3#9#"&amp;基本属性!J30&amp;"|"&amp;"3#10#"&amp;基本属性!J30&amp;"|"&amp;"3#11#"&amp;基本属性!J30&amp;"|"&amp;"3#12#"&amp;基本属性!J30</f>
        <v>3#1#1574200|3#3#20185|3#4#30278|3#5#20185|3#6#30278|3#7#20185|3#8#30278|3#9#3000|3#10#3000|3#11#3000|3#12#3000</v>
      </c>
      <c r="K31" s="154">
        <f>INT(0.8*基本属性!BX30)</f>
        <v>96</v>
      </c>
      <c r="L31" s="154">
        <v>999</v>
      </c>
      <c r="M31" s="154">
        <v>1100</v>
      </c>
      <c r="N31" s="154">
        <v>1</v>
      </c>
      <c r="O31" s="154">
        <v>0</v>
      </c>
      <c r="P31" s="154">
        <v>600</v>
      </c>
      <c r="Q31" s="154"/>
      <c r="R31" s="153"/>
      <c r="S31" s="154"/>
      <c r="T31" s="154">
        <v>1</v>
      </c>
      <c r="U31" s="154">
        <v>5</v>
      </c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</row>
    <row r="32" spans="1:32" s="155" customFormat="1" x14ac:dyDescent="0.3">
      <c r="A32" s="155" t="s">
        <v>3386</v>
      </c>
      <c r="B32" s="156"/>
      <c r="C32" s="156"/>
      <c r="D32" s="156"/>
      <c r="E32" s="156"/>
      <c r="F32" s="156"/>
      <c r="G32" s="156"/>
      <c r="H32" s="156"/>
      <c r="I32" s="156"/>
      <c r="R32" s="156"/>
    </row>
    <row r="33" spans="1:21" s="154" customFormat="1" x14ac:dyDescent="0.3">
      <c r="A33" s="154">
        <v>35</v>
      </c>
      <c r="B33" s="153" t="str">
        <f>A33&amp;"级精英"</f>
        <v>35级精英</v>
      </c>
      <c r="C33" s="153">
        <v>81</v>
      </c>
      <c r="D33" s="153">
        <v>19</v>
      </c>
      <c r="E33" s="153">
        <v>112</v>
      </c>
      <c r="F33" s="153">
        <f t="shared" ref="F33:F59" si="2">F5+10</f>
        <v>45</v>
      </c>
      <c r="G33" s="153">
        <v>1</v>
      </c>
      <c r="H33" s="153">
        <v>1</v>
      </c>
      <c r="I33" s="153">
        <f>INT(怪物掉落配置方案!D1785/10)*10</f>
        <v>8330</v>
      </c>
      <c r="J33" s="154" t="str">
        <f>"3#1#"&amp;基本属性!BF4&amp;"|"&amp;"3#3#"&amp;INT(0.8*基本属性!L4)&amp;"|"&amp;"3#4#"&amp;INT(1.2*基本属性!L4)&amp;"|"&amp;"3#5#"&amp;INT(0.8*基本属性!L4)&amp;"|"&amp;"3#6#"&amp;INT(1.2*基本属性!L4)&amp;"|"&amp;"3#7#"&amp;INT(0.8*基本属性!L4)&amp;"|"&amp;"3#8#"&amp;INT(1.2*基本属性!L4)&amp;"|"&amp;"3#9#"&amp;基本属性!M4&amp;"|"&amp;"3#10#"&amp;基本属性!M4&amp;"|"&amp;"3#11#"&amp;基本属性!M4&amp;"|"&amp;"3#12#"&amp;基本属性!M4</f>
        <v>3#1#17900|3#3#106|3#4#159|3#5#106|3#6#159|3#7#106|3#8#159|3#9#65|3#10#65|3#11#65|3#12#65</v>
      </c>
      <c r="K33" s="154">
        <f t="shared" ref="K33:K59" si="3">K5</f>
        <v>2</v>
      </c>
      <c r="L33" s="154">
        <v>999</v>
      </c>
      <c r="M33" s="154">
        <v>1100</v>
      </c>
      <c r="N33" s="154">
        <v>1</v>
      </c>
      <c r="O33" s="154">
        <v>0</v>
      </c>
      <c r="P33" s="154">
        <v>800</v>
      </c>
      <c r="R33" s="153">
        <v>125</v>
      </c>
      <c r="T33" s="154">
        <v>2</v>
      </c>
      <c r="U33" s="154">
        <v>5</v>
      </c>
    </row>
    <row r="34" spans="1:21" ht="15.75" x14ac:dyDescent="0.3">
      <c r="A34" s="154">
        <v>40</v>
      </c>
      <c r="B34" s="153" t="str">
        <f t="shared" ref="B34:B39" si="4">A34&amp;"级精英"</f>
        <v>40级精英</v>
      </c>
      <c r="C34" s="153">
        <v>81</v>
      </c>
      <c r="D34" s="153">
        <v>19</v>
      </c>
      <c r="E34" s="153">
        <v>112</v>
      </c>
      <c r="F34" s="153">
        <f t="shared" si="2"/>
        <v>50</v>
      </c>
      <c r="G34" s="153">
        <v>1</v>
      </c>
      <c r="H34" s="153">
        <v>1</v>
      </c>
      <c r="I34" s="153">
        <f>INT(怪物掉落配置方案!D1786/10)*10</f>
        <v>15970</v>
      </c>
      <c r="J34" s="154" t="str">
        <f>"3#1#"&amp;基本属性!BF5&amp;"|"&amp;"3#3#"&amp;INT(0.8*基本属性!L5)&amp;"|"&amp;"3#4#"&amp;INT(1.2*基本属性!L5)&amp;"|"&amp;"3#5#"&amp;INT(0.8*基本属性!L5)&amp;"|"&amp;"3#6#"&amp;INT(1.2*基本属性!L5)&amp;"|"&amp;"3#7#"&amp;INT(0.8*基本属性!L5)&amp;"|"&amp;"3#8#"&amp;INT(1.2*基本属性!L5)&amp;"|"&amp;"3#9#"&amp;基本属性!M5&amp;"|"&amp;"3#10#"&amp;基本属性!M5&amp;"|"&amp;"3#11#"&amp;基本属性!M5&amp;"|"&amp;"3#12#"&amp;基本属性!M5</f>
        <v>3#1#29800|3#3#164|3#4#246|3#5#164|3#6#246|3#7#164|3#8#246|3#9#98|3#10#98|3#11#98|3#12#98</v>
      </c>
      <c r="K34" s="154">
        <f t="shared" si="3"/>
        <v>4</v>
      </c>
      <c r="L34" s="154">
        <v>999</v>
      </c>
      <c r="M34" s="154">
        <v>1100</v>
      </c>
      <c r="N34" s="154">
        <v>1</v>
      </c>
      <c r="O34" s="154">
        <v>0</v>
      </c>
      <c r="P34" s="154">
        <v>800</v>
      </c>
      <c r="Q34" s="154"/>
      <c r="R34" s="153">
        <v>125</v>
      </c>
      <c r="S34" s="154"/>
      <c r="T34" s="154">
        <v>2</v>
      </c>
      <c r="U34" s="154">
        <v>5</v>
      </c>
    </row>
    <row r="35" spans="1:21" ht="15.75" x14ac:dyDescent="0.3">
      <c r="A35" s="154">
        <v>50</v>
      </c>
      <c r="B35" s="153" t="str">
        <f t="shared" si="4"/>
        <v>50级精英</v>
      </c>
      <c r="C35" s="153">
        <v>81</v>
      </c>
      <c r="D35" s="153">
        <v>19</v>
      </c>
      <c r="E35" s="153">
        <v>112</v>
      </c>
      <c r="F35" s="153">
        <f t="shared" si="2"/>
        <v>60</v>
      </c>
      <c r="G35" s="153">
        <v>1</v>
      </c>
      <c r="H35" s="153">
        <v>1</v>
      </c>
      <c r="I35" s="153">
        <f>INT(怪物掉落配置方案!D1787/10)*10</f>
        <v>43330</v>
      </c>
      <c r="J35" s="154" t="str">
        <f>"3#1#"&amp;基本属性!BF6&amp;"|"&amp;"3#3#"&amp;INT(0.8*基本属性!L6)&amp;"|"&amp;"3#4#"&amp;INT(1.2*基本属性!L6)&amp;"|"&amp;"3#5#"&amp;INT(0.8*基本属性!L6)&amp;"|"&amp;"3#6#"&amp;INT(1.2*基本属性!L6)&amp;"|"&amp;"3#7#"&amp;INT(0.8*基本属性!L6)&amp;"|"&amp;"3#8#"&amp;INT(1.2*基本属性!L6)&amp;"|"&amp;"3#9#"&amp;基本属性!M6&amp;"|"&amp;"3#10#"&amp;基本属性!M6&amp;"|"&amp;"3#11#"&amp;基本属性!M6&amp;"|"&amp;"3#12#"&amp;基本属性!M6</f>
        <v>3#1#44100|3#3#224|3#4#337|3#5#224|3#6#337|3#7#224|3#8#337|3#9#130|3#10#130|3#11#130|3#12#130</v>
      </c>
      <c r="K35" s="154">
        <f t="shared" si="3"/>
        <v>6</v>
      </c>
      <c r="L35" s="154">
        <v>999</v>
      </c>
      <c r="M35" s="154">
        <v>1100</v>
      </c>
      <c r="N35" s="154">
        <v>1</v>
      </c>
      <c r="O35" s="154">
        <v>0</v>
      </c>
      <c r="P35" s="154">
        <v>800</v>
      </c>
      <c r="Q35" s="154"/>
      <c r="R35" s="153">
        <v>125</v>
      </c>
      <c r="S35" s="154"/>
      <c r="T35" s="154">
        <v>2</v>
      </c>
      <c r="U35" s="154">
        <v>5</v>
      </c>
    </row>
    <row r="36" spans="1:21" ht="15.75" x14ac:dyDescent="0.3">
      <c r="A36" s="154">
        <v>60</v>
      </c>
      <c r="B36" s="153" t="str">
        <f t="shared" si="4"/>
        <v>60级精英</v>
      </c>
      <c r="C36" s="153">
        <v>81</v>
      </c>
      <c r="D36" s="153">
        <v>19</v>
      </c>
      <c r="E36" s="153">
        <v>112</v>
      </c>
      <c r="F36" s="153">
        <f t="shared" si="2"/>
        <v>70</v>
      </c>
      <c r="G36" s="153">
        <v>1</v>
      </c>
      <c r="H36" s="153">
        <v>1</v>
      </c>
      <c r="I36" s="153">
        <f>INT(怪物掉落配置方案!D1788/10)*10</f>
        <v>54170</v>
      </c>
      <c r="J36" s="154" t="str">
        <f>"3#1#"&amp;基本属性!BF7&amp;"|"&amp;"3#3#"&amp;INT(0.8*基本属性!L7)&amp;"|"&amp;"3#4#"&amp;INT(1.2*基本属性!L7)&amp;"|"&amp;"3#5#"&amp;INT(0.8*基本属性!L7)&amp;"|"&amp;"3#6#"&amp;INT(1.2*基本属性!L7)&amp;"|"&amp;"3#7#"&amp;INT(0.8*基本属性!L7)&amp;"|"&amp;"3#8#"&amp;INT(1.2*基本属性!L7)&amp;"|"&amp;"3#9#"&amp;基本属性!M7&amp;"|"&amp;"3#10#"&amp;基本属性!M7&amp;"|"&amp;"3#11#"&amp;基本属性!M7&amp;"|"&amp;"3#12#"&amp;基本属性!M7</f>
        <v>3#1#67000|3#3#288|3#4#433|3#5#288|3#6#433|3#7#288|3#8#433|3#9#163|3#10#163|3#11#163|3#12#163</v>
      </c>
      <c r="K36" s="154">
        <f t="shared" si="3"/>
        <v>9</v>
      </c>
      <c r="L36" s="154">
        <v>999</v>
      </c>
      <c r="M36" s="154">
        <v>1100</v>
      </c>
      <c r="N36" s="154">
        <v>1</v>
      </c>
      <c r="O36" s="154">
        <v>0</v>
      </c>
      <c r="P36" s="154">
        <v>800</v>
      </c>
      <c r="Q36" s="154"/>
      <c r="R36" s="153">
        <v>125</v>
      </c>
      <c r="S36" s="154"/>
      <c r="T36" s="154">
        <v>2</v>
      </c>
      <c r="U36" s="154">
        <v>5</v>
      </c>
    </row>
    <row r="37" spans="1:21" ht="15.75" x14ac:dyDescent="0.3">
      <c r="A37" s="154">
        <v>65</v>
      </c>
      <c r="B37" s="153" t="str">
        <f t="shared" si="4"/>
        <v>65级精英</v>
      </c>
      <c r="C37" s="153">
        <v>81</v>
      </c>
      <c r="D37" s="153">
        <v>19</v>
      </c>
      <c r="E37" s="153">
        <v>112</v>
      </c>
      <c r="F37" s="153">
        <f t="shared" si="2"/>
        <v>75</v>
      </c>
      <c r="G37" s="153">
        <v>1</v>
      </c>
      <c r="H37" s="153">
        <v>1</v>
      </c>
      <c r="I37" s="153">
        <f>INT(怪物掉落配置方案!D1789/10)*10</f>
        <v>54440</v>
      </c>
      <c r="J37" s="154" t="str">
        <f>"3#1#"&amp;基本属性!BF8&amp;"|"&amp;"3#3#"&amp;INT(0.8*基本属性!L8)&amp;"|"&amp;"3#4#"&amp;INT(1.2*基本属性!L8)&amp;"|"&amp;"3#5#"&amp;INT(0.8*基本属性!L8)&amp;"|"&amp;"3#6#"&amp;INT(1.2*基本属性!L8)&amp;"|"&amp;"3#7#"&amp;INT(0.8*基本属性!L8)&amp;"|"&amp;"3#8#"&amp;INT(1.2*基本属性!L8)&amp;"|"&amp;"3#9#"&amp;基本属性!M8&amp;"|"&amp;"3#10#"&amp;基本属性!M8&amp;"|"&amp;"3#11#"&amp;基本属性!M8&amp;"|"&amp;"3#12#"&amp;基本属性!M8</f>
        <v>3#1#96400|3#3#388|3#4#582|3#5#388|3#6#582|3#7#388|3#8#582|3#9#211|3#10#211|3#11#211|3#12#211</v>
      </c>
      <c r="K37" s="154">
        <f t="shared" si="3"/>
        <v>12</v>
      </c>
      <c r="L37" s="154">
        <v>999</v>
      </c>
      <c r="M37" s="154">
        <v>1100</v>
      </c>
      <c r="N37" s="154">
        <v>1</v>
      </c>
      <c r="O37" s="154">
        <v>0</v>
      </c>
      <c r="P37" s="154">
        <v>800</v>
      </c>
      <c r="Q37" s="154"/>
      <c r="R37" s="153">
        <v>125</v>
      </c>
      <c r="S37" s="154"/>
      <c r="T37" s="154">
        <v>2</v>
      </c>
      <c r="U37" s="154">
        <v>5</v>
      </c>
    </row>
    <row r="38" spans="1:21" ht="15.75" x14ac:dyDescent="0.3">
      <c r="A38" s="154">
        <v>70</v>
      </c>
      <c r="B38" s="153" t="str">
        <f t="shared" si="4"/>
        <v>70级精英</v>
      </c>
      <c r="C38" s="153">
        <v>81</v>
      </c>
      <c r="D38" s="153">
        <v>19</v>
      </c>
      <c r="E38" s="153">
        <v>112</v>
      </c>
      <c r="F38" s="153">
        <f t="shared" si="2"/>
        <v>80</v>
      </c>
      <c r="G38" s="153">
        <v>1</v>
      </c>
      <c r="H38" s="153">
        <v>1</v>
      </c>
      <c r="I38" s="153">
        <f>INT(怪物掉落配置方案!D1790/10)*10</f>
        <v>55740</v>
      </c>
      <c r="J38" s="154" t="str">
        <f>"3#1#"&amp;基本属性!BF9&amp;"|"&amp;"3#3#"&amp;INT(0.8*基本属性!L9)&amp;"|"&amp;"3#4#"&amp;INT(1.2*基本属性!L9)&amp;"|"&amp;"3#5#"&amp;INT(0.8*基本属性!L9)&amp;"|"&amp;"3#6#"&amp;INT(1.2*基本属性!L9)&amp;"|"&amp;"3#7#"&amp;INT(0.8*基本属性!L9)&amp;"|"&amp;"3#8#"&amp;INT(1.2*基本属性!L9)&amp;"|"&amp;"3#9#"&amp;基本属性!M9&amp;"|"&amp;"3#10#"&amp;基本属性!M9&amp;"|"&amp;"3#11#"&amp;基本属性!M9&amp;"|"&amp;"3#12#"&amp;基本属性!M9</f>
        <v>3#1#131000|3#3#492|3#4#738|3#5#492|3#6#738|3#7#492|3#8#738|3#9#260|3#10#260|3#11#260|3#12#260</v>
      </c>
      <c r="K38" s="154">
        <f t="shared" si="3"/>
        <v>14</v>
      </c>
      <c r="L38" s="154">
        <v>999</v>
      </c>
      <c r="M38" s="154">
        <v>1100</v>
      </c>
      <c r="N38" s="154">
        <v>1</v>
      </c>
      <c r="O38" s="154">
        <v>0</v>
      </c>
      <c r="P38" s="154">
        <v>800</v>
      </c>
      <c r="Q38" s="154"/>
      <c r="R38" s="153">
        <v>125</v>
      </c>
      <c r="S38" s="154"/>
      <c r="T38" s="154">
        <v>2</v>
      </c>
      <c r="U38" s="154">
        <v>5</v>
      </c>
    </row>
    <row r="39" spans="1:21" ht="15.75" x14ac:dyDescent="0.3">
      <c r="A39" s="154">
        <v>75</v>
      </c>
      <c r="B39" s="153" t="str">
        <f t="shared" si="4"/>
        <v>75级精英</v>
      </c>
      <c r="C39" s="153">
        <v>81</v>
      </c>
      <c r="D39" s="153">
        <v>19</v>
      </c>
      <c r="E39" s="153">
        <v>112</v>
      </c>
      <c r="F39" s="153">
        <f t="shared" si="2"/>
        <v>85</v>
      </c>
      <c r="G39" s="153">
        <v>1</v>
      </c>
      <c r="H39" s="153">
        <v>1</v>
      </c>
      <c r="I39" s="153">
        <f>INT(怪物掉落配置方案!D1791/10)*10</f>
        <v>62910</v>
      </c>
      <c r="J39" s="154" t="str">
        <f>"3#1#"&amp;基本属性!BF10&amp;"|"&amp;"3#3#"&amp;INT(0.8*基本属性!L10)&amp;"|"&amp;"3#4#"&amp;INT(1.2*基本属性!L10)&amp;"|"&amp;"3#5#"&amp;INT(0.8*基本属性!L10)&amp;"|"&amp;"3#6#"&amp;INT(1.2*基本属性!L10)&amp;"|"&amp;"3#7#"&amp;INT(0.8*基本属性!L10)&amp;"|"&amp;"3#8#"&amp;INT(1.2*基本属性!L10)&amp;"|"&amp;"3#9#"&amp;基本属性!M10&amp;"|"&amp;"3#10#"&amp;基本属性!M10&amp;"|"&amp;"3#11#"&amp;基本属性!M10&amp;"|"&amp;"3#12#"&amp;基本属性!M10</f>
        <v>3#1#187300|3#3#604|3#4#907|3#5#604|3#6#907|3#7#604|3#8#907|3#9#309|3#10#309|3#11#309|3#12#309</v>
      </c>
      <c r="K39" s="154">
        <f t="shared" si="3"/>
        <v>17</v>
      </c>
      <c r="L39" s="154">
        <v>999</v>
      </c>
      <c r="M39" s="154">
        <v>1100</v>
      </c>
      <c r="N39" s="154">
        <v>1</v>
      </c>
      <c r="O39" s="154">
        <v>0</v>
      </c>
      <c r="P39" s="154">
        <v>800</v>
      </c>
      <c r="Q39" s="154"/>
      <c r="R39" s="153">
        <v>125</v>
      </c>
      <c r="S39" s="154"/>
      <c r="T39" s="154">
        <v>2</v>
      </c>
      <c r="U39" s="154">
        <v>5</v>
      </c>
    </row>
    <row r="40" spans="1:21" ht="15.75" x14ac:dyDescent="0.3">
      <c r="A40" s="154">
        <v>1</v>
      </c>
      <c r="B40" s="153" t="str">
        <f t="shared" ref="B40:B59" si="5">A40&amp;"转精英"</f>
        <v>1转精英</v>
      </c>
      <c r="C40" s="153">
        <v>81</v>
      </c>
      <c r="D40" s="153">
        <v>19</v>
      </c>
      <c r="E40" s="153">
        <v>112</v>
      </c>
      <c r="F40" s="153">
        <f t="shared" si="2"/>
        <v>90</v>
      </c>
      <c r="G40" s="153">
        <v>1</v>
      </c>
      <c r="H40" s="153">
        <v>1</v>
      </c>
      <c r="I40" s="153">
        <f>INT(怪物掉落配置方案!D1792/10)*10</f>
        <v>100810</v>
      </c>
      <c r="J40" s="154" t="str">
        <f>"3#1#"&amp;基本属性!BF11&amp;"|"&amp;"3#3#"&amp;INT(0.8*基本属性!L11)&amp;"|"&amp;"3#4#"&amp;INT(1.2*基本属性!L11)&amp;"|"&amp;"3#5#"&amp;INT(0.8*基本属性!L11)&amp;"|"&amp;"3#6#"&amp;INT(1.2*基本属性!L11)&amp;"|"&amp;"3#7#"&amp;INT(0.8*基本属性!L11)&amp;"|"&amp;"3#8#"&amp;INT(1.2*基本属性!L11)&amp;"|"&amp;"3#9#"&amp;基本属性!M11&amp;"|"&amp;"3#10#"&amp;基本属性!M11&amp;"|"&amp;"3#11#"&amp;基本属性!M11&amp;"|"&amp;"3#12#"&amp;基本属性!M11</f>
        <v>3#1#239100|3#3#724|3#4#1087|3#5#724|3#6#1087|3#7#724|3#8#1087|3#9#358|3#10#358|3#11#358|3#12#358</v>
      </c>
      <c r="K40" s="154">
        <f t="shared" si="3"/>
        <v>20</v>
      </c>
      <c r="L40" s="154">
        <v>999</v>
      </c>
      <c r="M40" s="154">
        <v>1100</v>
      </c>
      <c r="N40" s="154">
        <v>1</v>
      </c>
      <c r="O40" s="154">
        <v>0</v>
      </c>
      <c r="P40" s="154">
        <v>800</v>
      </c>
      <c r="Q40" s="154"/>
      <c r="R40" s="153">
        <v>125</v>
      </c>
      <c r="S40" s="154"/>
      <c r="T40" s="154">
        <v>2</v>
      </c>
      <c r="U40" s="154">
        <v>5</v>
      </c>
    </row>
    <row r="41" spans="1:21" ht="15.75" x14ac:dyDescent="0.3">
      <c r="A41" s="154">
        <v>2</v>
      </c>
      <c r="B41" s="153" t="str">
        <f t="shared" si="5"/>
        <v>2转精英</v>
      </c>
      <c r="C41" s="153">
        <v>81</v>
      </c>
      <c r="D41" s="153">
        <v>19</v>
      </c>
      <c r="E41" s="153">
        <v>112</v>
      </c>
      <c r="F41" s="153">
        <f t="shared" si="2"/>
        <v>100</v>
      </c>
      <c r="G41" s="153">
        <v>1</v>
      </c>
      <c r="H41" s="153">
        <v>1</v>
      </c>
      <c r="I41" s="153">
        <f>INT(怪物掉落配置方案!D1793/10)*10</f>
        <v>173350</v>
      </c>
      <c r="J41" s="154" t="str">
        <f>"3#1#"&amp;基本属性!BF12&amp;"|"&amp;"3#3#"&amp;INT(0.8*基本属性!L12)&amp;"|"&amp;"3#4#"&amp;INT(1.2*基本属性!L12)&amp;"|"&amp;"3#5#"&amp;INT(0.8*基本属性!L12)&amp;"|"&amp;"3#6#"&amp;INT(1.2*基本属性!L12)&amp;"|"&amp;"3#7#"&amp;INT(0.8*基本属性!L12)&amp;"|"&amp;"3#8#"&amp;INT(1.2*基本属性!L12)&amp;"|"&amp;"3#9#"&amp;基本属性!M12&amp;"|"&amp;"3#10#"&amp;基本属性!M12&amp;"|"&amp;"3#11#"&amp;基本属性!M12&amp;"|"&amp;"3#12#"&amp;基本属性!M12</f>
        <v>3#1#335600|3#3#957|3#4#1436|3#5#957|3#6#1436|3#7#957|3#8#1436|3#9#455|3#10#455|3#11#455|3#12#455</v>
      </c>
      <c r="K41" s="154">
        <f t="shared" si="3"/>
        <v>23</v>
      </c>
      <c r="L41" s="154">
        <v>999</v>
      </c>
      <c r="M41" s="154">
        <v>1100</v>
      </c>
      <c r="N41" s="154">
        <v>1</v>
      </c>
      <c r="O41" s="154">
        <v>0</v>
      </c>
      <c r="P41" s="154">
        <v>800</v>
      </c>
      <c r="Q41" s="154"/>
      <c r="R41" s="153">
        <v>125</v>
      </c>
      <c r="S41" s="154"/>
      <c r="T41" s="154">
        <v>2</v>
      </c>
      <c r="U41" s="154">
        <v>5</v>
      </c>
    </row>
    <row r="42" spans="1:21" ht="15.75" x14ac:dyDescent="0.3">
      <c r="A42" s="154">
        <v>3</v>
      </c>
      <c r="B42" s="153" t="str">
        <f t="shared" si="5"/>
        <v>3转精英</v>
      </c>
      <c r="C42" s="153">
        <v>81</v>
      </c>
      <c r="D42" s="153">
        <v>19</v>
      </c>
      <c r="E42" s="153">
        <v>112</v>
      </c>
      <c r="F42" s="153">
        <f t="shared" si="2"/>
        <v>110</v>
      </c>
      <c r="G42" s="153">
        <v>1</v>
      </c>
      <c r="H42" s="153">
        <v>1</v>
      </c>
      <c r="I42" s="153">
        <f>INT(怪物掉落配置方案!D1794/10)*10</f>
        <v>203970</v>
      </c>
      <c r="J42" s="154" t="str">
        <f>"3#1#"&amp;基本属性!BF13&amp;"|"&amp;"3#3#"&amp;INT(0.8*基本属性!L13)&amp;"|"&amp;"3#4#"&amp;INT(1.2*基本属性!L13)&amp;"|"&amp;"3#5#"&amp;INT(0.8*基本属性!L13)&amp;"|"&amp;"3#6#"&amp;INT(1.2*基本属性!L13)&amp;"|"&amp;"3#7#"&amp;INT(0.8*基本属性!L13)&amp;"|"&amp;"3#8#"&amp;INT(1.2*基本属性!L13)&amp;"|"&amp;"3#9#"&amp;基本属性!M13&amp;"|"&amp;"3#10#"&amp;基本属性!M13&amp;"|"&amp;"3#11#"&amp;基本属性!M13&amp;"|"&amp;"3#12#"&amp;基本属性!M13</f>
        <v>3#1#475200|3#3#1279|3#4#1918|3#5#1279|3#6#1918|3#7#1279|3#8#1918|3#9#585|3#10#585|3#11#585|3#12#585</v>
      </c>
      <c r="K42" s="154">
        <f t="shared" si="3"/>
        <v>26</v>
      </c>
      <c r="L42" s="154">
        <v>999</v>
      </c>
      <c r="M42" s="154">
        <v>1100</v>
      </c>
      <c r="N42" s="154">
        <v>1</v>
      </c>
      <c r="O42" s="154">
        <v>0</v>
      </c>
      <c r="P42" s="154">
        <v>800</v>
      </c>
      <c r="Q42" s="154"/>
      <c r="R42" s="153">
        <v>125</v>
      </c>
      <c r="S42" s="154"/>
      <c r="T42" s="154">
        <v>2</v>
      </c>
      <c r="U42" s="154">
        <v>5</v>
      </c>
    </row>
    <row r="43" spans="1:21" ht="15.75" x14ac:dyDescent="0.3">
      <c r="A43" s="154">
        <v>4</v>
      </c>
      <c r="B43" s="153" t="str">
        <f t="shared" si="5"/>
        <v>4转精英</v>
      </c>
      <c r="C43" s="153">
        <v>81</v>
      </c>
      <c r="D43" s="153">
        <v>19</v>
      </c>
      <c r="E43" s="153">
        <v>112</v>
      </c>
      <c r="F43" s="153">
        <f t="shared" si="2"/>
        <v>115</v>
      </c>
      <c r="G43" s="153">
        <v>1</v>
      </c>
      <c r="H43" s="153">
        <v>1</v>
      </c>
      <c r="I43" s="153">
        <f>INT(怪物掉落配置方案!D1795/10)*10</f>
        <v>315000</v>
      </c>
      <c r="J43" s="154" t="str">
        <f>"3#1#"&amp;基本属性!BF14&amp;"|"&amp;"3#3#"&amp;INT(0.8*基本属性!L14)&amp;"|"&amp;"3#4#"&amp;INT(1.2*基本属性!L14)&amp;"|"&amp;"3#5#"&amp;INT(0.8*基本属性!L14)&amp;"|"&amp;"3#6#"&amp;INT(1.2*基本属性!L14)&amp;"|"&amp;"3#7#"&amp;INT(0.8*基本属性!L14)&amp;"|"&amp;"3#8#"&amp;INT(1.2*基本属性!L14)&amp;"|"&amp;"3#9#"&amp;基本属性!M14&amp;"|"&amp;"3#10#"&amp;基本属性!M14&amp;"|"&amp;"3#11#"&amp;基本属性!M14&amp;"|"&amp;"3#12#"&amp;基本属性!M14</f>
        <v>3#1#692400|3#3#1628|3#4#2442|3#5#1628|3#6#2442|3#7#1628|3#8#2442|3#9#715|3#10#715|3#11#715|3#12#715</v>
      </c>
      <c r="K43" s="154">
        <f t="shared" si="3"/>
        <v>29</v>
      </c>
      <c r="L43" s="154">
        <v>999</v>
      </c>
      <c r="M43" s="154">
        <v>1100</v>
      </c>
      <c r="N43" s="154">
        <v>1</v>
      </c>
      <c r="O43" s="154">
        <v>0</v>
      </c>
      <c r="P43" s="154">
        <v>800</v>
      </c>
      <c r="Q43" s="154"/>
      <c r="R43" s="153">
        <v>125</v>
      </c>
      <c r="S43" s="154"/>
      <c r="T43" s="154">
        <v>2</v>
      </c>
      <c r="U43" s="154">
        <v>5</v>
      </c>
    </row>
    <row r="44" spans="1:21" ht="15.75" x14ac:dyDescent="0.3">
      <c r="A44" s="154">
        <v>5</v>
      </c>
      <c r="B44" s="153" t="str">
        <f t="shared" si="5"/>
        <v>5转精英</v>
      </c>
      <c r="C44" s="153">
        <v>81</v>
      </c>
      <c r="D44" s="153">
        <v>19</v>
      </c>
      <c r="E44" s="153">
        <v>112</v>
      </c>
      <c r="F44" s="153">
        <f t="shared" si="2"/>
        <v>120</v>
      </c>
      <c r="G44" s="153">
        <v>1</v>
      </c>
      <c r="H44" s="153">
        <v>1</v>
      </c>
      <c r="I44" s="153">
        <f>INT(怪物掉落配置方案!D1796/10)*10</f>
        <v>325560</v>
      </c>
      <c r="J44" s="154" t="str">
        <f>"3#1#"&amp;基本属性!BF15&amp;"|"&amp;"3#3#"&amp;INT(0.8*基本属性!L15)&amp;"|"&amp;"3#4#"&amp;INT(1.2*基本属性!L15)&amp;"|"&amp;"3#5#"&amp;INT(0.8*基本属性!L15)&amp;"|"&amp;"3#6#"&amp;INT(1.2*基本属性!L15)&amp;"|"&amp;"3#7#"&amp;INT(0.8*基本属性!L15)&amp;"|"&amp;"3#8#"&amp;INT(1.2*基本属性!L15)&amp;"|"&amp;"3#9#"&amp;基本属性!M15&amp;"|"&amp;"3#10#"&amp;基本属性!M15&amp;"|"&amp;"3#11#"&amp;基本属性!M15&amp;"|"&amp;"3#12#"&amp;基本属性!M15</f>
        <v>3#1#882400|3#3#1969|3#4#2954|3#5#1969|3#6#2954|3#7#1969|3#8#2954|3#9#829|3#10#829|3#11#829|3#12#829</v>
      </c>
      <c r="K44" s="154">
        <f t="shared" si="3"/>
        <v>32</v>
      </c>
      <c r="L44" s="154">
        <v>999</v>
      </c>
      <c r="M44" s="154">
        <v>1100</v>
      </c>
      <c r="N44" s="154">
        <v>1</v>
      </c>
      <c r="O44" s="154">
        <v>0</v>
      </c>
      <c r="P44" s="154">
        <v>800</v>
      </c>
      <c r="Q44" s="154"/>
      <c r="R44" s="153">
        <v>125</v>
      </c>
      <c r="S44" s="154"/>
      <c r="T44" s="154">
        <v>2</v>
      </c>
      <c r="U44" s="154">
        <v>5</v>
      </c>
    </row>
    <row r="45" spans="1:21" ht="15.75" x14ac:dyDescent="0.3">
      <c r="A45" s="154">
        <v>6</v>
      </c>
      <c r="B45" s="153" t="str">
        <f t="shared" si="5"/>
        <v>6转精英</v>
      </c>
      <c r="C45" s="153">
        <v>81</v>
      </c>
      <c r="D45" s="153">
        <v>19</v>
      </c>
      <c r="E45" s="153">
        <v>112</v>
      </c>
      <c r="F45" s="153">
        <f t="shared" si="2"/>
        <v>130</v>
      </c>
      <c r="G45" s="153">
        <v>1</v>
      </c>
      <c r="H45" s="153">
        <v>1</v>
      </c>
      <c r="I45" s="153">
        <f>INT(怪物掉落配置方案!D1797/10)*10</f>
        <v>1298140</v>
      </c>
      <c r="J45" s="154" t="str">
        <f>"3#1#"&amp;基本属性!BF16&amp;"|"&amp;"3#3#"&amp;INT(0.8*基本属性!L16)&amp;"|"&amp;"3#4#"&amp;INT(1.2*基本属性!L16)&amp;"|"&amp;"3#5#"&amp;INT(0.8*基本属性!L16)&amp;"|"&amp;"3#6#"&amp;INT(1.2*基本属性!L16)&amp;"|"&amp;"3#7#"&amp;INT(0.8*基本属性!L16)&amp;"|"&amp;"3#8#"&amp;INT(1.2*基本属性!L16)&amp;"|"&amp;"3#9#"&amp;基本属性!M16&amp;"|"&amp;"3#10#"&amp;基本属性!M16&amp;"|"&amp;"3#11#"&amp;基本属性!M16&amp;"|"&amp;"3#12#"&amp;基本属性!M16</f>
        <v>3#1#1102500|3#3#2341|3#4#3512|3#5#2341|3#6#3512|3#7#2341|3#8#3512|3#9#943|3#10#943|3#11#943|3#12#943</v>
      </c>
      <c r="K45" s="154">
        <f t="shared" si="3"/>
        <v>36</v>
      </c>
      <c r="L45" s="154">
        <v>999</v>
      </c>
      <c r="M45" s="154">
        <v>1100</v>
      </c>
      <c r="N45" s="154">
        <v>1</v>
      </c>
      <c r="O45" s="154">
        <v>0</v>
      </c>
      <c r="P45" s="154">
        <v>800</v>
      </c>
      <c r="Q45" s="154"/>
      <c r="R45" s="153">
        <v>125</v>
      </c>
      <c r="S45" s="154"/>
      <c r="T45" s="154">
        <v>2</v>
      </c>
      <c r="U45" s="154">
        <v>5</v>
      </c>
    </row>
    <row r="46" spans="1:21" ht="15.75" x14ac:dyDescent="0.3">
      <c r="A46" s="154">
        <v>7</v>
      </c>
      <c r="B46" s="153" t="str">
        <f t="shared" si="5"/>
        <v>7转精英</v>
      </c>
      <c r="C46" s="153">
        <v>81</v>
      </c>
      <c r="D46" s="153">
        <v>19</v>
      </c>
      <c r="E46" s="153">
        <v>112</v>
      </c>
      <c r="F46" s="153">
        <f t="shared" si="2"/>
        <v>145</v>
      </c>
      <c r="G46" s="153">
        <v>1</v>
      </c>
      <c r="H46" s="153">
        <v>1</v>
      </c>
      <c r="I46" s="153">
        <f>INT(怪物掉落配置方案!D1798/10)*10</f>
        <v>4444170</v>
      </c>
      <c r="J46" s="154" t="str">
        <f>"3#1#"&amp;基本属性!BF17&amp;"|"&amp;"3#3#"&amp;INT(0.8*基本属性!L17)&amp;"|"&amp;"3#4#"&amp;INT(1.2*基本属性!L17)&amp;"|"&amp;"3#5#"&amp;INT(0.8*基本属性!L17)&amp;"|"&amp;"3#6#"&amp;INT(1.2*基本属性!L17)&amp;"|"&amp;"3#7#"&amp;INT(0.8*基本属性!L17)&amp;"|"&amp;"3#8#"&amp;INT(1.2*基本属性!L17)&amp;"|"&amp;"3#9#"&amp;基本属性!M17&amp;"|"&amp;"3#10#"&amp;基本属性!M17&amp;"|"&amp;"3#11#"&amp;基本属性!M17&amp;"|"&amp;"3#12#"&amp;基本属性!M17</f>
        <v>3#1#1336200|3#3#2707|3#4#4060|3#5#2707|3#6#4060|3#7#2707|3#8#4060|3#9#1040|3#10#1040|3#11#1040|3#12#1040</v>
      </c>
      <c r="K46" s="154">
        <f t="shared" si="3"/>
        <v>39</v>
      </c>
      <c r="L46" s="154">
        <v>999</v>
      </c>
      <c r="M46" s="154">
        <v>1100</v>
      </c>
      <c r="N46" s="154">
        <v>1</v>
      </c>
      <c r="O46" s="154">
        <v>0</v>
      </c>
      <c r="P46" s="154">
        <v>800</v>
      </c>
      <c r="Q46" s="154"/>
      <c r="R46" s="153">
        <v>125</v>
      </c>
      <c r="S46" s="154"/>
      <c r="T46" s="154">
        <v>2</v>
      </c>
      <c r="U46" s="154">
        <v>5</v>
      </c>
    </row>
    <row r="47" spans="1:21" ht="15.75" x14ac:dyDescent="0.3">
      <c r="A47" s="154">
        <v>8</v>
      </c>
      <c r="B47" s="153" t="str">
        <f t="shared" si="5"/>
        <v>8转精英</v>
      </c>
      <c r="C47" s="153">
        <v>81</v>
      </c>
      <c r="D47" s="153">
        <v>19</v>
      </c>
      <c r="E47" s="153">
        <v>112</v>
      </c>
      <c r="F47" s="153">
        <f t="shared" si="2"/>
        <v>165</v>
      </c>
      <c r="G47" s="153">
        <v>1</v>
      </c>
      <c r="H47" s="153">
        <v>1</v>
      </c>
      <c r="I47" s="153">
        <f>INT(怪物掉落配置方案!D1799/10)*10</f>
        <v>53683890</v>
      </c>
      <c r="J47" s="154" t="str">
        <f>"3#1#"&amp;基本属性!BF18&amp;"|"&amp;"3#3#"&amp;INT(0.8*基本属性!L18)&amp;"|"&amp;"3#4#"&amp;INT(1.2*基本属性!L18)&amp;"|"&amp;"3#5#"&amp;INT(0.8*基本属性!L18)&amp;"|"&amp;"3#6#"&amp;INT(1.2*基本属性!L18)&amp;"|"&amp;"3#7#"&amp;INT(0.8*基本属性!L18)&amp;"|"&amp;"3#8#"&amp;INT(1.2*基本属性!L18)&amp;"|"&amp;"3#9#"&amp;基本属性!M18&amp;"|"&amp;"3#10#"&amp;基本属性!M18&amp;"|"&amp;"3#11#"&amp;基本属性!M18&amp;"|"&amp;"3#12#"&amp;基本属性!M18</f>
        <v>3#1#1726800|3#3#3109|3#4#4664|3#5#3109|3#6#4664|3#7#3109|3#8#4664|3#9#1138|3#10#1138|3#11#1138|3#12#1138</v>
      </c>
      <c r="K47" s="154">
        <f t="shared" si="3"/>
        <v>43</v>
      </c>
      <c r="L47" s="154">
        <v>999</v>
      </c>
      <c r="M47" s="154">
        <v>1100</v>
      </c>
      <c r="N47" s="154">
        <v>1</v>
      </c>
      <c r="O47" s="154">
        <v>0</v>
      </c>
      <c r="P47" s="154">
        <v>800</v>
      </c>
      <c r="Q47" s="154"/>
      <c r="R47" s="153">
        <v>125</v>
      </c>
      <c r="S47" s="154"/>
      <c r="T47" s="154">
        <v>2</v>
      </c>
      <c r="U47" s="154">
        <v>5</v>
      </c>
    </row>
    <row r="48" spans="1:21" ht="15.75" x14ac:dyDescent="0.3">
      <c r="A48" s="154">
        <v>9</v>
      </c>
      <c r="B48" s="153" t="str">
        <f t="shared" si="5"/>
        <v>9转精英</v>
      </c>
      <c r="C48" s="153">
        <v>81</v>
      </c>
      <c r="D48" s="153">
        <v>19</v>
      </c>
      <c r="E48" s="153">
        <v>112</v>
      </c>
      <c r="F48" s="153">
        <f t="shared" si="2"/>
        <v>200</v>
      </c>
      <c r="G48" s="153">
        <v>1</v>
      </c>
      <c r="H48" s="153">
        <v>1</v>
      </c>
      <c r="I48" s="153">
        <f>INT(怪物掉落配置方案!D1800/10)*10</f>
        <v>48814670</v>
      </c>
      <c r="J48" s="154" t="str">
        <f>"3#1#"&amp;基本属性!BF19&amp;"|"&amp;"3#3#"&amp;INT(0.8*基本属性!L19)&amp;"|"&amp;"3#4#"&amp;INT(1.2*基本属性!L19)&amp;"|"&amp;"3#5#"&amp;INT(0.8*基本属性!L19)&amp;"|"&amp;"3#6#"&amp;INT(1.2*基本属性!L19)&amp;"|"&amp;"3#7#"&amp;INT(0.8*基本属性!L19)&amp;"|"&amp;"3#8#"&amp;INT(1.2*基本属性!L19)&amp;"|"&amp;"3#9#"&amp;基本属性!M19&amp;"|"&amp;"3#10#"&amp;基本属性!M19&amp;"|"&amp;"3#11#"&amp;基本属性!M19&amp;"|"&amp;"3#12#"&amp;基本属性!M19</f>
        <v>3#1#2029000|3#3#3508|3#4#5262|3#5#3508|3#6#5262|3#7#3508|3#8#5262|3#9#1219|3#10#1219|3#11#1219|3#12#1219</v>
      </c>
      <c r="K48" s="154">
        <f t="shared" si="3"/>
        <v>46</v>
      </c>
      <c r="L48" s="154">
        <v>999</v>
      </c>
      <c r="M48" s="154">
        <v>1100</v>
      </c>
      <c r="N48" s="154">
        <v>1</v>
      </c>
      <c r="O48" s="154">
        <v>0</v>
      </c>
      <c r="P48" s="154">
        <v>800</v>
      </c>
      <c r="Q48" s="154"/>
      <c r="R48" s="153">
        <v>125</v>
      </c>
      <c r="S48" s="154"/>
      <c r="T48" s="154">
        <v>2</v>
      </c>
      <c r="U48" s="154">
        <v>5</v>
      </c>
    </row>
    <row r="49" spans="1:21" ht="15.75" x14ac:dyDescent="0.3">
      <c r="A49" s="154">
        <v>10</v>
      </c>
      <c r="B49" s="153" t="str">
        <f t="shared" si="5"/>
        <v>10转精英</v>
      </c>
      <c r="C49" s="153">
        <v>81</v>
      </c>
      <c r="D49" s="153">
        <v>19</v>
      </c>
      <c r="E49" s="153">
        <v>112</v>
      </c>
      <c r="F49" s="153">
        <f t="shared" si="2"/>
        <v>210</v>
      </c>
      <c r="G49" s="153">
        <v>1</v>
      </c>
      <c r="H49" s="153">
        <v>1</v>
      </c>
      <c r="I49" s="153">
        <f>INT(怪物掉落配置方案!D1801/10)*10</f>
        <v>58333330</v>
      </c>
      <c r="J49" s="154" t="str">
        <f>"3#1#"&amp;基本属性!BF20&amp;"|"&amp;"3#3#"&amp;INT(0.8*基本属性!L20)&amp;"|"&amp;"3#4#"&amp;INT(1.2*基本属性!L20)&amp;"|"&amp;"3#5#"&amp;INT(0.8*基本属性!L20)&amp;"|"&amp;"3#6#"&amp;INT(1.2*基本属性!L20)&amp;"|"&amp;"3#7#"&amp;INT(0.8*基本属性!L20)&amp;"|"&amp;"3#8#"&amp;INT(1.2*基本属性!L20)&amp;"|"&amp;"3#9#"&amp;基本属性!M20&amp;"|"&amp;"3#10#"&amp;基本属性!M20&amp;"|"&amp;"3#11#"&amp;基本属性!M20&amp;"|"&amp;"3#12#"&amp;基本属性!M20</f>
        <v>3#1#2372000|3#3#3949|3#4#5924|3#5#3949|3#6#5924|3#7#3949|3#8#5924|3#9#1300|3#10#1300|3#11#1300|3#12#1300</v>
      </c>
      <c r="K49" s="154">
        <f t="shared" si="3"/>
        <v>50</v>
      </c>
      <c r="L49" s="154">
        <v>999</v>
      </c>
      <c r="M49" s="154">
        <v>1100</v>
      </c>
      <c r="N49" s="154">
        <v>1</v>
      </c>
      <c r="O49" s="154">
        <v>0</v>
      </c>
      <c r="P49" s="154">
        <v>800</v>
      </c>
      <c r="Q49" s="154"/>
      <c r="R49" s="153">
        <v>125</v>
      </c>
      <c r="S49" s="154"/>
      <c r="T49" s="154">
        <v>2</v>
      </c>
      <c r="U49" s="154">
        <v>5</v>
      </c>
    </row>
    <row r="50" spans="1:21" ht="15.75" x14ac:dyDescent="0.3">
      <c r="A50" s="154">
        <v>11</v>
      </c>
      <c r="B50" s="153" t="str">
        <f t="shared" si="5"/>
        <v>11转精英</v>
      </c>
      <c r="C50" s="153">
        <v>81</v>
      </c>
      <c r="D50" s="153">
        <v>19</v>
      </c>
      <c r="E50" s="153">
        <v>112</v>
      </c>
      <c r="F50" s="153">
        <f t="shared" si="2"/>
        <v>210</v>
      </c>
      <c r="G50" s="153">
        <v>1</v>
      </c>
      <c r="H50" s="153">
        <v>1</v>
      </c>
      <c r="I50" s="153">
        <f>INT(怪物掉落配置方案!D1802/10)*10</f>
        <v>11666670</v>
      </c>
      <c r="J50" s="154" t="str">
        <f>"3#1#"&amp;基本属性!BF21&amp;"|"&amp;"3#3#"&amp;INT(0.8*基本属性!L21)&amp;"|"&amp;"3#4#"&amp;INT(1.2*基本属性!L21)&amp;"|"&amp;"3#5#"&amp;INT(0.8*基本属性!L21)&amp;"|"&amp;"3#6#"&amp;INT(1.2*基本属性!L21)&amp;"|"&amp;"3#7#"&amp;INT(0.8*基本属性!L21)&amp;"|"&amp;"3#8#"&amp;INT(1.2*基本属性!L21)&amp;"|"&amp;"3#9#"&amp;基本属性!M21&amp;"|"&amp;"3#10#"&amp;基本属性!M21&amp;"|"&amp;"3#11#"&amp;基本属性!M21&amp;"|"&amp;"3#12#"&amp;基本属性!M21</f>
        <v>3#1#2857600|3#3#4598|3#4#6897|3#5#4598|3#6#6897|3#7#4598|3#8#6897|3#9#1430|3#10#1430|3#11#1430|3#12#1430</v>
      </c>
      <c r="K50" s="154">
        <f t="shared" si="3"/>
        <v>54</v>
      </c>
      <c r="L50" s="154">
        <v>999</v>
      </c>
      <c r="M50" s="154">
        <v>1100</v>
      </c>
      <c r="N50" s="154">
        <v>1</v>
      </c>
      <c r="O50" s="154">
        <v>0</v>
      </c>
      <c r="P50" s="154">
        <v>800</v>
      </c>
      <c r="Q50" s="154"/>
      <c r="R50" s="153">
        <v>125</v>
      </c>
      <c r="S50" s="154"/>
      <c r="T50" s="154">
        <v>2</v>
      </c>
      <c r="U50" s="154">
        <v>5</v>
      </c>
    </row>
    <row r="51" spans="1:21" ht="15.75" x14ac:dyDescent="0.3">
      <c r="A51" s="154">
        <v>12</v>
      </c>
      <c r="B51" s="153" t="str">
        <f t="shared" si="5"/>
        <v>12转精英</v>
      </c>
      <c r="C51" s="153">
        <v>81</v>
      </c>
      <c r="D51" s="153">
        <v>19</v>
      </c>
      <c r="E51" s="153">
        <v>112</v>
      </c>
      <c r="F51" s="153">
        <f t="shared" si="2"/>
        <v>220</v>
      </c>
      <c r="G51" s="153">
        <v>1</v>
      </c>
      <c r="H51" s="153">
        <v>1</v>
      </c>
      <c r="I51" s="153">
        <f>INT(怪物掉落配置方案!D1803/10)*10</f>
        <v>11666670</v>
      </c>
      <c r="J51" s="154" t="str">
        <f>"3#1#"&amp;基本属性!BF22&amp;"|"&amp;"3#3#"&amp;INT(0.8*基本属性!L22)&amp;"|"&amp;"3#4#"&amp;INT(1.2*基本属性!L22)&amp;"|"&amp;"3#5#"&amp;INT(0.8*基本属性!L22)&amp;"|"&amp;"3#6#"&amp;INT(1.2*基本属性!L22)&amp;"|"&amp;"3#7#"&amp;INT(0.8*基本属性!L22)&amp;"|"&amp;"3#8#"&amp;INT(1.2*基本属性!L22)&amp;"|"&amp;"3#9#"&amp;基本属性!M22&amp;"|"&amp;"3#10#"&amp;基本属性!M22&amp;"|"&amp;"3#11#"&amp;基本属性!M22&amp;"|"&amp;"3#12#"&amp;基本属性!M22</f>
        <v>3#1#3655500|3#3#5325|3#4#7988|3#5#5325|3#6#7988|3#7#5325|3#8#7988|3#9#1560|3#10#1560|3#11#1560|3#12#1560</v>
      </c>
      <c r="K51" s="154">
        <f t="shared" si="3"/>
        <v>58</v>
      </c>
      <c r="L51" s="154">
        <v>999</v>
      </c>
      <c r="M51" s="154">
        <v>1100</v>
      </c>
      <c r="N51" s="154">
        <v>1</v>
      </c>
      <c r="O51" s="154">
        <v>0</v>
      </c>
      <c r="P51" s="154">
        <v>800</v>
      </c>
      <c r="Q51" s="154"/>
      <c r="R51" s="153">
        <v>125</v>
      </c>
      <c r="S51" s="154"/>
      <c r="T51" s="154">
        <v>2</v>
      </c>
      <c r="U51" s="154">
        <v>5</v>
      </c>
    </row>
    <row r="52" spans="1:21" ht="15.75" x14ac:dyDescent="0.3">
      <c r="A52" s="154">
        <v>13</v>
      </c>
      <c r="B52" s="153" t="str">
        <f t="shared" si="5"/>
        <v>13转精英</v>
      </c>
      <c r="C52" s="153">
        <v>81</v>
      </c>
      <c r="D52" s="153">
        <v>19</v>
      </c>
      <c r="E52" s="153">
        <v>112</v>
      </c>
      <c r="F52" s="153">
        <f t="shared" si="2"/>
        <v>220</v>
      </c>
      <c r="G52" s="153">
        <v>1</v>
      </c>
      <c r="H52" s="153">
        <v>1</v>
      </c>
      <c r="I52" s="153">
        <f>INT(怪物掉落配置方案!D1804/10)*10</f>
        <v>11666670</v>
      </c>
      <c r="J52" s="154" t="str">
        <f>"3#1#"&amp;基本属性!BF23&amp;"|"&amp;"3#3#"&amp;INT(0.8*基本属性!L23)&amp;"|"&amp;"3#4#"&amp;INT(1.2*基本属性!L23)&amp;"|"&amp;"3#5#"&amp;INT(0.8*基本属性!L23)&amp;"|"&amp;"3#6#"&amp;INT(1.2*基本属性!L23)&amp;"|"&amp;"3#7#"&amp;INT(0.8*基本属性!L23)&amp;"|"&amp;"3#8#"&amp;INT(1.2*基本属性!L23)&amp;"|"&amp;"3#9#"&amp;基本属性!M23&amp;"|"&amp;"3#10#"&amp;基本属性!M23&amp;"|"&amp;"3#11#"&amp;基本属性!M23&amp;"|"&amp;"3#12#"&amp;基本属性!M23</f>
        <v>3#1#4414200|3#3#6262|3#4#9393|3#5#6262|3#6#9393|3#7#6262|3#8#9393|3#9#1723|3#10#1723|3#11#1723|3#12#1723</v>
      </c>
      <c r="K52" s="154">
        <f t="shared" si="3"/>
        <v>62</v>
      </c>
      <c r="L52" s="154">
        <v>999</v>
      </c>
      <c r="M52" s="154">
        <v>1100</v>
      </c>
      <c r="N52" s="154">
        <v>1</v>
      </c>
      <c r="O52" s="154">
        <v>0</v>
      </c>
      <c r="P52" s="154">
        <v>800</v>
      </c>
      <c r="Q52" s="154"/>
      <c r="R52" s="153">
        <v>125</v>
      </c>
      <c r="S52" s="154"/>
      <c r="T52" s="154">
        <v>2</v>
      </c>
      <c r="U52" s="154">
        <v>5</v>
      </c>
    </row>
    <row r="53" spans="1:21" ht="15.75" x14ac:dyDescent="0.3">
      <c r="A53" s="154">
        <v>14</v>
      </c>
      <c r="B53" s="153" t="str">
        <f t="shared" si="5"/>
        <v>14转精英</v>
      </c>
      <c r="C53" s="153">
        <v>81</v>
      </c>
      <c r="D53" s="153">
        <v>19</v>
      </c>
      <c r="E53" s="153">
        <v>112</v>
      </c>
      <c r="F53" s="153">
        <f t="shared" si="2"/>
        <v>230</v>
      </c>
      <c r="G53" s="153">
        <v>1</v>
      </c>
      <c r="H53" s="153">
        <v>1</v>
      </c>
      <c r="I53" s="153">
        <f>INT(怪物掉落配置方案!D1805/10)*10</f>
        <v>11666670</v>
      </c>
      <c r="J53" s="154" t="str">
        <f>"3#1#"&amp;基本属性!BF24&amp;"|"&amp;"3#3#"&amp;INT(0.8*基本属性!L24)&amp;"|"&amp;"3#4#"&amp;INT(1.2*基本属性!L24)&amp;"|"&amp;"3#5#"&amp;INT(0.8*基本属性!L24)&amp;"|"&amp;"3#6#"&amp;INT(1.2*基本属性!L24)&amp;"|"&amp;"3#7#"&amp;INT(0.8*基本属性!L24)&amp;"|"&amp;"3#8#"&amp;INT(1.2*基本属性!L24)&amp;"|"&amp;"3#9#"&amp;基本属性!M24&amp;"|"&amp;"3#10#"&amp;基本属性!M24&amp;"|"&amp;"3#11#"&amp;基本属性!M24&amp;"|"&amp;"3#12#"&amp;基本属性!M24</f>
        <v>3#1#5281100|3#3#7324|3#4#10987|3#5#7324|3#6#10987|3#7#7324|3#8#10987|3#9#1885|3#10#1885|3#11#1885|3#12#1885</v>
      </c>
      <c r="K53" s="154">
        <f t="shared" si="3"/>
        <v>66</v>
      </c>
      <c r="L53" s="154">
        <v>999</v>
      </c>
      <c r="M53" s="154">
        <v>1100</v>
      </c>
      <c r="N53" s="154">
        <v>1</v>
      </c>
      <c r="O53" s="154">
        <v>0</v>
      </c>
      <c r="P53" s="154">
        <v>800</v>
      </c>
      <c r="Q53" s="154"/>
      <c r="R53" s="153">
        <v>125</v>
      </c>
      <c r="S53" s="154"/>
      <c r="T53" s="154">
        <v>2</v>
      </c>
      <c r="U53" s="154">
        <v>5</v>
      </c>
    </row>
    <row r="54" spans="1:21" ht="15.75" x14ac:dyDescent="0.3">
      <c r="A54" s="154">
        <v>15</v>
      </c>
      <c r="B54" s="153" t="str">
        <f t="shared" si="5"/>
        <v>15转精英</v>
      </c>
      <c r="C54" s="153">
        <v>81</v>
      </c>
      <c r="D54" s="153">
        <v>19</v>
      </c>
      <c r="E54" s="153">
        <v>112</v>
      </c>
      <c r="F54" s="153">
        <f t="shared" si="2"/>
        <v>230</v>
      </c>
      <c r="G54" s="153">
        <v>1</v>
      </c>
      <c r="H54" s="153">
        <v>1</v>
      </c>
      <c r="I54" s="153">
        <f>INT(怪物掉落配置方案!D1806/10)*10</f>
        <v>11666670</v>
      </c>
      <c r="J54" s="154" t="str">
        <f>"3#1#"&amp;基本属性!BF25&amp;"|"&amp;"3#3#"&amp;INT(0.8*基本属性!L25)&amp;"|"&amp;"3#4#"&amp;INT(1.2*基本属性!L25)&amp;"|"&amp;"3#5#"&amp;INT(0.8*基本属性!L25)&amp;"|"&amp;"3#6#"&amp;INT(1.2*基本属性!L25)&amp;"|"&amp;"3#7#"&amp;INT(0.8*基本属性!L25)&amp;"|"&amp;"3#8#"&amp;INT(1.2*基本属性!L25)&amp;"|"&amp;"3#9#"&amp;基本属性!M25&amp;"|"&amp;"3#10#"&amp;基本属性!M25&amp;"|"&amp;"3#11#"&amp;基本属性!M25&amp;"|"&amp;"3#12#"&amp;基本属性!M25</f>
        <v>3#1#6366100|3#3#8671|3#4#13006|3#5#8671|3#6#13006|3#7#8671|3#8#13006|3#9#2080|3#10#2080|3#11#2080|3#12#2080</v>
      </c>
      <c r="K54" s="154">
        <f t="shared" si="3"/>
        <v>70</v>
      </c>
      <c r="L54" s="154">
        <v>999</v>
      </c>
      <c r="M54" s="154">
        <v>1100</v>
      </c>
      <c r="N54" s="154">
        <v>1</v>
      </c>
      <c r="O54" s="154">
        <v>0</v>
      </c>
      <c r="P54" s="154">
        <v>800</v>
      </c>
      <c r="Q54" s="154"/>
      <c r="R54" s="153">
        <v>125</v>
      </c>
      <c r="S54" s="154"/>
      <c r="T54" s="154">
        <v>2</v>
      </c>
      <c r="U54" s="154">
        <v>5</v>
      </c>
    </row>
    <row r="55" spans="1:21" ht="15.75" x14ac:dyDescent="0.3">
      <c r="A55" s="154">
        <v>16</v>
      </c>
      <c r="B55" s="153" t="str">
        <f t="shared" si="5"/>
        <v>16转精英</v>
      </c>
      <c r="C55" s="153">
        <v>81</v>
      </c>
      <c r="D55" s="153">
        <v>19</v>
      </c>
      <c r="E55" s="153">
        <v>112</v>
      </c>
      <c r="F55" s="153">
        <f t="shared" si="2"/>
        <v>240</v>
      </c>
      <c r="G55" s="153">
        <v>1</v>
      </c>
      <c r="H55" s="153">
        <v>1</v>
      </c>
      <c r="I55" s="153">
        <f>INT(怪物掉落配置方案!D1807/10)*10</f>
        <v>5833330</v>
      </c>
      <c r="J55" s="154" t="str">
        <f>"3#1#"&amp;基本属性!BF26&amp;"|"&amp;"3#3#"&amp;INT(0.8*基本属性!L26)&amp;"|"&amp;"3#4#"&amp;INT(1.2*基本属性!L26)&amp;"|"&amp;"3#5#"&amp;INT(0.8*基本属性!L26)&amp;"|"&amp;"3#6#"&amp;INT(1.2*基本属性!L26)&amp;"|"&amp;"3#7#"&amp;INT(0.8*基本属性!L26)&amp;"|"&amp;"3#8#"&amp;INT(1.2*基本属性!L26)&amp;"|"&amp;"3#9#"&amp;基本属性!M26&amp;"|"&amp;"3#10#"&amp;基本属性!M26&amp;"|"&amp;"3#11#"&amp;基本属性!M26&amp;"|"&amp;"3#12#"&amp;基本属性!M26</f>
        <v>3#1#8108600|3#3#10216|3#4#15325|3#5#10216|3#6#15325|3#7#10216|3#8#15325|3#9#2275|3#10#2275|3#11#2275|3#12#2275</v>
      </c>
      <c r="K55" s="154">
        <f t="shared" si="3"/>
        <v>75</v>
      </c>
      <c r="L55" s="154">
        <v>999</v>
      </c>
      <c r="M55" s="154">
        <v>1100</v>
      </c>
      <c r="N55" s="154">
        <v>1</v>
      </c>
      <c r="O55" s="154">
        <v>0</v>
      </c>
      <c r="P55" s="154">
        <v>800</v>
      </c>
      <c r="Q55" s="154"/>
      <c r="R55" s="153">
        <v>125</v>
      </c>
      <c r="S55" s="154"/>
      <c r="T55" s="154">
        <v>2</v>
      </c>
      <c r="U55" s="154">
        <v>5</v>
      </c>
    </row>
    <row r="56" spans="1:21" ht="15.75" x14ac:dyDescent="0.3">
      <c r="A56" s="154">
        <v>17</v>
      </c>
      <c r="B56" s="153" t="str">
        <f t="shared" si="5"/>
        <v>17转精英</v>
      </c>
      <c r="C56" s="153">
        <v>81</v>
      </c>
      <c r="D56" s="153">
        <v>19</v>
      </c>
      <c r="E56" s="153">
        <v>112</v>
      </c>
      <c r="F56" s="153">
        <f t="shared" si="2"/>
        <v>240</v>
      </c>
      <c r="G56" s="153">
        <v>1</v>
      </c>
      <c r="H56" s="153">
        <v>1</v>
      </c>
      <c r="I56" s="153">
        <f>INT(怪物掉落配置方案!D1808/10)*10</f>
        <v>5833330</v>
      </c>
      <c r="J56" s="154" t="str">
        <f>"3#1#"&amp;基本属性!BF27&amp;"|"&amp;"3#3#"&amp;INT(0.8*基本属性!L27)&amp;"|"&amp;"3#4#"&amp;INT(1.2*基本属性!L27)&amp;"|"&amp;"3#5#"&amp;INT(0.8*基本属性!L27)&amp;"|"&amp;"3#6#"&amp;INT(1.2*基本属性!L27)&amp;"|"&amp;"3#7#"&amp;INT(0.8*基本属性!L27)&amp;"|"&amp;"3#8#"&amp;INT(1.2*基本属性!L27)&amp;"|"&amp;"3#9#"&amp;基本属性!M27&amp;"|"&amp;"3#10#"&amp;基本属性!M27&amp;"|"&amp;"3#11#"&amp;基本属性!M27&amp;"|"&amp;"3#12#"&amp;基本属性!M27</f>
        <v>3#1#9478300|3#3#11845|3#4#17768|3#5#11845|3#6#17768|3#7#11845|3#8#17768|3#9#2438|3#10#2438|3#11#2438|3#12#2438</v>
      </c>
      <c r="K56" s="154">
        <f t="shared" si="3"/>
        <v>79</v>
      </c>
      <c r="L56" s="154">
        <v>999</v>
      </c>
      <c r="M56" s="154">
        <v>1100</v>
      </c>
      <c r="N56" s="154">
        <v>1</v>
      </c>
      <c r="O56" s="154">
        <v>0</v>
      </c>
      <c r="P56" s="154">
        <v>800</v>
      </c>
      <c r="Q56" s="154"/>
      <c r="R56" s="153">
        <v>125</v>
      </c>
      <c r="S56" s="154"/>
      <c r="T56" s="154">
        <v>2</v>
      </c>
      <c r="U56" s="154">
        <v>5</v>
      </c>
    </row>
    <row r="57" spans="1:21" ht="15.75" x14ac:dyDescent="0.3">
      <c r="A57" s="154">
        <v>18</v>
      </c>
      <c r="B57" s="153" t="str">
        <f t="shared" si="5"/>
        <v>18转精英</v>
      </c>
      <c r="C57" s="153">
        <v>81</v>
      </c>
      <c r="D57" s="153">
        <v>19</v>
      </c>
      <c r="E57" s="153">
        <v>112</v>
      </c>
      <c r="F57" s="153">
        <f t="shared" si="2"/>
        <v>250</v>
      </c>
      <c r="G57" s="153">
        <v>1</v>
      </c>
      <c r="H57" s="153">
        <v>1</v>
      </c>
      <c r="I57" s="153">
        <f>INT(怪物掉落配置方案!D1809/10)*10</f>
        <v>5833330</v>
      </c>
      <c r="J57" s="154" t="str">
        <f>"3#1#"&amp;基本属性!BF28&amp;"|"&amp;"3#3#"&amp;INT(0.8*基本属性!L28)&amp;"|"&amp;"3#4#"&amp;INT(1.2*基本属性!L28)&amp;"|"&amp;"3#5#"&amp;INT(0.8*基本属性!L28)&amp;"|"&amp;"3#6#"&amp;INT(1.2*基本属性!L28)&amp;"|"&amp;"3#7#"&amp;INT(0.8*基本属性!L28)&amp;"|"&amp;"3#8#"&amp;INT(1.2*基本属性!L28)&amp;"|"&amp;"3#9#"&amp;基本属性!M28&amp;"|"&amp;"3#10#"&amp;基本属性!M28&amp;"|"&amp;"3#11#"&amp;基本属性!M28&amp;"|"&amp;"3#12#"&amp;基本属性!M28</f>
        <v>3#1#11025700|3#3#13741|3#4#20612|3#5#13741|3#6#20612|3#7#13741|3#8#20612|3#9#2600|3#10#2600|3#11#2600|3#12#2600</v>
      </c>
      <c r="K57" s="154">
        <f t="shared" si="3"/>
        <v>84</v>
      </c>
      <c r="L57" s="154">
        <v>999</v>
      </c>
      <c r="M57" s="154">
        <v>1100</v>
      </c>
      <c r="N57" s="154">
        <v>1</v>
      </c>
      <c r="O57" s="154">
        <v>0</v>
      </c>
      <c r="P57" s="154">
        <v>800</v>
      </c>
      <c r="Q57" s="154"/>
      <c r="R57" s="153">
        <v>125</v>
      </c>
      <c r="S57" s="154"/>
      <c r="T57" s="154">
        <v>2</v>
      </c>
      <c r="U57" s="154">
        <v>5</v>
      </c>
    </row>
    <row r="58" spans="1:21" ht="15.75" x14ac:dyDescent="0.3">
      <c r="A58" s="154">
        <v>19</v>
      </c>
      <c r="B58" s="153" t="str">
        <f t="shared" si="5"/>
        <v>19转精英</v>
      </c>
      <c r="C58" s="153">
        <v>81</v>
      </c>
      <c r="D58" s="153">
        <v>19</v>
      </c>
      <c r="E58" s="153">
        <v>112</v>
      </c>
      <c r="F58" s="153">
        <f t="shared" si="2"/>
        <v>250</v>
      </c>
      <c r="G58" s="153">
        <v>1</v>
      </c>
      <c r="H58" s="153">
        <v>1</v>
      </c>
      <c r="I58" s="153">
        <f>INT(怪物掉落配置方案!D1810/10)*10</f>
        <v>5833330</v>
      </c>
      <c r="J58" s="154" t="str">
        <f>"3#1#"&amp;基本属性!BF29&amp;"|"&amp;"3#3#"&amp;INT(0.8*基本属性!L29)&amp;"|"&amp;"3#4#"&amp;INT(1.2*基本属性!L29)&amp;"|"&amp;"3#5#"&amp;INT(0.8*基本属性!L29)&amp;"|"&amp;"3#6#"&amp;INT(1.2*基本属性!L29)&amp;"|"&amp;"3#7#"&amp;INT(0.8*基本属性!L29)&amp;"|"&amp;"3#8#"&amp;INT(1.2*基本属性!L29)&amp;"|"&amp;"3#9#"&amp;基本属性!M29&amp;"|"&amp;"3#10#"&amp;基本属性!M29&amp;"|"&amp;"3#11#"&amp;基本属性!M29&amp;"|"&amp;"3#12#"&amp;基本属性!M29</f>
        <v>3#1#13517800|3#3#16908|3#4#25362|3#5#16908|3#6#25362|3#7#16908|3#8#25362|3#9#2925|3#10#2925|3#11#2925|3#12#2925</v>
      </c>
      <c r="K58" s="154">
        <f t="shared" si="3"/>
        <v>88</v>
      </c>
      <c r="L58" s="154">
        <v>999</v>
      </c>
      <c r="M58" s="154">
        <v>1100</v>
      </c>
      <c r="N58" s="154">
        <v>1</v>
      </c>
      <c r="O58" s="154">
        <v>0</v>
      </c>
      <c r="P58" s="154">
        <v>800</v>
      </c>
      <c r="Q58" s="154"/>
      <c r="R58" s="153">
        <v>125</v>
      </c>
      <c r="S58" s="154"/>
      <c r="T58" s="154">
        <v>2</v>
      </c>
      <c r="U58" s="154">
        <v>5</v>
      </c>
    </row>
    <row r="59" spans="1:21" ht="15.75" x14ac:dyDescent="0.3">
      <c r="A59" s="154">
        <v>20</v>
      </c>
      <c r="B59" s="153" t="str">
        <f t="shared" si="5"/>
        <v>20转精英</v>
      </c>
      <c r="C59" s="153">
        <v>81</v>
      </c>
      <c r="D59" s="153">
        <v>19</v>
      </c>
      <c r="E59" s="153">
        <v>112</v>
      </c>
      <c r="F59" s="153">
        <f t="shared" si="2"/>
        <v>260</v>
      </c>
      <c r="G59" s="153">
        <v>1</v>
      </c>
      <c r="H59" s="153">
        <v>1</v>
      </c>
      <c r="I59" s="153">
        <f>INT(怪物掉落配置方案!D1811/10)*10</f>
        <v>5833330</v>
      </c>
      <c r="J59" s="154" t="str">
        <f>"3#1#"&amp;基本属性!BF30&amp;"|"&amp;"3#3#"&amp;INT(0.8*基本属性!L30)&amp;"|"&amp;"3#4#"&amp;INT(1.2*基本属性!L30)&amp;"|"&amp;"3#5#"&amp;INT(0.8*基本属性!L30)&amp;"|"&amp;"3#6#"&amp;INT(1.2*基本属性!L30)&amp;"|"&amp;"3#7#"&amp;INT(0.8*基本属性!L30)&amp;"|"&amp;"3#8#"&amp;INT(1.2*基本属性!L30)&amp;"|"&amp;"3#9#"&amp;基本属性!M30&amp;"|"&amp;"3#10#"&amp;基本属性!M30&amp;"|"&amp;"3#11#"&amp;基本属性!M30&amp;"|"&amp;"3#12#"&amp;基本属性!M30</f>
        <v>3#1#18216200|3#3#21868|3#4#32802|3#5#21868|3#6#32802|3#7#21868|3#8#32802|3#9#3250|3#10#3250|3#11#3250|3#12#3250</v>
      </c>
      <c r="K59" s="154">
        <f t="shared" si="3"/>
        <v>96</v>
      </c>
      <c r="L59" s="154">
        <v>999</v>
      </c>
      <c r="M59" s="154">
        <v>1100</v>
      </c>
      <c r="N59" s="154">
        <v>1</v>
      </c>
      <c r="O59" s="154">
        <v>0</v>
      </c>
      <c r="P59" s="154">
        <v>800</v>
      </c>
      <c r="Q59" s="154"/>
      <c r="R59" s="153">
        <v>125</v>
      </c>
      <c r="S59" s="154"/>
      <c r="T59" s="154">
        <v>2</v>
      </c>
      <c r="U59" s="154">
        <v>5</v>
      </c>
    </row>
    <row r="60" spans="1:21" s="155" customFormat="1" x14ac:dyDescent="0.3">
      <c r="A60" s="155" t="s">
        <v>3387</v>
      </c>
      <c r="B60" s="156"/>
      <c r="C60" s="156"/>
      <c r="D60" s="156"/>
      <c r="E60" s="156"/>
      <c r="F60" s="156"/>
      <c r="G60" s="156"/>
      <c r="H60" s="156"/>
      <c r="I60" s="156"/>
      <c r="R60" s="156"/>
    </row>
    <row r="61" spans="1:21" s="154" customFormat="1" x14ac:dyDescent="0.3">
      <c r="A61" s="154">
        <v>35</v>
      </c>
      <c r="B61" s="153" t="str">
        <f>A61&amp;"级统领"</f>
        <v>35级统领</v>
      </c>
      <c r="C61" s="153">
        <v>81</v>
      </c>
      <c r="D61" s="153">
        <v>19</v>
      </c>
      <c r="E61" s="153">
        <v>112</v>
      </c>
      <c r="F61" s="153">
        <f t="shared" ref="F61:F87" si="6">F5+25</f>
        <v>60</v>
      </c>
      <c r="G61" s="153">
        <v>1</v>
      </c>
      <c r="H61" s="153">
        <v>0</v>
      </c>
      <c r="I61" s="153">
        <f>INT(怪物掉落配置方案!D3837/10)*10</f>
        <v>41650</v>
      </c>
      <c r="J61" s="154" t="str">
        <f>"3#1#"&amp;基本属性!BG4&amp;"|"&amp;"3#3#"&amp;INT(0.8*基本属性!O4)&amp;"|"&amp;"3#4#"&amp;INT(1.2*基本属性!O4)&amp;"|"&amp;"3#5#"&amp;INT(0.8*基本属性!O4)&amp;"|"&amp;"3#6#"&amp;INT(1.2*基本属性!O4)&amp;"|"&amp;"3#7#"&amp;INT(0.8*基本属性!O4)&amp;"|"&amp;"3#8#"&amp;INT(1.2*基本属性!O4)&amp;"|"&amp;"3#9#"&amp;基本属性!P4&amp;"|"&amp;"3#10#"&amp;基本属性!P4&amp;"|"&amp;"3#11#"&amp;基本属性!P4&amp;"|"&amp;"3#12#"&amp;基本属性!P4</f>
        <v>3#1#86000|3#3#114|3#4#171|3#5#114|3#6#171|3#7#114|3#8#171|3#9#70|3#10#70|3#11#70|3#12#70</v>
      </c>
      <c r="K61" s="154">
        <f t="shared" ref="K61:K87" si="7">K5</f>
        <v>2</v>
      </c>
      <c r="L61" s="154">
        <v>999</v>
      </c>
      <c r="M61" s="154">
        <v>1100</v>
      </c>
      <c r="N61" s="154">
        <v>1</v>
      </c>
      <c r="O61" s="154">
        <v>0</v>
      </c>
      <c r="P61" s="154">
        <v>800</v>
      </c>
      <c r="R61" s="153">
        <v>125</v>
      </c>
      <c r="T61" s="154">
        <v>2</v>
      </c>
      <c r="U61" s="154">
        <v>5</v>
      </c>
    </row>
    <row r="62" spans="1:21" ht="15.75" x14ac:dyDescent="0.3">
      <c r="A62" s="154">
        <v>40</v>
      </c>
      <c r="B62" s="153" t="str">
        <f t="shared" ref="B62:B67" si="8">A62&amp;"级统领"</f>
        <v>40级统领</v>
      </c>
      <c r="C62" s="153">
        <v>81</v>
      </c>
      <c r="D62" s="153">
        <v>19</v>
      </c>
      <c r="E62" s="153">
        <v>112</v>
      </c>
      <c r="F62" s="153">
        <f t="shared" si="6"/>
        <v>65</v>
      </c>
      <c r="G62" s="153">
        <v>1</v>
      </c>
      <c r="H62" s="153">
        <v>0</v>
      </c>
      <c r="I62" s="153">
        <f>INT(怪物掉落配置方案!D3838/10)*10</f>
        <v>79850</v>
      </c>
      <c r="J62" s="154" t="str">
        <f>"3#1#"&amp;基本属性!BG5&amp;"|"&amp;"3#3#"&amp;INT(0.8*基本属性!O5)&amp;"|"&amp;"3#4#"&amp;INT(1.2*基本属性!O5)&amp;"|"&amp;"3#5#"&amp;INT(0.8*基本属性!O5)&amp;"|"&amp;"3#6#"&amp;INT(1.2*基本属性!O5)&amp;"|"&amp;"3#7#"&amp;INT(0.8*基本属性!O5)&amp;"|"&amp;"3#8#"&amp;INT(1.2*基本属性!O5)&amp;"|"&amp;"3#9#"&amp;基本属性!P5&amp;"|"&amp;"3#10#"&amp;基本属性!P5&amp;"|"&amp;"3#11#"&amp;基本属性!P5&amp;"|"&amp;"3#12#"&amp;基本属性!P5</f>
        <v>3#1#143000|3#3#176|3#4#264|3#5#176|3#6#264|3#7#176|3#8#264|3#9#105|3#10#105|3#11#105|3#12#105</v>
      </c>
      <c r="K62" s="154">
        <f t="shared" si="7"/>
        <v>4</v>
      </c>
      <c r="L62" s="154">
        <v>999</v>
      </c>
      <c r="M62" s="154">
        <v>1100</v>
      </c>
      <c r="N62" s="154">
        <v>1</v>
      </c>
      <c r="O62" s="154">
        <v>0</v>
      </c>
      <c r="P62" s="154">
        <v>800</v>
      </c>
      <c r="Q62" s="154"/>
      <c r="R62" s="153">
        <v>125</v>
      </c>
      <c r="S62" s="154"/>
      <c r="T62" s="154">
        <v>2</v>
      </c>
      <c r="U62" s="154">
        <v>5</v>
      </c>
    </row>
    <row r="63" spans="1:21" ht="15.75" x14ac:dyDescent="0.3">
      <c r="A63" s="154">
        <v>50</v>
      </c>
      <c r="B63" s="153" t="str">
        <f t="shared" si="8"/>
        <v>50级统领</v>
      </c>
      <c r="C63" s="153">
        <v>81</v>
      </c>
      <c r="D63" s="153">
        <v>19</v>
      </c>
      <c r="E63" s="153">
        <v>112</v>
      </c>
      <c r="F63" s="153">
        <f t="shared" si="6"/>
        <v>75</v>
      </c>
      <c r="G63" s="153">
        <v>1</v>
      </c>
      <c r="H63" s="153">
        <v>0</v>
      </c>
      <c r="I63" s="153">
        <f>INT(怪物掉落配置方案!D3839/10)*10</f>
        <v>216650</v>
      </c>
      <c r="J63" s="154" t="str">
        <f>"3#1#"&amp;基本属性!BG6&amp;"|"&amp;"3#3#"&amp;INT(0.8*基本属性!O6)&amp;"|"&amp;"3#4#"&amp;INT(1.2*基本属性!O6)&amp;"|"&amp;"3#5#"&amp;INT(0.8*基本属性!O6)&amp;"|"&amp;"3#6#"&amp;INT(1.2*基本属性!O6)&amp;"|"&amp;"3#7#"&amp;INT(0.8*基本属性!O6)&amp;"|"&amp;"3#8#"&amp;INT(1.2*基本属性!O6)&amp;"|"&amp;"3#9#"&amp;基本属性!P6&amp;"|"&amp;"3#10#"&amp;基本属性!P6&amp;"|"&amp;"3#11#"&amp;基本属性!P6&amp;"|"&amp;"3#12#"&amp;基本属性!P6</f>
        <v>3#1#212000|3#3#241|3#4#362|3#5#241|3#6#362|3#7#241|3#8#362|3#9#140|3#10#140|3#11#140|3#12#140</v>
      </c>
      <c r="K63" s="154">
        <f t="shared" si="7"/>
        <v>6</v>
      </c>
      <c r="L63" s="154">
        <v>999</v>
      </c>
      <c r="M63" s="154">
        <v>1100</v>
      </c>
      <c r="N63" s="154">
        <v>1</v>
      </c>
      <c r="O63" s="154">
        <v>0</v>
      </c>
      <c r="P63" s="154">
        <v>800</v>
      </c>
      <c r="Q63" s="154"/>
      <c r="R63" s="153">
        <v>125</v>
      </c>
      <c r="S63" s="154"/>
      <c r="T63" s="154">
        <v>2</v>
      </c>
      <c r="U63" s="154">
        <v>5</v>
      </c>
    </row>
    <row r="64" spans="1:21" ht="15.75" x14ac:dyDescent="0.3">
      <c r="A64" s="154">
        <v>60</v>
      </c>
      <c r="B64" s="153" t="str">
        <f t="shared" si="8"/>
        <v>60级统领</v>
      </c>
      <c r="C64" s="153">
        <v>81</v>
      </c>
      <c r="D64" s="153">
        <v>19</v>
      </c>
      <c r="E64" s="153">
        <v>112</v>
      </c>
      <c r="F64" s="153">
        <f t="shared" si="6"/>
        <v>85</v>
      </c>
      <c r="G64" s="153">
        <v>1</v>
      </c>
      <c r="H64" s="153">
        <v>0</v>
      </c>
      <c r="I64" s="153">
        <f>INT(怪物掉落配置方案!D3840/10)*10</f>
        <v>270850</v>
      </c>
      <c r="J64" s="154" t="str">
        <f>"3#1#"&amp;基本属性!BG7&amp;"|"&amp;"3#3#"&amp;INT(0.8*基本属性!O7)&amp;"|"&amp;"3#4#"&amp;INT(1.2*基本属性!O7)&amp;"|"&amp;"3#5#"&amp;INT(0.8*基本属性!O7)&amp;"|"&amp;"3#6#"&amp;INT(1.2*基本属性!O7)&amp;"|"&amp;"3#7#"&amp;INT(0.8*基本属性!O7)&amp;"|"&amp;"3#8#"&amp;INT(1.2*基本属性!O7)&amp;"|"&amp;"3#9#"&amp;基本属性!P7&amp;"|"&amp;"3#10#"&amp;基本属性!P7&amp;"|"&amp;"3#11#"&amp;基本属性!P7&amp;"|"&amp;"3#12#"&amp;基本属性!P7</f>
        <v>3#1#323000|3#3#311|3#4#466|3#5#311|3#6#466|3#7#311|3#8#466|3#9#175|3#10#175|3#11#175|3#12#175</v>
      </c>
      <c r="K64" s="154">
        <f t="shared" si="7"/>
        <v>9</v>
      </c>
      <c r="L64" s="154">
        <v>999</v>
      </c>
      <c r="M64" s="154">
        <v>1100</v>
      </c>
      <c r="N64" s="154">
        <v>1</v>
      </c>
      <c r="O64" s="154">
        <v>0</v>
      </c>
      <c r="P64" s="154">
        <v>800</v>
      </c>
      <c r="Q64" s="154"/>
      <c r="R64" s="153">
        <v>125</v>
      </c>
      <c r="S64" s="154"/>
      <c r="T64" s="154">
        <v>2</v>
      </c>
      <c r="U64" s="154">
        <v>5</v>
      </c>
    </row>
    <row r="65" spans="1:21" ht="15.75" x14ac:dyDescent="0.3">
      <c r="A65" s="154">
        <v>65</v>
      </c>
      <c r="B65" s="153" t="str">
        <f t="shared" si="8"/>
        <v>65级统领</v>
      </c>
      <c r="C65" s="153">
        <v>81</v>
      </c>
      <c r="D65" s="153">
        <v>19</v>
      </c>
      <c r="E65" s="153">
        <v>112</v>
      </c>
      <c r="F65" s="153">
        <f t="shared" si="6"/>
        <v>90</v>
      </c>
      <c r="G65" s="153">
        <v>1</v>
      </c>
      <c r="H65" s="153">
        <v>0</v>
      </c>
      <c r="I65" s="153">
        <f>INT(怪物掉落配置方案!D3841/10)*10</f>
        <v>272200</v>
      </c>
      <c r="J65" s="154" t="str">
        <f>"3#1#"&amp;基本属性!BG8&amp;"|"&amp;"3#3#"&amp;INT(0.8*基本属性!O8)&amp;"|"&amp;"3#4#"&amp;INT(1.2*基本属性!O8)&amp;"|"&amp;"3#5#"&amp;INT(0.8*基本属性!O8)&amp;"|"&amp;"3#6#"&amp;INT(1.2*基本属性!O8)&amp;"|"&amp;"3#7#"&amp;INT(0.8*基本属性!O8)&amp;"|"&amp;"3#8#"&amp;INT(1.2*基本属性!O8)&amp;"|"&amp;"3#9#"&amp;基本属性!P8&amp;"|"&amp;"3#10#"&amp;基本属性!P8&amp;"|"&amp;"3#11#"&amp;基本属性!P8&amp;"|"&amp;"3#12#"&amp;基本属性!P8</f>
        <v>3#1#463000|3#3#416|3#4#625|3#5#416|3#6#625|3#7#416|3#8#625|3#9#228|3#10#228|3#11#228|3#12#228</v>
      </c>
      <c r="K65" s="154">
        <f t="shared" si="7"/>
        <v>12</v>
      </c>
      <c r="L65" s="154">
        <v>999</v>
      </c>
      <c r="M65" s="154">
        <v>1100</v>
      </c>
      <c r="N65" s="154">
        <v>1</v>
      </c>
      <c r="O65" s="154">
        <v>0</v>
      </c>
      <c r="P65" s="154">
        <v>800</v>
      </c>
      <c r="Q65" s="154"/>
      <c r="R65" s="153">
        <v>125</v>
      </c>
      <c r="S65" s="154"/>
      <c r="T65" s="154">
        <v>2</v>
      </c>
      <c r="U65" s="154">
        <v>5</v>
      </c>
    </row>
    <row r="66" spans="1:21" ht="15.75" x14ac:dyDescent="0.3">
      <c r="A66" s="154">
        <v>70</v>
      </c>
      <c r="B66" s="153" t="str">
        <f t="shared" si="8"/>
        <v>70级统领</v>
      </c>
      <c r="C66" s="153">
        <v>81</v>
      </c>
      <c r="D66" s="153">
        <v>19</v>
      </c>
      <c r="E66" s="153">
        <v>112</v>
      </c>
      <c r="F66" s="153">
        <f t="shared" si="6"/>
        <v>95</v>
      </c>
      <c r="G66" s="153">
        <v>1</v>
      </c>
      <c r="H66" s="153">
        <v>0</v>
      </c>
      <c r="I66" s="153">
        <f>INT(怪物掉落配置方案!D3842/10)*10</f>
        <v>278700</v>
      </c>
      <c r="J66" s="154" t="str">
        <f>"3#1#"&amp;基本属性!BG9&amp;"|"&amp;"3#3#"&amp;INT(0.8*基本属性!O9)&amp;"|"&amp;"3#4#"&amp;INT(1.2*基本属性!O9)&amp;"|"&amp;"3#5#"&amp;INT(0.8*基本属性!O9)&amp;"|"&amp;"3#6#"&amp;INT(1.2*基本属性!O9)&amp;"|"&amp;"3#7#"&amp;INT(0.8*基本属性!O9)&amp;"|"&amp;"3#8#"&amp;INT(1.2*基本属性!O9)&amp;"|"&amp;"3#9#"&amp;基本属性!P9&amp;"|"&amp;"3#10#"&amp;基本属性!P9&amp;"|"&amp;"3#11#"&amp;基本属性!P9&amp;"|"&amp;"3#12#"&amp;基本属性!P9</f>
        <v>3#1#631000|3#3#530|3#4#795|3#5#530|3#6#795|3#7#530|3#8#795|3#9#280|3#10#280|3#11#280|3#12#280</v>
      </c>
      <c r="K66" s="154">
        <f t="shared" si="7"/>
        <v>14</v>
      </c>
      <c r="L66" s="154">
        <v>999</v>
      </c>
      <c r="M66" s="154">
        <v>1100</v>
      </c>
      <c r="N66" s="154">
        <v>1</v>
      </c>
      <c r="O66" s="154">
        <v>0</v>
      </c>
      <c r="P66" s="154">
        <v>800</v>
      </c>
      <c r="Q66" s="154"/>
      <c r="R66" s="153">
        <v>125</v>
      </c>
      <c r="S66" s="154"/>
      <c r="T66" s="154">
        <v>2</v>
      </c>
      <c r="U66" s="154">
        <v>5</v>
      </c>
    </row>
    <row r="67" spans="1:21" ht="15.75" x14ac:dyDescent="0.3">
      <c r="A67" s="154">
        <v>75</v>
      </c>
      <c r="B67" s="153" t="str">
        <f t="shared" si="8"/>
        <v>75级统领</v>
      </c>
      <c r="C67" s="153">
        <v>81</v>
      </c>
      <c r="D67" s="153">
        <v>19</v>
      </c>
      <c r="E67" s="153">
        <v>112</v>
      </c>
      <c r="F67" s="153">
        <f t="shared" si="6"/>
        <v>100</v>
      </c>
      <c r="G67" s="153">
        <v>1</v>
      </c>
      <c r="H67" s="153">
        <v>0</v>
      </c>
      <c r="I67" s="153">
        <f>INT(怪物掉落配置方案!D3843/10)*10</f>
        <v>314550</v>
      </c>
      <c r="J67" s="154" t="str">
        <f>"3#1#"&amp;基本属性!BG10&amp;"|"&amp;"3#3#"&amp;INT(0.8*基本属性!O10)&amp;"|"&amp;"3#4#"&amp;INT(1.2*基本属性!O10)&amp;"|"&amp;"3#5#"&amp;INT(0.8*基本属性!O10)&amp;"|"&amp;"3#6#"&amp;INT(1.2*基本属性!O10)&amp;"|"&amp;"3#7#"&amp;INT(0.8*基本属性!O10)&amp;"|"&amp;"3#8#"&amp;INT(1.2*基本属性!O10)&amp;"|"&amp;"3#9#"&amp;基本属性!P10&amp;"|"&amp;"3#10#"&amp;基本属性!P10&amp;"|"&amp;"3#11#"&amp;基本属性!P10&amp;"|"&amp;"3#12#"&amp;基本属性!P10</f>
        <v>3#1#901000|3#3#651|3#4#976|3#5#651|3#6#976|3#7#651|3#8#976|3#9#333|3#10#333|3#11#333|3#12#333</v>
      </c>
      <c r="K67" s="154">
        <f t="shared" si="7"/>
        <v>17</v>
      </c>
      <c r="L67" s="154">
        <v>999</v>
      </c>
      <c r="M67" s="154">
        <v>1100</v>
      </c>
      <c r="N67" s="154">
        <v>1</v>
      </c>
      <c r="O67" s="154">
        <v>0</v>
      </c>
      <c r="P67" s="154">
        <v>800</v>
      </c>
      <c r="Q67" s="154"/>
      <c r="R67" s="153">
        <v>125</v>
      </c>
      <c r="S67" s="154"/>
      <c r="T67" s="154">
        <v>2</v>
      </c>
      <c r="U67" s="154">
        <v>5</v>
      </c>
    </row>
    <row r="68" spans="1:21" ht="15.75" x14ac:dyDescent="0.3">
      <c r="A68" s="154">
        <v>1</v>
      </c>
      <c r="B68" s="153" t="str">
        <f t="shared" ref="B68:B87" si="9">A68&amp;"转统领"</f>
        <v>1转统领</v>
      </c>
      <c r="C68" s="153">
        <v>81</v>
      </c>
      <c r="D68" s="153">
        <v>19</v>
      </c>
      <c r="E68" s="153">
        <v>112</v>
      </c>
      <c r="F68" s="153">
        <f t="shared" si="6"/>
        <v>105</v>
      </c>
      <c r="G68" s="153">
        <v>1</v>
      </c>
      <c r="H68" s="153">
        <v>0</v>
      </c>
      <c r="I68" s="153">
        <f>INT(怪物掉落配置方案!D3844/10)*10</f>
        <v>504050</v>
      </c>
      <c r="J68" s="154" t="str">
        <f>"3#1#"&amp;基本属性!BG11&amp;"|"&amp;"3#3#"&amp;INT(0.8*基本属性!O11)&amp;"|"&amp;"3#4#"&amp;INT(1.2*基本属性!O11)&amp;"|"&amp;"3#5#"&amp;INT(0.8*基本属性!O11)&amp;"|"&amp;"3#6#"&amp;INT(1.2*基本属性!O11)&amp;"|"&amp;"3#7#"&amp;INT(0.8*基本属性!O11)&amp;"|"&amp;"3#8#"&amp;INT(1.2*基本属性!O11)&amp;"|"&amp;"3#9#"&amp;基本属性!P11&amp;"|"&amp;"3#10#"&amp;基本属性!P11&amp;"|"&amp;"3#11#"&amp;基本属性!P11&amp;"|"&amp;"3#12#"&amp;基本属性!P11</f>
        <v>3#1#1152000|3#3#780|3#4#1171|3#5#780|3#6#1171|3#7#780|3#8#1171|3#9#385|3#10#385|3#11#385|3#12#385</v>
      </c>
      <c r="K68" s="154">
        <f t="shared" si="7"/>
        <v>20</v>
      </c>
      <c r="L68" s="154">
        <v>999</v>
      </c>
      <c r="M68" s="154">
        <v>1100</v>
      </c>
      <c r="N68" s="154">
        <v>1</v>
      </c>
      <c r="O68" s="154">
        <v>0</v>
      </c>
      <c r="P68" s="154">
        <v>800</v>
      </c>
      <c r="Q68" s="154"/>
      <c r="R68" s="153">
        <v>125</v>
      </c>
      <c r="S68" s="154"/>
      <c r="T68" s="154">
        <v>2</v>
      </c>
      <c r="U68" s="154">
        <v>5</v>
      </c>
    </row>
    <row r="69" spans="1:21" ht="15.75" x14ac:dyDescent="0.3">
      <c r="A69" s="154">
        <v>2</v>
      </c>
      <c r="B69" s="153" t="str">
        <f t="shared" si="9"/>
        <v>2转统领</v>
      </c>
      <c r="C69" s="153">
        <v>81</v>
      </c>
      <c r="D69" s="153">
        <v>19</v>
      </c>
      <c r="E69" s="153">
        <v>112</v>
      </c>
      <c r="F69" s="153">
        <f t="shared" si="6"/>
        <v>115</v>
      </c>
      <c r="G69" s="153">
        <v>1</v>
      </c>
      <c r="H69" s="153">
        <v>0</v>
      </c>
      <c r="I69" s="153">
        <f>INT(怪物掉落配置方案!D3845/10)*10</f>
        <v>866750</v>
      </c>
      <c r="J69" s="154" t="str">
        <f>"3#1#"&amp;基本属性!BG12&amp;"|"&amp;"3#3#"&amp;INT(0.8*基本属性!O12)&amp;"|"&amp;"3#4#"&amp;INT(1.2*基本属性!O12)&amp;"|"&amp;"3#5#"&amp;INT(0.8*基本属性!O12)&amp;"|"&amp;"3#6#"&amp;INT(1.2*基本属性!O12)&amp;"|"&amp;"3#7#"&amp;INT(0.8*基本属性!O12)&amp;"|"&amp;"3#8#"&amp;INT(1.2*基本属性!O12)&amp;"|"&amp;"3#9#"&amp;基本属性!P12&amp;"|"&amp;"3#10#"&amp;基本属性!P12&amp;"|"&amp;"3#11#"&amp;基本属性!P12&amp;"|"&amp;"3#12#"&amp;基本属性!P12</f>
        <v>3#1#1616000|3#3#1031|3#4#1546|3#5#1031|3#6#1546|3#7#1031|3#8#1546|3#9#490|3#10#490|3#11#490|3#12#490</v>
      </c>
      <c r="K69" s="154">
        <f t="shared" si="7"/>
        <v>23</v>
      </c>
      <c r="L69" s="154">
        <v>999</v>
      </c>
      <c r="M69" s="154">
        <v>1100</v>
      </c>
      <c r="N69" s="154">
        <v>1</v>
      </c>
      <c r="O69" s="154">
        <v>0</v>
      </c>
      <c r="P69" s="154">
        <v>800</v>
      </c>
      <c r="Q69" s="154"/>
      <c r="R69" s="153">
        <v>125</v>
      </c>
      <c r="S69" s="154"/>
      <c r="T69" s="154">
        <v>2</v>
      </c>
      <c r="U69" s="154">
        <v>5</v>
      </c>
    </row>
    <row r="70" spans="1:21" ht="15.75" x14ac:dyDescent="0.3">
      <c r="A70" s="154">
        <v>3</v>
      </c>
      <c r="B70" s="153" t="str">
        <f t="shared" si="9"/>
        <v>3转统领</v>
      </c>
      <c r="C70" s="153">
        <v>81</v>
      </c>
      <c r="D70" s="153">
        <v>19</v>
      </c>
      <c r="E70" s="153">
        <v>112</v>
      </c>
      <c r="F70" s="153">
        <f t="shared" si="6"/>
        <v>125</v>
      </c>
      <c r="G70" s="153">
        <v>1</v>
      </c>
      <c r="H70" s="153">
        <v>0</v>
      </c>
      <c r="I70" s="153">
        <f>INT(怪物掉落配置方案!D3846/10)*10</f>
        <v>1019850</v>
      </c>
      <c r="J70" s="154" t="str">
        <f>"3#1#"&amp;基本属性!BG13&amp;"|"&amp;"3#3#"&amp;INT(0.8*基本属性!O13)&amp;"|"&amp;"3#4#"&amp;INT(1.2*基本属性!O13)&amp;"|"&amp;"3#5#"&amp;INT(0.8*基本属性!O13)&amp;"|"&amp;"3#6#"&amp;INT(1.2*基本属性!O13)&amp;"|"&amp;"3#7#"&amp;INT(0.8*基本属性!O13)&amp;"|"&amp;"3#8#"&amp;INT(1.2*基本属性!O13)&amp;"|"&amp;"3#9#"&amp;基本属性!P13&amp;"|"&amp;"3#10#"&amp;基本属性!P13&amp;"|"&amp;"3#11#"&amp;基本属性!P13&amp;"|"&amp;"3#12#"&amp;基本属性!P13</f>
        <v>3#1#2288000|3#3#1377|3#4#2066|3#5#1377|3#6#2066|3#7#1377|3#8#2066|3#9#630|3#10#630|3#11#630|3#12#630</v>
      </c>
      <c r="K70" s="154">
        <f t="shared" si="7"/>
        <v>26</v>
      </c>
      <c r="L70" s="154">
        <v>999</v>
      </c>
      <c r="M70" s="154">
        <v>1100</v>
      </c>
      <c r="N70" s="154">
        <v>1</v>
      </c>
      <c r="O70" s="154">
        <v>0</v>
      </c>
      <c r="P70" s="154">
        <v>800</v>
      </c>
      <c r="Q70" s="154"/>
      <c r="R70" s="153">
        <v>125</v>
      </c>
      <c r="S70" s="154"/>
      <c r="T70" s="154">
        <v>2</v>
      </c>
      <c r="U70" s="154">
        <v>5</v>
      </c>
    </row>
    <row r="71" spans="1:21" ht="15.75" x14ac:dyDescent="0.3">
      <c r="A71" s="154">
        <v>4</v>
      </c>
      <c r="B71" s="153" t="str">
        <f t="shared" si="9"/>
        <v>4转统领</v>
      </c>
      <c r="C71" s="153">
        <v>81</v>
      </c>
      <c r="D71" s="153">
        <v>19</v>
      </c>
      <c r="E71" s="153">
        <v>112</v>
      </c>
      <c r="F71" s="153">
        <f t="shared" si="6"/>
        <v>130</v>
      </c>
      <c r="G71" s="153">
        <v>1</v>
      </c>
      <c r="H71" s="153">
        <v>0</v>
      </c>
      <c r="I71" s="153">
        <f>INT(怪物掉落配置方案!D3847/10)*10</f>
        <v>1575000</v>
      </c>
      <c r="J71" s="154" t="str">
        <f>"3#1#"&amp;基本属性!BG14&amp;"|"&amp;"3#3#"&amp;INT(0.8*基本属性!O14)&amp;"|"&amp;"3#4#"&amp;INT(1.2*基本属性!O14)&amp;"|"&amp;"3#5#"&amp;INT(0.8*基本属性!O14)&amp;"|"&amp;"3#6#"&amp;INT(1.2*基本属性!O14)&amp;"|"&amp;"3#7#"&amp;INT(0.8*基本属性!O14)&amp;"|"&amp;"3#8#"&amp;INT(1.2*基本属性!O14)&amp;"|"&amp;"3#9#"&amp;基本属性!P14&amp;"|"&amp;"3#10#"&amp;基本属性!P14&amp;"|"&amp;"3#11#"&amp;基本属性!P14&amp;"|"&amp;"3#12#"&amp;基本属性!P14</f>
        <v>3#1#3334000|3#3#1753|3#4#2630|3#5#1753|3#6#2630|3#7#1753|3#8#2630|3#9#770|3#10#770|3#11#770|3#12#770</v>
      </c>
      <c r="K71" s="154">
        <f t="shared" si="7"/>
        <v>29</v>
      </c>
      <c r="L71" s="154">
        <v>999</v>
      </c>
      <c r="M71" s="154">
        <v>1100</v>
      </c>
      <c r="N71" s="154">
        <v>1</v>
      </c>
      <c r="O71" s="154">
        <v>0</v>
      </c>
      <c r="P71" s="154">
        <v>800</v>
      </c>
      <c r="Q71" s="154"/>
      <c r="R71" s="153">
        <v>125</v>
      </c>
      <c r="S71" s="154"/>
      <c r="T71" s="154">
        <v>2</v>
      </c>
      <c r="U71" s="154">
        <v>5</v>
      </c>
    </row>
    <row r="72" spans="1:21" ht="15.75" x14ac:dyDescent="0.3">
      <c r="A72" s="154">
        <v>5</v>
      </c>
      <c r="B72" s="153" t="str">
        <f t="shared" si="9"/>
        <v>5转统领</v>
      </c>
      <c r="C72" s="153">
        <v>81</v>
      </c>
      <c r="D72" s="153">
        <v>19</v>
      </c>
      <c r="E72" s="153">
        <v>112</v>
      </c>
      <c r="F72" s="153">
        <f t="shared" si="6"/>
        <v>135</v>
      </c>
      <c r="G72" s="153">
        <v>1</v>
      </c>
      <c r="H72" s="153">
        <v>0</v>
      </c>
      <c r="I72" s="153">
        <f>INT(怪物掉落配置方案!D3848/10)*10</f>
        <v>1627800</v>
      </c>
      <c r="J72" s="154" t="str">
        <f>"3#1#"&amp;基本属性!BG15&amp;"|"&amp;"3#3#"&amp;INT(0.8*基本属性!O15)&amp;"|"&amp;"3#4#"&amp;INT(1.2*基本属性!O15)&amp;"|"&amp;"3#5#"&amp;INT(0.8*基本属性!O15)&amp;"|"&amp;"3#6#"&amp;INT(1.2*基本属性!O15)&amp;"|"&amp;"3#7#"&amp;INT(0.8*基本属性!O15)&amp;"|"&amp;"3#8#"&amp;INT(1.2*基本属性!O15)&amp;"|"&amp;"3#9#"&amp;基本属性!P15&amp;"|"&amp;"3#10#"&amp;基本属性!P15&amp;"|"&amp;"3#11#"&amp;基本属性!P15&amp;"|"&amp;"3#12#"&amp;基本属性!P15</f>
        <v>3#1#4248000|3#3#2120|3#4#3181|3#5#2120|3#6#3181|3#7#2120|3#8#3181|3#9#893|3#10#893|3#11#893|3#12#893</v>
      </c>
      <c r="K72" s="154">
        <f t="shared" si="7"/>
        <v>32</v>
      </c>
      <c r="L72" s="154">
        <v>999</v>
      </c>
      <c r="M72" s="154">
        <v>1100</v>
      </c>
      <c r="N72" s="154">
        <v>1</v>
      </c>
      <c r="O72" s="154">
        <v>0</v>
      </c>
      <c r="P72" s="154">
        <v>800</v>
      </c>
      <c r="Q72" s="154"/>
      <c r="R72" s="153">
        <v>125</v>
      </c>
      <c r="S72" s="154"/>
      <c r="T72" s="154">
        <v>2</v>
      </c>
      <c r="U72" s="154">
        <v>5</v>
      </c>
    </row>
    <row r="73" spans="1:21" ht="15.75" x14ac:dyDescent="0.3">
      <c r="A73" s="154">
        <v>6</v>
      </c>
      <c r="B73" s="153" t="str">
        <f t="shared" si="9"/>
        <v>6转统领</v>
      </c>
      <c r="C73" s="153">
        <v>81</v>
      </c>
      <c r="D73" s="153">
        <v>19</v>
      </c>
      <c r="E73" s="153">
        <v>112</v>
      </c>
      <c r="F73" s="153">
        <f t="shared" si="6"/>
        <v>145</v>
      </c>
      <c r="G73" s="153">
        <v>1</v>
      </c>
      <c r="H73" s="153">
        <v>0</v>
      </c>
      <c r="I73" s="153">
        <f>INT(怪物掉落配置方案!D3849/10)*10</f>
        <v>6490700</v>
      </c>
      <c r="J73" s="154" t="str">
        <f>"3#1#"&amp;基本属性!BG16&amp;"|"&amp;"3#3#"&amp;INT(0.8*基本属性!O16)&amp;"|"&amp;"3#4#"&amp;INT(1.2*基本属性!O16)&amp;"|"&amp;"3#5#"&amp;INT(0.8*基本属性!O16)&amp;"|"&amp;"3#6#"&amp;INT(1.2*基本属性!O16)&amp;"|"&amp;"3#7#"&amp;INT(0.8*基本属性!O16)&amp;"|"&amp;"3#8#"&amp;INT(1.2*基本属性!O16)&amp;"|"&amp;"3#9#"&amp;基本属性!P16&amp;"|"&amp;"3#10#"&amp;基本属性!P16&amp;"|"&amp;"3#11#"&amp;基本属性!P16&amp;"|"&amp;"3#12#"&amp;基本属性!P16</f>
        <v>3#1#5310000|3#3#2521|3#4#3782|3#5#2521|3#6#3782|3#7#2521|3#8#3782|3#9#1015|3#10#1015|3#11#1015|3#12#1015</v>
      </c>
      <c r="K73" s="154">
        <f t="shared" si="7"/>
        <v>36</v>
      </c>
      <c r="L73" s="154">
        <v>999</v>
      </c>
      <c r="M73" s="154">
        <v>1100</v>
      </c>
      <c r="N73" s="154">
        <v>1</v>
      </c>
      <c r="O73" s="154">
        <v>0</v>
      </c>
      <c r="P73" s="154">
        <v>800</v>
      </c>
      <c r="Q73" s="154"/>
      <c r="R73" s="153">
        <v>125</v>
      </c>
      <c r="S73" s="154"/>
      <c r="T73" s="154">
        <v>2</v>
      </c>
      <c r="U73" s="154">
        <v>5</v>
      </c>
    </row>
    <row r="74" spans="1:21" ht="15.75" x14ac:dyDescent="0.3">
      <c r="A74" s="154">
        <v>7</v>
      </c>
      <c r="B74" s="153" t="str">
        <f t="shared" si="9"/>
        <v>7转统领</v>
      </c>
      <c r="C74" s="153">
        <v>81</v>
      </c>
      <c r="D74" s="153">
        <v>19</v>
      </c>
      <c r="E74" s="153">
        <v>112</v>
      </c>
      <c r="F74" s="153">
        <f t="shared" si="6"/>
        <v>160</v>
      </c>
      <c r="G74" s="153">
        <v>1</v>
      </c>
      <c r="H74" s="153">
        <v>0</v>
      </c>
      <c r="I74" s="153">
        <f>INT(怪物掉落配置方案!D3850/10)*10</f>
        <v>22220850</v>
      </c>
      <c r="J74" s="154" t="str">
        <f>"3#1#"&amp;基本属性!BG17&amp;"|"&amp;"3#3#"&amp;INT(0.8*基本属性!O17)&amp;"|"&amp;"3#4#"&amp;INT(1.2*基本属性!O17)&amp;"|"&amp;"3#5#"&amp;INT(0.8*基本属性!O17)&amp;"|"&amp;"3#6#"&amp;INT(1.2*基本属性!O17)&amp;"|"&amp;"3#7#"&amp;INT(0.8*基本属性!O17)&amp;"|"&amp;"3#8#"&amp;INT(1.2*基本属性!O17)&amp;"|"&amp;"3#9#"&amp;基本属性!P17&amp;"|"&amp;"3#10#"&amp;基本属性!P17&amp;"|"&amp;"3#11#"&amp;基本属性!P17&amp;"|"&amp;"3#12#"&amp;基本属性!P17</f>
        <v>3#1#6433000|3#3#2915|3#4#4372|3#5#2915|3#6#4372|3#7#2915|3#8#4372|3#9#1120|3#10#1120|3#11#1120|3#12#1120</v>
      </c>
      <c r="K74" s="154">
        <f t="shared" si="7"/>
        <v>39</v>
      </c>
      <c r="L74" s="154">
        <v>999</v>
      </c>
      <c r="M74" s="154">
        <v>1100</v>
      </c>
      <c r="N74" s="154">
        <v>1</v>
      </c>
      <c r="O74" s="154">
        <v>0</v>
      </c>
      <c r="P74" s="154">
        <v>800</v>
      </c>
      <c r="Q74" s="154"/>
      <c r="R74" s="153">
        <v>125</v>
      </c>
      <c r="S74" s="154"/>
      <c r="T74" s="154">
        <v>2</v>
      </c>
      <c r="U74" s="154">
        <v>5</v>
      </c>
    </row>
    <row r="75" spans="1:21" ht="15.75" x14ac:dyDescent="0.3">
      <c r="A75" s="154">
        <v>8</v>
      </c>
      <c r="B75" s="153" t="str">
        <f t="shared" si="9"/>
        <v>8转统领</v>
      </c>
      <c r="C75" s="153">
        <v>81</v>
      </c>
      <c r="D75" s="153">
        <v>19</v>
      </c>
      <c r="E75" s="153">
        <v>112</v>
      </c>
      <c r="F75" s="153">
        <f t="shared" si="6"/>
        <v>180</v>
      </c>
      <c r="G75" s="153">
        <v>1</v>
      </c>
      <c r="H75" s="153">
        <v>0</v>
      </c>
      <c r="I75" s="153">
        <f>INT(怪物掉落配置方案!D3851/10)*10</f>
        <v>268419450</v>
      </c>
      <c r="J75" s="154" t="str">
        <f>"3#1#"&amp;基本属性!BG18&amp;"|"&amp;"3#3#"&amp;INT(0.8*基本属性!O18)&amp;"|"&amp;"3#4#"&amp;INT(1.2*基本属性!O18)&amp;"|"&amp;"3#5#"&amp;INT(0.8*基本属性!O18)&amp;"|"&amp;"3#6#"&amp;INT(1.2*基本属性!O18)&amp;"|"&amp;"3#7#"&amp;INT(0.8*基本属性!O18)&amp;"|"&amp;"3#8#"&amp;INT(1.2*基本属性!O18)&amp;"|"&amp;"3#9#"&amp;基本属性!P18&amp;"|"&amp;"3#10#"&amp;基本属性!P18&amp;"|"&amp;"3#11#"&amp;基本属性!P18&amp;"|"&amp;"3#12#"&amp;基本属性!P18</f>
        <v>3#1#8315000|3#3#3348|3#4#5023|3#5#3348|3#6#5023|3#7#3348|3#8#5023|3#9#1225|3#10#1225|3#11#1225|3#12#1225</v>
      </c>
      <c r="K75" s="154">
        <f t="shared" si="7"/>
        <v>43</v>
      </c>
      <c r="L75" s="154">
        <v>999</v>
      </c>
      <c r="M75" s="154">
        <v>1100</v>
      </c>
      <c r="N75" s="154">
        <v>1</v>
      </c>
      <c r="O75" s="154">
        <v>0</v>
      </c>
      <c r="P75" s="154">
        <v>800</v>
      </c>
      <c r="Q75" s="154"/>
      <c r="R75" s="153">
        <v>125</v>
      </c>
      <c r="S75" s="154"/>
      <c r="T75" s="154">
        <v>2</v>
      </c>
      <c r="U75" s="154">
        <v>5</v>
      </c>
    </row>
    <row r="76" spans="1:21" ht="15.75" x14ac:dyDescent="0.3">
      <c r="A76" s="154">
        <v>9</v>
      </c>
      <c r="B76" s="153" t="str">
        <f t="shared" si="9"/>
        <v>9转统领</v>
      </c>
      <c r="C76" s="153">
        <v>81</v>
      </c>
      <c r="D76" s="153">
        <v>19</v>
      </c>
      <c r="E76" s="153">
        <v>112</v>
      </c>
      <c r="F76" s="153">
        <f t="shared" si="6"/>
        <v>215</v>
      </c>
      <c r="G76" s="153">
        <v>1</v>
      </c>
      <c r="H76" s="153">
        <v>0</v>
      </c>
      <c r="I76" s="153">
        <f>INT(怪物掉落配置方案!D3852/10)*10</f>
        <v>244073350</v>
      </c>
      <c r="J76" s="154" t="str">
        <f>"3#1#"&amp;基本属性!BG19&amp;"|"&amp;"3#3#"&amp;INT(0.8*基本属性!O19)&amp;"|"&amp;"3#4#"&amp;INT(1.2*基本属性!O19)&amp;"|"&amp;"3#5#"&amp;INT(0.8*基本属性!O19)&amp;"|"&amp;"3#6#"&amp;INT(1.2*基本属性!O19)&amp;"|"&amp;"3#7#"&amp;INT(0.8*基本属性!O19)&amp;"|"&amp;"3#8#"&amp;INT(1.2*基本属性!O19)&amp;"|"&amp;"3#9#"&amp;基本属性!P19&amp;"|"&amp;"3#10#"&amp;基本属性!P19&amp;"|"&amp;"3#11#"&amp;基本属性!P19&amp;"|"&amp;"3#12#"&amp;基本属性!P19</f>
        <v>3#1#9768000|3#3#3777|3#4#5666|3#5#3777|3#6#5666|3#7#3777|3#8#5666|3#9#1313|3#10#1313|3#11#1313|3#12#1313</v>
      </c>
      <c r="K76" s="154">
        <f t="shared" si="7"/>
        <v>46</v>
      </c>
      <c r="L76" s="154">
        <v>999</v>
      </c>
      <c r="M76" s="154">
        <v>1100</v>
      </c>
      <c r="N76" s="154">
        <v>1</v>
      </c>
      <c r="O76" s="154">
        <v>0</v>
      </c>
      <c r="P76" s="154">
        <v>800</v>
      </c>
      <c r="Q76" s="154"/>
      <c r="R76" s="153">
        <v>125</v>
      </c>
      <c r="S76" s="154"/>
      <c r="T76" s="154">
        <v>2</v>
      </c>
      <c r="U76" s="154">
        <v>5</v>
      </c>
    </row>
    <row r="77" spans="1:21" ht="15.75" x14ac:dyDescent="0.3">
      <c r="A77" s="154">
        <v>10</v>
      </c>
      <c r="B77" s="153" t="str">
        <f t="shared" si="9"/>
        <v>10转统领</v>
      </c>
      <c r="C77" s="153">
        <v>81</v>
      </c>
      <c r="D77" s="153">
        <v>19</v>
      </c>
      <c r="E77" s="153">
        <v>112</v>
      </c>
      <c r="F77" s="153">
        <f t="shared" si="6"/>
        <v>225</v>
      </c>
      <c r="G77" s="153">
        <v>1</v>
      </c>
      <c r="H77" s="153">
        <v>0</v>
      </c>
      <c r="I77" s="153">
        <f>INT(怪物掉落配置方案!D3853/10)*10</f>
        <v>291666650</v>
      </c>
      <c r="J77" s="154" t="str">
        <f>"3#1#"&amp;基本属性!BG20&amp;"|"&amp;"3#3#"&amp;INT(0.8*基本属性!O20)&amp;"|"&amp;"3#4#"&amp;INT(1.2*基本属性!O20)&amp;"|"&amp;"3#5#"&amp;INT(0.8*基本属性!O20)&amp;"|"&amp;"3#6#"&amp;INT(1.2*基本属性!O20)&amp;"|"&amp;"3#7#"&amp;INT(0.8*基本属性!O20)&amp;"|"&amp;"3#8#"&amp;INT(1.2*基本属性!O20)&amp;"|"&amp;"3#9#"&amp;基本属性!P20&amp;"|"&amp;"3#10#"&amp;基本属性!P20&amp;"|"&amp;"3#11#"&amp;基本属性!P20&amp;"|"&amp;"3#12#"&amp;基本属性!P20</f>
        <v>3#1#11421000|3#3#4252|3#4#6379|3#5#4252|3#6#6379|3#7#4252|3#8#6379|3#9#1400|3#10#1400|3#11#1400|3#12#1400</v>
      </c>
      <c r="K77" s="154">
        <f t="shared" si="7"/>
        <v>50</v>
      </c>
      <c r="L77" s="154">
        <v>999</v>
      </c>
      <c r="M77" s="154">
        <v>1100</v>
      </c>
      <c r="N77" s="154">
        <v>1</v>
      </c>
      <c r="O77" s="154">
        <v>0</v>
      </c>
      <c r="P77" s="154">
        <v>800</v>
      </c>
      <c r="Q77" s="154"/>
      <c r="R77" s="153">
        <v>125</v>
      </c>
      <c r="S77" s="154"/>
      <c r="T77" s="154">
        <v>2</v>
      </c>
      <c r="U77" s="154">
        <v>5</v>
      </c>
    </row>
    <row r="78" spans="1:21" ht="15.75" x14ac:dyDescent="0.3">
      <c r="A78" s="154">
        <v>11</v>
      </c>
      <c r="B78" s="153" t="str">
        <f t="shared" si="9"/>
        <v>11转统领</v>
      </c>
      <c r="C78" s="153">
        <v>81</v>
      </c>
      <c r="D78" s="153">
        <v>19</v>
      </c>
      <c r="E78" s="153">
        <v>112</v>
      </c>
      <c r="F78" s="153">
        <f t="shared" si="6"/>
        <v>225</v>
      </c>
      <c r="G78" s="153">
        <v>1</v>
      </c>
      <c r="H78" s="153">
        <v>0</v>
      </c>
      <c r="I78" s="153">
        <f>INT(怪物掉落配置方案!D3854/10)*10</f>
        <v>58333350</v>
      </c>
      <c r="J78" s="154" t="str">
        <f>"3#1#"&amp;基本属性!BG21&amp;"|"&amp;"3#3#"&amp;INT(0.8*基本属性!O21)&amp;"|"&amp;"3#4#"&amp;INT(1.2*基本属性!O21)&amp;"|"&amp;"3#5#"&amp;INT(0.8*基本属性!O21)&amp;"|"&amp;"3#6#"&amp;INT(1.2*基本属性!O21)&amp;"|"&amp;"3#7#"&amp;INT(0.8*基本属性!O21)&amp;"|"&amp;"3#8#"&amp;INT(1.2*基本属性!O21)&amp;"|"&amp;"3#9#"&amp;基本属性!P21&amp;"|"&amp;"3#10#"&amp;基本属性!P21&amp;"|"&amp;"3#11#"&amp;基本属性!P21&amp;"|"&amp;"3#12#"&amp;基本属性!P21</f>
        <v>3#1#13758000|3#3#4952|3#4#7428|3#5#4952|3#6#7428|3#7#4952|3#8#7428|3#9#1540|3#10#1540|3#11#1540|3#12#1540</v>
      </c>
      <c r="K78" s="154">
        <f t="shared" si="7"/>
        <v>54</v>
      </c>
      <c r="L78" s="154">
        <v>999</v>
      </c>
      <c r="M78" s="154">
        <v>1100</v>
      </c>
      <c r="N78" s="154">
        <v>1</v>
      </c>
      <c r="O78" s="154">
        <v>0</v>
      </c>
      <c r="P78" s="154">
        <v>800</v>
      </c>
      <c r="Q78" s="154"/>
      <c r="R78" s="153">
        <v>125</v>
      </c>
      <c r="S78" s="154"/>
      <c r="T78" s="154">
        <v>2</v>
      </c>
      <c r="U78" s="154">
        <v>5</v>
      </c>
    </row>
    <row r="79" spans="1:21" ht="15.75" x14ac:dyDescent="0.3">
      <c r="A79" s="154">
        <v>12</v>
      </c>
      <c r="B79" s="153" t="str">
        <f t="shared" si="9"/>
        <v>12转统领</v>
      </c>
      <c r="C79" s="153">
        <v>81</v>
      </c>
      <c r="D79" s="153">
        <v>19</v>
      </c>
      <c r="E79" s="153">
        <v>112</v>
      </c>
      <c r="F79" s="153">
        <f t="shared" si="6"/>
        <v>235</v>
      </c>
      <c r="G79" s="153">
        <v>1</v>
      </c>
      <c r="H79" s="153">
        <v>0</v>
      </c>
      <c r="I79" s="153">
        <f>INT(怪物掉落配置方案!D3855/10)*10</f>
        <v>58333350</v>
      </c>
      <c r="J79" s="154" t="str">
        <f>"3#1#"&amp;基本属性!BG22&amp;"|"&amp;"3#3#"&amp;INT(0.8*基本属性!O22)&amp;"|"&amp;"3#4#"&amp;INT(1.2*基本属性!O22)&amp;"|"&amp;"3#5#"&amp;INT(0.8*基本属性!O22)&amp;"|"&amp;"3#6#"&amp;INT(1.2*基本属性!O22)&amp;"|"&amp;"3#7#"&amp;INT(0.8*基本属性!O22)&amp;"|"&amp;"3#8#"&amp;INT(1.2*基本属性!O22)&amp;"|"&amp;"3#9#"&amp;基本属性!P22&amp;"|"&amp;"3#10#"&amp;基本属性!P22&amp;"|"&amp;"3#11#"&amp;基本属性!P22&amp;"|"&amp;"3#12#"&amp;基本属性!P22</f>
        <v>3#1#17600000|3#3#5735|3#4#8602|3#5#5735|3#6#8602|3#7#5735|3#8#8602|3#9#1680|3#10#1680|3#11#1680|3#12#1680</v>
      </c>
      <c r="K79" s="154">
        <f t="shared" si="7"/>
        <v>58</v>
      </c>
      <c r="L79" s="154">
        <v>999</v>
      </c>
      <c r="M79" s="154">
        <v>1100</v>
      </c>
      <c r="N79" s="154">
        <v>1</v>
      </c>
      <c r="O79" s="154">
        <v>0</v>
      </c>
      <c r="P79" s="154">
        <v>800</v>
      </c>
      <c r="Q79" s="154"/>
      <c r="R79" s="153">
        <v>125</v>
      </c>
      <c r="S79" s="154"/>
      <c r="T79" s="154">
        <v>2</v>
      </c>
      <c r="U79" s="154">
        <v>5</v>
      </c>
    </row>
    <row r="80" spans="1:21" ht="15.75" x14ac:dyDescent="0.3">
      <c r="A80" s="154">
        <v>13</v>
      </c>
      <c r="B80" s="153" t="str">
        <f t="shared" si="9"/>
        <v>13转统领</v>
      </c>
      <c r="C80" s="153">
        <v>81</v>
      </c>
      <c r="D80" s="153">
        <v>19</v>
      </c>
      <c r="E80" s="153">
        <v>112</v>
      </c>
      <c r="F80" s="153">
        <f t="shared" si="6"/>
        <v>235</v>
      </c>
      <c r="G80" s="153">
        <v>1</v>
      </c>
      <c r="H80" s="153">
        <v>0</v>
      </c>
      <c r="I80" s="153">
        <f>INT(怪物掉落配置方案!D3856/10)*10</f>
        <v>58333350</v>
      </c>
      <c r="J80" s="154" t="str">
        <f>"3#1#"&amp;基本属性!BG23&amp;"|"&amp;"3#3#"&amp;INT(0.8*基本属性!O23)&amp;"|"&amp;"3#4#"&amp;INT(1.2*基本属性!O23)&amp;"|"&amp;"3#5#"&amp;INT(0.8*基本属性!O23)&amp;"|"&amp;"3#6#"&amp;INT(1.2*基本属性!O23)&amp;"|"&amp;"3#7#"&amp;INT(0.8*基本属性!O23)&amp;"|"&amp;"3#8#"&amp;INT(1.2*基本属性!O23)&amp;"|"&amp;"3#9#"&amp;基本属性!P23&amp;"|"&amp;"3#10#"&amp;基本属性!P23&amp;"|"&amp;"3#11#"&amp;基本属性!P23&amp;"|"&amp;"3#12#"&amp;基本属性!P23</f>
        <v>3#1#21256000|3#3#6744|3#4#10117|3#5#6744|3#6#10117|3#7#6744|3#8#10117|3#9#1855|3#10#1855|3#11#1855|3#12#1855</v>
      </c>
      <c r="K80" s="154">
        <f t="shared" si="7"/>
        <v>62</v>
      </c>
      <c r="L80" s="154">
        <v>999</v>
      </c>
      <c r="M80" s="154">
        <v>1100</v>
      </c>
      <c r="N80" s="154">
        <v>1</v>
      </c>
      <c r="O80" s="154">
        <v>0</v>
      </c>
      <c r="P80" s="154">
        <v>800</v>
      </c>
      <c r="Q80" s="154"/>
      <c r="R80" s="153">
        <v>125</v>
      </c>
      <c r="S80" s="154"/>
      <c r="T80" s="154">
        <v>2</v>
      </c>
      <c r="U80" s="154">
        <v>5</v>
      </c>
    </row>
    <row r="81" spans="1:21" ht="15.75" x14ac:dyDescent="0.3">
      <c r="A81" s="154">
        <v>14</v>
      </c>
      <c r="B81" s="153" t="str">
        <f t="shared" si="9"/>
        <v>14转统领</v>
      </c>
      <c r="C81" s="153">
        <v>81</v>
      </c>
      <c r="D81" s="153">
        <v>19</v>
      </c>
      <c r="E81" s="153">
        <v>112</v>
      </c>
      <c r="F81" s="153">
        <f t="shared" si="6"/>
        <v>245</v>
      </c>
      <c r="G81" s="153">
        <v>1</v>
      </c>
      <c r="H81" s="153">
        <v>0</v>
      </c>
      <c r="I81" s="153">
        <f>INT(怪物掉落配置方案!D3857/10)*10</f>
        <v>58333350</v>
      </c>
      <c r="J81" s="154" t="str">
        <f>"3#1#"&amp;基本属性!BG24&amp;"|"&amp;"3#3#"&amp;INT(0.8*基本属性!O24)&amp;"|"&amp;"3#4#"&amp;INT(1.2*基本属性!O24)&amp;"|"&amp;"3#5#"&amp;INT(0.8*基本属性!O24)&amp;"|"&amp;"3#6#"&amp;INT(1.2*基本属性!O24)&amp;"|"&amp;"3#7#"&amp;INT(0.8*基本属性!O24)&amp;"|"&amp;"3#8#"&amp;INT(1.2*基本属性!O24)&amp;"|"&amp;"3#9#"&amp;基本属性!P24&amp;"|"&amp;"3#10#"&amp;基本属性!P24&amp;"|"&amp;"3#11#"&amp;基本属性!P24&amp;"|"&amp;"3#12#"&amp;基本属性!P24</f>
        <v>3#1#25427000|3#3#7888|3#4#11832|3#5#7888|3#6#11832|3#7#7888|3#8#11832|3#9#2030|3#10#2030|3#11#2030|3#12#2030</v>
      </c>
      <c r="K81" s="154">
        <f t="shared" si="7"/>
        <v>66</v>
      </c>
      <c r="L81" s="154">
        <v>999</v>
      </c>
      <c r="M81" s="154">
        <v>1100</v>
      </c>
      <c r="N81" s="154">
        <v>1</v>
      </c>
      <c r="O81" s="154">
        <v>0</v>
      </c>
      <c r="P81" s="154">
        <v>800</v>
      </c>
      <c r="Q81" s="154"/>
      <c r="R81" s="153">
        <v>125</v>
      </c>
      <c r="S81" s="154"/>
      <c r="T81" s="154">
        <v>2</v>
      </c>
      <c r="U81" s="154">
        <v>5</v>
      </c>
    </row>
    <row r="82" spans="1:21" ht="15.75" x14ac:dyDescent="0.3">
      <c r="A82" s="154">
        <v>15</v>
      </c>
      <c r="B82" s="153" t="str">
        <f t="shared" si="9"/>
        <v>15转统领</v>
      </c>
      <c r="C82" s="153">
        <v>81</v>
      </c>
      <c r="D82" s="153">
        <v>19</v>
      </c>
      <c r="E82" s="153">
        <v>112</v>
      </c>
      <c r="F82" s="153">
        <f t="shared" si="6"/>
        <v>245</v>
      </c>
      <c r="G82" s="153">
        <v>1</v>
      </c>
      <c r="H82" s="153">
        <v>0</v>
      </c>
      <c r="I82" s="153">
        <f>INT(怪物掉落配置方案!D3858/10)*10</f>
        <v>58333350</v>
      </c>
      <c r="J82" s="154" t="str">
        <f>"3#1#"&amp;基本属性!BG25&amp;"|"&amp;"3#3#"&amp;INT(0.8*基本属性!O25)&amp;"|"&amp;"3#4#"&amp;INT(1.2*基本属性!O25)&amp;"|"&amp;"3#5#"&amp;INT(0.8*基本属性!O25)&amp;"|"&amp;"3#6#"&amp;INT(1.2*基本属性!O25)&amp;"|"&amp;"3#7#"&amp;INT(0.8*基本属性!O25)&amp;"|"&amp;"3#8#"&amp;INT(1.2*基本属性!O25)&amp;"|"&amp;"3#9#"&amp;基本属性!P25&amp;"|"&amp;"3#10#"&amp;基本属性!P25&amp;"|"&amp;"3#11#"&amp;基本属性!P25&amp;"|"&amp;"3#12#"&amp;基本属性!P25</f>
        <v>3#1#30651000|3#3#9338|3#4#14007|3#5#9338|3#6#14007|3#7#9338|3#8#14007|3#9#2240|3#10#2240|3#11#2240|3#12#2240</v>
      </c>
      <c r="K82" s="154">
        <f t="shared" si="7"/>
        <v>70</v>
      </c>
      <c r="L82" s="154">
        <v>999</v>
      </c>
      <c r="M82" s="154">
        <v>1100</v>
      </c>
      <c r="N82" s="154">
        <v>1</v>
      </c>
      <c r="O82" s="154">
        <v>0</v>
      </c>
      <c r="P82" s="154">
        <v>800</v>
      </c>
      <c r="Q82" s="154"/>
      <c r="R82" s="153">
        <v>125</v>
      </c>
      <c r="S82" s="154"/>
      <c r="T82" s="154">
        <v>2</v>
      </c>
      <c r="U82" s="154">
        <v>5</v>
      </c>
    </row>
    <row r="83" spans="1:21" ht="15.75" x14ac:dyDescent="0.3">
      <c r="A83" s="154">
        <v>16</v>
      </c>
      <c r="B83" s="153" t="str">
        <f t="shared" si="9"/>
        <v>16转统领</v>
      </c>
      <c r="C83" s="153">
        <v>81</v>
      </c>
      <c r="D83" s="153">
        <v>19</v>
      </c>
      <c r="E83" s="153">
        <v>112</v>
      </c>
      <c r="F83" s="153">
        <f t="shared" si="6"/>
        <v>255</v>
      </c>
      <c r="G83" s="153">
        <v>1</v>
      </c>
      <c r="H83" s="153">
        <v>0</v>
      </c>
      <c r="I83" s="153">
        <f>INT(怪物掉落配置方案!D3859/10)*10</f>
        <v>29166650</v>
      </c>
      <c r="J83" s="154" t="str">
        <f>"3#1#"&amp;基本属性!BG26&amp;"|"&amp;"3#3#"&amp;INT(0.8*基本属性!O26)&amp;"|"&amp;"3#4#"&amp;INT(1.2*基本属性!O26)&amp;"|"&amp;"3#5#"&amp;INT(0.8*基本属性!O26)&amp;"|"&amp;"3#6#"&amp;INT(1.2*基本属性!O26)&amp;"|"&amp;"3#7#"&amp;INT(0.8*基本属性!O26)&amp;"|"&amp;"3#8#"&amp;INT(1.2*基本属性!O26)&amp;"|"&amp;"3#9#"&amp;基本属性!P26&amp;"|"&amp;"3#10#"&amp;基本属性!P26&amp;"|"&amp;"3#11#"&amp;基本属性!P26&amp;"|"&amp;"3#12#"&amp;基本属性!P26</f>
        <v>3#1#39041000|3#3#11002|3#4#16503|3#5#11002|3#6#16503|3#7#11002|3#8#16503|3#9#2450|3#10#2450|3#11#2450|3#12#2450</v>
      </c>
      <c r="K83" s="154">
        <f t="shared" si="7"/>
        <v>75</v>
      </c>
      <c r="L83" s="154">
        <v>999</v>
      </c>
      <c r="M83" s="154">
        <v>1100</v>
      </c>
      <c r="N83" s="154">
        <v>1</v>
      </c>
      <c r="O83" s="154">
        <v>0</v>
      </c>
      <c r="P83" s="154">
        <v>800</v>
      </c>
      <c r="Q83" s="154"/>
      <c r="R83" s="153">
        <v>125</v>
      </c>
      <c r="S83" s="154"/>
      <c r="T83" s="154">
        <v>2</v>
      </c>
      <c r="U83" s="154">
        <v>5</v>
      </c>
    </row>
    <row r="84" spans="1:21" ht="15.75" x14ac:dyDescent="0.3">
      <c r="A84" s="154">
        <v>17</v>
      </c>
      <c r="B84" s="153" t="str">
        <f t="shared" si="9"/>
        <v>17转统领</v>
      </c>
      <c r="C84" s="153">
        <v>81</v>
      </c>
      <c r="D84" s="153">
        <v>19</v>
      </c>
      <c r="E84" s="153">
        <v>112</v>
      </c>
      <c r="F84" s="153">
        <f t="shared" si="6"/>
        <v>255</v>
      </c>
      <c r="G84" s="153">
        <v>1</v>
      </c>
      <c r="H84" s="153">
        <v>0</v>
      </c>
      <c r="I84" s="153">
        <f>INT(怪物掉落配置方案!D3860/10)*10</f>
        <v>29166650</v>
      </c>
      <c r="J84" s="154" t="str">
        <f>"3#1#"&amp;基本属性!BG27&amp;"|"&amp;"3#3#"&amp;INT(0.8*基本属性!O27)&amp;"|"&amp;"3#4#"&amp;INT(1.2*基本属性!O27)&amp;"|"&amp;"3#5#"&amp;INT(0.8*基本属性!O27)&amp;"|"&amp;"3#6#"&amp;INT(1.2*基本属性!O27)&amp;"|"&amp;"3#7#"&amp;INT(0.8*基本属性!O27)&amp;"|"&amp;"3#8#"&amp;INT(1.2*基本属性!O27)&amp;"|"&amp;"3#9#"&amp;基本属性!P27&amp;"|"&amp;"3#10#"&amp;基本属性!P27&amp;"|"&amp;"3#11#"&amp;基本属性!P27&amp;"|"&amp;"3#12#"&amp;基本属性!P27</f>
        <v>3#1#45641000|3#3#12756|3#4#19135|3#5#12756|3#6#19135|3#7#12756|3#8#19135|3#9#2625|3#10#2625|3#11#2625|3#12#2625</v>
      </c>
      <c r="K84" s="154">
        <f t="shared" si="7"/>
        <v>79</v>
      </c>
      <c r="L84" s="154">
        <v>999</v>
      </c>
      <c r="M84" s="154">
        <v>1100</v>
      </c>
      <c r="N84" s="154">
        <v>1</v>
      </c>
      <c r="O84" s="154">
        <v>0</v>
      </c>
      <c r="P84" s="154">
        <v>800</v>
      </c>
      <c r="Q84" s="154"/>
      <c r="R84" s="153">
        <v>125</v>
      </c>
      <c r="S84" s="154"/>
      <c r="T84" s="154">
        <v>2</v>
      </c>
      <c r="U84" s="154">
        <v>5</v>
      </c>
    </row>
    <row r="85" spans="1:21" ht="15.75" x14ac:dyDescent="0.3">
      <c r="A85" s="154">
        <v>18</v>
      </c>
      <c r="B85" s="153" t="str">
        <f t="shared" si="9"/>
        <v>18转统领</v>
      </c>
      <c r="C85" s="153">
        <v>81</v>
      </c>
      <c r="D85" s="153">
        <v>19</v>
      </c>
      <c r="E85" s="153">
        <v>112</v>
      </c>
      <c r="F85" s="153">
        <f t="shared" si="6"/>
        <v>265</v>
      </c>
      <c r="G85" s="153">
        <v>1</v>
      </c>
      <c r="H85" s="153">
        <v>0</v>
      </c>
      <c r="I85" s="153">
        <f>INT(怪物掉落配置方案!D3861/10)*10</f>
        <v>29166650</v>
      </c>
      <c r="J85" s="154" t="str">
        <f>"3#1#"&amp;基本属性!BG28&amp;"|"&amp;"3#3#"&amp;INT(0.8*基本属性!O28)&amp;"|"&amp;"3#4#"&amp;INT(1.2*基本属性!O28)&amp;"|"&amp;"3#5#"&amp;INT(0.8*基本属性!O28)&amp;"|"&amp;"3#6#"&amp;INT(1.2*基本属性!O28)&amp;"|"&amp;"3#7#"&amp;INT(0.8*基本属性!O28)&amp;"|"&amp;"3#8#"&amp;INT(1.2*基本属性!O28)&amp;"|"&amp;"3#9#"&amp;基本属性!P28&amp;"|"&amp;"3#10#"&amp;基本属性!P28&amp;"|"&amp;"3#11#"&amp;基本属性!P28&amp;"|"&amp;"3#12#"&amp;基本属性!P28</f>
        <v>3#1#53087000|3#3#14798|3#4#22197|3#5#14798|3#6#22197|3#7#14798|3#8#22197|3#9#2800|3#10#2800|3#11#2800|3#12#2800</v>
      </c>
      <c r="K85" s="154">
        <f t="shared" si="7"/>
        <v>84</v>
      </c>
      <c r="L85" s="154">
        <v>999</v>
      </c>
      <c r="M85" s="154">
        <v>1100</v>
      </c>
      <c r="N85" s="154">
        <v>1</v>
      </c>
      <c r="O85" s="154">
        <v>0</v>
      </c>
      <c r="P85" s="154">
        <v>800</v>
      </c>
      <c r="Q85" s="154"/>
      <c r="R85" s="153">
        <v>125</v>
      </c>
      <c r="S85" s="154"/>
      <c r="T85" s="154">
        <v>2</v>
      </c>
      <c r="U85" s="154">
        <v>5</v>
      </c>
    </row>
    <row r="86" spans="1:21" ht="15.75" x14ac:dyDescent="0.3">
      <c r="A86" s="154">
        <v>19</v>
      </c>
      <c r="B86" s="153" t="str">
        <f t="shared" si="9"/>
        <v>19转统领</v>
      </c>
      <c r="C86" s="153">
        <v>81</v>
      </c>
      <c r="D86" s="153">
        <v>19</v>
      </c>
      <c r="E86" s="153">
        <v>112</v>
      </c>
      <c r="F86" s="153">
        <f t="shared" si="6"/>
        <v>265</v>
      </c>
      <c r="G86" s="153">
        <v>1</v>
      </c>
      <c r="H86" s="153">
        <v>0</v>
      </c>
      <c r="I86" s="153">
        <f>INT(怪物掉落配置方案!D3862/10)*10</f>
        <v>29166650</v>
      </c>
      <c r="J86" s="154" t="str">
        <f>"3#1#"&amp;基本属性!BG29&amp;"|"&amp;"3#3#"&amp;INT(0.8*基本属性!O29)&amp;"|"&amp;"3#4#"&amp;INT(1.2*基本属性!O29)&amp;"|"&amp;"3#5#"&amp;INT(0.8*基本属性!O29)&amp;"|"&amp;"3#6#"&amp;INT(1.2*基本属性!O29)&amp;"|"&amp;"3#7#"&amp;INT(0.8*基本属性!O29)&amp;"|"&amp;"3#8#"&amp;INT(1.2*基本属性!O29)&amp;"|"&amp;"3#9#"&amp;基本属性!P29&amp;"|"&amp;"3#10#"&amp;基本属性!P29&amp;"|"&amp;"3#11#"&amp;基本属性!P29&amp;"|"&amp;"3#12#"&amp;基本属性!P29</f>
        <v>3#1#65085000|3#3#18208|3#4#27313|3#5#18208|3#6#27313|3#7#18208|3#8#27313|3#9#3150|3#10#3150|3#11#3150|3#12#3150</v>
      </c>
      <c r="K86" s="154">
        <f t="shared" si="7"/>
        <v>88</v>
      </c>
      <c r="L86" s="154">
        <v>999</v>
      </c>
      <c r="M86" s="154">
        <v>1100</v>
      </c>
      <c r="N86" s="154">
        <v>1</v>
      </c>
      <c r="O86" s="154">
        <v>0</v>
      </c>
      <c r="P86" s="154">
        <v>800</v>
      </c>
      <c r="Q86" s="154"/>
      <c r="R86" s="153">
        <v>125</v>
      </c>
      <c r="S86" s="154"/>
      <c r="T86" s="154">
        <v>2</v>
      </c>
      <c r="U86" s="154">
        <v>5</v>
      </c>
    </row>
    <row r="87" spans="1:21" ht="15.75" x14ac:dyDescent="0.3">
      <c r="A87" s="154">
        <v>20</v>
      </c>
      <c r="B87" s="153" t="str">
        <f t="shared" si="9"/>
        <v>20转统领</v>
      </c>
      <c r="C87" s="153">
        <v>81</v>
      </c>
      <c r="D87" s="153">
        <v>19</v>
      </c>
      <c r="E87" s="153">
        <v>112</v>
      </c>
      <c r="F87" s="153">
        <f t="shared" si="6"/>
        <v>275</v>
      </c>
      <c r="G87" s="153">
        <v>1</v>
      </c>
      <c r="H87" s="153">
        <v>0</v>
      </c>
      <c r="I87" s="153">
        <f>INT(怪物掉落配置方案!D3863/10)*10</f>
        <v>29166650</v>
      </c>
      <c r="J87" s="154" t="str">
        <f>"3#1#"&amp;基本属性!BG30&amp;"|"&amp;"3#3#"&amp;INT(0.8*基本属性!O30)&amp;"|"&amp;"3#4#"&amp;INT(1.2*基本属性!O30)&amp;"|"&amp;"3#5#"&amp;INT(0.8*基本属性!O30)&amp;"|"&amp;"3#6#"&amp;INT(1.2*基本属性!O30)&amp;"|"&amp;"3#7#"&amp;INT(0.8*基本属性!O30)&amp;"|"&amp;"3#8#"&amp;INT(1.2*基本属性!O30)&amp;"|"&amp;"3#9#"&amp;基本属性!P30&amp;"|"&amp;"3#10#"&amp;基本属性!P30&amp;"|"&amp;"3#11#"&amp;基本属性!P30&amp;"|"&amp;"3#12#"&amp;基本属性!P30</f>
        <v>3#1#87708000|3#3#23550|3#4#35325|3#5#23550|3#6#35325|3#7#23550|3#8#35325|3#9#3500|3#10#3500|3#11#3500|3#12#3500</v>
      </c>
      <c r="K87" s="154">
        <f t="shared" si="7"/>
        <v>96</v>
      </c>
      <c r="L87" s="154">
        <v>999</v>
      </c>
      <c r="M87" s="154">
        <v>1100</v>
      </c>
      <c r="N87" s="154">
        <v>1</v>
      </c>
      <c r="O87" s="154">
        <v>0</v>
      </c>
      <c r="P87" s="154">
        <v>800</v>
      </c>
      <c r="Q87" s="154"/>
      <c r="R87" s="153">
        <v>125</v>
      </c>
      <c r="S87" s="154"/>
      <c r="T87" s="154">
        <v>2</v>
      </c>
      <c r="U87" s="154">
        <v>5</v>
      </c>
    </row>
    <row r="88" spans="1:21" s="155" customFormat="1" x14ac:dyDescent="0.3">
      <c r="A88" s="155" t="s">
        <v>3388</v>
      </c>
      <c r="B88" s="156"/>
      <c r="C88" s="156"/>
      <c r="D88" s="156"/>
      <c r="E88" s="156"/>
      <c r="F88" s="156"/>
      <c r="G88" s="156"/>
      <c r="H88" s="156"/>
      <c r="I88" s="156"/>
      <c r="R88" s="156"/>
    </row>
    <row r="89" spans="1:21" s="154" customFormat="1" x14ac:dyDescent="0.3">
      <c r="A89" s="154">
        <v>35</v>
      </c>
      <c r="B89" s="153" t="str">
        <f>A89&amp;"级首领"</f>
        <v>35级首领</v>
      </c>
      <c r="C89" s="153">
        <v>81</v>
      </c>
      <c r="D89" s="153">
        <v>19</v>
      </c>
      <c r="E89" s="153">
        <v>112</v>
      </c>
      <c r="F89" s="153">
        <f t="shared" ref="F89:F115" si="10">F5+40</f>
        <v>75</v>
      </c>
      <c r="G89" s="153">
        <v>1</v>
      </c>
      <c r="H89" s="153">
        <v>0</v>
      </c>
      <c r="I89" s="153">
        <f>INT(怪物掉落配置方案!D2811/10)*10</f>
        <v>83300</v>
      </c>
      <c r="J89" s="154" t="str">
        <f>"3#1#"&amp;基本属性!BH4&amp;"|"&amp;"3#3#"&amp;INT(0.8*基本属性!R4)&amp;"|"&amp;"3#4#"&amp;INT(1.2*基本属性!R4)&amp;"|"&amp;"3#5#"&amp;INT(0.8*基本属性!R4)&amp;"|"&amp;"3#6#"&amp;INT(1.2*基本属性!R4)&amp;"|"&amp;"3#7#"&amp;INT(0.8*基本属性!R4)&amp;"|"&amp;"3#8#"&amp;INT(1.2*基本属性!R4)&amp;"|"&amp;"3#9#"&amp;基本属性!S4&amp;"|"&amp;"3#10#"&amp;基本属性!S4&amp;"|"&amp;"3#11#"&amp;基本属性!S4&amp;"|"&amp;"3#12#"&amp;基本属性!S4</f>
        <v>3#1#83000|3#3#122|3#4#183|3#5#122|3#6#183|3#7#122|3#8#183|3#9#75|3#10#75|3#11#75|3#12#75</v>
      </c>
      <c r="K89" s="154">
        <f t="shared" ref="K89:K115" si="11">K5</f>
        <v>2</v>
      </c>
      <c r="L89" s="154">
        <v>999</v>
      </c>
      <c r="M89" s="154">
        <v>1100</v>
      </c>
      <c r="N89" s="154">
        <v>1</v>
      </c>
      <c r="O89" s="154">
        <v>0</v>
      </c>
      <c r="P89" s="154">
        <v>800</v>
      </c>
      <c r="R89" s="153">
        <v>125</v>
      </c>
      <c r="T89" s="154">
        <v>2</v>
      </c>
      <c r="U89" s="154">
        <v>5</v>
      </c>
    </row>
    <row r="90" spans="1:21" ht="15.75" x14ac:dyDescent="0.3">
      <c r="A90" s="154">
        <v>40</v>
      </c>
      <c r="B90" s="153" t="str">
        <f t="shared" ref="B90:B95" si="12">A90&amp;"级首领"</f>
        <v>40级首领</v>
      </c>
      <c r="C90" s="153">
        <v>81</v>
      </c>
      <c r="D90" s="153">
        <v>19</v>
      </c>
      <c r="E90" s="153">
        <v>112</v>
      </c>
      <c r="F90" s="153">
        <f t="shared" si="10"/>
        <v>80</v>
      </c>
      <c r="G90" s="153">
        <v>1</v>
      </c>
      <c r="H90" s="153">
        <v>0</v>
      </c>
      <c r="I90" s="153">
        <f>INT(怪物掉落配置方案!D2812/10)*10</f>
        <v>159700</v>
      </c>
      <c r="J90" s="154" t="str">
        <f>"3#1#"&amp;基本属性!BH5&amp;"|"&amp;"3#3#"&amp;INT(0.8*基本属性!R5)&amp;"|"&amp;"3#4#"&amp;INT(1.2*基本属性!R5)&amp;"|"&amp;"3#5#"&amp;INT(0.8*基本属性!R5)&amp;"|"&amp;"3#6#"&amp;INT(1.2*基本属性!R5)&amp;"|"&amp;"3#7#"&amp;INT(0.8*基本属性!R5)&amp;"|"&amp;"3#8#"&amp;INT(1.2*基本属性!R5)&amp;"|"&amp;"3#9#"&amp;基本属性!S5&amp;"|"&amp;"3#10#"&amp;基本属性!S5&amp;"|"&amp;"3#11#"&amp;基本属性!S5&amp;"|"&amp;"3#12#"&amp;基本属性!S5</f>
        <v>3#1#137000|3#3#188|3#4#283|3#5#188|3#6#283|3#7#188|3#8#283|3#9#113|3#10#113|3#11#113|3#12#113</v>
      </c>
      <c r="K90" s="154">
        <f t="shared" si="11"/>
        <v>4</v>
      </c>
      <c r="L90" s="154">
        <v>999</v>
      </c>
      <c r="M90" s="154">
        <v>1100</v>
      </c>
      <c r="N90" s="154">
        <v>1</v>
      </c>
      <c r="O90" s="154">
        <v>0</v>
      </c>
      <c r="P90" s="154">
        <v>800</v>
      </c>
      <c r="Q90" s="154"/>
      <c r="R90" s="153">
        <v>125</v>
      </c>
      <c r="S90" s="154"/>
      <c r="T90" s="154">
        <v>2</v>
      </c>
      <c r="U90" s="154">
        <v>5</v>
      </c>
    </row>
    <row r="91" spans="1:21" ht="15.75" x14ac:dyDescent="0.3">
      <c r="A91" s="154">
        <v>50</v>
      </c>
      <c r="B91" s="153" t="str">
        <f t="shared" si="12"/>
        <v>50级首领</v>
      </c>
      <c r="C91" s="153">
        <v>81</v>
      </c>
      <c r="D91" s="153">
        <v>19</v>
      </c>
      <c r="E91" s="153">
        <v>112</v>
      </c>
      <c r="F91" s="153">
        <f t="shared" si="10"/>
        <v>90</v>
      </c>
      <c r="G91" s="153">
        <v>1</v>
      </c>
      <c r="H91" s="153">
        <v>0</v>
      </c>
      <c r="I91" s="153">
        <f>INT(怪物掉落配置方案!D2813/10)*10</f>
        <v>433300</v>
      </c>
      <c r="J91" s="154" t="str">
        <f>"3#1#"&amp;基本属性!BH6&amp;"|"&amp;"3#3#"&amp;INT(0.8*基本属性!R6)&amp;"|"&amp;"3#4#"&amp;INT(1.2*基本属性!R6)&amp;"|"&amp;"3#5#"&amp;INT(0.8*基本属性!R6)&amp;"|"&amp;"3#6#"&amp;INT(1.2*基本属性!R6)&amp;"|"&amp;"3#7#"&amp;INT(0.8*基本属性!R6)&amp;"|"&amp;"3#8#"&amp;INT(1.2*基本属性!R6)&amp;"|"&amp;"3#9#"&amp;基本属性!S6&amp;"|"&amp;"3#10#"&amp;基本属性!S6&amp;"|"&amp;"3#11#"&amp;基本属性!S6&amp;"|"&amp;"3#12#"&amp;基本属性!S6</f>
        <v>3#1#204000|3#3#259|3#4#388|3#5#259|3#6#388|3#7#259|3#8#388|3#9#150|3#10#150|3#11#150|3#12#150</v>
      </c>
      <c r="K91" s="154">
        <f t="shared" si="11"/>
        <v>6</v>
      </c>
      <c r="L91" s="154">
        <v>999</v>
      </c>
      <c r="M91" s="154">
        <v>1100</v>
      </c>
      <c r="N91" s="154">
        <v>1</v>
      </c>
      <c r="O91" s="154">
        <v>0</v>
      </c>
      <c r="P91" s="154">
        <v>800</v>
      </c>
      <c r="Q91" s="154"/>
      <c r="R91" s="153">
        <v>125</v>
      </c>
      <c r="S91" s="154"/>
      <c r="T91" s="154">
        <v>2</v>
      </c>
      <c r="U91" s="154">
        <v>5</v>
      </c>
    </row>
    <row r="92" spans="1:21" ht="15.75" x14ac:dyDescent="0.3">
      <c r="A92" s="154">
        <v>60</v>
      </c>
      <c r="B92" s="153" t="str">
        <f t="shared" si="12"/>
        <v>60级首领</v>
      </c>
      <c r="C92" s="153">
        <v>81</v>
      </c>
      <c r="D92" s="153">
        <v>19</v>
      </c>
      <c r="E92" s="153">
        <v>112</v>
      </c>
      <c r="F92" s="153">
        <f t="shared" si="10"/>
        <v>100</v>
      </c>
      <c r="G92" s="153">
        <v>1</v>
      </c>
      <c r="H92" s="153">
        <v>0</v>
      </c>
      <c r="I92" s="153">
        <f>INT(怪物掉落配置方案!D2814/10)*10</f>
        <v>541700</v>
      </c>
      <c r="J92" s="154" t="str">
        <f>"3#1#"&amp;基本属性!BH7&amp;"|"&amp;"3#3#"&amp;INT(0.8*基本属性!R7)&amp;"|"&amp;"3#4#"&amp;INT(1.2*基本属性!R7)&amp;"|"&amp;"3#5#"&amp;INT(0.8*基本属性!R7)&amp;"|"&amp;"3#6#"&amp;INT(1.2*基本属性!R7)&amp;"|"&amp;"3#7#"&amp;INT(0.8*基本属性!R7)&amp;"|"&amp;"3#8#"&amp;INT(1.2*基本属性!R7)&amp;"|"&amp;"3#9#"&amp;基本属性!S7&amp;"|"&amp;"3#10#"&amp;基本属性!S7&amp;"|"&amp;"3#11#"&amp;基本属性!S7&amp;"|"&amp;"3#12#"&amp;基本属性!S7</f>
        <v>3#1#310000|3#3#333|3#4#500|3#5#333|3#6#500|3#7#333|3#8#500|3#9#188|3#10#188|3#11#188|3#12#188</v>
      </c>
      <c r="K92" s="154">
        <f t="shared" si="11"/>
        <v>9</v>
      </c>
      <c r="L92" s="154">
        <v>999</v>
      </c>
      <c r="M92" s="154">
        <v>1100</v>
      </c>
      <c r="N92" s="154">
        <v>1</v>
      </c>
      <c r="O92" s="154">
        <v>0</v>
      </c>
      <c r="P92" s="154">
        <v>800</v>
      </c>
      <c r="Q92" s="154"/>
      <c r="R92" s="153">
        <v>125</v>
      </c>
      <c r="S92" s="154"/>
      <c r="T92" s="154">
        <v>2</v>
      </c>
      <c r="U92" s="154">
        <v>5</v>
      </c>
    </row>
    <row r="93" spans="1:21" ht="15.75" x14ac:dyDescent="0.3">
      <c r="A93" s="154">
        <v>65</v>
      </c>
      <c r="B93" s="153" t="str">
        <f t="shared" si="12"/>
        <v>65级首领</v>
      </c>
      <c r="C93" s="153">
        <v>81</v>
      </c>
      <c r="D93" s="153">
        <v>19</v>
      </c>
      <c r="E93" s="153">
        <v>112</v>
      </c>
      <c r="F93" s="153">
        <f t="shared" si="10"/>
        <v>105</v>
      </c>
      <c r="G93" s="153">
        <v>1</v>
      </c>
      <c r="H93" s="153">
        <v>0</v>
      </c>
      <c r="I93" s="153">
        <f>INT(怪物掉落配置方案!D2815/10)*10</f>
        <v>544400</v>
      </c>
      <c r="J93" s="154" t="str">
        <f>"3#1#"&amp;基本属性!BH8&amp;"|"&amp;"3#3#"&amp;INT(0.8*基本属性!R8)&amp;"|"&amp;"3#4#"&amp;INT(1.2*基本属性!R8)&amp;"|"&amp;"3#5#"&amp;INT(0.8*基本属性!R8)&amp;"|"&amp;"3#6#"&amp;INT(1.2*基本属性!R8)&amp;"|"&amp;"3#7#"&amp;INT(0.8*基本属性!R8)&amp;"|"&amp;"3#8#"&amp;INT(1.2*基本属性!R8)&amp;"|"&amp;"3#9#"&amp;基本属性!S8&amp;"|"&amp;"3#10#"&amp;基本属性!S8&amp;"|"&amp;"3#11#"&amp;基本属性!S8&amp;"|"&amp;"3#12#"&amp;基本属性!S8</f>
        <v>3#1#446000|3#3#447|3#4#670|3#5#447|3#6#670|3#7#447|3#8#670|3#9#244|3#10#244|3#11#244|3#12#244</v>
      </c>
      <c r="K93" s="154">
        <f t="shared" si="11"/>
        <v>12</v>
      </c>
      <c r="L93" s="154">
        <v>999</v>
      </c>
      <c r="M93" s="154">
        <v>1100</v>
      </c>
      <c r="N93" s="154">
        <v>1</v>
      </c>
      <c r="O93" s="154">
        <v>0</v>
      </c>
      <c r="P93" s="154">
        <v>800</v>
      </c>
      <c r="Q93" s="154"/>
      <c r="R93" s="153">
        <v>125</v>
      </c>
      <c r="S93" s="154"/>
      <c r="T93" s="154">
        <v>2</v>
      </c>
      <c r="U93" s="154">
        <v>5</v>
      </c>
    </row>
    <row r="94" spans="1:21" ht="15.75" x14ac:dyDescent="0.3">
      <c r="A94" s="154">
        <v>70</v>
      </c>
      <c r="B94" s="153" t="str">
        <f t="shared" si="12"/>
        <v>70级首领</v>
      </c>
      <c r="C94" s="153">
        <v>81</v>
      </c>
      <c r="D94" s="153">
        <v>19</v>
      </c>
      <c r="E94" s="153">
        <v>112</v>
      </c>
      <c r="F94" s="153">
        <f t="shared" si="10"/>
        <v>110</v>
      </c>
      <c r="G94" s="153">
        <v>1</v>
      </c>
      <c r="H94" s="153">
        <v>0</v>
      </c>
      <c r="I94" s="153">
        <f>INT(怪物掉落配置方案!D2816/10)*10</f>
        <v>557400</v>
      </c>
      <c r="J94" s="154" t="str">
        <f>"3#1#"&amp;基本属性!BH9&amp;"|"&amp;"3#3#"&amp;INT(0.8*基本属性!R9)&amp;"|"&amp;"3#4#"&amp;INT(1.2*基本属性!R9)&amp;"|"&amp;"3#5#"&amp;INT(0.8*基本属性!R9)&amp;"|"&amp;"3#6#"&amp;INT(1.2*基本属性!R9)&amp;"|"&amp;"3#7#"&amp;INT(0.8*基本属性!R9)&amp;"|"&amp;"3#8#"&amp;INT(1.2*基本属性!R9)&amp;"|"&amp;"3#9#"&amp;基本属性!S9&amp;"|"&amp;"3#10#"&amp;基本属性!S9&amp;"|"&amp;"3#11#"&amp;基本属性!S9&amp;"|"&amp;"3#12#"&amp;基本属性!S9</f>
        <v>3#1#606000|3#3#568|3#4#852|3#5#568|3#6#852|3#7#568|3#8#852|3#9#300|3#10#300|3#11#300|3#12#300</v>
      </c>
      <c r="K94" s="154">
        <f t="shared" si="11"/>
        <v>14</v>
      </c>
      <c r="L94" s="154">
        <v>999</v>
      </c>
      <c r="M94" s="154">
        <v>1100</v>
      </c>
      <c r="N94" s="154">
        <v>1</v>
      </c>
      <c r="O94" s="154">
        <v>0</v>
      </c>
      <c r="P94" s="154">
        <v>800</v>
      </c>
      <c r="Q94" s="154"/>
      <c r="R94" s="153">
        <v>125</v>
      </c>
      <c r="S94" s="154"/>
      <c r="T94" s="154">
        <v>2</v>
      </c>
      <c r="U94" s="154">
        <v>5</v>
      </c>
    </row>
    <row r="95" spans="1:21" ht="15.75" x14ac:dyDescent="0.3">
      <c r="A95" s="154">
        <v>75</v>
      </c>
      <c r="B95" s="153" t="str">
        <f t="shared" si="12"/>
        <v>75级首领</v>
      </c>
      <c r="C95" s="153">
        <v>81</v>
      </c>
      <c r="D95" s="153">
        <v>19</v>
      </c>
      <c r="E95" s="153">
        <v>112</v>
      </c>
      <c r="F95" s="153">
        <f t="shared" si="10"/>
        <v>115</v>
      </c>
      <c r="G95" s="153">
        <v>1</v>
      </c>
      <c r="H95" s="153">
        <v>0</v>
      </c>
      <c r="I95" s="153">
        <f>INT(怪物掉落配置方案!D2817/10)*10</f>
        <v>629100</v>
      </c>
      <c r="J95" s="154" t="str">
        <f>"3#1#"&amp;基本属性!BH10&amp;"|"&amp;"3#3#"&amp;INT(0.8*基本属性!R10)&amp;"|"&amp;"3#4#"&amp;INT(1.2*基本属性!R10)&amp;"|"&amp;"3#5#"&amp;INT(0.8*基本属性!R10)&amp;"|"&amp;"3#6#"&amp;INT(1.2*基本属性!R10)&amp;"|"&amp;"3#7#"&amp;INT(0.8*基本属性!R10)&amp;"|"&amp;"3#8#"&amp;INT(1.2*基本属性!R10)&amp;"|"&amp;"3#9#"&amp;基本属性!S10&amp;"|"&amp;"3#10#"&amp;基本属性!S10&amp;"|"&amp;"3#11#"&amp;基本属性!S10&amp;"|"&amp;"3#12#"&amp;基本属性!S10</f>
        <v>3#1#868000|3#3#697|3#4#1046|3#5#697|3#6#1046|3#7#697|3#8#1046|3#9#356|3#10#356|3#11#356|3#12#356</v>
      </c>
      <c r="K95" s="154">
        <f t="shared" si="11"/>
        <v>17</v>
      </c>
      <c r="L95" s="154">
        <v>999</v>
      </c>
      <c r="M95" s="154">
        <v>1100</v>
      </c>
      <c r="N95" s="154">
        <v>1</v>
      </c>
      <c r="O95" s="154">
        <v>0</v>
      </c>
      <c r="P95" s="154">
        <v>800</v>
      </c>
      <c r="Q95" s="154"/>
      <c r="R95" s="153">
        <v>125</v>
      </c>
      <c r="S95" s="154"/>
      <c r="T95" s="154">
        <v>2</v>
      </c>
      <c r="U95" s="154">
        <v>5</v>
      </c>
    </row>
    <row r="96" spans="1:21" ht="15.75" x14ac:dyDescent="0.3">
      <c r="A96" s="154">
        <v>1</v>
      </c>
      <c r="B96" s="153" t="str">
        <f>A96&amp;"转首领"</f>
        <v>1转首领</v>
      </c>
      <c r="C96" s="153">
        <v>81</v>
      </c>
      <c r="D96" s="153">
        <v>19</v>
      </c>
      <c r="E96" s="153">
        <v>112</v>
      </c>
      <c r="F96" s="153">
        <f t="shared" si="10"/>
        <v>120</v>
      </c>
      <c r="G96" s="153">
        <v>1</v>
      </c>
      <c r="H96" s="153">
        <v>0</v>
      </c>
      <c r="I96" s="153">
        <f>INT(怪物掉落配置方案!D2818/10)*10</f>
        <v>1008100</v>
      </c>
      <c r="J96" s="154" t="str">
        <f>"3#1#"&amp;基本属性!BH11&amp;"|"&amp;"3#3#"&amp;INT(0.8*基本属性!R11)&amp;"|"&amp;"3#4#"&amp;INT(1.2*基本属性!R11)&amp;"|"&amp;"3#5#"&amp;INT(0.8*基本属性!R11)&amp;"|"&amp;"3#6#"&amp;INT(1.2*基本属性!R11)&amp;"|"&amp;"3#7#"&amp;INT(0.8*基本属性!R11)&amp;"|"&amp;"3#8#"&amp;INT(1.2*基本属性!R11)&amp;"|"&amp;"3#9#"&amp;基本属性!S11&amp;"|"&amp;"3#10#"&amp;基本属性!S11&amp;"|"&amp;"3#11#"&amp;基本属性!S11&amp;"|"&amp;"3#12#"&amp;基本属性!S11</f>
        <v>3#1#1107000|3#3#836|3#4#1255|3#5#836|3#6#1255|3#7#836|3#8#1255|3#9#413|3#10#413|3#11#413|3#12#413</v>
      </c>
      <c r="K96" s="154">
        <f t="shared" si="11"/>
        <v>20</v>
      </c>
      <c r="L96" s="154">
        <v>999</v>
      </c>
      <c r="M96" s="154">
        <v>1100</v>
      </c>
      <c r="N96" s="154">
        <v>1</v>
      </c>
      <c r="O96" s="154">
        <v>0</v>
      </c>
      <c r="P96" s="154">
        <v>800</v>
      </c>
      <c r="Q96" s="154"/>
      <c r="R96" s="153">
        <v>125</v>
      </c>
      <c r="S96" s="154"/>
      <c r="T96" s="154">
        <v>2</v>
      </c>
      <c r="U96" s="154">
        <v>5</v>
      </c>
    </row>
    <row r="97" spans="1:21" ht="15.75" x14ac:dyDescent="0.3">
      <c r="A97" s="154">
        <v>2</v>
      </c>
      <c r="B97" s="153" t="str">
        <f t="shared" ref="B97:B115" si="13">A97&amp;"转首领"</f>
        <v>2转首领</v>
      </c>
      <c r="C97" s="153">
        <v>81</v>
      </c>
      <c r="D97" s="153">
        <v>19</v>
      </c>
      <c r="E97" s="153">
        <v>112</v>
      </c>
      <c r="F97" s="153">
        <f t="shared" si="10"/>
        <v>130</v>
      </c>
      <c r="G97" s="153">
        <v>1</v>
      </c>
      <c r="H97" s="153">
        <v>0</v>
      </c>
      <c r="I97" s="153">
        <f>INT(怪物掉落配置方案!D2819/10)*10</f>
        <v>1733500</v>
      </c>
      <c r="J97" s="154" t="str">
        <f>"3#1#"&amp;基本属性!BH12&amp;"|"&amp;"3#3#"&amp;INT(0.8*基本属性!R12)&amp;"|"&amp;"3#4#"&amp;INT(1.2*基本属性!R12)&amp;"|"&amp;"3#5#"&amp;INT(0.8*基本属性!R12)&amp;"|"&amp;"3#6#"&amp;INT(1.2*基本属性!R12)&amp;"|"&amp;"3#7#"&amp;INT(0.8*基本属性!R12)&amp;"|"&amp;"3#8#"&amp;INT(1.2*基本属性!R12)&amp;"|"&amp;"3#9#"&amp;基本属性!S12&amp;"|"&amp;"3#10#"&amp;基本属性!S12&amp;"|"&amp;"3#11#"&amp;基本属性!S12&amp;"|"&amp;"3#12#"&amp;基本属性!S12</f>
        <v>3#1#1554000|3#3#1104|3#4#1657|3#5#1104|3#6#1657|3#7#1104|3#8#1657|3#9#525|3#10#525|3#11#525|3#12#525</v>
      </c>
      <c r="K97" s="154">
        <f t="shared" si="11"/>
        <v>23</v>
      </c>
      <c r="L97" s="154">
        <v>999</v>
      </c>
      <c r="M97" s="154">
        <v>1100</v>
      </c>
      <c r="N97" s="154">
        <v>1</v>
      </c>
      <c r="O97" s="154">
        <v>0</v>
      </c>
      <c r="P97" s="154">
        <v>800</v>
      </c>
      <c r="Q97" s="154"/>
      <c r="R97" s="153">
        <v>125</v>
      </c>
      <c r="S97" s="154"/>
      <c r="T97" s="154">
        <v>2</v>
      </c>
      <c r="U97" s="154">
        <v>5</v>
      </c>
    </row>
    <row r="98" spans="1:21" ht="15.75" x14ac:dyDescent="0.3">
      <c r="A98" s="154">
        <v>3</v>
      </c>
      <c r="B98" s="153" t="str">
        <f t="shared" si="13"/>
        <v>3转首领</v>
      </c>
      <c r="C98" s="153">
        <v>81</v>
      </c>
      <c r="D98" s="153">
        <v>19</v>
      </c>
      <c r="E98" s="153">
        <v>112</v>
      </c>
      <c r="F98" s="153">
        <f t="shared" si="10"/>
        <v>140</v>
      </c>
      <c r="G98" s="153">
        <v>1</v>
      </c>
      <c r="H98" s="153">
        <v>0</v>
      </c>
      <c r="I98" s="153">
        <f>INT(怪物掉落配置方案!D2820/10)*10</f>
        <v>2039700</v>
      </c>
      <c r="J98" s="154" t="str">
        <f>"3#1#"&amp;基本属性!BH13&amp;"|"&amp;"3#3#"&amp;INT(0.8*基本属性!R13)&amp;"|"&amp;"3#4#"&amp;INT(1.2*基本属性!R13)&amp;"|"&amp;"3#5#"&amp;INT(0.8*基本属性!R13)&amp;"|"&amp;"3#6#"&amp;INT(1.2*基本属性!R13)&amp;"|"&amp;"3#7#"&amp;INT(0.8*基本属性!R13)&amp;"|"&amp;"3#8#"&amp;INT(1.2*基本属性!R13)&amp;"|"&amp;"3#9#"&amp;基本属性!S13&amp;"|"&amp;"3#10#"&amp;基本属性!S13&amp;"|"&amp;"3#11#"&amp;基本属性!S13&amp;"|"&amp;"3#12#"&amp;基本属性!S13</f>
        <v>3#1#2200000|3#3#1476|3#4#2214|3#5#1476|3#6#2214|3#7#1476|3#8#2214|3#9#675|3#10#675|3#11#675|3#12#675</v>
      </c>
      <c r="K98" s="154">
        <f t="shared" si="11"/>
        <v>26</v>
      </c>
      <c r="L98" s="154">
        <v>999</v>
      </c>
      <c r="M98" s="154">
        <v>1100</v>
      </c>
      <c r="N98" s="154">
        <v>1</v>
      </c>
      <c r="O98" s="154">
        <v>0</v>
      </c>
      <c r="P98" s="154">
        <v>800</v>
      </c>
      <c r="Q98" s="154"/>
      <c r="R98" s="153">
        <v>125</v>
      </c>
      <c r="S98" s="154"/>
      <c r="T98" s="154">
        <v>2</v>
      </c>
      <c r="U98" s="154">
        <v>5</v>
      </c>
    </row>
    <row r="99" spans="1:21" ht="15.75" x14ac:dyDescent="0.3">
      <c r="A99" s="154">
        <v>4</v>
      </c>
      <c r="B99" s="153" t="str">
        <f t="shared" si="13"/>
        <v>4转首领</v>
      </c>
      <c r="C99" s="153">
        <v>81</v>
      </c>
      <c r="D99" s="153">
        <v>19</v>
      </c>
      <c r="E99" s="153">
        <v>112</v>
      </c>
      <c r="F99" s="153">
        <f t="shared" si="10"/>
        <v>145</v>
      </c>
      <c r="G99" s="153">
        <v>1</v>
      </c>
      <c r="H99" s="153">
        <v>0</v>
      </c>
      <c r="I99" s="153">
        <f>INT(怪物掉落配置方案!D2821/10)*10</f>
        <v>3150000</v>
      </c>
      <c r="J99" s="154" t="str">
        <f>"3#1#"&amp;基本属性!BH14&amp;"|"&amp;"3#3#"&amp;INT(0.8*基本属性!R14)&amp;"|"&amp;"3#4#"&amp;INT(1.2*基本属性!R14)&amp;"|"&amp;"3#5#"&amp;INT(0.8*基本属性!R14)&amp;"|"&amp;"3#6#"&amp;INT(1.2*基本属性!R14)&amp;"|"&amp;"3#7#"&amp;INT(0.8*基本属性!R14)&amp;"|"&amp;"3#8#"&amp;INT(1.2*基本属性!R14)&amp;"|"&amp;"3#9#"&amp;基本属性!S14&amp;"|"&amp;"3#10#"&amp;基本属性!S14&amp;"|"&amp;"3#11#"&amp;基本属性!S14&amp;"|"&amp;"3#12#"&amp;基本属性!S14</f>
        <v>3#1#3205000|3#3#1879|3#4#2818|3#5#1879|3#6#2818|3#7#1879|3#8#2818|3#9#825|3#10#825|3#11#825|3#12#825</v>
      </c>
      <c r="K99" s="154">
        <f t="shared" si="11"/>
        <v>29</v>
      </c>
      <c r="L99" s="154">
        <v>999</v>
      </c>
      <c r="M99" s="154">
        <v>1100</v>
      </c>
      <c r="N99" s="154">
        <v>1</v>
      </c>
      <c r="O99" s="154">
        <v>0</v>
      </c>
      <c r="P99" s="154">
        <v>800</v>
      </c>
      <c r="Q99" s="154"/>
      <c r="R99" s="153">
        <v>125</v>
      </c>
      <c r="S99" s="154"/>
      <c r="T99" s="154">
        <v>2</v>
      </c>
      <c r="U99" s="154">
        <v>5</v>
      </c>
    </row>
    <row r="100" spans="1:21" ht="15.75" x14ac:dyDescent="0.3">
      <c r="A100" s="154">
        <v>5</v>
      </c>
      <c r="B100" s="153" t="str">
        <f t="shared" si="13"/>
        <v>5转首领</v>
      </c>
      <c r="C100" s="153">
        <v>81</v>
      </c>
      <c r="D100" s="153">
        <v>19</v>
      </c>
      <c r="E100" s="153">
        <v>112</v>
      </c>
      <c r="F100" s="153">
        <f t="shared" si="10"/>
        <v>150</v>
      </c>
      <c r="G100" s="153">
        <v>1</v>
      </c>
      <c r="H100" s="153">
        <v>0</v>
      </c>
      <c r="I100" s="153">
        <f>INT(怪物掉落配置方案!D2822/10)*10</f>
        <v>3255600</v>
      </c>
      <c r="J100" s="154" t="str">
        <f>"3#1#"&amp;基本属性!BH15&amp;"|"&amp;"3#3#"&amp;INT(0.8*基本属性!R15)&amp;"|"&amp;"3#4#"&amp;INT(1.2*基本属性!R15)&amp;"|"&amp;"3#5#"&amp;INT(0.8*基本属性!R15)&amp;"|"&amp;"3#6#"&amp;INT(1.2*基本属性!R15)&amp;"|"&amp;"3#7#"&amp;INT(0.8*基本属性!R15)&amp;"|"&amp;"3#8#"&amp;INT(1.2*基本属性!R15)&amp;"|"&amp;"3#9#"&amp;基本属性!S15&amp;"|"&amp;"3#10#"&amp;基本属性!S15&amp;"|"&amp;"3#11#"&amp;基本属性!S15&amp;"|"&amp;"3#12#"&amp;基本属性!S15</f>
        <v>3#1#4086000|3#3#2272|3#4#3409|3#5#2272|3#6#3409|3#7#2272|3#8#3409|3#9#956|3#10#956|3#11#956|3#12#956</v>
      </c>
      <c r="K100" s="154">
        <f t="shared" si="11"/>
        <v>32</v>
      </c>
      <c r="L100" s="154">
        <v>999</v>
      </c>
      <c r="M100" s="154">
        <v>1100</v>
      </c>
      <c r="N100" s="154">
        <v>1</v>
      </c>
      <c r="O100" s="154">
        <v>0</v>
      </c>
      <c r="P100" s="154">
        <v>800</v>
      </c>
      <c r="Q100" s="154"/>
      <c r="R100" s="153">
        <v>125</v>
      </c>
      <c r="S100" s="154"/>
      <c r="T100" s="154">
        <v>2</v>
      </c>
      <c r="U100" s="154">
        <v>5</v>
      </c>
    </row>
    <row r="101" spans="1:21" ht="15.75" x14ac:dyDescent="0.3">
      <c r="A101" s="154">
        <v>6</v>
      </c>
      <c r="B101" s="153" t="str">
        <f t="shared" si="13"/>
        <v>6转首领</v>
      </c>
      <c r="C101" s="153">
        <v>81</v>
      </c>
      <c r="D101" s="153">
        <v>19</v>
      </c>
      <c r="E101" s="153">
        <v>112</v>
      </c>
      <c r="F101" s="153">
        <f t="shared" si="10"/>
        <v>160</v>
      </c>
      <c r="G101" s="153">
        <v>1</v>
      </c>
      <c r="H101" s="153">
        <v>0</v>
      </c>
      <c r="I101" s="153">
        <f>INT(怪物掉落配置方案!D2823/10)*10</f>
        <v>12981400</v>
      </c>
      <c r="J101" s="154" t="str">
        <f>"3#1#"&amp;基本属性!BH16&amp;"|"&amp;"3#3#"&amp;INT(0.8*基本属性!R16)&amp;"|"&amp;"3#4#"&amp;INT(1.2*基本属性!R16)&amp;"|"&amp;"3#5#"&amp;INT(0.8*基本属性!R16)&amp;"|"&amp;"3#6#"&amp;INT(1.2*基本属性!R16)&amp;"|"&amp;"3#7#"&amp;INT(0.8*基本属性!R16)&amp;"|"&amp;"3#8#"&amp;INT(1.2*基本属性!R16)&amp;"|"&amp;"3#9#"&amp;基本属性!S16&amp;"|"&amp;"3#10#"&amp;基本属性!S16&amp;"|"&amp;"3#11#"&amp;基本属性!S16&amp;"|"&amp;"3#12#"&amp;基本属性!S16</f>
        <v>3#1#5104000|3#3#2701|3#4#4052|3#5#2701|3#6#4052|3#7#2701|3#8#4052|3#9#1088|3#10#1088|3#11#1088|3#12#1088</v>
      </c>
      <c r="K101" s="154">
        <f t="shared" si="11"/>
        <v>36</v>
      </c>
      <c r="L101" s="154">
        <v>999</v>
      </c>
      <c r="M101" s="154">
        <v>1100</v>
      </c>
      <c r="N101" s="154">
        <v>1</v>
      </c>
      <c r="O101" s="154">
        <v>0</v>
      </c>
      <c r="P101" s="154">
        <v>800</v>
      </c>
      <c r="Q101" s="154"/>
      <c r="R101" s="153">
        <v>125</v>
      </c>
      <c r="S101" s="154"/>
      <c r="T101" s="154">
        <v>2</v>
      </c>
      <c r="U101" s="154">
        <v>5</v>
      </c>
    </row>
    <row r="102" spans="1:21" ht="15.75" x14ac:dyDescent="0.3">
      <c r="A102" s="154">
        <v>7</v>
      </c>
      <c r="B102" s="153" t="str">
        <f t="shared" si="13"/>
        <v>7转首领</v>
      </c>
      <c r="C102" s="153">
        <v>81</v>
      </c>
      <c r="D102" s="153">
        <v>19</v>
      </c>
      <c r="E102" s="153">
        <v>112</v>
      </c>
      <c r="F102" s="153">
        <f t="shared" si="10"/>
        <v>175</v>
      </c>
      <c r="G102" s="153">
        <v>1</v>
      </c>
      <c r="H102" s="153">
        <v>0</v>
      </c>
      <c r="I102" s="153">
        <f>INT(怪物掉落配置方案!D2824/10)*10</f>
        <v>44441700</v>
      </c>
      <c r="J102" s="154" t="str">
        <f>"3#1#"&amp;基本属性!BH17&amp;"|"&amp;"3#3#"&amp;INT(0.8*基本属性!R17)&amp;"|"&amp;"3#4#"&amp;INT(1.2*基本属性!R17)&amp;"|"&amp;"3#5#"&amp;INT(0.8*基本属性!R17)&amp;"|"&amp;"3#6#"&amp;INT(1.2*基本属性!R17)&amp;"|"&amp;"3#7#"&amp;INT(0.8*基本属性!R17)&amp;"|"&amp;"3#8#"&amp;INT(1.2*基本属性!R17)&amp;"|"&amp;"3#9#"&amp;基本属性!S17&amp;"|"&amp;"3#10#"&amp;基本属性!S17&amp;"|"&amp;"3#11#"&amp;基本属性!S17&amp;"|"&amp;"3#12#"&amp;基本属性!S17</f>
        <v>3#1#6186000|3#3#3124|3#4#4686|3#5#3124|3#6#4686|3#7#3124|3#8#4686|3#9#1200|3#10#1200|3#11#1200|3#12#1200</v>
      </c>
      <c r="K102" s="154">
        <f t="shared" si="11"/>
        <v>39</v>
      </c>
      <c r="L102" s="154">
        <v>999</v>
      </c>
      <c r="M102" s="154">
        <v>1100</v>
      </c>
      <c r="N102" s="154">
        <v>1</v>
      </c>
      <c r="O102" s="154">
        <v>0</v>
      </c>
      <c r="P102" s="154">
        <v>800</v>
      </c>
      <c r="Q102" s="154"/>
      <c r="R102" s="153">
        <v>125</v>
      </c>
      <c r="S102" s="154"/>
      <c r="T102" s="154">
        <v>2</v>
      </c>
      <c r="U102" s="154">
        <v>5</v>
      </c>
    </row>
    <row r="103" spans="1:21" ht="15.75" x14ac:dyDescent="0.3">
      <c r="A103" s="154">
        <v>8</v>
      </c>
      <c r="B103" s="153" t="str">
        <f t="shared" si="13"/>
        <v>8转首领</v>
      </c>
      <c r="C103" s="153">
        <v>81</v>
      </c>
      <c r="D103" s="153">
        <v>19</v>
      </c>
      <c r="E103" s="153">
        <v>112</v>
      </c>
      <c r="F103" s="153">
        <f t="shared" si="10"/>
        <v>195</v>
      </c>
      <c r="G103" s="153">
        <v>1</v>
      </c>
      <c r="H103" s="153">
        <v>0</v>
      </c>
      <c r="I103" s="153">
        <f>INT(怪物掉落配置方案!D2825/10)*10</f>
        <v>536838900</v>
      </c>
      <c r="J103" s="154" t="str">
        <f>"3#1#"&amp;基本属性!BH18&amp;"|"&amp;"3#3#"&amp;INT(0.8*基本属性!R18)&amp;"|"&amp;"3#4#"&amp;INT(1.2*基本属性!R18)&amp;"|"&amp;"3#5#"&amp;INT(0.8*基本属性!R18)&amp;"|"&amp;"3#6#"&amp;INT(1.2*基本属性!R18)&amp;"|"&amp;"3#7#"&amp;INT(0.8*基本属性!R18)&amp;"|"&amp;"3#8#"&amp;INT(1.2*基本属性!R18)&amp;"|"&amp;"3#9#"&amp;基本属性!S18&amp;"|"&amp;"3#10#"&amp;基本属性!S18&amp;"|"&amp;"3#11#"&amp;基本属性!S18&amp;"|"&amp;"3#12#"&amp;基本属性!S18</f>
        <v>3#1#7994000|3#3#3588|3#4#5382|3#5#3588|3#6#5382|3#7#3588|3#8#5382|3#9#1313|3#10#1313|3#11#1313|3#12#1313</v>
      </c>
      <c r="K103" s="154">
        <f t="shared" si="11"/>
        <v>43</v>
      </c>
      <c r="L103" s="154">
        <v>999</v>
      </c>
      <c r="M103" s="154">
        <v>1100</v>
      </c>
      <c r="N103" s="154">
        <v>1</v>
      </c>
      <c r="O103" s="154">
        <v>0</v>
      </c>
      <c r="P103" s="154">
        <v>800</v>
      </c>
      <c r="Q103" s="154"/>
      <c r="R103" s="153">
        <v>125</v>
      </c>
      <c r="S103" s="154"/>
      <c r="T103" s="154">
        <v>2</v>
      </c>
      <c r="U103" s="154">
        <v>5</v>
      </c>
    </row>
    <row r="104" spans="1:21" ht="15.75" x14ac:dyDescent="0.3">
      <c r="A104" s="154">
        <v>9</v>
      </c>
      <c r="B104" s="153" t="str">
        <f t="shared" si="13"/>
        <v>9转首领</v>
      </c>
      <c r="C104" s="153">
        <v>81</v>
      </c>
      <c r="D104" s="153">
        <v>19</v>
      </c>
      <c r="E104" s="153">
        <v>112</v>
      </c>
      <c r="F104" s="153">
        <f t="shared" si="10"/>
        <v>230</v>
      </c>
      <c r="G104" s="153">
        <v>1</v>
      </c>
      <c r="H104" s="153">
        <v>0</v>
      </c>
      <c r="I104" s="153">
        <f>INT(怪物掉落配置方案!D2826/10)*10</f>
        <v>488146700</v>
      </c>
      <c r="J104" s="154" t="str">
        <f>"3#1#"&amp;基本属性!BH19&amp;"|"&amp;"3#3#"&amp;INT(0.8*基本属性!R19)&amp;"|"&amp;"3#4#"&amp;INT(1.2*基本属性!R19)&amp;"|"&amp;"3#5#"&amp;INT(0.8*基本属性!R19)&amp;"|"&amp;"3#6#"&amp;INT(1.2*基本属性!R19)&amp;"|"&amp;"3#7#"&amp;INT(0.8*基本属性!R19)&amp;"|"&amp;"3#8#"&amp;INT(1.2*基本属性!R19)&amp;"|"&amp;"3#9#"&amp;基本属性!S19&amp;"|"&amp;"3#10#"&amp;基本属性!S19&amp;"|"&amp;"3#11#"&amp;基本属性!S19&amp;"|"&amp;"3#12#"&amp;基本属性!S19</f>
        <v>3#1#9395000|3#3#4048|3#4#6072|3#5#4048|3#6#6072|3#7#4048|3#8#6072|3#9#1406|3#10#1406|3#11#1406|3#12#1406</v>
      </c>
      <c r="K104" s="154">
        <f t="shared" si="11"/>
        <v>46</v>
      </c>
      <c r="L104" s="154">
        <v>999</v>
      </c>
      <c r="M104" s="154">
        <v>1100</v>
      </c>
      <c r="N104" s="154">
        <v>1</v>
      </c>
      <c r="O104" s="154">
        <v>0</v>
      </c>
      <c r="P104" s="154">
        <v>800</v>
      </c>
      <c r="Q104" s="154"/>
      <c r="R104" s="153">
        <v>125</v>
      </c>
      <c r="S104" s="154"/>
      <c r="T104" s="154">
        <v>2</v>
      </c>
      <c r="U104" s="154">
        <v>5</v>
      </c>
    </row>
    <row r="105" spans="1:21" ht="15.75" x14ac:dyDescent="0.3">
      <c r="A105" s="154">
        <v>10</v>
      </c>
      <c r="B105" s="153" t="str">
        <f t="shared" si="13"/>
        <v>10转首领</v>
      </c>
      <c r="C105" s="153">
        <v>81</v>
      </c>
      <c r="D105" s="153">
        <v>19</v>
      </c>
      <c r="E105" s="153">
        <v>112</v>
      </c>
      <c r="F105" s="153">
        <f t="shared" si="10"/>
        <v>240</v>
      </c>
      <c r="G105" s="153">
        <v>1</v>
      </c>
      <c r="H105" s="153">
        <v>0</v>
      </c>
      <c r="I105" s="153">
        <f>INT(怪物掉落配置方案!D2827/10)*10</f>
        <v>583333300</v>
      </c>
      <c r="J105" s="154" t="str">
        <f>"3#1#"&amp;基本属性!BH20&amp;"|"&amp;"3#3#"&amp;INT(0.8*基本属性!R20)&amp;"|"&amp;"3#4#"&amp;INT(1.2*基本属性!R20)&amp;"|"&amp;"3#5#"&amp;INT(0.8*基本属性!R20)&amp;"|"&amp;"3#6#"&amp;INT(1.2*基本属性!R20)&amp;"|"&amp;"3#7#"&amp;INT(0.8*基本属性!R20)&amp;"|"&amp;"3#8#"&amp;INT(1.2*基本属性!R20)&amp;"|"&amp;"3#9#"&amp;基本属性!S20&amp;"|"&amp;"3#10#"&amp;基本属性!S20&amp;"|"&amp;"3#11#"&amp;基本属性!S20&amp;"|"&amp;"3#12#"&amp;基本属性!S20</f>
        <v>3#1#10981000|3#3#4556|3#4#6835|3#5#4556|3#6#6835|3#7#4556|3#8#6835|3#9#1500|3#10#1500|3#11#1500|3#12#1500</v>
      </c>
      <c r="K105" s="154">
        <f t="shared" si="11"/>
        <v>50</v>
      </c>
      <c r="L105" s="154">
        <v>999</v>
      </c>
      <c r="M105" s="154">
        <v>1100</v>
      </c>
      <c r="N105" s="154">
        <v>1</v>
      </c>
      <c r="O105" s="154">
        <v>0</v>
      </c>
      <c r="P105" s="154">
        <v>800</v>
      </c>
      <c r="Q105" s="154"/>
      <c r="R105" s="153">
        <v>125</v>
      </c>
      <c r="S105" s="154"/>
      <c r="T105" s="154">
        <v>2</v>
      </c>
      <c r="U105" s="154">
        <v>5</v>
      </c>
    </row>
    <row r="106" spans="1:21" ht="15.75" x14ac:dyDescent="0.3">
      <c r="A106" s="154">
        <v>11</v>
      </c>
      <c r="B106" s="153" t="str">
        <f t="shared" si="13"/>
        <v>11转首领</v>
      </c>
      <c r="C106" s="153">
        <v>81</v>
      </c>
      <c r="D106" s="153">
        <v>19</v>
      </c>
      <c r="E106" s="153">
        <v>112</v>
      </c>
      <c r="F106" s="153">
        <f t="shared" si="10"/>
        <v>240</v>
      </c>
      <c r="G106" s="153">
        <v>1</v>
      </c>
      <c r="H106" s="153">
        <v>0</v>
      </c>
      <c r="I106" s="153">
        <f>INT(怪物掉落配置方案!D2828/10)*10</f>
        <v>116666700</v>
      </c>
      <c r="J106" s="154" t="str">
        <f>"3#1#"&amp;基本属性!BH21&amp;"|"&amp;"3#3#"&amp;INT(0.8*基本属性!R21)&amp;"|"&amp;"3#4#"&amp;INT(1.2*基本属性!R21)&amp;"|"&amp;"3#5#"&amp;INT(0.8*基本属性!R21)&amp;"|"&amp;"3#6#"&amp;INT(1.2*基本属性!R21)&amp;"|"&amp;"3#7#"&amp;INT(0.8*基本属性!R21)&amp;"|"&amp;"3#8#"&amp;INT(1.2*基本属性!R21)&amp;"|"&amp;"3#9#"&amp;基本属性!S21&amp;"|"&amp;"3#10#"&amp;基本属性!S21&amp;"|"&amp;"3#11#"&amp;基本属性!S21&amp;"|"&amp;"3#12#"&amp;基本属性!S21</f>
        <v>3#1#13229000|3#3#5305|3#4#7958|3#5#5305|3#6#7958|3#7#5305|3#8#7958|3#9#1650|3#10#1650|3#11#1650|3#12#1650</v>
      </c>
      <c r="K106" s="154">
        <f t="shared" si="11"/>
        <v>54</v>
      </c>
      <c r="L106" s="154">
        <v>999</v>
      </c>
      <c r="M106" s="154">
        <v>1100</v>
      </c>
      <c r="N106" s="154">
        <v>1</v>
      </c>
      <c r="O106" s="154">
        <v>0</v>
      </c>
      <c r="P106" s="154">
        <v>800</v>
      </c>
      <c r="Q106" s="154"/>
      <c r="R106" s="153">
        <v>125</v>
      </c>
      <c r="S106" s="154"/>
      <c r="T106" s="154">
        <v>2</v>
      </c>
      <c r="U106" s="154">
        <v>5</v>
      </c>
    </row>
    <row r="107" spans="1:21" ht="15.75" x14ac:dyDescent="0.3">
      <c r="A107" s="154">
        <v>12</v>
      </c>
      <c r="B107" s="153" t="str">
        <f t="shared" si="13"/>
        <v>12转首领</v>
      </c>
      <c r="C107" s="153">
        <v>81</v>
      </c>
      <c r="D107" s="153">
        <v>19</v>
      </c>
      <c r="E107" s="153">
        <v>112</v>
      </c>
      <c r="F107" s="153">
        <f t="shared" si="10"/>
        <v>250</v>
      </c>
      <c r="G107" s="153">
        <v>1</v>
      </c>
      <c r="H107" s="153">
        <v>0</v>
      </c>
      <c r="I107" s="153">
        <f>INT(怪物掉落配置方案!D2829/10)*10</f>
        <v>116666700</v>
      </c>
      <c r="J107" s="154" t="str">
        <f>"3#1#"&amp;基本属性!BH22&amp;"|"&amp;"3#3#"&amp;INT(0.8*基本属性!R22)&amp;"|"&amp;"3#4#"&amp;INT(1.2*基本属性!R22)&amp;"|"&amp;"3#5#"&amp;INT(0.8*基本属性!R22)&amp;"|"&amp;"3#6#"&amp;INT(1.2*基本属性!R22)&amp;"|"&amp;"3#7#"&amp;INT(0.8*基本属性!R22)&amp;"|"&amp;"3#8#"&amp;INT(1.2*基本属性!R22)&amp;"|"&amp;"3#9#"&amp;基本属性!S22&amp;"|"&amp;"3#10#"&amp;基本属性!S22&amp;"|"&amp;"3#11#"&amp;基本属性!S22&amp;"|"&amp;"3#12#"&amp;基本属性!S22</f>
        <v>3#1#16924000|3#3#6144|3#4#9217|3#5#6144|3#6#9217|3#7#6144|3#8#9217|3#9#1800|3#10#1800|3#11#1800|3#12#1800</v>
      </c>
      <c r="K107" s="154">
        <f t="shared" si="11"/>
        <v>58</v>
      </c>
      <c r="L107" s="154">
        <v>999</v>
      </c>
      <c r="M107" s="154">
        <v>1100</v>
      </c>
      <c r="N107" s="154">
        <v>1</v>
      </c>
      <c r="O107" s="154">
        <v>0</v>
      </c>
      <c r="P107" s="154">
        <v>800</v>
      </c>
      <c r="Q107" s="154"/>
      <c r="R107" s="153">
        <v>125</v>
      </c>
      <c r="S107" s="154"/>
      <c r="T107" s="154">
        <v>2</v>
      </c>
      <c r="U107" s="154">
        <v>5</v>
      </c>
    </row>
    <row r="108" spans="1:21" ht="15.75" x14ac:dyDescent="0.3">
      <c r="A108" s="154">
        <v>13</v>
      </c>
      <c r="B108" s="153" t="str">
        <f t="shared" si="13"/>
        <v>13转首领</v>
      </c>
      <c r="C108" s="153">
        <v>81</v>
      </c>
      <c r="D108" s="153">
        <v>19</v>
      </c>
      <c r="E108" s="153">
        <v>112</v>
      </c>
      <c r="F108" s="153">
        <f t="shared" si="10"/>
        <v>250</v>
      </c>
      <c r="G108" s="153">
        <v>1</v>
      </c>
      <c r="H108" s="153">
        <v>0</v>
      </c>
      <c r="I108" s="153">
        <f>INT(怪物掉落配置方案!D2830/10)*10</f>
        <v>116666700</v>
      </c>
      <c r="J108" s="154" t="str">
        <f>"3#1#"&amp;基本属性!BH23&amp;"|"&amp;"3#3#"&amp;INT(0.8*基本属性!R23)&amp;"|"&amp;"3#4#"&amp;INT(1.2*基本属性!R23)&amp;"|"&amp;"3#5#"&amp;INT(0.8*基本属性!R23)&amp;"|"&amp;"3#6#"&amp;INT(1.2*基本属性!R23)&amp;"|"&amp;"3#7#"&amp;INT(0.8*基本属性!R23)&amp;"|"&amp;"3#8#"&amp;INT(1.2*基本属性!R23)&amp;"|"&amp;"3#9#"&amp;基本属性!S23&amp;"|"&amp;"3#10#"&amp;基本属性!S23&amp;"|"&amp;"3#11#"&amp;基本属性!S23&amp;"|"&amp;"3#12#"&amp;基本属性!S23</f>
        <v>3#1#20436000|3#3#7226|3#4#10839|3#5#7226|3#6#10839|3#7#7226|3#8#10839|3#9#1988|3#10#1988|3#11#1988|3#12#1988</v>
      </c>
      <c r="K108" s="154">
        <f t="shared" si="11"/>
        <v>62</v>
      </c>
      <c r="L108" s="154">
        <v>999</v>
      </c>
      <c r="M108" s="154">
        <v>1100</v>
      </c>
      <c r="N108" s="154">
        <v>1</v>
      </c>
      <c r="O108" s="154">
        <v>0</v>
      </c>
      <c r="P108" s="154">
        <v>800</v>
      </c>
      <c r="Q108" s="154"/>
      <c r="R108" s="153">
        <v>125</v>
      </c>
      <c r="S108" s="154"/>
      <c r="T108" s="154">
        <v>2</v>
      </c>
      <c r="U108" s="154">
        <v>5</v>
      </c>
    </row>
    <row r="109" spans="1:21" ht="15.75" x14ac:dyDescent="0.3">
      <c r="A109" s="154">
        <v>14</v>
      </c>
      <c r="B109" s="153" t="str">
        <f t="shared" si="13"/>
        <v>14转首领</v>
      </c>
      <c r="C109" s="153">
        <v>81</v>
      </c>
      <c r="D109" s="153">
        <v>19</v>
      </c>
      <c r="E109" s="153">
        <v>112</v>
      </c>
      <c r="F109" s="153">
        <f t="shared" si="10"/>
        <v>260</v>
      </c>
      <c r="G109" s="153">
        <v>1</v>
      </c>
      <c r="H109" s="153">
        <v>0</v>
      </c>
      <c r="I109" s="153">
        <f>INT(怪物掉落配置方案!D2831/10)*10</f>
        <v>116666700</v>
      </c>
      <c r="J109" s="154" t="str">
        <f>"3#1#"&amp;基本属性!BH24&amp;"|"&amp;"3#3#"&amp;INT(0.8*基本属性!R24)&amp;"|"&amp;"3#4#"&amp;INT(1.2*基本属性!R24)&amp;"|"&amp;"3#5#"&amp;INT(0.8*基本属性!R24)&amp;"|"&amp;"3#6#"&amp;INT(1.2*基本属性!R24)&amp;"|"&amp;"3#7#"&amp;INT(0.8*基本属性!R24)&amp;"|"&amp;"3#8#"&amp;INT(1.2*基本属性!R24)&amp;"|"&amp;"3#9#"&amp;基本属性!S24&amp;"|"&amp;"3#10#"&amp;基本属性!S24&amp;"|"&amp;"3#11#"&amp;基本属性!S24&amp;"|"&amp;"3#12#"&amp;基本属性!S24</f>
        <v>3#1#24449000|3#3#8452|3#4#12678|3#5#8452|3#6#12678|3#7#8452|3#8#12678|3#9#2175|3#10#2175|3#11#2175|3#12#2175</v>
      </c>
      <c r="K109" s="154">
        <f t="shared" si="11"/>
        <v>66</v>
      </c>
      <c r="L109" s="154">
        <v>999</v>
      </c>
      <c r="M109" s="154">
        <v>1100</v>
      </c>
      <c r="N109" s="154">
        <v>1</v>
      </c>
      <c r="O109" s="154">
        <v>0</v>
      </c>
      <c r="P109" s="154">
        <v>800</v>
      </c>
      <c r="Q109" s="154"/>
      <c r="R109" s="153">
        <v>125</v>
      </c>
      <c r="S109" s="154"/>
      <c r="T109" s="154">
        <v>2</v>
      </c>
      <c r="U109" s="154">
        <v>5</v>
      </c>
    </row>
    <row r="110" spans="1:21" ht="15.75" x14ac:dyDescent="0.3">
      <c r="A110" s="154">
        <v>15</v>
      </c>
      <c r="B110" s="153" t="str">
        <f t="shared" si="13"/>
        <v>15转首领</v>
      </c>
      <c r="C110" s="153">
        <v>81</v>
      </c>
      <c r="D110" s="153">
        <v>19</v>
      </c>
      <c r="E110" s="153">
        <v>112</v>
      </c>
      <c r="F110" s="153">
        <f t="shared" si="10"/>
        <v>260</v>
      </c>
      <c r="G110" s="153">
        <v>1</v>
      </c>
      <c r="H110" s="153">
        <v>0</v>
      </c>
      <c r="I110" s="153">
        <f>INT(怪物掉落配置方案!D2832/10)*10</f>
        <v>116666700</v>
      </c>
      <c r="J110" s="154" t="str">
        <f>"3#1#"&amp;基本属性!BH25&amp;"|"&amp;"3#3#"&amp;INT(0.8*基本属性!R25)&amp;"|"&amp;"3#4#"&amp;INT(1.2*基本属性!R25)&amp;"|"&amp;"3#5#"&amp;INT(0.8*基本属性!R25)&amp;"|"&amp;"3#6#"&amp;INT(1.2*基本属性!R25)&amp;"|"&amp;"3#7#"&amp;INT(0.8*基本属性!R25)&amp;"|"&amp;"3#8#"&amp;INT(1.2*基本属性!R25)&amp;"|"&amp;"3#9#"&amp;基本属性!S25&amp;"|"&amp;"3#10#"&amp;基本属性!S25&amp;"|"&amp;"3#11#"&amp;基本属性!S25&amp;"|"&amp;"3#12#"&amp;基本属性!S25</f>
        <v>3#1#29472000|3#3#10004|3#4#15007|3#5#10004|3#6#15007|3#7#10004|3#8#15007|3#9#2400|3#10#2400|3#11#2400|3#12#2400</v>
      </c>
      <c r="K110" s="154">
        <f t="shared" si="11"/>
        <v>70</v>
      </c>
      <c r="L110" s="154">
        <v>999</v>
      </c>
      <c r="M110" s="154">
        <v>1100</v>
      </c>
      <c r="N110" s="154">
        <v>1</v>
      </c>
      <c r="O110" s="154">
        <v>0</v>
      </c>
      <c r="P110" s="154">
        <v>800</v>
      </c>
      <c r="Q110" s="154"/>
      <c r="R110" s="153">
        <v>125</v>
      </c>
      <c r="S110" s="154"/>
      <c r="T110" s="154">
        <v>2</v>
      </c>
      <c r="U110" s="154">
        <v>5</v>
      </c>
    </row>
    <row r="111" spans="1:21" ht="15.75" x14ac:dyDescent="0.3">
      <c r="A111" s="154">
        <v>16</v>
      </c>
      <c r="B111" s="153" t="str">
        <f t="shared" si="13"/>
        <v>16转首领</v>
      </c>
      <c r="C111" s="153">
        <v>81</v>
      </c>
      <c r="D111" s="153">
        <v>19</v>
      </c>
      <c r="E111" s="153">
        <v>112</v>
      </c>
      <c r="F111" s="153">
        <f t="shared" si="10"/>
        <v>270</v>
      </c>
      <c r="G111" s="153">
        <v>1</v>
      </c>
      <c r="H111" s="153">
        <v>0</v>
      </c>
      <c r="I111" s="153">
        <f>INT(怪物掉落配置方案!D2833/10)*10</f>
        <v>58333300</v>
      </c>
      <c r="J111" s="154" t="str">
        <f>"3#1#"&amp;基本属性!BH26&amp;"|"&amp;"3#3#"&amp;INT(0.8*基本属性!R26)&amp;"|"&amp;"3#4#"&amp;INT(1.2*基本属性!R26)&amp;"|"&amp;"3#5#"&amp;INT(0.8*基本属性!R26)&amp;"|"&amp;"3#6#"&amp;INT(1.2*基本属性!R26)&amp;"|"&amp;"3#7#"&amp;INT(0.8*基本属性!R26)&amp;"|"&amp;"3#8#"&amp;INT(1.2*基本属性!R26)&amp;"|"&amp;"3#9#"&amp;基本属性!S26&amp;"|"&amp;"3#10#"&amp;基本属性!S26&amp;"|"&amp;"3#11#"&amp;基本属性!S26&amp;"|"&amp;"3#12#"&amp;基本属性!S26</f>
        <v>3#1#37540000|3#3#11788|3#4#17682|3#5#11788|3#6#17682|3#7#11788|3#8#17682|3#9#2625|3#10#2625|3#11#2625|3#12#2625</v>
      </c>
      <c r="K111" s="154">
        <f t="shared" si="11"/>
        <v>75</v>
      </c>
      <c r="L111" s="154">
        <v>999</v>
      </c>
      <c r="M111" s="154">
        <v>1100</v>
      </c>
      <c r="N111" s="154">
        <v>1</v>
      </c>
      <c r="O111" s="154">
        <v>0</v>
      </c>
      <c r="P111" s="154">
        <v>800</v>
      </c>
      <c r="Q111" s="154"/>
      <c r="R111" s="153">
        <v>125</v>
      </c>
      <c r="S111" s="154"/>
      <c r="T111" s="154">
        <v>2</v>
      </c>
      <c r="U111" s="154">
        <v>5</v>
      </c>
    </row>
    <row r="112" spans="1:21" ht="15.75" x14ac:dyDescent="0.3">
      <c r="A112" s="154">
        <v>17</v>
      </c>
      <c r="B112" s="153" t="str">
        <f t="shared" si="13"/>
        <v>17转首领</v>
      </c>
      <c r="C112" s="153">
        <v>81</v>
      </c>
      <c r="D112" s="153">
        <v>19</v>
      </c>
      <c r="E112" s="153">
        <v>112</v>
      </c>
      <c r="F112" s="153">
        <f t="shared" si="10"/>
        <v>270</v>
      </c>
      <c r="G112" s="153">
        <v>1</v>
      </c>
      <c r="H112" s="153">
        <v>0</v>
      </c>
      <c r="I112" s="153">
        <f>INT(怪物掉落配置方案!D2834/10)*10</f>
        <v>58333300</v>
      </c>
      <c r="J112" s="154" t="str">
        <f>"3#1#"&amp;基本属性!BH27&amp;"|"&amp;"3#3#"&amp;INT(0.8*基本属性!R27)&amp;"|"&amp;"3#4#"&amp;INT(1.2*基本属性!R27)&amp;"|"&amp;"3#5#"&amp;INT(0.8*基本属性!R27)&amp;"|"&amp;"3#6#"&amp;INT(1.2*基本属性!R27)&amp;"|"&amp;"3#7#"&amp;INT(0.8*基本属性!R27)&amp;"|"&amp;"3#8#"&amp;INT(1.2*基本属性!R27)&amp;"|"&amp;"3#9#"&amp;基本属性!S27&amp;"|"&amp;"3#10#"&amp;基本属性!S27&amp;"|"&amp;"3#11#"&amp;基本属性!S27&amp;"|"&amp;"3#12#"&amp;基本属性!S27</f>
        <v>3#1#43880000|3#3#13668|3#4#20502|3#5#13668|3#6#20502|3#7#13668|3#8#20502|3#9#2813|3#10#2813|3#11#2813|3#12#2813</v>
      </c>
      <c r="K112" s="154">
        <f t="shared" si="11"/>
        <v>79</v>
      </c>
      <c r="L112" s="154">
        <v>999</v>
      </c>
      <c r="M112" s="154">
        <v>1100</v>
      </c>
      <c r="N112" s="154">
        <v>1</v>
      </c>
      <c r="O112" s="154">
        <v>0</v>
      </c>
      <c r="P112" s="154">
        <v>800</v>
      </c>
      <c r="Q112" s="154"/>
      <c r="R112" s="153">
        <v>125</v>
      </c>
      <c r="S112" s="154"/>
      <c r="T112" s="154">
        <v>2</v>
      </c>
      <c r="U112" s="154">
        <v>5</v>
      </c>
    </row>
    <row r="113" spans="1:21" ht="15.75" x14ac:dyDescent="0.3">
      <c r="A113" s="154">
        <v>18</v>
      </c>
      <c r="B113" s="153" t="str">
        <f t="shared" si="13"/>
        <v>18转首领</v>
      </c>
      <c r="C113" s="153">
        <v>81</v>
      </c>
      <c r="D113" s="153">
        <v>19</v>
      </c>
      <c r="E113" s="153">
        <v>112</v>
      </c>
      <c r="F113" s="153">
        <f t="shared" si="10"/>
        <v>280</v>
      </c>
      <c r="G113" s="153">
        <v>1</v>
      </c>
      <c r="H113" s="153">
        <v>0</v>
      </c>
      <c r="I113" s="153">
        <f>INT(怪物掉落配置方案!D2835/10)*10</f>
        <v>58333300</v>
      </c>
      <c r="J113" s="154" t="str">
        <f>"3#1#"&amp;基本属性!BH28&amp;"|"&amp;"3#3#"&amp;INT(0.8*基本属性!R28)&amp;"|"&amp;"3#4#"&amp;INT(1.2*基本属性!R28)&amp;"|"&amp;"3#5#"&amp;INT(0.8*基本属性!R28)&amp;"|"&amp;"3#6#"&amp;INT(1.2*基本属性!R28)&amp;"|"&amp;"3#7#"&amp;INT(0.8*基本属性!R28)&amp;"|"&amp;"3#8#"&amp;INT(1.2*基本属性!R28)&amp;"|"&amp;"3#9#"&amp;基本属性!S28&amp;"|"&amp;"3#10#"&amp;基本属性!S28&amp;"|"&amp;"3#11#"&amp;基本属性!S28&amp;"|"&amp;"3#12#"&amp;基本属性!S28</f>
        <v>3#1#51045000|3#3#15856|3#4#23784|3#5#15856|3#6#23784|3#7#15856|3#8#23784|3#9#3000|3#10#3000|3#11#3000|3#12#3000</v>
      </c>
      <c r="K113" s="154">
        <f t="shared" si="11"/>
        <v>84</v>
      </c>
      <c r="L113" s="154">
        <v>999</v>
      </c>
      <c r="M113" s="154">
        <v>1100</v>
      </c>
      <c r="N113" s="154">
        <v>1</v>
      </c>
      <c r="O113" s="154">
        <v>0</v>
      </c>
      <c r="P113" s="154">
        <v>800</v>
      </c>
      <c r="Q113" s="154"/>
      <c r="R113" s="153">
        <v>125</v>
      </c>
      <c r="S113" s="154"/>
      <c r="T113" s="154">
        <v>2</v>
      </c>
      <c r="U113" s="154">
        <v>5</v>
      </c>
    </row>
    <row r="114" spans="1:21" ht="15.75" x14ac:dyDescent="0.3">
      <c r="A114" s="154">
        <v>19</v>
      </c>
      <c r="B114" s="153" t="str">
        <f t="shared" si="13"/>
        <v>19转首领</v>
      </c>
      <c r="C114" s="153">
        <v>81</v>
      </c>
      <c r="D114" s="153">
        <v>19</v>
      </c>
      <c r="E114" s="153">
        <v>112</v>
      </c>
      <c r="F114" s="153">
        <f t="shared" si="10"/>
        <v>280</v>
      </c>
      <c r="G114" s="153">
        <v>1</v>
      </c>
      <c r="H114" s="153">
        <v>0</v>
      </c>
      <c r="I114" s="153">
        <f>INT(怪物掉落配置方案!D2836/10)*10</f>
        <v>58333300</v>
      </c>
      <c r="J114" s="154" t="str">
        <f>"3#1#"&amp;基本属性!BH29&amp;"|"&amp;"3#3#"&amp;INT(0.8*基本属性!R29)&amp;"|"&amp;"3#4#"&amp;INT(1.2*基本属性!R29)&amp;"|"&amp;"3#5#"&amp;INT(0.8*基本属性!R29)&amp;"|"&amp;"3#6#"&amp;INT(1.2*基本属性!R29)&amp;"|"&amp;"3#7#"&amp;INT(0.8*基本属性!R29)&amp;"|"&amp;"3#8#"&amp;INT(1.2*基本属性!R29)&amp;"|"&amp;"3#9#"&amp;基本属性!S29&amp;"|"&amp;"3#10#"&amp;基本属性!S29&amp;"|"&amp;"3#11#"&amp;基本属性!S29&amp;"|"&amp;"3#12#"&amp;基本属性!S29</f>
        <v>3#1#62582000|3#3#19508|3#4#29263|3#5#19508|3#6#29263|3#7#19508|3#8#29263|3#9#3375|3#10#3375|3#11#3375|3#12#3375</v>
      </c>
      <c r="K114" s="154">
        <f t="shared" si="11"/>
        <v>88</v>
      </c>
      <c r="L114" s="154">
        <v>999</v>
      </c>
      <c r="M114" s="154">
        <v>1100</v>
      </c>
      <c r="N114" s="154">
        <v>1</v>
      </c>
      <c r="O114" s="154">
        <v>0</v>
      </c>
      <c r="P114" s="154">
        <v>800</v>
      </c>
      <c r="Q114" s="154"/>
      <c r="R114" s="153">
        <v>125</v>
      </c>
      <c r="S114" s="154"/>
      <c r="T114" s="154">
        <v>2</v>
      </c>
      <c r="U114" s="154">
        <v>5</v>
      </c>
    </row>
    <row r="115" spans="1:21" ht="15.75" x14ac:dyDescent="0.3">
      <c r="A115" s="154">
        <v>20</v>
      </c>
      <c r="B115" s="153" t="str">
        <f t="shared" si="13"/>
        <v>20转首领</v>
      </c>
      <c r="C115" s="153">
        <v>81</v>
      </c>
      <c r="D115" s="153">
        <v>19</v>
      </c>
      <c r="E115" s="153">
        <v>112</v>
      </c>
      <c r="F115" s="153">
        <f t="shared" si="10"/>
        <v>290</v>
      </c>
      <c r="G115" s="153">
        <v>1</v>
      </c>
      <c r="H115" s="153">
        <v>0</v>
      </c>
      <c r="I115" s="153">
        <f>INT(怪物掉落配置方案!D2837/10)*10</f>
        <v>58333300</v>
      </c>
      <c r="J115" s="154" t="str">
        <f>"3#1#"&amp;基本属性!BH30&amp;"|"&amp;"3#3#"&amp;INT(0.8*基本属性!R30)&amp;"|"&amp;"3#4#"&amp;INT(1.2*基本属性!R30)&amp;"|"&amp;"3#5#"&amp;INT(0.8*基本属性!R30)&amp;"|"&amp;"3#6#"&amp;INT(1.2*基本属性!R30)&amp;"|"&amp;"3#7#"&amp;INT(0.8*基本属性!R30)&amp;"|"&amp;"3#8#"&amp;INT(1.2*基本属性!R30)&amp;"|"&amp;"3#9#"&amp;基本属性!S30&amp;"|"&amp;"3#10#"&amp;基本属性!S30&amp;"|"&amp;"3#11#"&amp;基本属性!S30&amp;"|"&amp;"3#12#"&amp;基本属性!S30</f>
        <v>3#1#84334000|3#3#25232|3#4#37848|3#5#25232|3#6#37848|3#7#25232|3#8#37848|3#9#3750|3#10#3750|3#11#3750|3#12#3750</v>
      </c>
      <c r="K115" s="154">
        <f t="shared" si="11"/>
        <v>96</v>
      </c>
      <c r="L115" s="154">
        <v>999</v>
      </c>
      <c r="M115" s="154">
        <v>1100</v>
      </c>
      <c r="N115" s="154">
        <v>1</v>
      </c>
      <c r="O115" s="154">
        <v>0</v>
      </c>
      <c r="P115" s="154">
        <v>800</v>
      </c>
      <c r="Q115" s="154"/>
      <c r="R115" s="153">
        <v>125</v>
      </c>
      <c r="S115" s="154"/>
      <c r="T115" s="154">
        <v>2</v>
      </c>
      <c r="U115" s="154">
        <v>5</v>
      </c>
    </row>
    <row r="116" spans="1:21" s="155" customFormat="1" x14ac:dyDescent="0.3">
      <c r="A116" s="155" t="s">
        <v>3389</v>
      </c>
      <c r="B116" s="156"/>
      <c r="C116" s="156"/>
      <c r="D116" s="156"/>
      <c r="E116" s="156"/>
      <c r="F116" s="156"/>
      <c r="G116" s="156"/>
      <c r="H116" s="156"/>
      <c r="I116" s="156"/>
      <c r="R116" s="156"/>
    </row>
    <row r="117" spans="1:21" s="154" customFormat="1" x14ac:dyDescent="0.3">
      <c r="A117" s="154">
        <v>35</v>
      </c>
      <c r="B117" s="153" t="str">
        <f>A117&amp;"级BOSS"</f>
        <v>35级BOSS</v>
      </c>
      <c r="C117" s="153">
        <v>81</v>
      </c>
      <c r="D117" s="153">
        <v>19</v>
      </c>
      <c r="E117" s="153">
        <v>112</v>
      </c>
      <c r="F117" s="153">
        <f t="shared" ref="F117:F143" si="14">F5+55</f>
        <v>90</v>
      </c>
      <c r="G117" s="153">
        <v>1</v>
      </c>
      <c r="H117" s="153">
        <v>1</v>
      </c>
      <c r="I117" s="153">
        <f>INT(怪物掉落配置方案!D759/10)*10</f>
        <v>166600</v>
      </c>
      <c r="J117" s="154" t="str">
        <f>"3#1#"&amp;基本属性!BI4&amp;"|"&amp;"3#3#"&amp;INT(0.8*基本属性!U4)&amp;"|"&amp;"3#4#"&amp;INT(1.2*基本属性!U4)&amp;"|"&amp;"3#5#"&amp;INT(0.8*基本属性!U4)&amp;"|"&amp;"3#6#"&amp;INT(1.2*基本属性!U4)&amp;"|"&amp;"3#7#"&amp;INT(0.8*基本属性!U4)&amp;"|"&amp;"3#8#"&amp;INT(1.2*基本属性!U4)&amp;"|"&amp;"3#9#"&amp;基本属性!V4&amp;"|"&amp;"3#10#"&amp;基本属性!V4&amp;"|"&amp;"3#11#"&amp;基本属性!V4&amp;"|"&amp;"3#12#"&amp;基本属性!V4</f>
        <v>3#1#170000|3#3#180|3#4#270|3#5#180|3#6#270|3#7#180|3#8#270|3#9#110|3#10#110|3#11#110|3#12#110</v>
      </c>
      <c r="K117" s="154">
        <f t="shared" ref="K117:K143" si="15">K5</f>
        <v>2</v>
      </c>
      <c r="L117" s="154">
        <v>999</v>
      </c>
      <c r="M117" s="154">
        <v>1200</v>
      </c>
      <c r="N117" s="154">
        <v>1</v>
      </c>
      <c r="O117" s="154">
        <v>0</v>
      </c>
      <c r="P117" s="154">
        <v>800</v>
      </c>
      <c r="R117" s="153">
        <v>249</v>
      </c>
      <c r="T117" s="154">
        <v>3</v>
      </c>
      <c r="U117" s="154">
        <v>5</v>
      </c>
    </row>
    <row r="118" spans="1:21" ht="15.75" x14ac:dyDescent="0.3">
      <c r="A118" s="154">
        <v>40</v>
      </c>
      <c r="B118" s="153" t="str">
        <f t="shared" ref="B118:B123" si="16">A118&amp;"级BOSS"</f>
        <v>40级BOSS</v>
      </c>
      <c r="C118" s="153">
        <v>81</v>
      </c>
      <c r="D118" s="153">
        <v>19</v>
      </c>
      <c r="E118" s="153">
        <v>112</v>
      </c>
      <c r="F118" s="153">
        <f t="shared" si="14"/>
        <v>95</v>
      </c>
      <c r="G118" s="153">
        <v>1</v>
      </c>
      <c r="H118" s="153">
        <v>1</v>
      </c>
      <c r="I118" s="153">
        <f>INT(怪物掉落配置方案!D760/10)*10</f>
        <v>319400</v>
      </c>
      <c r="J118" s="154" t="str">
        <f>"3#1#"&amp;基本属性!BI5&amp;"|"&amp;"3#3#"&amp;INT(0.8*基本属性!U5)&amp;"|"&amp;"3#4#"&amp;INT(1.2*基本属性!U5)&amp;"|"&amp;"3#5#"&amp;INT(0.8*基本属性!U5)&amp;"|"&amp;"3#6#"&amp;INT(1.2*基本属性!U5)&amp;"|"&amp;"3#7#"&amp;INT(0.8*基本属性!U5)&amp;"|"&amp;"3#8#"&amp;INT(1.2*基本属性!U5)&amp;"|"&amp;"3#9#"&amp;基本属性!V5&amp;"|"&amp;"3#10#"&amp;基本属性!V5&amp;"|"&amp;"3#11#"&amp;基本属性!V5&amp;"|"&amp;"3#12#"&amp;基本属性!V5</f>
        <v>3#1#290000|3#3#277|3#4#416|3#5#277|3#6#416|3#7#277|3#8#416|3#9#165|3#10#165|3#11#165|3#12#165</v>
      </c>
      <c r="K118" s="154">
        <f t="shared" si="15"/>
        <v>4</v>
      </c>
      <c r="L118" s="154">
        <v>999</v>
      </c>
      <c r="M118" s="154">
        <v>1200</v>
      </c>
      <c r="N118" s="154">
        <v>1</v>
      </c>
      <c r="O118" s="154">
        <v>0</v>
      </c>
      <c r="P118" s="154">
        <v>800</v>
      </c>
      <c r="Q118" s="154"/>
      <c r="R118" s="153">
        <v>249</v>
      </c>
      <c r="S118" s="154"/>
      <c r="T118" s="154">
        <v>3</v>
      </c>
      <c r="U118" s="154">
        <v>5</v>
      </c>
    </row>
    <row r="119" spans="1:21" ht="15.75" x14ac:dyDescent="0.3">
      <c r="A119" s="154">
        <v>50</v>
      </c>
      <c r="B119" s="153" t="str">
        <f t="shared" si="16"/>
        <v>50级BOSS</v>
      </c>
      <c r="C119" s="153">
        <v>81</v>
      </c>
      <c r="D119" s="153">
        <v>19</v>
      </c>
      <c r="E119" s="153">
        <v>112</v>
      </c>
      <c r="F119" s="153">
        <f t="shared" si="14"/>
        <v>105</v>
      </c>
      <c r="G119" s="153">
        <v>1</v>
      </c>
      <c r="H119" s="153">
        <v>1</v>
      </c>
      <c r="I119" s="153">
        <f>INT(怪物掉落配置方案!D761/10)*10</f>
        <v>866600</v>
      </c>
      <c r="J119" s="154" t="str">
        <f>"3#1#"&amp;基本属性!BI6&amp;"|"&amp;"3#3#"&amp;INT(0.8*基本属性!U6)&amp;"|"&amp;"3#4#"&amp;INT(1.2*基本属性!U6)&amp;"|"&amp;"3#5#"&amp;INT(0.8*基本属性!U6)&amp;"|"&amp;"3#6#"&amp;INT(1.2*基本属性!U6)&amp;"|"&amp;"3#7#"&amp;INT(0.8*基本属性!U6)&amp;"|"&amp;"3#8#"&amp;INT(1.2*基本属性!U6)&amp;"|"&amp;"3#9#"&amp;基本属性!V6&amp;"|"&amp;"3#10#"&amp;基本属性!V6&amp;"|"&amp;"3#11#"&amp;基本属性!V6&amp;"|"&amp;"3#12#"&amp;基本属性!V6</f>
        <v>3#1#440000|3#3#380|3#4#570|3#5#380|3#6#570|3#7#380|3#8#570|3#9#220|3#10#220|3#11#220|3#12#220</v>
      </c>
      <c r="K119" s="154">
        <f t="shared" si="15"/>
        <v>6</v>
      </c>
      <c r="L119" s="154">
        <v>999</v>
      </c>
      <c r="M119" s="154">
        <v>1200</v>
      </c>
      <c r="N119" s="154">
        <v>1</v>
      </c>
      <c r="O119" s="154">
        <v>0</v>
      </c>
      <c r="P119" s="154">
        <v>800</v>
      </c>
      <c r="Q119" s="154"/>
      <c r="R119" s="153">
        <v>249</v>
      </c>
      <c r="S119" s="154"/>
      <c r="T119" s="154">
        <v>3</v>
      </c>
      <c r="U119" s="154">
        <v>5</v>
      </c>
    </row>
    <row r="120" spans="1:21" ht="15.75" x14ac:dyDescent="0.3">
      <c r="A120" s="154">
        <v>60</v>
      </c>
      <c r="B120" s="153" t="str">
        <f t="shared" si="16"/>
        <v>60级BOSS</v>
      </c>
      <c r="C120" s="153">
        <v>81</v>
      </c>
      <c r="D120" s="153">
        <v>19</v>
      </c>
      <c r="E120" s="153">
        <v>112</v>
      </c>
      <c r="F120" s="153">
        <f t="shared" si="14"/>
        <v>115</v>
      </c>
      <c r="G120" s="153">
        <v>1</v>
      </c>
      <c r="H120" s="153">
        <v>1</v>
      </c>
      <c r="I120" s="153">
        <f>INT(怪物掉落配置方案!D762/10)*10</f>
        <v>1083400</v>
      </c>
      <c r="J120" s="154" t="str">
        <f>"3#1#"&amp;基本属性!BI7&amp;"|"&amp;"3#3#"&amp;INT(0.8*基本属性!U7)&amp;"|"&amp;"3#4#"&amp;INT(1.2*基本属性!U7)&amp;"|"&amp;"3#5#"&amp;INT(0.8*基本属性!U7)&amp;"|"&amp;"3#6#"&amp;INT(1.2*基本属性!U7)&amp;"|"&amp;"3#7#"&amp;INT(0.8*基本属性!U7)&amp;"|"&amp;"3#8#"&amp;INT(1.2*基本属性!U7)&amp;"|"&amp;"3#9#"&amp;基本属性!V7&amp;"|"&amp;"3#10#"&amp;基本属性!V7&amp;"|"&amp;"3#11#"&amp;基本属性!V7&amp;"|"&amp;"3#12#"&amp;基本属性!V7</f>
        <v>3#1#670000|3#3#489|3#4#734|3#5#489|3#6#734|3#7#489|3#8#734|3#9#275|3#10#275|3#11#275|3#12#275</v>
      </c>
      <c r="K120" s="154">
        <f t="shared" si="15"/>
        <v>9</v>
      </c>
      <c r="L120" s="154">
        <v>999</v>
      </c>
      <c r="M120" s="154">
        <v>1200</v>
      </c>
      <c r="N120" s="154">
        <v>1</v>
      </c>
      <c r="O120" s="154">
        <v>0</v>
      </c>
      <c r="P120" s="154">
        <v>800</v>
      </c>
      <c r="Q120" s="154"/>
      <c r="R120" s="153">
        <v>249</v>
      </c>
      <c r="S120" s="154"/>
      <c r="T120" s="154">
        <v>3</v>
      </c>
      <c r="U120" s="154">
        <v>5</v>
      </c>
    </row>
    <row r="121" spans="1:21" ht="15.75" x14ac:dyDescent="0.3">
      <c r="A121" s="154">
        <v>65</v>
      </c>
      <c r="B121" s="153" t="str">
        <f t="shared" si="16"/>
        <v>65级BOSS</v>
      </c>
      <c r="C121" s="153">
        <v>81</v>
      </c>
      <c r="D121" s="153">
        <v>19</v>
      </c>
      <c r="E121" s="153">
        <v>112</v>
      </c>
      <c r="F121" s="153">
        <f t="shared" si="14"/>
        <v>120</v>
      </c>
      <c r="G121" s="153">
        <v>1</v>
      </c>
      <c r="H121" s="153">
        <v>1</v>
      </c>
      <c r="I121" s="153">
        <f>INT(怪物掉落配置方案!D763/10)*10</f>
        <v>1088800</v>
      </c>
      <c r="J121" s="154" t="str">
        <f>"3#1#"&amp;基本属性!BI8&amp;"|"&amp;"3#3#"&amp;INT(0.8*基本属性!U8)&amp;"|"&amp;"3#4#"&amp;INT(1.2*基本属性!U8)&amp;"|"&amp;"3#5#"&amp;INT(0.8*基本属性!U8)&amp;"|"&amp;"3#6#"&amp;INT(1.2*基本属性!U8)&amp;"|"&amp;"3#7#"&amp;INT(0.8*基本属性!U8)&amp;"|"&amp;"3#8#"&amp;INT(1.2*基本属性!U8)&amp;"|"&amp;"3#9#"&amp;基本属性!V8&amp;"|"&amp;"3#10#"&amp;基本属性!V8&amp;"|"&amp;"3#11#"&amp;基本属性!V8&amp;"|"&amp;"3#12#"&amp;基本属性!V8</f>
        <v>3#1#960000|3#3#656|3#4#984|3#5#656|3#6#984|3#7#656|3#8#984|3#9#358|3#10#358|3#11#358|3#12#358</v>
      </c>
      <c r="K121" s="154">
        <f t="shared" si="15"/>
        <v>12</v>
      </c>
      <c r="L121" s="154">
        <v>999</v>
      </c>
      <c r="M121" s="154">
        <v>1200</v>
      </c>
      <c r="N121" s="154">
        <v>1</v>
      </c>
      <c r="O121" s="154">
        <v>0</v>
      </c>
      <c r="P121" s="154">
        <v>800</v>
      </c>
      <c r="Q121" s="154"/>
      <c r="R121" s="153">
        <v>249</v>
      </c>
      <c r="S121" s="154"/>
      <c r="T121" s="154">
        <v>3</v>
      </c>
      <c r="U121" s="154">
        <v>5</v>
      </c>
    </row>
    <row r="122" spans="1:21" ht="15.75" x14ac:dyDescent="0.3">
      <c r="A122" s="154">
        <v>70</v>
      </c>
      <c r="B122" s="153" t="str">
        <f t="shared" si="16"/>
        <v>70级BOSS</v>
      </c>
      <c r="C122" s="153">
        <v>81</v>
      </c>
      <c r="D122" s="153">
        <v>19</v>
      </c>
      <c r="E122" s="153">
        <v>112</v>
      </c>
      <c r="F122" s="153">
        <f t="shared" si="14"/>
        <v>125</v>
      </c>
      <c r="G122" s="153">
        <v>1</v>
      </c>
      <c r="H122" s="153">
        <v>1</v>
      </c>
      <c r="I122" s="153">
        <f>INT(怪物掉落配置方案!D764/10)*10</f>
        <v>1114800</v>
      </c>
      <c r="J122" s="154" t="str">
        <f>"3#1#"&amp;基本属性!BI9&amp;"|"&amp;"3#3#"&amp;INT(0.8*基本属性!U9)&amp;"|"&amp;"3#4#"&amp;INT(1.2*基本属性!U9)&amp;"|"&amp;"3#5#"&amp;INT(0.8*基本属性!U9)&amp;"|"&amp;"3#6#"&amp;INT(1.2*基本属性!U9)&amp;"|"&amp;"3#7#"&amp;INT(0.8*基本属性!U9)&amp;"|"&amp;"3#8#"&amp;INT(1.2*基本属性!U9)&amp;"|"&amp;"3#9#"&amp;基本属性!V9&amp;"|"&amp;"3#10#"&amp;基本属性!V9&amp;"|"&amp;"3#11#"&amp;基本属性!V9&amp;"|"&amp;"3#12#"&amp;基本属性!V9</f>
        <v>3#1#1310000|3#3#833|3#4#1250|3#5#833|3#6#1250|3#7#833|3#8#1250|3#9#440|3#10#440|3#11#440|3#12#440</v>
      </c>
      <c r="K122" s="154">
        <f t="shared" si="15"/>
        <v>14</v>
      </c>
      <c r="L122" s="154">
        <v>999</v>
      </c>
      <c r="M122" s="154">
        <v>1200</v>
      </c>
      <c r="N122" s="154">
        <v>1</v>
      </c>
      <c r="O122" s="154">
        <v>0</v>
      </c>
      <c r="P122" s="154">
        <v>800</v>
      </c>
      <c r="Q122" s="154"/>
      <c r="R122" s="153">
        <v>249</v>
      </c>
      <c r="S122" s="154"/>
      <c r="T122" s="154">
        <v>3</v>
      </c>
      <c r="U122" s="154">
        <v>5</v>
      </c>
    </row>
    <row r="123" spans="1:21" ht="15.75" x14ac:dyDescent="0.3">
      <c r="A123" s="154">
        <v>75</v>
      </c>
      <c r="B123" s="153" t="str">
        <f t="shared" si="16"/>
        <v>75级BOSS</v>
      </c>
      <c r="C123" s="153">
        <v>81</v>
      </c>
      <c r="D123" s="153">
        <v>19</v>
      </c>
      <c r="E123" s="153">
        <v>112</v>
      </c>
      <c r="F123" s="153">
        <f t="shared" si="14"/>
        <v>130</v>
      </c>
      <c r="G123" s="153">
        <v>1</v>
      </c>
      <c r="H123" s="153">
        <v>1</v>
      </c>
      <c r="I123" s="153">
        <f>INT(怪物掉落配置方案!D765/10)*10</f>
        <v>1258200</v>
      </c>
      <c r="J123" s="154" t="str">
        <f>"3#1#"&amp;基本属性!BI10&amp;"|"&amp;"3#3#"&amp;INT(0.8*基本属性!U10)&amp;"|"&amp;"3#4#"&amp;INT(1.2*基本属性!U10)&amp;"|"&amp;"3#5#"&amp;INT(0.8*基本属性!U10)&amp;"|"&amp;"3#6#"&amp;INT(1.2*基本属性!U10)&amp;"|"&amp;"3#7#"&amp;INT(0.8*基本属性!U10)&amp;"|"&amp;"3#8#"&amp;INT(1.2*基本属性!U10)&amp;"|"&amp;"3#9#"&amp;基本属性!V10&amp;"|"&amp;"3#10#"&amp;基本属性!V10&amp;"|"&amp;"3#11#"&amp;基本属性!V10&amp;"|"&amp;"3#12#"&amp;基本属性!V10</f>
        <v>3#1#1870000|3#3#1023|3#4#1534|3#5#1023|3#6#1534|3#7#1023|3#8#1534|3#9#523|3#10#523|3#11#523|3#12#523</v>
      </c>
      <c r="K123" s="154">
        <f t="shared" si="15"/>
        <v>17</v>
      </c>
      <c r="L123" s="154">
        <v>999</v>
      </c>
      <c r="M123" s="154">
        <v>1200</v>
      </c>
      <c r="N123" s="154">
        <v>1</v>
      </c>
      <c r="O123" s="154">
        <v>0</v>
      </c>
      <c r="P123" s="154">
        <v>800</v>
      </c>
      <c r="Q123" s="154"/>
      <c r="R123" s="153">
        <v>249</v>
      </c>
      <c r="S123" s="154"/>
      <c r="T123" s="154">
        <v>3</v>
      </c>
      <c r="U123" s="154">
        <v>5</v>
      </c>
    </row>
    <row r="124" spans="1:21" ht="15.75" x14ac:dyDescent="0.3">
      <c r="A124" s="154">
        <v>1</v>
      </c>
      <c r="B124" s="153" t="str">
        <f>A124&amp;"转BOSS"</f>
        <v>1转BOSS</v>
      </c>
      <c r="C124" s="153">
        <v>81</v>
      </c>
      <c r="D124" s="153">
        <v>19</v>
      </c>
      <c r="E124" s="153">
        <v>112</v>
      </c>
      <c r="F124" s="153">
        <f t="shared" si="14"/>
        <v>135</v>
      </c>
      <c r="G124" s="153">
        <v>1</v>
      </c>
      <c r="H124" s="153">
        <v>1</v>
      </c>
      <c r="I124" s="153">
        <f>INT(怪物掉落配置方案!D766/10)*10</f>
        <v>2016200</v>
      </c>
      <c r="J124" s="154" t="str">
        <f>"3#1#"&amp;基本属性!BI11&amp;"|"&amp;"3#3#"&amp;INT(0.8*基本属性!U11)&amp;"|"&amp;"3#4#"&amp;INT(1.2*基本属性!U11)&amp;"|"&amp;"3#5#"&amp;INT(0.8*基本属性!U11)&amp;"|"&amp;"3#6#"&amp;INT(1.2*基本属性!U11)&amp;"|"&amp;"3#7#"&amp;INT(0.8*基本属性!U11)&amp;"|"&amp;"3#8#"&amp;INT(1.2*基本属性!U11)&amp;"|"&amp;"3#9#"&amp;基本属性!V11&amp;"|"&amp;"3#10#"&amp;基本属性!V11&amp;"|"&amp;"3#11#"&amp;基本属性!V11&amp;"|"&amp;"3#12#"&amp;基本属性!V11</f>
        <v>3#1#2390000|3#3#1227|3#4#1840|3#5#1227|3#6#1840|3#7#1227|3#8#1840|3#9#605|3#10#605|3#11#605|3#12#605</v>
      </c>
      <c r="K124" s="154">
        <f t="shared" si="15"/>
        <v>20</v>
      </c>
      <c r="L124" s="154">
        <v>999</v>
      </c>
      <c r="M124" s="154">
        <v>1200</v>
      </c>
      <c r="N124" s="154">
        <v>1</v>
      </c>
      <c r="O124" s="154">
        <v>0</v>
      </c>
      <c r="P124" s="154">
        <v>800</v>
      </c>
      <c r="Q124" s="154"/>
      <c r="R124" s="153">
        <v>249</v>
      </c>
      <c r="S124" s="154"/>
      <c r="T124" s="154">
        <v>3</v>
      </c>
      <c r="U124" s="154">
        <v>5</v>
      </c>
    </row>
    <row r="125" spans="1:21" ht="15.75" x14ac:dyDescent="0.3">
      <c r="A125" s="154">
        <v>2</v>
      </c>
      <c r="B125" s="153" t="str">
        <f t="shared" ref="B125:B143" si="17">A125&amp;"转BOSS"</f>
        <v>2转BOSS</v>
      </c>
      <c r="C125" s="153">
        <v>81</v>
      </c>
      <c r="D125" s="153">
        <v>19</v>
      </c>
      <c r="E125" s="153">
        <v>112</v>
      </c>
      <c r="F125" s="153">
        <f t="shared" si="14"/>
        <v>145</v>
      </c>
      <c r="G125" s="153">
        <v>1</v>
      </c>
      <c r="H125" s="153">
        <v>1</v>
      </c>
      <c r="I125" s="153">
        <f>INT(怪物掉落配置方案!D767/10)*10</f>
        <v>3467000</v>
      </c>
      <c r="J125" s="154" t="str">
        <f>"3#1#"&amp;基本属性!BI12&amp;"|"&amp;"3#3#"&amp;INT(0.8*基本属性!U12)&amp;"|"&amp;"3#4#"&amp;INT(1.2*基本属性!U12)&amp;"|"&amp;"3#5#"&amp;INT(0.8*基本属性!U12)&amp;"|"&amp;"3#6#"&amp;INT(1.2*基本属性!U12)&amp;"|"&amp;"3#7#"&amp;INT(0.8*基本属性!U12)&amp;"|"&amp;"3#8#"&amp;INT(1.2*基本属性!U12)&amp;"|"&amp;"3#9#"&amp;基本属性!V12&amp;"|"&amp;"3#10#"&amp;基本属性!V12&amp;"|"&amp;"3#11#"&amp;基本属性!V12&amp;"|"&amp;"3#12#"&amp;基本属性!V12</f>
        <v>3#1#3350000|3#3#1620|3#4#2430|3#5#1620|3#6#2430|3#7#1620|3#8#2430|3#9#770|3#10#770|3#11#770|3#12#770</v>
      </c>
      <c r="K125" s="154">
        <f t="shared" si="15"/>
        <v>23</v>
      </c>
      <c r="L125" s="154">
        <v>999</v>
      </c>
      <c r="M125" s="154">
        <v>1200</v>
      </c>
      <c r="N125" s="154">
        <v>1</v>
      </c>
      <c r="O125" s="154">
        <v>0</v>
      </c>
      <c r="P125" s="154">
        <v>800</v>
      </c>
      <c r="Q125" s="154"/>
      <c r="R125" s="153">
        <v>249</v>
      </c>
      <c r="S125" s="154"/>
      <c r="T125" s="154">
        <v>3</v>
      </c>
      <c r="U125" s="154">
        <v>5</v>
      </c>
    </row>
    <row r="126" spans="1:21" ht="15.75" x14ac:dyDescent="0.3">
      <c r="A126" s="154">
        <v>3</v>
      </c>
      <c r="B126" s="153" t="str">
        <f t="shared" si="17"/>
        <v>3转BOSS</v>
      </c>
      <c r="C126" s="153">
        <v>81</v>
      </c>
      <c r="D126" s="153">
        <v>19</v>
      </c>
      <c r="E126" s="153">
        <v>112</v>
      </c>
      <c r="F126" s="153">
        <f t="shared" si="14"/>
        <v>155</v>
      </c>
      <c r="G126" s="153">
        <v>1</v>
      </c>
      <c r="H126" s="153">
        <v>1</v>
      </c>
      <c r="I126" s="153">
        <f>INT(怪物掉落配置方案!D768/10)*10</f>
        <v>4079400</v>
      </c>
      <c r="J126" s="154" t="str">
        <f>"3#1#"&amp;基本属性!BI13&amp;"|"&amp;"3#3#"&amp;INT(0.8*基本属性!U13)&amp;"|"&amp;"3#4#"&amp;INT(1.2*基本属性!U13)&amp;"|"&amp;"3#5#"&amp;INT(0.8*基本属性!U13)&amp;"|"&amp;"3#6#"&amp;INT(1.2*基本属性!U13)&amp;"|"&amp;"3#7#"&amp;INT(0.8*基本属性!U13)&amp;"|"&amp;"3#8#"&amp;INT(1.2*基本属性!U13)&amp;"|"&amp;"3#9#"&amp;基本属性!V13&amp;"|"&amp;"3#10#"&amp;基本属性!V13&amp;"|"&amp;"3#11#"&amp;基本属性!V13&amp;"|"&amp;"3#12#"&amp;基本属性!V13</f>
        <v>3#1#4750000|3#3#2165|3#4#3248|3#5#2165|3#6#3248|3#7#2165|3#8#3248|3#9#990|3#10#990|3#11#990|3#12#990</v>
      </c>
      <c r="K126" s="154">
        <f t="shared" si="15"/>
        <v>26</v>
      </c>
      <c r="L126" s="154">
        <v>999</v>
      </c>
      <c r="M126" s="154">
        <v>1200</v>
      </c>
      <c r="N126" s="154">
        <v>1</v>
      </c>
      <c r="O126" s="154">
        <v>0</v>
      </c>
      <c r="P126" s="154">
        <v>800</v>
      </c>
      <c r="Q126" s="154"/>
      <c r="R126" s="153">
        <v>249</v>
      </c>
      <c r="S126" s="154"/>
      <c r="T126" s="154">
        <v>3</v>
      </c>
      <c r="U126" s="154">
        <v>5</v>
      </c>
    </row>
    <row r="127" spans="1:21" ht="15.75" x14ac:dyDescent="0.3">
      <c r="A127" s="154">
        <v>4</v>
      </c>
      <c r="B127" s="153" t="str">
        <f t="shared" si="17"/>
        <v>4转BOSS</v>
      </c>
      <c r="C127" s="153">
        <v>81</v>
      </c>
      <c r="D127" s="153">
        <v>19</v>
      </c>
      <c r="E127" s="153">
        <v>112</v>
      </c>
      <c r="F127" s="153">
        <f t="shared" si="14"/>
        <v>160</v>
      </c>
      <c r="G127" s="153">
        <v>1</v>
      </c>
      <c r="H127" s="153">
        <v>1</v>
      </c>
      <c r="I127" s="153">
        <f>INT(怪物掉落配置方案!D769/10)*10</f>
        <v>6300000</v>
      </c>
      <c r="J127" s="154" t="str">
        <f>"3#1#"&amp;基本属性!BI14&amp;"|"&amp;"3#3#"&amp;INT(0.8*基本属性!U14)&amp;"|"&amp;"3#4#"&amp;INT(1.2*基本属性!U14)&amp;"|"&amp;"3#5#"&amp;INT(0.8*基本属性!U14)&amp;"|"&amp;"3#6#"&amp;INT(1.2*基本属性!U14)&amp;"|"&amp;"3#7#"&amp;INT(0.8*基本属性!U14)&amp;"|"&amp;"3#8#"&amp;INT(1.2*基本属性!U14)&amp;"|"&amp;"3#9#"&amp;基本属性!V14&amp;"|"&amp;"3#10#"&amp;基本属性!V14&amp;"|"&amp;"3#11#"&amp;基本属性!V14&amp;"|"&amp;"3#12#"&amp;基本属性!V14</f>
        <v>3#1#6920000|3#3#2756|3#4#4134|3#5#2756|3#6#4134|3#7#2756|3#8#4134|3#9#1210|3#10#1210|3#11#1210|3#12#1210</v>
      </c>
      <c r="K127" s="154">
        <f t="shared" si="15"/>
        <v>29</v>
      </c>
      <c r="L127" s="154">
        <v>999</v>
      </c>
      <c r="M127" s="154">
        <v>1200</v>
      </c>
      <c r="N127" s="154">
        <v>1</v>
      </c>
      <c r="O127" s="154">
        <v>0</v>
      </c>
      <c r="P127" s="154">
        <v>800</v>
      </c>
      <c r="Q127" s="154"/>
      <c r="R127" s="153">
        <v>249</v>
      </c>
      <c r="S127" s="154"/>
      <c r="T127" s="154">
        <v>3</v>
      </c>
      <c r="U127" s="154">
        <v>5</v>
      </c>
    </row>
    <row r="128" spans="1:21" ht="15.75" x14ac:dyDescent="0.3">
      <c r="A128" s="154">
        <v>5</v>
      </c>
      <c r="B128" s="153" t="str">
        <f t="shared" si="17"/>
        <v>5转BOSS</v>
      </c>
      <c r="C128" s="153">
        <v>81</v>
      </c>
      <c r="D128" s="153">
        <v>19</v>
      </c>
      <c r="E128" s="153">
        <v>112</v>
      </c>
      <c r="F128" s="153">
        <f t="shared" si="14"/>
        <v>165</v>
      </c>
      <c r="G128" s="153">
        <v>1</v>
      </c>
      <c r="H128" s="153">
        <v>1</v>
      </c>
      <c r="I128" s="153">
        <f>INT(怪物掉落配置方案!D770/10)*10</f>
        <v>6511200</v>
      </c>
      <c r="J128" s="154" t="str">
        <f>"3#1#"&amp;基本属性!BI15&amp;"|"&amp;"3#3#"&amp;INT(0.8*基本属性!U15)&amp;"|"&amp;"3#4#"&amp;INT(1.2*基本属性!U15)&amp;"|"&amp;"3#5#"&amp;INT(0.8*基本属性!U15)&amp;"|"&amp;"3#6#"&amp;INT(1.2*基本属性!U15)&amp;"|"&amp;"3#7#"&amp;INT(0.8*基本属性!U15)&amp;"|"&amp;"3#8#"&amp;INT(1.2*基本属性!U15)&amp;"|"&amp;"3#9#"&amp;基本属性!V15&amp;"|"&amp;"3#10#"&amp;基本属性!V15&amp;"|"&amp;"3#11#"&amp;基本属性!V15&amp;"|"&amp;"3#12#"&amp;基本属性!V15</f>
        <v>3#1#8820000|3#3#3332|3#4#4999|3#5#3332|3#6#4999|3#7#3332|3#8#4999|3#9#1403|3#10#1403|3#11#1403|3#12#1403</v>
      </c>
      <c r="K128" s="154">
        <f t="shared" si="15"/>
        <v>32</v>
      </c>
      <c r="L128" s="154">
        <v>999</v>
      </c>
      <c r="M128" s="154">
        <v>1200</v>
      </c>
      <c r="N128" s="154">
        <v>1</v>
      </c>
      <c r="O128" s="154">
        <v>0</v>
      </c>
      <c r="P128" s="154">
        <v>800</v>
      </c>
      <c r="Q128" s="154"/>
      <c r="R128" s="153">
        <v>249</v>
      </c>
      <c r="S128" s="154"/>
      <c r="T128" s="154">
        <v>3</v>
      </c>
      <c r="U128" s="154">
        <v>5</v>
      </c>
    </row>
    <row r="129" spans="1:21" ht="15.75" x14ac:dyDescent="0.3">
      <c r="A129" s="154">
        <v>6</v>
      </c>
      <c r="B129" s="153" t="str">
        <f t="shared" si="17"/>
        <v>6转BOSS</v>
      </c>
      <c r="C129" s="153">
        <v>81</v>
      </c>
      <c r="D129" s="153">
        <v>19</v>
      </c>
      <c r="E129" s="153">
        <v>112</v>
      </c>
      <c r="F129" s="153">
        <f t="shared" si="14"/>
        <v>175</v>
      </c>
      <c r="G129" s="153">
        <v>1</v>
      </c>
      <c r="H129" s="153">
        <v>1</v>
      </c>
      <c r="I129" s="153">
        <f>INT(怪物掉落配置方案!D771/10)*10</f>
        <v>25962800</v>
      </c>
      <c r="J129" s="154" t="str">
        <f>"3#1#"&amp;基本属性!BI16&amp;"|"&amp;"3#3#"&amp;INT(0.8*基本属性!U16)&amp;"|"&amp;"3#4#"&amp;INT(1.2*基本属性!U16)&amp;"|"&amp;"3#5#"&amp;INT(0.8*基本属性!U16)&amp;"|"&amp;"3#6#"&amp;INT(1.2*基本属性!U16)&amp;"|"&amp;"3#7#"&amp;INT(0.8*基本属性!U16)&amp;"|"&amp;"3#8#"&amp;INT(1.2*基本属性!U16)&amp;"|"&amp;"3#9#"&amp;基本属性!V16&amp;"|"&amp;"3#10#"&amp;基本属性!V16&amp;"|"&amp;"3#11#"&amp;基本属性!V16&amp;"|"&amp;"3#12#"&amp;基本属性!V16</f>
        <v>3#1#11020000|3#3#3962|3#4#5943|3#5#3962|3#6#5943|3#7#3962|3#8#5943|3#9#1595|3#10#1595|3#11#1595|3#12#1595</v>
      </c>
      <c r="K129" s="154">
        <f t="shared" si="15"/>
        <v>36</v>
      </c>
      <c r="L129" s="154">
        <v>999</v>
      </c>
      <c r="M129" s="154">
        <v>1200</v>
      </c>
      <c r="N129" s="154">
        <v>1</v>
      </c>
      <c r="O129" s="154">
        <v>0</v>
      </c>
      <c r="P129" s="154">
        <v>800</v>
      </c>
      <c r="Q129" s="154"/>
      <c r="R129" s="153">
        <v>249</v>
      </c>
      <c r="S129" s="154"/>
      <c r="T129" s="154">
        <v>3</v>
      </c>
      <c r="U129" s="154">
        <v>5</v>
      </c>
    </row>
    <row r="130" spans="1:21" ht="15.75" x14ac:dyDescent="0.3">
      <c r="A130" s="154">
        <v>7</v>
      </c>
      <c r="B130" s="153" t="str">
        <f t="shared" si="17"/>
        <v>7转BOSS</v>
      </c>
      <c r="C130" s="153">
        <v>81</v>
      </c>
      <c r="D130" s="153">
        <v>19</v>
      </c>
      <c r="E130" s="153">
        <v>112</v>
      </c>
      <c r="F130" s="153">
        <f t="shared" si="14"/>
        <v>190</v>
      </c>
      <c r="G130" s="153">
        <v>1</v>
      </c>
      <c r="H130" s="153">
        <v>1</v>
      </c>
      <c r="I130" s="153">
        <f>INT(怪物掉落配置方案!D772/10)*10</f>
        <v>88883400</v>
      </c>
      <c r="J130" s="154" t="str">
        <f>"3#1#"&amp;基本属性!BI17&amp;"|"&amp;"3#3#"&amp;INT(0.8*基本属性!U17)&amp;"|"&amp;"3#4#"&amp;INT(1.2*基本属性!U17)&amp;"|"&amp;"3#5#"&amp;INT(0.8*基本属性!U17)&amp;"|"&amp;"3#6#"&amp;INT(1.2*基本属性!U17)&amp;"|"&amp;"3#7#"&amp;INT(0.8*基本属性!U17)&amp;"|"&amp;"3#8#"&amp;INT(1.2*基本属性!U17)&amp;"|"&amp;"3#9#"&amp;基本属性!V17&amp;"|"&amp;"3#10#"&amp;基本属性!V17&amp;"|"&amp;"3#11#"&amp;基本属性!V17&amp;"|"&amp;"3#12#"&amp;基本属性!V17</f>
        <v>3#1#13360000|3#3#4581|3#4#6872|3#5#4581|3#6#6872|3#7#4581|3#8#6872|3#9#1760|3#10#1760|3#11#1760|3#12#1760</v>
      </c>
      <c r="K130" s="154">
        <f t="shared" si="15"/>
        <v>39</v>
      </c>
      <c r="L130" s="154">
        <v>999</v>
      </c>
      <c r="M130" s="154">
        <v>1200</v>
      </c>
      <c r="N130" s="154">
        <v>1</v>
      </c>
      <c r="O130" s="154">
        <v>0</v>
      </c>
      <c r="P130" s="154">
        <v>800</v>
      </c>
      <c r="Q130" s="154"/>
      <c r="R130" s="153">
        <v>249</v>
      </c>
      <c r="S130" s="154"/>
      <c r="T130" s="154">
        <v>3</v>
      </c>
      <c r="U130" s="154">
        <v>5</v>
      </c>
    </row>
    <row r="131" spans="1:21" ht="15.75" x14ac:dyDescent="0.3">
      <c r="A131" s="154">
        <v>8</v>
      </c>
      <c r="B131" s="153" t="str">
        <f t="shared" si="17"/>
        <v>8转BOSS</v>
      </c>
      <c r="C131" s="153">
        <v>81</v>
      </c>
      <c r="D131" s="153">
        <v>19</v>
      </c>
      <c r="E131" s="153">
        <v>112</v>
      </c>
      <c r="F131" s="153">
        <f t="shared" si="14"/>
        <v>210</v>
      </c>
      <c r="G131" s="153">
        <v>1</v>
      </c>
      <c r="H131" s="153">
        <v>1</v>
      </c>
      <c r="I131" s="153">
        <f>INT(怪物掉落配置方案!D773/10)*10</f>
        <v>1073677800</v>
      </c>
      <c r="J131" s="154" t="str">
        <f>"3#1#"&amp;基本属性!BI18&amp;"|"&amp;"3#3#"&amp;INT(0.8*基本属性!U18)&amp;"|"&amp;"3#4#"&amp;INT(1.2*基本属性!U18)&amp;"|"&amp;"3#5#"&amp;INT(0.8*基本属性!U18)&amp;"|"&amp;"3#6#"&amp;INT(1.2*基本属性!U18)&amp;"|"&amp;"3#7#"&amp;INT(0.8*基本属性!U18)&amp;"|"&amp;"3#8#"&amp;INT(1.2*基本属性!U18)&amp;"|"&amp;"3#9#"&amp;基本属性!V18&amp;"|"&amp;"3#10#"&amp;基本属性!V18&amp;"|"&amp;"3#11#"&amp;基本属性!V18&amp;"|"&amp;"3#12#"&amp;基本属性!V18</f>
        <v>3#1#17270000|3#3#5262|3#4#7893|3#5#5262|3#6#7893|3#7#5262|3#8#7893|3#9#1925|3#10#1925|3#11#1925|3#12#1925</v>
      </c>
      <c r="K131" s="154">
        <f t="shared" si="15"/>
        <v>43</v>
      </c>
      <c r="L131" s="154">
        <v>999</v>
      </c>
      <c r="M131" s="154">
        <v>1200</v>
      </c>
      <c r="N131" s="154">
        <v>1</v>
      </c>
      <c r="O131" s="154">
        <v>0</v>
      </c>
      <c r="P131" s="154">
        <v>800</v>
      </c>
      <c r="Q131" s="154"/>
      <c r="R131" s="153">
        <v>249</v>
      </c>
      <c r="S131" s="154"/>
      <c r="T131" s="154">
        <v>3</v>
      </c>
      <c r="U131" s="154">
        <v>5</v>
      </c>
    </row>
    <row r="132" spans="1:21" ht="15.75" x14ac:dyDescent="0.3">
      <c r="A132" s="154">
        <v>9</v>
      </c>
      <c r="B132" s="153" t="str">
        <f t="shared" si="17"/>
        <v>9转BOSS</v>
      </c>
      <c r="C132" s="153">
        <v>81</v>
      </c>
      <c r="D132" s="153">
        <v>19</v>
      </c>
      <c r="E132" s="153">
        <v>112</v>
      </c>
      <c r="F132" s="153">
        <f t="shared" si="14"/>
        <v>245</v>
      </c>
      <c r="G132" s="153">
        <v>1</v>
      </c>
      <c r="H132" s="153">
        <v>1</v>
      </c>
      <c r="I132" s="153">
        <f>INT(怪物掉落配置方案!D774/10)*10</f>
        <v>976293400</v>
      </c>
      <c r="J132" s="154" t="str">
        <f>"3#1#"&amp;基本属性!BI19&amp;"|"&amp;"3#3#"&amp;INT(0.8*基本属性!U19)&amp;"|"&amp;"3#4#"&amp;INT(1.2*基本属性!U19)&amp;"|"&amp;"3#5#"&amp;INT(0.8*基本属性!U19)&amp;"|"&amp;"3#6#"&amp;INT(1.2*基本属性!U19)&amp;"|"&amp;"3#7#"&amp;INT(0.8*基本属性!U19)&amp;"|"&amp;"3#8#"&amp;INT(1.2*基本属性!U19)&amp;"|"&amp;"3#9#"&amp;基本属性!V19&amp;"|"&amp;"3#10#"&amp;基本属性!V19&amp;"|"&amp;"3#11#"&amp;基本属性!V19&amp;"|"&amp;"3#12#"&amp;基本属性!V19</f>
        <v>3#1#20280000|3#3#5936|3#4#8904|3#5#5936|3#6#8904|3#7#5936|3#8#8904|3#9#2063|3#10#2063|3#11#2063|3#12#2063</v>
      </c>
      <c r="K132" s="154">
        <f t="shared" si="15"/>
        <v>46</v>
      </c>
      <c r="L132" s="154">
        <v>999</v>
      </c>
      <c r="M132" s="154">
        <v>1200</v>
      </c>
      <c r="N132" s="154">
        <v>1</v>
      </c>
      <c r="O132" s="154">
        <v>0</v>
      </c>
      <c r="P132" s="154">
        <v>800</v>
      </c>
      <c r="Q132" s="154"/>
      <c r="R132" s="153">
        <v>249</v>
      </c>
      <c r="S132" s="154"/>
      <c r="T132" s="154">
        <v>3</v>
      </c>
      <c r="U132" s="154">
        <v>5</v>
      </c>
    </row>
    <row r="133" spans="1:21" ht="15.75" x14ac:dyDescent="0.3">
      <c r="A133" s="154">
        <v>10</v>
      </c>
      <c r="B133" s="153" t="str">
        <f t="shared" si="17"/>
        <v>10转BOSS</v>
      </c>
      <c r="C133" s="153">
        <v>81</v>
      </c>
      <c r="D133" s="153">
        <v>19</v>
      </c>
      <c r="E133" s="153">
        <v>112</v>
      </c>
      <c r="F133" s="153">
        <f t="shared" si="14"/>
        <v>255</v>
      </c>
      <c r="G133" s="153">
        <v>1</v>
      </c>
      <c r="H133" s="153">
        <v>1</v>
      </c>
      <c r="I133" s="153">
        <f>INT(怪物掉落配置方案!D775/10)*10</f>
        <v>1166666600</v>
      </c>
      <c r="J133" s="154" t="str">
        <f>"3#1#"&amp;基本属性!BI20&amp;"|"&amp;"3#3#"&amp;INT(0.8*基本属性!U20)&amp;"|"&amp;"3#4#"&amp;INT(1.2*基本属性!U20)&amp;"|"&amp;"3#5#"&amp;INT(0.8*基本属性!U20)&amp;"|"&amp;"3#6#"&amp;INT(1.2*基本属性!U20)&amp;"|"&amp;"3#7#"&amp;INT(0.8*基本属性!U20)&amp;"|"&amp;"3#8#"&amp;INT(1.2*基本属性!U20)&amp;"|"&amp;"3#9#"&amp;基本属性!V20&amp;"|"&amp;"3#10#"&amp;基本属性!V20&amp;"|"&amp;"3#11#"&amp;基本属性!V20&amp;"|"&amp;"3#12#"&amp;基本属性!V20</f>
        <v>3#1#23720000|3#3#6683|3#4#10024|3#5#6683|3#6#10024|3#7#6683|3#8#10024|3#9#2200|3#10#2200|3#11#2200|3#12#2200</v>
      </c>
      <c r="K133" s="154">
        <f t="shared" si="15"/>
        <v>50</v>
      </c>
      <c r="L133" s="154">
        <v>999</v>
      </c>
      <c r="M133" s="154">
        <v>1200</v>
      </c>
      <c r="N133" s="154">
        <v>1</v>
      </c>
      <c r="O133" s="154">
        <v>0</v>
      </c>
      <c r="P133" s="154">
        <v>800</v>
      </c>
      <c r="Q133" s="154"/>
      <c r="R133" s="153">
        <v>249</v>
      </c>
      <c r="S133" s="154"/>
      <c r="T133" s="154">
        <v>3</v>
      </c>
      <c r="U133" s="154">
        <v>5</v>
      </c>
    </row>
    <row r="134" spans="1:21" ht="15.75" x14ac:dyDescent="0.3">
      <c r="A134" s="154">
        <v>11</v>
      </c>
      <c r="B134" s="153" t="str">
        <f t="shared" si="17"/>
        <v>11转BOSS</v>
      </c>
      <c r="C134" s="153">
        <v>81</v>
      </c>
      <c r="D134" s="153">
        <v>19</v>
      </c>
      <c r="E134" s="153">
        <v>112</v>
      </c>
      <c r="F134" s="153">
        <f t="shared" si="14"/>
        <v>255</v>
      </c>
      <c r="G134" s="153">
        <v>1</v>
      </c>
      <c r="H134" s="153">
        <v>1</v>
      </c>
      <c r="I134" s="153">
        <f>INT(怪物掉落配置方案!D776/10)*10</f>
        <v>233333400</v>
      </c>
      <c r="J134" s="154" t="str">
        <f>"3#1#"&amp;基本属性!BI21&amp;"|"&amp;"3#3#"&amp;INT(0.8*基本属性!U21)&amp;"|"&amp;"3#4#"&amp;INT(1.2*基本属性!U21)&amp;"|"&amp;"3#5#"&amp;INT(0.8*基本属性!U21)&amp;"|"&amp;"3#6#"&amp;INT(1.2*基本属性!U21)&amp;"|"&amp;"3#7#"&amp;INT(0.8*基本属性!U21)&amp;"|"&amp;"3#8#"&amp;INT(1.2*基本属性!U21)&amp;"|"&amp;"3#9#"&amp;基本属性!V21&amp;"|"&amp;"3#10#"&amp;基本属性!V21&amp;"|"&amp;"3#11#"&amp;基本属性!V21&amp;"|"&amp;"3#12#"&amp;基本属性!V21</f>
        <v>3#1#28570000|3#3#7781|3#4#11672|3#5#7781|3#6#11672|3#7#7781|3#8#11672|3#9#2420|3#10#2420|3#11#2420|3#12#2420</v>
      </c>
      <c r="K134" s="154">
        <f t="shared" si="15"/>
        <v>54</v>
      </c>
      <c r="L134" s="154">
        <v>999</v>
      </c>
      <c r="M134" s="154">
        <v>1200</v>
      </c>
      <c r="N134" s="154">
        <v>1</v>
      </c>
      <c r="O134" s="154">
        <v>0</v>
      </c>
      <c r="P134" s="154">
        <v>800</v>
      </c>
      <c r="Q134" s="154"/>
      <c r="R134" s="153">
        <v>249</v>
      </c>
      <c r="S134" s="154"/>
      <c r="T134" s="154">
        <v>3</v>
      </c>
      <c r="U134" s="154">
        <v>5</v>
      </c>
    </row>
    <row r="135" spans="1:21" ht="15.75" x14ac:dyDescent="0.3">
      <c r="A135" s="154">
        <v>12</v>
      </c>
      <c r="B135" s="153" t="str">
        <f t="shared" si="17"/>
        <v>12转BOSS</v>
      </c>
      <c r="C135" s="153">
        <v>81</v>
      </c>
      <c r="D135" s="153">
        <v>19</v>
      </c>
      <c r="E135" s="153">
        <v>112</v>
      </c>
      <c r="F135" s="153">
        <f t="shared" si="14"/>
        <v>265</v>
      </c>
      <c r="G135" s="153">
        <v>1</v>
      </c>
      <c r="H135" s="153">
        <v>1</v>
      </c>
      <c r="I135" s="153">
        <f>INT(怪物掉落配置方案!D777/10)*10</f>
        <v>233333400</v>
      </c>
      <c r="J135" s="154" t="str">
        <f>"3#1#"&amp;基本属性!BI22&amp;"|"&amp;"3#3#"&amp;INT(0.8*基本属性!U22)&amp;"|"&amp;"3#4#"&amp;INT(1.2*基本属性!U22)&amp;"|"&amp;"3#5#"&amp;INT(0.8*基本属性!U22)&amp;"|"&amp;"3#6#"&amp;INT(1.2*基本属性!U22)&amp;"|"&amp;"3#7#"&amp;INT(0.8*基本属性!U22)&amp;"|"&amp;"3#8#"&amp;INT(1.2*基本属性!U22)&amp;"|"&amp;"3#9#"&amp;基本属性!V22&amp;"|"&amp;"3#10#"&amp;基本属性!V22&amp;"|"&amp;"3#11#"&amp;基本属性!V22&amp;"|"&amp;"3#12#"&amp;基本属性!V22</f>
        <v>3#1#36550000|3#3#9012|3#4#13519|3#5#9012|3#6#13519|3#7#9012|3#8#13519|3#9#2640|3#10#2640|3#11#2640|3#12#2640</v>
      </c>
      <c r="K135" s="154">
        <f t="shared" si="15"/>
        <v>58</v>
      </c>
      <c r="L135" s="154">
        <v>999</v>
      </c>
      <c r="M135" s="154">
        <v>1200</v>
      </c>
      <c r="N135" s="154">
        <v>1</v>
      </c>
      <c r="O135" s="154">
        <v>0</v>
      </c>
      <c r="P135" s="154">
        <v>800</v>
      </c>
      <c r="Q135" s="154"/>
      <c r="R135" s="153">
        <v>249</v>
      </c>
      <c r="S135" s="154"/>
      <c r="T135" s="154">
        <v>3</v>
      </c>
      <c r="U135" s="154">
        <v>5</v>
      </c>
    </row>
    <row r="136" spans="1:21" ht="15.75" x14ac:dyDescent="0.3">
      <c r="A136" s="154">
        <v>13</v>
      </c>
      <c r="B136" s="153" t="str">
        <f t="shared" si="17"/>
        <v>13转BOSS</v>
      </c>
      <c r="C136" s="153">
        <v>81</v>
      </c>
      <c r="D136" s="153">
        <v>19</v>
      </c>
      <c r="E136" s="153">
        <v>112</v>
      </c>
      <c r="F136" s="153">
        <f t="shared" si="14"/>
        <v>265</v>
      </c>
      <c r="G136" s="153">
        <v>1</v>
      </c>
      <c r="H136" s="153">
        <v>1</v>
      </c>
      <c r="I136" s="153">
        <f>INT(怪物掉落配置方案!D778/10)*10</f>
        <v>233333400</v>
      </c>
      <c r="J136" s="154" t="str">
        <f>"3#1#"&amp;基本属性!BI23&amp;"|"&amp;"3#3#"&amp;INT(0.8*基本属性!U23)&amp;"|"&amp;"3#4#"&amp;INT(1.2*基本属性!U23)&amp;"|"&amp;"3#5#"&amp;INT(0.8*基本属性!U23)&amp;"|"&amp;"3#6#"&amp;INT(1.2*基本属性!U23)&amp;"|"&amp;"3#7#"&amp;INT(0.8*基本属性!U23)&amp;"|"&amp;"3#8#"&amp;INT(1.2*基本属性!U23)&amp;"|"&amp;"3#9#"&amp;基本属性!V23&amp;"|"&amp;"3#10#"&amp;基本属性!V23&amp;"|"&amp;"3#11#"&amp;基本属性!V23&amp;"|"&amp;"3#12#"&amp;基本属性!V23</f>
        <v>3#1#44140000|3#3#10598|3#4#15897|3#5#10598|3#6#15897|3#7#10598|3#8#15897|3#9#2915|3#10#2915|3#11#2915|3#12#2915</v>
      </c>
      <c r="K136" s="154">
        <f t="shared" si="15"/>
        <v>62</v>
      </c>
      <c r="L136" s="154">
        <v>999</v>
      </c>
      <c r="M136" s="154">
        <v>1200</v>
      </c>
      <c r="N136" s="154">
        <v>1</v>
      </c>
      <c r="O136" s="154">
        <v>0</v>
      </c>
      <c r="P136" s="154">
        <v>800</v>
      </c>
      <c r="Q136" s="154"/>
      <c r="R136" s="153">
        <v>249</v>
      </c>
      <c r="S136" s="154"/>
      <c r="T136" s="154">
        <v>3</v>
      </c>
      <c r="U136" s="154">
        <v>5</v>
      </c>
    </row>
    <row r="137" spans="1:21" s="154" customFormat="1" x14ac:dyDescent="0.3">
      <c r="A137" s="154">
        <v>14</v>
      </c>
      <c r="B137" s="153" t="str">
        <f t="shared" si="17"/>
        <v>14转BOSS</v>
      </c>
      <c r="C137" s="153">
        <v>81</v>
      </c>
      <c r="D137" s="153">
        <v>19</v>
      </c>
      <c r="E137" s="153">
        <v>112</v>
      </c>
      <c r="F137" s="153">
        <f t="shared" si="14"/>
        <v>275</v>
      </c>
      <c r="G137" s="153">
        <v>1</v>
      </c>
      <c r="H137" s="153">
        <v>1</v>
      </c>
      <c r="I137" s="153">
        <f>INT(怪物掉落配置方案!D779/10)*10</f>
        <v>233333400</v>
      </c>
      <c r="J137" s="154" t="str">
        <f>"3#1#"&amp;基本属性!BI24&amp;"|"&amp;"3#3#"&amp;INT(0.8*基本属性!U24)&amp;"|"&amp;"3#4#"&amp;INT(1.2*基本属性!U24)&amp;"|"&amp;"3#5#"&amp;INT(0.8*基本属性!U24)&amp;"|"&amp;"3#6#"&amp;INT(1.2*基本属性!U24)&amp;"|"&amp;"3#7#"&amp;INT(0.8*基本属性!U24)&amp;"|"&amp;"3#8#"&amp;INT(1.2*基本属性!U24)&amp;"|"&amp;"3#9#"&amp;基本属性!V24&amp;"|"&amp;"3#10#"&amp;基本属性!V24&amp;"|"&amp;"3#11#"&amp;基本属性!V24&amp;"|"&amp;"3#12#"&amp;基本属性!V24</f>
        <v>3#1#52810000|3#3#12396|3#4#18594|3#5#12396|3#6#18594|3#7#12396|3#8#18594|3#9#3190|3#10#3190|3#11#3190|3#12#3190</v>
      </c>
      <c r="K137" s="154">
        <f t="shared" si="15"/>
        <v>66</v>
      </c>
      <c r="L137" s="154">
        <v>999</v>
      </c>
      <c r="M137" s="154">
        <v>1200</v>
      </c>
      <c r="N137" s="154">
        <v>1</v>
      </c>
      <c r="O137" s="154">
        <v>0</v>
      </c>
      <c r="P137" s="154">
        <v>800</v>
      </c>
      <c r="R137" s="153">
        <v>249</v>
      </c>
      <c r="T137" s="154">
        <v>3</v>
      </c>
      <c r="U137" s="154">
        <v>5</v>
      </c>
    </row>
    <row r="138" spans="1:21" ht="15.75" x14ac:dyDescent="0.3">
      <c r="A138" s="154">
        <v>15</v>
      </c>
      <c r="B138" s="153" t="str">
        <f t="shared" si="17"/>
        <v>15转BOSS</v>
      </c>
      <c r="C138" s="153">
        <v>81</v>
      </c>
      <c r="D138" s="153">
        <v>19</v>
      </c>
      <c r="E138" s="153">
        <v>112</v>
      </c>
      <c r="F138" s="153">
        <f t="shared" si="14"/>
        <v>275</v>
      </c>
      <c r="G138" s="153">
        <v>1</v>
      </c>
      <c r="H138" s="153">
        <v>1</v>
      </c>
      <c r="I138" s="153">
        <f>INT(怪物掉落配置方案!D780/10)*10</f>
        <v>233333400</v>
      </c>
      <c r="J138" s="154" t="str">
        <f>"3#1#"&amp;基本属性!BI25&amp;"|"&amp;"3#3#"&amp;INT(0.8*基本属性!U25)&amp;"|"&amp;"3#4#"&amp;INT(1.2*基本属性!U25)&amp;"|"&amp;"3#5#"&amp;INT(0.8*基本属性!U25)&amp;"|"&amp;"3#6#"&amp;INT(1.2*基本属性!U25)&amp;"|"&amp;"3#7#"&amp;INT(0.8*基本属性!U25)&amp;"|"&amp;"3#8#"&amp;INT(1.2*基本属性!U25)&amp;"|"&amp;"3#9#"&amp;基本属性!V25&amp;"|"&amp;"3#10#"&amp;基本属性!V25&amp;"|"&amp;"3#11#"&amp;基本属性!V25&amp;"|"&amp;"3#12#"&amp;基本属性!V25</f>
        <v>3#1#63660000|3#3#14674|3#4#22011|3#5#14674|3#6#22011|3#7#14674|3#8#22011|3#9#3520|3#10#3520|3#11#3520|3#12#3520</v>
      </c>
      <c r="K138" s="154">
        <f t="shared" si="15"/>
        <v>70</v>
      </c>
      <c r="L138" s="154">
        <v>999</v>
      </c>
      <c r="M138" s="154">
        <v>1200</v>
      </c>
      <c r="N138" s="154">
        <v>1</v>
      </c>
      <c r="O138" s="154">
        <v>0</v>
      </c>
      <c r="P138" s="154">
        <v>800</v>
      </c>
      <c r="Q138" s="154"/>
      <c r="R138" s="153">
        <v>249</v>
      </c>
      <c r="S138" s="154"/>
      <c r="T138" s="154">
        <v>3</v>
      </c>
      <c r="U138" s="154">
        <v>5</v>
      </c>
    </row>
    <row r="139" spans="1:21" ht="15.75" x14ac:dyDescent="0.3">
      <c r="A139" s="154">
        <v>16</v>
      </c>
      <c r="B139" s="153" t="str">
        <f t="shared" si="17"/>
        <v>16转BOSS</v>
      </c>
      <c r="C139" s="153">
        <v>81</v>
      </c>
      <c r="D139" s="153">
        <v>19</v>
      </c>
      <c r="E139" s="153">
        <v>112</v>
      </c>
      <c r="F139" s="153">
        <f t="shared" si="14"/>
        <v>285</v>
      </c>
      <c r="G139" s="153">
        <v>1</v>
      </c>
      <c r="H139" s="153">
        <v>1</v>
      </c>
      <c r="I139" s="153">
        <f>INT(怪物掉落配置方案!D781/10)*10</f>
        <v>116666600</v>
      </c>
      <c r="J139" s="154" t="str">
        <f>"3#1#"&amp;基本属性!BI26&amp;"|"&amp;"3#3#"&amp;INT(0.8*基本属性!U26)&amp;"|"&amp;"3#4#"&amp;INT(1.2*基本属性!U26)&amp;"|"&amp;"3#5#"&amp;INT(0.8*基本属性!U26)&amp;"|"&amp;"3#6#"&amp;INT(1.2*基本属性!U26)&amp;"|"&amp;"3#7#"&amp;INT(0.8*基本属性!U26)&amp;"|"&amp;"3#8#"&amp;INT(1.2*基本属性!U26)&amp;"|"&amp;"3#9#"&amp;基本属性!V26&amp;"|"&amp;"3#10#"&amp;基本属性!V26&amp;"|"&amp;"3#11#"&amp;基本属性!V26&amp;"|"&amp;"3#12#"&amp;基本属性!V26</f>
        <v>3#1#81080000|3#3#17289|3#4#25934|3#5#17289|3#6#25934|3#7#17289|3#8#25934|3#9#3850|3#10#3850|3#11#3850|3#12#3850</v>
      </c>
      <c r="K139" s="154">
        <f t="shared" si="15"/>
        <v>75</v>
      </c>
      <c r="L139" s="154">
        <v>999</v>
      </c>
      <c r="M139" s="154">
        <v>1200</v>
      </c>
      <c r="N139" s="154">
        <v>1</v>
      </c>
      <c r="O139" s="154">
        <v>0</v>
      </c>
      <c r="P139" s="154">
        <v>800</v>
      </c>
      <c r="Q139" s="154"/>
      <c r="R139" s="153">
        <v>249</v>
      </c>
      <c r="S139" s="154"/>
      <c r="T139" s="154">
        <v>3</v>
      </c>
      <c r="U139" s="154">
        <v>5</v>
      </c>
    </row>
    <row r="140" spans="1:21" ht="15.75" x14ac:dyDescent="0.3">
      <c r="A140" s="154">
        <v>17</v>
      </c>
      <c r="B140" s="153" t="str">
        <f t="shared" si="17"/>
        <v>17转BOSS</v>
      </c>
      <c r="C140" s="153">
        <v>81</v>
      </c>
      <c r="D140" s="153">
        <v>19</v>
      </c>
      <c r="E140" s="153">
        <v>112</v>
      </c>
      <c r="F140" s="153">
        <f t="shared" si="14"/>
        <v>285</v>
      </c>
      <c r="G140" s="153">
        <v>1</v>
      </c>
      <c r="H140" s="153">
        <v>1</v>
      </c>
      <c r="I140" s="153">
        <f>INT(怪物掉落配置方案!D782/10)*10</f>
        <v>116666600</v>
      </c>
      <c r="J140" s="154" t="str">
        <f>"3#1#"&amp;基本属性!BI27&amp;"|"&amp;"3#3#"&amp;INT(0.8*基本属性!U27)&amp;"|"&amp;"3#4#"&amp;INT(1.2*基本属性!U27)&amp;"|"&amp;"3#5#"&amp;INT(0.8*基本属性!U27)&amp;"|"&amp;"3#6#"&amp;INT(1.2*基本属性!U27)&amp;"|"&amp;"3#7#"&amp;INT(0.8*基本属性!U27)&amp;"|"&amp;"3#8#"&amp;INT(1.2*基本属性!U27)&amp;"|"&amp;"3#9#"&amp;基本属性!V27&amp;"|"&amp;"3#10#"&amp;基本属性!V27&amp;"|"&amp;"3#11#"&amp;基本属性!V27&amp;"|"&amp;"3#12#"&amp;基本属性!V27</f>
        <v>3#1#94790000|3#3#20046|3#4#30069|3#5#20046|3#6#30069|3#7#20046|3#8#30069|3#9#4125|3#10#4125|3#11#4125|3#12#4125</v>
      </c>
      <c r="K140" s="154">
        <f t="shared" si="15"/>
        <v>79</v>
      </c>
      <c r="L140" s="154">
        <v>999</v>
      </c>
      <c r="M140" s="154">
        <v>1200</v>
      </c>
      <c r="N140" s="154">
        <v>1</v>
      </c>
      <c r="O140" s="154">
        <v>0</v>
      </c>
      <c r="P140" s="154">
        <v>800</v>
      </c>
      <c r="Q140" s="154"/>
      <c r="R140" s="153">
        <v>249</v>
      </c>
      <c r="S140" s="154"/>
      <c r="T140" s="154">
        <v>3</v>
      </c>
      <c r="U140" s="154">
        <v>5</v>
      </c>
    </row>
    <row r="141" spans="1:21" ht="15.75" x14ac:dyDescent="0.3">
      <c r="A141" s="154">
        <v>18</v>
      </c>
      <c r="B141" s="153" t="str">
        <f t="shared" si="17"/>
        <v>18转BOSS</v>
      </c>
      <c r="C141" s="153">
        <v>81</v>
      </c>
      <c r="D141" s="153">
        <v>19</v>
      </c>
      <c r="E141" s="153">
        <v>112</v>
      </c>
      <c r="F141" s="153">
        <f t="shared" si="14"/>
        <v>295</v>
      </c>
      <c r="G141" s="153">
        <v>1</v>
      </c>
      <c r="H141" s="153">
        <v>1</v>
      </c>
      <c r="I141" s="153">
        <f>INT(怪物掉落配置方案!D783/10)*10</f>
        <v>116666600</v>
      </c>
      <c r="J141" s="154" t="str">
        <f>"3#1#"&amp;基本属性!BI28&amp;"|"&amp;"3#3#"&amp;INT(0.8*基本属性!U28)&amp;"|"&amp;"3#4#"&amp;INT(1.2*基本属性!U28)&amp;"|"&amp;"3#5#"&amp;INT(0.8*基本属性!U28)&amp;"|"&amp;"3#6#"&amp;INT(1.2*基本属性!U28)&amp;"|"&amp;"3#7#"&amp;INT(0.8*基本属性!U28)&amp;"|"&amp;"3#8#"&amp;INT(1.2*基本属性!U28)&amp;"|"&amp;"3#9#"&amp;基本属性!V28&amp;"|"&amp;"3#10#"&amp;基本属性!V28&amp;"|"&amp;"3#11#"&amp;基本属性!V28&amp;"|"&amp;"3#12#"&amp;基本属性!V28</f>
        <v>3#1#110250000|3#3#23255|3#4#34882|3#5#23255|3#6#34882|3#7#23255|3#8#34882|3#9#4400|3#10#4400|3#11#4400|3#12#4400</v>
      </c>
      <c r="K141" s="154">
        <f t="shared" si="15"/>
        <v>84</v>
      </c>
      <c r="L141" s="154">
        <v>999</v>
      </c>
      <c r="M141" s="154">
        <v>1200</v>
      </c>
      <c r="N141" s="154">
        <v>1</v>
      </c>
      <c r="O141" s="154">
        <v>0</v>
      </c>
      <c r="P141" s="154">
        <v>800</v>
      </c>
      <c r="Q141" s="154"/>
      <c r="R141" s="153">
        <v>249</v>
      </c>
      <c r="S141" s="154"/>
      <c r="T141" s="154">
        <v>3</v>
      </c>
      <c r="U141" s="154">
        <v>5</v>
      </c>
    </row>
    <row r="142" spans="1:21" ht="15.75" x14ac:dyDescent="0.3">
      <c r="A142" s="154">
        <v>19</v>
      </c>
      <c r="B142" s="153" t="str">
        <f t="shared" si="17"/>
        <v>19转BOSS</v>
      </c>
      <c r="C142" s="153">
        <v>81</v>
      </c>
      <c r="D142" s="153">
        <v>19</v>
      </c>
      <c r="E142" s="153">
        <v>112</v>
      </c>
      <c r="F142" s="153">
        <f t="shared" si="14"/>
        <v>295</v>
      </c>
      <c r="G142" s="153">
        <v>1</v>
      </c>
      <c r="H142" s="153">
        <v>1</v>
      </c>
      <c r="I142" s="153">
        <f>INT(怪物掉落配置方案!D784/10)*10</f>
        <v>116666600</v>
      </c>
      <c r="J142" s="154" t="str">
        <f>"3#1#"&amp;基本属性!BI29&amp;"|"&amp;"3#3#"&amp;INT(0.8*基本属性!U29)&amp;"|"&amp;"3#4#"&amp;INT(1.2*基本属性!U29)&amp;"|"&amp;"3#5#"&amp;INT(0.8*基本属性!U29)&amp;"|"&amp;"3#6#"&amp;INT(1.2*基本属性!U29)&amp;"|"&amp;"3#7#"&amp;INT(0.8*基本属性!U29)&amp;"|"&amp;"3#8#"&amp;INT(1.2*基本属性!U29)&amp;"|"&amp;"3#9#"&amp;基本属性!V29&amp;"|"&amp;"3#10#"&amp;基本属性!V29&amp;"|"&amp;"3#11#"&amp;基本属性!V29&amp;"|"&amp;"3#12#"&amp;基本属性!V29</f>
        <v>3#1#135170000|3#3#28613|3#4#42920|3#5#28613|3#6#42920|3#7#28613|3#8#42920|3#9#4950|3#10#4950|3#11#4950|3#12#4950</v>
      </c>
      <c r="K142" s="154">
        <f t="shared" si="15"/>
        <v>88</v>
      </c>
      <c r="L142" s="154">
        <v>999</v>
      </c>
      <c r="M142" s="154">
        <v>1200</v>
      </c>
      <c r="N142" s="154">
        <v>1</v>
      </c>
      <c r="O142" s="154">
        <v>0</v>
      </c>
      <c r="P142" s="154">
        <v>800</v>
      </c>
      <c r="Q142" s="154"/>
      <c r="R142" s="153">
        <v>249</v>
      </c>
      <c r="S142" s="154"/>
      <c r="T142" s="154">
        <v>3</v>
      </c>
      <c r="U142" s="154">
        <v>5</v>
      </c>
    </row>
    <row r="143" spans="1:21" ht="15.75" x14ac:dyDescent="0.3">
      <c r="A143" s="154">
        <v>20</v>
      </c>
      <c r="B143" s="153" t="str">
        <f t="shared" si="17"/>
        <v>20转BOSS</v>
      </c>
      <c r="C143" s="153">
        <v>81</v>
      </c>
      <c r="D143" s="153">
        <v>19</v>
      </c>
      <c r="E143" s="153">
        <v>112</v>
      </c>
      <c r="F143" s="153">
        <f t="shared" si="14"/>
        <v>305</v>
      </c>
      <c r="G143" s="153">
        <v>1</v>
      </c>
      <c r="H143" s="153">
        <v>1</v>
      </c>
      <c r="I143" s="153">
        <f>INT(怪物掉落配置方案!D785/10)*10</f>
        <v>116666600</v>
      </c>
      <c r="J143" s="154" t="str">
        <f>"3#1#"&amp;基本属性!BI30&amp;"|"&amp;"3#3#"&amp;INT(0.8*基本属性!U30)&amp;"|"&amp;"3#4#"&amp;INT(1.2*基本属性!U30)&amp;"|"&amp;"3#5#"&amp;INT(0.8*基本属性!U30)&amp;"|"&amp;"3#6#"&amp;INT(1.2*基本属性!U30)&amp;"|"&amp;"3#7#"&amp;INT(0.8*基本属性!U30)&amp;"|"&amp;"3#8#"&amp;INT(1.2*基本属性!U30)&amp;"|"&amp;"3#9#"&amp;基本属性!V30&amp;"|"&amp;"3#10#"&amp;基本属性!V30&amp;"|"&amp;"3#11#"&amp;基本属性!V30&amp;"|"&amp;"3#12#"&amp;基本属性!V30</f>
        <v>3#1#182160000|3#3#37007|3#4#55510|3#5#37007|3#6#55510|3#7#37007|3#8#55510|3#9#5500|3#10#5500|3#11#5500|3#12#5500</v>
      </c>
      <c r="K143" s="154">
        <f t="shared" si="15"/>
        <v>96</v>
      </c>
      <c r="L143" s="154">
        <v>999</v>
      </c>
      <c r="M143" s="154">
        <v>1200</v>
      </c>
      <c r="N143" s="154">
        <v>1</v>
      </c>
      <c r="O143" s="154">
        <v>0</v>
      </c>
      <c r="P143" s="154">
        <v>800</v>
      </c>
      <c r="Q143" s="154"/>
      <c r="R143" s="153">
        <v>249</v>
      </c>
      <c r="S143" s="154"/>
      <c r="T143" s="154">
        <v>3</v>
      </c>
      <c r="U143" s="154">
        <v>5</v>
      </c>
    </row>
    <row r="144" spans="1:21" s="155" customFormat="1" x14ac:dyDescent="0.3">
      <c r="A144" s="155" t="s">
        <v>3716</v>
      </c>
      <c r="B144" s="156"/>
      <c r="C144" s="156"/>
      <c r="D144" s="156"/>
      <c r="E144" s="156"/>
      <c r="F144" s="156"/>
      <c r="G144" s="156"/>
      <c r="H144" s="156"/>
      <c r="I144" s="156"/>
      <c r="R144" s="156"/>
    </row>
    <row r="145" spans="1:21" ht="15.75" x14ac:dyDescent="0.3">
      <c r="A145" s="154">
        <v>35</v>
      </c>
      <c r="B145" s="153" t="str">
        <f t="shared" ref="B145:B151" si="18">A145&amp;"级新增怪物种类1"</f>
        <v>35级新增怪物种类1</v>
      </c>
      <c r="C145" s="153">
        <v>81</v>
      </c>
      <c r="D145" s="153">
        <v>19</v>
      </c>
      <c r="E145" s="153">
        <v>112</v>
      </c>
      <c r="F145" s="153">
        <v>35</v>
      </c>
      <c r="G145" s="153">
        <v>1</v>
      </c>
      <c r="H145" s="153">
        <v>0</v>
      </c>
      <c r="I145" s="153">
        <f>INT(怪物掉落配置方案!D5889/10)*10</f>
        <v>830</v>
      </c>
      <c r="J145" s="154" t="str">
        <f>"3#1#"&amp;基本属性!BJ4&amp;"|"&amp;"3#3#"&amp;INT(0.8*基本属性!X4)&amp;"|"&amp;"3#4#"&amp;INT(1.2*基本属性!X4)&amp;"|"&amp;"3#5#"&amp;INT(0.8*基本属性!X4)&amp;"|"&amp;"3#6#"&amp;INT(1.2*基本属性!X4)&amp;"|"&amp;"3#7#"&amp;INT(0.8*基本属性!X4)&amp;"|"&amp;"3#8#"&amp;INT(1.2*基本属性!X4)&amp;"|"&amp;"3#9#"&amp;基本属性!Y4&amp;"|"&amp;"3#10#"&amp;基本属性!Y4&amp;"|"&amp;"3#11#"&amp;基本属性!Y4&amp;"|"&amp;"3#12#"&amp;基本属性!Y4</f>
        <v>3#1#30000|3#3#163|3#4#244|3#5#163|3#6#244|3#7#163|3#8#244|3#9#100|3#10#100|3#11#100|3#12#100</v>
      </c>
      <c r="K145" s="154">
        <f>K5</f>
        <v>2</v>
      </c>
      <c r="L145" s="154">
        <v>999</v>
      </c>
      <c r="M145" s="154">
        <v>1100</v>
      </c>
      <c r="N145" s="154">
        <v>1</v>
      </c>
      <c r="O145" s="154">
        <v>0</v>
      </c>
      <c r="P145" s="154">
        <v>600</v>
      </c>
      <c r="Q145" s="154"/>
      <c r="R145" s="153"/>
      <c r="S145" s="154"/>
      <c r="T145" s="154">
        <v>1</v>
      </c>
      <c r="U145" s="154">
        <v>5</v>
      </c>
    </row>
    <row r="146" spans="1:21" ht="15.75" x14ac:dyDescent="0.3">
      <c r="A146" s="154">
        <v>40</v>
      </c>
      <c r="B146" s="153" t="str">
        <f t="shared" si="18"/>
        <v>40级新增怪物种类1</v>
      </c>
      <c r="C146" s="153">
        <v>81</v>
      </c>
      <c r="D146" s="153">
        <v>19</v>
      </c>
      <c r="E146" s="153">
        <v>112</v>
      </c>
      <c r="F146" s="153">
        <v>40</v>
      </c>
      <c r="G146" s="153">
        <v>1</v>
      </c>
      <c r="H146" s="153">
        <v>0</v>
      </c>
      <c r="I146" s="153">
        <f>INT(怪物掉落配置方案!D5890/10)*10</f>
        <v>1590</v>
      </c>
      <c r="J146" s="154" t="str">
        <f>"3#1#"&amp;基本属性!BJ5&amp;"|"&amp;"3#3#"&amp;INT(0.8*基本属性!X5)&amp;"|"&amp;"3#4#"&amp;INT(1.2*基本属性!X5)&amp;"|"&amp;"3#5#"&amp;INT(0.8*基本属性!X5)&amp;"|"&amp;"3#6#"&amp;INT(1.2*基本属性!X5)&amp;"|"&amp;"3#7#"&amp;INT(0.8*基本属性!X5)&amp;"|"&amp;"3#8#"&amp;INT(1.2*基本属性!X5)&amp;"|"&amp;"3#9#"&amp;基本属性!Y5&amp;"|"&amp;"3#10#"&amp;基本属性!Y5&amp;"|"&amp;"3#11#"&amp;基本属性!Y5&amp;"|"&amp;"3#12#"&amp;基本属性!Y5</f>
        <v>3#1#60000|3#3#252|3#4#378|3#5#252|3#6#378|3#7#252|3#8#378|3#9#150|3#10#150|3#11#150|3#12#150</v>
      </c>
      <c r="K146" s="154">
        <f t="shared" ref="K146:K171" si="19">K6</f>
        <v>4</v>
      </c>
      <c r="L146" s="154">
        <v>999</v>
      </c>
      <c r="M146" s="154">
        <v>1100</v>
      </c>
      <c r="N146" s="154">
        <v>1</v>
      </c>
      <c r="O146" s="154">
        <v>0</v>
      </c>
      <c r="P146" s="154">
        <v>600</v>
      </c>
      <c r="Q146" s="154"/>
      <c r="R146" s="153"/>
      <c r="S146" s="154"/>
      <c r="T146" s="154">
        <v>1</v>
      </c>
      <c r="U146" s="154">
        <v>5</v>
      </c>
    </row>
    <row r="147" spans="1:21" ht="15.75" x14ac:dyDescent="0.3">
      <c r="A147" s="154">
        <v>50</v>
      </c>
      <c r="B147" s="153" t="str">
        <f t="shared" si="18"/>
        <v>50级新增怪物种类1</v>
      </c>
      <c r="C147" s="153">
        <v>81</v>
      </c>
      <c r="D147" s="153">
        <v>19</v>
      </c>
      <c r="E147" s="153">
        <v>112</v>
      </c>
      <c r="F147" s="153">
        <v>50</v>
      </c>
      <c r="G147" s="153">
        <v>1</v>
      </c>
      <c r="H147" s="153">
        <v>0</v>
      </c>
      <c r="I147" s="153">
        <f>INT(怪物掉落配置方案!D5891/10)*10</f>
        <v>4330</v>
      </c>
      <c r="J147" s="154" t="str">
        <f>"3#1#"&amp;基本属性!BJ6&amp;"|"&amp;"3#3#"&amp;INT(0.8*基本属性!X6)&amp;"|"&amp;"3#4#"&amp;INT(1.2*基本属性!X6)&amp;"|"&amp;"3#5#"&amp;INT(0.8*基本属性!X6)&amp;"|"&amp;"3#6#"&amp;INT(1.2*基本属性!X6)&amp;"|"&amp;"3#7#"&amp;INT(0.8*基本属性!X6)&amp;"|"&amp;"3#8#"&amp;INT(1.2*基本属性!X6)&amp;"|"&amp;"3#9#"&amp;基本属性!Y6&amp;"|"&amp;"3#10#"&amp;基本属性!Y6&amp;"|"&amp;"3#11#"&amp;基本属性!Y6&amp;"|"&amp;"3#12#"&amp;基本属性!Y6</f>
        <v>3#1#90000|3#3#345|3#4#518|3#5#345|3#6#518|3#7#345|3#8#518|3#9#200|3#10#200|3#11#200|3#12#200</v>
      </c>
      <c r="K147" s="154">
        <f t="shared" si="19"/>
        <v>6</v>
      </c>
      <c r="L147" s="154">
        <v>999</v>
      </c>
      <c r="M147" s="154">
        <v>1100</v>
      </c>
      <c r="N147" s="154">
        <v>1</v>
      </c>
      <c r="O147" s="154">
        <v>0</v>
      </c>
      <c r="P147" s="154">
        <v>600</v>
      </c>
      <c r="Q147" s="154"/>
      <c r="R147" s="153"/>
      <c r="S147" s="154"/>
      <c r="T147" s="154">
        <v>1</v>
      </c>
      <c r="U147" s="154">
        <v>5</v>
      </c>
    </row>
    <row r="148" spans="1:21" ht="15.75" x14ac:dyDescent="0.3">
      <c r="A148" s="154">
        <v>60</v>
      </c>
      <c r="B148" s="153" t="str">
        <f t="shared" si="18"/>
        <v>60级新增怪物种类1</v>
      </c>
      <c r="C148" s="153">
        <v>81</v>
      </c>
      <c r="D148" s="153">
        <v>19</v>
      </c>
      <c r="E148" s="153">
        <v>112</v>
      </c>
      <c r="F148" s="153">
        <v>60</v>
      </c>
      <c r="G148" s="153">
        <v>1</v>
      </c>
      <c r="H148" s="153">
        <v>0</v>
      </c>
      <c r="I148" s="153">
        <f>INT(怪物掉落配置方案!D5892/10)*10</f>
        <v>5410</v>
      </c>
      <c r="J148" s="154" t="str">
        <f>"3#1#"&amp;基本属性!BJ7&amp;"|"&amp;"3#3#"&amp;INT(0.8*基本属性!X7)&amp;"|"&amp;"3#4#"&amp;INT(1.2*基本属性!X7)&amp;"|"&amp;"3#5#"&amp;INT(0.8*基本属性!X7)&amp;"|"&amp;"3#6#"&amp;INT(1.2*基本属性!X7)&amp;"|"&amp;"3#7#"&amp;INT(0.8*基本属性!X7)&amp;"|"&amp;"3#8#"&amp;INT(1.2*基本属性!X7)&amp;"|"&amp;"3#9#"&amp;基本属性!Y7&amp;"|"&amp;"3#10#"&amp;基本属性!Y7&amp;"|"&amp;"3#11#"&amp;基本属性!Y7&amp;"|"&amp;"3#12#"&amp;基本属性!Y7</f>
        <v>3#1#130000|3#3#444|3#4#667|3#5#444|3#6#667|3#7#444|3#8#667|3#9#250|3#10#250|3#11#250|3#12#250</v>
      </c>
      <c r="K148" s="154">
        <f t="shared" si="19"/>
        <v>9</v>
      </c>
      <c r="L148" s="154">
        <v>999</v>
      </c>
      <c r="M148" s="154">
        <v>1100</v>
      </c>
      <c r="N148" s="154">
        <v>1</v>
      </c>
      <c r="O148" s="154">
        <v>0</v>
      </c>
      <c r="P148" s="154">
        <v>600</v>
      </c>
      <c r="Q148" s="154"/>
      <c r="R148" s="153"/>
      <c r="S148" s="154"/>
      <c r="T148" s="154">
        <v>1</v>
      </c>
      <c r="U148" s="154">
        <v>5</v>
      </c>
    </row>
    <row r="149" spans="1:21" ht="15.75" x14ac:dyDescent="0.3">
      <c r="A149" s="154">
        <v>65</v>
      </c>
      <c r="B149" s="153" t="str">
        <f t="shared" si="18"/>
        <v>65级新增怪物种类1</v>
      </c>
      <c r="C149" s="153">
        <v>81</v>
      </c>
      <c r="D149" s="153">
        <v>19</v>
      </c>
      <c r="E149" s="153">
        <v>112</v>
      </c>
      <c r="F149" s="153">
        <v>65</v>
      </c>
      <c r="G149" s="153">
        <v>1</v>
      </c>
      <c r="H149" s="153">
        <v>0</v>
      </c>
      <c r="I149" s="153">
        <f>INT(怪物掉落配置方案!D5893/10)*10</f>
        <v>5440</v>
      </c>
      <c r="J149" s="154" t="str">
        <f>"3#1#"&amp;基本属性!BJ8&amp;"|"&amp;"3#3#"&amp;INT(0.8*基本属性!X8)&amp;"|"&amp;"3#4#"&amp;INT(1.2*基本属性!X8)&amp;"|"&amp;"3#5#"&amp;INT(0.8*基本属性!X8)&amp;"|"&amp;"3#6#"&amp;INT(1.2*基本属性!X8)&amp;"|"&amp;"3#7#"&amp;INT(0.8*基本属性!X8)&amp;"|"&amp;"3#8#"&amp;INT(1.2*基本属性!X8)&amp;"|"&amp;"3#9#"&amp;基本属性!Y8&amp;"|"&amp;"3#10#"&amp;基本属性!Y8&amp;"|"&amp;"3#11#"&amp;基本属性!Y8&amp;"|"&amp;"3#12#"&amp;基本属性!Y8</f>
        <v>3#1#190000|3#3#596|3#4#894|3#5#596|3#6#894|3#7#596|3#8#894|3#9#325|3#10#325|3#11#325|3#12#325</v>
      </c>
      <c r="K149" s="154">
        <f t="shared" si="19"/>
        <v>12</v>
      </c>
      <c r="L149" s="154">
        <v>999</v>
      </c>
      <c r="M149" s="154">
        <v>1100</v>
      </c>
      <c r="N149" s="154">
        <v>1</v>
      </c>
      <c r="O149" s="154">
        <v>0</v>
      </c>
      <c r="P149" s="154">
        <v>600</v>
      </c>
      <c r="Q149" s="154"/>
      <c r="R149" s="153"/>
      <c r="S149" s="154"/>
      <c r="T149" s="154">
        <v>1</v>
      </c>
      <c r="U149" s="154">
        <v>5</v>
      </c>
    </row>
    <row r="150" spans="1:21" ht="15.75" x14ac:dyDescent="0.3">
      <c r="A150" s="154">
        <v>70</v>
      </c>
      <c r="B150" s="153" t="str">
        <f t="shared" si="18"/>
        <v>70级新增怪物种类1</v>
      </c>
      <c r="C150" s="153">
        <v>81</v>
      </c>
      <c r="D150" s="153">
        <v>19</v>
      </c>
      <c r="E150" s="153">
        <v>112</v>
      </c>
      <c r="F150" s="153">
        <v>70</v>
      </c>
      <c r="G150" s="153">
        <v>1</v>
      </c>
      <c r="H150" s="153">
        <v>0</v>
      </c>
      <c r="I150" s="153">
        <f>INT(怪物掉落配置方案!D5894/10)*10</f>
        <v>5570</v>
      </c>
      <c r="J150" s="154" t="str">
        <f>"3#1#"&amp;基本属性!BJ9&amp;"|"&amp;"3#3#"&amp;INT(0.8*基本属性!X9)&amp;"|"&amp;"3#4#"&amp;INT(1.2*基本属性!X9)&amp;"|"&amp;"3#5#"&amp;INT(0.8*基本属性!X9)&amp;"|"&amp;"3#6#"&amp;INT(1.2*基本属性!X9)&amp;"|"&amp;"3#7#"&amp;INT(0.8*基本属性!X9)&amp;"|"&amp;"3#8#"&amp;INT(1.2*基本属性!X9)&amp;"|"&amp;"3#9#"&amp;基本属性!Y9&amp;"|"&amp;"3#10#"&amp;基本属性!Y9&amp;"|"&amp;"3#11#"&amp;基本属性!Y9&amp;"|"&amp;"3#12#"&amp;基本属性!Y9</f>
        <v>3#1#260000|3#3#757|3#4#1136|3#5#757|3#6#1136|3#7#757|3#8#1136|3#9#400|3#10#400|3#11#400|3#12#400</v>
      </c>
      <c r="K150" s="154">
        <f t="shared" si="19"/>
        <v>14</v>
      </c>
      <c r="L150" s="154">
        <v>999</v>
      </c>
      <c r="M150" s="154">
        <v>1100</v>
      </c>
      <c r="N150" s="154">
        <v>1</v>
      </c>
      <c r="O150" s="154">
        <v>0</v>
      </c>
      <c r="P150" s="154">
        <v>600</v>
      </c>
      <c r="Q150" s="154"/>
      <c r="R150" s="153"/>
      <c r="S150" s="154"/>
      <c r="T150" s="154">
        <v>1</v>
      </c>
      <c r="U150" s="154">
        <v>5</v>
      </c>
    </row>
    <row r="151" spans="1:21" ht="15.75" x14ac:dyDescent="0.3">
      <c r="A151" s="154">
        <v>75</v>
      </c>
      <c r="B151" s="153" t="str">
        <f t="shared" si="18"/>
        <v>75级新增怪物种类1</v>
      </c>
      <c r="C151" s="153">
        <v>81</v>
      </c>
      <c r="D151" s="153">
        <v>19</v>
      </c>
      <c r="E151" s="153">
        <v>112</v>
      </c>
      <c r="F151" s="153">
        <v>75</v>
      </c>
      <c r="G151" s="153">
        <v>1</v>
      </c>
      <c r="H151" s="153">
        <v>0</v>
      </c>
      <c r="I151" s="153">
        <f>INT(怪物掉落配置方案!D5895/10)*10</f>
        <v>6290</v>
      </c>
      <c r="J151" s="154" t="str">
        <f>"3#1#"&amp;基本属性!BJ10&amp;"|"&amp;"3#3#"&amp;INT(0.8*基本属性!X10)&amp;"|"&amp;"3#4#"&amp;INT(1.2*基本属性!X10)&amp;"|"&amp;"3#5#"&amp;INT(0.8*基本属性!X10)&amp;"|"&amp;"3#6#"&amp;INT(1.2*基本属性!X10)&amp;"|"&amp;"3#7#"&amp;INT(0.8*基本属性!X10)&amp;"|"&amp;"3#8#"&amp;INT(1.2*基本属性!X10)&amp;"|"&amp;"3#9#"&amp;基本属性!Y10&amp;"|"&amp;"3#10#"&amp;基本属性!Y10&amp;"|"&amp;"3#11#"&amp;基本属性!Y10&amp;"|"&amp;"3#12#"&amp;基本属性!Y10</f>
        <v>3#1#380000|3#3#930|3#4#1395|3#5#930|3#6#1395|3#7#930|3#8#1395|3#9#475|3#10#475|3#11#475|3#12#475</v>
      </c>
      <c r="K151" s="154">
        <f t="shared" si="19"/>
        <v>17</v>
      </c>
      <c r="L151" s="154">
        <v>999</v>
      </c>
      <c r="M151" s="154">
        <v>1100</v>
      </c>
      <c r="N151" s="154">
        <v>1</v>
      </c>
      <c r="O151" s="154">
        <v>0</v>
      </c>
      <c r="P151" s="154">
        <v>600</v>
      </c>
      <c r="Q151" s="154"/>
      <c r="R151" s="153"/>
      <c r="S151" s="154"/>
      <c r="T151" s="154">
        <v>1</v>
      </c>
      <c r="U151" s="154">
        <v>5</v>
      </c>
    </row>
    <row r="152" spans="1:21" ht="15.75" x14ac:dyDescent="0.3">
      <c r="A152" s="154">
        <v>1</v>
      </c>
      <c r="B152" s="153" t="str">
        <f t="shared" ref="B152:B171" si="20">A152&amp;"转新增怪物种类1"</f>
        <v>1转新增怪物种类1</v>
      </c>
      <c r="C152" s="153">
        <v>81</v>
      </c>
      <c r="D152" s="153">
        <v>19</v>
      </c>
      <c r="E152" s="153">
        <v>112</v>
      </c>
      <c r="F152" s="153">
        <v>80</v>
      </c>
      <c r="G152" s="153">
        <v>1</v>
      </c>
      <c r="H152" s="153">
        <v>0</v>
      </c>
      <c r="I152" s="153">
        <f>INT(怪物掉落配置方案!D5896/10)*10</f>
        <v>10080</v>
      </c>
      <c r="J152" s="154" t="str">
        <f>"3#1#"&amp;基本属性!BJ11&amp;"|"&amp;"3#3#"&amp;INT(0.8*基本属性!X11)&amp;"|"&amp;"3#4#"&amp;INT(1.2*基本属性!X11)&amp;"|"&amp;"3#5#"&amp;INT(0.8*基本属性!X11)&amp;"|"&amp;"3#6#"&amp;INT(1.2*基本属性!X11)&amp;"|"&amp;"3#7#"&amp;INT(0.8*基本属性!X11)&amp;"|"&amp;"3#8#"&amp;INT(1.2*基本属性!X11)&amp;"|"&amp;"3#9#"&amp;基本属性!Y11&amp;"|"&amp;"3#10#"&amp;基本属性!Y11&amp;"|"&amp;"3#11#"&amp;基本属性!Y11&amp;"|"&amp;"3#12#"&amp;基本属性!Y11</f>
        <v>3#1#490000|3#3#1115|3#4#1672|3#5#1115|3#6#1672|3#7#1115|3#8#1672|3#9#550|3#10#550|3#11#550|3#12#550</v>
      </c>
      <c r="K152" s="154">
        <f t="shared" si="19"/>
        <v>20</v>
      </c>
      <c r="L152" s="154">
        <v>999</v>
      </c>
      <c r="M152" s="154">
        <v>1100</v>
      </c>
      <c r="N152" s="154">
        <v>1</v>
      </c>
      <c r="O152" s="154">
        <v>0</v>
      </c>
      <c r="P152" s="154">
        <v>600</v>
      </c>
      <c r="Q152" s="154"/>
      <c r="R152" s="153"/>
      <c r="S152" s="154"/>
      <c r="T152" s="154">
        <v>1</v>
      </c>
      <c r="U152" s="154">
        <v>5</v>
      </c>
    </row>
    <row r="153" spans="1:21" ht="15.75" x14ac:dyDescent="0.3">
      <c r="A153" s="154">
        <v>2</v>
      </c>
      <c r="B153" s="153" t="str">
        <f t="shared" si="20"/>
        <v>2转新增怪物种类1</v>
      </c>
      <c r="C153" s="153">
        <v>81</v>
      </c>
      <c r="D153" s="153">
        <v>19</v>
      </c>
      <c r="E153" s="153">
        <v>112</v>
      </c>
      <c r="F153" s="153">
        <v>90</v>
      </c>
      <c r="G153" s="153">
        <v>1</v>
      </c>
      <c r="H153" s="153">
        <v>0</v>
      </c>
      <c r="I153" s="153">
        <f>INT(怪物掉落配置方案!D5897/10)*10</f>
        <v>17330</v>
      </c>
      <c r="J153" s="154" t="str">
        <f>"3#1#"&amp;基本属性!BJ12&amp;"|"&amp;"3#3#"&amp;INT(0.8*基本属性!X12)&amp;"|"&amp;"3#4#"&amp;INT(1.2*基本属性!X12)&amp;"|"&amp;"3#5#"&amp;INT(0.8*基本属性!X12)&amp;"|"&amp;"3#6#"&amp;INT(1.2*基本属性!X12)&amp;"|"&amp;"3#7#"&amp;INT(0.8*基本属性!X12)&amp;"|"&amp;"3#8#"&amp;INT(1.2*基本属性!X12)&amp;"|"&amp;"3#9#"&amp;基本属性!Y12&amp;"|"&amp;"3#10#"&amp;基本属性!Y12&amp;"|"&amp;"3#11#"&amp;基本属性!Y12&amp;"|"&amp;"3#12#"&amp;基本属性!Y12</f>
        <v>3#1#690000|3#3#1472|3#4#2209|3#5#1472|3#6#2209|3#7#1472|3#8#2209|3#9#700|3#10#700|3#11#700|3#12#700</v>
      </c>
      <c r="K153" s="154">
        <f t="shared" si="19"/>
        <v>23</v>
      </c>
      <c r="L153" s="154">
        <v>999</v>
      </c>
      <c r="M153" s="154">
        <v>1100</v>
      </c>
      <c r="N153" s="154">
        <v>1</v>
      </c>
      <c r="O153" s="154">
        <v>0</v>
      </c>
      <c r="P153" s="154">
        <v>600</v>
      </c>
      <c r="Q153" s="154"/>
      <c r="R153" s="153"/>
      <c r="S153" s="154"/>
      <c r="T153" s="154">
        <v>1</v>
      </c>
      <c r="U153" s="154">
        <v>5</v>
      </c>
    </row>
    <row r="154" spans="1:21" ht="15.75" x14ac:dyDescent="0.3">
      <c r="A154" s="154">
        <v>3</v>
      </c>
      <c r="B154" s="153" t="str">
        <f t="shared" si="20"/>
        <v>3转新增怪物种类1</v>
      </c>
      <c r="C154" s="153">
        <v>81</v>
      </c>
      <c r="D154" s="153">
        <v>19</v>
      </c>
      <c r="E154" s="153">
        <v>112</v>
      </c>
      <c r="F154" s="153">
        <v>100</v>
      </c>
      <c r="G154" s="153">
        <v>1</v>
      </c>
      <c r="H154" s="153">
        <v>0</v>
      </c>
      <c r="I154" s="153">
        <f>INT(怪物掉落配置方案!D5898/10)*10</f>
        <v>20390</v>
      </c>
      <c r="J154" s="154" t="str">
        <f>"3#1#"&amp;基本属性!BJ13&amp;"|"&amp;"3#3#"&amp;INT(0.8*基本属性!X13)&amp;"|"&amp;"3#4#"&amp;INT(1.2*基本属性!X13)&amp;"|"&amp;"3#5#"&amp;INT(0.8*基本属性!X13)&amp;"|"&amp;"3#6#"&amp;INT(1.2*基本属性!X13)&amp;"|"&amp;"3#7#"&amp;INT(0.8*基本属性!X13)&amp;"|"&amp;"3#8#"&amp;INT(1.2*基本属性!X13)&amp;"|"&amp;"3#9#"&amp;基本属性!Y13&amp;"|"&amp;"3#10#"&amp;基本属性!Y13&amp;"|"&amp;"3#11#"&amp;基本属性!Y13&amp;"|"&amp;"3#12#"&amp;基本属性!Y13</f>
        <v>3#1#970000|3#3#1968|3#4#2953|3#5#1968|3#6#2953|3#7#1968|3#8#2953|3#9#900|3#10#900|3#11#900|3#12#900</v>
      </c>
      <c r="K154" s="154">
        <f t="shared" si="19"/>
        <v>26</v>
      </c>
      <c r="L154" s="154">
        <v>999</v>
      </c>
      <c r="M154" s="154">
        <v>1100</v>
      </c>
      <c r="N154" s="154">
        <v>1</v>
      </c>
      <c r="O154" s="154">
        <v>0</v>
      </c>
      <c r="P154" s="154">
        <v>600</v>
      </c>
      <c r="Q154" s="154"/>
      <c r="R154" s="153"/>
      <c r="S154" s="154"/>
      <c r="T154" s="154">
        <v>1</v>
      </c>
      <c r="U154" s="154">
        <v>5</v>
      </c>
    </row>
    <row r="155" spans="1:21" ht="15.75" x14ac:dyDescent="0.3">
      <c r="A155" s="154">
        <v>4</v>
      </c>
      <c r="B155" s="153" t="str">
        <f t="shared" si="20"/>
        <v>4转新增怪物种类1</v>
      </c>
      <c r="C155" s="153">
        <v>81</v>
      </c>
      <c r="D155" s="153">
        <v>19</v>
      </c>
      <c r="E155" s="153">
        <v>112</v>
      </c>
      <c r="F155" s="153">
        <v>105</v>
      </c>
      <c r="G155" s="153">
        <v>1</v>
      </c>
      <c r="H155" s="153">
        <v>0</v>
      </c>
      <c r="I155" s="153">
        <f>INT(怪物掉落配置方案!D5899/10)*10</f>
        <v>31500</v>
      </c>
      <c r="J155" s="154" t="str">
        <f>"3#1#"&amp;基本属性!BJ14&amp;"|"&amp;"3#3#"&amp;INT(0.8*基本属性!X14)&amp;"|"&amp;"3#4#"&amp;INT(1.2*基本属性!X14)&amp;"|"&amp;"3#5#"&amp;INT(0.8*基本属性!X14)&amp;"|"&amp;"3#6#"&amp;INT(1.2*基本属性!X14)&amp;"|"&amp;"3#7#"&amp;INT(0.8*基本属性!X14)&amp;"|"&amp;"3#8#"&amp;INT(1.2*基本属性!X14)&amp;"|"&amp;"3#9#"&amp;基本属性!Y14&amp;"|"&amp;"3#10#"&amp;基本属性!Y14&amp;"|"&amp;"3#11#"&amp;基本属性!Y14&amp;"|"&amp;"3#12#"&amp;基本属性!Y14</f>
        <v>3#1#1420000|3#3#2505|3#4#3758|3#5#2505|3#6#3758|3#7#2505|3#8#3758|3#9#1100|3#10#1100|3#11#1100|3#12#1100</v>
      </c>
      <c r="K155" s="154">
        <f t="shared" si="19"/>
        <v>29</v>
      </c>
      <c r="L155" s="154">
        <v>999</v>
      </c>
      <c r="M155" s="154">
        <v>1100</v>
      </c>
      <c r="N155" s="154">
        <v>1</v>
      </c>
      <c r="O155" s="154">
        <v>0</v>
      </c>
      <c r="P155" s="154">
        <v>600</v>
      </c>
      <c r="Q155" s="154"/>
      <c r="R155" s="153"/>
      <c r="S155" s="154"/>
      <c r="T155" s="154">
        <v>1</v>
      </c>
      <c r="U155" s="154">
        <v>5</v>
      </c>
    </row>
    <row r="156" spans="1:21" ht="15.75" x14ac:dyDescent="0.3">
      <c r="A156" s="154">
        <v>5</v>
      </c>
      <c r="B156" s="153" t="str">
        <f t="shared" si="20"/>
        <v>5转新增怪物种类1</v>
      </c>
      <c r="C156" s="153">
        <v>81</v>
      </c>
      <c r="D156" s="153">
        <v>19</v>
      </c>
      <c r="E156" s="153">
        <v>112</v>
      </c>
      <c r="F156" s="153">
        <v>110</v>
      </c>
      <c r="G156" s="153">
        <v>1</v>
      </c>
      <c r="H156" s="153">
        <v>0</v>
      </c>
      <c r="I156" s="153">
        <f>INT(怪物掉落配置方案!D5900/10)*10</f>
        <v>32550</v>
      </c>
      <c r="J156" s="154" t="str">
        <f>"3#1#"&amp;基本属性!BJ15&amp;"|"&amp;"3#3#"&amp;INT(0.8*基本属性!X15)&amp;"|"&amp;"3#4#"&amp;INT(1.2*基本属性!X15)&amp;"|"&amp;"3#5#"&amp;INT(0.8*基本属性!X15)&amp;"|"&amp;"3#6#"&amp;INT(1.2*基本属性!X15)&amp;"|"&amp;"3#7#"&amp;INT(0.8*基本属性!X15)&amp;"|"&amp;"3#8#"&amp;INT(1.2*基本属性!X15)&amp;"|"&amp;"3#9#"&amp;基本属性!Y15&amp;"|"&amp;"3#10#"&amp;基本属性!Y15&amp;"|"&amp;"3#11#"&amp;基本属性!Y15&amp;"|"&amp;"3#12#"&amp;基本属性!Y15</f>
        <v>3#1#1810000|3#3#3029|3#4#4544|3#5#3029|3#6#4544|3#7#3029|3#8#4544|3#9#1275|3#10#1275|3#11#1275|3#12#1275</v>
      </c>
      <c r="K156" s="154">
        <f t="shared" si="19"/>
        <v>32</v>
      </c>
      <c r="L156" s="154">
        <v>999</v>
      </c>
      <c r="M156" s="154">
        <v>1100</v>
      </c>
      <c r="N156" s="154">
        <v>1</v>
      </c>
      <c r="O156" s="154">
        <v>0</v>
      </c>
      <c r="P156" s="154">
        <v>600</v>
      </c>
      <c r="Q156" s="154"/>
      <c r="R156" s="153"/>
      <c r="S156" s="154"/>
      <c r="T156" s="154">
        <v>1</v>
      </c>
      <c r="U156" s="154">
        <v>5</v>
      </c>
    </row>
    <row r="157" spans="1:21" ht="15.75" x14ac:dyDescent="0.3">
      <c r="A157" s="154">
        <v>6</v>
      </c>
      <c r="B157" s="153" t="str">
        <f t="shared" si="20"/>
        <v>6转新增怪物种类1</v>
      </c>
      <c r="C157" s="153">
        <v>81</v>
      </c>
      <c r="D157" s="153">
        <v>19</v>
      </c>
      <c r="E157" s="153">
        <v>112</v>
      </c>
      <c r="F157" s="153">
        <v>120</v>
      </c>
      <c r="G157" s="153">
        <v>1</v>
      </c>
      <c r="H157" s="153">
        <v>0</v>
      </c>
      <c r="I157" s="153">
        <f>INT(怪物掉落配置方案!D5901/10)*10</f>
        <v>129810</v>
      </c>
      <c r="J157" s="154" t="str">
        <f>"3#1#"&amp;基本属性!BJ16&amp;"|"&amp;"3#3#"&amp;INT(0.8*基本属性!X16)&amp;"|"&amp;"3#4#"&amp;INT(1.2*基本属性!X16)&amp;"|"&amp;"3#5#"&amp;INT(0.8*基本属性!X16)&amp;"|"&amp;"3#6#"&amp;INT(1.2*基本属性!X16)&amp;"|"&amp;"3#7#"&amp;INT(0.8*基本属性!X16)&amp;"|"&amp;"3#8#"&amp;INT(1.2*基本属性!X16)&amp;"|"&amp;"3#9#"&amp;基本属性!Y16&amp;"|"&amp;"3#10#"&amp;基本属性!Y16&amp;"|"&amp;"3#11#"&amp;基本属性!Y16&amp;"|"&amp;"3#12#"&amp;基本属性!Y16</f>
        <v>3#1#2260000|3#3#3602|3#4#5403|3#5#3602|3#6#5403|3#7#3602|3#8#5403|3#9#1450|3#10#1450|3#11#1450|3#12#1450</v>
      </c>
      <c r="K157" s="154">
        <f t="shared" si="19"/>
        <v>36</v>
      </c>
      <c r="L157" s="154">
        <v>999</v>
      </c>
      <c r="M157" s="154">
        <v>1100</v>
      </c>
      <c r="N157" s="154">
        <v>1</v>
      </c>
      <c r="O157" s="154">
        <v>0</v>
      </c>
      <c r="P157" s="154">
        <v>600</v>
      </c>
      <c r="Q157" s="154"/>
      <c r="R157" s="153"/>
      <c r="S157" s="154"/>
      <c r="T157" s="154">
        <v>1</v>
      </c>
      <c r="U157" s="154">
        <v>5</v>
      </c>
    </row>
    <row r="158" spans="1:21" ht="15.75" x14ac:dyDescent="0.3">
      <c r="A158" s="154">
        <v>7</v>
      </c>
      <c r="B158" s="153" t="str">
        <f t="shared" si="20"/>
        <v>7转新增怪物种类1</v>
      </c>
      <c r="C158" s="153">
        <v>81</v>
      </c>
      <c r="D158" s="153">
        <v>19</v>
      </c>
      <c r="E158" s="153">
        <v>112</v>
      </c>
      <c r="F158" s="153">
        <v>135</v>
      </c>
      <c r="G158" s="153">
        <v>1</v>
      </c>
      <c r="H158" s="153">
        <v>0</v>
      </c>
      <c r="I158" s="153">
        <f>INT(怪物掉落配置方案!D5902/10)*10</f>
        <v>444410</v>
      </c>
      <c r="J158" s="154" t="str">
        <f>"3#1#"&amp;基本属性!BJ17&amp;"|"&amp;"3#3#"&amp;INT(0.8*基本属性!X17)&amp;"|"&amp;"3#4#"&amp;INT(1.2*基本属性!X17)&amp;"|"&amp;"3#5#"&amp;INT(0.8*基本属性!X17)&amp;"|"&amp;"3#6#"&amp;INT(1.2*基本属性!X17)&amp;"|"&amp;"3#7#"&amp;INT(0.8*基本属性!X17)&amp;"|"&amp;"3#8#"&amp;INT(1.2*基本属性!X17)&amp;"|"&amp;"3#9#"&amp;基本属性!Y17&amp;"|"&amp;"3#10#"&amp;基本属性!Y17&amp;"|"&amp;"3#11#"&amp;基本属性!Y17&amp;"|"&amp;"3#12#"&amp;基本属性!Y17</f>
        <v>3#1#2740000|3#3#4164|3#4#6247|3#5#4164|3#6#6247|3#7#4164|3#8#6247|3#9#1600|3#10#1600|3#11#1600|3#12#1600</v>
      </c>
      <c r="K158" s="154">
        <f t="shared" si="19"/>
        <v>39</v>
      </c>
      <c r="L158" s="154">
        <v>999</v>
      </c>
      <c r="M158" s="154">
        <v>1100</v>
      </c>
      <c r="N158" s="154">
        <v>1</v>
      </c>
      <c r="O158" s="154">
        <v>0</v>
      </c>
      <c r="P158" s="154">
        <v>600</v>
      </c>
      <c r="Q158" s="154"/>
      <c r="R158" s="153"/>
      <c r="S158" s="154"/>
      <c r="T158" s="154">
        <v>1</v>
      </c>
      <c r="U158" s="154">
        <v>5</v>
      </c>
    </row>
    <row r="159" spans="1:21" ht="15.75" x14ac:dyDescent="0.3">
      <c r="A159" s="154">
        <v>8</v>
      </c>
      <c r="B159" s="153" t="str">
        <f t="shared" si="20"/>
        <v>8转新增怪物种类1</v>
      </c>
      <c r="C159" s="153">
        <v>81</v>
      </c>
      <c r="D159" s="153">
        <v>19</v>
      </c>
      <c r="E159" s="153">
        <v>112</v>
      </c>
      <c r="F159" s="153">
        <v>155</v>
      </c>
      <c r="G159" s="153">
        <v>1</v>
      </c>
      <c r="H159" s="153">
        <v>0</v>
      </c>
      <c r="I159" s="153">
        <f>INT(怪物掉落配置方案!D5903/10)*10</f>
        <v>5368380</v>
      </c>
      <c r="J159" s="154" t="str">
        <f>"3#1#"&amp;基本属性!BJ18&amp;"|"&amp;"3#3#"&amp;INT(0.8*基本属性!X18)&amp;"|"&amp;"3#4#"&amp;INT(1.2*基本属性!X18)&amp;"|"&amp;"3#5#"&amp;INT(0.8*基本属性!X18)&amp;"|"&amp;"3#6#"&amp;INT(1.2*基本属性!X18)&amp;"|"&amp;"3#7#"&amp;INT(0.8*基本属性!X18)&amp;"|"&amp;"3#8#"&amp;INT(1.2*基本属性!X18)&amp;"|"&amp;"3#9#"&amp;基本属性!Y18&amp;"|"&amp;"3#10#"&amp;基本属性!Y18&amp;"|"&amp;"3#11#"&amp;基本属性!Y18&amp;"|"&amp;"3#12#"&amp;基本属性!Y18</f>
        <v>3#1#3550000|3#3#4784|3#4#7176|3#5#4784|3#6#7176|3#7#4784|3#8#7176|3#9#1750|3#10#1750|3#11#1750|3#12#1750</v>
      </c>
      <c r="K159" s="154">
        <f t="shared" si="19"/>
        <v>43</v>
      </c>
      <c r="L159" s="154">
        <v>999</v>
      </c>
      <c r="M159" s="154">
        <v>1100</v>
      </c>
      <c r="N159" s="154">
        <v>1</v>
      </c>
      <c r="O159" s="154">
        <v>0</v>
      </c>
      <c r="P159" s="154">
        <v>600</v>
      </c>
      <c r="Q159" s="154"/>
      <c r="R159" s="153"/>
      <c r="S159" s="154"/>
      <c r="T159" s="154">
        <v>1</v>
      </c>
      <c r="U159" s="154">
        <v>5</v>
      </c>
    </row>
    <row r="160" spans="1:21" ht="15.75" x14ac:dyDescent="0.3">
      <c r="A160" s="154">
        <v>9</v>
      </c>
      <c r="B160" s="153" t="str">
        <f t="shared" si="20"/>
        <v>9转新增怪物种类1</v>
      </c>
      <c r="C160" s="153">
        <v>81</v>
      </c>
      <c r="D160" s="153">
        <v>19</v>
      </c>
      <c r="E160" s="153">
        <v>112</v>
      </c>
      <c r="F160" s="153">
        <v>190</v>
      </c>
      <c r="G160" s="153">
        <v>1</v>
      </c>
      <c r="H160" s="153">
        <v>0</v>
      </c>
      <c r="I160" s="153">
        <f>INT(怪物掉落配置方案!D5904/10)*10</f>
        <v>4881460</v>
      </c>
      <c r="J160" s="154" t="str">
        <f>"3#1#"&amp;基本属性!BJ19&amp;"|"&amp;"3#3#"&amp;INT(0.8*基本属性!X19)&amp;"|"&amp;"3#4#"&amp;INT(1.2*基本属性!X19)&amp;"|"&amp;"3#5#"&amp;INT(0.8*基本属性!X19)&amp;"|"&amp;"3#6#"&amp;INT(1.2*基本属性!X19)&amp;"|"&amp;"3#7#"&amp;INT(0.8*基本属性!X19)&amp;"|"&amp;"3#8#"&amp;INT(1.2*基本属性!X19)&amp;"|"&amp;"3#9#"&amp;基本属性!Y19&amp;"|"&amp;"3#10#"&amp;基本属性!Y19&amp;"|"&amp;"3#11#"&amp;基本属性!Y19&amp;"|"&amp;"3#12#"&amp;基本属性!Y19</f>
        <v>3#1#4170000|3#3#5396|3#4#8095|3#5#5396|3#6#8095|3#7#5396|3#8#8095|3#9#1875|3#10#1875|3#11#1875|3#12#1875</v>
      </c>
      <c r="K160" s="154">
        <f t="shared" si="19"/>
        <v>46</v>
      </c>
      <c r="L160" s="154">
        <v>999</v>
      </c>
      <c r="M160" s="154">
        <v>1100</v>
      </c>
      <c r="N160" s="154">
        <v>1</v>
      </c>
      <c r="O160" s="154">
        <v>0</v>
      </c>
      <c r="P160" s="154">
        <v>600</v>
      </c>
      <c r="Q160" s="154"/>
      <c r="R160" s="153"/>
      <c r="S160" s="154"/>
      <c r="T160" s="154">
        <v>1</v>
      </c>
      <c r="U160" s="154">
        <v>5</v>
      </c>
    </row>
    <row r="161" spans="1:21" ht="15.75" x14ac:dyDescent="0.3">
      <c r="A161" s="154">
        <v>10</v>
      </c>
      <c r="B161" s="153" t="str">
        <f t="shared" si="20"/>
        <v>10转新增怪物种类1</v>
      </c>
      <c r="C161" s="153">
        <v>81</v>
      </c>
      <c r="D161" s="153">
        <v>19</v>
      </c>
      <c r="E161" s="153">
        <v>112</v>
      </c>
      <c r="F161" s="153">
        <v>200</v>
      </c>
      <c r="G161" s="153">
        <v>1</v>
      </c>
      <c r="H161" s="153">
        <v>0</v>
      </c>
      <c r="I161" s="153">
        <f>INT(怪物掉落配置方案!D5905/10)*10</f>
        <v>5833330</v>
      </c>
      <c r="J161" s="154" t="str">
        <f>"3#1#"&amp;基本属性!BJ20&amp;"|"&amp;"3#3#"&amp;INT(0.8*基本属性!X20)&amp;"|"&amp;"3#4#"&amp;INT(1.2*基本属性!X20)&amp;"|"&amp;"3#5#"&amp;INT(0.8*基本属性!X20)&amp;"|"&amp;"3#6#"&amp;INT(1.2*基本属性!X20)&amp;"|"&amp;"3#7#"&amp;INT(0.8*基本属性!X20)&amp;"|"&amp;"3#8#"&amp;INT(1.2*基本属性!X20)&amp;"|"&amp;"3#9#"&amp;基本属性!Y20&amp;"|"&amp;"3#10#"&amp;基本属性!Y20&amp;"|"&amp;"3#11#"&amp;基本属性!Y20&amp;"|"&amp;"3#12#"&amp;基本属性!Y20</f>
        <v>3#1#4870000|3#3#6076|3#4#9114|3#5#6076|3#6#9114|3#7#6076|3#8#9114|3#9#2000|3#10#2000|3#11#2000|3#12#2000</v>
      </c>
      <c r="K161" s="154">
        <f t="shared" si="19"/>
        <v>50</v>
      </c>
      <c r="L161" s="154">
        <v>999</v>
      </c>
      <c r="M161" s="154">
        <v>1100</v>
      </c>
      <c r="N161" s="154">
        <v>1</v>
      </c>
      <c r="O161" s="154">
        <v>0</v>
      </c>
      <c r="P161" s="154">
        <v>600</v>
      </c>
      <c r="Q161" s="154"/>
      <c r="R161" s="153"/>
      <c r="S161" s="154"/>
      <c r="T161" s="154">
        <v>1</v>
      </c>
      <c r="U161" s="154">
        <v>5</v>
      </c>
    </row>
    <row r="162" spans="1:21" ht="15.75" x14ac:dyDescent="0.3">
      <c r="A162" s="154">
        <v>11</v>
      </c>
      <c r="B162" s="153" t="str">
        <f t="shared" si="20"/>
        <v>11转新增怪物种类1</v>
      </c>
      <c r="C162" s="153">
        <v>81</v>
      </c>
      <c r="D162" s="153">
        <v>19</v>
      </c>
      <c r="E162" s="153">
        <v>112</v>
      </c>
      <c r="F162" s="153">
        <v>200</v>
      </c>
      <c r="G162" s="153">
        <v>1</v>
      </c>
      <c r="H162" s="153">
        <v>0</v>
      </c>
      <c r="I162" s="153">
        <f>INT(怪物掉落配置方案!D5906/10)*10</f>
        <v>1166660</v>
      </c>
      <c r="J162" s="154" t="str">
        <f>"3#1#"&amp;基本属性!BJ21&amp;"|"&amp;"3#3#"&amp;INT(0.8*基本属性!X21)&amp;"|"&amp;"3#4#"&amp;INT(1.2*基本属性!X21)&amp;"|"&amp;"3#5#"&amp;INT(0.8*基本属性!X21)&amp;"|"&amp;"3#6#"&amp;INT(1.2*基本属性!X21)&amp;"|"&amp;"3#7#"&amp;INT(0.8*基本属性!X21)&amp;"|"&amp;"3#8#"&amp;INT(1.2*基本属性!X21)&amp;"|"&amp;"3#9#"&amp;基本属性!Y21&amp;"|"&amp;"3#10#"&amp;基本属性!Y21&amp;"|"&amp;"3#11#"&amp;基本属性!Y21&amp;"|"&amp;"3#12#"&amp;基本属性!Y21</f>
        <v>3#1#5870000|3#3#7074|3#4#10611|3#5#7074|3#6#10611|3#7#7074|3#8#10611|3#9#2200|3#10#2200|3#11#2200|3#12#2200</v>
      </c>
      <c r="K162" s="154">
        <f t="shared" si="19"/>
        <v>54</v>
      </c>
      <c r="L162" s="154">
        <v>999</v>
      </c>
      <c r="M162" s="154">
        <v>1100</v>
      </c>
      <c r="N162" s="154">
        <v>1</v>
      </c>
      <c r="O162" s="154">
        <v>0</v>
      </c>
      <c r="P162" s="154">
        <v>600</v>
      </c>
      <c r="Q162" s="154"/>
      <c r="R162" s="153"/>
      <c r="S162" s="154"/>
      <c r="T162" s="154">
        <v>1</v>
      </c>
      <c r="U162" s="154">
        <v>5</v>
      </c>
    </row>
    <row r="163" spans="1:21" ht="15.75" x14ac:dyDescent="0.3">
      <c r="A163" s="154">
        <v>12</v>
      </c>
      <c r="B163" s="153" t="str">
        <f t="shared" si="20"/>
        <v>12转新增怪物种类1</v>
      </c>
      <c r="C163" s="153">
        <v>81</v>
      </c>
      <c r="D163" s="153">
        <v>19</v>
      </c>
      <c r="E163" s="153">
        <v>112</v>
      </c>
      <c r="F163" s="153">
        <v>210</v>
      </c>
      <c r="G163" s="153">
        <v>1</v>
      </c>
      <c r="H163" s="153">
        <v>0</v>
      </c>
      <c r="I163" s="153">
        <f>INT(怪物掉落配置方案!D5907/10)*10</f>
        <v>1166660</v>
      </c>
      <c r="J163" s="154" t="str">
        <f>"3#1#"&amp;基本属性!BJ22&amp;"|"&amp;"3#3#"&amp;INT(0.8*基本属性!X22)&amp;"|"&amp;"3#4#"&amp;INT(1.2*基本属性!X22)&amp;"|"&amp;"3#5#"&amp;INT(0.8*基本属性!X22)&amp;"|"&amp;"3#6#"&amp;INT(1.2*基本属性!X22)&amp;"|"&amp;"3#7#"&amp;INT(0.8*基本属性!X22)&amp;"|"&amp;"3#8#"&amp;INT(1.2*基本属性!X22)&amp;"|"&amp;"3#9#"&amp;基本属性!Y22&amp;"|"&amp;"3#10#"&amp;基本属性!Y22&amp;"|"&amp;"3#11#"&amp;基本属性!Y22&amp;"|"&amp;"3#12#"&amp;基本属性!Y22</f>
        <v>3#1#7510000|3#3#8193|3#4#12290|3#5#8193|3#6#12290|3#7#8193|3#8#12290|3#9#2400|3#10#2400|3#11#2400|3#12#2400</v>
      </c>
      <c r="K163" s="154">
        <f t="shared" si="19"/>
        <v>58</v>
      </c>
      <c r="L163" s="154">
        <v>999</v>
      </c>
      <c r="M163" s="154">
        <v>1100</v>
      </c>
      <c r="N163" s="154">
        <v>1</v>
      </c>
      <c r="O163" s="154">
        <v>0</v>
      </c>
      <c r="P163" s="154">
        <v>600</v>
      </c>
      <c r="Q163" s="154"/>
      <c r="R163" s="153"/>
      <c r="S163" s="154"/>
      <c r="T163" s="154">
        <v>1</v>
      </c>
      <c r="U163" s="154">
        <v>5</v>
      </c>
    </row>
    <row r="164" spans="1:21" ht="15.75" x14ac:dyDescent="0.3">
      <c r="A164" s="154">
        <v>13</v>
      </c>
      <c r="B164" s="153" t="str">
        <f t="shared" si="20"/>
        <v>13转新增怪物种类1</v>
      </c>
      <c r="C164" s="153">
        <v>81</v>
      </c>
      <c r="D164" s="153">
        <v>19</v>
      </c>
      <c r="E164" s="153">
        <v>112</v>
      </c>
      <c r="F164" s="153">
        <v>210</v>
      </c>
      <c r="G164" s="153">
        <v>1</v>
      </c>
      <c r="H164" s="153">
        <v>0</v>
      </c>
      <c r="I164" s="153">
        <f>INT(怪物掉落配置方案!D5908/10)*10</f>
        <v>1166660</v>
      </c>
      <c r="J164" s="154" t="str">
        <f>"3#1#"&amp;基本属性!BJ23&amp;"|"&amp;"3#3#"&amp;INT(0.8*基本属性!X23)&amp;"|"&amp;"3#4#"&amp;INT(1.2*基本属性!X23)&amp;"|"&amp;"3#5#"&amp;INT(0.8*基本属性!X23)&amp;"|"&amp;"3#6#"&amp;INT(1.2*基本属性!X23)&amp;"|"&amp;"3#7#"&amp;INT(0.8*基本属性!X23)&amp;"|"&amp;"3#8#"&amp;INT(1.2*基本属性!X23)&amp;"|"&amp;"3#9#"&amp;基本属性!Y23&amp;"|"&amp;"3#10#"&amp;基本属性!Y23&amp;"|"&amp;"3#11#"&amp;基本属性!Y23&amp;"|"&amp;"3#12#"&amp;基本属性!Y23</f>
        <v>3#1#9070000|3#3#9635|3#4#14452|3#5#9635|3#6#14452|3#7#9635|3#8#14452|3#9#2650|3#10#2650|3#11#2650|3#12#2650</v>
      </c>
      <c r="K164" s="154">
        <f t="shared" si="19"/>
        <v>62</v>
      </c>
      <c r="L164" s="154">
        <v>999</v>
      </c>
      <c r="M164" s="154">
        <v>1100</v>
      </c>
      <c r="N164" s="154">
        <v>1</v>
      </c>
      <c r="O164" s="154">
        <v>0</v>
      </c>
      <c r="P164" s="154">
        <v>600</v>
      </c>
      <c r="Q164" s="154"/>
      <c r="R164" s="153"/>
      <c r="S164" s="154"/>
      <c r="T164" s="154">
        <v>1</v>
      </c>
      <c r="U164" s="154">
        <v>5</v>
      </c>
    </row>
    <row r="165" spans="1:21" ht="15.75" x14ac:dyDescent="0.3">
      <c r="A165" s="154">
        <v>14</v>
      </c>
      <c r="B165" s="153" t="str">
        <f t="shared" si="20"/>
        <v>14转新增怪物种类1</v>
      </c>
      <c r="C165" s="153">
        <v>81</v>
      </c>
      <c r="D165" s="153">
        <v>19</v>
      </c>
      <c r="E165" s="153">
        <v>112</v>
      </c>
      <c r="F165" s="153">
        <v>220</v>
      </c>
      <c r="G165" s="153">
        <v>1</v>
      </c>
      <c r="H165" s="153">
        <v>0</v>
      </c>
      <c r="I165" s="153">
        <f>INT(怪物掉落配置方案!D5909/10)*10</f>
        <v>1166660</v>
      </c>
      <c r="J165" s="154" t="str">
        <f>"3#1#"&amp;基本属性!BJ24&amp;"|"&amp;"3#3#"&amp;INT(0.8*基本属性!X24)&amp;"|"&amp;"3#4#"&amp;INT(1.2*基本属性!X24)&amp;"|"&amp;"3#5#"&amp;INT(0.8*基本属性!X24)&amp;"|"&amp;"3#6#"&amp;INT(1.2*基本属性!X24)&amp;"|"&amp;"3#7#"&amp;INT(0.8*基本属性!X24)&amp;"|"&amp;"3#8#"&amp;INT(1.2*基本属性!X24)&amp;"|"&amp;"3#9#"&amp;基本属性!Y24&amp;"|"&amp;"3#10#"&amp;基本属性!Y24&amp;"|"&amp;"3#11#"&amp;基本属性!Y24&amp;"|"&amp;"3#12#"&amp;基本属性!Y24</f>
        <v>3#1#10850000|3#3#11268|3#4#16903|3#5#11268|3#6#16903|3#7#11268|3#8#16903|3#9#2900|3#10#2900|3#11#2900|3#12#2900</v>
      </c>
      <c r="K165" s="154">
        <f t="shared" si="19"/>
        <v>66</v>
      </c>
      <c r="L165" s="154">
        <v>999</v>
      </c>
      <c r="M165" s="154">
        <v>1100</v>
      </c>
      <c r="N165" s="154">
        <v>1</v>
      </c>
      <c r="O165" s="154">
        <v>0</v>
      </c>
      <c r="P165" s="154">
        <v>600</v>
      </c>
      <c r="Q165" s="154"/>
      <c r="R165" s="153"/>
      <c r="S165" s="154"/>
      <c r="T165" s="154">
        <v>1</v>
      </c>
      <c r="U165" s="154">
        <v>5</v>
      </c>
    </row>
    <row r="166" spans="1:21" ht="15.75" x14ac:dyDescent="0.3">
      <c r="A166" s="154">
        <v>15</v>
      </c>
      <c r="B166" s="153" t="str">
        <f t="shared" si="20"/>
        <v>15转新增怪物种类1</v>
      </c>
      <c r="C166" s="153">
        <v>81</v>
      </c>
      <c r="D166" s="153">
        <v>19</v>
      </c>
      <c r="E166" s="153">
        <v>112</v>
      </c>
      <c r="F166" s="153">
        <v>220</v>
      </c>
      <c r="G166" s="153">
        <v>1</v>
      </c>
      <c r="H166" s="153">
        <v>0</v>
      </c>
      <c r="I166" s="153">
        <f>INT(怪物掉落配置方案!D5910/10)*10</f>
        <v>1166660</v>
      </c>
      <c r="J166" s="154" t="str">
        <f>"3#1#"&amp;基本属性!BJ25&amp;"|"&amp;"3#3#"&amp;INT(0.8*基本属性!X25)&amp;"|"&amp;"3#4#"&amp;INT(1.2*基本属性!X25)&amp;"|"&amp;"3#5#"&amp;INT(0.8*基本属性!X25)&amp;"|"&amp;"3#6#"&amp;INT(1.2*基本属性!X25)&amp;"|"&amp;"3#7#"&amp;INT(0.8*基本属性!X25)&amp;"|"&amp;"3#8#"&amp;INT(1.2*基本属性!X25)&amp;"|"&amp;"3#9#"&amp;基本属性!Y25&amp;"|"&amp;"3#10#"&amp;基本属性!Y25&amp;"|"&amp;"3#11#"&amp;基本属性!Y25&amp;"|"&amp;"3#12#"&amp;基本属性!Y25</f>
        <v>3#1#13080000|3#3#13340|3#4#20010|3#5#13340|3#6#20010|3#7#13340|3#8#20010|3#9#3200|3#10#3200|3#11#3200|3#12#3200</v>
      </c>
      <c r="K166" s="154">
        <f t="shared" si="19"/>
        <v>70</v>
      </c>
      <c r="L166" s="154">
        <v>999</v>
      </c>
      <c r="M166" s="154">
        <v>1100</v>
      </c>
      <c r="N166" s="154">
        <v>1</v>
      </c>
      <c r="O166" s="154">
        <v>0</v>
      </c>
      <c r="P166" s="154">
        <v>600</v>
      </c>
      <c r="Q166" s="154"/>
      <c r="R166" s="153"/>
      <c r="S166" s="154"/>
      <c r="T166" s="154">
        <v>1</v>
      </c>
      <c r="U166" s="154">
        <v>5</v>
      </c>
    </row>
    <row r="167" spans="1:21" ht="15.75" x14ac:dyDescent="0.3">
      <c r="A167" s="154">
        <v>16</v>
      </c>
      <c r="B167" s="153" t="str">
        <f t="shared" si="20"/>
        <v>16转新增怪物种类1</v>
      </c>
      <c r="C167" s="153">
        <v>81</v>
      </c>
      <c r="D167" s="153">
        <v>19</v>
      </c>
      <c r="E167" s="153">
        <v>112</v>
      </c>
      <c r="F167" s="153">
        <v>230</v>
      </c>
      <c r="G167" s="153">
        <v>1</v>
      </c>
      <c r="H167" s="153">
        <v>0</v>
      </c>
      <c r="I167" s="153">
        <f>INT(怪物掉落配置方案!D5911/10)*10</f>
        <v>583330</v>
      </c>
      <c r="J167" s="154" t="str">
        <f>"3#1#"&amp;基本属性!BJ26&amp;"|"&amp;"3#3#"&amp;INT(0.8*基本属性!X26)&amp;"|"&amp;"3#4#"&amp;INT(1.2*基本属性!X26)&amp;"|"&amp;"3#5#"&amp;INT(0.8*基本属性!X26)&amp;"|"&amp;"3#6#"&amp;INT(1.2*基本属性!X26)&amp;"|"&amp;"3#7#"&amp;INT(0.8*基本属性!X26)&amp;"|"&amp;"3#8#"&amp;INT(1.2*基本属性!X26)&amp;"|"&amp;"3#9#"&amp;基本属性!Y26&amp;"|"&amp;"3#10#"&amp;基本属性!Y26&amp;"|"&amp;"3#11#"&amp;基本属性!Y26&amp;"|"&amp;"3#12#"&amp;基本属性!Y26</f>
        <v>3#1#16660000|3#3#15717|3#4#23576|3#5#15717|3#6#23576|3#7#15717|3#8#23576|3#9#3500|3#10#3500|3#11#3500|3#12#3500</v>
      </c>
      <c r="K167" s="154">
        <f t="shared" si="19"/>
        <v>75</v>
      </c>
      <c r="L167" s="154">
        <v>999</v>
      </c>
      <c r="M167" s="154">
        <v>1100</v>
      </c>
      <c r="N167" s="154">
        <v>1</v>
      </c>
      <c r="O167" s="154">
        <v>0</v>
      </c>
      <c r="P167" s="154">
        <v>600</v>
      </c>
      <c r="Q167" s="154"/>
      <c r="R167" s="153"/>
      <c r="S167" s="154"/>
      <c r="T167" s="154">
        <v>1</v>
      </c>
      <c r="U167" s="154">
        <v>5</v>
      </c>
    </row>
    <row r="168" spans="1:21" ht="15.75" x14ac:dyDescent="0.3">
      <c r="A168" s="154">
        <v>17</v>
      </c>
      <c r="B168" s="153" t="str">
        <f t="shared" si="20"/>
        <v>17转新增怪物种类1</v>
      </c>
      <c r="C168" s="153">
        <v>81</v>
      </c>
      <c r="D168" s="153">
        <v>19</v>
      </c>
      <c r="E168" s="153">
        <v>112</v>
      </c>
      <c r="F168" s="153">
        <v>230</v>
      </c>
      <c r="G168" s="153">
        <v>1</v>
      </c>
      <c r="H168" s="153">
        <v>0</v>
      </c>
      <c r="I168" s="153">
        <f>INT(怪物掉落配置方案!D5912/10)*10</f>
        <v>583330</v>
      </c>
      <c r="J168" s="154" t="str">
        <f>"3#1#"&amp;基本属性!BJ27&amp;"|"&amp;"3#3#"&amp;INT(0.8*基本属性!X27)&amp;"|"&amp;"3#4#"&amp;INT(1.2*基本属性!X27)&amp;"|"&amp;"3#5#"&amp;INT(0.8*基本属性!X27)&amp;"|"&amp;"3#6#"&amp;INT(1.2*基本属性!X27)&amp;"|"&amp;"3#7#"&amp;INT(0.8*基本属性!X27)&amp;"|"&amp;"3#8#"&amp;INT(1.2*基本属性!X27)&amp;"|"&amp;"3#9#"&amp;基本属性!Y27&amp;"|"&amp;"3#10#"&amp;基本属性!Y27&amp;"|"&amp;"3#11#"&amp;基本属性!Y27&amp;"|"&amp;"3#12#"&amp;基本属性!Y27</f>
        <v>3#1#19480000|3#3#18224|3#4#27336|3#5#18224|3#6#27336|3#7#18224|3#8#27336|3#9#3750|3#10#3750|3#11#3750|3#12#3750</v>
      </c>
      <c r="K168" s="154">
        <f t="shared" si="19"/>
        <v>79</v>
      </c>
      <c r="L168" s="154">
        <v>999</v>
      </c>
      <c r="M168" s="154">
        <v>1100</v>
      </c>
      <c r="N168" s="154">
        <v>1</v>
      </c>
      <c r="O168" s="154">
        <v>0</v>
      </c>
      <c r="P168" s="154">
        <v>600</v>
      </c>
      <c r="Q168" s="154"/>
      <c r="R168" s="153"/>
      <c r="S168" s="154"/>
      <c r="T168" s="154">
        <v>1</v>
      </c>
      <c r="U168" s="154">
        <v>5</v>
      </c>
    </row>
    <row r="169" spans="1:21" ht="15.75" x14ac:dyDescent="0.3">
      <c r="A169" s="154">
        <v>18</v>
      </c>
      <c r="B169" s="153" t="str">
        <f t="shared" si="20"/>
        <v>18转新增怪物种类1</v>
      </c>
      <c r="C169" s="153">
        <v>81</v>
      </c>
      <c r="D169" s="153">
        <v>19</v>
      </c>
      <c r="E169" s="153">
        <v>112</v>
      </c>
      <c r="F169" s="153">
        <v>240</v>
      </c>
      <c r="G169" s="153">
        <v>1</v>
      </c>
      <c r="H169" s="153">
        <v>0</v>
      </c>
      <c r="I169" s="153">
        <f>INT(怪物掉落配置方案!D5913/10)*10</f>
        <v>583330</v>
      </c>
      <c r="J169" s="154" t="str">
        <f>"3#1#"&amp;基本属性!BJ28&amp;"|"&amp;"3#3#"&amp;INT(0.8*基本属性!X28)&amp;"|"&amp;"3#4#"&amp;INT(1.2*基本属性!X28)&amp;"|"&amp;"3#5#"&amp;INT(0.8*基本属性!X28)&amp;"|"&amp;"3#6#"&amp;INT(1.2*基本属性!X28)&amp;"|"&amp;"3#7#"&amp;INT(0.8*基本属性!X28)&amp;"|"&amp;"3#8#"&amp;INT(1.2*基本属性!X28)&amp;"|"&amp;"3#9#"&amp;基本属性!Y28&amp;"|"&amp;"3#10#"&amp;基本属性!Y28&amp;"|"&amp;"3#11#"&amp;基本属性!Y28&amp;"|"&amp;"3#12#"&amp;基本属性!Y28</f>
        <v>3#1#22660000|3#3#21140|3#4#31711|3#5#21140|3#6#31711|3#7#21140|3#8#31711|3#9#4000|3#10#4000|3#11#4000|3#12#4000</v>
      </c>
      <c r="K169" s="154">
        <f t="shared" si="19"/>
        <v>84</v>
      </c>
      <c r="L169" s="154">
        <v>999</v>
      </c>
      <c r="M169" s="154">
        <v>1100</v>
      </c>
      <c r="N169" s="154">
        <v>1</v>
      </c>
      <c r="O169" s="154">
        <v>0</v>
      </c>
      <c r="P169" s="154">
        <v>600</v>
      </c>
      <c r="Q169" s="154"/>
      <c r="R169" s="153"/>
      <c r="S169" s="154"/>
      <c r="T169" s="154">
        <v>1</v>
      </c>
      <c r="U169" s="154">
        <v>5</v>
      </c>
    </row>
    <row r="170" spans="1:21" ht="15.75" x14ac:dyDescent="0.3">
      <c r="A170" s="154">
        <v>19</v>
      </c>
      <c r="B170" s="153" t="str">
        <f t="shared" si="20"/>
        <v>19转新增怪物种类1</v>
      </c>
      <c r="C170" s="153">
        <v>81</v>
      </c>
      <c r="D170" s="153">
        <v>19</v>
      </c>
      <c r="E170" s="153">
        <v>112</v>
      </c>
      <c r="F170" s="153">
        <v>240</v>
      </c>
      <c r="G170" s="153">
        <v>1</v>
      </c>
      <c r="H170" s="153">
        <v>0</v>
      </c>
      <c r="I170" s="153">
        <f>INT(怪物掉落配置方案!D5914/10)*10</f>
        <v>583330</v>
      </c>
      <c r="J170" s="154" t="str">
        <f>"3#1#"&amp;基本属性!BJ29&amp;"|"&amp;"3#3#"&amp;INT(0.8*基本属性!X29)&amp;"|"&amp;"3#4#"&amp;INT(1.2*基本属性!X29)&amp;"|"&amp;"3#5#"&amp;INT(0.8*基本属性!X29)&amp;"|"&amp;"3#6#"&amp;INT(1.2*基本属性!X29)&amp;"|"&amp;"3#7#"&amp;INT(0.8*基本属性!X29)&amp;"|"&amp;"3#8#"&amp;INT(1.2*基本属性!X29)&amp;"|"&amp;"3#9#"&amp;基本属性!Y29&amp;"|"&amp;"3#10#"&amp;基本属性!Y29&amp;"|"&amp;"3#11#"&amp;基本属性!Y29&amp;"|"&amp;"3#12#"&amp;基本属性!Y29</f>
        <v>3#1#27780000|3#3#26012|3#4#39018|3#5#26012|3#6#39018|3#7#26012|3#8#39018|3#9#4500|3#10#4500|3#11#4500|3#12#4500</v>
      </c>
      <c r="K170" s="154">
        <f t="shared" si="19"/>
        <v>88</v>
      </c>
      <c r="L170" s="154">
        <v>999</v>
      </c>
      <c r="M170" s="154">
        <v>1100</v>
      </c>
      <c r="N170" s="154">
        <v>1</v>
      </c>
      <c r="O170" s="154">
        <v>0</v>
      </c>
      <c r="P170" s="154">
        <v>600</v>
      </c>
      <c r="Q170" s="154"/>
      <c r="R170" s="153"/>
      <c r="S170" s="154"/>
      <c r="T170" s="154">
        <v>1</v>
      </c>
      <c r="U170" s="154">
        <v>5</v>
      </c>
    </row>
    <row r="171" spans="1:21" ht="15.75" x14ac:dyDescent="0.3">
      <c r="A171" s="154">
        <v>20</v>
      </c>
      <c r="B171" s="153" t="str">
        <f t="shared" si="20"/>
        <v>20转新增怪物种类1</v>
      </c>
      <c r="C171" s="153">
        <v>81</v>
      </c>
      <c r="D171" s="153">
        <v>19</v>
      </c>
      <c r="E171" s="153">
        <v>112</v>
      </c>
      <c r="F171" s="153">
        <v>250</v>
      </c>
      <c r="G171" s="153">
        <v>1</v>
      </c>
      <c r="H171" s="153">
        <v>0</v>
      </c>
      <c r="I171" s="153">
        <f>INT(怪物掉落配置方案!D5915/10)*10</f>
        <v>583330</v>
      </c>
      <c r="J171" s="154" t="str">
        <f>"3#1#"&amp;基本属性!BJ30&amp;"|"&amp;"3#3#"&amp;INT(0.8*基本属性!X30)&amp;"|"&amp;"3#4#"&amp;INT(1.2*基本属性!X30)&amp;"|"&amp;"3#5#"&amp;INT(0.8*基本属性!X30)&amp;"|"&amp;"3#6#"&amp;INT(1.2*基本属性!X30)&amp;"|"&amp;"3#7#"&amp;INT(0.8*基本属性!X30)&amp;"|"&amp;"3#8#"&amp;INT(1.2*基本属性!X30)&amp;"|"&amp;"3#9#"&amp;基本属性!Y30&amp;"|"&amp;"3#10#"&amp;基本属性!Y30&amp;"|"&amp;"3#11#"&amp;基本属性!Y30&amp;"|"&amp;"3#12#"&amp;基本属性!Y30</f>
        <v>3#1#37440000|3#3#33643|3#4#50464|3#5#33643|3#6#50464|3#7#33643|3#8#50464|3#9#5000|3#10#5000|3#11#5000|3#12#5000</v>
      </c>
      <c r="K171" s="154">
        <f t="shared" si="19"/>
        <v>96</v>
      </c>
      <c r="L171" s="154">
        <v>999</v>
      </c>
      <c r="M171" s="154">
        <v>1100</v>
      </c>
      <c r="N171" s="154">
        <v>1</v>
      </c>
      <c r="O171" s="154">
        <v>0</v>
      </c>
      <c r="P171" s="154">
        <v>600</v>
      </c>
      <c r="Q171" s="154"/>
      <c r="R171" s="153"/>
      <c r="S171" s="154"/>
      <c r="T171" s="154">
        <v>1</v>
      </c>
      <c r="U171" s="154">
        <v>5</v>
      </c>
    </row>
    <row r="172" spans="1:21" s="155" customFormat="1" x14ac:dyDescent="0.3">
      <c r="A172" s="155" t="s">
        <v>3717</v>
      </c>
      <c r="B172" s="156"/>
      <c r="C172" s="156"/>
      <c r="D172" s="156"/>
      <c r="E172" s="156"/>
      <c r="F172" s="156"/>
      <c r="G172" s="156"/>
      <c r="H172" s="156"/>
      <c r="I172" s="156"/>
      <c r="R172" s="156"/>
    </row>
    <row r="173" spans="1:21" ht="15.75" x14ac:dyDescent="0.3">
      <c r="A173" s="154">
        <v>35</v>
      </c>
      <c r="B173" s="153" t="str">
        <f t="shared" ref="B173:B179" si="21">A173&amp;"级新增怪物种类2"</f>
        <v>35级新增怪物种类2</v>
      </c>
      <c r="C173" s="153">
        <v>81</v>
      </c>
      <c r="D173" s="153">
        <v>19</v>
      </c>
      <c r="E173" s="153">
        <v>112</v>
      </c>
      <c r="F173" s="153">
        <v>35</v>
      </c>
      <c r="G173" s="153">
        <v>1</v>
      </c>
      <c r="H173" s="153">
        <v>0</v>
      </c>
      <c r="I173" s="153">
        <f>INT(怪物掉落配置方案!D6915/10)*10</f>
        <v>1660</v>
      </c>
      <c r="J173" s="154" t="str">
        <f>"3#1#"&amp;基本属性!BK4&amp;"|"&amp;"3#3#"&amp;INT(0.8*基本属性!AA4)&amp;"|"&amp;"3#4#"&amp;INT(1.2*基本属性!AA4)&amp;"|"&amp;"3#5#"&amp;INT(0.8*基本属性!AA4)&amp;"|"&amp;"3#6#"&amp;INT(1.2*基本属性!AA4)&amp;"|"&amp;"3#7#"&amp;INT(0.8*基本属性!AA4)&amp;"|"&amp;"3#8#"&amp;INT(1.2*基本属性!AA4)&amp;"|"&amp;"3#9#"&amp;基本属性!AB4&amp;"|"&amp;"3#10#"&amp;基本属性!AB4&amp;"|"&amp;"3#11#"&amp;基本属性!AB4&amp;"|"&amp;"3#12#"&amp;基本属性!AB4</f>
        <v>3#1#40000|3#3#163|3#4#244|3#5#163|3#6#244|3#7#163|3#8#244|3#9#100|3#10#100|3#11#100|3#12#100</v>
      </c>
      <c r="K173" s="154">
        <f>K33</f>
        <v>2</v>
      </c>
      <c r="L173" s="154">
        <v>999</v>
      </c>
      <c r="M173" s="154">
        <v>1100</v>
      </c>
      <c r="N173" s="154">
        <v>1</v>
      </c>
      <c r="O173" s="154">
        <v>0</v>
      </c>
      <c r="P173" s="154">
        <v>600</v>
      </c>
      <c r="Q173" s="154"/>
      <c r="R173" s="153"/>
      <c r="S173" s="154"/>
      <c r="T173" s="154">
        <v>1</v>
      </c>
      <c r="U173" s="154">
        <v>5</v>
      </c>
    </row>
    <row r="174" spans="1:21" ht="15.75" x14ac:dyDescent="0.3">
      <c r="A174" s="154">
        <v>40</v>
      </c>
      <c r="B174" s="153" t="str">
        <f t="shared" si="21"/>
        <v>40级新增怪物种类2</v>
      </c>
      <c r="C174" s="153">
        <v>81</v>
      </c>
      <c r="D174" s="153">
        <v>19</v>
      </c>
      <c r="E174" s="153">
        <v>112</v>
      </c>
      <c r="F174" s="153">
        <v>40</v>
      </c>
      <c r="G174" s="153">
        <v>1</v>
      </c>
      <c r="H174" s="153">
        <v>0</v>
      </c>
      <c r="I174" s="153">
        <f>INT(怪物掉落配置方案!D6916/10)*10</f>
        <v>3190</v>
      </c>
      <c r="J174" s="154" t="str">
        <f>"3#1#"&amp;基本属性!BK5&amp;"|"&amp;"3#3#"&amp;INT(0.8*基本属性!AA5)&amp;"|"&amp;"3#4#"&amp;INT(1.2*基本属性!AA5)&amp;"|"&amp;"3#5#"&amp;INT(0.8*基本属性!AA5)&amp;"|"&amp;"3#6#"&amp;INT(1.2*基本属性!AA5)&amp;"|"&amp;"3#7#"&amp;INT(0.8*基本属性!AA5)&amp;"|"&amp;"3#8#"&amp;INT(1.2*基本属性!AA5)&amp;"|"&amp;"3#9#"&amp;基本属性!AB5&amp;"|"&amp;"3#10#"&amp;基本属性!AB5&amp;"|"&amp;"3#11#"&amp;基本属性!AB5&amp;"|"&amp;"3#12#"&amp;基本属性!AB5</f>
        <v>3#1#80000|3#3#252|3#4#378|3#5#252|3#6#378|3#7#252|3#8#378|3#9#150|3#10#150|3#11#150|3#12#150</v>
      </c>
      <c r="K174" s="154">
        <f t="shared" ref="K174:K199" si="22">K34</f>
        <v>4</v>
      </c>
      <c r="L174" s="154">
        <v>999</v>
      </c>
      <c r="M174" s="154">
        <v>1100</v>
      </c>
      <c r="N174" s="154">
        <v>1</v>
      </c>
      <c r="O174" s="154">
        <v>0</v>
      </c>
      <c r="P174" s="154">
        <v>600</v>
      </c>
      <c r="Q174" s="154"/>
      <c r="R174" s="153"/>
      <c r="S174" s="154"/>
      <c r="T174" s="154">
        <v>1</v>
      </c>
      <c r="U174" s="154">
        <v>5</v>
      </c>
    </row>
    <row r="175" spans="1:21" ht="15.75" x14ac:dyDescent="0.3">
      <c r="A175" s="154">
        <v>50</v>
      </c>
      <c r="B175" s="153" t="str">
        <f t="shared" si="21"/>
        <v>50级新增怪物种类2</v>
      </c>
      <c r="C175" s="153">
        <v>81</v>
      </c>
      <c r="D175" s="153">
        <v>19</v>
      </c>
      <c r="E175" s="153">
        <v>112</v>
      </c>
      <c r="F175" s="153">
        <v>50</v>
      </c>
      <c r="G175" s="153">
        <v>1</v>
      </c>
      <c r="H175" s="153">
        <v>0</v>
      </c>
      <c r="I175" s="153">
        <f>INT(怪物掉落配置方案!D6917/10)*10</f>
        <v>8660</v>
      </c>
      <c r="J175" s="154" t="str">
        <f>"3#1#"&amp;基本属性!BK6&amp;"|"&amp;"3#3#"&amp;INT(0.8*基本属性!AA6)&amp;"|"&amp;"3#4#"&amp;INT(1.2*基本属性!AA6)&amp;"|"&amp;"3#5#"&amp;INT(0.8*基本属性!AA6)&amp;"|"&amp;"3#6#"&amp;INT(1.2*基本属性!AA6)&amp;"|"&amp;"3#7#"&amp;INT(0.8*基本属性!AA6)&amp;"|"&amp;"3#8#"&amp;INT(1.2*基本属性!AA6)&amp;"|"&amp;"3#9#"&amp;基本属性!AB6&amp;"|"&amp;"3#10#"&amp;基本属性!AB6&amp;"|"&amp;"3#11#"&amp;基本属性!AB6&amp;"|"&amp;"3#12#"&amp;基本属性!AB6</f>
        <v>3#1#120000|3#3#345|3#4#518|3#5#345|3#6#518|3#7#345|3#8#518|3#9#200|3#10#200|3#11#200|3#12#200</v>
      </c>
      <c r="K175" s="154">
        <f t="shared" si="22"/>
        <v>6</v>
      </c>
      <c r="L175" s="154">
        <v>999</v>
      </c>
      <c r="M175" s="154">
        <v>1100</v>
      </c>
      <c r="N175" s="154">
        <v>1</v>
      </c>
      <c r="O175" s="154">
        <v>0</v>
      </c>
      <c r="P175" s="154">
        <v>600</v>
      </c>
      <c r="Q175" s="154"/>
      <c r="R175" s="153"/>
      <c r="S175" s="154"/>
      <c r="T175" s="154">
        <v>1</v>
      </c>
      <c r="U175" s="154">
        <v>5</v>
      </c>
    </row>
    <row r="176" spans="1:21" ht="15.75" x14ac:dyDescent="0.3">
      <c r="A176" s="154">
        <v>60</v>
      </c>
      <c r="B176" s="153" t="str">
        <f t="shared" si="21"/>
        <v>60级新增怪物种类2</v>
      </c>
      <c r="C176" s="153">
        <v>81</v>
      </c>
      <c r="D176" s="153">
        <v>19</v>
      </c>
      <c r="E176" s="153">
        <v>112</v>
      </c>
      <c r="F176" s="153">
        <v>60</v>
      </c>
      <c r="G176" s="153">
        <v>1</v>
      </c>
      <c r="H176" s="153">
        <v>0</v>
      </c>
      <c r="I176" s="153">
        <f>INT(怪物掉落配置方案!D6918/10)*10</f>
        <v>10830</v>
      </c>
      <c r="J176" s="154" t="str">
        <f>"3#1#"&amp;基本属性!BK7&amp;"|"&amp;"3#3#"&amp;INT(0.8*基本属性!AA7)&amp;"|"&amp;"3#4#"&amp;INT(1.2*基本属性!AA7)&amp;"|"&amp;"3#5#"&amp;INT(0.8*基本属性!AA7)&amp;"|"&amp;"3#6#"&amp;INT(1.2*基本属性!AA7)&amp;"|"&amp;"3#7#"&amp;INT(0.8*基本属性!AA7)&amp;"|"&amp;"3#8#"&amp;INT(1.2*基本属性!AA7)&amp;"|"&amp;"3#9#"&amp;基本属性!AB7&amp;"|"&amp;"3#10#"&amp;基本属性!AB7&amp;"|"&amp;"3#11#"&amp;基本属性!AB7&amp;"|"&amp;"3#12#"&amp;基本属性!AB7</f>
        <v>3#1#180000|3#3#444|3#4#667|3#5#444|3#6#667|3#7#444|3#8#667|3#9#250|3#10#250|3#11#250|3#12#250</v>
      </c>
      <c r="K176" s="154">
        <f t="shared" si="22"/>
        <v>9</v>
      </c>
      <c r="L176" s="154">
        <v>999</v>
      </c>
      <c r="M176" s="154">
        <v>1100</v>
      </c>
      <c r="N176" s="154">
        <v>1</v>
      </c>
      <c r="O176" s="154">
        <v>0</v>
      </c>
      <c r="P176" s="154">
        <v>600</v>
      </c>
      <c r="Q176" s="154"/>
      <c r="R176" s="153"/>
      <c r="S176" s="154"/>
      <c r="T176" s="154">
        <v>1</v>
      </c>
      <c r="U176" s="154">
        <v>5</v>
      </c>
    </row>
    <row r="177" spans="1:21" ht="15.75" x14ac:dyDescent="0.3">
      <c r="A177" s="154">
        <v>65</v>
      </c>
      <c r="B177" s="153" t="str">
        <f t="shared" si="21"/>
        <v>65级新增怪物种类2</v>
      </c>
      <c r="C177" s="153">
        <v>81</v>
      </c>
      <c r="D177" s="153">
        <v>19</v>
      </c>
      <c r="E177" s="153">
        <v>112</v>
      </c>
      <c r="F177" s="153">
        <v>65</v>
      </c>
      <c r="G177" s="153">
        <v>1</v>
      </c>
      <c r="H177" s="153">
        <v>0</v>
      </c>
      <c r="I177" s="153">
        <f>INT(怪物掉落配置方案!D6919/10)*10</f>
        <v>10880</v>
      </c>
      <c r="J177" s="154" t="str">
        <f>"3#1#"&amp;基本属性!BK8&amp;"|"&amp;"3#3#"&amp;INT(0.8*基本属性!AA8)&amp;"|"&amp;"3#4#"&amp;INT(1.2*基本属性!AA8)&amp;"|"&amp;"3#5#"&amp;INT(0.8*基本属性!AA8)&amp;"|"&amp;"3#6#"&amp;INT(1.2*基本属性!AA8)&amp;"|"&amp;"3#7#"&amp;INT(0.8*基本属性!AA8)&amp;"|"&amp;"3#8#"&amp;INT(1.2*基本属性!AA8)&amp;"|"&amp;"3#9#"&amp;基本属性!AB8&amp;"|"&amp;"3#10#"&amp;基本属性!AB8&amp;"|"&amp;"3#11#"&amp;基本属性!AB8&amp;"|"&amp;"3#12#"&amp;基本属性!AB8</f>
        <v>3#1#260000|3#3#596|3#4#894|3#5#596|3#6#894|3#7#596|3#8#894|3#9#325|3#10#325|3#11#325|3#12#325</v>
      </c>
      <c r="K177" s="154">
        <f t="shared" si="22"/>
        <v>12</v>
      </c>
      <c r="L177" s="154">
        <v>999</v>
      </c>
      <c r="M177" s="154">
        <v>1100</v>
      </c>
      <c r="N177" s="154">
        <v>1</v>
      </c>
      <c r="O177" s="154">
        <v>0</v>
      </c>
      <c r="P177" s="154">
        <v>600</v>
      </c>
      <c r="Q177" s="154"/>
      <c r="R177" s="153"/>
      <c r="S177" s="154"/>
      <c r="T177" s="154">
        <v>1</v>
      </c>
      <c r="U177" s="154">
        <v>5</v>
      </c>
    </row>
    <row r="178" spans="1:21" ht="15.75" x14ac:dyDescent="0.3">
      <c r="A178" s="154">
        <v>70</v>
      </c>
      <c r="B178" s="153" t="str">
        <f t="shared" si="21"/>
        <v>70级新增怪物种类2</v>
      </c>
      <c r="C178" s="153">
        <v>81</v>
      </c>
      <c r="D178" s="153">
        <v>19</v>
      </c>
      <c r="E178" s="153">
        <v>112</v>
      </c>
      <c r="F178" s="153">
        <v>70</v>
      </c>
      <c r="G178" s="153">
        <v>1</v>
      </c>
      <c r="H178" s="153">
        <v>0</v>
      </c>
      <c r="I178" s="153">
        <f>INT(怪物掉落配置方案!D6920/10)*10</f>
        <v>11140</v>
      </c>
      <c r="J178" s="154" t="str">
        <f>"3#1#"&amp;基本属性!BK9&amp;"|"&amp;"3#3#"&amp;INT(0.8*基本属性!AA9)&amp;"|"&amp;"3#4#"&amp;INT(1.2*基本属性!AA9)&amp;"|"&amp;"3#5#"&amp;INT(0.8*基本属性!AA9)&amp;"|"&amp;"3#6#"&amp;INT(1.2*基本属性!AA9)&amp;"|"&amp;"3#7#"&amp;INT(0.8*基本属性!AA9)&amp;"|"&amp;"3#8#"&amp;INT(1.2*基本属性!AA9)&amp;"|"&amp;"3#9#"&amp;基本属性!AB9&amp;"|"&amp;"3#10#"&amp;基本属性!AB9&amp;"|"&amp;"3#11#"&amp;基本属性!AB9&amp;"|"&amp;"3#12#"&amp;基本属性!AB9</f>
        <v>3#1#350000|3#3#757|3#4#1136|3#5#757|3#6#1136|3#7#757|3#8#1136|3#9#400|3#10#400|3#11#400|3#12#400</v>
      </c>
      <c r="K178" s="154">
        <f t="shared" si="22"/>
        <v>14</v>
      </c>
      <c r="L178" s="154">
        <v>999</v>
      </c>
      <c r="M178" s="154">
        <v>1100</v>
      </c>
      <c r="N178" s="154">
        <v>1</v>
      </c>
      <c r="O178" s="154">
        <v>0</v>
      </c>
      <c r="P178" s="154">
        <v>600</v>
      </c>
      <c r="Q178" s="154"/>
      <c r="R178" s="153"/>
      <c r="S178" s="154"/>
      <c r="T178" s="154">
        <v>1</v>
      </c>
      <c r="U178" s="154">
        <v>5</v>
      </c>
    </row>
    <row r="179" spans="1:21" ht="15.75" x14ac:dyDescent="0.3">
      <c r="A179" s="154">
        <v>75</v>
      </c>
      <c r="B179" s="153" t="str">
        <f t="shared" si="21"/>
        <v>75级新增怪物种类2</v>
      </c>
      <c r="C179" s="153">
        <v>81</v>
      </c>
      <c r="D179" s="153">
        <v>19</v>
      </c>
      <c r="E179" s="153">
        <v>112</v>
      </c>
      <c r="F179" s="153">
        <v>75</v>
      </c>
      <c r="G179" s="153">
        <v>1</v>
      </c>
      <c r="H179" s="153">
        <v>0</v>
      </c>
      <c r="I179" s="153">
        <f>INT(怪物掉落配置方案!D6921/10)*10</f>
        <v>12580</v>
      </c>
      <c r="J179" s="154" t="str">
        <f>"3#1#"&amp;基本属性!BK10&amp;"|"&amp;"3#3#"&amp;INT(0.8*基本属性!AA10)&amp;"|"&amp;"3#4#"&amp;INT(1.2*基本属性!AA10)&amp;"|"&amp;"3#5#"&amp;INT(0.8*基本属性!AA10)&amp;"|"&amp;"3#6#"&amp;INT(1.2*基本属性!AA10)&amp;"|"&amp;"3#7#"&amp;INT(0.8*基本属性!AA10)&amp;"|"&amp;"3#8#"&amp;INT(1.2*基本属性!AA10)&amp;"|"&amp;"3#9#"&amp;基本属性!AB10&amp;"|"&amp;"3#10#"&amp;基本属性!AB10&amp;"|"&amp;"3#11#"&amp;基本属性!AB10&amp;"|"&amp;"3#12#"&amp;基本属性!AB10</f>
        <v>3#1#510000|3#3#930|3#4#1395|3#5#930|3#6#1395|3#7#930|3#8#1395|3#9#475|3#10#475|3#11#475|3#12#475</v>
      </c>
      <c r="K179" s="154">
        <f t="shared" si="22"/>
        <v>17</v>
      </c>
      <c r="L179" s="154">
        <v>999</v>
      </c>
      <c r="M179" s="154">
        <v>1100</v>
      </c>
      <c r="N179" s="154">
        <v>1</v>
      </c>
      <c r="O179" s="154">
        <v>0</v>
      </c>
      <c r="P179" s="154">
        <v>600</v>
      </c>
      <c r="Q179" s="154"/>
      <c r="R179" s="153"/>
      <c r="S179" s="154"/>
      <c r="T179" s="154">
        <v>1</v>
      </c>
      <c r="U179" s="154">
        <v>5</v>
      </c>
    </row>
    <row r="180" spans="1:21" ht="15.75" x14ac:dyDescent="0.3">
      <c r="A180" s="154">
        <v>1</v>
      </c>
      <c r="B180" s="153" t="str">
        <f t="shared" ref="B180:B199" si="23">A180&amp;"转新增怪物种类2"</f>
        <v>1转新增怪物种类2</v>
      </c>
      <c r="C180" s="153">
        <v>81</v>
      </c>
      <c r="D180" s="153">
        <v>19</v>
      </c>
      <c r="E180" s="153">
        <v>112</v>
      </c>
      <c r="F180" s="153">
        <v>80</v>
      </c>
      <c r="G180" s="153">
        <v>1</v>
      </c>
      <c r="H180" s="153">
        <v>0</v>
      </c>
      <c r="I180" s="153">
        <f>INT(怪物掉落配置方案!D6922/10)*10</f>
        <v>20160</v>
      </c>
      <c r="J180" s="154" t="str">
        <f>"3#1#"&amp;基本属性!BK11&amp;"|"&amp;"3#3#"&amp;INT(0.8*基本属性!AA11)&amp;"|"&amp;"3#4#"&amp;INT(1.2*基本属性!AA11)&amp;"|"&amp;"3#5#"&amp;INT(0.8*基本属性!AA11)&amp;"|"&amp;"3#6#"&amp;INT(1.2*基本属性!AA11)&amp;"|"&amp;"3#7#"&amp;INT(0.8*基本属性!AA11)&amp;"|"&amp;"3#8#"&amp;INT(1.2*基本属性!AA11)&amp;"|"&amp;"3#9#"&amp;基本属性!AB11&amp;"|"&amp;"3#10#"&amp;基本属性!AB11&amp;"|"&amp;"3#11#"&amp;基本属性!AB11&amp;"|"&amp;"3#12#"&amp;基本属性!AB11</f>
        <v>3#1#650000|3#3#1115|3#4#1672|3#5#1115|3#6#1672|3#7#1115|3#8#1672|3#9#550|3#10#550|3#11#550|3#12#550</v>
      </c>
      <c r="K180" s="154">
        <f t="shared" si="22"/>
        <v>20</v>
      </c>
      <c r="L180" s="154">
        <v>999</v>
      </c>
      <c r="M180" s="154">
        <v>1100</v>
      </c>
      <c r="N180" s="154">
        <v>1</v>
      </c>
      <c r="O180" s="154">
        <v>0</v>
      </c>
      <c r="P180" s="154">
        <v>600</v>
      </c>
      <c r="Q180" s="154"/>
      <c r="R180" s="153"/>
      <c r="S180" s="154"/>
      <c r="T180" s="154">
        <v>1</v>
      </c>
      <c r="U180" s="154">
        <v>5</v>
      </c>
    </row>
    <row r="181" spans="1:21" ht="15.75" x14ac:dyDescent="0.3">
      <c r="A181" s="154">
        <v>2</v>
      </c>
      <c r="B181" s="153" t="str">
        <f t="shared" si="23"/>
        <v>2转新增怪物种类2</v>
      </c>
      <c r="C181" s="153">
        <v>81</v>
      </c>
      <c r="D181" s="153">
        <v>19</v>
      </c>
      <c r="E181" s="153">
        <v>112</v>
      </c>
      <c r="F181" s="153">
        <v>90</v>
      </c>
      <c r="G181" s="153">
        <v>1</v>
      </c>
      <c r="H181" s="153">
        <v>0</v>
      </c>
      <c r="I181" s="153">
        <f>INT(怪物掉落配置方案!D6923/10)*10</f>
        <v>34670</v>
      </c>
      <c r="J181" s="154" t="str">
        <f>"3#1#"&amp;基本属性!BK12&amp;"|"&amp;"3#3#"&amp;INT(0.8*基本属性!AA12)&amp;"|"&amp;"3#4#"&amp;INT(1.2*基本属性!AA12)&amp;"|"&amp;"3#5#"&amp;INT(0.8*基本属性!AA12)&amp;"|"&amp;"3#6#"&amp;INT(1.2*基本属性!AA12)&amp;"|"&amp;"3#7#"&amp;INT(0.8*基本属性!AA12)&amp;"|"&amp;"3#8#"&amp;INT(1.2*基本属性!AA12)&amp;"|"&amp;"3#9#"&amp;基本属性!AB12&amp;"|"&amp;"3#10#"&amp;基本属性!AB12&amp;"|"&amp;"3#11#"&amp;基本属性!AB12&amp;"|"&amp;"3#12#"&amp;基本属性!AB12</f>
        <v>3#1#920000|3#3#1472|3#4#2209|3#5#1472|3#6#2209|3#7#1472|3#8#2209|3#9#700|3#10#700|3#11#700|3#12#700</v>
      </c>
      <c r="K181" s="154">
        <f t="shared" si="22"/>
        <v>23</v>
      </c>
      <c r="L181" s="154">
        <v>999</v>
      </c>
      <c r="M181" s="154">
        <v>1100</v>
      </c>
      <c r="N181" s="154">
        <v>1</v>
      </c>
      <c r="O181" s="154">
        <v>0</v>
      </c>
      <c r="P181" s="154">
        <v>600</v>
      </c>
      <c r="Q181" s="154"/>
      <c r="R181" s="153"/>
      <c r="S181" s="154"/>
      <c r="T181" s="154">
        <v>1</v>
      </c>
      <c r="U181" s="154">
        <v>5</v>
      </c>
    </row>
    <row r="182" spans="1:21" ht="15.75" x14ac:dyDescent="0.3">
      <c r="A182" s="154">
        <v>3</v>
      </c>
      <c r="B182" s="153" t="str">
        <f t="shared" si="23"/>
        <v>3转新增怪物种类2</v>
      </c>
      <c r="C182" s="153">
        <v>81</v>
      </c>
      <c r="D182" s="153">
        <v>19</v>
      </c>
      <c r="E182" s="153">
        <v>112</v>
      </c>
      <c r="F182" s="153">
        <v>100</v>
      </c>
      <c r="G182" s="153">
        <v>1</v>
      </c>
      <c r="H182" s="153">
        <v>0</v>
      </c>
      <c r="I182" s="153">
        <f>INT(怪物掉落配置方案!D6924/10)*10</f>
        <v>40790</v>
      </c>
      <c r="J182" s="154" t="str">
        <f>"3#1#"&amp;基本属性!BK13&amp;"|"&amp;"3#3#"&amp;INT(0.8*基本属性!AA13)&amp;"|"&amp;"3#4#"&amp;INT(1.2*基本属性!AA13)&amp;"|"&amp;"3#5#"&amp;INT(0.8*基本属性!AA13)&amp;"|"&amp;"3#6#"&amp;INT(1.2*基本属性!AA13)&amp;"|"&amp;"3#7#"&amp;INT(0.8*基本属性!AA13)&amp;"|"&amp;"3#8#"&amp;INT(1.2*基本属性!AA13)&amp;"|"&amp;"3#9#"&amp;基本属性!AB13&amp;"|"&amp;"3#10#"&amp;基本属性!AB13&amp;"|"&amp;"3#11#"&amp;基本属性!AB13&amp;"|"&amp;"3#12#"&amp;基本属性!AB13</f>
        <v>3#1#1300000|3#3#1968|3#4#2953|3#5#1968|3#6#2953|3#7#1968|3#8#2953|3#9#900|3#10#900|3#11#900|3#12#900</v>
      </c>
      <c r="K182" s="154">
        <f t="shared" si="22"/>
        <v>26</v>
      </c>
      <c r="L182" s="154">
        <v>999</v>
      </c>
      <c r="M182" s="154">
        <v>1100</v>
      </c>
      <c r="N182" s="154">
        <v>1</v>
      </c>
      <c r="O182" s="154">
        <v>0</v>
      </c>
      <c r="P182" s="154">
        <v>600</v>
      </c>
      <c r="Q182" s="154"/>
      <c r="R182" s="153"/>
      <c r="S182" s="154"/>
      <c r="T182" s="154">
        <v>1</v>
      </c>
      <c r="U182" s="154">
        <v>5</v>
      </c>
    </row>
    <row r="183" spans="1:21" ht="15.75" x14ac:dyDescent="0.3">
      <c r="A183" s="154">
        <v>4</v>
      </c>
      <c r="B183" s="153" t="str">
        <f t="shared" si="23"/>
        <v>4转新增怪物种类2</v>
      </c>
      <c r="C183" s="153">
        <v>81</v>
      </c>
      <c r="D183" s="153">
        <v>19</v>
      </c>
      <c r="E183" s="153">
        <v>112</v>
      </c>
      <c r="F183" s="153">
        <v>105</v>
      </c>
      <c r="G183" s="153">
        <v>1</v>
      </c>
      <c r="H183" s="153">
        <v>0</v>
      </c>
      <c r="I183" s="153">
        <f>INT(怪物掉落配置方案!D6925/10)*10</f>
        <v>63000</v>
      </c>
      <c r="J183" s="154" t="str">
        <f>"3#1#"&amp;基本属性!BK14&amp;"|"&amp;"3#3#"&amp;INT(0.8*基本属性!AA14)&amp;"|"&amp;"3#4#"&amp;INT(1.2*基本属性!AA14)&amp;"|"&amp;"3#5#"&amp;INT(0.8*基本属性!AA14)&amp;"|"&amp;"3#6#"&amp;INT(1.2*基本属性!AA14)&amp;"|"&amp;"3#7#"&amp;INT(0.8*基本属性!AA14)&amp;"|"&amp;"3#8#"&amp;INT(1.2*基本属性!AA14)&amp;"|"&amp;"3#9#"&amp;基本属性!AB14&amp;"|"&amp;"3#10#"&amp;基本属性!AB14&amp;"|"&amp;"3#11#"&amp;基本属性!AB14&amp;"|"&amp;"3#12#"&amp;基本属性!AB14</f>
        <v>3#1#1890000|3#3#2505|3#4#3758|3#5#2505|3#6#3758|3#7#2505|3#8#3758|3#9#1100|3#10#1100|3#11#1100|3#12#1100</v>
      </c>
      <c r="K183" s="154">
        <f t="shared" si="22"/>
        <v>29</v>
      </c>
      <c r="L183" s="154">
        <v>999</v>
      </c>
      <c r="M183" s="154">
        <v>1100</v>
      </c>
      <c r="N183" s="154">
        <v>1</v>
      </c>
      <c r="O183" s="154">
        <v>0</v>
      </c>
      <c r="P183" s="154">
        <v>600</v>
      </c>
      <c r="Q183" s="154"/>
      <c r="R183" s="153"/>
      <c r="S183" s="154"/>
      <c r="T183" s="154">
        <v>1</v>
      </c>
      <c r="U183" s="154">
        <v>5</v>
      </c>
    </row>
    <row r="184" spans="1:21" ht="15.75" x14ac:dyDescent="0.3">
      <c r="A184" s="154">
        <v>5</v>
      </c>
      <c r="B184" s="153" t="str">
        <f t="shared" si="23"/>
        <v>5转新增怪物种类2</v>
      </c>
      <c r="C184" s="153">
        <v>81</v>
      </c>
      <c r="D184" s="153">
        <v>19</v>
      </c>
      <c r="E184" s="153">
        <v>112</v>
      </c>
      <c r="F184" s="153">
        <v>110</v>
      </c>
      <c r="G184" s="153">
        <v>1</v>
      </c>
      <c r="H184" s="153">
        <v>0</v>
      </c>
      <c r="I184" s="153">
        <f>INT(怪物掉落配置方案!D6926/10)*10</f>
        <v>65110</v>
      </c>
      <c r="J184" s="154" t="str">
        <f>"3#1#"&amp;基本属性!BK15&amp;"|"&amp;"3#3#"&amp;INT(0.8*基本属性!AA15)&amp;"|"&amp;"3#4#"&amp;INT(1.2*基本属性!AA15)&amp;"|"&amp;"3#5#"&amp;INT(0.8*基本属性!AA15)&amp;"|"&amp;"3#6#"&amp;INT(1.2*基本属性!AA15)&amp;"|"&amp;"3#7#"&amp;INT(0.8*基本属性!AA15)&amp;"|"&amp;"3#8#"&amp;INT(1.2*基本属性!AA15)&amp;"|"&amp;"3#9#"&amp;基本属性!AB15&amp;"|"&amp;"3#10#"&amp;基本属性!AB15&amp;"|"&amp;"3#11#"&amp;基本属性!AB15&amp;"|"&amp;"3#12#"&amp;基本属性!AB15</f>
        <v>3#1#2410000|3#3#3029|3#4#4544|3#5#3029|3#6#4544|3#7#3029|3#8#4544|3#9#1275|3#10#1275|3#11#1275|3#12#1275</v>
      </c>
      <c r="K184" s="154">
        <f t="shared" si="22"/>
        <v>32</v>
      </c>
      <c r="L184" s="154">
        <v>999</v>
      </c>
      <c r="M184" s="154">
        <v>1100</v>
      </c>
      <c r="N184" s="154">
        <v>1</v>
      </c>
      <c r="O184" s="154">
        <v>0</v>
      </c>
      <c r="P184" s="154">
        <v>600</v>
      </c>
      <c r="Q184" s="154"/>
      <c r="R184" s="153"/>
      <c r="S184" s="154"/>
      <c r="T184" s="154">
        <v>1</v>
      </c>
      <c r="U184" s="154">
        <v>5</v>
      </c>
    </row>
    <row r="185" spans="1:21" ht="15.75" x14ac:dyDescent="0.3">
      <c r="A185" s="154">
        <v>6</v>
      </c>
      <c r="B185" s="153" t="str">
        <f t="shared" si="23"/>
        <v>6转新增怪物种类2</v>
      </c>
      <c r="C185" s="153">
        <v>81</v>
      </c>
      <c r="D185" s="153">
        <v>19</v>
      </c>
      <c r="E185" s="153">
        <v>112</v>
      </c>
      <c r="F185" s="153">
        <v>120</v>
      </c>
      <c r="G185" s="153">
        <v>1</v>
      </c>
      <c r="H185" s="153">
        <v>0</v>
      </c>
      <c r="I185" s="153">
        <f>INT(怪物掉落配置方案!D6927/10)*10</f>
        <v>259620</v>
      </c>
      <c r="J185" s="154" t="str">
        <f>"3#1#"&amp;基本属性!BK16&amp;"|"&amp;"3#3#"&amp;INT(0.8*基本属性!AA16)&amp;"|"&amp;"3#4#"&amp;INT(1.2*基本属性!AA16)&amp;"|"&amp;"3#5#"&amp;INT(0.8*基本属性!AA16)&amp;"|"&amp;"3#6#"&amp;INT(1.2*基本属性!AA16)&amp;"|"&amp;"3#7#"&amp;INT(0.8*基本属性!AA16)&amp;"|"&amp;"3#8#"&amp;INT(1.2*基本属性!AA16)&amp;"|"&amp;"3#9#"&amp;基本属性!AB16&amp;"|"&amp;"3#10#"&amp;基本属性!AB16&amp;"|"&amp;"3#11#"&amp;基本属性!AB16&amp;"|"&amp;"3#12#"&amp;基本属性!AB16</f>
        <v>3#1#3020000|3#3#3602|3#4#5403|3#5#3602|3#6#5403|3#7#3602|3#8#5403|3#9#1450|3#10#1450|3#11#1450|3#12#1450</v>
      </c>
      <c r="K185" s="154">
        <f t="shared" si="22"/>
        <v>36</v>
      </c>
      <c r="L185" s="154">
        <v>999</v>
      </c>
      <c r="M185" s="154">
        <v>1100</v>
      </c>
      <c r="N185" s="154">
        <v>1</v>
      </c>
      <c r="O185" s="154">
        <v>0</v>
      </c>
      <c r="P185" s="154">
        <v>600</v>
      </c>
      <c r="Q185" s="154"/>
      <c r="R185" s="153"/>
      <c r="S185" s="154"/>
      <c r="T185" s="154">
        <v>1</v>
      </c>
      <c r="U185" s="154">
        <v>5</v>
      </c>
    </row>
    <row r="186" spans="1:21" ht="15.75" x14ac:dyDescent="0.3">
      <c r="A186" s="154">
        <v>7</v>
      </c>
      <c r="B186" s="153" t="str">
        <f t="shared" si="23"/>
        <v>7转新增怪物种类2</v>
      </c>
      <c r="C186" s="153">
        <v>81</v>
      </c>
      <c r="D186" s="153">
        <v>19</v>
      </c>
      <c r="E186" s="153">
        <v>112</v>
      </c>
      <c r="F186" s="153">
        <v>135</v>
      </c>
      <c r="G186" s="153">
        <v>1</v>
      </c>
      <c r="H186" s="153">
        <v>0</v>
      </c>
      <c r="I186" s="153">
        <f>INT(怪物掉落配置方案!D6928/10)*10</f>
        <v>888830</v>
      </c>
      <c r="J186" s="154" t="str">
        <f>"3#1#"&amp;基本属性!BK17&amp;"|"&amp;"3#3#"&amp;INT(0.8*基本属性!AA17)&amp;"|"&amp;"3#4#"&amp;INT(1.2*基本属性!AA17)&amp;"|"&amp;"3#5#"&amp;INT(0.8*基本属性!AA17)&amp;"|"&amp;"3#6#"&amp;INT(1.2*基本属性!AA17)&amp;"|"&amp;"3#7#"&amp;INT(0.8*基本属性!AA17)&amp;"|"&amp;"3#8#"&amp;INT(1.2*基本属性!AA17)&amp;"|"&amp;"3#9#"&amp;基本属性!AB17&amp;"|"&amp;"3#10#"&amp;基本属性!AB17&amp;"|"&amp;"3#11#"&amp;基本属性!AB17&amp;"|"&amp;"3#12#"&amp;基本属性!AB17</f>
        <v>3#1#3660000|3#3#4164|3#4#6247|3#5#4164|3#6#6247|3#7#4164|3#8#6247|3#9#1600|3#10#1600|3#11#1600|3#12#1600</v>
      </c>
      <c r="K186" s="154">
        <f t="shared" si="22"/>
        <v>39</v>
      </c>
      <c r="L186" s="154">
        <v>999</v>
      </c>
      <c r="M186" s="154">
        <v>1100</v>
      </c>
      <c r="N186" s="154">
        <v>1</v>
      </c>
      <c r="O186" s="154">
        <v>0</v>
      </c>
      <c r="P186" s="154">
        <v>600</v>
      </c>
      <c r="Q186" s="154"/>
      <c r="R186" s="153"/>
      <c r="S186" s="154"/>
      <c r="T186" s="154">
        <v>1</v>
      </c>
      <c r="U186" s="154">
        <v>5</v>
      </c>
    </row>
    <row r="187" spans="1:21" ht="15.75" x14ac:dyDescent="0.3">
      <c r="A187" s="154">
        <v>8</v>
      </c>
      <c r="B187" s="153" t="str">
        <f t="shared" si="23"/>
        <v>8转新增怪物种类2</v>
      </c>
      <c r="C187" s="153">
        <v>81</v>
      </c>
      <c r="D187" s="153">
        <v>19</v>
      </c>
      <c r="E187" s="153">
        <v>112</v>
      </c>
      <c r="F187" s="153">
        <v>155</v>
      </c>
      <c r="G187" s="153">
        <v>1</v>
      </c>
      <c r="H187" s="153">
        <v>0</v>
      </c>
      <c r="I187" s="153">
        <f>INT(怪物掉落配置方案!D6929/10)*10</f>
        <v>10736770</v>
      </c>
      <c r="J187" s="154" t="str">
        <f>"3#1#"&amp;基本属性!BK18&amp;"|"&amp;"3#3#"&amp;INT(0.8*基本属性!AA18)&amp;"|"&amp;"3#4#"&amp;INT(1.2*基本属性!AA18)&amp;"|"&amp;"3#5#"&amp;INT(0.8*基本属性!AA18)&amp;"|"&amp;"3#6#"&amp;INT(1.2*基本属性!AA18)&amp;"|"&amp;"3#7#"&amp;INT(0.8*基本属性!AA18)&amp;"|"&amp;"3#8#"&amp;INT(1.2*基本属性!AA18)&amp;"|"&amp;"3#9#"&amp;基本属性!AB18&amp;"|"&amp;"3#10#"&amp;基本属性!AB18&amp;"|"&amp;"3#11#"&amp;基本属性!AB18&amp;"|"&amp;"3#12#"&amp;基本属性!AB18</f>
        <v>3#1#4730000|3#3#4784|3#4#7176|3#5#4784|3#6#7176|3#7#4784|3#8#7176|3#9#1750|3#10#1750|3#11#1750|3#12#1750</v>
      </c>
      <c r="K187" s="154">
        <f t="shared" si="22"/>
        <v>43</v>
      </c>
      <c r="L187" s="154">
        <v>999</v>
      </c>
      <c r="M187" s="154">
        <v>1100</v>
      </c>
      <c r="N187" s="154">
        <v>1</v>
      </c>
      <c r="O187" s="154">
        <v>0</v>
      </c>
      <c r="P187" s="154">
        <v>600</v>
      </c>
      <c r="Q187" s="154"/>
      <c r="R187" s="153"/>
      <c r="S187" s="154"/>
      <c r="T187" s="154">
        <v>1</v>
      </c>
      <c r="U187" s="154">
        <v>5</v>
      </c>
    </row>
    <row r="188" spans="1:21" ht="15.75" x14ac:dyDescent="0.3">
      <c r="A188" s="154">
        <v>9</v>
      </c>
      <c r="B188" s="153" t="str">
        <f t="shared" si="23"/>
        <v>9转新增怪物种类2</v>
      </c>
      <c r="C188" s="153">
        <v>81</v>
      </c>
      <c r="D188" s="153">
        <v>19</v>
      </c>
      <c r="E188" s="153">
        <v>112</v>
      </c>
      <c r="F188" s="153">
        <v>190</v>
      </c>
      <c r="G188" s="153">
        <v>1</v>
      </c>
      <c r="H188" s="153">
        <v>0</v>
      </c>
      <c r="I188" s="153">
        <f>INT(怪物掉落配置方案!D6930/10)*10</f>
        <v>9762930</v>
      </c>
      <c r="J188" s="154" t="str">
        <f>"3#1#"&amp;基本属性!BK19&amp;"|"&amp;"3#3#"&amp;INT(0.8*基本属性!AA19)&amp;"|"&amp;"3#4#"&amp;INT(1.2*基本属性!AA19)&amp;"|"&amp;"3#5#"&amp;INT(0.8*基本属性!AA19)&amp;"|"&amp;"3#6#"&amp;INT(1.2*基本属性!AA19)&amp;"|"&amp;"3#7#"&amp;INT(0.8*基本属性!AA19)&amp;"|"&amp;"3#8#"&amp;INT(1.2*基本属性!AA19)&amp;"|"&amp;"3#9#"&amp;基本属性!AB19&amp;"|"&amp;"3#10#"&amp;基本属性!AB19&amp;"|"&amp;"3#11#"&amp;基本属性!AB19&amp;"|"&amp;"3#12#"&amp;基本属性!AB19</f>
        <v>3#1#5560000|3#3#5396|3#4#8095|3#5#5396|3#6#8095|3#7#5396|3#8#8095|3#9#1875|3#10#1875|3#11#1875|3#12#1875</v>
      </c>
      <c r="K188" s="154">
        <f t="shared" si="22"/>
        <v>46</v>
      </c>
      <c r="L188" s="154">
        <v>999</v>
      </c>
      <c r="M188" s="154">
        <v>1100</v>
      </c>
      <c r="N188" s="154">
        <v>1</v>
      </c>
      <c r="O188" s="154">
        <v>0</v>
      </c>
      <c r="P188" s="154">
        <v>600</v>
      </c>
      <c r="Q188" s="154"/>
      <c r="R188" s="153"/>
      <c r="S188" s="154"/>
      <c r="T188" s="154">
        <v>1</v>
      </c>
      <c r="U188" s="154">
        <v>5</v>
      </c>
    </row>
    <row r="189" spans="1:21" ht="15.75" x14ac:dyDescent="0.3">
      <c r="A189" s="154">
        <v>10</v>
      </c>
      <c r="B189" s="153" t="str">
        <f t="shared" si="23"/>
        <v>10转新增怪物种类2</v>
      </c>
      <c r="C189" s="153">
        <v>81</v>
      </c>
      <c r="D189" s="153">
        <v>19</v>
      </c>
      <c r="E189" s="153">
        <v>112</v>
      </c>
      <c r="F189" s="153">
        <v>200</v>
      </c>
      <c r="G189" s="153">
        <v>1</v>
      </c>
      <c r="H189" s="153">
        <v>0</v>
      </c>
      <c r="I189" s="153">
        <f>INT(怪物掉落配置方案!D6931/10)*10</f>
        <v>11666660</v>
      </c>
      <c r="J189" s="154" t="str">
        <f>"3#1#"&amp;基本属性!BK20&amp;"|"&amp;"3#3#"&amp;INT(0.8*基本属性!AA20)&amp;"|"&amp;"3#4#"&amp;INT(1.2*基本属性!AA20)&amp;"|"&amp;"3#5#"&amp;INT(0.8*基本属性!AA20)&amp;"|"&amp;"3#6#"&amp;INT(1.2*基本属性!AA20)&amp;"|"&amp;"3#7#"&amp;INT(0.8*基本属性!AA20)&amp;"|"&amp;"3#8#"&amp;INT(1.2*基本属性!AA20)&amp;"|"&amp;"3#9#"&amp;基本属性!AB20&amp;"|"&amp;"3#10#"&amp;基本属性!AB20&amp;"|"&amp;"3#11#"&amp;基本属性!AB20&amp;"|"&amp;"3#12#"&amp;基本属性!AB20</f>
        <v>3#1#6500000|3#3#6076|3#4#9114|3#5#6076|3#6#9114|3#7#6076|3#8#9114|3#9#2000|3#10#2000|3#11#2000|3#12#2000</v>
      </c>
      <c r="K189" s="154">
        <f t="shared" si="22"/>
        <v>50</v>
      </c>
      <c r="L189" s="154">
        <v>999</v>
      </c>
      <c r="M189" s="154">
        <v>1100</v>
      </c>
      <c r="N189" s="154">
        <v>1</v>
      </c>
      <c r="O189" s="154">
        <v>0</v>
      </c>
      <c r="P189" s="154">
        <v>600</v>
      </c>
      <c r="Q189" s="154"/>
      <c r="R189" s="153"/>
      <c r="S189" s="154"/>
      <c r="T189" s="154">
        <v>1</v>
      </c>
      <c r="U189" s="154">
        <v>5</v>
      </c>
    </row>
    <row r="190" spans="1:21" ht="15.75" x14ac:dyDescent="0.3">
      <c r="A190" s="154">
        <v>11</v>
      </c>
      <c r="B190" s="153" t="str">
        <f t="shared" si="23"/>
        <v>11转新增怪物种类2</v>
      </c>
      <c r="C190" s="153">
        <v>81</v>
      </c>
      <c r="D190" s="153">
        <v>19</v>
      </c>
      <c r="E190" s="153">
        <v>112</v>
      </c>
      <c r="F190" s="153">
        <v>200</v>
      </c>
      <c r="G190" s="153">
        <v>1</v>
      </c>
      <c r="H190" s="153">
        <v>0</v>
      </c>
      <c r="I190" s="153">
        <f>INT(怪物掉落配置方案!D6932/10)*10</f>
        <v>2333330</v>
      </c>
      <c r="J190" s="154" t="str">
        <f>"3#1#"&amp;基本属性!BK21&amp;"|"&amp;"3#3#"&amp;INT(0.8*基本属性!AA21)&amp;"|"&amp;"3#4#"&amp;INT(1.2*基本属性!AA21)&amp;"|"&amp;"3#5#"&amp;INT(0.8*基本属性!AA21)&amp;"|"&amp;"3#6#"&amp;INT(1.2*基本属性!AA21)&amp;"|"&amp;"3#7#"&amp;INT(0.8*基本属性!AA21)&amp;"|"&amp;"3#8#"&amp;INT(1.2*基本属性!AA21)&amp;"|"&amp;"3#9#"&amp;基本属性!AB21&amp;"|"&amp;"3#10#"&amp;基本属性!AB21&amp;"|"&amp;"3#11#"&amp;基本属性!AB21&amp;"|"&amp;"3#12#"&amp;基本属性!AB21</f>
        <v>3#1#7830000|3#3#7074|3#4#10611|3#5#7074|3#6#10611|3#7#7074|3#8#10611|3#9#2200|3#10#2200|3#11#2200|3#12#2200</v>
      </c>
      <c r="K190" s="154">
        <f t="shared" si="22"/>
        <v>54</v>
      </c>
      <c r="L190" s="154">
        <v>999</v>
      </c>
      <c r="M190" s="154">
        <v>1100</v>
      </c>
      <c r="N190" s="154">
        <v>1</v>
      </c>
      <c r="O190" s="154">
        <v>0</v>
      </c>
      <c r="P190" s="154">
        <v>600</v>
      </c>
      <c r="Q190" s="154"/>
      <c r="R190" s="153"/>
      <c r="S190" s="154"/>
      <c r="T190" s="154">
        <v>1</v>
      </c>
      <c r="U190" s="154">
        <v>5</v>
      </c>
    </row>
    <row r="191" spans="1:21" ht="15.75" x14ac:dyDescent="0.3">
      <c r="A191" s="154">
        <v>12</v>
      </c>
      <c r="B191" s="153" t="str">
        <f t="shared" si="23"/>
        <v>12转新增怪物种类2</v>
      </c>
      <c r="C191" s="153">
        <v>81</v>
      </c>
      <c r="D191" s="153">
        <v>19</v>
      </c>
      <c r="E191" s="153">
        <v>112</v>
      </c>
      <c r="F191" s="153">
        <v>210</v>
      </c>
      <c r="G191" s="153">
        <v>1</v>
      </c>
      <c r="H191" s="153">
        <v>0</v>
      </c>
      <c r="I191" s="153">
        <f>INT(怪物掉落配置方案!D6933/10)*10</f>
        <v>2333330</v>
      </c>
      <c r="J191" s="154" t="str">
        <f>"3#1#"&amp;基本属性!BK22&amp;"|"&amp;"3#3#"&amp;INT(0.8*基本属性!AA22)&amp;"|"&amp;"3#4#"&amp;INT(1.2*基本属性!AA22)&amp;"|"&amp;"3#5#"&amp;INT(0.8*基本属性!AA22)&amp;"|"&amp;"3#6#"&amp;INT(1.2*基本属性!AA22)&amp;"|"&amp;"3#7#"&amp;INT(0.8*基本属性!AA22)&amp;"|"&amp;"3#8#"&amp;INT(1.2*基本属性!AA22)&amp;"|"&amp;"3#9#"&amp;基本属性!AB22&amp;"|"&amp;"3#10#"&amp;基本属性!AB22&amp;"|"&amp;"3#11#"&amp;基本属性!AB22&amp;"|"&amp;"3#12#"&amp;基本属性!AB22</f>
        <v>3#1#10010000|3#3#8193|3#4#12290|3#5#8193|3#6#12290|3#7#8193|3#8#12290|3#9#2400|3#10#2400|3#11#2400|3#12#2400</v>
      </c>
      <c r="K191" s="154">
        <f t="shared" si="22"/>
        <v>58</v>
      </c>
      <c r="L191" s="154">
        <v>999</v>
      </c>
      <c r="M191" s="154">
        <v>1100</v>
      </c>
      <c r="N191" s="154">
        <v>1</v>
      </c>
      <c r="O191" s="154">
        <v>0</v>
      </c>
      <c r="P191" s="154">
        <v>600</v>
      </c>
      <c r="Q191" s="154"/>
      <c r="R191" s="153"/>
      <c r="S191" s="154"/>
      <c r="T191" s="154">
        <v>1</v>
      </c>
      <c r="U191" s="154">
        <v>5</v>
      </c>
    </row>
    <row r="192" spans="1:21" ht="15.75" x14ac:dyDescent="0.3">
      <c r="A192" s="154">
        <v>13</v>
      </c>
      <c r="B192" s="153" t="str">
        <f t="shared" si="23"/>
        <v>13转新增怪物种类2</v>
      </c>
      <c r="C192" s="153">
        <v>81</v>
      </c>
      <c r="D192" s="153">
        <v>19</v>
      </c>
      <c r="E192" s="153">
        <v>112</v>
      </c>
      <c r="F192" s="153">
        <v>210</v>
      </c>
      <c r="G192" s="153">
        <v>1</v>
      </c>
      <c r="H192" s="153">
        <v>0</v>
      </c>
      <c r="I192" s="153">
        <f>INT(怪物掉落配置方案!D6934/10)*10</f>
        <v>2333330</v>
      </c>
      <c r="J192" s="154" t="str">
        <f>"3#1#"&amp;基本属性!BK23&amp;"|"&amp;"3#3#"&amp;INT(0.8*基本属性!AA23)&amp;"|"&amp;"3#4#"&amp;INT(1.2*基本属性!AA23)&amp;"|"&amp;"3#5#"&amp;INT(0.8*基本属性!AA23)&amp;"|"&amp;"3#6#"&amp;INT(1.2*基本属性!AA23)&amp;"|"&amp;"3#7#"&amp;INT(0.8*基本属性!AA23)&amp;"|"&amp;"3#8#"&amp;INT(1.2*基本属性!AA23)&amp;"|"&amp;"3#9#"&amp;基本属性!AB23&amp;"|"&amp;"3#10#"&amp;基本属性!AB23&amp;"|"&amp;"3#11#"&amp;基本属性!AB23&amp;"|"&amp;"3#12#"&amp;基本属性!AB23</f>
        <v>3#1#12100000|3#3#9635|3#4#14452|3#5#9635|3#6#14452|3#7#9635|3#8#14452|3#9#2650|3#10#2650|3#11#2650|3#12#2650</v>
      </c>
      <c r="K192" s="154">
        <f t="shared" si="22"/>
        <v>62</v>
      </c>
      <c r="L192" s="154">
        <v>999</v>
      </c>
      <c r="M192" s="154">
        <v>1100</v>
      </c>
      <c r="N192" s="154">
        <v>1</v>
      </c>
      <c r="O192" s="154">
        <v>0</v>
      </c>
      <c r="P192" s="154">
        <v>600</v>
      </c>
      <c r="Q192" s="154"/>
      <c r="R192" s="153"/>
      <c r="S192" s="154"/>
      <c r="T192" s="154">
        <v>1</v>
      </c>
      <c r="U192" s="154">
        <v>5</v>
      </c>
    </row>
    <row r="193" spans="1:21" ht="15.75" x14ac:dyDescent="0.3">
      <c r="A193" s="154">
        <v>14</v>
      </c>
      <c r="B193" s="153" t="str">
        <f t="shared" si="23"/>
        <v>14转新增怪物种类2</v>
      </c>
      <c r="C193" s="153">
        <v>81</v>
      </c>
      <c r="D193" s="153">
        <v>19</v>
      </c>
      <c r="E193" s="153">
        <v>112</v>
      </c>
      <c r="F193" s="153">
        <v>220</v>
      </c>
      <c r="G193" s="153">
        <v>1</v>
      </c>
      <c r="H193" s="153">
        <v>0</v>
      </c>
      <c r="I193" s="153">
        <f>INT(怪物掉落配置方案!D6935/10)*10</f>
        <v>2333330</v>
      </c>
      <c r="J193" s="154" t="str">
        <f>"3#1#"&amp;基本属性!BK24&amp;"|"&amp;"3#3#"&amp;INT(0.8*基本属性!AA24)&amp;"|"&amp;"3#4#"&amp;INT(1.2*基本属性!AA24)&amp;"|"&amp;"3#5#"&amp;INT(0.8*基本属性!AA24)&amp;"|"&amp;"3#6#"&amp;INT(1.2*基本属性!AA24)&amp;"|"&amp;"3#7#"&amp;INT(0.8*基本属性!AA24)&amp;"|"&amp;"3#8#"&amp;INT(1.2*基本属性!AA24)&amp;"|"&amp;"3#9#"&amp;基本属性!AB24&amp;"|"&amp;"3#10#"&amp;基本属性!AB24&amp;"|"&amp;"3#11#"&amp;基本属性!AB24&amp;"|"&amp;"3#12#"&amp;基本属性!AB24</f>
        <v>3#1#14470000|3#3#11268|3#4#16903|3#5#11268|3#6#16903|3#7#11268|3#8#16903|3#9#2900|3#10#2900|3#11#2900|3#12#2900</v>
      </c>
      <c r="K193" s="154">
        <f t="shared" si="22"/>
        <v>66</v>
      </c>
      <c r="L193" s="154">
        <v>999</v>
      </c>
      <c r="M193" s="154">
        <v>1100</v>
      </c>
      <c r="N193" s="154">
        <v>1</v>
      </c>
      <c r="O193" s="154">
        <v>0</v>
      </c>
      <c r="P193" s="154">
        <v>600</v>
      </c>
      <c r="Q193" s="154"/>
      <c r="R193" s="153"/>
      <c r="S193" s="154"/>
      <c r="T193" s="154">
        <v>1</v>
      </c>
      <c r="U193" s="154">
        <v>5</v>
      </c>
    </row>
    <row r="194" spans="1:21" ht="15.75" x14ac:dyDescent="0.3">
      <c r="A194" s="154">
        <v>15</v>
      </c>
      <c r="B194" s="153" t="str">
        <f t="shared" si="23"/>
        <v>15转新增怪物种类2</v>
      </c>
      <c r="C194" s="153">
        <v>81</v>
      </c>
      <c r="D194" s="153">
        <v>19</v>
      </c>
      <c r="E194" s="153">
        <v>112</v>
      </c>
      <c r="F194" s="153">
        <v>220</v>
      </c>
      <c r="G194" s="153">
        <v>1</v>
      </c>
      <c r="H194" s="153">
        <v>0</v>
      </c>
      <c r="I194" s="153">
        <f>INT(怪物掉落配置方案!D6936/10)*10</f>
        <v>2333330</v>
      </c>
      <c r="J194" s="154" t="str">
        <f>"3#1#"&amp;基本属性!BK25&amp;"|"&amp;"3#3#"&amp;INT(0.8*基本属性!AA25)&amp;"|"&amp;"3#4#"&amp;INT(1.2*基本属性!AA25)&amp;"|"&amp;"3#5#"&amp;INT(0.8*基本属性!AA25)&amp;"|"&amp;"3#6#"&amp;INT(1.2*基本属性!AA25)&amp;"|"&amp;"3#7#"&amp;INT(0.8*基本属性!AA25)&amp;"|"&amp;"3#8#"&amp;INT(1.2*基本属性!AA25)&amp;"|"&amp;"3#9#"&amp;基本属性!AB25&amp;"|"&amp;"3#10#"&amp;基本属性!AB25&amp;"|"&amp;"3#11#"&amp;基本属性!AB25&amp;"|"&amp;"3#12#"&amp;基本属性!AB25</f>
        <v>3#1#17440000|3#3#13340|3#4#20010|3#5#13340|3#6#20010|3#7#13340|3#8#20010|3#9#3200|3#10#3200|3#11#3200|3#12#3200</v>
      </c>
      <c r="K194" s="154">
        <f t="shared" si="22"/>
        <v>70</v>
      </c>
      <c r="L194" s="154">
        <v>999</v>
      </c>
      <c r="M194" s="154">
        <v>1100</v>
      </c>
      <c r="N194" s="154">
        <v>1</v>
      </c>
      <c r="O194" s="154">
        <v>0</v>
      </c>
      <c r="P194" s="154">
        <v>600</v>
      </c>
      <c r="Q194" s="154"/>
      <c r="R194" s="153"/>
      <c r="S194" s="154"/>
      <c r="T194" s="154">
        <v>1</v>
      </c>
      <c r="U194" s="154">
        <v>5</v>
      </c>
    </row>
    <row r="195" spans="1:21" ht="15.75" x14ac:dyDescent="0.3">
      <c r="A195" s="154">
        <v>16</v>
      </c>
      <c r="B195" s="153" t="str">
        <f t="shared" si="23"/>
        <v>16转新增怪物种类2</v>
      </c>
      <c r="C195" s="153">
        <v>81</v>
      </c>
      <c r="D195" s="153">
        <v>19</v>
      </c>
      <c r="E195" s="153">
        <v>112</v>
      </c>
      <c r="F195" s="153">
        <v>230</v>
      </c>
      <c r="G195" s="153">
        <v>1</v>
      </c>
      <c r="H195" s="153">
        <v>0</v>
      </c>
      <c r="I195" s="153">
        <f>INT(怪物掉落配置方案!D6937/10)*10</f>
        <v>1166660</v>
      </c>
      <c r="J195" s="154" t="str">
        <f>"3#1#"&amp;基本属性!BK26&amp;"|"&amp;"3#3#"&amp;INT(0.8*基本属性!AA26)&amp;"|"&amp;"3#4#"&amp;INT(1.2*基本属性!AA26)&amp;"|"&amp;"3#5#"&amp;INT(0.8*基本属性!AA26)&amp;"|"&amp;"3#6#"&amp;INT(1.2*基本属性!AA26)&amp;"|"&amp;"3#7#"&amp;INT(0.8*基本属性!AA26)&amp;"|"&amp;"3#8#"&amp;INT(1.2*基本属性!AA26)&amp;"|"&amp;"3#9#"&amp;基本属性!AB26&amp;"|"&amp;"3#10#"&amp;基本属性!AB26&amp;"|"&amp;"3#11#"&amp;基本属性!AB26&amp;"|"&amp;"3#12#"&amp;基本属性!AB26</f>
        <v>3#1#22220000|3#3#15717|3#4#23576|3#5#15717|3#6#23576|3#7#15717|3#8#23576|3#9#3500|3#10#3500|3#11#3500|3#12#3500</v>
      </c>
      <c r="K195" s="154">
        <f t="shared" si="22"/>
        <v>75</v>
      </c>
      <c r="L195" s="154">
        <v>999</v>
      </c>
      <c r="M195" s="154">
        <v>1100</v>
      </c>
      <c r="N195" s="154">
        <v>1</v>
      </c>
      <c r="O195" s="154">
        <v>0</v>
      </c>
      <c r="P195" s="154">
        <v>600</v>
      </c>
      <c r="Q195" s="154"/>
      <c r="R195" s="153"/>
      <c r="S195" s="154"/>
      <c r="T195" s="154">
        <v>1</v>
      </c>
      <c r="U195" s="154">
        <v>5</v>
      </c>
    </row>
    <row r="196" spans="1:21" ht="15.75" x14ac:dyDescent="0.3">
      <c r="A196" s="154">
        <v>17</v>
      </c>
      <c r="B196" s="153" t="str">
        <f t="shared" si="23"/>
        <v>17转新增怪物种类2</v>
      </c>
      <c r="C196" s="153">
        <v>81</v>
      </c>
      <c r="D196" s="153">
        <v>19</v>
      </c>
      <c r="E196" s="153">
        <v>112</v>
      </c>
      <c r="F196" s="153">
        <v>230</v>
      </c>
      <c r="G196" s="153">
        <v>1</v>
      </c>
      <c r="H196" s="153">
        <v>0</v>
      </c>
      <c r="I196" s="153">
        <f>INT(怪物掉落配置方案!D6938/10)*10</f>
        <v>1166660</v>
      </c>
      <c r="J196" s="154" t="str">
        <f>"3#1#"&amp;基本属性!BK27&amp;"|"&amp;"3#3#"&amp;INT(0.8*基本属性!AA27)&amp;"|"&amp;"3#4#"&amp;INT(1.2*基本属性!AA27)&amp;"|"&amp;"3#5#"&amp;INT(0.8*基本属性!AA27)&amp;"|"&amp;"3#6#"&amp;INT(1.2*基本属性!AA27)&amp;"|"&amp;"3#7#"&amp;INT(0.8*基本属性!AA27)&amp;"|"&amp;"3#8#"&amp;INT(1.2*基本属性!AA27)&amp;"|"&amp;"3#9#"&amp;基本属性!AB27&amp;"|"&amp;"3#10#"&amp;基本属性!AB27&amp;"|"&amp;"3#11#"&amp;基本属性!AB27&amp;"|"&amp;"3#12#"&amp;基本属性!AB27</f>
        <v>3#1#25980000|3#3#18224|3#4#27336|3#5#18224|3#6#27336|3#7#18224|3#8#27336|3#9#3750|3#10#3750|3#11#3750|3#12#3750</v>
      </c>
      <c r="K196" s="154">
        <f t="shared" si="22"/>
        <v>79</v>
      </c>
      <c r="L196" s="154">
        <v>999</v>
      </c>
      <c r="M196" s="154">
        <v>1100</v>
      </c>
      <c r="N196" s="154">
        <v>1</v>
      </c>
      <c r="O196" s="154">
        <v>0</v>
      </c>
      <c r="P196" s="154">
        <v>600</v>
      </c>
      <c r="Q196" s="154"/>
      <c r="R196" s="153"/>
      <c r="S196" s="154"/>
      <c r="T196" s="154">
        <v>1</v>
      </c>
      <c r="U196" s="154">
        <v>5</v>
      </c>
    </row>
    <row r="197" spans="1:21" ht="15.75" x14ac:dyDescent="0.3">
      <c r="A197" s="154">
        <v>18</v>
      </c>
      <c r="B197" s="153" t="str">
        <f t="shared" si="23"/>
        <v>18转新增怪物种类2</v>
      </c>
      <c r="C197" s="153">
        <v>81</v>
      </c>
      <c r="D197" s="153">
        <v>19</v>
      </c>
      <c r="E197" s="153">
        <v>112</v>
      </c>
      <c r="F197" s="153">
        <v>240</v>
      </c>
      <c r="G197" s="153">
        <v>1</v>
      </c>
      <c r="H197" s="153">
        <v>0</v>
      </c>
      <c r="I197" s="153">
        <f>INT(怪物掉落配置方案!D6939/10)*10</f>
        <v>1166660</v>
      </c>
      <c r="J197" s="154" t="str">
        <f>"3#1#"&amp;基本属性!BK28&amp;"|"&amp;"3#3#"&amp;INT(0.8*基本属性!AA28)&amp;"|"&amp;"3#4#"&amp;INT(1.2*基本属性!AA28)&amp;"|"&amp;"3#5#"&amp;INT(0.8*基本属性!AA28)&amp;"|"&amp;"3#6#"&amp;INT(1.2*基本属性!AA28)&amp;"|"&amp;"3#7#"&amp;INT(0.8*基本属性!AA28)&amp;"|"&amp;"3#8#"&amp;INT(1.2*基本属性!AA28)&amp;"|"&amp;"3#9#"&amp;基本属性!AB28&amp;"|"&amp;"3#10#"&amp;基本属性!AB28&amp;"|"&amp;"3#11#"&amp;基本属性!AB28&amp;"|"&amp;"3#12#"&amp;基本属性!AB28</f>
        <v>3#1#30210000|3#3#21140|3#4#31711|3#5#21140|3#6#31711|3#7#21140|3#8#31711|3#9#4000|3#10#4000|3#11#4000|3#12#4000</v>
      </c>
      <c r="K197" s="154">
        <f t="shared" si="22"/>
        <v>84</v>
      </c>
      <c r="L197" s="154">
        <v>999</v>
      </c>
      <c r="M197" s="154">
        <v>1100</v>
      </c>
      <c r="N197" s="154">
        <v>1</v>
      </c>
      <c r="O197" s="154">
        <v>0</v>
      </c>
      <c r="P197" s="154">
        <v>600</v>
      </c>
      <c r="Q197" s="154"/>
      <c r="R197" s="153"/>
      <c r="S197" s="154"/>
      <c r="T197" s="154">
        <v>1</v>
      </c>
      <c r="U197" s="154">
        <v>5</v>
      </c>
    </row>
    <row r="198" spans="1:21" ht="15.75" x14ac:dyDescent="0.3">
      <c r="A198" s="154">
        <v>19</v>
      </c>
      <c r="B198" s="153" t="str">
        <f t="shared" si="23"/>
        <v>19转新增怪物种类2</v>
      </c>
      <c r="C198" s="153">
        <v>81</v>
      </c>
      <c r="D198" s="153">
        <v>19</v>
      </c>
      <c r="E198" s="153">
        <v>112</v>
      </c>
      <c r="F198" s="153">
        <v>240</v>
      </c>
      <c r="G198" s="153">
        <v>1</v>
      </c>
      <c r="H198" s="153">
        <v>0</v>
      </c>
      <c r="I198" s="153">
        <f>INT(怪物掉落配置方案!D6940/10)*10</f>
        <v>1166660</v>
      </c>
      <c r="J198" s="154" t="str">
        <f>"3#1#"&amp;基本属性!BK29&amp;"|"&amp;"3#3#"&amp;INT(0.8*基本属性!AA29)&amp;"|"&amp;"3#4#"&amp;INT(1.2*基本属性!AA29)&amp;"|"&amp;"3#5#"&amp;INT(0.8*基本属性!AA29)&amp;"|"&amp;"3#6#"&amp;INT(1.2*基本属性!AA29)&amp;"|"&amp;"3#7#"&amp;INT(0.8*基本属性!AA29)&amp;"|"&amp;"3#8#"&amp;INT(1.2*基本属性!AA29)&amp;"|"&amp;"3#9#"&amp;基本属性!AB29&amp;"|"&amp;"3#10#"&amp;基本属性!AB29&amp;"|"&amp;"3#11#"&amp;基本属性!AB29&amp;"|"&amp;"3#12#"&amp;基本属性!AB29</f>
        <v>3#1#37040000|3#3#26012|3#4#39018|3#5#26012|3#6#39018|3#7#26012|3#8#39018|3#9#4500|3#10#4500|3#11#4500|3#12#4500</v>
      </c>
      <c r="K198" s="154">
        <f t="shared" si="22"/>
        <v>88</v>
      </c>
      <c r="L198" s="154">
        <v>999</v>
      </c>
      <c r="M198" s="154">
        <v>1100</v>
      </c>
      <c r="N198" s="154">
        <v>1</v>
      </c>
      <c r="O198" s="154">
        <v>0</v>
      </c>
      <c r="P198" s="154">
        <v>600</v>
      </c>
      <c r="Q198" s="154"/>
      <c r="R198" s="153"/>
      <c r="S198" s="154"/>
      <c r="T198" s="154">
        <v>1</v>
      </c>
      <c r="U198" s="154">
        <v>5</v>
      </c>
    </row>
    <row r="199" spans="1:21" ht="15.75" x14ac:dyDescent="0.3">
      <c r="A199" s="154">
        <v>20</v>
      </c>
      <c r="B199" s="153" t="str">
        <f t="shared" si="23"/>
        <v>20转新增怪物种类2</v>
      </c>
      <c r="C199" s="153">
        <v>81</v>
      </c>
      <c r="D199" s="153">
        <v>19</v>
      </c>
      <c r="E199" s="153">
        <v>112</v>
      </c>
      <c r="F199" s="153">
        <v>250</v>
      </c>
      <c r="G199" s="153">
        <v>1</v>
      </c>
      <c r="H199" s="153">
        <v>0</v>
      </c>
      <c r="I199" s="153">
        <f>INT(怪物掉落配置方案!D6941/10)*10</f>
        <v>1166660</v>
      </c>
      <c r="J199" s="154" t="str">
        <f>"3#1#"&amp;基本属性!BK30&amp;"|"&amp;"3#3#"&amp;INT(0.8*基本属性!AA30)&amp;"|"&amp;"3#4#"&amp;INT(1.2*基本属性!AA30)&amp;"|"&amp;"3#5#"&amp;INT(0.8*基本属性!AA30)&amp;"|"&amp;"3#6#"&amp;INT(1.2*基本属性!AA30)&amp;"|"&amp;"3#7#"&amp;INT(0.8*基本属性!AA30)&amp;"|"&amp;"3#8#"&amp;INT(1.2*基本属性!AA30)&amp;"|"&amp;"3#9#"&amp;基本属性!AB30&amp;"|"&amp;"3#10#"&amp;基本属性!AB30&amp;"|"&amp;"3#11#"&amp;基本属性!AB30&amp;"|"&amp;"3#12#"&amp;基本属性!AB30</f>
        <v>3#1#49920000|3#3#33643|3#4#50464|3#5#33643|3#6#50464|3#7#33643|3#8#50464|3#9#5000|3#10#5000|3#11#5000|3#12#5000</v>
      </c>
      <c r="K199" s="154">
        <f t="shared" si="22"/>
        <v>96</v>
      </c>
      <c r="L199" s="154">
        <v>999</v>
      </c>
      <c r="M199" s="154">
        <v>1100</v>
      </c>
      <c r="N199" s="154">
        <v>1</v>
      </c>
      <c r="O199" s="154">
        <v>0</v>
      </c>
      <c r="P199" s="154">
        <v>600</v>
      </c>
      <c r="Q199" s="154"/>
      <c r="R199" s="153"/>
      <c r="S199" s="154"/>
      <c r="T199" s="154">
        <v>1</v>
      </c>
      <c r="U199" s="154">
        <v>5</v>
      </c>
    </row>
    <row r="200" spans="1:21" s="155" customFormat="1" x14ac:dyDescent="0.3">
      <c r="A200" s="155" t="s">
        <v>3718</v>
      </c>
      <c r="B200" s="156"/>
      <c r="C200" s="156"/>
      <c r="D200" s="156"/>
      <c r="E200" s="156"/>
      <c r="F200" s="156"/>
      <c r="G200" s="156"/>
      <c r="H200" s="156"/>
      <c r="I200" s="156"/>
      <c r="R200" s="156"/>
    </row>
    <row r="201" spans="1:21" ht="15.75" x14ac:dyDescent="0.3">
      <c r="A201" s="154">
        <v>35</v>
      </c>
      <c r="B201" s="153" t="str">
        <f t="shared" ref="B201:B207" si="24">A201&amp;"级新增怪物种类3"</f>
        <v>35级新增怪物种类3</v>
      </c>
      <c r="C201" s="153">
        <v>81</v>
      </c>
      <c r="D201" s="153">
        <v>19</v>
      </c>
      <c r="E201" s="153">
        <v>112</v>
      </c>
      <c r="F201" s="153">
        <v>35</v>
      </c>
      <c r="G201" s="153">
        <v>1</v>
      </c>
      <c r="H201" s="153">
        <v>0</v>
      </c>
      <c r="I201" s="153">
        <f>INT(怪物掉落配置方案!D7941/10)*10</f>
        <v>2490</v>
      </c>
      <c r="J201" s="154" t="str">
        <f>"3#1#"&amp;基本属性!BL4&amp;"|"&amp;"3#3#"&amp;INT(0.8*基本属性!AD4)&amp;"|"&amp;"3#4#"&amp;INT(1.2*基本属性!AD4)&amp;"|"&amp;"3#5#"&amp;INT(0.8*基本属性!AD4)&amp;"|"&amp;"3#6#"&amp;INT(1.2*基本属性!AD4)&amp;"|"&amp;"3#7#"&amp;INT(0.8*基本属性!AD4)&amp;"|"&amp;"3#8#"&amp;INT(1.2*基本属性!AD4)&amp;"|"&amp;"3#9#"&amp;基本属性!AE4&amp;"|"&amp;"3#10#"&amp;基本属性!AE4&amp;"|"&amp;"3#11#"&amp;基本属性!AE4&amp;"|"&amp;"3#12#"&amp;基本属性!AE4</f>
        <v>3#1#60000|3#3#163|3#4#244|3#5#163|3#6#244|3#7#163|3#8#244|3#9#100|3#10#100|3#11#100|3#12#100</v>
      </c>
      <c r="K201" s="154">
        <f>K61</f>
        <v>2</v>
      </c>
      <c r="L201" s="154">
        <v>999</v>
      </c>
      <c r="M201" s="154">
        <v>1100</v>
      </c>
      <c r="N201" s="154">
        <v>1</v>
      </c>
      <c r="O201" s="154">
        <v>0</v>
      </c>
      <c r="P201" s="154">
        <v>600</v>
      </c>
      <c r="Q201" s="154"/>
      <c r="R201" s="153"/>
      <c r="S201" s="154"/>
      <c r="T201" s="154">
        <v>1</v>
      </c>
      <c r="U201" s="154">
        <v>5</v>
      </c>
    </row>
    <row r="202" spans="1:21" ht="15.75" x14ac:dyDescent="0.3">
      <c r="A202" s="154">
        <v>40</v>
      </c>
      <c r="B202" s="153" t="str">
        <f t="shared" si="24"/>
        <v>40级新增怪物种类3</v>
      </c>
      <c r="C202" s="153">
        <v>81</v>
      </c>
      <c r="D202" s="153">
        <v>19</v>
      </c>
      <c r="E202" s="153">
        <v>112</v>
      </c>
      <c r="F202" s="153">
        <v>40</v>
      </c>
      <c r="G202" s="153">
        <v>1</v>
      </c>
      <c r="H202" s="153">
        <v>0</v>
      </c>
      <c r="I202" s="153">
        <f>INT(怪物掉落配置方案!D7942/10)*10</f>
        <v>4790</v>
      </c>
      <c r="J202" s="154" t="str">
        <f>"3#1#"&amp;基本属性!BL5&amp;"|"&amp;"3#3#"&amp;INT(0.8*基本属性!AD5)&amp;"|"&amp;"3#4#"&amp;INT(1.2*基本属性!AD5)&amp;"|"&amp;"3#5#"&amp;INT(0.8*基本属性!AD5)&amp;"|"&amp;"3#6#"&amp;INT(1.2*基本属性!AD5)&amp;"|"&amp;"3#7#"&amp;INT(0.8*基本属性!AD5)&amp;"|"&amp;"3#8#"&amp;INT(1.2*基本属性!AD5)&amp;"|"&amp;"3#9#"&amp;基本属性!AE5&amp;"|"&amp;"3#10#"&amp;基本属性!AE5&amp;"|"&amp;"3#11#"&amp;基本属性!AE5&amp;"|"&amp;"3#12#"&amp;基本属性!AE5</f>
        <v>3#1#100000|3#3#252|3#4#378|3#5#252|3#6#378|3#7#252|3#8#378|3#9#150|3#10#150|3#11#150|3#12#150</v>
      </c>
      <c r="K202" s="154">
        <f t="shared" ref="K202:K227" si="25">K62</f>
        <v>4</v>
      </c>
      <c r="L202" s="154">
        <v>999</v>
      </c>
      <c r="M202" s="154">
        <v>1100</v>
      </c>
      <c r="N202" s="154">
        <v>1</v>
      </c>
      <c r="O202" s="154">
        <v>0</v>
      </c>
      <c r="P202" s="154">
        <v>600</v>
      </c>
      <c r="Q202" s="154"/>
      <c r="R202" s="153"/>
      <c r="S202" s="154"/>
      <c r="T202" s="154">
        <v>1</v>
      </c>
      <c r="U202" s="154">
        <v>5</v>
      </c>
    </row>
    <row r="203" spans="1:21" ht="15.75" x14ac:dyDescent="0.3">
      <c r="A203" s="154">
        <v>50</v>
      </c>
      <c r="B203" s="153" t="str">
        <f t="shared" si="24"/>
        <v>50级新增怪物种类3</v>
      </c>
      <c r="C203" s="153">
        <v>81</v>
      </c>
      <c r="D203" s="153">
        <v>19</v>
      </c>
      <c r="E203" s="153">
        <v>112</v>
      </c>
      <c r="F203" s="153">
        <v>50</v>
      </c>
      <c r="G203" s="153">
        <v>1</v>
      </c>
      <c r="H203" s="153">
        <v>0</v>
      </c>
      <c r="I203" s="153">
        <f>INT(怪物掉落配置方案!D7943/10)*10</f>
        <v>12990</v>
      </c>
      <c r="J203" s="154" t="str">
        <f>"3#1#"&amp;基本属性!BL6&amp;"|"&amp;"3#3#"&amp;INT(0.8*基本属性!AD6)&amp;"|"&amp;"3#4#"&amp;INT(1.2*基本属性!AD6)&amp;"|"&amp;"3#5#"&amp;INT(0.8*基本属性!AD6)&amp;"|"&amp;"3#6#"&amp;INT(1.2*基本属性!AD6)&amp;"|"&amp;"3#7#"&amp;INT(0.8*基本属性!AD6)&amp;"|"&amp;"3#8#"&amp;INT(1.2*基本属性!AD6)&amp;"|"&amp;"3#9#"&amp;基本属性!AE6&amp;"|"&amp;"3#10#"&amp;基本属性!AE6&amp;"|"&amp;"3#11#"&amp;基本属性!AE6&amp;"|"&amp;"3#12#"&amp;基本属性!AE6</f>
        <v>3#1#150000|3#3#345|3#4#518|3#5#345|3#6#518|3#7#345|3#8#518|3#9#200|3#10#200|3#11#200|3#12#200</v>
      </c>
      <c r="K203" s="154">
        <f t="shared" si="25"/>
        <v>6</v>
      </c>
      <c r="L203" s="154">
        <v>999</v>
      </c>
      <c r="M203" s="154">
        <v>1100</v>
      </c>
      <c r="N203" s="154">
        <v>1</v>
      </c>
      <c r="O203" s="154">
        <v>0</v>
      </c>
      <c r="P203" s="154">
        <v>600</v>
      </c>
      <c r="Q203" s="154"/>
      <c r="R203" s="153"/>
      <c r="S203" s="154"/>
      <c r="T203" s="154">
        <v>1</v>
      </c>
      <c r="U203" s="154">
        <v>5</v>
      </c>
    </row>
    <row r="204" spans="1:21" ht="15.75" x14ac:dyDescent="0.3">
      <c r="A204" s="154">
        <v>60</v>
      </c>
      <c r="B204" s="153" t="str">
        <f t="shared" si="24"/>
        <v>60级新增怪物种类3</v>
      </c>
      <c r="C204" s="153">
        <v>81</v>
      </c>
      <c r="D204" s="153">
        <v>19</v>
      </c>
      <c r="E204" s="153">
        <v>112</v>
      </c>
      <c r="F204" s="153">
        <v>60</v>
      </c>
      <c r="G204" s="153">
        <v>1</v>
      </c>
      <c r="H204" s="153">
        <v>0</v>
      </c>
      <c r="I204" s="153">
        <f>INT(怪物掉落配置方案!D7944/10)*10</f>
        <v>16250</v>
      </c>
      <c r="J204" s="154" t="str">
        <f>"3#1#"&amp;基本属性!BL7&amp;"|"&amp;"3#3#"&amp;INT(0.8*基本属性!AD7)&amp;"|"&amp;"3#4#"&amp;INT(1.2*基本属性!AD7)&amp;"|"&amp;"3#5#"&amp;INT(0.8*基本属性!AD7)&amp;"|"&amp;"3#6#"&amp;INT(1.2*基本属性!AD7)&amp;"|"&amp;"3#7#"&amp;INT(0.8*基本属性!AD7)&amp;"|"&amp;"3#8#"&amp;INT(1.2*基本属性!AD7)&amp;"|"&amp;"3#9#"&amp;基本属性!AE7&amp;"|"&amp;"3#10#"&amp;基本属性!AE7&amp;"|"&amp;"3#11#"&amp;基本属性!AE7&amp;"|"&amp;"3#12#"&amp;基本属性!AE7</f>
        <v>3#1#220000|3#3#444|3#4#667|3#5#444|3#6#667|3#7#444|3#8#667|3#9#250|3#10#250|3#11#250|3#12#250</v>
      </c>
      <c r="K204" s="154">
        <f t="shared" si="25"/>
        <v>9</v>
      </c>
      <c r="L204" s="154">
        <v>999</v>
      </c>
      <c r="M204" s="154">
        <v>1100</v>
      </c>
      <c r="N204" s="154">
        <v>1</v>
      </c>
      <c r="O204" s="154">
        <v>0</v>
      </c>
      <c r="P204" s="154">
        <v>600</v>
      </c>
      <c r="Q204" s="154"/>
      <c r="R204" s="153"/>
      <c r="S204" s="154"/>
      <c r="T204" s="154">
        <v>1</v>
      </c>
      <c r="U204" s="154">
        <v>5</v>
      </c>
    </row>
    <row r="205" spans="1:21" ht="15.75" x14ac:dyDescent="0.3">
      <c r="A205" s="154">
        <v>65</v>
      </c>
      <c r="B205" s="153" t="str">
        <f t="shared" si="24"/>
        <v>65级新增怪物种类3</v>
      </c>
      <c r="C205" s="153">
        <v>81</v>
      </c>
      <c r="D205" s="153">
        <v>19</v>
      </c>
      <c r="E205" s="153">
        <v>112</v>
      </c>
      <c r="F205" s="153">
        <v>65</v>
      </c>
      <c r="G205" s="153">
        <v>1</v>
      </c>
      <c r="H205" s="153">
        <v>0</v>
      </c>
      <c r="I205" s="153">
        <f>INT(怪物掉落配置方案!D7945/10)*10</f>
        <v>16330</v>
      </c>
      <c r="J205" s="154" t="str">
        <f>"3#1#"&amp;基本属性!BL8&amp;"|"&amp;"3#3#"&amp;INT(0.8*基本属性!AD8)&amp;"|"&amp;"3#4#"&amp;INT(1.2*基本属性!AD8)&amp;"|"&amp;"3#5#"&amp;INT(0.8*基本属性!AD8)&amp;"|"&amp;"3#6#"&amp;INT(1.2*基本属性!AD8)&amp;"|"&amp;"3#7#"&amp;INT(0.8*基本属性!AD8)&amp;"|"&amp;"3#8#"&amp;INT(1.2*基本属性!AD8)&amp;"|"&amp;"3#9#"&amp;基本属性!AE8&amp;"|"&amp;"3#10#"&amp;基本属性!AE8&amp;"|"&amp;"3#11#"&amp;基本属性!AE8&amp;"|"&amp;"3#12#"&amp;基本属性!AE8</f>
        <v>3#1#330000|3#3#596|3#4#894|3#5#596|3#6#894|3#7#596|3#8#894|3#9#325|3#10#325|3#11#325|3#12#325</v>
      </c>
      <c r="K205" s="154">
        <f t="shared" si="25"/>
        <v>12</v>
      </c>
      <c r="L205" s="154">
        <v>999</v>
      </c>
      <c r="M205" s="154">
        <v>1100</v>
      </c>
      <c r="N205" s="154">
        <v>1</v>
      </c>
      <c r="O205" s="154">
        <v>0</v>
      </c>
      <c r="P205" s="154">
        <v>600</v>
      </c>
      <c r="Q205" s="154"/>
      <c r="R205" s="153"/>
      <c r="S205" s="154"/>
      <c r="T205" s="154">
        <v>1</v>
      </c>
      <c r="U205" s="154">
        <v>5</v>
      </c>
    </row>
    <row r="206" spans="1:21" ht="15.75" x14ac:dyDescent="0.3">
      <c r="A206" s="154">
        <v>70</v>
      </c>
      <c r="B206" s="153" t="str">
        <f t="shared" si="24"/>
        <v>70级新增怪物种类3</v>
      </c>
      <c r="C206" s="153">
        <v>81</v>
      </c>
      <c r="D206" s="153">
        <v>19</v>
      </c>
      <c r="E206" s="153">
        <v>112</v>
      </c>
      <c r="F206" s="153">
        <v>70</v>
      </c>
      <c r="G206" s="153">
        <v>1</v>
      </c>
      <c r="H206" s="153">
        <v>0</v>
      </c>
      <c r="I206" s="153">
        <f>INT(怪物掉落配置方案!D7946/10)*10</f>
        <v>16720</v>
      </c>
      <c r="J206" s="154" t="str">
        <f>"3#1#"&amp;基本属性!BL9&amp;"|"&amp;"3#3#"&amp;INT(0.8*基本属性!AD9)&amp;"|"&amp;"3#4#"&amp;INT(1.2*基本属性!AD9)&amp;"|"&amp;"3#5#"&amp;INT(0.8*基本属性!AD9)&amp;"|"&amp;"3#6#"&amp;INT(1.2*基本属性!AD9)&amp;"|"&amp;"3#7#"&amp;INT(0.8*基本属性!AD9)&amp;"|"&amp;"3#8#"&amp;INT(1.2*基本属性!AD9)&amp;"|"&amp;"3#9#"&amp;基本属性!AE9&amp;"|"&amp;"3#10#"&amp;基本属性!AE9&amp;"|"&amp;"3#11#"&amp;基本属性!AE9&amp;"|"&amp;"3#12#"&amp;基本属性!AE9</f>
        <v>3#1#440000|3#3#757|3#4#1136|3#5#757|3#6#1136|3#7#757|3#8#1136|3#9#400|3#10#400|3#11#400|3#12#400</v>
      </c>
      <c r="K206" s="154">
        <f t="shared" si="25"/>
        <v>14</v>
      </c>
      <c r="L206" s="154">
        <v>999</v>
      </c>
      <c r="M206" s="154">
        <v>1100</v>
      </c>
      <c r="N206" s="154">
        <v>1</v>
      </c>
      <c r="O206" s="154">
        <v>0</v>
      </c>
      <c r="P206" s="154">
        <v>600</v>
      </c>
      <c r="Q206" s="154"/>
      <c r="R206" s="153"/>
      <c r="S206" s="154"/>
      <c r="T206" s="154">
        <v>1</v>
      </c>
      <c r="U206" s="154">
        <v>5</v>
      </c>
    </row>
    <row r="207" spans="1:21" ht="15.75" x14ac:dyDescent="0.3">
      <c r="A207" s="154">
        <v>75</v>
      </c>
      <c r="B207" s="153" t="str">
        <f t="shared" si="24"/>
        <v>75级新增怪物种类3</v>
      </c>
      <c r="C207" s="153">
        <v>81</v>
      </c>
      <c r="D207" s="153">
        <v>19</v>
      </c>
      <c r="E207" s="153">
        <v>112</v>
      </c>
      <c r="F207" s="153">
        <v>75</v>
      </c>
      <c r="G207" s="153">
        <v>1</v>
      </c>
      <c r="H207" s="153">
        <v>0</v>
      </c>
      <c r="I207" s="153">
        <f>INT(怪物掉落配置方案!D7947/10)*10</f>
        <v>18870</v>
      </c>
      <c r="J207" s="154" t="str">
        <f>"3#1#"&amp;基本属性!BL10&amp;"|"&amp;"3#3#"&amp;INT(0.8*基本属性!AD10)&amp;"|"&amp;"3#4#"&amp;INT(1.2*基本属性!AD10)&amp;"|"&amp;"3#5#"&amp;INT(0.8*基本属性!AD10)&amp;"|"&amp;"3#6#"&amp;INT(1.2*基本属性!AD10)&amp;"|"&amp;"3#7#"&amp;INT(0.8*基本属性!AD10)&amp;"|"&amp;"3#8#"&amp;INT(1.2*基本属性!AD10)&amp;"|"&amp;"3#9#"&amp;基本属性!AE10&amp;"|"&amp;"3#10#"&amp;基本属性!AE10&amp;"|"&amp;"3#11#"&amp;基本属性!AE10&amp;"|"&amp;"3#12#"&amp;基本属性!AE10</f>
        <v>3#1#640000|3#3#930|3#4#1395|3#5#930|3#6#1395|3#7#930|3#8#1395|3#9#475|3#10#475|3#11#475|3#12#475</v>
      </c>
      <c r="K207" s="154">
        <f t="shared" si="25"/>
        <v>17</v>
      </c>
      <c r="L207" s="154">
        <v>999</v>
      </c>
      <c r="M207" s="154">
        <v>1100</v>
      </c>
      <c r="N207" s="154">
        <v>1</v>
      </c>
      <c r="O207" s="154">
        <v>0</v>
      </c>
      <c r="P207" s="154">
        <v>600</v>
      </c>
      <c r="Q207" s="154"/>
      <c r="R207" s="153"/>
      <c r="S207" s="154"/>
      <c r="T207" s="154">
        <v>1</v>
      </c>
      <c r="U207" s="154">
        <v>5</v>
      </c>
    </row>
    <row r="208" spans="1:21" ht="15.75" x14ac:dyDescent="0.3">
      <c r="A208" s="154">
        <v>1</v>
      </c>
      <c r="B208" s="153" t="str">
        <f t="shared" ref="B208:B227" si="26">A208&amp;"转新增怪物种类3"</f>
        <v>1转新增怪物种类3</v>
      </c>
      <c r="C208" s="153">
        <v>81</v>
      </c>
      <c r="D208" s="153">
        <v>19</v>
      </c>
      <c r="E208" s="153">
        <v>112</v>
      </c>
      <c r="F208" s="153">
        <v>80</v>
      </c>
      <c r="G208" s="153">
        <v>1</v>
      </c>
      <c r="H208" s="153">
        <v>0</v>
      </c>
      <c r="I208" s="153">
        <f>INT(怪物掉落配置方案!D7948/10)*10</f>
        <v>30240</v>
      </c>
      <c r="J208" s="154" t="str">
        <f>"3#1#"&amp;基本属性!BL11&amp;"|"&amp;"3#3#"&amp;INT(0.8*基本属性!AD11)&amp;"|"&amp;"3#4#"&amp;INT(1.2*基本属性!AD11)&amp;"|"&amp;"3#5#"&amp;INT(0.8*基本属性!AD11)&amp;"|"&amp;"3#6#"&amp;INT(1.2*基本属性!AD11)&amp;"|"&amp;"3#7#"&amp;INT(0.8*基本属性!AD11)&amp;"|"&amp;"3#8#"&amp;INT(1.2*基本属性!AD11)&amp;"|"&amp;"3#9#"&amp;基本属性!AE11&amp;"|"&amp;"3#10#"&amp;基本属性!AE11&amp;"|"&amp;"3#11#"&amp;基本属性!AE11&amp;"|"&amp;"3#12#"&amp;基本属性!AE11</f>
        <v>3#1#810000|3#3#1115|3#4#1672|3#5#1115|3#6#1672|3#7#1115|3#8#1672|3#9#550|3#10#550|3#11#550|3#12#550</v>
      </c>
      <c r="K208" s="154">
        <f t="shared" si="25"/>
        <v>20</v>
      </c>
      <c r="L208" s="154">
        <v>999</v>
      </c>
      <c r="M208" s="154">
        <v>1100</v>
      </c>
      <c r="N208" s="154">
        <v>1</v>
      </c>
      <c r="O208" s="154">
        <v>0</v>
      </c>
      <c r="P208" s="154">
        <v>600</v>
      </c>
      <c r="Q208" s="154"/>
      <c r="R208" s="153"/>
      <c r="S208" s="154"/>
      <c r="T208" s="154">
        <v>1</v>
      </c>
      <c r="U208" s="154">
        <v>5</v>
      </c>
    </row>
    <row r="209" spans="1:21" ht="15.75" x14ac:dyDescent="0.3">
      <c r="A209" s="154">
        <v>2</v>
      </c>
      <c r="B209" s="153" t="str">
        <f t="shared" si="26"/>
        <v>2转新增怪物种类3</v>
      </c>
      <c r="C209" s="153">
        <v>81</v>
      </c>
      <c r="D209" s="153">
        <v>19</v>
      </c>
      <c r="E209" s="153">
        <v>112</v>
      </c>
      <c r="F209" s="153">
        <v>90</v>
      </c>
      <c r="G209" s="153">
        <v>1</v>
      </c>
      <c r="H209" s="153">
        <v>0</v>
      </c>
      <c r="I209" s="153">
        <f>INT(怪物掉落配置方案!D7949/10)*10</f>
        <v>52000</v>
      </c>
      <c r="J209" s="154" t="str">
        <f>"3#1#"&amp;基本属性!BL12&amp;"|"&amp;"3#3#"&amp;INT(0.8*基本属性!AD12)&amp;"|"&amp;"3#4#"&amp;INT(1.2*基本属性!AD12)&amp;"|"&amp;"3#5#"&amp;INT(0.8*基本属性!AD12)&amp;"|"&amp;"3#6#"&amp;INT(1.2*基本属性!AD12)&amp;"|"&amp;"3#7#"&amp;INT(0.8*基本属性!AD12)&amp;"|"&amp;"3#8#"&amp;INT(1.2*基本属性!AD12)&amp;"|"&amp;"3#9#"&amp;基本属性!AE12&amp;"|"&amp;"3#10#"&amp;基本属性!AE12&amp;"|"&amp;"3#11#"&amp;基本属性!AE12&amp;"|"&amp;"3#12#"&amp;基本属性!AE12</f>
        <v>3#1#1150000|3#3#1472|3#4#2209|3#5#1472|3#6#2209|3#7#1472|3#8#2209|3#9#700|3#10#700|3#11#700|3#12#700</v>
      </c>
      <c r="K209" s="154">
        <f t="shared" si="25"/>
        <v>23</v>
      </c>
      <c r="L209" s="154">
        <v>999</v>
      </c>
      <c r="M209" s="154">
        <v>1100</v>
      </c>
      <c r="N209" s="154">
        <v>1</v>
      </c>
      <c r="O209" s="154">
        <v>0</v>
      </c>
      <c r="P209" s="154">
        <v>600</v>
      </c>
      <c r="Q209" s="154"/>
      <c r="R209" s="153"/>
      <c r="S209" s="154"/>
      <c r="T209" s="154">
        <v>1</v>
      </c>
      <c r="U209" s="154">
        <v>5</v>
      </c>
    </row>
    <row r="210" spans="1:21" ht="15.75" x14ac:dyDescent="0.3">
      <c r="A210" s="154">
        <v>3</v>
      </c>
      <c r="B210" s="153" t="str">
        <f t="shared" si="26"/>
        <v>3转新增怪物种类3</v>
      </c>
      <c r="C210" s="153">
        <v>81</v>
      </c>
      <c r="D210" s="153">
        <v>19</v>
      </c>
      <c r="E210" s="153">
        <v>112</v>
      </c>
      <c r="F210" s="153">
        <v>100</v>
      </c>
      <c r="G210" s="153">
        <v>1</v>
      </c>
      <c r="H210" s="153">
        <v>0</v>
      </c>
      <c r="I210" s="153">
        <f>INT(怪物掉落配置方案!D7950/10)*10</f>
        <v>61190</v>
      </c>
      <c r="J210" s="154" t="str">
        <f>"3#1#"&amp;基本属性!BL13&amp;"|"&amp;"3#3#"&amp;INT(0.8*基本属性!AD13)&amp;"|"&amp;"3#4#"&amp;INT(1.2*基本属性!AD13)&amp;"|"&amp;"3#5#"&amp;INT(0.8*基本属性!AD13)&amp;"|"&amp;"3#6#"&amp;INT(1.2*基本属性!AD13)&amp;"|"&amp;"3#7#"&amp;INT(0.8*基本属性!AD13)&amp;"|"&amp;"3#8#"&amp;INT(1.2*基本属性!AD13)&amp;"|"&amp;"3#9#"&amp;基本属性!AE13&amp;"|"&amp;"3#10#"&amp;基本属性!AE13&amp;"|"&amp;"3#11#"&amp;基本属性!AE13&amp;"|"&amp;"3#12#"&amp;基本属性!AE13</f>
        <v>3#1#1620000|3#3#1968|3#4#2953|3#5#1968|3#6#2953|3#7#1968|3#8#2953|3#9#900|3#10#900|3#11#900|3#12#900</v>
      </c>
      <c r="K210" s="154">
        <f t="shared" si="25"/>
        <v>26</v>
      </c>
      <c r="L210" s="154">
        <v>999</v>
      </c>
      <c r="M210" s="154">
        <v>1100</v>
      </c>
      <c r="N210" s="154">
        <v>1</v>
      </c>
      <c r="O210" s="154">
        <v>0</v>
      </c>
      <c r="P210" s="154">
        <v>600</v>
      </c>
      <c r="Q210" s="154"/>
      <c r="R210" s="153"/>
      <c r="S210" s="154"/>
      <c r="T210" s="154">
        <v>1</v>
      </c>
      <c r="U210" s="154">
        <v>5</v>
      </c>
    </row>
    <row r="211" spans="1:21" ht="15.75" x14ac:dyDescent="0.3">
      <c r="A211" s="154">
        <v>4</v>
      </c>
      <c r="B211" s="153" t="str">
        <f t="shared" si="26"/>
        <v>4转新增怪物种类3</v>
      </c>
      <c r="C211" s="153">
        <v>81</v>
      </c>
      <c r="D211" s="153">
        <v>19</v>
      </c>
      <c r="E211" s="153">
        <v>112</v>
      </c>
      <c r="F211" s="153">
        <v>105</v>
      </c>
      <c r="G211" s="153">
        <v>1</v>
      </c>
      <c r="H211" s="153">
        <v>0</v>
      </c>
      <c r="I211" s="153">
        <f>INT(怪物掉落配置方案!D7951/10)*10</f>
        <v>94500</v>
      </c>
      <c r="J211" s="154" t="str">
        <f>"3#1#"&amp;基本属性!BL14&amp;"|"&amp;"3#3#"&amp;INT(0.8*基本属性!AD14)&amp;"|"&amp;"3#4#"&amp;INT(1.2*基本属性!AD14)&amp;"|"&amp;"3#5#"&amp;INT(0.8*基本属性!AD14)&amp;"|"&amp;"3#6#"&amp;INT(1.2*基本属性!AD14)&amp;"|"&amp;"3#7#"&amp;INT(0.8*基本属性!AD14)&amp;"|"&amp;"3#8#"&amp;INT(1.2*基本属性!AD14)&amp;"|"&amp;"3#9#"&amp;基本属性!AE14&amp;"|"&amp;"3#10#"&amp;基本属性!AE14&amp;"|"&amp;"3#11#"&amp;基本属性!AE14&amp;"|"&amp;"3#12#"&amp;基本属性!AE14</f>
        <v>3#1#2370000|3#3#2505|3#4#3758|3#5#2505|3#6#3758|3#7#2505|3#8#3758|3#9#1100|3#10#1100|3#11#1100|3#12#1100</v>
      </c>
      <c r="K211" s="154">
        <f t="shared" si="25"/>
        <v>29</v>
      </c>
      <c r="L211" s="154">
        <v>999</v>
      </c>
      <c r="M211" s="154">
        <v>1100</v>
      </c>
      <c r="N211" s="154">
        <v>1</v>
      </c>
      <c r="O211" s="154">
        <v>0</v>
      </c>
      <c r="P211" s="154">
        <v>600</v>
      </c>
      <c r="Q211" s="154"/>
      <c r="R211" s="153"/>
      <c r="S211" s="154"/>
      <c r="T211" s="154">
        <v>1</v>
      </c>
      <c r="U211" s="154">
        <v>5</v>
      </c>
    </row>
    <row r="212" spans="1:21" ht="15.75" x14ac:dyDescent="0.3">
      <c r="A212" s="154">
        <v>5</v>
      </c>
      <c r="B212" s="153" t="str">
        <f t="shared" si="26"/>
        <v>5转新增怪物种类3</v>
      </c>
      <c r="C212" s="153">
        <v>81</v>
      </c>
      <c r="D212" s="153">
        <v>19</v>
      </c>
      <c r="E212" s="153">
        <v>112</v>
      </c>
      <c r="F212" s="153">
        <v>110</v>
      </c>
      <c r="G212" s="153">
        <v>1</v>
      </c>
      <c r="H212" s="153">
        <v>0</v>
      </c>
      <c r="I212" s="153">
        <f>INT(怪物掉落配置方案!D7952/10)*10</f>
        <v>97660</v>
      </c>
      <c r="J212" s="154" t="str">
        <f>"3#1#"&amp;基本属性!BL15&amp;"|"&amp;"3#3#"&amp;INT(0.8*基本属性!AD15)&amp;"|"&amp;"3#4#"&amp;INT(1.2*基本属性!AD15)&amp;"|"&amp;"3#5#"&amp;INT(0.8*基本属性!AD15)&amp;"|"&amp;"3#6#"&amp;INT(1.2*基本属性!AD15)&amp;"|"&amp;"3#7#"&amp;INT(0.8*基本属性!AD15)&amp;"|"&amp;"3#8#"&amp;INT(1.2*基本属性!AD15)&amp;"|"&amp;"3#9#"&amp;基本属性!AE15&amp;"|"&amp;"3#10#"&amp;基本属性!AE15&amp;"|"&amp;"3#11#"&amp;基本属性!AE15&amp;"|"&amp;"3#12#"&amp;基本属性!AE15</f>
        <v>3#1#3020000|3#3#3029|3#4#4544|3#5#3029|3#6#4544|3#7#3029|3#8#4544|3#9#1275|3#10#1275|3#11#1275|3#12#1275</v>
      </c>
      <c r="K212" s="154">
        <f t="shared" si="25"/>
        <v>32</v>
      </c>
      <c r="L212" s="154">
        <v>999</v>
      </c>
      <c r="M212" s="154">
        <v>1100</v>
      </c>
      <c r="N212" s="154">
        <v>1</v>
      </c>
      <c r="O212" s="154">
        <v>0</v>
      </c>
      <c r="P212" s="154">
        <v>600</v>
      </c>
      <c r="Q212" s="154"/>
      <c r="R212" s="153"/>
      <c r="S212" s="154"/>
      <c r="T212" s="154">
        <v>1</v>
      </c>
      <c r="U212" s="154">
        <v>5</v>
      </c>
    </row>
    <row r="213" spans="1:21" ht="15.75" x14ac:dyDescent="0.3">
      <c r="A213" s="154">
        <v>6</v>
      </c>
      <c r="B213" s="153" t="str">
        <f t="shared" si="26"/>
        <v>6转新增怪物种类3</v>
      </c>
      <c r="C213" s="153">
        <v>81</v>
      </c>
      <c r="D213" s="153">
        <v>19</v>
      </c>
      <c r="E213" s="153">
        <v>112</v>
      </c>
      <c r="F213" s="153">
        <v>120</v>
      </c>
      <c r="G213" s="153">
        <v>1</v>
      </c>
      <c r="H213" s="153">
        <v>0</v>
      </c>
      <c r="I213" s="153">
        <f>INT(怪物掉落配置方案!D7953/10)*10</f>
        <v>389440</v>
      </c>
      <c r="J213" s="154" t="str">
        <f>"3#1#"&amp;基本属性!BL16&amp;"|"&amp;"3#3#"&amp;INT(0.8*基本属性!AD16)&amp;"|"&amp;"3#4#"&amp;INT(1.2*基本属性!AD16)&amp;"|"&amp;"3#5#"&amp;INT(0.8*基本属性!AD16)&amp;"|"&amp;"3#6#"&amp;INT(1.2*基本属性!AD16)&amp;"|"&amp;"3#7#"&amp;INT(0.8*基本属性!AD16)&amp;"|"&amp;"3#8#"&amp;INT(1.2*基本属性!AD16)&amp;"|"&amp;"3#9#"&amp;基本属性!AE16&amp;"|"&amp;"3#10#"&amp;基本属性!AE16&amp;"|"&amp;"3#11#"&amp;基本属性!AE16&amp;"|"&amp;"3#12#"&amp;基本属性!AE16</f>
        <v>3#1#3770000|3#3#3602|3#4#5403|3#5#3602|3#6#5403|3#7#3602|3#8#5403|3#9#1450|3#10#1450|3#11#1450|3#12#1450</v>
      </c>
      <c r="K213" s="154">
        <f t="shared" si="25"/>
        <v>36</v>
      </c>
      <c r="L213" s="154">
        <v>999</v>
      </c>
      <c r="M213" s="154">
        <v>1100</v>
      </c>
      <c r="N213" s="154">
        <v>1</v>
      </c>
      <c r="O213" s="154">
        <v>0</v>
      </c>
      <c r="P213" s="154">
        <v>600</v>
      </c>
      <c r="Q213" s="154"/>
      <c r="R213" s="153"/>
      <c r="S213" s="154"/>
      <c r="T213" s="154">
        <v>1</v>
      </c>
      <c r="U213" s="154">
        <v>5</v>
      </c>
    </row>
    <row r="214" spans="1:21" ht="15.75" x14ac:dyDescent="0.3">
      <c r="A214" s="154">
        <v>7</v>
      </c>
      <c r="B214" s="153" t="str">
        <f t="shared" si="26"/>
        <v>7转新增怪物种类3</v>
      </c>
      <c r="C214" s="153">
        <v>81</v>
      </c>
      <c r="D214" s="153">
        <v>19</v>
      </c>
      <c r="E214" s="153">
        <v>112</v>
      </c>
      <c r="F214" s="153">
        <v>135</v>
      </c>
      <c r="G214" s="153">
        <v>1</v>
      </c>
      <c r="H214" s="153">
        <v>0</v>
      </c>
      <c r="I214" s="153">
        <f>INT(怪物掉落配置方案!D7954/10)*10</f>
        <v>1333250</v>
      </c>
      <c r="J214" s="154" t="str">
        <f>"3#1#"&amp;基本属性!BL17&amp;"|"&amp;"3#3#"&amp;INT(0.8*基本属性!AD17)&amp;"|"&amp;"3#4#"&amp;INT(1.2*基本属性!AD17)&amp;"|"&amp;"3#5#"&amp;INT(0.8*基本属性!AD17)&amp;"|"&amp;"3#6#"&amp;INT(1.2*基本属性!AD17)&amp;"|"&amp;"3#7#"&amp;INT(0.8*基本属性!AD17)&amp;"|"&amp;"3#8#"&amp;INT(1.2*基本属性!AD17)&amp;"|"&amp;"3#9#"&amp;基本属性!AE17&amp;"|"&amp;"3#10#"&amp;基本属性!AE17&amp;"|"&amp;"3#11#"&amp;基本属性!AE17&amp;"|"&amp;"3#12#"&amp;基本属性!AE17</f>
        <v>3#1#4570000|3#3#4164|3#4#6247|3#5#4164|3#6#6247|3#7#4164|3#8#6247|3#9#1600|3#10#1600|3#11#1600|3#12#1600</v>
      </c>
      <c r="K214" s="154">
        <f t="shared" si="25"/>
        <v>39</v>
      </c>
      <c r="L214" s="154">
        <v>999</v>
      </c>
      <c r="M214" s="154">
        <v>1100</v>
      </c>
      <c r="N214" s="154">
        <v>1</v>
      </c>
      <c r="O214" s="154">
        <v>0</v>
      </c>
      <c r="P214" s="154">
        <v>600</v>
      </c>
      <c r="Q214" s="154"/>
      <c r="R214" s="153"/>
      <c r="S214" s="154"/>
      <c r="T214" s="154">
        <v>1</v>
      </c>
      <c r="U214" s="154">
        <v>5</v>
      </c>
    </row>
    <row r="215" spans="1:21" ht="15.75" x14ac:dyDescent="0.3">
      <c r="A215" s="154">
        <v>8</v>
      </c>
      <c r="B215" s="153" t="str">
        <f t="shared" si="26"/>
        <v>8转新增怪物种类3</v>
      </c>
      <c r="C215" s="153">
        <v>81</v>
      </c>
      <c r="D215" s="153">
        <v>19</v>
      </c>
      <c r="E215" s="153">
        <v>112</v>
      </c>
      <c r="F215" s="153">
        <v>155</v>
      </c>
      <c r="G215" s="153">
        <v>1</v>
      </c>
      <c r="H215" s="153">
        <v>0</v>
      </c>
      <c r="I215" s="153">
        <f>INT(怪物掉落配置方案!D7955/10)*10</f>
        <v>16105160</v>
      </c>
      <c r="J215" s="154" t="str">
        <f>"3#1#"&amp;基本属性!BL18&amp;"|"&amp;"3#3#"&amp;INT(0.8*基本属性!AD18)&amp;"|"&amp;"3#4#"&amp;INT(1.2*基本属性!AD18)&amp;"|"&amp;"3#5#"&amp;INT(0.8*基本属性!AD18)&amp;"|"&amp;"3#6#"&amp;INT(1.2*基本属性!AD18)&amp;"|"&amp;"3#7#"&amp;INT(0.8*基本属性!AD18)&amp;"|"&amp;"3#8#"&amp;INT(1.2*基本属性!AD18)&amp;"|"&amp;"3#9#"&amp;基本属性!AE18&amp;"|"&amp;"3#10#"&amp;基本属性!AE18&amp;"|"&amp;"3#11#"&amp;基本属性!AE18&amp;"|"&amp;"3#12#"&amp;基本属性!AE18</f>
        <v>3#1#5910000|3#3#4784|3#4#7176|3#5#4784|3#6#7176|3#7#4784|3#8#7176|3#9#1750|3#10#1750|3#11#1750|3#12#1750</v>
      </c>
      <c r="K215" s="154">
        <f t="shared" si="25"/>
        <v>43</v>
      </c>
      <c r="L215" s="154">
        <v>999</v>
      </c>
      <c r="M215" s="154">
        <v>1100</v>
      </c>
      <c r="N215" s="154">
        <v>1</v>
      </c>
      <c r="O215" s="154">
        <v>0</v>
      </c>
      <c r="P215" s="154">
        <v>600</v>
      </c>
      <c r="Q215" s="154"/>
      <c r="R215" s="153"/>
      <c r="S215" s="154"/>
      <c r="T215" s="154">
        <v>1</v>
      </c>
      <c r="U215" s="154">
        <v>5</v>
      </c>
    </row>
    <row r="216" spans="1:21" ht="15.75" x14ac:dyDescent="0.3">
      <c r="A216" s="154">
        <v>9</v>
      </c>
      <c r="B216" s="153" t="str">
        <f t="shared" si="26"/>
        <v>9转新增怪物种类3</v>
      </c>
      <c r="C216" s="153">
        <v>81</v>
      </c>
      <c r="D216" s="153">
        <v>19</v>
      </c>
      <c r="E216" s="153">
        <v>112</v>
      </c>
      <c r="F216" s="153">
        <v>190</v>
      </c>
      <c r="G216" s="153">
        <v>1</v>
      </c>
      <c r="H216" s="153">
        <v>0</v>
      </c>
      <c r="I216" s="153">
        <f>INT(怪物掉落配置方案!D7956/10)*10</f>
        <v>14644400</v>
      </c>
      <c r="J216" s="154" t="str">
        <f>"3#1#"&amp;基本属性!BL19&amp;"|"&amp;"3#3#"&amp;INT(0.8*基本属性!AD19)&amp;"|"&amp;"3#4#"&amp;INT(1.2*基本属性!AD19)&amp;"|"&amp;"3#5#"&amp;INT(0.8*基本属性!AD19)&amp;"|"&amp;"3#6#"&amp;INT(1.2*基本属性!AD19)&amp;"|"&amp;"3#7#"&amp;INT(0.8*基本属性!AD19)&amp;"|"&amp;"3#8#"&amp;INT(1.2*基本属性!AD19)&amp;"|"&amp;"3#9#"&amp;基本属性!AE19&amp;"|"&amp;"3#10#"&amp;基本属性!AE19&amp;"|"&amp;"3#11#"&amp;基本属性!AE19&amp;"|"&amp;"3#12#"&amp;基本属性!AE19</f>
        <v>3#1#6950000|3#3#5396|3#4#8095|3#5#5396|3#6#8095|3#7#5396|3#8#8095|3#9#1875|3#10#1875|3#11#1875|3#12#1875</v>
      </c>
      <c r="K216" s="154">
        <f t="shared" si="25"/>
        <v>46</v>
      </c>
      <c r="L216" s="154">
        <v>999</v>
      </c>
      <c r="M216" s="154">
        <v>1100</v>
      </c>
      <c r="N216" s="154">
        <v>1</v>
      </c>
      <c r="O216" s="154">
        <v>0</v>
      </c>
      <c r="P216" s="154">
        <v>600</v>
      </c>
      <c r="Q216" s="154"/>
      <c r="R216" s="153"/>
      <c r="S216" s="154"/>
      <c r="T216" s="154">
        <v>1</v>
      </c>
      <c r="U216" s="154">
        <v>5</v>
      </c>
    </row>
    <row r="217" spans="1:21" ht="15.75" x14ac:dyDescent="0.3">
      <c r="A217" s="154">
        <v>10</v>
      </c>
      <c r="B217" s="153" t="str">
        <f t="shared" si="26"/>
        <v>10转新增怪物种类3</v>
      </c>
      <c r="C217" s="153">
        <v>81</v>
      </c>
      <c r="D217" s="153">
        <v>19</v>
      </c>
      <c r="E217" s="153">
        <v>112</v>
      </c>
      <c r="F217" s="153">
        <v>200</v>
      </c>
      <c r="G217" s="153">
        <v>1</v>
      </c>
      <c r="H217" s="153">
        <v>0</v>
      </c>
      <c r="I217" s="153">
        <f>INT(怪物掉落配置方案!D7957/10)*10</f>
        <v>17499990</v>
      </c>
      <c r="J217" s="154" t="str">
        <f>"3#1#"&amp;基本属性!BL20&amp;"|"&amp;"3#3#"&amp;INT(0.8*基本属性!AD20)&amp;"|"&amp;"3#4#"&amp;INT(1.2*基本属性!AD20)&amp;"|"&amp;"3#5#"&amp;INT(0.8*基本属性!AD20)&amp;"|"&amp;"3#6#"&amp;INT(1.2*基本属性!AD20)&amp;"|"&amp;"3#7#"&amp;INT(0.8*基本属性!AD20)&amp;"|"&amp;"3#8#"&amp;INT(1.2*基本属性!AD20)&amp;"|"&amp;"3#9#"&amp;基本属性!AE20&amp;"|"&amp;"3#10#"&amp;基本属性!AE20&amp;"|"&amp;"3#11#"&amp;基本属性!AE20&amp;"|"&amp;"3#12#"&amp;基本属性!AE20</f>
        <v>3#1#8120000|3#3#6076|3#4#9114|3#5#6076|3#6#9114|3#7#6076|3#8#9114|3#9#2000|3#10#2000|3#11#2000|3#12#2000</v>
      </c>
      <c r="K217" s="154">
        <f t="shared" si="25"/>
        <v>50</v>
      </c>
      <c r="L217" s="154">
        <v>999</v>
      </c>
      <c r="M217" s="154">
        <v>1100</v>
      </c>
      <c r="N217" s="154">
        <v>1</v>
      </c>
      <c r="O217" s="154">
        <v>0</v>
      </c>
      <c r="P217" s="154">
        <v>600</v>
      </c>
      <c r="Q217" s="154"/>
      <c r="R217" s="153"/>
      <c r="S217" s="154"/>
      <c r="T217" s="154">
        <v>1</v>
      </c>
      <c r="U217" s="154">
        <v>5</v>
      </c>
    </row>
    <row r="218" spans="1:21" ht="15.75" x14ac:dyDescent="0.3">
      <c r="A218" s="154">
        <v>11</v>
      </c>
      <c r="B218" s="153" t="str">
        <f t="shared" si="26"/>
        <v>11转新增怪物种类3</v>
      </c>
      <c r="C218" s="153">
        <v>81</v>
      </c>
      <c r="D218" s="153">
        <v>19</v>
      </c>
      <c r="E218" s="153">
        <v>112</v>
      </c>
      <c r="F218" s="153">
        <v>200</v>
      </c>
      <c r="G218" s="153">
        <v>1</v>
      </c>
      <c r="H218" s="153">
        <v>0</v>
      </c>
      <c r="I218" s="153">
        <f>INT(怪物掉落配置方案!D7958/10)*10</f>
        <v>3500000</v>
      </c>
      <c r="J218" s="154" t="str">
        <f>"3#1#"&amp;基本属性!BL21&amp;"|"&amp;"3#3#"&amp;INT(0.8*基本属性!AD21)&amp;"|"&amp;"3#4#"&amp;INT(1.2*基本属性!AD21)&amp;"|"&amp;"3#5#"&amp;INT(0.8*基本属性!AD21)&amp;"|"&amp;"3#6#"&amp;INT(1.2*基本属性!AD21)&amp;"|"&amp;"3#7#"&amp;INT(0.8*基本属性!AD21)&amp;"|"&amp;"3#8#"&amp;INT(1.2*基本属性!AD21)&amp;"|"&amp;"3#9#"&amp;基本属性!AE21&amp;"|"&amp;"3#10#"&amp;基本属性!AE21&amp;"|"&amp;"3#11#"&amp;基本属性!AE21&amp;"|"&amp;"3#12#"&amp;基本属性!AE21</f>
        <v>3#1#9780000|3#3#7074|3#4#10611|3#5#7074|3#6#10611|3#7#7074|3#8#10611|3#9#2200|3#10#2200|3#11#2200|3#12#2200</v>
      </c>
      <c r="K218" s="154">
        <f t="shared" si="25"/>
        <v>54</v>
      </c>
      <c r="L218" s="154">
        <v>999</v>
      </c>
      <c r="M218" s="154">
        <v>1100</v>
      </c>
      <c r="N218" s="154">
        <v>1</v>
      </c>
      <c r="O218" s="154">
        <v>0</v>
      </c>
      <c r="P218" s="154">
        <v>600</v>
      </c>
      <c r="Q218" s="154"/>
      <c r="R218" s="153"/>
      <c r="S218" s="154"/>
      <c r="T218" s="154">
        <v>1</v>
      </c>
      <c r="U218" s="154">
        <v>5</v>
      </c>
    </row>
    <row r="219" spans="1:21" ht="15.75" x14ac:dyDescent="0.3">
      <c r="A219" s="154">
        <v>12</v>
      </c>
      <c r="B219" s="153" t="str">
        <f t="shared" si="26"/>
        <v>12转新增怪物种类3</v>
      </c>
      <c r="C219" s="153">
        <v>81</v>
      </c>
      <c r="D219" s="153">
        <v>19</v>
      </c>
      <c r="E219" s="153">
        <v>112</v>
      </c>
      <c r="F219" s="153">
        <v>210</v>
      </c>
      <c r="G219" s="153">
        <v>1</v>
      </c>
      <c r="H219" s="153">
        <v>0</v>
      </c>
      <c r="I219" s="153">
        <f>INT(怪物掉落配置方案!D7959/10)*10</f>
        <v>3500000</v>
      </c>
      <c r="J219" s="154" t="str">
        <f>"3#1#"&amp;基本属性!BL22&amp;"|"&amp;"3#3#"&amp;INT(0.8*基本属性!AD22)&amp;"|"&amp;"3#4#"&amp;INT(1.2*基本属性!AD22)&amp;"|"&amp;"3#5#"&amp;INT(0.8*基本属性!AD22)&amp;"|"&amp;"3#6#"&amp;INT(1.2*基本属性!AD22)&amp;"|"&amp;"3#7#"&amp;INT(0.8*基本属性!AD22)&amp;"|"&amp;"3#8#"&amp;INT(1.2*基本属性!AD22)&amp;"|"&amp;"3#9#"&amp;基本属性!AE22&amp;"|"&amp;"3#10#"&amp;基本属性!AE22&amp;"|"&amp;"3#11#"&amp;基本属性!AE22&amp;"|"&amp;"3#12#"&amp;基本属性!AE22</f>
        <v>3#1#12520000|3#3#8193|3#4#12290|3#5#8193|3#6#12290|3#7#8193|3#8#12290|3#9#2400|3#10#2400|3#11#2400|3#12#2400</v>
      </c>
      <c r="K219" s="154">
        <f t="shared" si="25"/>
        <v>58</v>
      </c>
      <c r="L219" s="154">
        <v>999</v>
      </c>
      <c r="M219" s="154">
        <v>1100</v>
      </c>
      <c r="N219" s="154">
        <v>1</v>
      </c>
      <c r="O219" s="154">
        <v>0</v>
      </c>
      <c r="P219" s="154">
        <v>600</v>
      </c>
      <c r="Q219" s="154"/>
      <c r="R219" s="153"/>
      <c r="S219" s="154"/>
      <c r="T219" s="154">
        <v>1</v>
      </c>
      <c r="U219" s="154">
        <v>5</v>
      </c>
    </row>
    <row r="220" spans="1:21" ht="15.75" x14ac:dyDescent="0.3">
      <c r="A220" s="154">
        <v>13</v>
      </c>
      <c r="B220" s="153" t="str">
        <f t="shared" si="26"/>
        <v>13转新增怪物种类3</v>
      </c>
      <c r="C220" s="153">
        <v>81</v>
      </c>
      <c r="D220" s="153">
        <v>19</v>
      </c>
      <c r="E220" s="153">
        <v>112</v>
      </c>
      <c r="F220" s="153">
        <v>210</v>
      </c>
      <c r="G220" s="153">
        <v>1</v>
      </c>
      <c r="H220" s="153">
        <v>0</v>
      </c>
      <c r="I220" s="153">
        <f>INT(怪物掉落配置方案!D7960/10)*10</f>
        <v>3500000</v>
      </c>
      <c r="J220" s="154" t="str">
        <f>"3#1#"&amp;基本属性!BL23&amp;"|"&amp;"3#3#"&amp;INT(0.8*基本属性!AD23)&amp;"|"&amp;"3#4#"&amp;INT(1.2*基本属性!AD23)&amp;"|"&amp;"3#5#"&amp;INT(0.8*基本属性!AD23)&amp;"|"&amp;"3#6#"&amp;INT(1.2*基本属性!AD23)&amp;"|"&amp;"3#7#"&amp;INT(0.8*基本属性!AD23)&amp;"|"&amp;"3#8#"&amp;INT(1.2*基本属性!AD23)&amp;"|"&amp;"3#9#"&amp;基本属性!AE23&amp;"|"&amp;"3#10#"&amp;基本属性!AE23&amp;"|"&amp;"3#11#"&amp;基本属性!AE23&amp;"|"&amp;"3#12#"&amp;基本属性!AE23</f>
        <v>3#1#15120000|3#3#9635|3#4#14452|3#5#9635|3#6#14452|3#7#9635|3#8#14452|3#9#2650|3#10#2650|3#11#2650|3#12#2650</v>
      </c>
      <c r="K220" s="154">
        <f t="shared" si="25"/>
        <v>62</v>
      </c>
      <c r="L220" s="154">
        <v>999</v>
      </c>
      <c r="M220" s="154">
        <v>1100</v>
      </c>
      <c r="N220" s="154">
        <v>1</v>
      </c>
      <c r="O220" s="154">
        <v>0</v>
      </c>
      <c r="P220" s="154">
        <v>600</v>
      </c>
      <c r="Q220" s="154"/>
      <c r="R220" s="153"/>
      <c r="S220" s="154"/>
      <c r="T220" s="154">
        <v>1</v>
      </c>
      <c r="U220" s="154">
        <v>5</v>
      </c>
    </row>
    <row r="221" spans="1:21" ht="15.75" x14ac:dyDescent="0.3">
      <c r="A221" s="154">
        <v>14</v>
      </c>
      <c r="B221" s="153" t="str">
        <f t="shared" si="26"/>
        <v>14转新增怪物种类3</v>
      </c>
      <c r="C221" s="153">
        <v>81</v>
      </c>
      <c r="D221" s="153">
        <v>19</v>
      </c>
      <c r="E221" s="153">
        <v>112</v>
      </c>
      <c r="F221" s="153">
        <v>220</v>
      </c>
      <c r="G221" s="153">
        <v>1</v>
      </c>
      <c r="H221" s="153">
        <v>0</v>
      </c>
      <c r="I221" s="153">
        <f>INT(怪物掉落配置方案!D7961/10)*10</f>
        <v>3500000</v>
      </c>
      <c r="J221" s="154" t="str">
        <f>"3#1#"&amp;基本属性!BL24&amp;"|"&amp;"3#3#"&amp;INT(0.8*基本属性!AD24)&amp;"|"&amp;"3#4#"&amp;INT(1.2*基本属性!AD24)&amp;"|"&amp;"3#5#"&amp;INT(0.8*基本属性!AD24)&amp;"|"&amp;"3#6#"&amp;INT(1.2*基本属性!AD24)&amp;"|"&amp;"3#7#"&amp;INT(0.8*基本属性!AD24)&amp;"|"&amp;"3#8#"&amp;INT(1.2*基本属性!AD24)&amp;"|"&amp;"3#9#"&amp;基本属性!AE24&amp;"|"&amp;"3#10#"&amp;基本属性!AE24&amp;"|"&amp;"3#11#"&amp;基本属性!AE24&amp;"|"&amp;"3#12#"&amp;基本属性!AE24</f>
        <v>3#1#18090000|3#3#11268|3#4#16903|3#5#11268|3#6#16903|3#7#11268|3#8#16903|3#9#2900|3#10#2900|3#11#2900|3#12#2900</v>
      </c>
      <c r="K221" s="154">
        <f t="shared" si="25"/>
        <v>66</v>
      </c>
      <c r="L221" s="154">
        <v>999</v>
      </c>
      <c r="M221" s="154">
        <v>1100</v>
      </c>
      <c r="N221" s="154">
        <v>1</v>
      </c>
      <c r="O221" s="154">
        <v>0</v>
      </c>
      <c r="P221" s="154">
        <v>600</v>
      </c>
      <c r="Q221" s="154"/>
      <c r="R221" s="153"/>
      <c r="S221" s="154"/>
      <c r="T221" s="154">
        <v>1</v>
      </c>
      <c r="U221" s="154">
        <v>5</v>
      </c>
    </row>
    <row r="222" spans="1:21" ht="15.75" x14ac:dyDescent="0.3">
      <c r="A222" s="154">
        <v>15</v>
      </c>
      <c r="B222" s="153" t="str">
        <f t="shared" si="26"/>
        <v>15转新增怪物种类3</v>
      </c>
      <c r="C222" s="153">
        <v>81</v>
      </c>
      <c r="D222" s="153">
        <v>19</v>
      </c>
      <c r="E222" s="153">
        <v>112</v>
      </c>
      <c r="F222" s="153">
        <v>220</v>
      </c>
      <c r="G222" s="153">
        <v>1</v>
      </c>
      <c r="H222" s="153">
        <v>0</v>
      </c>
      <c r="I222" s="153">
        <f>INT(怪物掉落配置方案!D7962/10)*10</f>
        <v>3500000</v>
      </c>
      <c r="J222" s="154" t="str">
        <f>"3#1#"&amp;基本属性!BL25&amp;"|"&amp;"3#3#"&amp;INT(0.8*基本属性!AD25)&amp;"|"&amp;"3#4#"&amp;INT(1.2*基本属性!AD25)&amp;"|"&amp;"3#5#"&amp;INT(0.8*基本属性!AD25)&amp;"|"&amp;"3#6#"&amp;INT(1.2*基本属性!AD25)&amp;"|"&amp;"3#7#"&amp;INT(0.8*基本属性!AD25)&amp;"|"&amp;"3#8#"&amp;INT(1.2*基本属性!AD25)&amp;"|"&amp;"3#9#"&amp;基本属性!AE25&amp;"|"&amp;"3#10#"&amp;基本属性!AE25&amp;"|"&amp;"3#11#"&amp;基本属性!AE25&amp;"|"&amp;"3#12#"&amp;基本属性!AE25</f>
        <v>3#1#21800000|3#3#13340|3#4#20010|3#5#13340|3#6#20010|3#7#13340|3#8#20010|3#9#3200|3#10#3200|3#11#3200|3#12#3200</v>
      </c>
      <c r="K222" s="154">
        <f t="shared" si="25"/>
        <v>70</v>
      </c>
      <c r="L222" s="154">
        <v>999</v>
      </c>
      <c r="M222" s="154">
        <v>1100</v>
      </c>
      <c r="N222" s="154">
        <v>1</v>
      </c>
      <c r="O222" s="154">
        <v>0</v>
      </c>
      <c r="P222" s="154">
        <v>600</v>
      </c>
      <c r="Q222" s="154"/>
      <c r="R222" s="153"/>
      <c r="S222" s="154"/>
      <c r="T222" s="154">
        <v>1</v>
      </c>
      <c r="U222" s="154">
        <v>5</v>
      </c>
    </row>
    <row r="223" spans="1:21" ht="15.75" x14ac:dyDescent="0.3">
      <c r="A223" s="154">
        <v>16</v>
      </c>
      <c r="B223" s="153" t="str">
        <f t="shared" si="26"/>
        <v>16转新增怪物种类3</v>
      </c>
      <c r="C223" s="153">
        <v>81</v>
      </c>
      <c r="D223" s="153">
        <v>19</v>
      </c>
      <c r="E223" s="153">
        <v>112</v>
      </c>
      <c r="F223" s="153">
        <v>230</v>
      </c>
      <c r="G223" s="153">
        <v>1</v>
      </c>
      <c r="H223" s="153">
        <v>0</v>
      </c>
      <c r="I223" s="153">
        <f>INT(怪物掉落配置方案!D7963/10)*10</f>
        <v>1749990</v>
      </c>
      <c r="J223" s="154" t="str">
        <f>"3#1#"&amp;基本属性!BL26&amp;"|"&amp;"3#3#"&amp;INT(0.8*基本属性!AD26)&amp;"|"&amp;"3#4#"&amp;INT(1.2*基本属性!AD26)&amp;"|"&amp;"3#5#"&amp;INT(0.8*基本属性!AD26)&amp;"|"&amp;"3#6#"&amp;INT(1.2*基本属性!AD26)&amp;"|"&amp;"3#7#"&amp;INT(0.8*基本属性!AD26)&amp;"|"&amp;"3#8#"&amp;INT(1.2*基本属性!AD26)&amp;"|"&amp;"3#9#"&amp;基本属性!AE26&amp;"|"&amp;"3#10#"&amp;基本属性!AE26&amp;"|"&amp;"3#11#"&amp;基本属性!AE26&amp;"|"&amp;"3#12#"&amp;基本属性!AE26</f>
        <v>3#1#27770000|3#3#15717|3#4#23576|3#5#15717|3#6#23576|3#7#15717|3#8#23576|3#9#3500|3#10#3500|3#11#3500|3#12#3500</v>
      </c>
      <c r="K223" s="154">
        <f t="shared" si="25"/>
        <v>75</v>
      </c>
      <c r="L223" s="154">
        <v>999</v>
      </c>
      <c r="M223" s="154">
        <v>1100</v>
      </c>
      <c r="N223" s="154">
        <v>1</v>
      </c>
      <c r="O223" s="154">
        <v>0</v>
      </c>
      <c r="P223" s="154">
        <v>600</v>
      </c>
      <c r="Q223" s="154"/>
      <c r="R223" s="153"/>
      <c r="S223" s="154"/>
      <c r="T223" s="154">
        <v>1</v>
      </c>
      <c r="U223" s="154">
        <v>5</v>
      </c>
    </row>
    <row r="224" spans="1:21" ht="15.75" x14ac:dyDescent="0.3">
      <c r="A224" s="154">
        <v>17</v>
      </c>
      <c r="B224" s="153" t="str">
        <f t="shared" si="26"/>
        <v>17转新增怪物种类3</v>
      </c>
      <c r="C224" s="153">
        <v>81</v>
      </c>
      <c r="D224" s="153">
        <v>19</v>
      </c>
      <c r="E224" s="153">
        <v>112</v>
      </c>
      <c r="F224" s="153">
        <v>230</v>
      </c>
      <c r="G224" s="153">
        <v>1</v>
      </c>
      <c r="H224" s="153">
        <v>0</v>
      </c>
      <c r="I224" s="153">
        <f>INT(怪物掉落配置方案!D7964/10)*10</f>
        <v>1749990</v>
      </c>
      <c r="J224" s="154" t="str">
        <f>"3#1#"&amp;基本属性!BL27&amp;"|"&amp;"3#3#"&amp;INT(0.8*基本属性!AD27)&amp;"|"&amp;"3#4#"&amp;INT(1.2*基本属性!AD27)&amp;"|"&amp;"3#5#"&amp;INT(0.8*基本属性!AD27)&amp;"|"&amp;"3#6#"&amp;INT(1.2*基本属性!AD27)&amp;"|"&amp;"3#7#"&amp;INT(0.8*基本属性!AD27)&amp;"|"&amp;"3#8#"&amp;INT(1.2*基本属性!AD27)&amp;"|"&amp;"3#9#"&amp;基本属性!AE27&amp;"|"&amp;"3#10#"&amp;基本属性!AE27&amp;"|"&amp;"3#11#"&amp;基本属性!AE27&amp;"|"&amp;"3#12#"&amp;基本属性!AE27</f>
        <v>3#1#32470000|3#3#18224|3#4#27336|3#5#18224|3#6#27336|3#7#18224|3#8#27336|3#9#3750|3#10#3750|3#11#3750|3#12#3750</v>
      </c>
      <c r="K224" s="154">
        <f t="shared" si="25"/>
        <v>79</v>
      </c>
      <c r="L224" s="154">
        <v>999</v>
      </c>
      <c r="M224" s="154">
        <v>1100</v>
      </c>
      <c r="N224" s="154">
        <v>1</v>
      </c>
      <c r="O224" s="154">
        <v>0</v>
      </c>
      <c r="P224" s="154">
        <v>600</v>
      </c>
      <c r="Q224" s="154"/>
      <c r="R224" s="153"/>
      <c r="S224" s="154"/>
      <c r="T224" s="154">
        <v>1</v>
      </c>
      <c r="U224" s="154">
        <v>5</v>
      </c>
    </row>
    <row r="225" spans="1:21" ht="15.75" x14ac:dyDescent="0.3">
      <c r="A225" s="154">
        <v>18</v>
      </c>
      <c r="B225" s="153" t="str">
        <f t="shared" si="26"/>
        <v>18转新增怪物种类3</v>
      </c>
      <c r="C225" s="153">
        <v>81</v>
      </c>
      <c r="D225" s="153">
        <v>19</v>
      </c>
      <c r="E225" s="153">
        <v>112</v>
      </c>
      <c r="F225" s="153">
        <v>240</v>
      </c>
      <c r="G225" s="153">
        <v>1</v>
      </c>
      <c r="H225" s="153">
        <v>0</v>
      </c>
      <c r="I225" s="153">
        <f>INT(怪物掉落配置方案!D7965/10)*10</f>
        <v>1749990</v>
      </c>
      <c r="J225" s="154" t="str">
        <f>"3#1#"&amp;基本属性!BL28&amp;"|"&amp;"3#3#"&amp;INT(0.8*基本属性!AD28)&amp;"|"&amp;"3#4#"&amp;INT(1.2*基本属性!AD28)&amp;"|"&amp;"3#5#"&amp;INT(0.8*基本属性!AD28)&amp;"|"&amp;"3#6#"&amp;INT(1.2*基本属性!AD28)&amp;"|"&amp;"3#7#"&amp;INT(0.8*基本属性!AD28)&amp;"|"&amp;"3#8#"&amp;INT(1.2*基本属性!AD28)&amp;"|"&amp;"3#9#"&amp;基本属性!AE28&amp;"|"&amp;"3#10#"&amp;基本属性!AE28&amp;"|"&amp;"3#11#"&amp;基本属性!AE28&amp;"|"&amp;"3#12#"&amp;基本属性!AE28</f>
        <v>3#1#37770000|3#3#21140|3#4#31711|3#5#21140|3#6#31711|3#7#21140|3#8#31711|3#9#4000|3#10#4000|3#11#4000|3#12#4000</v>
      </c>
      <c r="K225" s="154">
        <f t="shared" si="25"/>
        <v>84</v>
      </c>
      <c r="L225" s="154">
        <v>999</v>
      </c>
      <c r="M225" s="154">
        <v>1100</v>
      </c>
      <c r="N225" s="154">
        <v>1</v>
      </c>
      <c r="O225" s="154">
        <v>0</v>
      </c>
      <c r="P225" s="154">
        <v>600</v>
      </c>
      <c r="Q225" s="154"/>
      <c r="R225" s="153"/>
      <c r="S225" s="154"/>
      <c r="T225" s="154">
        <v>1</v>
      </c>
      <c r="U225" s="154">
        <v>5</v>
      </c>
    </row>
    <row r="226" spans="1:21" ht="15.75" x14ac:dyDescent="0.3">
      <c r="A226" s="154">
        <v>19</v>
      </c>
      <c r="B226" s="153" t="str">
        <f t="shared" si="26"/>
        <v>19转新增怪物种类3</v>
      </c>
      <c r="C226" s="153">
        <v>81</v>
      </c>
      <c r="D226" s="153">
        <v>19</v>
      </c>
      <c r="E226" s="153">
        <v>112</v>
      </c>
      <c r="F226" s="153">
        <v>240</v>
      </c>
      <c r="G226" s="153">
        <v>1</v>
      </c>
      <c r="H226" s="153">
        <v>0</v>
      </c>
      <c r="I226" s="153">
        <f>INT(怪物掉落配置方案!D7966/10)*10</f>
        <v>1749990</v>
      </c>
      <c r="J226" s="154" t="str">
        <f>"3#1#"&amp;基本属性!BL29&amp;"|"&amp;"3#3#"&amp;INT(0.8*基本属性!AD29)&amp;"|"&amp;"3#4#"&amp;INT(1.2*基本属性!AD29)&amp;"|"&amp;"3#5#"&amp;INT(0.8*基本属性!AD29)&amp;"|"&amp;"3#6#"&amp;INT(1.2*基本属性!AD29)&amp;"|"&amp;"3#7#"&amp;INT(0.8*基本属性!AD29)&amp;"|"&amp;"3#8#"&amp;INT(1.2*基本属性!AD29)&amp;"|"&amp;"3#9#"&amp;基本属性!AE29&amp;"|"&amp;"3#10#"&amp;基本属性!AE29&amp;"|"&amp;"3#11#"&amp;基本属性!AE29&amp;"|"&amp;"3#12#"&amp;基本属性!AE29</f>
        <v>3#1#46310000|3#3#26012|3#4#39018|3#5#26012|3#6#39018|3#7#26012|3#8#39018|3#9#4500|3#10#4500|3#11#4500|3#12#4500</v>
      </c>
      <c r="K226" s="154">
        <f t="shared" si="25"/>
        <v>88</v>
      </c>
      <c r="L226" s="154">
        <v>999</v>
      </c>
      <c r="M226" s="154">
        <v>1100</v>
      </c>
      <c r="N226" s="154">
        <v>1</v>
      </c>
      <c r="O226" s="154">
        <v>0</v>
      </c>
      <c r="P226" s="154">
        <v>600</v>
      </c>
      <c r="Q226" s="154"/>
      <c r="R226" s="153"/>
      <c r="S226" s="154"/>
      <c r="T226" s="154">
        <v>1</v>
      </c>
      <c r="U226" s="154">
        <v>5</v>
      </c>
    </row>
    <row r="227" spans="1:21" ht="15.75" x14ac:dyDescent="0.3">
      <c r="A227" s="154">
        <v>20</v>
      </c>
      <c r="B227" s="153" t="str">
        <f t="shared" si="26"/>
        <v>20转新增怪物种类3</v>
      </c>
      <c r="C227" s="153">
        <v>81</v>
      </c>
      <c r="D227" s="153">
        <v>19</v>
      </c>
      <c r="E227" s="153">
        <v>112</v>
      </c>
      <c r="F227" s="153">
        <v>250</v>
      </c>
      <c r="G227" s="153">
        <v>1</v>
      </c>
      <c r="H227" s="153">
        <v>0</v>
      </c>
      <c r="I227" s="153">
        <f>INT(怪物掉落配置方案!D7967/10)*10</f>
        <v>1749990</v>
      </c>
      <c r="J227" s="154" t="str">
        <f>"3#1#"&amp;基本属性!BL30&amp;"|"&amp;"3#3#"&amp;INT(0.8*基本属性!AD30)&amp;"|"&amp;"3#4#"&amp;INT(1.2*基本属性!AD30)&amp;"|"&amp;"3#5#"&amp;INT(0.8*基本属性!AD30)&amp;"|"&amp;"3#6#"&amp;INT(1.2*基本属性!AD30)&amp;"|"&amp;"3#7#"&amp;INT(0.8*基本属性!AD30)&amp;"|"&amp;"3#8#"&amp;INT(1.2*基本属性!AD30)&amp;"|"&amp;"3#9#"&amp;基本属性!AE30&amp;"|"&amp;"3#10#"&amp;基本属性!AE30&amp;"|"&amp;"3#11#"&amp;基本属性!AE30&amp;"|"&amp;"3#12#"&amp;基本属性!AE30</f>
        <v>3#1#62400000|3#3#33643|3#4#50464|3#5#33643|3#6#50464|3#7#33643|3#8#50464|3#9#5000|3#10#5000|3#11#5000|3#12#5000</v>
      </c>
      <c r="K227" s="154">
        <f t="shared" si="25"/>
        <v>96</v>
      </c>
      <c r="L227" s="154">
        <v>999</v>
      </c>
      <c r="M227" s="154">
        <v>1100</v>
      </c>
      <c r="N227" s="154">
        <v>1</v>
      </c>
      <c r="O227" s="154">
        <v>0</v>
      </c>
      <c r="P227" s="154">
        <v>600</v>
      </c>
      <c r="Q227" s="154"/>
      <c r="R227" s="153"/>
      <c r="S227" s="154"/>
      <c r="T227" s="154">
        <v>1</v>
      </c>
      <c r="U227" s="154">
        <v>5</v>
      </c>
    </row>
    <row r="228" spans="1:21" s="155" customFormat="1" x14ac:dyDescent="0.3">
      <c r="A228" s="155" t="s">
        <v>3719</v>
      </c>
      <c r="B228" s="156"/>
      <c r="C228" s="156"/>
      <c r="D228" s="156"/>
      <c r="E228" s="156"/>
      <c r="F228" s="156"/>
      <c r="G228" s="156"/>
      <c r="H228" s="156"/>
      <c r="I228" s="156"/>
      <c r="R228" s="156"/>
    </row>
    <row r="229" spans="1:21" ht="15.75" x14ac:dyDescent="0.3">
      <c r="A229" s="154">
        <v>35</v>
      </c>
      <c r="B229" s="153" t="str">
        <f t="shared" ref="B229:B235" si="27">A229&amp;"级新增怪物种类4"</f>
        <v>35级新增怪物种类4</v>
      </c>
      <c r="C229" s="153">
        <v>81</v>
      </c>
      <c r="D229" s="153">
        <v>19</v>
      </c>
      <c r="E229" s="153">
        <v>112</v>
      </c>
      <c r="F229" s="153">
        <v>35</v>
      </c>
      <c r="G229" s="153">
        <v>1</v>
      </c>
      <c r="H229" s="153">
        <v>0</v>
      </c>
      <c r="I229" s="153">
        <f>INT(怪物掉落配置方案!D8967/10)*10</f>
        <v>3330</v>
      </c>
      <c r="J229" s="154" t="str">
        <f>"3#1#"&amp;基本属性!BM4&amp;"|"&amp;"3#3#"&amp;INT(0.8*基本属性!AG4)&amp;"|"&amp;"3#4#"&amp;INT(1.2*基本属性!AG4)&amp;"|"&amp;"3#5#"&amp;INT(0.8*基本属性!AG4)&amp;"|"&amp;"3#6#"&amp;INT(1.2*基本属性!AG4)&amp;"|"&amp;"3#7#"&amp;INT(0.8*基本属性!AG4)&amp;"|"&amp;"3#8#"&amp;INT(1.2*基本属性!AG4)&amp;"|"&amp;"3#9#"&amp;基本属性!AH4&amp;"|"&amp;"3#10#"&amp;基本属性!AH4&amp;"|"&amp;"3#11#"&amp;基本属性!AH4&amp;"|"&amp;"3#12#"&amp;基本属性!AH4</f>
        <v>3#1#70000|3#3#163|3#4#244|3#5#163|3#6#244|3#7#163|3#8#244|3#9#100|3#10#100|3#11#100|3#12#100</v>
      </c>
      <c r="K229" s="154">
        <f>K89</f>
        <v>2</v>
      </c>
      <c r="L229" s="154">
        <v>999</v>
      </c>
      <c r="M229" s="154">
        <v>1100</v>
      </c>
      <c r="N229" s="154">
        <v>1</v>
      </c>
      <c r="O229" s="154">
        <v>0</v>
      </c>
      <c r="P229" s="154">
        <v>600</v>
      </c>
      <c r="Q229" s="154"/>
      <c r="R229" s="153"/>
      <c r="S229" s="154"/>
      <c r="T229" s="154">
        <v>1</v>
      </c>
      <c r="U229" s="154">
        <v>5</v>
      </c>
    </row>
    <row r="230" spans="1:21" ht="15.75" x14ac:dyDescent="0.3">
      <c r="A230" s="154">
        <v>40</v>
      </c>
      <c r="B230" s="153" t="str">
        <f t="shared" si="27"/>
        <v>40级新增怪物种类4</v>
      </c>
      <c r="C230" s="153">
        <v>81</v>
      </c>
      <c r="D230" s="153">
        <v>19</v>
      </c>
      <c r="E230" s="153">
        <v>112</v>
      </c>
      <c r="F230" s="153">
        <v>40</v>
      </c>
      <c r="G230" s="153">
        <v>1</v>
      </c>
      <c r="H230" s="153">
        <v>0</v>
      </c>
      <c r="I230" s="153">
        <f>INT(怪物掉落配置方案!D8968/10)*10</f>
        <v>6380</v>
      </c>
      <c r="J230" s="154" t="str">
        <f>"3#1#"&amp;基本属性!BM5&amp;"|"&amp;"3#3#"&amp;INT(0.8*基本属性!AG5)&amp;"|"&amp;"3#4#"&amp;INT(1.2*基本属性!AG5)&amp;"|"&amp;"3#5#"&amp;INT(0.8*基本属性!AG5)&amp;"|"&amp;"3#6#"&amp;INT(1.2*基本属性!AG5)&amp;"|"&amp;"3#7#"&amp;INT(0.8*基本属性!AG5)&amp;"|"&amp;"3#8#"&amp;INT(1.2*基本属性!AG5)&amp;"|"&amp;"3#9#"&amp;基本属性!AH5&amp;"|"&amp;"3#10#"&amp;基本属性!AH5&amp;"|"&amp;"3#11#"&amp;基本属性!AH5&amp;"|"&amp;"3#12#"&amp;基本属性!AH5</f>
        <v>3#1#120000|3#3#252|3#4#378|3#5#252|3#6#378|3#7#252|3#8#378|3#9#150|3#10#150|3#11#150|3#12#150</v>
      </c>
      <c r="K230" s="154">
        <f t="shared" ref="K230:K255" si="28">K90</f>
        <v>4</v>
      </c>
      <c r="L230" s="154">
        <v>999</v>
      </c>
      <c r="M230" s="154">
        <v>1100</v>
      </c>
      <c r="N230" s="154">
        <v>1</v>
      </c>
      <c r="O230" s="154">
        <v>0</v>
      </c>
      <c r="P230" s="154">
        <v>600</v>
      </c>
      <c r="Q230" s="154"/>
      <c r="R230" s="153"/>
      <c r="S230" s="154"/>
      <c r="T230" s="154">
        <v>1</v>
      </c>
      <c r="U230" s="154">
        <v>5</v>
      </c>
    </row>
    <row r="231" spans="1:21" ht="15.75" x14ac:dyDescent="0.3">
      <c r="A231" s="154">
        <v>50</v>
      </c>
      <c r="B231" s="153" t="str">
        <f t="shared" si="27"/>
        <v>50级新增怪物种类4</v>
      </c>
      <c r="C231" s="153">
        <v>81</v>
      </c>
      <c r="D231" s="153">
        <v>19</v>
      </c>
      <c r="E231" s="153">
        <v>112</v>
      </c>
      <c r="F231" s="153">
        <v>50</v>
      </c>
      <c r="G231" s="153">
        <v>1</v>
      </c>
      <c r="H231" s="153">
        <v>0</v>
      </c>
      <c r="I231" s="153">
        <f>INT(怪物掉落配置方案!D8969/10)*10</f>
        <v>17330</v>
      </c>
      <c r="J231" s="154" t="str">
        <f>"3#1#"&amp;基本属性!BM6&amp;"|"&amp;"3#3#"&amp;INT(0.8*基本属性!AG6)&amp;"|"&amp;"3#4#"&amp;INT(1.2*基本属性!AG6)&amp;"|"&amp;"3#5#"&amp;INT(0.8*基本属性!AG6)&amp;"|"&amp;"3#6#"&amp;INT(1.2*基本属性!AG6)&amp;"|"&amp;"3#7#"&amp;INT(0.8*基本属性!AG6)&amp;"|"&amp;"3#8#"&amp;INT(1.2*基本属性!AG6)&amp;"|"&amp;"3#9#"&amp;基本属性!AH6&amp;"|"&amp;"3#10#"&amp;基本属性!AH6&amp;"|"&amp;"3#11#"&amp;基本属性!AH6&amp;"|"&amp;"3#12#"&amp;基本属性!AH6</f>
        <v>3#1#180000|3#3#345|3#4#518|3#5#345|3#6#518|3#7#345|3#8#518|3#9#200|3#10#200|3#11#200|3#12#200</v>
      </c>
      <c r="K231" s="154">
        <f t="shared" si="28"/>
        <v>6</v>
      </c>
      <c r="L231" s="154">
        <v>999</v>
      </c>
      <c r="M231" s="154">
        <v>1100</v>
      </c>
      <c r="N231" s="154">
        <v>1</v>
      </c>
      <c r="O231" s="154">
        <v>0</v>
      </c>
      <c r="P231" s="154">
        <v>600</v>
      </c>
      <c r="Q231" s="154"/>
      <c r="R231" s="153"/>
      <c r="S231" s="154"/>
      <c r="T231" s="154">
        <v>1</v>
      </c>
      <c r="U231" s="154">
        <v>5</v>
      </c>
    </row>
    <row r="232" spans="1:21" ht="15.75" x14ac:dyDescent="0.3">
      <c r="A232" s="154">
        <v>60</v>
      </c>
      <c r="B232" s="153" t="str">
        <f t="shared" si="27"/>
        <v>60级新增怪物种类4</v>
      </c>
      <c r="C232" s="153">
        <v>81</v>
      </c>
      <c r="D232" s="153">
        <v>19</v>
      </c>
      <c r="E232" s="153">
        <v>112</v>
      </c>
      <c r="F232" s="153">
        <v>60</v>
      </c>
      <c r="G232" s="153">
        <v>1</v>
      </c>
      <c r="H232" s="153">
        <v>0</v>
      </c>
      <c r="I232" s="153">
        <f>INT(怪物掉落配置方案!D8970/10)*10</f>
        <v>21660</v>
      </c>
      <c r="J232" s="154" t="str">
        <f>"3#1#"&amp;基本属性!BM7&amp;"|"&amp;"3#3#"&amp;INT(0.8*基本属性!AG7)&amp;"|"&amp;"3#4#"&amp;INT(1.2*基本属性!AG7)&amp;"|"&amp;"3#5#"&amp;INT(0.8*基本属性!AG7)&amp;"|"&amp;"3#6#"&amp;INT(1.2*基本属性!AG7)&amp;"|"&amp;"3#7#"&amp;INT(0.8*基本属性!AG7)&amp;"|"&amp;"3#8#"&amp;INT(1.2*基本属性!AG7)&amp;"|"&amp;"3#9#"&amp;基本属性!AH7&amp;"|"&amp;"3#10#"&amp;基本属性!AH7&amp;"|"&amp;"3#11#"&amp;基本属性!AH7&amp;"|"&amp;"3#12#"&amp;基本属性!AH7</f>
        <v>3#1#270000|3#3#444|3#4#667|3#5#444|3#6#667|3#7#444|3#8#667|3#9#250|3#10#250|3#11#250|3#12#250</v>
      </c>
      <c r="K232" s="154">
        <f t="shared" si="28"/>
        <v>9</v>
      </c>
      <c r="L232" s="154">
        <v>999</v>
      </c>
      <c r="M232" s="154">
        <v>1100</v>
      </c>
      <c r="N232" s="154">
        <v>1</v>
      </c>
      <c r="O232" s="154">
        <v>0</v>
      </c>
      <c r="P232" s="154">
        <v>600</v>
      </c>
      <c r="Q232" s="154"/>
      <c r="R232" s="153"/>
      <c r="S232" s="154"/>
      <c r="T232" s="154">
        <v>1</v>
      </c>
      <c r="U232" s="154">
        <v>5</v>
      </c>
    </row>
    <row r="233" spans="1:21" ht="15.75" x14ac:dyDescent="0.3">
      <c r="A233" s="154">
        <v>65</v>
      </c>
      <c r="B233" s="153" t="str">
        <f t="shared" si="27"/>
        <v>65级新增怪物种类4</v>
      </c>
      <c r="C233" s="153">
        <v>81</v>
      </c>
      <c r="D233" s="153">
        <v>19</v>
      </c>
      <c r="E233" s="153">
        <v>112</v>
      </c>
      <c r="F233" s="153">
        <v>65</v>
      </c>
      <c r="G233" s="153">
        <v>1</v>
      </c>
      <c r="H233" s="153">
        <v>0</v>
      </c>
      <c r="I233" s="153">
        <f>INT(怪物掉落配置方案!D8971/10)*10</f>
        <v>21770</v>
      </c>
      <c r="J233" s="154" t="str">
        <f>"3#1#"&amp;基本属性!BM8&amp;"|"&amp;"3#3#"&amp;INT(0.8*基本属性!AG8)&amp;"|"&amp;"3#4#"&amp;INT(1.2*基本属性!AG8)&amp;"|"&amp;"3#5#"&amp;INT(0.8*基本属性!AG8)&amp;"|"&amp;"3#6#"&amp;INT(1.2*基本属性!AG8)&amp;"|"&amp;"3#7#"&amp;INT(0.8*基本属性!AG8)&amp;"|"&amp;"3#8#"&amp;INT(1.2*基本属性!AG8)&amp;"|"&amp;"3#9#"&amp;基本属性!AH8&amp;"|"&amp;"3#10#"&amp;基本属性!AH8&amp;"|"&amp;"3#11#"&amp;基本属性!AH8&amp;"|"&amp;"3#12#"&amp;基本属性!AH8</f>
        <v>3#1#390000|3#3#596|3#4#894|3#5#596|3#6#894|3#7#596|3#8#894|3#9#325|3#10#325|3#11#325|3#12#325</v>
      </c>
      <c r="K233" s="154">
        <f t="shared" si="28"/>
        <v>12</v>
      </c>
      <c r="L233" s="154">
        <v>999</v>
      </c>
      <c r="M233" s="154">
        <v>1100</v>
      </c>
      <c r="N233" s="154">
        <v>1</v>
      </c>
      <c r="O233" s="154">
        <v>0</v>
      </c>
      <c r="P233" s="154">
        <v>600</v>
      </c>
      <c r="Q233" s="154"/>
      <c r="R233" s="153"/>
      <c r="S233" s="154"/>
      <c r="T233" s="154">
        <v>1</v>
      </c>
      <c r="U233" s="154">
        <v>5</v>
      </c>
    </row>
    <row r="234" spans="1:21" ht="15.75" x14ac:dyDescent="0.3">
      <c r="A234" s="154">
        <v>70</v>
      </c>
      <c r="B234" s="153" t="str">
        <f t="shared" si="27"/>
        <v>70级新增怪物种类4</v>
      </c>
      <c r="C234" s="153">
        <v>81</v>
      </c>
      <c r="D234" s="153">
        <v>19</v>
      </c>
      <c r="E234" s="153">
        <v>112</v>
      </c>
      <c r="F234" s="153">
        <v>70</v>
      </c>
      <c r="G234" s="153">
        <v>1</v>
      </c>
      <c r="H234" s="153">
        <v>0</v>
      </c>
      <c r="I234" s="153">
        <f>INT(怪物掉落配置方案!D8972/10)*10</f>
        <v>22290</v>
      </c>
      <c r="J234" s="154" t="str">
        <f>"3#1#"&amp;基本属性!BM9&amp;"|"&amp;"3#3#"&amp;INT(0.8*基本属性!AG9)&amp;"|"&amp;"3#4#"&amp;INT(1.2*基本属性!AG9)&amp;"|"&amp;"3#5#"&amp;INT(0.8*基本属性!AG9)&amp;"|"&amp;"3#6#"&amp;INT(1.2*基本属性!AG9)&amp;"|"&amp;"3#7#"&amp;INT(0.8*基本属性!AG9)&amp;"|"&amp;"3#8#"&amp;INT(1.2*基本属性!AG9)&amp;"|"&amp;"3#9#"&amp;基本属性!AH9&amp;"|"&amp;"3#10#"&amp;基本属性!AH9&amp;"|"&amp;"3#11#"&amp;基本属性!AH9&amp;"|"&amp;"3#12#"&amp;基本属性!AH9</f>
        <v>3#1#530000|3#3#757|3#4#1136|3#5#757|3#6#1136|3#7#757|3#8#1136|3#9#400|3#10#400|3#11#400|3#12#400</v>
      </c>
      <c r="K234" s="154">
        <f t="shared" si="28"/>
        <v>14</v>
      </c>
      <c r="L234" s="154">
        <v>999</v>
      </c>
      <c r="M234" s="154">
        <v>1100</v>
      </c>
      <c r="N234" s="154">
        <v>1</v>
      </c>
      <c r="O234" s="154">
        <v>0</v>
      </c>
      <c r="P234" s="154">
        <v>600</v>
      </c>
      <c r="Q234" s="154"/>
      <c r="R234" s="153"/>
      <c r="S234" s="154"/>
      <c r="T234" s="154">
        <v>1</v>
      </c>
      <c r="U234" s="154">
        <v>5</v>
      </c>
    </row>
    <row r="235" spans="1:21" ht="15.75" x14ac:dyDescent="0.3">
      <c r="A235" s="154">
        <v>75</v>
      </c>
      <c r="B235" s="153" t="str">
        <f t="shared" si="27"/>
        <v>75级新增怪物种类4</v>
      </c>
      <c r="C235" s="153">
        <v>81</v>
      </c>
      <c r="D235" s="153">
        <v>19</v>
      </c>
      <c r="E235" s="153">
        <v>112</v>
      </c>
      <c r="F235" s="153">
        <v>75</v>
      </c>
      <c r="G235" s="153">
        <v>1</v>
      </c>
      <c r="H235" s="153">
        <v>0</v>
      </c>
      <c r="I235" s="153">
        <f>INT(怪物掉落配置方案!D8973/10)*10</f>
        <v>25160</v>
      </c>
      <c r="J235" s="154" t="str">
        <f>"3#1#"&amp;基本属性!BM10&amp;"|"&amp;"3#3#"&amp;INT(0.8*基本属性!AG10)&amp;"|"&amp;"3#4#"&amp;INT(1.2*基本属性!AG10)&amp;"|"&amp;"3#5#"&amp;INT(0.8*基本属性!AG10)&amp;"|"&amp;"3#6#"&amp;INT(1.2*基本属性!AG10)&amp;"|"&amp;"3#7#"&amp;INT(0.8*基本属性!AG10)&amp;"|"&amp;"3#8#"&amp;INT(1.2*基本属性!AG10)&amp;"|"&amp;"3#9#"&amp;基本属性!AH10&amp;"|"&amp;"3#10#"&amp;基本属性!AH10&amp;"|"&amp;"3#11#"&amp;基本属性!AH10&amp;"|"&amp;"3#12#"&amp;基本属性!AH10</f>
        <v>3#1#770000|3#3#930|3#4#1395|3#5#930|3#6#1395|3#7#930|3#8#1395|3#9#475|3#10#475|3#11#475|3#12#475</v>
      </c>
      <c r="K235" s="154">
        <f t="shared" si="28"/>
        <v>17</v>
      </c>
      <c r="L235" s="154">
        <v>999</v>
      </c>
      <c r="M235" s="154">
        <v>1100</v>
      </c>
      <c r="N235" s="154">
        <v>1</v>
      </c>
      <c r="O235" s="154">
        <v>0</v>
      </c>
      <c r="P235" s="154">
        <v>600</v>
      </c>
      <c r="Q235" s="154"/>
      <c r="R235" s="153"/>
      <c r="S235" s="154"/>
      <c r="T235" s="154">
        <v>1</v>
      </c>
      <c r="U235" s="154">
        <v>5</v>
      </c>
    </row>
    <row r="236" spans="1:21" ht="15.75" x14ac:dyDescent="0.3">
      <c r="A236" s="154">
        <v>1</v>
      </c>
      <c r="B236" s="153" t="str">
        <f t="shared" ref="B236:B255" si="29">A236&amp;"转新增怪物种类4"</f>
        <v>1转新增怪物种类4</v>
      </c>
      <c r="C236" s="153">
        <v>81</v>
      </c>
      <c r="D236" s="153">
        <v>19</v>
      </c>
      <c r="E236" s="153">
        <v>112</v>
      </c>
      <c r="F236" s="153">
        <v>80</v>
      </c>
      <c r="G236" s="153">
        <v>1</v>
      </c>
      <c r="H236" s="153">
        <v>0</v>
      </c>
      <c r="I236" s="153">
        <f>INT(怪物掉落配置方案!D8974/10)*10</f>
        <v>40320</v>
      </c>
      <c r="J236" s="154" t="str">
        <f>"3#1#"&amp;基本属性!BM11&amp;"|"&amp;"3#3#"&amp;INT(0.8*基本属性!AG11)&amp;"|"&amp;"3#4#"&amp;INT(1.2*基本属性!AG11)&amp;"|"&amp;"3#5#"&amp;INT(0.8*基本属性!AG11)&amp;"|"&amp;"3#6#"&amp;INT(1.2*基本属性!AG11)&amp;"|"&amp;"3#7#"&amp;INT(0.8*基本属性!AG11)&amp;"|"&amp;"3#8#"&amp;INT(1.2*基本属性!AG11)&amp;"|"&amp;"3#9#"&amp;基本属性!AH11&amp;"|"&amp;"3#10#"&amp;基本属性!AH11&amp;"|"&amp;"3#11#"&amp;基本属性!AH11&amp;"|"&amp;"3#12#"&amp;基本属性!AH11</f>
        <v>3#1#980000|3#3#1115|3#4#1672|3#5#1115|3#6#1672|3#7#1115|3#8#1672|3#9#550|3#10#550|3#11#550|3#12#550</v>
      </c>
      <c r="K236" s="154">
        <f t="shared" si="28"/>
        <v>20</v>
      </c>
      <c r="L236" s="154">
        <v>999</v>
      </c>
      <c r="M236" s="154">
        <v>1100</v>
      </c>
      <c r="N236" s="154">
        <v>1</v>
      </c>
      <c r="O236" s="154">
        <v>0</v>
      </c>
      <c r="P236" s="154">
        <v>600</v>
      </c>
      <c r="Q236" s="154"/>
      <c r="R236" s="153"/>
      <c r="S236" s="154"/>
      <c r="T236" s="154">
        <v>1</v>
      </c>
      <c r="U236" s="154">
        <v>5</v>
      </c>
    </row>
    <row r="237" spans="1:21" ht="15.75" x14ac:dyDescent="0.3">
      <c r="A237" s="154">
        <v>2</v>
      </c>
      <c r="B237" s="153" t="str">
        <f t="shared" si="29"/>
        <v>2转新增怪物种类4</v>
      </c>
      <c r="C237" s="153">
        <v>81</v>
      </c>
      <c r="D237" s="153">
        <v>19</v>
      </c>
      <c r="E237" s="153">
        <v>112</v>
      </c>
      <c r="F237" s="153">
        <v>90</v>
      </c>
      <c r="G237" s="153">
        <v>1</v>
      </c>
      <c r="H237" s="153">
        <v>0</v>
      </c>
      <c r="I237" s="153">
        <f>INT(怪物掉落配置方案!D8975/10)*10</f>
        <v>69340</v>
      </c>
      <c r="J237" s="154" t="str">
        <f>"3#1#"&amp;基本属性!BM12&amp;"|"&amp;"3#3#"&amp;INT(0.8*基本属性!AG12)&amp;"|"&amp;"3#4#"&amp;INT(1.2*基本属性!AG12)&amp;"|"&amp;"3#5#"&amp;INT(0.8*基本属性!AG12)&amp;"|"&amp;"3#6#"&amp;INT(1.2*基本属性!AG12)&amp;"|"&amp;"3#7#"&amp;INT(0.8*基本属性!AG12)&amp;"|"&amp;"3#8#"&amp;INT(1.2*基本属性!AG12)&amp;"|"&amp;"3#9#"&amp;基本属性!AH12&amp;"|"&amp;"3#10#"&amp;基本属性!AH12&amp;"|"&amp;"3#11#"&amp;基本属性!AH12&amp;"|"&amp;"3#12#"&amp;基本属性!AH12</f>
        <v>3#1#1380000|3#3#1472|3#4#2209|3#5#1472|3#6#2209|3#7#1472|3#8#2209|3#9#700|3#10#700|3#11#700|3#12#700</v>
      </c>
      <c r="K237" s="154">
        <f t="shared" si="28"/>
        <v>23</v>
      </c>
      <c r="L237" s="154">
        <v>999</v>
      </c>
      <c r="M237" s="154">
        <v>1100</v>
      </c>
      <c r="N237" s="154">
        <v>1</v>
      </c>
      <c r="O237" s="154">
        <v>0</v>
      </c>
      <c r="P237" s="154">
        <v>600</v>
      </c>
      <c r="Q237" s="154"/>
      <c r="R237" s="153"/>
      <c r="S237" s="154"/>
      <c r="T237" s="154">
        <v>1</v>
      </c>
      <c r="U237" s="154">
        <v>5</v>
      </c>
    </row>
    <row r="238" spans="1:21" ht="15.75" x14ac:dyDescent="0.3">
      <c r="A238" s="154">
        <v>3</v>
      </c>
      <c r="B238" s="153" t="str">
        <f t="shared" si="29"/>
        <v>3转新增怪物种类4</v>
      </c>
      <c r="C238" s="153">
        <v>81</v>
      </c>
      <c r="D238" s="153">
        <v>19</v>
      </c>
      <c r="E238" s="153">
        <v>112</v>
      </c>
      <c r="F238" s="153">
        <v>100</v>
      </c>
      <c r="G238" s="153">
        <v>1</v>
      </c>
      <c r="H238" s="153">
        <v>0</v>
      </c>
      <c r="I238" s="153">
        <f>INT(怪物掉落配置方案!D8976/10)*10</f>
        <v>81580</v>
      </c>
      <c r="J238" s="154" t="str">
        <f>"3#1#"&amp;基本属性!BM13&amp;"|"&amp;"3#3#"&amp;INT(0.8*基本属性!AG13)&amp;"|"&amp;"3#4#"&amp;INT(1.2*基本属性!AG13)&amp;"|"&amp;"3#5#"&amp;INT(0.8*基本属性!AG13)&amp;"|"&amp;"3#6#"&amp;INT(1.2*基本属性!AG13)&amp;"|"&amp;"3#7#"&amp;INT(0.8*基本属性!AG13)&amp;"|"&amp;"3#8#"&amp;INT(1.2*基本属性!AG13)&amp;"|"&amp;"3#9#"&amp;基本属性!AH13&amp;"|"&amp;"3#10#"&amp;基本属性!AH13&amp;"|"&amp;"3#11#"&amp;基本属性!AH13&amp;"|"&amp;"3#12#"&amp;基本属性!AH13</f>
        <v>3#1#1950000|3#3#1968|3#4#2953|3#5#1968|3#6#2953|3#7#1968|3#8#2953|3#9#900|3#10#900|3#11#900|3#12#900</v>
      </c>
      <c r="K238" s="154">
        <f t="shared" si="28"/>
        <v>26</v>
      </c>
      <c r="L238" s="154">
        <v>999</v>
      </c>
      <c r="M238" s="154">
        <v>1100</v>
      </c>
      <c r="N238" s="154">
        <v>1</v>
      </c>
      <c r="O238" s="154">
        <v>0</v>
      </c>
      <c r="P238" s="154">
        <v>600</v>
      </c>
      <c r="Q238" s="154"/>
      <c r="R238" s="153"/>
      <c r="S238" s="154"/>
      <c r="T238" s="154">
        <v>1</v>
      </c>
      <c r="U238" s="154">
        <v>5</v>
      </c>
    </row>
    <row r="239" spans="1:21" ht="15.75" x14ac:dyDescent="0.3">
      <c r="A239" s="154">
        <v>4</v>
      </c>
      <c r="B239" s="153" t="str">
        <f t="shared" si="29"/>
        <v>4转新增怪物种类4</v>
      </c>
      <c r="C239" s="153">
        <v>81</v>
      </c>
      <c r="D239" s="153">
        <v>19</v>
      </c>
      <c r="E239" s="153">
        <v>112</v>
      </c>
      <c r="F239" s="153">
        <v>105</v>
      </c>
      <c r="G239" s="153">
        <v>1</v>
      </c>
      <c r="H239" s="153">
        <v>0</v>
      </c>
      <c r="I239" s="153">
        <f>INT(怪物掉落配置方案!D8977/10)*10</f>
        <v>126000</v>
      </c>
      <c r="J239" s="154" t="str">
        <f>"3#1#"&amp;基本属性!BM14&amp;"|"&amp;"3#3#"&amp;INT(0.8*基本属性!AG14)&amp;"|"&amp;"3#4#"&amp;INT(1.2*基本属性!AG14)&amp;"|"&amp;"3#5#"&amp;INT(0.8*基本属性!AG14)&amp;"|"&amp;"3#6#"&amp;INT(1.2*基本属性!AG14)&amp;"|"&amp;"3#7#"&amp;INT(0.8*基本属性!AG14)&amp;"|"&amp;"3#8#"&amp;INT(1.2*基本属性!AG14)&amp;"|"&amp;"3#9#"&amp;基本属性!AH14&amp;"|"&amp;"3#10#"&amp;基本属性!AH14&amp;"|"&amp;"3#11#"&amp;基本属性!AH14&amp;"|"&amp;"3#12#"&amp;基本属性!AH14</f>
        <v>3#1#2840000|3#3#2505|3#4#3758|3#5#2505|3#6#3758|3#7#2505|3#8#3758|3#9#1100|3#10#1100|3#11#1100|3#12#1100</v>
      </c>
      <c r="K239" s="154">
        <f t="shared" si="28"/>
        <v>29</v>
      </c>
      <c r="L239" s="154">
        <v>999</v>
      </c>
      <c r="M239" s="154">
        <v>1100</v>
      </c>
      <c r="N239" s="154">
        <v>1</v>
      </c>
      <c r="O239" s="154">
        <v>0</v>
      </c>
      <c r="P239" s="154">
        <v>600</v>
      </c>
      <c r="Q239" s="154"/>
      <c r="R239" s="153"/>
      <c r="S239" s="154"/>
      <c r="T239" s="154">
        <v>1</v>
      </c>
      <c r="U239" s="154">
        <v>5</v>
      </c>
    </row>
    <row r="240" spans="1:21" ht="15.75" x14ac:dyDescent="0.3">
      <c r="A240" s="154">
        <v>5</v>
      </c>
      <c r="B240" s="153" t="str">
        <f t="shared" si="29"/>
        <v>5转新增怪物种类4</v>
      </c>
      <c r="C240" s="153">
        <v>81</v>
      </c>
      <c r="D240" s="153">
        <v>19</v>
      </c>
      <c r="E240" s="153">
        <v>112</v>
      </c>
      <c r="F240" s="153">
        <v>110</v>
      </c>
      <c r="G240" s="153">
        <v>1</v>
      </c>
      <c r="H240" s="153">
        <v>0</v>
      </c>
      <c r="I240" s="153">
        <f>INT(怪物掉落配置方案!D8978/10)*10</f>
        <v>130220</v>
      </c>
      <c r="J240" s="154" t="str">
        <f>"3#1#"&amp;基本属性!BM15&amp;"|"&amp;"3#3#"&amp;INT(0.8*基本属性!AG15)&amp;"|"&amp;"3#4#"&amp;INT(1.2*基本属性!AG15)&amp;"|"&amp;"3#5#"&amp;INT(0.8*基本属性!AG15)&amp;"|"&amp;"3#6#"&amp;INT(1.2*基本属性!AG15)&amp;"|"&amp;"3#7#"&amp;INT(0.8*基本属性!AG15)&amp;"|"&amp;"3#8#"&amp;INT(1.2*基本属性!AG15)&amp;"|"&amp;"3#9#"&amp;基本属性!AH15&amp;"|"&amp;"3#10#"&amp;基本属性!AH15&amp;"|"&amp;"3#11#"&amp;基本属性!AH15&amp;"|"&amp;"3#12#"&amp;基本属性!AH15</f>
        <v>3#1#3620000|3#3#3029|3#4#4544|3#5#3029|3#6#4544|3#7#3029|3#8#4544|3#9#1275|3#10#1275|3#11#1275|3#12#1275</v>
      </c>
      <c r="K240" s="154">
        <f t="shared" si="28"/>
        <v>32</v>
      </c>
      <c r="L240" s="154">
        <v>999</v>
      </c>
      <c r="M240" s="154">
        <v>1100</v>
      </c>
      <c r="N240" s="154">
        <v>1</v>
      </c>
      <c r="O240" s="154">
        <v>0</v>
      </c>
      <c r="P240" s="154">
        <v>600</v>
      </c>
      <c r="Q240" s="154"/>
      <c r="R240" s="153"/>
      <c r="S240" s="154"/>
      <c r="T240" s="154">
        <v>1</v>
      </c>
      <c r="U240" s="154">
        <v>5</v>
      </c>
    </row>
    <row r="241" spans="1:21" ht="15.75" x14ac:dyDescent="0.3">
      <c r="A241" s="154">
        <v>6</v>
      </c>
      <c r="B241" s="153" t="str">
        <f t="shared" si="29"/>
        <v>6转新增怪物种类4</v>
      </c>
      <c r="C241" s="153">
        <v>81</v>
      </c>
      <c r="D241" s="153">
        <v>19</v>
      </c>
      <c r="E241" s="153">
        <v>112</v>
      </c>
      <c r="F241" s="153">
        <v>120</v>
      </c>
      <c r="G241" s="153">
        <v>1</v>
      </c>
      <c r="H241" s="153">
        <v>0</v>
      </c>
      <c r="I241" s="153">
        <f>INT(怪物掉落配置方案!D8979/10)*10</f>
        <v>519250</v>
      </c>
      <c r="J241" s="154" t="str">
        <f>"3#1#"&amp;基本属性!BM16&amp;"|"&amp;"3#3#"&amp;INT(0.8*基本属性!AG16)&amp;"|"&amp;"3#4#"&amp;INT(1.2*基本属性!AG16)&amp;"|"&amp;"3#5#"&amp;INT(0.8*基本属性!AG16)&amp;"|"&amp;"3#6#"&amp;INT(1.2*基本属性!AG16)&amp;"|"&amp;"3#7#"&amp;INT(0.8*基本属性!AG16)&amp;"|"&amp;"3#8#"&amp;INT(1.2*基本属性!AG16)&amp;"|"&amp;"3#9#"&amp;基本属性!AH16&amp;"|"&amp;"3#10#"&amp;基本属性!AH16&amp;"|"&amp;"3#11#"&amp;基本属性!AH16&amp;"|"&amp;"3#12#"&amp;基本属性!AH16</f>
        <v>3#1#4530000|3#3#3602|3#4#5403|3#5#3602|3#6#5403|3#7#3602|3#8#5403|3#9#1450|3#10#1450|3#11#1450|3#12#1450</v>
      </c>
      <c r="K241" s="154">
        <f t="shared" si="28"/>
        <v>36</v>
      </c>
      <c r="L241" s="154">
        <v>999</v>
      </c>
      <c r="M241" s="154">
        <v>1100</v>
      </c>
      <c r="N241" s="154">
        <v>1</v>
      </c>
      <c r="O241" s="154">
        <v>0</v>
      </c>
      <c r="P241" s="154">
        <v>600</v>
      </c>
      <c r="Q241" s="154"/>
      <c r="R241" s="153"/>
      <c r="S241" s="154"/>
      <c r="T241" s="154">
        <v>1</v>
      </c>
      <c r="U241" s="154">
        <v>5</v>
      </c>
    </row>
    <row r="242" spans="1:21" ht="15.75" x14ac:dyDescent="0.3">
      <c r="A242" s="154">
        <v>7</v>
      </c>
      <c r="B242" s="153" t="str">
        <f t="shared" si="29"/>
        <v>7转新增怪物种类4</v>
      </c>
      <c r="C242" s="153">
        <v>81</v>
      </c>
      <c r="D242" s="153">
        <v>19</v>
      </c>
      <c r="E242" s="153">
        <v>112</v>
      </c>
      <c r="F242" s="153">
        <v>135</v>
      </c>
      <c r="G242" s="153">
        <v>1</v>
      </c>
      <c r="H242" s="153">
        <v>0</v>
      </c>
      <c r="I242" s="153">
        <f>INT(怪物掉落配置方案!D8980/10)*10</f>
        <v>1777660</v>
      </c>
      <c r="J242" s="154" t="str">
        <f>"3#1#"&amp;基本属性!BM17&amp;"|"&amp;"3#3#"&amp;INT(0.8*基本属性!AG17)&amp;"|"&amp;"3#4#"&amp;INT(1.2*基本属性!AG17)&amp;"|"&amp;"3#5#"&amp;INT(0.8*基本属性!AG17)&amp;"|"&amp;"3#6#"&amp;INT(1.2*基本属性!AG17)&amp;"|"&amp;"3#7#"&amp;INT(0.8*基本属性!AG17)&amp;"|"&amp;"3#8#"&amp;INT(1.2*基本属性!AG17)&amp;"|"&amp;"3#9#"&amp;基本属性!AH17&amp;"|"&amp;"3#10#"&amp;基本属性!AH17&amp;"|"&amp;"3#11#"&amp;基本属性!AH17&amp;"|"&amp;"3#12#"&amp;基本属性!AH17</f>
        <v>3#1#5490000|3#3#4164|3#4#6247|3#5#4164|3#6#6247|3#7#4164|3#8#6247|3#9#1600|3#10#1600|3#11#1600|3#12#1600</v>
      </c>
      <c r="K242" s="154">
        <f t="shared" si="28"/>
        <v>39</v>
      </c>
      <c r="L242" s="154">
        <v>999</v>
      </c>
      <c r="M242" s="154">
        <v>1100</v>
      </c>
      <c r="N242" s="154">
        <v>1</v>
      </c>
      <c r="O242" s="154">
        <v>0</v>
      </c>
      <c r="P242" s="154">
        <v>600</v>
      </c>
      <c r="Q242" s="154"/>
      <c r="R242" s="153"/>
      <c r="S242" s="154"/>
      <c r="T242" s="154">
        <v>1</v>
      </c>
      <c r="U242" s="154">
        <v>5</v>
      </c>
    </row>
    <row r="243" spans="1:21" ht="15.75" x14ac:dyDescent="0.3">
      <c r="A243" s="154">
        <v>8</v>
      </c>
      <c r="B243" s="153" t="str">
        <f t="shared" si="29"/>
        <v>8转新增怪物种类4</v>
      </c>
      <c r="C243" s="153">
        <v>81</v>
      </c>
      <c r="D243" s="153">
        <v>19</v>
      </c>
      <c r="E243" s="153">
        <v>112</v>
      </c>
      <c r="F243" s="153">
        <v>155</v>
      </c>
      <c r="G243" s="153">
        <v>1</v>
      </c>
      <c r="H243" s="153">
        <v>0</v>
      </c>
      <c r="I243" s="153">
        <f>INT(怪物掉落配置方案!D8981/10)*10</f>
        <v>21473550</v>
      </c>
      <c r="J243" s="154" t="str">
        <f>"3#1#"&amp;基本属性!BM18&amp;"|"&amp;"3#3#"&amp;INT(0.8*基本属性!AG18)&amp;"|"&amp;"3#4#"&amp;INT(1.2*基本属性!AG18)&amp;"|"&amp;"3#5#"&amp;INT(0.8*基本属性!AG18)&amp;"|"&amp;"3#6#"&amp;INT(1.2*基本属性!AG18)&amp;"|"&amp;"3#7#"&amp;INT(0.8*基本属性!AG18)&amp;"|"&amp;"3#8#"&amp;INT(1.2*基本属性!AG18)&amp;"|"&amp;"3#9#"&amp;基本属性!AH18&amp;"|"&amp;"3#10#"&amp;基本属性!AH18&amp;"|"&amp;"3#11#"&amp;基本属性!AH18&amp;"|"&amp;"3#12#"&amp;基本属性!AH18</f>
        <v>3#1#7100000|3#3#4784|3#4#7176|3#5#4784|3#6#7176|3#7#4784|3#8#7176|3#9#1750|3#10#1750|3#11#1750|3#12#1750</v>
      </c>
      <c r="K243" s="154">
        <f t="shared" si="28"/>
        <v>43</v>
      </c>
      <c r="L243" s="154">
        <v>999</v>
      </c>
      <c r="M243" s="154">
        <v>1100</v>
      </c>
      <c r="N243" s="154">
        <v>1</v>
      </c>
      <c r="O243" s="154">
        <v>0</v>
      </c>
      <c r="P243" s="154">
        <v>600</v>
      </c>
      <c r="Q243" s="154"/>
      <c r="R243" s="153"/>
      <c r="S243" s="154"/>
      <c r="T243" s="154">
        <v>1</v>
      </c>
      <c r="U243" s="154">
        <v>5</v>
      </c>
    </row>
    <row r="244" spans="1:21" ht="15.75" x14ac:dyDescent="0.3">
      <c r="A244" s="154">
        <v>9</v>
      </c>
      <c r="B244" s="153" t="str">
        <f t="shared" si="29"/>
        <v>9转新增怪物种类4</v>
      </c>
      <c r="C244" s="153">
        <v>81</v>
      </c>
      <c r="D244" s="153">
        <v>19</v>
      </c>
      <c r="E244" s="153">
        <v>112</v>
      </c>
      <c r="F244" s="153">
        <v>190</v>
      </c>
      <c r="G244" s="153">
        <v>1</v>
      </c>
      <c r="H244" s="153">
        <v>0</v>
      </c>
      <c r="I244" s="153">
        <f>INT(怪物掉落配置方案!D8982/10)*10</f>
        <v>19525860</v>
      </c>
      <c r="J244" s="154" t="str">
        <f>"3#1#"&amp;基本属性!BM19&amp;"|"&amp;"3#3#"&amp;INT(0.8*基本属性!AG19)&amp;"|"&amp;"3#4#"&amp;INT(1.2*基本属性!AG19)&amp;"|"&amp;"3#5#"&amp;INT(0.8*基本属性!AG19)&amp;"|"&amp;"3#6#"&amp;INT(1.2*基本属性!AG19)&amp;"|"&amp;"3#7#"&amp;INT(0.8*基本属性!AG19)&amp;"|"&amp;"3#8#"&amp;INT(1.2*基本属性!AG19)&amp;"|"&amp;"3#9#"&amp;基本属性!AH19&amp;"|"&amp;"3#10#"&amp;基本属性!AH19&amp;"|"&amp;"3#11#"&amp;基本属性!AH19&amp;"|"&amp;"3#12#"&amp;基本属性!AH19</f>
        <v>3#1#8340000|3#3#5396|3#4#8095|3#5#5396|3#6#8095|3#7#5396|3#8#8095|3#9#1875|3#10#1875|3#11#1875|3#12#1875</v>
      </c>
      <c r="K244" s="154">
        <f t="shared" si="28"/>
        <v>46</v>
      </c>
      <c r="L244" s="154">
        <v>999</v>
      </c>
      <c r="M244" s="154">
        <v>1100</v>
      </c>
      <c r="N244" s="154">
        <v>1</v>
      </c>
      <c r="O244" s="154">
        <v>0</v>
      </c>
      <c r="P244" s="154">
        <v>600</v>
      </c>
      <c r="Q244" s="154"/>
      <c r="R244" s="153"/>
      <c r="S244" s="154"/>
      <c r="T244" s="154">
        <v>1</v>
      </c>
      <c r="U244" s="154">
        <v>5</v>
      </c>
    </row>
    <row r="245" spans="1:21" ht="15.75" x14ac:dyDescent="0.3">
      <c r="A245" s="154">
        <v>10</v>
      </c>
      <c r="B245" s="153" t="str">
        <f t="shared" si="29"/>
        <v>10转新增怪物种类4</v>
      </c>
      <c r="C245" s="153">
        <v>81</v>
      </c>
      <c r="D245" s="153">
        <v>19</v>
      </c>
      <c r="E245" s="153">
        <v>112</v>
      </c>
      <c r="F245" s="153">
        <v>200</v>
      </c>
      <c r="G245" s="153">
        <v>1</v>
      </c>
      <c r="H245" s="153">
        <v>0</v>
      </c>
      <c r="I245" s="153">
        <f>INT(怪物掉落配置方案!D8983/10)*10</f>
        <v>23333330</v>
      </c>
      <c r="J245" s="154" t="str">
        <f>"3#1#"&amp;基本属性!BM20&amp;"|"&amp;"3#3#"&amp;INT(0.8*基本属性!AG20)&amp;"|"&amp;"3#4#"&amp;INT(1.2*基本属性!AG20)&amp;"|"&amp;"3#5#"&amp;INT(0.8*基本属性!AG20)&amp;"|"&amp;"3#6#"&amp;INT(1.2*基本属性!AG20)&amp;"|"&amp;"3#7#"&amp;INT(0.8*基本属性!AG20)&amp;"|"&amp;"3#8#"&amp;INT(1.2*基本属性!AG20)&amp;"|"&amp;"3#9#"&amp;基本属性!AH20&amp;"|"&amp;"3#10#"&amp;基本属性!AH20&amp;"|"&amp;"3#11#"&amp;基本属性!AH20&amp;"|"&amp;"3#12#"&amp;基本属性!AH20</f>
        <v>3#1#9750000|3#3#6076|3#4#9114|3#5#6076|3#6#9114|3#7#6076|3#8#9114|3#9#2000|3#10#2000|3#11#2000|3#12#2000</v>
      </c>
      <c r="K245" s="154">
        <f t="shared" si="28"/>
        <v>50</v>
      </c>
      <c r="L245" s="154">
        <v>999</v>
      </c>
      <c r="M245" s="154">
        <v>1100</v>
      </c>
      <c r="N245" s="154">
        <v>1</v>
      </c>
      <c r="O245" s="154">
        <v>0</v>
      </c>
      <c r="P245" s="154">
        <v>600</v>
      </c>
      <c r="Q245" s="154"/>
      <c r="R245" s="153"/>
      <c r="S245" s="154"/>
      <c r="T245" s="154">
        <v>1</v>
      </c>
      <c r="U245" s="154">
        <v>5</v>
      </c>
    </row>
    <row r="246" spans="1:21" ht="15.75" x14ac:dyDescent="0.3">
      <c r="A246" s="154">
        <v>11</v>
      </c>
      <c r="B246" s="153" t="str">
        <f t="shared" si="29"/>
        <v>11转新增怪物种类4</v>
      </c>
      <c r="C246" s="153">
        <v>81</v>
      </c>
      <c r="D246" s="153">
        <v>19</v>
      </c>
      <c r="E246" s="153">
        <v>112</v>
      </c>
      <c r="F246" s="153">
        <v>200</v>
      </c>
      <c r="G246" s="153">
        <v>1</v>
      </c>
      <c r="H246" s="153">
        <v>0</v>
      </c>
      <c r="I246" s="153">
        <f>INT(怪物掉落配置方案!D8984/10)*10</f>
        <v>4666660</v>
      </c>
      <c r="J246" s="154" t="str">
        <f>"3#1#"&amp;基本属性!BM21&amp;"|"&amp;"3#3#"&amp;INT(0.8*基本属性!AG21)&amp;"|"&amp;"3#4#"&amp;INT(1.2*基本属性!AG21)&amp;"|"&amp;"3#5#"&amp;INT(0.8*基本属性!AG21)&amp;"|"&amp;"3#6#"&amp;INT(1.2*基本属性!AG21)&amp;"|"&amp;"3#7#"&amp;INT(0.8*基本属性!AG21)&amp;"|"&amp;"3#8#"&amp;INT(1.2*基本属性!AG21)&amp;"|"&amp;"3#9#"&amp;基本属性!AH21&amp;"|"&amp;"3#10#"&amp;基本属性!AH21&amp;"|"&amp;"3#11#"&amp;基本属性!AH21&amp;"|"&amp;"3#12#"&amp;基本属性!AH21</f>
        <v>3#1#11740000|3#3#7074|3#4#10611|3#5#7074|3#6#10611|3#7#7074|3#8#10611|3#9#2200|3#10#2200|3#11#2200|3#12#2200</v>
      </c>
      <c r="K246" s="154">
        <f t="shared" si="28"/>
        <v>54</v>
      </c>
      <c r="L246" s="154">
        <v>999</v>
      </c>
      <c r="M246" s="154">
        <v>1100</v>
      </c>
      <c r="N246" s="154">
        <v>1</v>
      </c>
      <c r="O246" s="154">
        <v>0</v>
      </c>
      <c r="P246" s="154">
        <v>600</v>
      </c>
      <c r="Q246" s="154"/>
      <c r="R246" s="153"/>
      <c r="S246" s="154"/>
      <c r="T246" s="154">
        <v>1</v>
      </c>
      <c r="U246" s="154">
        <v>5</v>
      </c>
    </row>
    <row r="247" spans="1:21" ht="15.75" x14ac:dyDescent="0.3">
      <c r="A247" s="154">
        <v>12</v>
      </c>
      <c r="B247" s="153" t="str">
        <f t="shared" si="29"/>
        <v>12转新增怪物种类4</v>
      </c>
      <c r="C247" s="153">
        <v>81</v>
      </c>
      <c r="D247" s="153">
        <v>19</v>
      </c>
      <c r="E247" s="153">
        <v>112</v>
      </c>
      <c r="F247" s="153">
        <v>210</v>
      </c>
      <c r="G247" s="153">
        <v>1</v>
      </c>
      <c r="H247" s="153">
        <v>0</v>
      </c>
      <c r="I247" s="153">
        <f>INT(怪物掉落配置方案!D8985/10)*10</f>
        <v>4666660</v>
      </c>
      <c r="J247" s="154" t="str">
        <f>"3#1#"&amp;基本属性!BM22&amp;"|"&amp;"3#3#"&amp;INT(0.8*基本属性!AG22)&amp;"|"&amp;"3#4#"&amp;INT(1.2*基本属性!AG22)&amp;"|"&amp;"3#5#"&amp;INT(0.8*基本属性!AG22)&amp;"|"&amp;"3#6#"&amp;INT(1.2*基本属性!AG22)&amp;"|"&amp;"3#7#"&amp;INT(0.8*基本属性!AG22)&amp;"|"&amp;"3#8#"&amp;INT(1.2*基本属性!AG22)&amp;"|"&amp;"3#9#"&amp;基本属性!AH22&amp;"|"&amp;"3#10#"&amp;基本属性!AH22&amp;"|"&amp;"3#11#"&amp;基本属性!AH22&amp;"|"&amp;"3#12#"&amp;基本属性!AH22</f>
        <v>3#1#15020000|3#3#8193|3#4#12290|3#5#8193|3#6#12290|3#7#8193|3#8#12290|3#9#2400|3#10#2400|3#11#2400|3#12#2400</v>
      </c>
      <c r="K247" s="154">
        <f t="shared" si="28"/>
        <v>58</v>
      </c>
      <c r="L247" s="154">
        <v>999</v>
      </c>
      <c r="M247" s="154">
        <v>1100</v>
      </c>
      <c r="N247" s="154">
        <v>1</v>
      </c>
      <c r="O247" s="154">
        <v>0</v>
      </c>
      <c r="P247" s="154">
        <v>600</v>
      </c>
      <c r="Q247" s="154"/>
      <c r="R247" s="153"/>
      <c r="S247" s="154"/>
      <c r="T247" s="154">
        <v>1</v>
      </c>
      <c r="U247" s="154">
        <v>5</v>
      </c>
    </row>
    <row r="248" spans="1:21" ht="15.75" x14ac:dyDescent="0.3">
      <c r="A248" s="154">
        <v>13</v>
      </c>
      <c r="B248" s="153" t="str">
        <f t="shared" si="29"/>
        <v>13转新增怪物种类4</v>
      </c>
      <c r="C248" s="153">
        <v>81</v>
      </c>
      <c r="D248" s="153">
        <v>19</v>
      </c>
      <c r="E248" s="153">
        <v>112</v>
      </c>
      <c r="F248" s="153">
        <v>210</v>
      </c>
      <c r="G248" s="153">
        <v>1</v>
      </c>
      <c r="H248" s="153">
        <v>0</v>
      </c>
      <c r="I248" s="153">
        <f>INT(怪物掉落配置方案!D8986/10)*10</f>
        <v>4666660</v>
      </c>
      <c r="J248" s="154" t="str">
        <f>"3#1#"&amp;基本属性!BM23&amp;"|"&amp;"3#3#"&amp;INT(0.8*基本属性!AG23)&amp;"|"&amp;"3#4#"&amp;INT(1.2*基本属性!AG23)&amp;"|"&amp;"3#5#"&amp;INT(0.8*基本属性!AG23)&amp;"|"&amp;"3#6#"&amp;INT(1.2*基本属性!AG23)&amp;"|"&amp;"3#7#"&amp;INT(0.8*基本属性!AG23)&amp;"|"&amp;"3#8#"&amp;INT(1.2*基本属性!AG23)&amp;"|"&amp;"3#9#"&amp;基本属性!AH23&amp;"|"&amp;"3#10#"&amp;基本属性!AH23&amp;"|"&amp;"3#11#"&amp;基本属性!AH23&amp;"|"&amp;"3#12#"&amp;基本属性!AH23</f>
        <v>3#1#18150000|3#3#9635|3#4#14452|3#5#9635|3#6#14452|3#7#9635|3#8#14452|3#9#2650|3#10#2650|3#11#2650|3#12#2650</v>
      </c>
      <c r="K248" s="154">
        <f t="shared" si="28"/>
        <v>62</v>
      </c>
      <c r="L248" s="154">
        <v>999</v>
      </c>
      <c r="M248" s="154">
        <v>1100</v>
      </c>
      <c r="N248" s="154">
        <v>1</v>
      </c>
      <c r="O248" s="154">
        <v>0</v>
      </c>
      <c r="P248" s="154">
        <v>600</v>
      </c>
      <c r="Q248" s="154"/>
      <c r="R248" s="153"/>
      <c r="S248" s="154"/>
      <c r="T248" s="154">
        <v>1</v>
      </c>
      <c r="U248" s="154">
        <v>5</v>
      </c>
    </row>
    <row r="249" spans="1:21" ht="15.75" x14ac:dyDescent="0.3">
      <c r="A249" s="154">
        <v>14</v>
      </c>
      <c r="B249" s="153" t="str">
        <f t="shared" si="29"/>
        <v>14转新增怪物种类4</v>
      </c>
      <c r="C249" s="153">
        <v>81</v>
      </c>
      <c r="D249" s="153">
        <v>19</v>
      </c>
      <c r="E249" s="153">
        <v>112</v>
      </c>
      <c r="F249" s="153">
        <v>220</v>
      </c>
      <c r="G249" s="153">
        <v>1</v>
      </c>
      <c r="H249" s="153">
        <v>0</v>
      </c>
      <c r="I249" s="153">
        <f>INT(怪物掉落配置方案!D8987/10)*10</f>
        <v>4666660</v>
      </c>
      <c r="J249" s="154" t="str">
        <f>"3#1#"&amp;基本属性!BM24&amp;"|"&amp;"3#3#"&amp;INT(0.8*基本属性!AG24)&amp;"|"&amp;"3#4#"&amp;INT(1.2*基本属性!AG24)&amp;"|"&amp;"3#5#"&amp;INT(0.8*基本属性!AG24)&amp;"|"&amp;"3#6#"&amp;INT(1.2*基本属性!AG24)&amp;"|"&amp;"3#7#"&amp;INT(0.8*基本属性!AG24)&amp;"|"&amp;"3#8#"&amp;INT(1.2*基本属性!AG24)&amp;"|"&amp;"3#9#"&amp;基本属性!AH24&amp;"|"&amp;"3#10#"&amp;基本属性!AH24&amp;"|"&amp;"3#11#"&amp;基本属性!AH24&amp;"|"&amp;"3#12#"&amp;基本属性!AH24</f>
        <v>3#1#21710000|3#3#11268|3#4#16903|3#5#11268|3#6#16903|3#7#11268|3#8#16903|3#9#2900|3#10#2900|3#11#2900|3#12#2900</v>
      </c>
      <c r="K249" s="154">
        <f t="shared" si="28"/>
        <v>66</v>
      </c>
      <c r="L249" s="154">
        <v>999</v>
      </c>
      <c r="M249" s="154">
        <v>1100</v>
      </c>
      <c r="N249" s="154">
        <v>1</v>
      </c>
      <c r="O249" s="154">
        <v>0</v>
      </c>
      <c r="P249" s="154">
        <v>600</v>
      </c>
      <c r="Q249" s="154"/>
      <c r="R249" s="153"/>
      <c r="S249" s="154"/>
      <c r="T249" s="154">
        <v>1</v>
      </c>
      <c r="U249" s="154">
        <v>5</v>
      </c>
    </row>
    <row r="250" spans="1:21" ht="15.75" x14ac:dyDescent="0.3">
      <c r="A250" s="154">
        <v>15</v>
      </c>
      <c r="B250" s="153" t="str">
        <f t="shared" si="29"/>
        <v>15转新增怪物种类4</v>
      </c>
      <c r="C250" s="153">
        <v>81</v>
      </c>
      <c r="D250" s="153">
        <v>19</v>
      </c>
      <c r="E250" s="153">
        <v>112</v>
      </c>
      <c r="F250" s="153">
        <v>220</v>
      </c>
      <c r="G250" s="153">
        <v>1</v>
      </c>
      <c r="H250" s="153">
        <v>0</v>
      </c>
      <c r="I250" s="153">
        <f>INT(怪物掉落配置方案!D8988/10)*10</f>
        <v>4666660</v>
      </c>
      <c r="J250" s="154" t="str">
        <f>"3#1#"&amp;基本属性!BM25&amp;"|"&amp;"3#3#"&amp;INT(0.8*基本属性!AG25)&amp;"|"&amp;"3#4#"&amp;INT(1.2*基本属性!AG25)&amp;"|"&amp;"3#5#"&amp;INT(0.8*基本属性!AG25)&amp;"|"&amp;"3#6#"&amp;INT(1.2*基本属性!AG25)&amp;"|"&amp;"3#7#"&amp;INT(0.8*基本属性!AG25)&amp;"|"&amp;"3#8#"&amp;INT(1.2*基本属性!AG25)&amp;"|"&amp;"3#9#"&amp;基本属性!AH25&amp;"|"&amp;"3#10#"&amp;基本属性!AH25&amp;"|"&amp;"3#11#"&amp;基本属性!AH25&amp;"|"&amp;"3#12#"&amp;基本属性!AH25</f>
        <v>3#1#26170000|3#3#13340|3#4#20010|3#5#13340|3#6#20010|3#7#13340|3#8#20010|3#9#3200|3#10#3200|3#11#3200|3#12#3200</v>
      </c>
      <c r="K250" s="154">
        <f t="shared" si="28"/>
        <v>70</v>
      </c>
      <c r="L250" s="154">
        <v>999</v>
      </c>
      <c r="M250" s="154">
        <v>1100</v>
      </c>
      <c r="N250" s="154">
        <v>1</v>
      </c>
      <c r="O250" s="154">
        <v>0</v>
      </c>
      <c r="P250" s="154">
        <v>600</v>
      </c>
      <c r="Q250" s="154"/>
      <c r="R250" s="153"/>
      <c r="S250" s="154"/>
      <c r="T250" s="154">
        <v>1</v>
      </c>
      <c r="U250" s="154">
        <v>5</v>
      </c>
    </row>
    <row r="251" spans="1:21" ht="15.75" x14ac:dyDescent="0.3">
      <c r="A251" s="154">
        <v>16</v>
      </c>
      <c r="B251" s="153" t="str">
        <f t="shared" si="29"/>
        <v>16转新增怪物种类4</v>
      </c>
      <c r="C251" s="153">
        <v>81</v>
      </c>
      <c r="D251" s="153">
        <v>19</v>
      </c>
      <c r="E251" s="153">
        <v>112</v>
      </c>
      <c r="F251" s="153">
        <v>230</v>
      </c>
      <c r="G251" s="153">
        <v>1</v>
      </c>
      <c r="H251" s="153">
        <v>0</v>
      </c>
      <c r="I251" s="153">
        <f>INT(怪物掉落配置方案!D8989/10)*10</f>
        <v>2333330</v>
      </c>
      <c r="J251" s="154" t="str">
        <f>"3#1#"&amp;基本属性!BM26&amp;"|"&amp;"3#3#"&amp;INT(0.8*基本属性!AG26)&amp;"|"&amp;"3#4#"&amp;INT(1.2*基本属性!AG26)&amp;"|"&amp;"3#5#"&amp;INT(0.8*基本属性!AG26)&amp;"|"&amp;"3#6#"&amp;INT(1.2*基本属性!AG26)&amp;"|"&amp;"3#7#"&amp;INT(0.8*基本属性!AG26)&amp;"|"&amp;"3#8#"&amp;INT(1.2*基本属性!AG26)&amp;"|"&amp;"3#9#"&amp;基本属性!AH26&amp;"|"&amp;"3#10#"&amp;基本属性!AH26&amp;"|"&amp;"3#11#"&amp;基本属性!AH26&amp;"|"&amp;"3#12#"&amp;基本属性!AH26</f>
        <v>3#1#33330000|3#3#15717|3#4#23576|3#5#15717|3#6#23576|3#7#15717|3#8#23576|3#9#3500|3#10#3500|3#11#3500|3#12#3500</v>
      </c>
      <c r="K251" s="154">
        <f t="shared" si="28"/>
        <v>75</v>
      </c>
      <c r="L251" s="154">
        <v>999</v>
      </c>
      <c r="M251" s="154">
        <v>1100</v>
      </c>
      <c r="N251" s="154">
        <v>1</v>
      </c>
      <c r="O251" s="154">
        <v>0</v>
      </c>
      <c r="P251" s="154">
        <v>600</v>
      </c>
      <c r="Q251" s="154"/>
      <c r="R251" s="153"/>
      <c r="S251" s="154"/>
      <c r="T251" s="154">
        <v>1</v>
      </c>
      <c r="U251" s="154">
        <v>5</v>
      </c>
    </row>
    <row r="252" spans="1:21" ht="15.75" x14ac:dyDescent="0.3">
      <c r="A252" s="154">
        <v>17</v>
      </c>
      <c r="B252" s="153" t="str">
        <f t="shared" si="29"/>
        <v>17转新增怪物种类4</v>
      </c>
      <c r="C252" s="153">
        <v>81</v>
      </c>
      <c r="D252" s="153">
        <v>19</v>
      </c>
      <c r="E252" s="153">
        <v>112</v>
      </c>
      <c r="F252" s="153">
        <v>230</v>
      </c>
      <c r="G252" s="153">
        <v>1</v>
      </c>
      <c r="H252" s="153">
        <v>0</v>
      </c>
      <c r="I252" s="153">
        <f>INT(怪物掉落配置方案!D8990/10)*10</f>
        <v>2333330</v>
      </c>
      <c r="J252" s="154" t="str">
        <f>"3#1#"&amp;基本属性!BM27&amp;"|"&amp;"3#3#"&amp;INT(0.8*基本属性!AG27)&amp;"|"&amp;"3#4#"&amp;INT(1.2*基本属性!AG27)&amp;"|"&amp;"3#5#"&amp;INT(0.8*基本属性!AG27)&amp;"|"&amp;"3#6#"&amp;INT(1.2*基本属性!AG27)&amp;"|"&amp;"3#7#"&amp;INT(0.8*基本属性!AG27)&amp;"|"&amp;"3#8#"&amp;INT(1.2*基本属性!AG27)&amp;"|"&amp;"3#9#"&amp;基本属性!AH27&amp;"|"&amp;"3#10#"&amp;基本属性!AH27&amp;"|"&amp;"3#11#"&amp;基本属性!AH27&amp;"|"&amp;"3#12#"&amp;基本属性!AH27</f>
        <v>3#1#38970000|3#3#18224|3#4#27336|3#5#18224|3#6#27336|3#7#18224|3#8#27336|3#9#3750|3#10#3750|3#11#3750|3#12#3750</v>
      </c>
      <c r="K252" s="154">
        <f t="shared" si="28"/>
        <v>79</v>
      </c>
      <c r="L252" s="154">
        <v>999</v>
      </c>
      <c r="M252" s="154">
        <v>1100</v>
      </c>
      <c r="N252" s="154">
        <v>1</v>
      </c>
      <c r="O252" s="154">
        <v>0</v>
      </c>
      <c r="P252" s="154">
        <v>600</v>
      </c>
      <c r="Q252" s="154"/>
      <c r="R252" s="153"/>
      <c r="S252" s="154"/>
      <c r="T252" s="154">
        <v>1</v>
      </c>
      <c r="U252" s="154">
        <v>5</v>
      </c>
    </row>
    <row r="253" spans="1:21" ht="15.75" x14ac:dyDescent="0.3">
      <c r="A253" s="154">
        <v>18</v>
      </c>
      <c r="B253" s="153" t="str">
        <f t="shared" si="29"/>
        <v>18转新增怪物种类4</v>
      </c>
      <c r="C253" s="153">
        <v>81</v>
      </c>
      <c r="D253" s="153">
        <v>19</v>
      </c>
      <c r="E253" s="153">
        <v>112</v>
      </c>
      <c r="F253" s="153">
        <v>240</v>
      </c>
      <c r="G253" s="153">
        <v>1</v>
      </c>
      <c r="H253" s="153">
        <v>0</v>
      </c>
      <c r="I253" s="153">
        <f>INT(怪物掉落配置方案!D8991/10)*10</f>
        <v>2333330</v>
      </c>
      <c r="J253" s="154" t="str">
        <f>"3#1#"&amp;基本属性!BM28&amp;"|"&amp;"3#3#"&amp;INT(0.8*基本属性!AG28)&amp;"|"&amp;"3#4#"&amp;INT(1.2*基本属性!AG28)&amp;"|"&amp;"3#5#"&amp;INT(0.8*基本属性!AG28)&amp;"|"&amp;"3#6#"&amp;INT(1.2*基本属性!AG28)&amp;"|"&amp;"3#7#"&amp;INT(0.8*基本属性!AG28)&amp;"|"&amp;"3#8#"&amp;INT(1.2*基本属性!AG28)&amp;"|"&amp;"3#9#"&amp;基本属性!AH28&amp;"|"&amp;"3#10#"&amp;基本属性!AH28&amp;"|"&amp;"3#11#"&amp;基本属性!AH28&amp;"|"&amp;"3#12#"&amp;基本属性!AH28</f>
        <v>3#1#45320000|3#3#21140|3#4#31711|3#5#21140|3#6#31711|3#7#21140|3#8#31711|3#9#4000|3#10#4000|3#11#4000|3#12#4000</v>
      </c>
      <c r="K253" s="154">
        <f t="shared" si="28"/>
        <v>84</v>
      </c>
      <c r="L253" s="154">
        <v>999</v>
      </c>
      <c r="M253" s="154">
        <v>1100</v>
      </c>
      <c r="N253" s="154">
        <v>1</v>
      </c>
      <c r="O253" s="154">
        <v>0</v>
      </c>
      <c r="P253" s="154">
        <v>600</v>
      </c>
      <c r="Q253" s="154"/>
      <c r="R253" s="153"/>
      <c r="S253" s="154"/>
      <c r="T253" s="154">
        <v>1</v>
      </c>
      <c r="U253" s="154">
        <v>5</v>
      </c>
    </row>
    <row r="254" spans="1:21" ht="15.75" x14ac:dyDescent="0.3">
      <c r="A254" s="154">
        <v>19</v>
      </c>
      <c r="B254" s="153" t="str">
        <f t="shared" si="29"/>
        <v>19转新增怪物种类4</v>
      </c>
      <c r="C254" s="153">
        <v>81</v>
      </c>
      <c r="D254" s="153">
        <v>19</v>
      </c>
      <c r="E254" s="153">
        <v>112</v>
      </c>
      <c r="F254" s="153">
        <v>240</v>
      </c>
      <c r="G254" s="153">
        <v>1</v>
      </c>
      <c r="H254" s="153">
        <v>0</v>
      </c>
      <c r="I254" s="153">
        <f>INT(怪物掉落配置方案!D8992/10)*10</f>
        <v>2333330</v>
      </c>
      <c r="J254" s="154" t="str">
        <f>"3#1#"&amp;基本属性!BM29&amp;"|"&amp;"3#3#"&amp;INT(0.8*基本属性!AG29)&amp;"|"&amp;"3#4#"&amp;INT(1.2*基本属性!AG29)&amp;"|"&amp;"3#5#"&amp;INT(0.8*基本属性!AG29)&amp;"|"&amp;"3#6#"&amp;INT(1.2*基本属性!AG29)&amp;"|"&amp;"3#7#"&amp;INT(0.8*基本属性!AG29)&amp;"|"&amp;"3#8#"&amp;INT(1.2*基本属性!AG29)&amp;"|"&amp;"3#9#"&amp;基本属性!AH29&amp;"|"&amp;"3#10#"&amp;基本属性!AH29&amp;"|"&amp;"3#11#"&amp;基本属性!AH29&amp;"|"&amp;"3#12#"&amp;基本属性!AH29</f>
        <v>3#1#55570000|3#3#26012|3#4#39018|3#5#26012|3#6#39018|3#7#26012|3#8#39018|3#9#4500|3#10#4500|3#11#4500|3#12#4500</v>
      </c>
      <c r="K254" s="154">
        <f t="shared" si="28"/>
        <v>88</v>
      </c>
      <c r="L254" s="154">
        <v>999</v>
      </c>
      <c r="M254" s="154">
        <v>1100</v>
      </c>
      <c r="N254" s="154">
        <v>1</v>
      </c>
      <c r="O254" s="154">
        <v>0</v>
      </c>
      <c r="P254" s="154">
        <v>600</v>
      </c>
      <c r="Q254" s="154"/>
      <c r="R254" s="153"/>
      <c r="S254" s="154"/>
      <c r="T254" s="154">
        <v>1</v>
      </c>
      <c r="U254" s="154">
        <v>5</v>
      </c>
    </row>
    <row r="255" spans="1:21" ht="15.75" x14ac:dyDescent="0.3">
      <c r="A255" s="154">
        <v>20</v>
      </c>
      <c r="B255" s="153" t="str">
        <f t="shared" si="29"/>
        <v>20转新增怪物种类4</v>
      </c>
      <c r="C255" s="153">
        <v>81</v>
      </c>
      <c r="D255" s="153">
        <v>19</v>
      </c>
      <c r="E255" s="153">
        <v>112</v>
      </c>
      <c r="F255" s="153">
        <v>250</v>
      </c>
      <c r="G255" s="153">
        <v>1</v>
      </c>
      <c r="H255" s="153">
        <v>0</v>
      </c>
      <c r="I255" s="153">
        <f>INT(怪物掉落配置方案!D8993/10)*10</f>
        <v>2333330</v>
      </c>
      <c r="J255" s="154" t="str">
        <f>"3#1#"&amp;基本属性!BM30&amp;"|"&amp;"3#3#"&amp;INT(0.8*基本属性!AG30)&amp;"|"&amp;"3#4#"&amp;INT(1.2*基本属性!AG30)&amp;"|"&amp;"3#5#"&amp;INT(0.8*基本属性!AG30)&amp;"|"&amp;"3#6#"&amp;INT(1.2*基本属性!AG30)&amp;"|"&amp;"3#7#"&amp;INT(0.8*基本属性!AG30)&amp;"|"&amp;"3#8#"&amp;INT(1.2*基本属性!AG30)&amp;"|"&amp;"3#9#"&amp;基本属性!AH30&amp;"|"&amp;"3#10#"&amp;基本属性!AH30&amp;"|"&amp;"3#11#"&amp;基本属性!AH30&amp;"|"&amp;"3#12#"&amp;基本属性!AH30</f>
        <v>3#1#74880000|3#3#33643|3#4#50464|3#5#33643|3#6#50464|3#7#33643|3#8#50464|3#9#5000|3#10#5000|3#11#5000|3#12#5000</v>
      </c>
      <c r="K255" s="154">
        <f t="shared" si="28"/>
        <v>96</v>
      </c>
      <c r="L255" s="154">
        <v>999</v>
      </c>
      <c r="M255" s="154">
        <v>1100</v>
      </c>
      <c r="N255" s="154">
        <v>1</v>
      </c>
      <c r="O255" s="154">
        <v>0</v>
      </c>
      <c r="P255" s="154">
        <v>600</v>
      </c>
      <c r="Q255" s="154"/>
      <c r="R255" s="153"/>
      <c r="S255" s="154"/>
      <c r="T255" s="154">
        <v>1</v>
      </c>
      <c r="U255" s="154">
        <v>5</v>
      </c>
    </row>
    <row r="256" spans="1:21" s="155" customFormat="1" x14ac:dyDescent="0.3">
      <c r="A256" s="155" t="s">
        <v>3720</v>
      </c>
      <c r="B256" s="156"/>
      <c r="C256" s="156"/>
      <c r="D256" s="156"/>
      <c r="E256" s="156"/>
      <c r="F256" s="156"/>
      <c r="G256" s="156"/>
      <c r="H256" s="156"/>
      <c r="I256" s="156"/>
      <c r="R256" s="156"/>
    </row>
    <row r="257" spans="1:21" ht="15.75" x14ac:dyDescent="0.3">
      <c r="A257" s="154">
        <v>35</v>
      </c>
      <c r="B257" s="153" t="str">
        <f t="shared" ref="B257:B263" si="30">A257&amp;"级新增怪物种类5"</f>
        <v>35级新增怪物种类5</v>
      </c>
      <c r="C257" s="153">
        <v>81</v>
      </c>
      <c r="D257" s="153">
        <v>19</v>
      </c>
      <c r="E257" s="153">
        <v>112</v>
      </c>
      <c r="F257" s="153">
        <v>35</v>
      </c>
      <c r="G257" s="153">
        <v>1</v>
      </c>
      <c r="H257" s="153">
        <v>0</v>
      </c>
      <c r="I257" s="153">
        <f>INT(怪物掉落配置方案!D9993/10)*10</f>
        <v>4160</v>
      </c>
      <c r="J257" s="154" t="str">
        <f>"3#1#"&amp;基本属性!BN4&amp;"|"&amp;"3#3#"&amp;INT(0.8*基本属性!AJ4)&amp;"|"&amp;"3#4#"&amp;INT(1.2*基本属性!AJ4)&amp;"|"&amp;"3#5#"&amp;INT(0.8*基本属性!AJ4)&amp;"|"&amp;"3#6#"&amp;INT(1.2*基本属性!AJ4)&amp;"|"&amp;"3#7#"&amp;INT(0.8*基本属性!AJ4)&amp;"|"&amp;"3#8#"&amp;INT(1.2*基本属性!AJ4)&amp;"|"&amp;"3#9#"&amp;基本属性!AK4&amp;"|"&amp;"3#10#"&amp;基本属性!AK4&amp;"|"&amp;"3#11#"&amp;基本属性!AK4&amp;"|"&amp;"3#12#"&amp;基本属性!AK4</f>
        <v>3#1#80000|3#3#163|3#4#244|3#5#163|3#6#244|3#7#163|3#8#244|3#9#100|3#10#100|3#11#100|3#12#100</v>
      </c>
      <c r="K257" s="154">
        <f>K117</f>
        <v>2</v>
      </c>
      <c r="L257" s="154">
        <v>999</v>
      </c>
      <c r="M257" s="154">
        <v>1100</v>
      </c>
      <c r="N257" s="154">
        <v>1</v>
      </c>
      <c r="O257" s="154">
        <v>0</v>
      </c>
      <c r="P257" s="154">
        <v>600</v>
      </c>
      <c r="Q257" s="154"/>
      <c r="R257" s="153"/>
      <c r="S257" s="154"/>
      <c r="T257" s="154">
        <v>1</v>
      </c>
      <c r="U257" s="154">
        <v>5</v>
      </c>
    </row>
    <row r="258" spans="1:21" ht="15.75" x14ac:dyDescent="0.3">
      <c r="A258" s="154">
        <v>40</v>
      </c>
      <c r="B258" s="153" t="str">
        <f t="shared" si="30"/>
        <v>40级新增怪物种类5</v>
      </c>
      <c r="C258" s="153">
        <v>81</v>
      </c>
      <c r="D258" s="153">
        <v>19</v>
      </c>
      <c r="E258" s="153">
        <v>112</v>
      </c>
      <c r="F258" s="153">
        <v>40</v>
      </c>
      <c r="G258" s="153">
        <v>1</v>
      </c>
      <c r="H258" s="153">
        <v>0</v>
      </c>
      <c r="I258" s="153">
        <f>INT(怪物掉落配置方案!D9994/10)*10</f>
        <v>7980</v>
      </c>
      <c r="J258" s="154" t="str">
        <f>"3#1#"&amp;基本属性!BN5&amp;"|"&amp;"3#3#"&amp;INT(0.8*基本属性!AJ5)&amp;"|"&amp;"3#4#"&amp;INT(1.2*基本属性!AJ5)&amp;"|"&amp;"3#5#"&amp;INT(0.8*基本属性!AJ5)&amp;"|"&amp;"3#6#"&amp;INT(1.2*基本属性!AJ5)&amp;"|"&amp;"3#7#"&amp;INT(0.8*基本属性!AJ5)&amp;"|"&amp;"3#8#"&amp;INT(1.2*基本属性!AJ5)&amp;"|"&amp;"3#9#"&amp;基本属性!AK5&amp;"|"&amp;"3#10#"&amp;基本属性!AK5&amp;"|"&amp;"3#11#"&amp;基本属性!AK5&amp;"|"&amp;"3#12#"&amp;基本属性!AK5</f>
        <v>3#1#140000|3#3#252|3#4#378|3#5#252|3#6#378|3#7#252|3#8#378|3#9#150|3#10#150|3#11#150|3#12#150</v>
      </c>
      <c r="K258" s="154">
        <f t="shared" ref="K258:K283" si="31">K118</f>
        <v>4</v>
      </c>
      <c r="L258" s="154">
        <v>999</v>
      </c>
      <c r="M258" s="154">
        <v>1100</v>
      </c>
      <c r="N258" s="154">
        <v>1</v>
      </c>
      <c r="O258" s="154">
        <v>0</v>
      </c>
      <c r="P258" s="154">
        <v>600</v>
      </c>
      <c r="Q258" s="154"/>
      <c r="R258" s="153"/>
      <c r="S258" s="154"/>
      <c r="T258" s="154">
        <v>1</v>
      </c>
      <c r="U258" s="154">
        <v>5</v>
      </c>
    </row>
    <row r="259" spans="1:21" ht="15.75" x14ac:dyDescent="0.3">
      <c r="A259" s="154">
        <v>50</v>
      </c>
      <c r="B259" s="153" t="str">
        <f t="shared" si="30"/>
        <v>50级新增怪物种类5</v>
      </c>
      <c r="C259" s="153">
        <v>81</v>
      </c>
      <c r="D259" s="153">
        <v>19</v>
      </c>
      <c r="E259" s="153">
        <v>112</v>
      </c>
      <c r="F259" s="153">
        <v>50</v>
      </c>
      <c r="G259" s="153">
        <v>1</v>
      </c>
      <c r="H259" s="153">
        <v>0</v>
      </c>
      <c r="I259" s="153">
        <f>INT(怪物掉落配置方案!D9995/10)*10</f>
        <v>21660</v>
      </c>
      <c r="J259" s="154" t="str">
        <f>"3#1#"&amp;基本属性!BN6&amp;"|"&amp;"3#3#"&amp;INT(0.8*基本属性!AJ6)&amp;"|"&amp;"3#4#"&amp;INT(1.2*基本属性!AJ6)&amp;"|"&amp;"3#5#"&amp;INT(0.8*基本属性!AJ6)&amp;"|"&amp;"3#6#"&amp;INT(1.2*基本属性!AJ6)&amp;"|"&amp;"3#7#"&amp;INT(0.8*基本属性!AJ6)&amp;"|"&amp;"3#8#"&amp;INT(1.2*基本属性!AJ6)&amp;"|"&amp;"3#9#"&amp;基本属性!AK6&amp;"|"&amp;"3#10#"&amp;基本属性!AK6&amp;"|"&amp;"3#11#"&amp;基本属性!AK6&amp;"|"&amp;"3#12#"&amp;基本属性!AK6</f>
        <v>3#1#210000|3#3#345|3#4#518|3#5#345|3#6#518|3#7#345|3#8#518|3#9#200|3#10#200|3#11#200|3#12#200</v>
      </c>
      <c r="K259" s="154">
        <f t="shared" si="31"/>
        <v>6</v>
      </c>
      <c r="L259" s="154">
        <v>999</v>
      </c>
      <c r="M259" s="154">
        <v>1100</v>
      </c>
      <c r="N259" s="154">
        <v>1</v>
      </c>
      <c r="O259" s="154">
        <v>0</v>
      </c>
      <c r="P259" s="154">
        <v>600</v>
      </c>
      <c r="Q259" s="154"/>
      <c r="R259" s="153"/>
      <c r="S259" s="154"/>
      <c r="T259" s="154">
        <v>1</v>
      </c>
      <c r="U259" s="154">
        <v>5</v>
      </c>
    </row>
    <row r="260" spans="1:21" ht="15.75" x14ac:dyDescent="0.3">
      <c r="A260" s="154">
        <v>60</v>
      </c>
      <c r="B260" s="153" t="str">
        <f t="shared" si="30"/>
        <v>60级新增怪物种类5</v>
      </c>
      <c r="C260" s="153">
        <v>81</v>
      </c>
      <c r="D260" s="153">
        <v>19</v>
      </c>
      <c r="E260" s="153">
        <v>112</v>
      </c>
      <c r="F260" s="153">
        <v>60</v>
      </c>
      <c r="G260" s="153">
        <v>1</v>
      </c>
      <c r="H260" s="153">
        <v>0</v>
      </c>
      <c r="I260" s="153">
        <f>INT(怪物掉落配置方案!D9996/10)*10</f>
        <v>27080</v>
      </c>
      <c r="J260" s="154" t="str">
        <f>"3#1#"&amp;基本属性!BN7&amp;"|"&amp;"3#3#"&amp;INT(0.8*基本属性!AJ7)&amp;"|"&amp;"3#4#"&amp;INT(1.2*基本属性!AJ7)&amp;"|"&amp;"3#5#"&amp;INT(0.8*基本属性!AJ7)&amp;"|"&amp;"3#6#"&amp;INT(1.2*基本属性!AJ7)&amp;"|"&amp;"3#7#"&amp;INT(0.8*基本属性!AJ7)&amp;"|"&amp;"3#8#"&amp;INT(1.2*基本属性!AJ7)&amp;"|"&amp;"3#9#"&amp;基本属性!AK7&amp;"|"&amp;"3#10#"&amp;基本属性!AK7&amp;"|"&amp;"3#11#"&amp;基本属性!AK7&amp;"|"&amp;"3#12#"&amp;基本属性!AK7</f>
        <v>3#1#320000|3#3#444|3#4#667|3#5#444|3#6#667|3#7#444|3#8#667|3#9#250|3#10#250|3#11#250|3#12#250</v>
      </c>
      <c r="K260" s="154">
        <f t="shared" si="31"/>
        <v>9</v>
      </c>
      <c r="L260" s="154">
        <v>999</v>
      </c>
      <c r="M260" s="154">
        <v>1100</v>
      </c>
      <c r="N260" s="154">
        <v>1</v>
      </c>
      <c r="O260" s="154">
        <v>0</v>
      </c>
      <c r="P260" s="154">
        <v>600</v>
      </c>
      <c r="Q260" s="154"/>
      <c r="R260" s="153"/>
      <c r="S260" s="154"/>
      <c r="T260" s="154">
        <v>1</v>
      </c>
      <c r="U260" s="154">
        <v>5</v>
      </c>
    </row>
    <row r="261" spans="1:21" ht="15.75" x14ac:dyDescent="0.3">
      <c r="A261" s="154">
        <v>65</v>
      </c>
      <c r="B261" s="153" t="str">
        <f t="shared" si="30"/>
        <v>65级新增怪物种类5</v>
      </c>
      <c r="C261" s="153">
        <v>81</v>
      </c>
      <c r="D261" s="153">
        <v>19</v>
      </c>
      <c r="E261" s="153">
        <v>112</v>
      </c>
      <c r="F261" s="153">
        <v>65</v>
      </c>
      <c r="G261" s="153">
        <v>1</v>
      </c>
      <c r="H261" s="153">
        <v>0</v>
      </c>
      <c r="I261" s="153">
        <f>INT(怪物掉落配置方案!D9997/10)*10</f>
        <v>27220</v>
      </c>
      <c r="J261" s="154" t="str">
        <f>"3#1#"&amp;基本属性!BN8&amp;"|"&amp;"3#3#"&amp;INT(0.8*基本属性!AJ8)&amp;"|"&amp;"3#4#"&amp;INT(1.2*基本属性!AJ8)&amp;"|"&amp;"3#5#"&amp;INT(0.8*基本属性!AJ8)&amp;"|"&amp;"3#6#"&amp;INT(1.2*基本属性!AJ8)&amp;"|"&amp;"3#7#"&amp;INT(0.8*基本属性!AJ8)&amp;"|"&amp;"3#8#"&amp;INT(1.2*基本属性!AJ8)&amp;"|"&amp;"3#9#"&amp;基本属性!AK8&amp;"|"&amp;"3#10#"&amp;基本属性!AK8&amp;"|"&amp;"3#11#"&amp;基本属性!AK8&amp;"|"&amp;"3#12#"&amp;基本属性!AK8</f>
        <v>3#1#460000|3#3#596|3#4#894|3#5#596|3#6#894|3#7#596|3#8#894|3#9#325|3#10#325|3#11#325|3#12#325</v>
      </c>
      <c r="K261" s="154">
        <f t="shared" si="31"/>
        <v>12</v>
      </c>
      <c r="L261" s="154">
        <v>999</v>
      </c>
      <c r="M261" s="154">
        <v>1100</v>
      </c>
      <c r="N261" s="154">
        <v>1</v>
      </c>
      <c r="O261" s="154">
        <v>0</v>
      </c>
      <c r="P261" s="154">
        <v>600</v>
      </c>
      <c r="Q261" s="154"/>
      <c r="R261" s="153"/>
      <c r="S261" s="154"/>
      <c r="T261" s="154">
        <v>1</v>
      </c>
      <c r="U261" s="154">
        <v>5</v>
      </c>
    </row>
    <row r="262" spans="1:21" ht="15.75" x14ac:dyDescent="0.3">
      <c r="A262" s="154">
        <v>70</v>
      </c>
      <c r="B262" s="153" t="str">
        <f t="shared" si="30"/>
        <v>70级新增怪物种类5</v>
      </c>
      <c r="C262" s="153">
        <v>81</v>
      </c>
      <c r="D262" s="153">
        <v>19</v>
      </c>
      <c r="E262" s="153">
        <v>112</v>
      </c>
      <c r="F262" s="153">
        <v>70</v>
      </c>
      <c r="G262" s="153">
        <v>1</v>
      </c>
      <c r="H262" s="153">
        <v>0</v>
      </c>
      <c r="I262" s="153">
        <f>INT(怪物掉落配置方案!D9998/10)*10</f>
        <v>27870</v>
      </c>
      <c r="J262" s="154" t="str">
        <f>"3#1#"&amp;基本属性!BN9&amp;"|"&amp;"3#3#"&amp;INT(0.8*基本属性!AJ9)&amp;"|"&amp;"3#4#"&amp;INT(1.2*基本属性!AJ9)&amp;"|"&amp;"3#5#"&amp;INT(0.8*基本属性!AJ9)&amp;"|"&amp;"3#6#"&amp;INT(1.2*基本属性!AJ9)&amp;"|"&amp;"3#7#"&amp;INT(0.8*基本属性!AJ9)&amp;"|"&amp;"3#8#"&amp;INT(1.2*基本属性!AJ9)&amp;"|"&amp;"3#9#"&amp;基本属性!AK9&amp;"|"&amp;"3#10#"&amp;基本属性!AK9&amp;"|"&amp;"3#11#"&amp;基本属性!AK9&amp;"|"&amp;"3#12#"&amp;基本属性!AK9</f>
        <v>3#1#620000|3#3#757|3#4#1136|3#5#757|3#6#1136|3#7#757|3#8#1136|3#9#400|3#10#400|3#11#400|3#12#400</v>
      </c>
      <c r="K262" s="154">
        <f t="shared" si="31"/>
        <v>14</v>
      </c>
      <c r="L262" s="154">
        <v>999</v>
      </c>
      <c r="M262" s="154">
        <v>1100</v>
      </c>
      <c r="N262" s="154">
        <v>1</v>
      </c>
      <c r="O262" s="154">
        <v>0</v>
      </c>
      <c r="P262" s="154">
        <v>600</v>
      </c>
      <c r="Q262" s="154"/>
      <c r="R262" s="153"/>
      <c r="S262" s="154"/>
      <c r="T262" s="154">
        <v>1</v>
      </c>
      <c r="U262" s="154">
        <v>5</v>
      </c>
    </row>
    <row r="263" spans="1:21" ht="15.75" x14ac:dyDescent="0.3">
      <c r="A263" s="154">
        <v>75</v>
      </c>
      <c r="B263" s="153" t="str">
        <f t="shared" si="30"/>
        <v>75级新增怪物种类5</v>
      </c>
      <c r="C263" s="153">
        <v>81</v>
      </c>
      <c r="D263" s="153">
        <v>19</v>
      </c>
      <c r="E263" s="153">
        <v>112</v>
      </c>
      <c r="F263" s="153">
        <v>75</v>
      </c>
      <c r="G263" s="153">
        <v>1</v>
      </c>
      <c r="H263" s="153">
        <v>0</v>
      </c>
      <c r="I263" s="153">
        <f>INT(怪物掉落配置方案!D9999/10)*10</f>
        <v>31450</v>
      </c>
      <c r="J263" s="154" t="str">
        <f>"3#1#"&amp;基本属性!BN10&amp;"|"&amp;"3#3#"&amp;INT(0.8*基本属性!AJ10)&amp;"|"&amp;"3#4#"&amp;INT(1.2*基本属性!AJ10)&amp;"|"&amp;"3#5#"&amp;INT(0.8*基本属性!AJ10)&amp;"|"&amp;"3#6#"&amp;INT(1.2*基本属性!AJ10)&amp;"|"&amp;"3#7#"&amp;INT(0.8*基本属性!AJ10)&amp;"|"&amp;"3#8#"&amp;INT(1.2*基本属性!AJ10)&amp;"|"&amp;"3#9#"&amp;基本属性!AK10&amp;"|"&amp;"3#10#"&amp;基本属性!AK10&amp;"|"&amp;"3#11#"&amp;基本属性!AK10&amp;"|"&amp;"3#12#"&amp;基本属性!AK10</f>
        <v>3#1#890000|3#3#930|3#4#1395|3#5#930|3#6#1395|3#7#930|3#8#1395|3#9#475|3#10#475|3#11#475|3#12#475</v>
      </c>
      <c r="K263" s="154">
        <f t="shared" si="31"/>
        <v>17</v>
      </c>
      <c r="L263" s="154">
        <v>999</v>
      </c>
      <c r="M263" s="154">
        <v>1100</v>
      </c>
      <c r="N263" s="154">
        <v>1</v>
      </c>
      <c r="O263" s="154">
        <v>0</v>
      </c>
      <c r="P263" s="154">
        <v>600</v>
      </c>
      <c r="Q263" s="154"/>
      <c r="R263" s="153"/>
      <c r="S263" s="154"/>
      <c r="T263" s="154">
        <v>1</v>
      </c>
      <c r="U263" s="154">
        <v>5</v>
      </c>
    </row>
    <row r="264" spans="1:21" ht="15.75" x14ac:dyDescent="0.3">
      <c r="A264" s="154">
        <v>1</v>
      </c>
      <c r="B264" s="153" t="str">
        <f t="shared" ref="B264:B283" si="32">A264&amp;"转新增怪物种类5"</f>
        <v>1转新增怪物种类5</v>
      </c>
      <c r="C264" s="153">
        <v>81</v>
      </c>
      <c r="D264" s="153">
        <v>19</v>
      </c>
      <c r="E264" s="153">
        <v>112</v>
      </c>
      <c r="F264" s="153">
        <v>80</v>
      </c>
      <c r="G264" s="153">
        <v>1</v>
      </c>
      <c r="H264" s="153">
        <v>0</v>
      </c>
      <c r="I264" s="153">
        <f>INT(怪物掉落配置方案!D10000/10)*10</f>
        <v>50400</v>
      </c>
      <c r="J264" s="154" t="str">
        <f>"3#1#"&amp;基本属性!BN11&amp;"|"&amp;"3#3#"&amp;INT(0.8*基本属性!AJ11)&amp;"|"&amp;"3#4#"&amp;INT(1.2*基本属性!AJ11)&amp;"|"&amp;"3#5#"&amp;INT(0.8*基本属性!AJ11)&amp;"|"&amp;"3#6#"&amp;INT(1.2*基本属性!AJ11)&amp;"|"&amp;"3#7#"&amp;INT(0.8*基本属性!AJ11)&amp;"|"&amp;"3#8#"&amp;INT(1.2*基本属性!AJ11)&amp;"|"&amp;"3#9#"&amp;基本属性!AK11&amp;"|"&amp;"3#10#"&amp;基本属性!AK11&amp;"|"&amp;"3#11#"&amp;基本属性!AK11&amp;"|"&amp;"3#12#"&amp;基本属性!AK11</f>
        <v>3#1#1140000|3#3#1115|3#4#1672|3#5#1115|3#6#1672|3#7#1115|3#8#1672|3#9#550|3#10#550|3#11#550|3#12#550</v>
      </c>
      <c r="K264" s="154">
        <f t="shared" si="31"/>
        <v>20</v>
      </c>
      <c r="L264" s="154">
        <v>999</v>
      </c>
      <c r="M264" s="154">
        <v>1100</v>
      </c>
      <c r="N264" s="154">
        <v>1</v>
      </c>
      <c r="O264" s="154">
        <v>0</v>
      </c>
      <c r="P264" s="154">
        <v>600</v>
      </c>
      <c r="Q264" s="154"/>
      <c r="R264" s="153"/>
      <c r="S264" s="154"/>
      <c r="T264" s="154">
        <v>1</v>
      </c>
      <c r="U264" s="154">
        <v>5</v>
      </c>
    </row>
    <row r="265" spans="1:21" ht="15.75" x14ac:dyDescent="0.3">
      <c r="A265" s="154">
        <v>2</v>
      </c>
      <c r="B265" s="153" t="str">
        <f t="shared" si="32"/>
        <v>2转新增怪物种类5</v>
      </c>
      <c r="C265" s="153">
        <v>81</v>
      </c>
      <c r="D265" s="153">
        <v>19</v>
      </c>
      <c r="E265" s="153">
        <v>112</v>
      </c>
      <c r="F265" s="153">
        <v>90</v>
      </c>
      <c r="G265" s="153">
        <v>1</v>
      </c>
      <c r="H265" s="153">
        <v>0</v>
      </c>
      <c r="I265" s="153">
        <f>INT(怪物掉落配置方案!D10001/10)*10</f>
        <v>86670</v>
      </c>
      <c r="J265" s="154" t="str">
        <f>"3#1#"&amp;基本属性!BN12&amp;"|"&amp;"3#3#"&amp;INT(0.8*基本属性!AJ12)&amp;"|"&amp;"3#4#"&amp;INT(1.2*基本属性!AJ12)&amp;"|"&amp;"3#5#"&amp;INT(0.8*基本属性!AJ12)&amp;"|"&amp;"3#6#"&amp;INT(1.2*基本属性!AJ12)&amp;"|"&amp;"3#7#"&amp;INT(0.8*基本属性!AJ12)&amp;"|"&amp;"3#8#"&amp;INT(1.2*基本属性!AJ12)&amp;"|"&amp;"3#9#"&amp;基本属性!AK12&amp;"|"&amp;"3#10#"&amp;基本属性!AK12&amp;"|"&amp;"3#11#"&amp;基本属性!AK12&amp;"|"&amp;"3#12#"&amp;基本属性!AK12</f>
        <v>3#1#1610000|3#3#1472|3#4#2209|3#5#1472|3#6#2209|3#7#1472|3#8#2209|3#9#700|3#10#700|3#11#700|3#12#700</v>
      </c>
      <c r="K265" s="154">
        <f t="shared" si="31"/>
        <v>23</v>
      </c>
      <c r="L265" s="154">
        <v>999</v>
      </c>
      <c r="M265" s="154">
        <v>1100</v>
      </c>
      <c r="N265" s="154">
        <v>1</v>
      </c>
      <c r="O265" s="154">
        <v>0</v>
      </c>
      <c r="P265" s="154">
        <v>600</v>
      </c>
      <c r="Q265" s="154"/>
      <c r="R265" s="153"/>
      <c r="S265" s="154"/>
      <c r="T265" s="154">
        <v>1</v>
      </c>
      <c r="U265" s="154">
        <v>5</v>
      </c>
    </row>
    <row r="266" spans="1:21" ht="15.75" x14ac:dyDescent="0.3">
      <c r="A266" s="154">
        <v>3</v>
      </c>
      <c r="B266" s="153" t="str">
        <f t="shared" si="32"/>
        <v>3转新增怪物种类5</v>
      </c>
      <c r="C266" s="153">
        <v>81</v>
      </c>
      <c r="D266" s="153">
        <v>19</v>
      </c>
      <c r="E266" s="153">
        <v>112</v>
      </c>
      <c r="F266" s="153">
        <v>100</v>
      </c>
      <c r="G266" s="153">
        <v>1</v>
      </c>
      <c r="H266" s="153">
        <v>0</v>
      </c>
      <c r="I266" s="153">
        <f>INT(怪物掉落配置方案!D10002/10)*10</f>
        <v>101980</v>
      </c>
      <c r="J266" s="154" t="str">
        <f>"3#1#"&amp;基本属性!BN13&amp;"|"&amp;"3#3#"&amp;INT(0.8*基本属性!AJ13)&amp;"|"&amp;"3#4#"&amp;INT(1.2*基本属性!AJ13)&amp;"|"&amp;"3#5#"&amp;INT(0.8*基本属性!AJ13)&amp;"|"&amp;"3#6#"&amp;INT(1.2*基本属性!AJ13)&amp;"|"&amp;"3#7#"&amp;INT(0.8*基本属性!AJ13)&amp;"|"&amp;"3#8#"&amp;INT(1.2*基本属性!AJ13)&amp;"|"&amp;"3#9#"&amp;基本属性!AK13&amp;"|"&amp;"3#10#"&amp;基本属性!AK13&amp;"|"&amp;"3#11#"&amp;基本属性!AK13&amp;"|"&amp;"3#12#"&amp;基本属性!AK13</f>
        <v>3#1#2270000|3#3#1968|3#4#2953|3#5#1968|3#6#2953|3#7#1968|3#8#2953|3#9#900|3#10#900|3#11#900|3#12#900</v>
      </c>
      <c r="K266" s="154">
        <f t="shared" si="31"/>
        <v>26</v>
      </c>
      <c r="L266" s="154">
        <v>999</v>
      </c>
      <c r="M266" s="154">
        <v>1100</v>
      </c>
      <c r="N266" s="154">
        <v>1</v>
      </c>
      <c r="O266" s="154">
        <v>0</v>
      </c>
      <c r="P266" s="154">
        <v>600</v>
      </c>
      <c r="Q266" s="154"/>
      <c r="R266" s="153"/>
      <c r="S266" s="154"/>
      <c r="T266" s="154">
        <v>1</v>
      </c>
      <c r="U266" s="154">
        <v>5</v>
      </c>
    </row>
    <row r="267" spans="1:21" ht="15.75" x14ac:dyDescent="0.3">
      <c r="A267" s="154">
        <v>4</v>
      </c>
      <c r="B267" s="153" t="str">
        <f t="shared" si="32"/>
        <v>4转新增怪物种类5</v>
      </c>
      <c r="C267" s="153">
        <v>81</v>
      </c>
      <c r="D267" s="153">
        <v>19</v>
      </c>
      <c r="E267" s="153">
        <v>112</v>
      </c>
      <c r="F267" s="153">
        <v>105</v>
      </c>
      <c r="G267" s="153">
        <v>1</v>
      </c>
      <c r="H267" s="153">
        <v>0</v>
      </c>
      <c r="I267" s="153">
        <f>INT(怪物掉落配置方案!D10003/10)*10</f>
        <v>157500</v>
      </c>
      <c r="J267" s="154" t="str">
        <f>"3#1#"&amp;基本属性!BN14&amp;"|"&amp;"3#3#"&amp;INT(0.8*基本属性!AJ14)&amp;"|"&amp;"3#4#"&amp;INT(1.2*基本属性!AJ14)&amp;"|"&amp;"3#5#"&amp;INT(0.8*基本属性!AJ14)&amp;"|"&amp;"3#6#"&amp;INT(1.2*基本属性!AJ14)&amp;"|"&amp;"3#7#"&amp;INT(0.8*基本属性!AJ14)&amp;"|"&amp;"3#8#"&amp;INT(1.2*基本属性!AJ14)&amp;"|"&amp;"3#9#"&amp;基本属性!AK14&amp;"|"&amp;"3#10#"&amp;基本属性!AK14&amp;"|"&amp;"3#11#"&amp;基本属性!AK14&amp;"|"&amp;"3#12#"&amp;基本属性!AK14</f>
        <v>3#1#3320000|3#3#2505|3#4#3758|3#5#2505|3#6#3758|3#7#2505|3#8#3758|3#9#1100|3#10#1100|3#11#1100|3#12#1100</v>
      </c>
      <c r="K267" s="154">
        <f t="shared" si="31"/>
        <v>29</v>
      </c>
      <c r="L267" s="154">
        <v>999</v>
      </c>
      <c r="M267" s="154">
        <v>1100</v>
      </c>
      <c r="N267" s="154">
        <v>1</v>
      </c>
      <c r="O267" s="154">
        <v>0</v>
      </c>
      <c r="P267" s="154">
        <v>600</v>
      </c>
      <c r="Q267" s="154"/>
      <c r="R267" s="153"/>
      <c r="S267" s="154"/>
      <c r="T267" s="154">
        <v>1</v>
      </c>
      <c r="U267" s="154">
        <v>5</v>
      </c>
    </row>
    <row r="268" spans="1:21" ht="15.75" x14ac:dyDescent="0.3">
      <c r="A268" s="154">
        <v>5</v>
      </c>
      <c r="B268" s="153" t="str">
        <f t="shared" si="32"/>
        <v>5转新增怪物种类5</v>
      </c>
      <c r="C268" s="153">
        <v>81</v>
      </c>
      <c r="D268" s="153">
        <v>19</v>
      </c>
      <c r="E268" s="153">
        <v>112</v>
      </c>
      <c r="F268" s="153">
        <v>110</v>
      </c>
      <c r="G268" s="153">
        <v>1</v>
      </c>
      <c r="H268" s="153">
        <v>0</v>
      </c>
      <c r="I268" s="153">
        <f>INT(怪物掉落配置方案!D10004/10)*10</f>
        <v>162780</v>
      </c>
      <c r="J268" s="154" t="str">
        <f>"3#1#"&amp;基本属性!BN15&amp;"|"&amp;"3#3#"&amp;INT(0.8*基本属性!AJ15)&amp;"|"&amp;"3#4#"&amp;INT(1.2*基本属性!AJ15)&amp;"|"&amp;"3#5#"&amp;INT(0.8*基本属性!AJ15)&amp;"|"&amp;"3#6#"&amp;INT(1.2*基本属性!AJ15)&amp;"|"&amp;"3#7#"&amp;INT(0.8*基本属性!AJ15)&amp;"|"&amp;"3#8#"&amp;INT(1.2*基本属性!AJ15)&amp;"|"&amp;"3#9#"&amp;基本属性!AK15&amp;"|"&amp;"3#10#"&amp;基本属性!AK15&amp;"|"&amp;"3#11#"&amp;基本属性!AK15&amp;"|"&amp;"3#12#"&amp;基本属性!AK15</f>
        <v>3#1#4230000|3#3#3029|3#4#4544|3#5#3029|3#6#4544|3#7#3029|3#8#4544|3#9#1275|3#10#1275|3#11#1275|3#12#1275</v>
      </c>
      <c r="K268" s="154">
        <f t="shared" si="31"/>
        <v>32</v>
      </c>
      <c r="L268" s="154">
        <v>999</v>
      </c>
      <c r="M268" s="154">
        <v>1100</v>
      </c>
      <c r="N268" s="154">
        <v>1</v>
      </c>
      <c r="O268" s="154">
        <v>0</v>
      </c>
      <c r="P268" s="154">
        <v>600</v>
      </c>
      <c r="Q268" s="154"/>
      <c r="R268" s="153"/>
      <c r="S268" s="154"/>
      <c r="T268" s="154">
        <v>1</v>
      </c>
      <c r="U268" s="154">
        <v>5</v>
      </c>
    </row>
    <row r="269" spans="1:21" ht="15.75" x14ac:dyDescent="0.3">
      <c r="A269" s="154">
        <v>6</v>
      </c>
      <c r="B269" s="153" t="str">
        <f t="shared" si="32"/>
        <v>6转新增怪物种类5</v>
      </c>
      <c r="C269" s="153">
        <v>81</v>
      </c>
      <c r="D269" s="153">
        <v>19</v>
      </c>
      <c r="E269" s="153">
        <v>112</v>
      </c>
      <c r="F269" s="153">
        <v>120</v>
      </c>
      <c r="G269" s="153">
        <v>1</v>
      </c>
      <c r="H269" s="153">
        <v>0</v>
      </c>
      <c r="I269" s="153">
        <f>INT(怪物掉落配置方案!D10005/10)*10</f>
        <v>649070</v>
      </c>
      <c r="J269" s="154" t="str">
        <f>"3#1#"&amp;基本属性!BN16&amp;"|"&amp;"3#3#"&amp;INT(0.8*基本属性!AJ16)&amp;"|"&amp;"3#4#"&amp;INT(1.2*基本属性!AJ16)&amp;"|"&amp;"3#5#"&amp;INT(0.8*基本属性!AJ16)&amp;"|"&amp;"3#6#"&amp;INT(1.2*基本属性!AJ16)&amp;"|"&amp;"3#7#"&amp;INT(0.8*基本属性!AJ16)&amp;"|"&amp;"3#8#"&amp;INT(1.2*基本属性!AJ16)&amp;"|"&amp;"3#9#"&amp;基本属性!AK16&amp;"|"&amp;"3#10#"&amp;基本属性!AK16&amp;"|"&amp;"3#11#"&amp;基本属性!AK16&amp;"|"&amp;"3#12#"&amp;基本属性!AK16</f>
        <v>3#1#5280000|3#3#3602|3#4#5403|3#5#3602|3#6#5403|3#7#3602|3#8#5403|3#9#1450|3#10#1450|3#11#1450|3#12#1450</v>
      </c>
      <c r="K269" s="154">
        <f t="shared" si="31"/>
        <v>36</v>
      </c>
      <c r="L269" s="154">
        <v>999</v>
      </c>
      <c r="M269" s="154">
        <v>1100</v>
      </c>
      <c r="N269" s="154">
        <v>1</v>
      </c>
      <c r="O269" s="154">
        <v>0</v>
      </c>
      <c r="P269" s="154">
        <v>600</v>
      </c>
      <c r="Q269" s="154"/>
      <c r="R269" s="153"/>
      <c r="S269" s="154"/>
      <c r="T269" s="154">
        <v>1</v>
      </c>
      <c r="U269" s="154">
        <v>5</v>
      </c>
    </row>
    <row r="270" spans="1:21" ht="15.75" x14ac:dyDescent="0.3">
      <c r="A270" s="154">
        <v>7</v>
      </c>
      <c r="B270" s="153" t="str">
        <f t="shared" si="32"/>
        <v>7转新增怪物种类5</v>
      </c>
      <c r="C270" s="153">
        <v>81</v>
      </c>
      <c r="D270" s="153">
        <v>19</v>
      </c>
      <c r="E270" s="153">
        <v>112</v>
      </c>
      <c r="F270" s="153">
        <v>135</v>
      </c>
      <c r="G270" s="153">
        <v>1</v>
      </c>
      <c r="H270" s="153">
        <v>0</v>
      </c>
      <c r="I270" s="153">
        <f>INT(怪物掉落配置方案!D10006/10)*10</f>
        <v>2222080</v>
      </c>
      <c r="J270" s="154" t="str">
        <f>"3#1#"&amp;基本属性!BN17&amp;"|"&amp;"3#3#"&amp;INT(0.8*基本属性!AJ17)&amp;"|"&amp;"3#4#"&amp;INT(1.2*基本属性!AJ17)&amp;"|"&amp;"3#5#"&amp;INT(0.8*基本属性!AJ17)&amp;"|"&amp;"3#6#"&amp;INT(1.2*基本属性!AJ17)&amp;"|"&amp;"3#7#"&amp;INT(0.8*基本属性!AJ17)&amp;"|"&amp;"3#8#"&amp;INT(1.2*基本属性!AJ17)&amp;"|"&amp;"3#9#"&amp;基本属性!AK17&amp;"|"&amp;"3#10#"&amp;基本属性!AK17&amp;"|"&amp;"3#11#"&amp;基本属性!AK17&amp;"|"&amp;"3#12#"&amp;基本属性!AK17</f>
        <v>3#1#6400000|3#3#4164|3#4#6247|3#5#4164|3#6#6247|3#7#4164|3#8#6247|3#9#1600|3#10#1600|3#11#1600|3#12#1600</v>
      </c>
      <c r="K270" s="154">
        <f t="shared" si="31"/>
        <v>39</v>
      </c>
      <c r="L270" s="154">
        <v>999</v>
      </c>
      <c r="M270" s="154">
        <v>1100</v>
      </c>
      <c r="N270" s="154">
        <v>1</v>
      </c>
      <c r="O270" s="154">
        <v>0</v>
      </c>
      <c r="P270" s="154">
        <v>600</v>
      </c>
      <c r="Q270" s="154"/>
      <c r="R270" s="153"/>
      <c r="S270" s="154"/>
      <c r="T270" s="154">
        <v>1</v>
      </c>
      <c r="U270" s="154">
        <v>5</v>
      </c>
    </row>
    <row r="271" spans="1:21" ht="15.75" x14ac:dyDescent="0.3">
      <c r="A271" s="154">
        <v>8</v>
      </c>
      <c r="B271" s="153" t="str">
        <f t="shared" si="32"/>
        <v>8转新增怪物种类5</v>
      </c>
      <c r="C271" s="153">
        <v>81</v>
      </c>
      <c r="D271" s="153">
        <v>19</v>
      </c>
      <c r="E271" s="153">
        <v>112</v>
      </c>
      <c r="F271" s="153">
        <v>155</v>
      </c>
      <c r="G271" s="153">
        <v>1</v>
      </c>
      <c r="H271" s="153">
        <v>0</v>
      </c>
      <c r="I271" s="153">
        <f>INT(怪物掉落配置方案!D10007/10)*10</f>
        <v>26841940</v>
      </c>
      <c r="J271" s="154" t="str">
        <f>"3#1#"&amp;基本属性!BN18&amp;"|"&amp;"3#3#"&amp;INT(0.8*基本属性!AJ18)&amp;"|"&amp;"3#4#"&amp;INT(1.2*基本属性!AJ18)&amp;"|"&amp;"3#5#"&amp;INT(0.8*基本属性!AJ18)&amp;"|"&amp;"3#6#"&amp;INT(1.2*基本属性!AJ18)&amp;"|"&amp;"3#7#"&amp;INT(0.8*基本属性!AJ18)&amp;"|"&amp;"3#8#"&amp;INT(1.2*基本属性!AJ18)&amp;"|"&amp;"3#9#"&amp;基本属性!AK18&amp;"|"&amp;"3#10#"&amp;基本属性!AK18&amp;"|"&amp;"3#11#"&amp;基本属性!AK18&amp;"|"&amp;"3#12#"&amp;基本属性!AK18</f>
        <v>3#1#8280000|3#3#4784|3#4#7176|3#5#4784|3#6#7176|3#7#4784|3#8#7176|3#9#1750|3#10#1750|3#11#1750|3#12#1750</v>
      </c>
      <c r="K271" s="154">
        <f t="shared" si="31"/>
        <v>43</v>
      </c>
      <c r="L271" s="154">
        <v>999</v>
      </c>
      <c r="M271" s="154">
        <v>1100</v>
      </c>
      <c r="N271" s="154">
        <v>1</v>
      </c>
      <c r="O271" s="154">
        <v>0</v>
      </c>
      <c r="P271" s="154">
        <v>600</v>
      </c>
      <c r="Q271" s="154"/>
      <c r="R271" s="153"/>
      <c r="S271" s="154"/>
      <c r="T271" s="154">
        <v>1</v>
      </c>
      <c r="U271" s="154">
        <v>5</v>
      </c>
    </row>
    <row r="272" spans="1:21" ht="15.75" x14ac:dyDescent="0.3">
      <c r="A272" s="154">
        <v>9</v>
      </c>
      <c r="B272" s="153" t="str">
        <f t="shared" si="32"/>
        <v>9转新增怪物种类5</v>
      </c>
      <c r="C272" s="153">
        <v>81</v>
      </c>
      <c r="D272" s="153">
        <v>19</v>
      </c>
      <c r="E272" s="153">
        <v>112</v>
      </c>
      <c r="F272" s="153">
        <v>190</v>
      </c>
      <c r="G272" s="153">
        <v>1</v>
      </c>
      <c r="H272" s="153">
        <v>0</v>
      </c>
      <c r="I272" s="153">
        <f>INT(怪物掉落配置方案!D10008/10)*10</f>
        <v>24407330</v>
      </c>
      <c r="J272" s="154" t="str">
        <f>"3#1#"&amp;基本属性!BN19&amp;"|"&amp;"3#3#"&amp;INT(0.8*基本属性!AJ19)&amp;"|"&amp;"3#4#"&amp;INT(1.2*基本属性!AJ19)&amp;"|"&amp;"3#5#"&amp;INT(0.8*基本属性!AJ19)&amp;"|"&amp;"3#6#"&amp;INT(1.2*基本属性!AJ19)&amp;"|"&amp;"3#7#"&amp;INT(0.8*基本属性!AJ19)&amp;"|"&amp;"3#8#"&amp;INT(1.2*基本属性!AJ19)&amp;"|"&amp;"3#9#"&amp;基本属性!AK19&amp;"|"&amp;"3#10#"&amp;基本属性!AK19&amp;"|"&amp;"3#11#"&amp;基本属性!AK19&amp;"|"&amp;"3#12#"&amp;基本属性!AK19</f>
        <v>3#1#9730000|3#3#5396|3#4#8095|3#5#5396|3#6#8095|3#7#5396|3#8#8095|3#9#1875|3#10#1875|3#11#1875|3#12#1875</v>
      </c>
      <c r="K272" s="154">
        <f t="shared" si="31"/>
        <v>46</v>
      </c>
      <c r="L272" s="154">
        <v>999</v>
      </c>
      <c r="M272" s="154">
        <v>1100</v>
      </c>
      <c r="N272" s="154">
        <v>1</v>
      </c>
      <c r="O272" s="154">
        <v>0</v>
      </c>
      <c r="P272" s="154">
        <v>600</v>
      </c>
      <c r="Q272" s="154"/>
      <c r="R272" s="153"/>
      <c r="S272" s="154"/>
      <c r="T272" s="154">
        <v>1</v>
      </c>
      <c r="U272" s="154">
        <v>5</v>
      </c>
    </row>
    <row r="273" spans="1:21" ht="15.75" x14ac:dyDescent="0.3">
      <c r="A273" s="154">
        <v>10</v>
      </c>
      <c r="B273" s="153" t="str">
        <f t="shared" si="32"/>
        <v>10转新增怪物种类5</v>
      </c>
      <c r="C273" s="153">
        <v>81</v>
      </c>
      <c r="D273" s="153">
        <v>19</v>
      </c>
      <c r="E273" s="153">
        <v>112</v>
      </c>
      <c r="F273" s="153">
        <v>200</v>
      </c>
      <c r="G273" s="153">
        <v>1</v>
      </c>
      <c r="H273" s="153">
        <v>0</v>
      </c>
      <c r="I273" s="153">
        <f>INT(怪物掉落配置方案!D10009/10)*10</f>
        <v>29166660</v>
      </c>
      <c r="J273" s="154" t="str">
        <f>"3#1#"&amp;基本属性!BN20&amp;"|"&amp;"3#3#"&amp;INT(0.8*基本属性!AJ20)&amp;"|"&amp;"3#4#"&amp;INT(1.2*基本属性!AJ20)&amp;"|"&amp;"3#5#"&amp;INT(0.8*基本属性!AJ20)&amp;"|"&amp;"3#6#"&amp;INT(1.2*基本属性!AJ20)&amp;"|"&amp;"3#7#"&amp;INT(0.8*基本属性!AJ20)&amp;"|"&amp;"3#8#"&amp;INT(1.2*基本属性!AJ20)&amp;"|"&amp;"3#9#"&amp;基本属性!AK20&amp;"|"&amp;"3#10#"&amp;基本属性!AK20&amp;"|"&amp;"3#11#"&amp;基本属性!AK20&amp;"|"&amp;"3#12#"&amp;基本属性!AK20</f>
        <v>3#1#11370000|3#3#6076|3#4#9114|3#5#6076|3#6#9114|3#7#6076|3#8#9114|3#9#2000|3#10#2000|3#11#2000|3#12#2000</v>
      </c>
      <c r="K273" s="154">
        <f t="shared" si="31"/>
        <v>50</v>
      </c>
      <c r="L273" s="154">
        <v>999</v>
      </c>
      <c r="M273" s="154">
        <v>1100</v>
      </c>
      <c r="N273" s="154">
        <v>1</v>
      </c>
      <c r="O273" s="154">
        <v>0</v>
      </c>
      <c r="P273" s="154">
        <v>600</v>
      </c>
      <c r="Q273" s="154"/>
      <c r="R273" s="153"/>
      <c r="S273" s="154"/>
      <c r="T273" s="154">
        <v>1</v>
      </c>
      <c r="U273" s="154">
        <v>5</v>
      </c>
    </row>
    <row r="274" spans="1:21" ht="15.75" x14ac:dyDescent="0.3">
      <c r="A274" s="154">
        <v>11</v>
      </c>
      <c r="B274" s="153" t="str">
        <f t="shared" si="32"/>
        <v>11转新增怪物种类5</v>
      </c>
      <c r="C274" s="153">
        <v>81</v>
      </c>
      <c r="D274" s="153">
        <v>19</v>
      </c>
      <c r="E274" s="153">
        <v>112</v>
      </c>
      <c r="F274" s="153">
        <v>200</v>
      </c>
      <c r="G274" s="153">
        <v>1</v>
      </c>
      <c r="H274" s="153">
        <v>0</v>
      </c>
      <c r="I274" s="153">
        <f>INT(怪物掉落配置方案!D10010/10)*10</f>
        <v>5833330</v>
      </c>
      <c r="J274" s="154" t="str">
        <f>"3#1#"&amp;基本属性!BN21&amp;"|"&amp;"3#3#"&amp;INT(0.8*基本属性!AJ21)&amp;"|"&amp;"3#4#"&amp;INT(1.2*基本属性!AJ21)&amp;"|"&amp;"3#5#"&amp;INT(0.8*基本属性!AJ21)&amp;"|"&amp;"3#6#"&amp;INT(1.2*基本属性!AJ21)&amp;"|"&amp;"3#7#"&amp;INT(0.8*基本属性!AJ21)&amp;"|"&amp;"3#8#"&amp;INT(1.2*基本属性!AJ21)&amp;"|"&amp;"3#9#"&amp;基本属性!AK21&amp;"|"&amp;"3#10#"&amp;基本属性!AK21&amp;"|"&amp;"3#11#"&amp;基本属性!AK21&amp;"|"&amp;"3#12#"&amp;基本属性!AK21</f>
        <v>3#1#13700000|3#3#7074|3#4#10611|3#5#7074|3#6#10611|3#7#7074|3#8#10611|3#9#2200|3#10#2200|3#11#2200|3#12#2200</v>
      </c>
      <c r="K274" s="154">
        <f t="shared" si="31"/>
        <v>54</v>
      </c>
      <c r="L274" s="154">
        <v>999</v>
      </c>
      <c r="M274" s="154">
        <v>1100</v>
      </c>
      <c r="N274" s="154">
        <v>1</v>
      </c>
      <c r="O274" s="154">
        <v>0</v>
      </c>
      <c r="P274" s="154">
        <v>600</v>
      </c>
      <c r="Q274" s="154"/>
      <c r="R274" s="153"/>
      <c r="S274" s="154"/>
      <c r="T274" s="154">
        <v>1</v>
      </c>
      <c r="U274" s="154">
        <v>5</v>
      </c>
    </row>
    <row r="275" spans="1:21" ht="15.75" x14ac:dyDescent="0.3">
      <c r="A275" s="154">
        <v>12</v>
      </c>
      <c r="B275" s="153" t="str">
        <f t="shared" si="32"/>
        <v>12转新增怪物种类5</v>
      </c>
      <c r="C275" s="153">
        <v>81</v>
      </c>
      <c r="D275" s="153">
        <v>19</v>
      </c>
      <c r="E275" s="153">
        <v>112</v>
      </c>
      <c r="F275" s="153">
        <v>210</v>
      </c>
      <c r="G275" s="153">
        <v>1</v>
      </c>
      <c r="H275" s="153">
        <v>0</v>
      </c>
      <c r="I275" s="153">
        <f>INT(怪物掉落配置方案!D10011/10)*10</f>
        <v>5833330</v>
      </c>
      <c r="J275" s="154" t="str">
        <f>"3#1#"&amp;基本属性!BN22&amp;"|"&amp;"3#3#"&amp;INT(0.8*基本属性!AJ22)&amp;"|"&amp;"3#4#"&amp;INT(1.2*基本属性!AJ22)&amp;"|"&amp;"3#5#"&amp;INT(0.8*基本属性!AJ22)&amp;"|"&amp;"3#6#"&amp;INT(1.2*基本属性!AJ22)&amp;"|"&amp;"3#7#"&amp;INT(0.8*基本属性!AJ22)&amp;"|"&amp;"3#8#"&amp;INT(1.2*基本属性!AJ22)&amp;"|"&amp;"3#9#"&amp;基本属性!AK22&amp;"|"&amp;"3#10#"&amp;基本属性!AK22&amp;"|"&amp;"3#11#"&amp;基本属性!AK22&amp;"|"&amp;"3#12#"&amp;基本属性!AK22</f>
        <v>3#1#17530000|3#3#8193|3#4#12290|3#5#8193|3#6#12290|3#7#8193|3#8#12290|3#9#2400|3#10#2400|3#11#2400|3#12#2400</v>
      </c>
      <c r="K275" s="154">
        <f t="shared" si="31"/>
        <v>58</v>
      </c>
      <c r="L275" s="154">
        <v>999</v>
      </c>
      <c r="M275" s="154">
        <v>1100</v>
      </c>
      <c r="N275" s="154">
        <v>1</v>
      </c>
      <c r="O275" s="154">
        <v>0</v>
      </c>
      <c r="P275" s="154">
        <v>600</v>
      </c>
      <c r="Q275" s="154"/>
      <c r="R275" s="153"/>
      <c r="S275" s="154"/>
      <c r="T275" s="154">
        <v>1</v>
      </c>
      <c r="U275" s="154">
        <v>5</v>
      </c>
    </row>
    <row r="276" spans="1:21" ht="15.75" x14ac:dyDescent="0.3">
      <c r="A276" s="154">
        <v>13</v>
      </c>
      <c r="B276" s="153" t="str">
        <f t="shared" si="32"/>
        <v>13转新增怪物种类5</v>
      </c>
      <c r="C276" s="153">
        <v>81</v>
      </c>
      <c r="D276" s="153">
        <v>19</v>
      </c>
      <c r="E276" s="153">
        <v>112</v>
      </c>
      <c r="F276" s="153">
        <v>210</v>
      </c>
      <c r="G276" s="153">
        <v>1</v>
      </c>
      <c r="H276" s="153">
        <v>0</v>
      </c>
      <c r="I276" s="153">
        <f>INT(怪物掉落配置方案!D10012/10)*10</f>
        <v>5833330</v>
      </c>
      <c r="J276" s="154" t="str">
        <f>"3#1#"&amp;基本属性!BN23&amp;"|"&amp;"3#3#"&amp;INT(0.8*基本属性!AJ23)&amp;"|"&amp;"3#4#"&amp;INT(1.2*基本属性!AJ23)&amp;"|"&amp;"3#5#"&amp;INT(0.8*基本属性!AJ23)&amp;"|"&amp;"3#6#"&amp;INT(1.2*基本属性!AJ23)&amp;"|"&amp;"3#7#"&amp;INT(0.8*基本属性!AJ23)&amp;"|"&amp;"3#8#"&amp;INT(1.2*基本属性!AJ23)&amp;"|"&amp;"3#9#"&amp;基本属性!AK23&amp;"|"&amp;"3#10#"&amp;基本属性!AK23&amp;"|"&amp;"3#11#"&amp;基本属性!AK23&amp;"|"&amp;"3#12#"&amp;基本属性!AK23</f>
        <v>3#1#21170000|3#3#9635|3#4#14452|3#5#9635|3#6#14452|3#7#9635|3#8#14452|3#9#2650|3#10#2650|3#11#2650|3#12#2650</v>
      </c>
      <c r="K276" s="154">
        <f t="shared" si="31"/>
        <v>62</v>
      </c>
      <c r="L276" s="154">
        <v>999</v>
      </c>
      <c r="M276" s="154">
        <v>1100</v>
      </c>
      <c r="N276" s="154">
        <v>1</v>
      </c>
      <c r="O276" s="154">
        <v>0</v>
      </c>
      <c r="P276" s="154">
        <v>600</v>
      </c>
      <c r="Q276" s="154"/>
      <c r="R276" s="153"/>
      <c r="S276" s="154"/>
      <c r="T276" s="154">
        <v>1</v>
      </c>
      <c r="U276" s="154">
        <v>5</v>
      </c>
    </row>
    <row r="277" spans="1:21" ht="15.75" x14ac:dyDescent="0.3">
      <c r="A277" s="154">
        <v>14</v>
      </c>
      <c r="B277" s="153" t="str">
        <f t="shared" si="32"/>
        <v>14转新增怪物种类5</v>
      </c>
      <c r="C277" s="153">
        <v>81</v>
      </c>
      <c r="D277" s="153">
        <v>19</v>
      </c>
      <c r="E277" s="153">
        <v>112</v>
      </c>
      <c r="F277" s="153">
        <v>220</v>
      </c>
      <c r="G277" s="153">
        <v>1</v>
      </c>
      <c r="H277" s="153">
        <v>0</v>
      </c>
      <c r="I277" s="153">
        <f>INT(怪物掉落配置方案!D10013/10)*10</f>
        <v>5833330</v>
      </c>
      <c r="J277" s="154" t="str">
        <f>"3#1#"&amp;基本属性!BN24&amp;"|"&amp;"3#3#"&amp;INT(0.8*基本属性!AJ24)&amp;"|"&amp;"3#4#"&amp;INT(1.2*基本属性!AJ24)&amp;"|"&amp;"3#5#"&amp;INT(0.8*基本属性!AJ24)&amp;"|"&amp;"3#6#"&amp;INT(1.2*基本属性!AJ24)&amp;"|"&amp;"3#7#"&amp;INT(0.8*基本属性!AJ24)&amp;"|"&amp;"3#8#"&amp;INT(1.2*基本属性!AJ24)&amp;"|"&amp;"3#9#"&amp;基本属性!AK24&amp;"|"&amp;"3#10#"&amp;基本属性!AK24&amp;"|"&amp;"3#11#"&amp;基本属性!AK24&amp;"|"&amp;"3#12#"&amp;基本属性!AK24</f>
        <v>3#1#25330000|3#3#11268|3#4#16903|3#5#11268|3#6#16903|3#7#11268|3#8#16903|3#9#2900|3#10#2900|3#11#2900|3#12#2900</v>
      </c>
      <c r="K277" s="154">
        <f t="shared" si="31"/>
        <v>66</v>
      </c>
      <c r="L277" s="154">
        <v>999</v>
      </c>
      <c r="M277" s="154">
        <v>1100</v>
      </c>
      <c r="N277" s="154">
        <v>1</v>
      </c>
      <c r="O277" s="154">
        <v>0</v>
      </c>
      <c r="P277" s="154">
        <v>600</v>
      </c>
      <c r="Q277" s="154"/>
      <c r="R277" s="153"/>
      <c r="S277" s="154"/>
      <c r="T277" s="154">
        <v>1</v>
      </c>
      <c r="U277" s="154">
        <v>5</v>
      </c>
    </row>
    <row r="278" spans="1:21" ht="15.75" x14ac:dyDescent="0.3">
      <c r="A278" s="154">
        <v>15</v>
      </c>
      <c r="B278" s="153" t="str">
        <f t="shared" si="32"/>
        <v>15转新增怪物种类5</v>
      </c>
      <c r="C278" s="153">
        <v>81</v>
      </c>
      <c r="D278" s="153">
        <v>19</v>
      </c>
      <c r="E278" s="153">
        <v>112</v>
      </c>
      <c r="F278" s="153">
        <v>220</v>
      </c>
      <c r="G278" s="153">
        <v>1</v>
      </c>
      <c r="H278" s="153">
        <v>0</v>
      </c>
      <c r="I278" s="153">
        <f>INT(怪物掉落配置方案!D10014/10)*10</f>
        <v>5833330</v>
      </c>
      <c r="J278" s="154" t="str">
        <f>"3#1#"&amp;基本属性!BN25&amp;"|"&amp;"3#3#"&amp;INT(0.8*基本属性!AJ25)&amp;"|"&amp;"3#4#"&amp;INT(1.2*基本属性!AJ25)&amp;"|"&amp;"3#5#"&amp;INT(0.8*基本属性!AJ25)&amp;"|"&amp;"3#6#"&amp;INT(1.2*基本属性!AJ25)&amp;"|"&amp;"3#7#"&amp;INT(0.8*基本属性!AJ25)&amp;"|"&amp;"3#8#"&amp;INT(1.2*基本属性!AJ25)&amp;"|"&amp;"3#9#"&amp;基本属性!AK25&amp;"|"&amp;"3#10#"&amp;基本属性!AK25&amp;"|"&amp;"3#11#"&amp;基本属性!AK25&amp;"|"&amp;"3#12#"&amp;基本属性!AK25</f>
        <v>3#1#30530000|3#3#13340|3#4#20010|3#5#13340|3#6#20010|3#7#13340|3#8#20010|3#9#3200|3#10#3200|3#11#3200|3#12#3200</v>
      </c>
      <c r="K278" s="154">
        <f t="shared" si="31"/>
        <v>70</v>
      </c>
      <c r="L278" s="154">
        <v>999</v>
      </c>
      <c r="M278" s="154">
        <v>1100</v>
      </c>
      <c r="N278" s="154">
        <v>1</v>
      </c>
      <c r="O278" s="154">
        <v>0</v>
      </c>
      <c r="P278" s="154">
        <v>600</v>
      </c>
      <c r="Q278" s="154"/>
      <c r="R278" s="153"/>
      <c r="S278" s="154"/>
      <c r="T278" s="154">
        <v>1</v>
      </c>
      <c r="U278" s="154">
        <v>5</v>
      </c>
    </row>
    <row r="279" spans="1:21" ht="15.75" x14ac:dyDescent="0.3">
      <c r="A279" s="154">
        <v>16</v>
      </c>
      <c r="B279" s="153" t="str">
        <f t="shared" si="32"/>
        <v>16转新增怪物种类5</v>
      </c>
      <c r="C279" s="153">
        <v>81</v>
      </c>
      <c r="D279" s="153">
        <v>19</v>
      </c>
      <c r="E279" s="153">
        <v>112</v>
      </c>
      <c r="F279" s="153">
        <v>230</v>
      </c>
      <c r="G279" s="153">
        <v>1</v>
      </c>
      <c r="H279" s="153">
        <v>0</v>
      </c>
      <c r="I279" s="153">
        <f>INT(怪物掉落配置方案!D10015/10)*10</f>
        <v>2916660</v>
      </c>
      <c r="J279" s="154" t="str">
        <f>"3#1#"&amp;基本属性!BN26&amp;"|"&amp;"3#3#"&amp;INT(0.8*基本属性!AJ26)&amp;"|"&amp;"3#4#"&amp;INT(1.2*基本属性!AJ26)&amp;"|"&amp;"3#5#"&amp;INT(0.8*基本属性!AJ26)&amp;"|"&amp;"3#6#"&amp;INT(1.2*基本属性!AJ26)&amp;"|"&amp;"3#7#"&amp;INT(0.8*基本属性!AJ26)&amp;"|"&amp;"3#8#"&amp;INT(1.2*基本属性!AJ26)&amp;"|"&amp;"3#9#"&amp;基本属性!AK26&amp;"|"&amp;"3#10#"&amp;基本属性!AK26&amp;"|"&amp;"3#11#"&amp;基本属性!AK26&amp;"|"&amp;"3#12#"&amp;基本属性!AK26</f>
        <v>3#1#38890000|3#3#15717|3#4#23576|3#5#15717|3#6#23576|3#7#15717|3#8#23576|3#9#3500|3#10#3500|3#11#3500|3#12#3500</v>
      </c>
      <c r="K279" s="154">
        <f t="shared" si="31"/>
        <v>75</v>
      </c>
      <c r="L279" s="154">
        <v>999</v>
      </c>
      <c r="M279" s="154">
        <v>1100</v>
      </c>
      <c r="N279" s="154">
        <v>1</v>
      </c>
      <c r="O279" s="154">
        <v>0</v>
      </c>
      <c r="P279" s="154">
        <v>600</v>
      </c>
      <c r="Q279" s="154"/>
      <c r="R279" s="153"/>
      <c r="S279" s="154"/>
      <c r="T279" s="154">
        <v>1</v>
      </c>
      <c r="U279" s="154">
        <v>5</v>
      </c>
    </row>
    <row r="280" spans="1:21" ht="15.75" x14ac:dyDescent="0.3">
      <c r="A280" s="154">
        <v>17</v>
      </c>
      <c r="B280" s="153" t="str">
        <f t="shared" si="32"/>
        <v>17转新增怪物种类5</v>
      </c>
      <c r="C280" s="153">
        <v>81</v>
      </c>
      <c r="D280" s="153">
        <v>19</v>
      </c>
      <c r="E280" s="153">
        <v>112</v>
      </c>
      <c r="F280" s="153">
        <v>230</v>
      </c>
      <c r="G280" s="153">
        <v>1</v>
      </c>
      <c r="H280" s="153">
        <v>0</v>
      </c>
      <c r="I280" s="153">
        <f>INT(怪物掉落配置方案!D10016/10)*10</f>
        <v>2916660</v>
      </c>
      <c r="J280" s="154" t="str">
        <f>"3#1#"&amp;基本属性!BN27&amp;"|"&amp;"3#3#"&amp;INT(0.8*基本属性!AJ27)&amp;"|"&amp;"3#4#"&amp;INT(1.2*基本属性!AJ27)&amp;"|"&amp;"3#5#"&amp;INT(0.8*基本属性!AJ27)&amp;"|"&amp;"3#6#"&amp;INT(1.2*基本属性!AJ27)&amp;"|"&amp;"3#7#"&amp;INT(0.8*基本属性!AJ27)&amp;"|"&amp;"3#8#"&amp;INT(1.2*基本属性!AJ27)&amp;"|"&amp;"3#9#"&amp;基本属性!AK27&amp;"|"&amp;"3#10#"&amp;基本属性!AK27&amp;"|"&amp;"3#11#"&amp;基本属性!AK27&amp;"|"&amp;"3#12#"&amp;基本属性!AK27</f>
        <v>3#1#45460000|3#3#18224|3#4#27336|3#5#18224|3#6#27336|3#7#18224|3#8#27336|3#9#3750|3#10#3750|3#11#3750|3#12#3750</v>
      </c>
      <c r="K280" s="154">
        <f t="shared" si="31"/>
        <v>79</v>
      </c>
      <c r="L280" s="154">
        <v>999</v>
      </c>
      <c r="M280" s="154">
        <v>1100</v>
      </c>
      <c r="N280" s="154">
        <v>1</v>
      </c>
      <c r="O280" s="154">
        <v>0</v>
      </c>
      <c r="P280" s="154">
        <v>600</v>
      </c>
      <c r="Q280" s="154"/>
      <c r="R280" s="153"/>
      <c r="S280" s="154"/>
      <c r="T280" s="154">
        <v>1</v>
      </c>
      <c r="U280" s="154">
        <v>5</v>
      </c>
    </row>
    <row r="281" spans="1:21" ht="15.75" x14ac:dyDescent="0.3">
      <c r="A281" s="154">
        <v>18</v>
      </c>
      <c r="B281" s="153" t="str">
        <f t="shared" si="32"/>
        <v>18转新增怪物种类5</v>
      </c>
      <c r="C281" s="153">
        <v>81</v>
      </c>
      <c r="D281" s="153">
        <v>19</v>
      </c>
      <c r="E281" s="153">
        <v>112</v>
      </c>
      <c r="F281" s="153">
        <v>240</v>
      </c>
      <c r="G281" s="153">
        <v>1</v>
      </c>
      <c r="H281" s="153">
        <v>0</v>
      </c>
      <c r="I281" s="153">
        <f>INT(怪物掉落配置方案!D10017/10)*10</f>
        <v>2916660</v>
      </c>
      <c r="J281" s="154" t="str">
        <f>"3#1#"&amp;基本属性!BN28&amp;"|"&amp;"3#3#"&amp;INT(0.8*基本属性!AJ28)&amp;"|"&amp;"3#4#"&amp;INT(1.2*基本属性!AJ28)&amp;"|"&amp;"3#5#"&amp;INT(0.8*基本属性!AJ28)&amp;"|"&amp;"3#6#"&amp;INT(1.2*基本属性!AJ28)&amp;"|"&amp;"3#7#"&amp;INT(0.8*基本属性!AJ28)&amp;"|"&amp;"3#8#"&amp;INT(1.2*基本属性!AJ28)&amp;"|"&amp;"3#9#"&amp;基本属性!AK28&amp;"|"&amp;"3#10#"&amp;基本属性!AK28&amp;"|"&amp;"3#11#"&amp;基本属性!AK28&amp;"|"&amp;"3#12#"&amp;基本属性!AK28</f>
        <v>3#1#52880000|3#3#21140|3#4#31711|3#5#21140|3#6#31711|3#7#21140|3#8#31711|3#9#4000|3#10#4000|3#11#4000|3#12#4000</v>
      </c>
      <c r="K281" s="154">
        <f t="shared" si="31"/>
        <v>84</v>
      </c>
      <c r="L281" s="154">
        <v>999</v>
      </c>
      <c r="M281" s="154">
        <v>1100</v>
      </c>
      <c r="N281" s="154">
        <v>1</v>
      </c>
      <c r="O281" s="154">
        <v>0</v>
      </c>
      <c r="P281" s="154">
        <v>600</v>
      </c>
      <c r="Q281" s="154"/>
      <c r="R281" s="153"/>
      <c r="S281" s="154"/>
      <c r="T281" s="154">
        <v>1</v>
      </c>
      <c r="U281" s="154">
        <v>5</v>
      </c>
    </row>
    <row r="282" spans="1:21" ht="15.75" x14ac:dyDescent="0.3">
      <c r="A282" s="154">
        <v>19</v>
      </c>
      <c r="B282" s="153" t="str">
        <f t="shared" si="32"/>
        <v>19转新增怪物种类5</v>
      </c>
      <c r="C282" s="153">
        <v>81</v>
      </c>
      <c r="D282" s="153">
        <v>19</v>
      </c>
      <c r="E282" s="153">
        <v>112</v>
      </c>
      <c r="F282" s="153">
        <v>240</v>
      </c>
      <c r="G282" s="153">
        <v>1</v>
      </c>
      <c r="H282" s="153">
        <v>0</v>
      </c>
      <c r="I282" s="153">
        <f>INT(怪物掉落配置方案!D10018/10)*10</f>
        <v>2916660</v>
      </c>
      <c r="J282" s="154" t="str">
        <f>"3#1#"&amp;基本属性!BN29&amp;"|"&amp;"3#3#"&amp;INT(0.8*基本属性!AJ29)&amp;"|"&amp;"3#4#"&amp;INT(1.2*基本属性!AJ29)&amp;"|"&amp;"3#5#"&amp;INT(0.8*基本属性!AJ29)&amp;"|"&amp;"3#6#"&amp;INT(1.2*基本属性!AJ29)&amp;"|"&amp;"3#7#"&amp;INT(0.8*基本属性!AJ29)&amp;"|"&amp;"3#8#"&amp;INT(1.2*基本属性!AJ29)&amp;"|"&amp;"3#9#"&amp;基本属性!AK29&amp;"|"&amp;"3#10#"&amp;基本属性!AK29&amp;"|"&amp;"3#11#"&amp;基本属性!AK29&amp;"|"&amp;"3#12#"&amp;基本属性!AK29</f>
        <v>3#1#64830000|3#3#26012|3#4#39018|3#5#26012|3#6#39018|3#7#26012|3#8#39018|3#9#4500|3#10#4500|3#11#4500|3#12#4500</v>
      </c>
      <c r="K282" s="154">
        <f t="shared" si="31"/>
        <v>88</v>
      </c>
      <c r="L282" s="154">
        <v>999</v>
      </c>
      <c r="M282" s="154">
        <v>1100</v>
      </c>
      <c r="N282" s="154">
        <v>1</v>
      </c>
      <c r="O282" s="154">
        <v>0</v>
      </c>
      <c r="P282" s="154">
        <v>600</v>
      </c>
      <c r="Q282" s="154"/>
      <c r="R282" s="153"/>
      <c r="S282" s="154"/>
      <c r="T282" s="154">
        <v>1</v>
      </c>
      <c r="U282" s="154">
        <v>5</v>
      </c>
    </row>
    <row r="283" spans="1:21" ht="15.75" x14ac:dyDescent="0.3">
      <c r="A283" s="154">
        <v>20</v>
      </c>
      <c r="B283" s="153" t="str">
        <f t="shared" si="32"/>
        <v>20转新增怪物种类5</v>
      </c>
      <c r="C283" s="153">
        <v>81</v>
      </c>
      <c r="D283" s="153">
        <v>19</v>
      </c>
      <c r="E283" s="153">
        <v>112</v>
      </c>
      <c r="F283" s="153">
        <v>250</v>
      </c>
      <c r="G283" s="153">
        <v>1</v>
      </c>
      <c r="H283" s="153">
        <v>0</v>
      </c>
      <c r="I283" s="153">
        <f>INT(怪物掉落配置方案!D10019/10)*10</f>
        <v>2916660</v>
      </c>
      <c r="J283" s="154" t="str">
        <f>"3#1#"&amp;基本属性!BN30&amp;"|"&amp;"3#3#"&amp;INT(0.8*基本属性!AJ30)&amp;"|"&amp;"3#4#"&amp;INT(1.2*基本属性!AJ30)&amp;"|"&amp;"3#5#"&amp;INT(0.8*基本属性!AJ30)&amp;"|"&amp;"3#6#"&amp;INT(1.2*基本属性!AJ30)&amp;"|"&amp;"3#7#"&amp;INT(0.8*基本属性!AJ30)&amp;"|"&amp;"3#8#"&amp;INT(1.2*基本属性!AJ30)&amp;"|"&amp;"3#9#"&amp;基本属性!AK30&amp;"|"&amp;"3#10#"&amp;基本属性!AK30&amp;"|"&amp;"3#11#"&amp;基本属性!AK30&amp;"|"&amp;"3#12#"&amp;基本属性!AK30</f>
        <v>3#1#87370000|3#3#33643|3#4#50464|3#5#33643|3#6#50464|3#7#33643|3#8#50464|3#9#5000|3#10#5000|3#11#5000|3#12#5000</v>
      </c>
      <c r="K283" s="154">
        <f t="shared" si="31"/>
        <v>96</v>
      </c>
      <c r="L283" s="154">
        <v>999</v>
      </c>
      <c r="M283" s="154">
        <v>1100</v>
      </c>
      <c r="N283" s="154">
        <v>1</v>
      </c>
      <c r="O283" s="154">
        <v>0</v>
      </c>
      <c r="P283" s="154">
        <v>600</v>
      </c>
      <c r="Q283" s="154"/>
      <c r="R283" s="153"/>
      <c r="S283" s="154"/>
      <c r="T283" s="154">
        <v>1</v>
      </c>
      <c r="U283" s="154">
        <v>5</v>
      </c>
    </row>
    <row r="284" spans="1:21" s="155" customFormat="1" x14ac:dyDescent="0.3">
      <c r="A284" s="155" t="s">
        <v>3721</v>
      </c>
      <c r="B284" s="156"/>
      <c r="C284" s="156"/>
      <c r="D284" s="156"/>
      <c r="E284" s="156"/>
      <c r="F284" s="156"/>
      <c r="G284" s="156"/>
      <c r="H284" s="156"/>
      <c r="I284" s="156"/>
      <c r="R284" s="156"/>
    </row>
    <row r="285" spans="1:21" ht="15.75" x14ac:dyDescent="0.3">
      <c r="A285" s="154">
        <v>35</v>
      </c>
      <c r="B285" s="153" t="str">
        <f t="shared" ref="B285:B291" si="33">A285&amp;"级新增怪物种类6"</f>
        <v>35级新增怪物种类6</v>
      </c>
      <c r="C285" s="153">
        <v>81</v>
      </c>
      <c r="D285" s="153">
        <v>19</v>
      </c>
      <c r="E285" s="153">
        <v>112</v>
      </c>
      <c r="F285" s="153">
        <v>35</v>
      </c>
      <c r="G285" s="153">
        <v>1</v>
      </c>
      <c r="H285" s="153">
        <v>0</v>
      </c>
      <c r="I285" s="153">
        <f>INT(怪物掉落配置方案!D11019/10)*10</f>
        <v>4990</v>
      </c>
      <c r="J285" s="154" t="str">
        <f>"3#1#"&amp;基本属性!BO4&amp;"|"&amp;"3#3#"&amp;INT(0.8*基本属性!AM4)&amp;"|"&amp;"3#4#"&amp;INT(1.2*基本属性!AM4)&amp;"|"&amp;"3#5#"&amp;INT(0.8*基本属性!AM4)&amp;"|"&amp;"3#6#"&amp;INT(1.2*基本属性!AM4)&amp;"|"&amp;"3#7#"&amp;INT(0.8*基本属性!AM4)&amp;"|"&amp;"3#8#"&amp;INT(1.2*基本属性!AM4)&amp;"|"&amp;"3#9#"&amp;基本属性!AN4&amp;"|"&amp;"3#10#"&amp;基本属性!AN4&amp;"|"&amp;"3#11#"&amp;基本属性!AN4&amp;"|"&amp;"3#12#"&amp;基本属性!AN4</f>
        <v>3#1#90000|3#3#163|3#4#244|3#5#163|3#6#244|3#7#163|3#8#244|3#9#100|3#10#100|3#11#100|3#12#100</v>
      </c>
      <c r="K285" s="154">
        <f>K145</f>
        <v>2</v>
      </c>
      <c r="L285" s="154">
        <v>999</v>
      </c>
      <c r="M285" s="154">
        <v>1100</v>
      </c>
      <c r="N285" s="154">
        <v>1</v>
      </c>
      <c r="O285" s="154">
        <v>0</v>
      </c>
      <c r="P285" s="154">
        <v>600</v>
      </c>
      <c r="Q285" s="154"/>
      <c r="R285" s="153"/>
      <c r="S285" s="154"/>
      <c r="T285" s="154">
        <v>1</v>
      </c>
      <c r="U285" s="154">
        <v>5</v>
      </c>
    </row>
    <row r="286" spans="1:21" ht="15.75" x14ac:dyDescent="0.3">
      <c r="A286" s="154">
        <v>40</v>
      </c>
      <c r="B286" s="153" t="str">
        <f t="shared" si="33"/>
        <v>40级新增怪物种类6</v>
      </c>
      <c r="C286" s="153">
        <v>81</v>
      </c>
      <c r="D286" s="153">
        <v>19</v>
      </c>
      <c r="E286" s="153">
        <v>112</v>
      </c>
      <c r="F286" s="153">
        <v>40</v>
      </c>
      <c r="G286" s="153">
        <v>1</v>
      </c>
      <c r="H286" s="153">
        <v>0</v>
      </c>
      <c r="I286" s="153">
        <f>INT(怪物掉落配置方案!D11020/10)*10</f>
        <v>9580</v>
      </c>
      <c r="J286" s="154" t="str">
        <f>"3#1#"&amp;基本属性!BO5&amp;"|"&amp;"3#3#"&amp;INT(0.8*基本属性!AM5)&amp;"|"&amp;"3#4#"&amp;INT(1.2*基本属性!AM5)&amp;"|"&amp;"3#5#"&amp;INT(0.8*基本属性!AM5)&amp;"|"&amp;"3#6#"&amp;INT(1.2*基本属性!AM5)&amp;"|"&amp;"3#7#"&amp;INT(0.8*基本属性!AM5)&amp;"|"&amp;"3#8#"&amp;INT(1.2*基本属性!AM5)&amp;"|"&amp;"3#9#"&amp;基本属性!AN5&amp;"|"&amp;"3#10#"&amp;基本属性!AN5&amp;"|"&amp;"3#11#"&amp;基本属性!AN5&amp;"|"&amp;"3#12#"&amp;基本属性!AN5</f>
        <v>3#1#160000|3#3#252|3#4#378|3#5#252|3#6#378|3#7#252|3#8#378|3#9#150|3#10#150|3#11#150|3#12#150</v>
      </c>
      <c r="K286" s="154">
        <f t="shared" ref="K286:K311" si="34">K146</f>
        <v>4</v>
      </c>
      <c r="L286" s="154">
        <v>999</v>
      </c>
      <c r="M286" s="154">
        <v>1100</v>
      </c>
      <c r="N286" s="154">
        <v>1</v>
      </c>
      <c r="O286" s="154">
        <v>0</v>
      </c>
      <c r="P286" s="154">
        <v>600</v>
      </c>
      <c r="Q286" s="154"/>
      <c r="R286" s="153"/>
      <c r="S286" s="154"/>
      <c r="T286" s="154">
        <v>1</v>
      </c>
      <c r="U286" s="154">
        <v>5</v>
      </c>
    </row>
    <row r="287" spans="1:21" ht="15.75" x14ac:dyDescent="0.3">
      <c r="A287" s="154">
        <v>50</v>
      </c>
      <c r="B287" s="153" t="str">
        <f t="shared" si="33"/>
        <v>50级新增怪物种类6</v>
      </c>
      <c r="C287" s="153">
        <v>81</v>
      </c>
      <c r="D287" s="153">
        <v>19</v>
      </c>
      <c r="E287" s="153">
        <v>112</v>
      </c>
      <c r="F287" s="153">
        <v>50</v>
      </c>
      <c r="G287" s="153">
        <v>1</v>
      </c>
      <c r="H287" s="153">
        <v>0</v>
      </c>
      <c r="I287" s="153">
        <f>INT(怪物掉落配置方案!D11021/10)*10</f>
        <v>25990</v>
      </c>
      <c r="J287" s="154" t="str">
        <f>"3#1#"&amp;基本属性!BO6&amp;"|"&amp;"3#3#"&amp;INT(0.8*基本属性!AM6)&amp;"|"&amp;"3#4#"&amp;INT(1.2*基本属性!AM6)&amp;"|"&amp;"3#5#"&amp;INT(0.8*基本属性!AM6)&amp;"|"&amp;"3#6#"&amp;INT(1.2*基本属性!AM6)&amp;"|"&amp;"3#7#"&amp;INT(0.8*基本属性!AM6)&amp;"|"&amp;"3#8#"&amp;INT(1.2*基本属性!AM6)&amp;"|"&amp;"3#9#"&amp;基本属性!AN6&amp;"|"&amp;"3#10#"&amp;基本属性!AN6&amp;"|"&amp;"3#11#"&amp;基本属性!AN6&amp;"|"&amp;"3#12#"&amp;基本属性!AN6</f>
        <v>3#1#240000|3#3#345|3#4#518|3#5#345|3#6#518|3#7#345|3#8#518|3#9#200|3#10#200|3#11#200|3#12#200</v>
      </c>
      <c r="K287" s="154">
        <f t="shared" si="34"/>
        <v>6</v>
      </c>
      <c r="L287" s="154">
        <v>999</v>
      </c>
      <c r="M287" s="154">
        <v>1100</v>
      </c>
      <c r="N287" s="154">
        <v>1</v>
      </c>
      <c r="O287" s="154">
        <v>0</v>
      </c>
      <c r="P287" s="154">
        <v>600</v>
      </c>
      <c r="Q287" s="154"/>
      <c r="R287" s="153"/>
      <c r="S287" s="154"/>
      <c r="T287" s="154">
        <v>1</v>
      </c>
      <c r="U287" s="154">
        <v>5</v>
      </c>
    </row>
    <row r="288" spans="1:21" ht="15.75" x14ac:dyDescent="0.3">
      <c r="A288" s="154">
        <v>60</v>
      </c>
      <c r="B288" s="153" t="str">
        <f t="shared" si="33"/>
        <v>60级新增怪物种类6</v>
      </c>
      <c r="C288" s="153">
        <v>81</v>
      </c>
      <c r="D288" s="153">
        <v>19</v>
      </c>
      <c r="E288" s="153">
        <v>112</v>
      </c>
      <c r="F288" s="153">
        <v>60</v>
      </c>
      <c r="G288" s="153">
        <v>1</v>
      </c>
      <c r="H288" s="153">
        <v>0</v>
      </c>
      <c r="I288" s="153">
        <f>INT(怪物掉落配置方案!D11022/10)*10</f>
        <v>32500</v>
      </c>
      <c r="J288" s="154" t="str">
        <f>"3#1#"&amp;基本属性!BO7&amp;"|"&amp;"3#3#"&amp;INT(0.8*基本属性!AM7)&amp;"|"&amp;"3#4#"&amp;INT(1.2*基本属性!AM7)&amp;"|"&amp;"3#5#"&amp;INT(0.8*基本属性!AM7)&amp;"|"&amp;"3#6#"&amp;INT(1.2*基本属性!AM7)&amp;"|"&amp;"3#7#"&amp;INT(0.8*基本属性!AM7)&amp;"|"&amp;"3#8#"&amp;INT(1.2*基本属性!AM7)&amp;"|"&amp;"3#9#"&amp;基本属性!AN7&amp;"|"&amp;"3#10#"&amp;基本属性!AN7&amp;"|"&amp;"3#11#"&amp;基本属性!AN7&amp;"|"&amp;"3#12#"&amp;基本属性!AN7</f>
        <v>3#1#360000|3#3#444|3#4#667|3#5#444|3#6#667|3#7#444|3#8#667|3#9#250|3#10#250|3#11#250|3#12#250</v>
      </c>
      <c r="K288" s="154">
        <f t="shared" si="34"/>
        <v>9</v>
      </c>
      <c r="L288" s="154">
        <v>999</v>
      </c>
      <c r="M288" s="154">
        <v>1100</v>
      </c>
      <c r="N288" s="154">
        <v>1</v>
      </c>
      <c r="O288" s="154">
        <v>0</v>
      </c>
      <c r="P288" s="154">
        <v>600</v>
      </c>
      <c r="Q288" s="154"/>
      <c r="R288" s="153"/>
      <c r="S288" s="154"/>
      <c r="T288" s="154">
        <v>1</v>
      </c>
      <c r="U288" s="154">
        <v>5</v>
      </c>
    </row>
    <row r="289" spans="1:21" ht="15.75" x14ac:dyDescent="0.3">
      <c r="A289" s="154">
        <v>65</v>
      </c>
      <c r="B289" s="153" t="str">
        <f t="shared" si="33"/>
        <v>65级新增怪物种类6</v>
      </c>
      <c r="C289" s="153">
        <v>81</v>
      </c>
      <c r="D289" s="153">
        <v>19</v>
      </c>
      <c r="E289" s="153">
        <v>112</v>
      </c>
      <c r="F289" s="153">
        <v>65</v>
      </c>
      <c r="G289" s="153">
        <v>1</v>
      </c>
      <c r="H289" s="153">
        <v>0</v>
      </c>
      <c r="I289" s="153">
        <f>INT(怪物掉落配置方案!D11023/10)*10</f>
        <v>32660</v>
      </c>
      <c r="J289" s="154" t="str">
        <f>"3#1#"&amp;基本属性!BO8&amp;"|"&amp;"3#3#"&amp;INT(0.8*基本属性!AM8)&amp;"|"&amp;"3#4#"&amp;INT(1.2*基本属性!AM8)&amp;"|"&amp;"3#5#"&amp;INT(0.8*基本属性!AM8)&amp;"|"&amp;"3#6#"&amp;INT(1.2*基本属性!AM8)&amp;"|"&amp;"3#7#"&amp;INT(0.8*基本属性!AM8)&amp;"|"&amp;"3#8#"&amp;INT(1.2*基本属性!AM8)&amp;"|"&amp;"3#9#"&amp;基本属性!AN8&amp;"|"&amp;"3#10#"&amp;基本属性!AN8&amp;"|"&amp;"3#11#"&amp;基本属性!AN8&amp;"|"&amp;"3#12#"&amp;基本属性!AN8</f>
        <v>3#1#520000|3#3#596|3#4#894|3#5#596|3#6#894|3#7#596|3#8#894|3#9#325|3#10#325|3#11#325|3#12#325</v>
      </c>
      <c r="K289" s="154">
        <f t="shared" si="34"/>
        <v>12</v>
      </c>
      <c r="L289" s="154">
        <v>999</v>
      </c>
      <c r="M289" s="154">
        <v>1100</v>
      </c>
      <c r="N289" s="154">
        <v>1</v>
      </c>
      <c r="O289" s="154">
        <v>0</v>
      </c>
      <c r="P289" s="154">
        <v>600</v>
      </c>
      <c r="Q289" s="154"/>
      <c r="R289" s="153"/>
      <c r="S289" s="154"/>
      <c r="T289" s="154">
        <v>1</v>
      </c>
      <c r="U289" s="154">
        <v>5</v>
      </c>
    </row>
    <row r="290" spans="1:21" ht="15.75" x14ac:dyDescent="0.3">
      <c r="A290" s="154">
        <v>70</v>
      </c>
      <c r="B290" s="153" t="str">
        <f t="shared" si="33"/>
        <v>70级新增怪物种类6</v>
      </c>
      <c r="C290" s="153">
        <v>81</v>
      </c>
      <c r="D290" s="153">
        <v>19</v>
      </c>
      <c r="E290" s="153">
        <v>112</v>
      </c>
      <c r="F290" s="153">
        <v>70</v>
      </c>
      <c r="G290" s="153">
        <v>1</v>
      </c>
      <c r="H290" s="153">
        <v>0</v>
      </c>
      <c r="I290" s="153">
        <f>INT(怪物掉落配置方案!D11024/10)*10</f>
        <v>33440</v>
      </c>
      <c r="J290" s="154" t="str">
        <f>"3#1#"&amp;基本属性!BO9&amp;"|"&amp;"3#3#"&amp;INT(0.8*基本属性!AM9)&amp;"|"&amp;"3#4#"&amp;INT(1.2*基本属性!AM9)&amp;"|"&amp;"3#5#"&amp;INT(0.8*基本属性!AM9)&amp;"|"&amp;"3#6#"&amp;INT(1.2*基本属性!AM9)&amp;"|"&amp;"3#7#"&amp;INT(0.8*基本属性!AM9)&amp;"|"&amp;"3#8#"&amp;INT(1.2*基本属性!AM9)&amp;"|"&amp;"3#9#"&amp;基本属性!AN9&amp;"|"&amp;"3#10#"&amp;基本属性!AN9&amp;"|"&amp;"3#11#"&amp;基本属性!AN9&amp;"|"&amp;"3#12#"&amp;基本属性!AN9</f>
        <v>3#1#710000|3#3#757|3#4#1136|3#5#757|3#6#1136|3#7#757|3#8#1136|3#9#400|3#10#400|3#11#400|3#12#400</v>
      </c>
      <c r="K290" s="154">
        <f t="shared" si="34"/>
        <v>14</v>
      </c>
      <c r="L290" s="154">
        <v>999</v>
      </c>
      <c r="M290" s="154">
        <v>1100</v>
      </c>
      <c r="N290" s="154">
        <v>1</v>
      </c>
      <c r="O290" s="154">
        <v>0</v>
      </c>
      <c r="P290" s="154">
        <v>600</v>
      </c>
      <c r="Q290" s="154"/>
      <c r="R290" s="153"/>
      <c r="S290" s="154"/>
      <c r="T290" s="154">
        <v>1</v>
      </c>
      <c r="U290" s="154">
        <v>5</v>
      </c>
    </row>
    <row r="291" spans="1:21" ht="15.75" x14ac:dyDescent="0.3">
      <c r="A291" s="154">
        <v>75</v>
      </c>
      <c r="B291" s="153" t="str">
        <f t="shared" si="33"/>
        <v>75级新增怪物种类6</v>
      </c>
      <c r="C291" s="153">
        <v>81</v>
      </c>
      <c r="D291" s="153">
        <v>19</v>
      </c>
      <c r="E291" s="153">
        <v>112</v>
      </c>
      <c r="F291" s="153">
        <v>75</v>
      </c>
      <c r="G291" s="153">
        <v>1</v>
      </c>
      <c r="H291" s="153">
        <v>0</v>
      </c>
      <c r="I291" s="153">
        <f>INT(怪物掉落配置方案!D11025/10)*10</f>
        <v>37740</v>
      </c>
      <c r="J291" s="154" t="str">
        <f>"3#1#"&amp;基本属性!BO10&amp;"|"&amp;"3#3#"&amp;INT(0.8*基本属性!AM10)&amp;"|"&amp;"3#4#"&amp;INT(1.2*基本属性!AM10)&amp;"|"&amp;"3#5#"&amp;INT(0.8*基本属性!AM10)&amp;"|"&amp;"3#6#"&amp;INT(1.2*基本属性!AM10)&amp;"|"&amp;"3#7#"&amp;INT(0.8*基本属性!AM10)&amp;"|"&amp;"3#8#"&amp;INT(1.2*基本属性!AM10)&amp;"|"&amp;"3#9#"&amp;基本属性!AN10&amp;"|"&amp;"3#10#"&amp;基本属性!AN10&amp;"|"&amp;"3#11#"&amp;基本属性!AN10&amp;"|"&amp;"3#12#"&amp;基本属性!AN10</f>
        <v>3#1#1020000|3#3#930|3#4#1395|3#5#930|3#6#1395|3#7#930|3#8#1395|3#9#475|3#10#475|3#11#475|3#12#475</v>
      </c>
      <c r="K291" s="154">
        <f t="shared" si="34"/>
        <v>17</v>
      </c>
      <c r="L291" s="154">
        <v>999</v>
      </c>
      <c r="M291" s="154">
        <v>1100</v>
      </c>
      <c r="N291" s="154">
        <v>1</v>
      </c>
      <c r="O291" s="154">
        <v>0</v>
      </c>
      <c r="P291" s="154">
        <v>600</v>
      </c>
      <c r="Q291" s="154"/>
      <c r="R291" s="153"/>
      <c r="S291" s="154"/>
      <c r="T291" s="154">
        <v>1</v>
      </c>
      <c r="U291" s="154">
        <v>5</v>
      </c>
    </row>
    <row r="292" spans="1:21" ht="15.75" x14ac:dyDescent="0.3">
      <c r="A292" s="154">
        <v>1</v>
      </c>
      <c r="B292" s="153" t="str">
        <f t="shared" ref="B292:B311" si="35">A292&amp;"转新增怪物种类6"</f>
        <v>1转新增怪物种类6</v>
      </c>
      <c r="C292" s="153">
        <v>81</v>
      </c>
      <c r="D292" s="153">
        <v>19</v>
      </c>
      <c r="E292" s="153">
        <v>112</v>
      </c>
      <c r="F292" s="153">
        <v>80</v>
      </c>
      <c r="G292" s="153">
        <v>1</v>
      </c>
      <c r="H292" s="153">
        <v>0</v>
      </c>
      <c r="I292" s="153">
        <f>INT(怪物掉落配置方案!D11026/10)*10</f>
        <v>60480</v>
      </c>
      <c r="J292" s="154" t="str">
        <f>"3#1#"&amp;基本属性!BO11&amp;"|"&amp;"3#3#"&amp;INT(0.8*基本属性!AM11)&amp;"|"&amp;"3#4#"&amp;INT(1.2*基本属性!AM11)&amp;"|"&amp;"3#5#"&amp;INT(0.8*基本属性!AM11)&amp;"|"&amp;"3#6#"&amp;INT(1.2*基本属性!AM11)&amp;"|"&amp;"3#7#"&amp;INT(0.8*基本属性!AM11)&amp;"|"&amp;"3#8#"&amp;INT(1.2*基本属性!AM11)&amp;"|"&amp;"3#9#"&amp;基本属性!AN11&amp;"|"&amp;"3#10#"&amp;基本属性!AN11&amp;"|"&amp;"3#11#"&amp;基本属性!AN11&amp;"|"&amp;"3#12#"&amp;基本属性!AN11</f>
        <v>3#1#1310000|3#3#1115|3#4#1672|3#5#1115|3#6#1672|3#7#1115|3#8#1672|3#9#550|3#10#550|3#11#550|3#12#550</v>
      </c>
      <c r="K292" s="154">
        <f t="shared" si="34"/>
        <v>20</v>
      </c>
      <c r="L292" s="154">
        <v>999</v>
      </c>
      <c r="M292" s="154">
        <v>1100</v>
      </c>
      <c r="N292" s="154">
        <v>1</v>
      </c>
      <c r="O292" s="154">
        <v>0</v>
      </c>
      <c r="P292" s="154">
        <v>600</v>
      </c>
      <c r="Q292" s="154"/>
      <c r="R292" s="153"/>
      <c r="S292" s="154"/>
      <c r="T292" s="154">
        <v>1</v>
      </c>
      <c r="U292" s="154">
        <v>5</v>
      </c>
    </row>
    <row r="293" spans="1:21" ht="15.75" x14ac:dyDescent="0.3">
      <c r="A293" s="154">
        <v>2</v>
      </c>
      <c r="B293" s="153" t="str">
        <f t="shared" si="35"/>
        <v>2转新增怪物种类6</v>
      </c>
      <c r="C293" s="153">
        <v>81</v>
      </c>
      <c r="D293" s="153">
        <v>19</v>
      </c>
      <c r="E293" s="153">
        <v>112</v>
      </c>
      <c r="F293" s="153">
        <v>90</v>
      </c>
      <c r="G293" s="153">
        <v>1</v>
      </c>
      <c r="H293" s="153">
        <v>0</v>
      </c>
      <c r="I293" s="153">
        <f>INT(怪物掉落配置方案!D11027/10)*10</f>
        <v>104010</v>
      </c>
      <c r="J293" s="154" t="str">
        <f>"3#1#"&amp;基本属性!BO12&amp;"|"&amp;"3#3#"&amp;INT(0.8*基本属性!AM12)&amp;"|"&amp;"3#4#"&amp;INT(1.2*基本属性!AM12)&amp;"|"&amp;"3#5#"&amp;INT(0.8*基本属性!AM12)&amp;"|"&amp;"3#6#"&amp;INT(1.2*基本属性!AM12)&amp;"|"&amp;"3#7#"&amp;INT(0.8*基本属性!AM12)&amp;"|"&amp;"3#8#"&amp;INT(1.2*基本属性!AM12)&amp;"|"&amp;"3#9#"&amp;基本属性!AN12&amp;"|"&amp;"3#10#"&amp;基本属性!AN12&amp;"|"&amp;"3#11#"&amp;基本属性!AN12&amp;"|"&amp;"3#12#"&amp;基本属性!AN12</f>
        <v>3#1#1840000|3#3#1472|3#4#2209|3#5#1472|3#6#2209|3#7#1472|3#8#2209|3#9#700|3#10#700|3#11#700|3#12#700</v>
      </c>
      <c r="K293" s="154">
        <f t="shared" si="34"/>
        <v>23</v>
      </c>
      <c r="L293" s="154">
        <v>999</v>
      </c>
      <c r="M293" s="154">
        <v>1100</v>
      </c>
      <c r="N293" s="154">
        <v>1</v>
      </c>
      <c r="O293" s="154">
        <v>0</v>
      </c>
      <c r="P293" s="154">
        <v>600</v>
      </c>
      <c r="Q293" s="154"/>
      <c r="R293" s="153"/>
      <c r="S293" s="154"/>
      <c r="T293" s="154">
        <v>1</v>
      </c>
      <c r="U293" s="154">
        <v>5</v>
      </c>
    </row>
    <row r="294" spans="1:21" ht="15.75" x14ac:dyDescent="0.3">
      <c r="A294" s="154">
        <v>3</v>
      </c>
      <c r="B294" s="153" t="str">
        <f t="shared" si="35"/>
        <v>3转新增怪物种类6</v>
      </c>
      <c r="C294" s="153">
        <v>81</v>
      </c>
      <c r="D294" s="153">
        <v>19</v>
      </c>
      <c r="E294" s="153">
        <v>112</v>
      </c>
      <c r="F294" s="153">
        <v>100</v>
      </c>
      <c r="G294" s="153">
        <v>1</v>
      </c>
      <c r="H294" s="153">
        <v>0</v>
      </c>
      <c r="I294" s="153">
        <f>INT(怪物掉落配置方案!D11028/10)*10</f>
        <v>122380</v>
      </c>
      <c r="J294" s="154" t="str">
        <f>"3#1#"&amp;基本属性!BO13&amp;"|"&amp;"3#3#"&amp;INT(0.8*基本属性!AM13)&amp;"|"&amp;"3#4#"&amp;INT(1.2*基本属性!AM13)&amp;"|"&amp;"3#5#"&amp;INT(0.8*基本属性!AM13)&amp;"|"&amp;"3#6#"&amp;INT(1.2*基本属性!AM13)&amp;"|"&amp;"3#7#"&amp;INT(0.8*基本属性!AM13)&amp;"|"&amp;"3#8#"&amp;INT(1.2*基本属性!AM13)&amp;"|"&amp;"3#9#"&amp;基本属性!AN13&amp;"|"&amp;"3#10#"&amp;基本属性!AN13&amp;"|"&amp;"3#11#"&amp;基本属性!AN13&amp;"|"&amp;"3#12#"&amp;基本属性!AN13</f>
        <v>3#1#2600000|3#3#1968|3#4#2953|3#5#1968|3#6#2953|3#7#1968|3#8#2953|3#9#900|3#10#900|3#11#900|3#12#900</v>
      </c>
      <c r="K294" s="154">
        <f t="shared" si="34"/>
        <v>26</v>
      </c>
      <c r="L294" s="154">
        <v>999</v>
      </c>
      <c r="M294" s="154">
        <v>1100</v>
      </c>
      <c r="N294" s="154">
        <v>1</v>
      </c>
      <c r="O294" s="154">
        <v>0</v>
      </c>
      <c r="P294" s="154">
        <v>600</v>
      </c>
      <c r="Q294" s="154"/>
      <c r="R294" s="153"/>
      <c r="S294" s="154"/>
      <c r="T294" s="154">
        <v>1</v>
      </c>
      <c r="U294" s="154">
        <v>5</v>
      </c>
    </row>
    <row r="295" spans="1:21" ht="15.75" x14ac:dyDescent="0.3">
      <c r="A295" s="154">
        <v>4</v>
      </c>
      <c r="B295" s="153" t="str">
        <f t="shared" si="35"/>
        <v>4转新增怪物种类6</v>
      </c>
      <c r="C295" s="153">
        <v>81</v>
      </c>
      <c r="D295" s="153">
        <v>19</v>
      </c>
      <c r="E295" s="153">
        <v>112</v>
      </c>
      <c r="F295" s="153">
        <v>105</v>
      </c>
      <c r="G295" s="153">
        <v>1</v>
      </c>
      <c r="H295" s="153">
        <v>0</v>
      </c>
      <c r="I295" s="153">
        <f>INT(怪物掉落配置方案!D11029/10)*10</f>
        <v>189000</v>
      </c>
      <c r="J295" s="154" t="str">
        <f>"3#1#"&amp;基本属性!BO14&amp;"|"&amp;"3#3#"&amp;INT(0.8*基本属性!AM14)&amp;"|"&amp;"3#4#"&amp;INT(1.2*基本属性!AM14)&amp;"|"&amp;"3#5#"&amp;INT(0.8*基本属性!AM14)&amp;"|"&amp;"3#6#"&amp;INT(1.2*基本属性!AM14)&amp;"|"&amp;"3#7#"&amp;INT(0.8*基本属性!AM14)&amp;"|"&amp;"3#8#"&amp;INT(1.2*基本属性!AM14)&amp;"|"&amp;"3#9#"&amp;基本属性!AN14&amp;"|"&amp;"3#10#"&amp;基本属性!AN14&amp;"|"&amp;"3#11#"&amp;基本属性!AN14&amp;"|"&amp;"3#12#"&amp;基本属性!AN14</f>
        <v>3#1#3790000|3#3#2505|3#4#3758|3#5#2505|3#6#3758|3#7#2505|3#8#3758|3#9#1100|3#10#1100|3#11#1100|3#12#1100</v>
      </c>
      <c r="K295" s="154">
        <f t="shared" si="34"/>
        <v>29</v>
      </c>
      <c r="L295" s="154">
        <v>999</v>
      </c>
      <c r="M295" s="154">
        <v>1100</v>
      </c>
      <c r="N295" s="154">
        <v>1</v>
      </c>
      <c r="O295" s="154">
        <v>0</v>
      </c>
      <c r="P295" s="154">
        <v>600</v>
      </c>
      <c r="Q295" s="154"/>
      <c r="R295" s="153"/>
      <c r="S295" s="154"/>
      <c r="T295" s="154">
        <v>1</v>
      </c>
      <c r="U295" s="154">
        <v>5</v>
      </c>
    </row>
    <row r="296" spans="1:21" ht="15.75" x14ac:dyDescent="0.3">
      <c r="A296" s="154">
        <v>5</v>
      </c>
      <c r="B296" s="153" t="str">
        <f t="shared" si="35"/>
        <v>5转新增怪物种类6</v>
      </c>
      <c r="C296" s="153">
        <v>81</v>
      </c>
      <c r="D296" s="153">
        <v>19</v>
      </c>
      <c r="E296" s="153">
        <v>112</v>
      </c>
      <c r="F296" s="153">
        <v>110</v>
      </c>
      <c r="G296" s="153">
        <v>1</v>
      </c>
      <c r="H296" s="153">
        <v>0</v>
      </c>
      <c r="I296" s="153">
        <f>INT(怪物掉落配置方案!D11030/10)*10</f>
        <v>195330</v>
      </c>
      <c r="J296" s="154" t="str">
        <f>"3#1#"&amp;基本属性!BO15&amp;"|"&amp;"3#3#"&amp;INT(0.8*基本属性!AM15)&amp;"|"&amp;"3#4#"&amp;INT(1.2*基本属性!AM15)&amp;"|"&amp;"3#5#"&amp;INT(0.8*基本属性!AM15)&amp;"|"&amp;"3#6#"&amp;INT(1.2*基本属性!AM15)&amp;"|"&amp;"3#7#"&amp;INT(0.8*基本属性!AM15)&amp;"|"&amp;"3#8#"&amp;INT(1.2*基本属性!AM15)&amp;"|"&amp;"3#9#"&amp;基本属性!AN15&amp;"|"&amp;"3#10#"&amp;基本属性!AN15&amp;"|"&amp;"3#11#"&amp;基本属性!AN15&amp;"|"&amp;"3#12#"&amp;基本属性!AN15</f>
        <v>3#1#4830000|3#3#3029|3#4#4544|3#5#3029|3#6#4544|3#7#3029|3#8#4544|3#9#1275|3#10#1275|3#11#1275|3#12#1275</v>
      </c>
      <c r="K296" s="154">
        <f t="shared" si="34"/>
        <v>32</v>
      </c>
      <c r="L296" s="154">
        <v>999</v>
      </c>
      <c r="M296" s="154">
        <v>1100</v>
      </c>
      <c r="N296" s="154">
        <v>1</v>
      </c>
      <c r="O296" s="154">
        <v>0</v>
      </c>
      <c r="P296" s="154">
        <v>600</v>
      </c>
      <c r="Q296" s="154"/>
      <c r="R296" s="153"/>
      <c r="S296" s="154"/>
      <c r="T296" s="154">
        <v>1</v>
      </c>
      <c r="U296" s="154">
        <v>5</v>
      </c>
    </row>
    <row r="297" spans="1:21" ht="15.75" x14ac:dyDescent="0.3">
      <c r="A297" s="154">
        <v>6</v>
      </c>
      <c r="B297" s="153" t="str">
        <f t="shared" si="35"/>
        <v>6转新增怪物种类6</v>
      </c>
      <c r="C297" s="153">
        <v>81</v>
      </c>
      <c r="D297" s="153">
        <v>19</v>
      </c>
      <c r="E297" s="153">
        <v>112</v>
      </c>
      <c r="F297" s="153">
        <v>120</v>
      </c>
      <c r="G297" s="153">
        <v>1</v>
      </c>
      <c r="H297" s="153">
        <v>0</v>
      </c>
      <c r="I297" s="153">
        <f>INT(怪物掉落配置方案!D11031/10)*10</f>
        <v>778880</v>
      </c>
      <c r="J297" s="154" t="str">
        <f>"3#1#"&amp;基本属性!BO16&amp;"|"&amp;"3#3#"&amp;INT(0.8*基本属性!AM16)&amp;"|"&amp;"3#4#"&amp;INT(1.2*基本属性!AM16)&amp;"|"&amp;"3#5#"&amp;INT(0.8*基本属性!AM16)&amp;"|"&amp;"3#6#"&amp;INT(1.2*基本属性!AM16)&amp;"|"&amp;"3#7#"&amp;INT(0.8*基本属性!AM16)&amp;"|"&amp;"3#8#"&amp;INT(1.2*基本属性!AM16)&amp;"|"&amp;"3#9#"&amp;基本属性!AN16&amp;"|"&amp;"3#10#"&amp;基本属性!AN16&amp;"|"&amp;"3#11#"&amp;基本属性!AN16&amp;"|"&amp;"3#12#"&amp;基本属性!AN16</f>
        <v>3#1#6040000|3#3#3602|3#4#5403|3#5#3602|3#6#5403|3#7#3602|3#8#5403|3#9#1450|3#10#1450|3#11#1450|3#12#1450</v>
      </c>
      <c r="K297" s="154">
        <f t="shared" si="34"/>
        <v>36</v>
      </c>
      <c r="L297" s="154">
        <v>999</v>
      </c>
      <c r="M297" s="154">
        <v>1100</v>
      </c>
      <c r="N297" s="154">
        <v>1</v>
      </c>
      <c r="O297" s="154">
        <v>0</v>
      </c>
      <c r="P297" s="154">
        <v>600</v>
      </c>
      <c r="Q297" s="154"/>
      <c r="R297" s="153"/>
      <c r="S297" s="154"/>
      <c r="T297" s="154">
        <v>1</v>
      </c>
      <c r="U297" s="154">
        <v>5</v>
      </c>
    </row>
    <row r="298" spans="1:21" ht="15.75" x14ac:dyDescent="0.3">
      <c r="A298" s="154">
        <v>7</v>
      </c>
      <c r="B298" s="153" t="str">
        <f t="shared" si="35"/>
        <v>7转新增怪物种类6</v>
      </c>
      <c r="C298" s="153">
        <v>81</v>
      </c>
      <c r="D298" s="153">
        <v>19</v>
      </c>
      <c r="E298" s="153">
        <v>112</v>
      </c>
      <c r="F298" s="153">
        <v>135</v>
      </c>
      <c r="G298" s="153">
        <v>1</v>
      </c>
      <c r="H298" s="153">
        <v>0</v>
      </c>
      <c r="I298" s="153">
        <f>INT(怪物掉落配置方案!D11032/10)*10</f>
        <v>2666500</v>
      </c>
      <c r="J298" s="154" t="str">
        <f>"3#1#"&amp;基本属性!BO17&amp;"|"&amp;"3#3#"&amp;INT(0.8*基本属性!AM17)&amp;"|"&amp;"3#4#"&amp;INT(1.2*基本属性!AM17)&amp;"|"&amp;"3#5#"&amp;INT(0.8*基本属性!AM17)&amp;"|"&amp;"3#6#"&amp;INT(1.2*基本属性!AM17)&amp;"|"&amp;"3#7#"&amp;INT(0.8*基本属性!AM17)&amp;"|"&amp;"3#8#"&amp;INT(1.2*基本属性!AM17)&amp;"|"&amp;"3#9#"&amp;基本属性!AN17&amp;"|"&amp;"3#10#"&amp;基本属性!AN17&amp;"|"&amp;"3#11#"&amp;基本属性!AN17&amp;"|"&amp;"3#12#"&amp;基本属性!AN17</f>
        <v>3#1#7320000|3#3#4164|3#4#6247|3#5#4164|3#6#6247|3#7#4164|3#8#6247|3#9#1600|3#10#1600|3#11#1600|3#12#1600</v>
      </c>
      <c r="K298" s="154">
        <f t="shared" si="34"/>
        <v>39</v>
      </c>
      <c r="L298" s="154">
        <v>999</v>
      </c>
      <c r="M298" s="154">
        <v>1100</v>
      </c>
      <c r="N298" s="154">
        <v>1</v>
      </c>
      <c r="O298" s="154">
        <v>0</v>
      </c>
      <c r="P298" s="154">
        <v>600</v>
      </c>
      <c r="Q298" s="154"/>
      <c r="R298" s="153"/>
      <c r="S298" s="154"/>
      <c r="T298" s="154">
        <v>1</v>
      </c>
      <c r="U298" s="154">
        <v>5</v>
      </c>
    </row>
    <row r="299" spans="1:21" ht="15.75" x14ac:dyDescent="0.3">
      <c r="A299" s="154">
        <v>8</v>
      </c>
      <c r="B299" s="153" t="str">
        <f t="shared" si="35"/>
        <v>8转新增怪物种类6</v>
      </c>
      <c r="C299" s="153">
        <v>81</v>
      </c>
      <c r="D299" s="153">
        <v>19</v>
      </c>
      <c r="E299" s="153">
        <v>112</v>
      </c>
      <c r="F299" s="153">
        <v>155</v>
      </c>
      <c r="G299" s="153">
        <v>1</v>
      </c>
      <c r="H299" s="153">
        <v>0</v>
      </c>
      <c r="I299" s="153">
        <f>INT(怪物掉落配置方案!D11033/10)*10</f>
        <v>32210330</v>
      </c>
      <c r="J299" s="154" t="str">
        <f>"3#1#"&amp;基本属性!BO18&amp;"|"&amp;"3#3#"&amp;INT(0.8*基本属性!AM18)&amp;"|"&amp;"3#4#"&amp;INT(1.2*基本属性!AM18)&amp;"|"&amp;"3#5#"&amp;INT(0.8*基本属性!AM18)&amp;"|"&amp;"3#6#"&amp;INT(1.2*基本属性!AM18)&amp;"|"&amp;"3#7#"&amp;INT(0.8*基本属性!AM18)&amp;"|"&amp;"3#8#"&amp;INT(1.2*基本属性!AM18)&amp;"|"&amp;"3#9#"&amp;基本属性!AN18&amp;"|"&amp;"3#10#"&amp;基本属性!AN18&amp;"|"&amp;"3#11#"&amp;基本属性!AN18&amp;"|"&amp;"3#12#"&amp;基本属性!AN18</f>
        <v>3#1#9460000|3#3#4784|3#4#7176|3#5#4784|3#6#7176|3#7#4784|3#8#7176|3#9#1750|3#10#1750|3#11#1750|3#12#1750</v>
      </c>
      <c r="K299" s="154">
        <f t="shared" si="34"/>
        <v>43</v>
      </c>
      <c r="L299" s="154">
        <v>999</v>
      </c>
      <c r="M299" s="154">
        <v>1100</v>
      </c>
      <c r="N299" s="154">
        <v>1</v>
      </c>
      <c r="O299" s="154">
        <v>0</v>
      </c>
      <c r="P299" s="154">
        <v>600</v>
      </c>
      <c r="Q299" s="154"/>
      <c r="R299" s="153"/>
      <c r="S299" s="154"/>
      <c r="T299" s="154">
        <v>1</v>
      </c>
      <c r="U299" s="154">
        <v>5</v>
      </c>
    </row>
    <row r="300" spans="1:21" ht="15.75" x14ac:dyDescent="0.3">
      <c r="A300" s="154">
        <v>9</v>
      </c>
      <c r="B300" s="153" t="str">
        <f t="shared" si="35"/>
        <v>9转新增怪物种类6</v>
      </c>
      <c r="C300" s="153">
        <v>81</v>
      </c>
      <c r="D300" s="153">
        <v>19</v>
      </c>
      <c r="E300" s="153">
        <v>112</v>
      </c>
      <c r="F300" s="153">
        <v>190</v>
      </c>
      <c r="G300" s="153">
        <v>1</v>
      </c>
      <c r="H300" s="153">
        <v>0</v>
      </c>
      <c r="I300" s="153">
        <f>INT(怪物掉落配置方案!D11034/10)*10</f>
        <v>29288800</v>
      </c>
      <c r="J300" s="154" t="str">
        <f>"3#1#"&amp;基本属性!BO19&amp;"|"&amp;"3#3#"&amp;INT(0.8*基本属性!AM19)&amp;"|"&amp;"3#4#"&amp;INT(1.2*基本属性!AM19)&amp;"|"&amp;"3#5#"&amp;INT(0.8*基本属性!AM19)&amp;"|"&amp;"3#6#"&amp;INT(1.2*基本属性!AM19)&amp;"|"&amp;"3#7#"&amp;INT(0.8*基本属性!AM19)&amp;"|"&amp;"3#8#"&amp;INT(1.2*基本属性!AM19)&amp;"|"&amp;"3#9#"&amp;基本属性!AN19&amp;"|"&amp;"3#10#"&amp;基本属性!AN19&amp;"|"&amp;"3#11#"&amp;基本属性!AN19&amp;"|"&amp;"3#12#"&amp;基本属性!AN19</f>
        <v>3#1#11120000|3#3#5396|3#4#8095|3#5#5396|3#6#8095|3#7#5396|3#8#8095|3#9#1875|3#10#1875|3#11#1875|3#12#1875</v>
      </c>
      <c r="K300" s="154">
        <f t="shared" si="34"/>
        <v>46</v>
      </c>
      <c r="L300" s="154">
        <v>999</v>
      </c>
      <c r="M300" s="154">
        <v>1100</v>
      </c>
      <c r="N300" s="154">
        <v>1</v>
      </c>
      <c r="O300" s="154">
        <v>0</v>
      </c>
      <c r="P300" s="154">
        <v>600</v>
      </c>
      <c r="Q300" s="154"/>
      <c r="R300" s="153"/>
      <c r="S300" s="154"/>
      <c r="T300" s="154">
        <v>1</v>
      </c>
      <c r="U300" s="154">
        <v>5</v>
      </c>
    </row>
    <row r="301" spans="1:21" ht="15.75" x14ac:dyDescent="0.3">
      <c r="A301" s="154">
        <v>10</v>
      </c>
      <c r="B301" s="153" t="str">
        <f t="shared" si="35"/>
        <v>10转新增怪物种类6</v>
      </c>
      <c r="C301" s="153">
        <v>81</v>
      </c>
      <c r="D301" s="153">
        <v>19</v>
      </c>
      <c r="E301" s="153">
        <v>112</v>
      </c>
      <c r="F301" s="153">
        <v>200</v>
      </c>
      <c r="G301" s="153">
        <v>1</v>
      </c>
      <c r="H301" s="153">
        <v>0</v>
      </c>
      <c r="I301" s="153">
        <f>INT(怪物掉落配置方案!D11035/10)*10</f>
        <v>34999990</v>
      </c>
      <c r="J301" s="154" t="str">
        <f>"3#1#"&amp;基本属性!BO20&amp;"|"&amp;"3#3#"&amp;INT(0.8*基本属性!AM20)&amp;"|"&amp;"3#4#"&amp;INT(1.2*基本属性!AM20)&amp;"|"&amp;"3#5#"&amp;INT(0.8*基本属性!AM20)&amp;"|"&amp;"3#6#"&amp;INT(1.2*基本属性!AM20)&amp;"|"&amp;"3#7#"&amp;INT(0.8*基本属性!AM20)&amp;"|"&amp;"3#8#"&amp;INT(1.2*基本属性!AM20)&amp;"|"&amp;"3#9#"&amp;基本属性!AN20&amp;"|"&amp;"3#10#"&amp;基本属性!AN20&amp;"|"&amp;"3#11#"&amp;基本属性!AN20&amp;"|"&amp;"3#12#"&amp;基本属性!AN20</f>
        <v>3#1#13000000|3#3#6076|3#4#9114|3#5#6076|3#6#9114|3#7#6076|3#8#9114|3#9#2000|3#10#2000|3#11#2000|3#12#2000</v>
      </c>
      <c r="K301" s="154">
        <f t="shared" si="34"/>
        <v>50</v>
      </c>
      <c r="L301" s="154">
        <v>999</v>
      </c>
      <c r="M301" s="154">
        <v>1100</v>
      </c>
      <c r="N301" s="154">
        <v>1</v>
      </c>
      <c r="O301" s="154">
        <v>0</v>
      </c>
      <c r="P301" s="154">
        <v>600</v>
      </c>
      <c r="Q301" s="154"/>
      <c r="R301" s="153"/>
      <c r="S301" s="154"/>
      <c r="T301" s="154">
        <v>1</v>
      </c>
      <c r="U301" s="154">
        <v>5</v>
      </c>
    </row>
    <row r="302" spans="1:21" ht="15.75" x14ac:dyDescent="0.3">
      <c r="A302" s="154">
        <v>11</v>
      </c>
      <c r="B302" s="153" t="str">
        <f t="shared" si="35"/>
        <v>11转新增怪物种类6</v>
      </c>
      <c r="C302" s="153">
        <v>81</v>
      </c>
      <c r="D302" s="153">
        <v>19</v>
      </c>
      <c r="E302" s="153">
        <v>112</v>
      </c>
      <c r="F302" s="153">
        <v>200</v>
      </c>
      <c r="G302" s="153">
        <v>1</v>
      </c>
      <c r="H302" s="153">
        <v>0</v>
      </c>
      <c r="I302" s="153">
        <f>INT(怪物掉落配置方案!D11036/10)*10</f>
        <v>7000000</v>
      </c>
      <c r="J302" s="154" t="str">
        <f>"3#1#"&amp;基本属性!BO21&amp;"|"&amp;"3#3#"&amp;INT(0.8*基本属性!AM21)&amp;"|"&amp;"3#4#"&amp;INT(1.2*基本属性!AM21)&amp;"|"&amp;"3#5#"&amp;INT(0.8*基本属性!AM21)&amp;"|"&amp;"3#6#"&amp;INT(1.2*基本属性!AM21)&amp;"|"&amp;"3#7#"&amp;INT(0.8*基本属性!AM21)&amp;"|"&amp;"3#8#"&amp;INT(1.2*基本属性!AM21)&amp;"|"&amp;"3#9#"&amp;基本属性!AN21&amp;"|"&amp;"3#10#"&amp;基本属性!AN21&amp;"|"&amp;"3#11#"&amp;基本属性!AN21&amp;"|"&amp;"3#12#"&amp;基本属性!AN21</f>
        <v>3#1#15660000|3#3#7074|3#4#10611|3#5#7074|3#6#10611|3#7#7074|3#8#10611|3#9#2200|3#10#2200|3#11#2200|3#12#2200</v>
      </c>
      <c r="K302" s="154">
        <f t="shared" si="34"/>
        <v>54</v>
      </c>
      <c r="L302" s="154">
        <v>999</v>
      </c>
      <c r="M302" s="154">
        <v>1100</v>
      </c>
      <c r="N302" s="154">
        <v>1</v>
      </c>
      <c r="O302" s="154">
        <v>0</v>
      </c>
      <c r="P302" s="154">
        <v>600</v>
      </c>
      <c r="Q302" s="154"/>
      <c r="R302" s="153"/>
      <c r="S302" s="154"/>
      <c r="T302" s="154">
        <v>1</v>
      </c>
      <c r="U302" s="154">
        <v>5</v>
      </c>
    </row>
    <row r="303" spans="1:21" ht="15.75" x14ac:dyDescent="0.3">
      <c r="A303" s="154">
        <v>12</v>
      </c>
      <c r="B303" s="153" t="str">
        <f t="shared" si="35"/>
        <v>12转新增怪物种类6</v>
      </c>
      <c r="C303" s="153">
        <v>81</v>
      </c>
      <c r="D303" s="153">
        <v>19</v>
      </c>
      <c r="E303" s="153">
        <v>112</v>
      </c>
      <c r="F303" s="153">
        <v>210</v>
      </c>
      <c r="G303" s="153">
        <v>1</v>
      </c>
      <c r="H303" s="153">
        <v>0</v>
      </c>
      <c r="I303" s="153">
        <f>INT(怪物掉落配置方案!D11037/10)*10</f>
        <v>7000000</v>
      </c>
      <c r="J303" s="154" t="str">
        <f>"3#1#"&amp;基本属性!BO22&amp;"|"&amp;"3#3#"&amp;INT(0.8*基本属性!AM22)&amp;"|"&amp;"3#4#"&amp;INT(1.2*基本属性!AM22)&amp;"|"&amp;"3#5#"&amp;INT(0.8*基本属性!AM22)&amp;"|"&amp;"3#6#"&amp;INT(1.2*基本属性!AM22)&amp;"|"&amp;"3#7#"&amp;INT(0.8*基本属性!AM22)&amp;"|"&amp;"3#8#"&amp;INT(1.2*基本属性!AM22)&amp;"|"&amp;"3#9#"&amp;基本属性!AN22&amp;"|"&amp;"3#10#"&amp;基本属性!AN22&amp;"|"&amp;"3#11#"&amp;基本属性!AN22&amp;"|"&amp;"3#12#"&amp;基本属性!AN22</f>
        <v>3#1#20030000|3#3#8193|3#4#12290|3#5#8193|3#6#12290|3#7#8193|3#8#12290|3#9#2400|3#10#2400|3#11#2400|3#12#2400</v>
      </c>
      <c r="K303" s="154">
        <f t="shared" si="34"/>
        <v>58</v>
      </c>
      <c r="L303" s="154">
        <v>999</v>
      </c>
      <c r="M303" s="154">
        <v>1100</v>
      </c>
      <c r="N303" s="154">
        <v>1</v>
      </c>
      <c r="O303" s="154">
        <v>0</v>
      </c>
      <c r="P303" s="154">
        <v>600</v>
      </c>
      <c r="Q303" s="154"/>
      <c r="R303" s="153"/>
      <c r="S303" s="154"/>
      <c r="T303" s="154">
        <v>1</v>
      </c>
      <c r="U303" s="154">
        <v>5</v>
      </c>
    </row>
    <row r="304" spans="1:21" ht="15.75" x14ac:dyDescent="0.3">
      <c r="A304" s="154">
        <v>13</v>
      </c>
      <c r="B304" s="153" t="str">
        <f t="shared" si="35"/>
        <v>13转新增怪物种类6</v>
      </c>
      <c r="C304" s="153">
        <v>81</v>
      </c>
      <c r="D304" s="153">
        <v>19</v>
      </c>
      <c r="E304" s="153">
        <v>112</v>
      </c>
      <c r="F304" s="153">
        <v>210</v>
      </c>
      <c r="G304" s="153">
        <v>1</v>
      </c>
      <c r="H304" s="153">
        <v>0</v>
      </c>
      <c r="I304" s="153">
        <f>INT(怪物掉落配置方案!D11038/10)*10</f>
        <v>7000000</v>
      </c>
      <c r="J304" s="154" t="str">
        <f>"3#1#"&amp;基本属性!BO23&amp;"|"&amp;"3#3#"&amp;INT(0.8*基本属性!AM23)&amp;"|"&amp;"3#4#"&amp;INT(1.2*基本属性!AM23)&amp;"|"&amp;"3#5#"&amp;INT(0.8*基本属性!AM23)&amp;"|"&amp;"3#6#"&amp;INT(1.2*基本属性!AM23)&amp;"|"&amp;"3#7#"&amp;INT(0.8*基本属性!AM23)&amp;"|"&amp;"3#8#"&amp;INT(1.2*基本属性!AM23)&amp;"|"&amp;"3#9#"&amp;基本属性!AN23&amp;"|"&amp;"3#10#"&amp;基本属性!AN23&amp;"|"&amp;"3#11#"&amp;基本属性!AN23&amp;"|"&amp;"3#12#"&amp;基本属性!AN23</f>
        <v>3#1#24200000|3#3#9635|3#4#14452|3#5#9635|3#6#14452|3#7#9635|3#8#14452|3#9#2650|3#10#2650|3#11#2650|3#12#2650</v>
      </c>
      <c r="K304" s="154">
        <f t="shared" si="34"/>
        <v>62</v>
      </c>
      <c r="L304" s="154">
        <v>999</v>
      </c>
      <c r="M304" s="154">
        <v>1100</v>
      </c>
      <c r="N304" s="154">
        <v>1</v>
      </c>
      <c r="O304" s="154">
        <v>0</v>
      </c>
      <c r="P304" s="154">
        <v>600</v>
      </c>
      <c r="Q304" s="154"/>
      <c r="R304" s="153"/>
      <c r="S304" s="154"/>
      <c r="T304" s="154">
        <v>1</v>
      </c>
      <c r="U304" s="154">
        <v>5</v>
      </c>
    </row>
    <row r="305" spans="1:21" ht="15.75" x14ac:dyDescent="0.3">
      <c r="A305" s="154">
        <v>14</v>
      </c>
      <c r="B305" s="153" t="str">
        <f t="shared" si="35"/>
        <v>14转新增怪物种类6</v>
      </c>
      <c r="C305" s="153">
        <v>81</v>
      </c>
      <c r="D305" s="153">
        <v>19</v>
      </c>
      <c r="E305" s="153">
        <v>112</v>
      </c>
      <c r="F305" s="153">
        <v>220</v>
      </c>
      <c r="G305" s="153">
        <v>1</v>
      </c>
      <c r="H305" s="153">
        <v>0</v>
      </c>
      <c r="I305" s="153">
        <f>INT(怪物掉落配置方案!D11039/10)*10</f>
        <v>7000000</v>
      </c>
      <c r="J305" s="154" t="str">
        <f>"3#1#"&amp;基本属性!BO24&amp;"|"&amp;"3#3#"&amp;INT(0.8*基本属性!AM24)&amp;"|"&amp;"3#4#"&amp;INT(1.2*基本属性!AM24)&amp;"|"&amp;"3#5#"&amp;INT(0.8*基本属性!AM24)&amp;"|"&amp;"3#6#"&amp;INT(1.2*基本属性!AM24)&amp;"|"&amp;"3#7#"&amp;INT(0.8*基本属性!AM24)&amp;"|"&amp;"3#8#"&amp;INT(1.2*基本属性!AM24)&amp;"|"&amp;"3#9#"&amp;基本属性!AN24&amp;"|"&amp;"3#10#"&amp;基本属性!AN24&amp;"|"&amp;"3#11#"&amp;基本属性!AN24&amp;"|"&amp;"3#12#"&amp;基本属性!AN24</f>
        <v>3#1#28940000|3#3#11268|3#4#16903|3#5#11268|3#6#16903|3#7#11268|3#8#16903|3#9#2900|3#10#2900|3#11#2900|3#12#2900</v>
      </c>
      <c r="K305" s="154">
        <f t="shared" si="34"/>
        <v>66</v>
      </c>
      <c r="L305" s="154">
        <v>999</v>
      </c>
      <c r="M305" s="154">
        <v>1100</v>
      </c>
      <c r="N305" s="154">
        <v>1</v>
      </c>
      <c r="O305" s="154">
        <v>0</v>
      </c>
      <c r="P305" s="154">
        <v>600</v>
      </c>
      <c r="Q305" s="154"/>
      <c r="R305" s="153"/>
      <c r="S305" s="154"/>
      <c r="T305" s="154">
        <v>1</v>
      </c>
      <c r="U305" s="154">
        <v>5</v>
      </c>
    </row>
    <row r="306" spans="1:21" ht="15.75" x14ac:dyDescent="0.3">
      <c r="A306" s="154">
        <v>15</v>
      </c>
      <c r="B306" s="153" t="str">
        <f t="shared" si="35"/>
        <v>15转新增怪物种类6</v>
      </c>
      <c r="C306" s="153">
        <v>81</v>
      </c>
      <c r="D306" s="153">
        <v>19</v>
      </c>
      <c r="E306" s="153">
        <v>112</v>
      </c>
      <c r="F306" s="153">
        <v>220</v>
      </c>
      <c r="G306" s="153">
        <v>1</v>
      </c>
      <c r="H306" s="153">
        <v>0</v>
      </c>
      <c r="I306" s="153">
        <f>INT(怪物掉落配置方案!D11040/10)*10</f>
        <v>7000000</v>
      </c>
      <c r="J306" s="154" t="str">
        <f>"3#1#"&amp;基本属性!BO25&amp;"|"&amp;"3#3#"&amp;INT(0.8*基本属性!AM25)&amp;"|"&amp;"3#4#"&amp;INT(1.2*基本属性!AM25)&amp;"|"&amp;"3#5#"&amp;INT(0.8*基本属性!AM25)&amp;"|"&amp;"3#6#"&amp;INT(1.2*基本属性!AM25)&amp;"|"&amp;"3#7#"&amp;INT(0.8*基本属性!AM25)&amp;"|"&amp;"3#8#"&amp;INT(1.2*基本属性!AM25)&amp;"|"&amp;"3#9#"&amp;基本属性!AN25&amp;"|"&amp;"3#10#"&amp;基本属性!AN25&amp;"|"&amp;"3#11#"&amp;基本属性!AN25&amp;"|"&amp;"3#12#"&amp;基本属性!AN25</f>
        <v>3#1#34890000|3#3#13340|3#4#20010|3#5#13340|3#6#20010|3#7#13340|3#8#20010|3#9#3200|3#10#3200|3#11#3200|3#12#3200</v>
      </c>
      <c r="K306" s="154">
        <f t="shared" si="34"/>
        <v>70</v>
      </c>
      <c r="L306" s="154">
        <v>999</v>
      </c>
      <c r="M306" s="154">
        <v>1100</v>
      </c>
      <c r="N306" s="154">
        <v>1</v>
      </c>
      <c r="O306" s="154">
        <v>0</v>
      </c>
      <c r="P306" s="154">
        <v>600</v>
      </c>
      <c r="Q306" s="154"/>
      <c r="R306" s="153"/>
      <c r="S306" s="154"/>
      <c r="T306" s="154">
        <v>1</v>
      </c>
      <c r="U306" s="154">
        <v>5</v>
      </c>
    </row>
    <row r="307" spans="1:21" ht="15.75" x14ac:dyDescent="0.3">
      <c r="A307" s="154">
        <v>16</v>
      </c>
      <c r="B307" s="153" t="str">
        <f t="shared" si="35"/>
        <v>16转新增怪物种类6</v>
      </c>
      <c r="C307" s="153">
        <v>81</v>
      </c>
      <c r="D307" s="153">
        <v>19</v>
      </c>
      <c r="E307" s="153">
        <v>112</v>
      </c>
      <c r="F307" s="153">
        <v>230</v>
      </c>
      <c r="G307" s="153">
        <v>1</v>
      </c>
      <c r="H307" s="153">
        <v>0</v>
      </c>
      <c r="I307" s="153">
        <f>INT(怪物掉落配置方案!D11041/10)*10</f>
        <v>3499990</v>
      </c>
      <c r="J307" s="154" t="str">
        <f>"3#1#"&amp;基本属性!BO26&amp;"|"&amp;"3#3#"&amp;INT(0.8*基本属性!AM26)&amp;"|"&amp;"3#4#"&amp;INT(1.2*基本属性!AM26)&amp;"|"&amp;"3#5#"&amp;INT(0.8*基本属性!AM26)&amp;"|"&amp;"3#6#"&amp;INT(1.2*基本属性!AM26)&amp;"|"&amp;"3#7#"&amp;INT(0.8*基本属性!AM26)&amp;"|"&amp;"3#8#"&amp;INT(1.2*基本属性!AM26)&amp;"|"&amp;"3#9#"&amp;基本属性!AN26&amp;"|"&amp;"3#10#"&amp;基本属性!AN26&amp;"|"&amp;"3#11#"&amp;基本属性!AN26&amp;"|"&amp;"3#12#"&amp;基本属性!AN26</f>
        <v>3#1#44440000|3#3#15717|3#4#23576|3#5#15717|3#6#23576|3#7#15717|3#8#23576|3#9#3500|3#10#3500|3#11#3500|3#12#3500</v>
      </c>
      <c r="K307" s="154">
        <f t="shared" si="34"/>
        <v>75</v>
      </c>
      <c r="L307" s="154">
        <v>999</v>
      </c>
      <c r="M307" s="154">
        <v>1100</v>
      </c>
      <c r="N307" s="154">
        <v>1</v>
      </c>
      <c r="O307" s="154">
        <v>0</v>
      </c>
      <c r="P307" s="154">
        <v>600</v>
      </c>
      <c r="Q307" s="154"/>
      <c r="R307" s="153"/>
      <c r="S307" s="154"/>
      <c r="T307" s="154">
        <v>1</v>
      </c>
      <c r="U307" s="154">
        <v>5</v>
      </c>
    </row>
    <row r="308" spans="1:21" ht="15.75" x14ac:dyDescent="0.3">
      <c r="A308" s="154">
        <v>17</v>
      </c>
      <c r="B308" s="153" t="str">
        <f t="shared" si="35"/>
        <v>17转新增怪物种类6</v>
      </c>
      <c r="C308" s="153">
        <v>81</v>
      </c>
      <c r="D308" s="153">
        <v>19</v>
      </c>
      <c r="E308" s="153">
        <v>112</v>
      </c>
      <c r="F308" s="153">
        <v>230</v>
      </c>
      <c r="G308" s="153">
        <v>1</v>
      </c>
      <c r="H308" s="153">
        <v>0</v>
      </c>
      <c r="I308" s="153">
        <f>INT(怪物掉落配置方案!D11042/10)*10</f>
        <v>3499990</v>
      </c>
      <c r="J308" s="154" t="str">
        <f>"3#1#"&amp;基本属性!BO27&amp;"|"&amp;"3#3#"&amp;INT(0.8*基本属性!AM27)&amp;"|"&amp;"3#4#"&amp;INT(1.2*基本属性!AM27)&amp;"|"&amp;"3#5#"&amp;INT(0.8*基本属性!AM27)&amp;"|"&amp;"3#6#"&amp;INT(1.2*基本属性!AM27)&amp;"|"&amp;"3#7#"&amp;INT(0.8*基本属性!AM27)&amp;"|"&amp;"3#8#"&amp;INT(1.2*基本属性!AM27)&amp;"|"&amp;"3#9#"&amp;基本属性!AN27&amp;"|"&amp;"3#10#"&amp;基本属性!AN27&amp;"|"&amp;"3#11#"&amp;基本属性!AN27&amp;"|"&amp;"3#12#"&amp;基本属性!AN27</f>
        <v>3#1#51960000|3#3#18224|3#4#27336|3#5#18224|3#6#27336|3#7#18224|3#8#27336|3#9#3750|3#10#3750|3#11#3750|3#12#3750</v>
      </c>
      <c r="K308" s="154">
        <f t="shared" si="34"/>
        <v>79</v>
      </c>
      <c r="L308" s="154">
        <v>999</v>
      </c>
      <c r="M308" s="154">
        <v>1100</v>
      </c>
      <c r="N308" s="154">
        <v>1</v>
      </c>
      <c r="O308" s="154">
        <v>0</v>
      </c>
      <c r="P308" s="154">
        <v>600</v>
      </c>
      <c r="Q308" s="154"/>
      <c r="R308" s="153"/>
      <c r="S308" s="154"/>
      <c r="T308" s="154">
        <v>1</v>
      </c>
      <c r="U308" s="154">
        <v>5</v>
      </c>
    </row>
    <row r="309" spans="1:21" ht="15.75" x14ac:dyDescent="0.3">
      <c r="A309" s="154">
        <v>18</v>
      </c>
      <c r="B309" s="153" t="str">
        <f t="shared" si="35"/>
        <v>18转新增怪物种类6</v>
      </c>
      <c r="C309" s="153">
        <v>81</v>
      </c>
      <c r="D309" s="153">
        <v>19</v>
      </c>
      <c r="E309" s="153">
        <v>112</v>
      </c>
      <c r="F309" s="153">
        <v>240</v>
      </c>
      <c r="G309" s="153">
        <v>1</v>
      </c>
      <c r="H309" s="153">
        <v>0</v>
      </c>
      <c r="I309" s="153">
        <f>INT(怪物掉落配置方案!D11043/10)*10</f>
        <v>3499990</v>
      </c>
      <c r="J309" s="154" t="str">
        <f>"3#1#"&amp;基本属性!BO28&amp;"|"&amp;"3#3#"&amp;INT(0.8*基本属性!AM28)&amp;"|"&amp;"3#4#"&amp;INT(1.2*基本属性!AM28)&amp;"|"&amp;"3#5#"&amp;INT(0.8*基本属性!AM28)&amp;"|"&amp;"3#6#"&amp;INT(1.2*基本属性!AM28)&amp;"|"&amp;"3#7#"&amp;INT(0.8*基本属性!AM28)&amp;"|"&amp;"3#8#"&amp;INT(1.2*基本属性!AM28)&amp;"|"&amp;"3#9#"&amp;基本属性!AN28&amp;"|"&amp;"3#10#"&amp;基本属性!AN28&amp;"|"&amp;"3#11#"&amp;基本属性!AN28&amp;"|"&amp;"3#12#"&amp;基本属性!AN28</f>
        <v>3#1#60430000|3#3#21140|3#4#31711|3#5#21140|3#6#31711|3#7#21140|3#8#31711|3#9#4000|3#10#4000|3#11#4000|3#12#4000</v>
      </c>
      <c r="K309" s="154">
        <f t="shared" si="34"/>
        <v>84</v>
      </c>
      <c r="L309" s="154">
        <v>999</v>
      </c>
      <c r="M309" s="154">
        <v>1100</v>
      </c>
      <c r="N309" s="154">
        <v>1</v>
      </c>
      <c r="O309" s="154">
        <v>0</v>
      </c>
      <c r="P309" s="154">
        <v>600</v>
      </c>
      <c r="Q309" s="154"/>
      <c r="R309" s="153"/>
      <c r="S309" s="154"/>
      <c r="T309" s="154">
        <v>1</v>
      </c>
      <c r="U309" s="154">
        <v>5</v>
      </c>
    </row>
    <row r="310" spans="1:21" ht="15.75" x14ac:dyDescent="0.3">
      <c r="A310" s="154">
        <v>19</v>
      </c>
      <c r="B310" s="153" t="str">
        <f t="shared" si="35"/>
        <v>19转新增怪物种类6</v>
      </c>
      <c r="C310" s="153">
        <v>81</v>
      </c>
      <c r="D310" s="153">
        <v>19</v>
      </c>
      <c r="E310" s="153">
        <v>112</v>
      </c>
      <c r="F310" s="153">
        <v>240</v>
      </c>
      <c r="G310" s="153">
        <v>1</v>
      </c>
      <c r="H310" s="153">
        <v>0</v>
      </c>
      <c r="I310" s="153">
        <f>INT(怪物掉落配置方案!D11044/10)*10</f>
        <v>3499990</v>
      </c>
      <c r="J310" s="154" t="str">
        <f>"3#1#"&amp;基本属性!BO29&amp;"|"&amp;"3#3#"&amp;INT(0.8*基本属性!AM29)&amp;"|"&amp;"3#4#"&amp;INT(1.2*基本属性!AM29)&amp;"|"&amp;"3#5#"&amp;INT(0.8*基本属性!AM29)&amp;"|"&amp;"3#6#"&amp;INT(1.2*基本属性!AM29)&amp;"|"&amp;"3#7#"&amp;INT(0.8*基本属性!AM29)&amp;"|"&amp;"3#8#"&amp;INT(1.2*基本属性!AM29)&amp;"|"&amp;"3#9#"&amp;基本属性!AN29&amp;"|"&amp;"3#10#"&amp;基本属性!AN29&amp;"|"&amp;"3#11#"&amp;基本属性!AN29&amp;"|"&amp;"3#12#"&amp;基本属性!AN29</f>
        <v>3#1#74090000|3#3#26012|3#4#39018|3#5#26012|3#6#39018|3#7#26012|3#8#39018|3#9#4500|3#10#4500|3#11#4500|3#12#4500</v>
      </c>
      <c r="K310" s="154">
        <f t="shared" si="34"/>
        <v>88</v>
      </c>
      <c r="L310" s="154">
        <v>999</v>
      </c>
      <c r="M310" s="154">
        <v>1100</v>
      </c>
      <c r="N310" s="154">
        <v>1</v>
      </c>
      <c r="O310" s="154">
        <v>0</v>
      </c>
      <c r="P310" s="154">
        <v>600</v>
      </c>
      <c r="Q310" s="154"/>
      <c r="R310" s="153"/>
      <c r="S310" s="154"/>
      <c r="T310" s="154">
        <v>1</v>
      </c>
      <c r="U310" s="154">
        <v>5</v>
      </c>
    </row>
    <row r="311" spans="1:21" ht="15.75" x14ac:dyDescent="0.3">
      <c r="A311" s="154">
        <v>20</v>
      </c>
      <c r="B311" s="153" t="str">
        <f t="shared" si="35"/>
        <v>20转新增怪物种类6</v>
      </c>
      <c r="C311" s="153">
        <v>81</v>
      </c>
      <c r="D311" s="153">
        <v>19</v>
      </c>
      <c r="E311" s="153">
        <v>112</v>
      </c>
      <c r="F311" s="153">
        <v>250</v>
      </c>
      <c r="G311" s="153">
        <v>1</v>
      </c>
      <c r="H311" s="153">
        <v>0</v>
      </c>
      <c r="I311" s="153">
        <f>INT(怪物掉落配置方案!D11045/10)*10</f>
        <v>3499990</v>
      </c>
      <c r="J311" s="154" t="str">
        <f>"3#1#"&amp;基本属性!BO30&amp;"|"&amp;"3#3#"&amp;INT(0.8*基本属性!AM30)&amp;"|"&amp;"3#4#"&amp;INT(1.2*基本属性!AM30)&amp;"|"&amp;"3#5#"&amp;INT(0.8*基本属性!AM30)&amp;"|"&amp;"3#6#"&amp;INT(1.2*基本属性!AM30)&amp;"|"&amp;"3#7#"&amp;INT(0.8*基本属性!AM30)&amp;"|"&amp;"3#8#"&amp;INT(1.2*基本属性!AM30)&amp;"|"&amp;"3#9#"&amp;基本属性!AN30&amp;"|"&amp;"3#10#"&amp;基本属性!AN30&amp;"|"&amp;"3#11#"&amp;基本属性!AN30&amp;"|"&amp;"3#12#"&amp;基本属性!AN30</f>
        <v>3#1#99850000|3#3#33643|3#4#50464|3#5#33643|3#6#50464|3#7#33643|3#8#50464|3#9#5000|3#10#5000|3#11#5000|3#12#5000</v>
      </c>
      <c r="K311" s="154">
        <f t="shared" si="34"/>
        <v>96</v>
      </c>
      <c r="L311" s="154">
        <v>999</v>
      </c>
      <c r="M311" s="154">
        <v>1100</v>
      </c>
      <c r="N311" s="154">
        <v>1</v>
      </c>
      <c r="O311" s="154">
        <v>0</v>
      </c>
      <c r="P311" s="154">
        <v>600</v>
      </c>
      <c r="Q311" s="154"/>
      <c r="R311" s="153"/>
      <c r="S311" s="154"/>
      <c r="T311" s="154">
        <v>1</v>
      </c>
      <c r="U311" s="154">
        <v>5</v>
      </c>
    </row>
    <row r="312" spans="1:21" s="155" customFormat="1" x14ac:dyDescent="0.3">
      <c r="A312" s="155" t="s">
        <v>3722</v>
      </c>
      <c r="B312" s="156"/>
      <c r="C312" s="156"/>
      <c r="D312" s="156"/>
      <c r="E312" s="156"/>
      <c r="F312" s="156"/>
      <c r="G312" s="156"/>
      <c r="H312" s="156"/>
      <c r="I312" s="156"/>
      <c r="R312" s="156"/>
    </row>
    <row r="313" spans="1:21" ht="15.75" x14ac:dyDescent="0.3">
      <c r="A313" s="154">
        <v>35</v>
      </c>
      <c r="B313" s="153" t="str">
        <f t="shared" ref="B313:B319" si="36">A313&amp;"级新增怪物种类7"</f>
        <v>35级新增怪物种类7</v>
      </c>
      <c r="C313" s="153">
        <v>81</v>
      </c>
      <c r="D313" s="153">
        <v>19</v>
      </c>
      <c r="E313" s="153">
        <v>112</v>
      </c>
      <c r="F313" s="153">
        <v>35</v>
      </c>
      <c r="G313" s="153">
        <v>1</v>
      </c>
      <c r="H313" s="153">
        <v>0</v>
      </c>
      <c r="I313" s="153">
        <f>INT(怪物掉落配置方案!D12045/10)*10</f>
        <v>5830</v>
      </c>
      <c r="J313" s="154" t="str">
        <f>"3#1#"&amp;基本属性!BP4&amp;"|"&amp;"3#3#"&amp;INT(0.8*基本属性!AP4)&amp;"|"&amp;"3#4#"&amp;INT(1.2*基本属性!AP4)&amp;"|"&amp;"3#5#"&amp;INT(0.8*基本属性!AP4)&amp;"|"&amp;"3#6#"&amp;INT(1.2*基本属性!AP4)&amp;"|"&amp;"3#7#"&amp;INT(0.8*基本属性!AP4)&amp;"|"&amp;"3#8#"&amp;INT(1.2*基本属性!AP4)&amp;"|"&amp;"3#9#"&amp;基本属性!AQ4&amp;"|"&amp;"3#10#"&amp;基本属性!AQ4&amp;"|"&amp;"3#11#"&amp;基本属性!AQ4&amp;"|"&amp;"3#12#"&amp;基本属性!AQ4</f>
        <v>3#1#110000|3#3#163|3#4#244|3#5#163|3#6#244|3#7#163|3#8#244|3#9#100|3#10#100|3#11#100|3#12#100</v>
      </c>
      <c r="K313" s="154">
        <f>K173</f>
        <v>2</v>
      </c>
      <c r="L313" s="154">
        <v>999</v>
      </c>
      <c r="M313" s="154">
        <v>1100</v>
      </c>
      <c r="N313" s="154">
        <v>1</v>
      </c>
      <c r="O313" s="154">
        <v>0</v>
      </c>
      <c r="P313" s="154">
        <v>600</v>
      </c>
      <c r="Q313" s="154"/>
      <c r="R313" s="153"/>
      <c r="S313" s="154"/>
      <c r="T313" s="154">
        <v>1</v>
      </c>
      <c r="U313" s="154">
        <v>5</v>
      </c>
    </row>
    <row r="314" spans="1:21" ht="15.75" x14ac:dyDescent="0.3">
      <c r="A314" s="154">
        <v>40</v>
      </c>
      <c r="B314" s="153" t="str">
        <f t="shared" si="36"/>
        <v>40级新增怪物种类7</v>
      </c>
      <c r="C314" s="153">
        <v>81</v>
      </c>
      <c r="D314" s="153">
        <v>19</v>
      </c>
      <c r="E314" s="153">
        <v>112</v>
      </c>
      <c r="F314" s="153">
        <v>40</v>
      </c>
      <c r="G314" s="153">
        <v>1</v>
      </c>
      <c r="H314" s="153">
        <v>0</v>
      </c>
      <c r="I314" s="153">
        <f>INT(怪物掉落配置方案!D12046/10)*10</f>
        <v>11170</v>
      </c>
      <c r="J314" s="154" t="str">
        <f>"3#1#"&amp;基本属性!BP5&amp;"|"&amp;"3#3#"&amp;INT(0.8*基本属性!AP5)&amp;"|"&amp;"3#4#"&amp;INT(1.2*基本属性!AP5)&amp;"|"&amp;"3#5#"&amp;INT(0.8*基本属性!AP5)&amp;"|"&amp;"3#6#"&amp;INT(1.2*基本属性!AP5)&amp;"|"&amp;"3#7#"&amp;INT(0.8*基本属性!AP5)&amp;"|"&amp;"3#8#"&amp;INT(1.2*基本属性!AP5)&amp;"|"&amp;"3#9#"&amp;基本属性!AQ5&amp;"|"&amp;"3#10#"&amp;基本属性!AQ5&amp;"|"&amp;"3#11#"&amp;基本属性!AQ5&amp;"|"&amp;"3#12#"&amp;基本属性!AQ5</f>
        <v>3#1#180000|3#3#252|3#4#378|3#5#252|3#6#378|3#7#252|3#8#378|3#9#150|3#10#150|3#11#150|3#12#150</v>
      </c>
      <c r="K314" s="154">
        <f t="shared" ref="K314:K339" si="37">K174</f>
        <v>4</v>
      </c>
      <c r="L314" s="154">
        <v>999</v>
      </c>
      <c r="M314" s="154">
        <v>1100</v>
      </c>
      <c r="N314" s="154">
        <v>1</v>
      </c>
      <c r="O314" s="154">
        <v>0</v>
      </c>
      <c r="P314" s="154">
        <v>600</v>
      </c>
      <c r="Q314" s="154"/>
      <c r="R314" s="153"/>
      <c r="S314" s="154"/>
      <c r="T314" s="154">
        <v>1</v>
      </c>
      <c r="U314" s="154">
        <v>5</v>
      </c>
    </row>
    <row r="315" spans="1:21" ht="15.75" x14ac:dyDescent="0.3">
      <c r="A315" s="154">
        <v>50</v>
      </c>
      <c r="B315" s="153" t="str">
        <f t="shared" si="36"/>
        <v>50级新增怪物种类7</v>
      </c>
      <c r="C315" s="153">
        <v>81</v>
      </c>
      <c r="D315" s="153">
        <v>19</v>
      </c>
      <c r="E315" s="153">
        <v>112</v>
      </c>
      <c r="F315" s="153">
        <v>50</v>
      </c>
      <c r="G315" s="153">
        <v>1</v>
      </c>
      <c r="H315" s="153">
        <v>0</v>
      </c>
      <c r="I315" s="153">
        <f>INT(怪物掉落配置方案!D12047/10)*10</f>
        <v>30330</v>
      </c>
      <c r="J315" s="154" t="str">
        <f>"3#1#"&amp;基本属性!BP6&amp;"|"&amp;"3#3#"&amp;INT(0.8*基本属性!AP6)&amp;"|"&amp;"3#4#"&amp;INT(1.2*基本属性!AP6)&amp;"|"&amp;"3#5#"&amp;INT(0.8*基本属性!AP6)&amp;"|"&amp;"3#6#"&amp;INT(1.2*基本属性!AP6)&amp;"|"&amp;"3#7#"&amp;INT(0.8*基本属性!AP6)&amp;"|"&amp;"3#8#"&amp;INT(1.2*基本属性!AP6)&amp;"|"&amp;"3#9#"&amp;基本属性!AQ6&amp;"|"&amp;"3#10#"&amp;基本属性!AQ6&amp;"|"&amp;"3#11#"&amp;基本属性!AQ6&amp;"|"&amp;"3#12#"&amp;基本属性!AQ6</f>
        <v>3#1#270000|3#3#345|3#4#518|3#5#345|3#6#518|3#7#345|3#8#518|3#9#200|3#10#200|3#11#200|3#12#200</v>
      </c>
      <c r="K315" s="154">
        <f t="shared" si="37"/>
        <v>6</v>
      </c>
      <c r="L315" s="154">
        <v>999</v>
      </c>
      <c r="M315" s="154">
        <v>1100</v>
      </c>
      <c r="N315" s="154">
        <v>1</v>
      </c>
      <c r="O315" s="154">
        <v>0</v>
      </c>
      <c r="P315" s="154">
        <v>600</v>
      </c>
      <c r="Q315" s="154"/>
      <c r="R315" s="153"/>
      <c r="S315" s="154"/>
      <c r="T315" s="154">
        <v>1</v>
      </c>
      <c r="U315" s="154">
        <v>5</v>
      </c>
    </row>
    <row r="316" spans="1:21" ht="15.75" x14ac:dyDescent="0.3">
      <c r="A316" s="154">
        <v>60</v>
      </c>
      <c r="B316" s="153" t="str">
        <f t="shared" si="36"/>
        <v>60级新增怪物种类7</v>
      </c>
      <c r="C316" s="153">
        <v>81</v>
      </c>
      <c r="D316" s="153">
        <v>19</v>
      </c>
      <c r="E316" s="153">
        <v>112</v>
      </c>
      <c r="F316" s="153">
        <v>60</v>
      </c>
      <c r="G316" s="153">
        <v>1</v>
      </c>
      <c r="H316" s="153">
        <v>0</v>
      </c>
      <c r="I316" s="153">
        <f>INT(怪物掉落配置方案!D12048/10)*10</f>
        <v>37910</v>
      </c>
      <c r="J316" s="154" t="str">
        <f>"3#1#"&amp;基本属性!BP7&amp;"|"&amp;"3#3#"&amp;INT(0.8*基本属性!AP7)&amp;"|"&amp;"3#4#"&amp;INT(1.2*基本属性!AP7)&amp;"|"&amp;"3#5#"&amp;INT(0.8*基本属性!AP7)&amp;"|"&amp;"3#6#"&amp;INT(1.2*基本属性!AP7)&amp;"|"&amp;"3#7#"&amp;INT(0.8*基本属性!AP7)&amp;"|"&amp;"3#8#"&amp;INT(1.2*基本属性!AP7)&amp;"|"&amp;"3#9#"&amp;基本属性!AQ7&amp;"|"&amp;"3#10#"&amp;基本属性!AQ7&amp;"|"&amp;"3#11#"&amp;基本属性!AQ7&amp;"|"&amp;"3#12#"&amp;基本属性!AQ7</f>
        <v>3#1#410000|3#3#444|3#4#667|3#5#444|3#6#667|3#7#444|3#8#667|3#9#250|3#10#250|3#11#250|3#12#250</v>
      </c>
      <c r="K316" s="154">
        <f t="shared" si="37"/>
        <v>9</v>
      </c>
      <c r="L316" s="154">
        <v>999</v>
      </c>
      <c r="M316" s="154">
        <v>1100</v>
      </c>
      <c r="N316" s="154">
        <v>1</v>
      </c>
      <c r="O316" s="154">
        <v>0</v>
      </c>
      <c r="P316" s="154">
        <v>600</v>
      </c>
      <c r="Q316" s="154"/>
      <c r="R316" s="153"/>
      <c r="S316" s="154"/>
      <c r="T316" s="154">
        <v>1</v>
      </c>
      <c r="U316" s="154">
        <v>5</v>
      </c>
    </row>
    <row r="317" spans="1:21" ht="15.75" x14ac:dyDescent="0.3">
      <c r="A317" s="154">
        <v>65</v>
      </c>
      <c r="B317" s="153" t="str">
        <f t="shared" si="36"/>
        <v>65级新增怪物种类7</v>
      </c>
      <c r="C317" s="153">
        <v>81</v>
      </c>
      <c r="D317" s="153">
        <v>19</v>
      </c>
      <c r="E317" s="153">
        <v>112</v>
      </c>
      <c r="F317" s="153">
        <v>65</v>
      </c>
      <c r="G317" s="153">
        <v>1</v>
      </c>
      <c r="H317" s="153">
        <v>0</v>
      </c>
      <c r="I317" s="153">
        <f>INT(怪物掉落配置方案!D12049/10)*10</f>
        <v>38100</v>
      </c>
      <c r="J317" s="154" t="str">
        <f>"3#1#"&amp;基本属性!BP8&amp;"|"&amp;"3#3#"&amp;INT(0.8*基本属性!AP8)&amp;"|"&amp;"3#4#"&amp;INT(1.2*基本属性!AP8)&amp;"|"&amp;"3#5#"&amp;INT(0.8*基本属性!AP8)&amp;"|"&amp;"3#6#"&amp;INT(1.2*基本属性!AP8)&amp;"|"&amp;"3#7#"&amp;INT(0.8*基本属性!AP8)&amp;"|"&amp;"3#8#"&amp;INT(1.2*基本属性!AP8)&amp;"|"&amp;"3#9#"&amp;基本属性!AQ8&amp;"|"&amp;"3#10#"&amp;基本属性!AQ8&amp;"|"&amp;"3#11#"&amp;基本属性!AQ8&amp;"|"&amp;"3#12#"&amp;基本属性!AQ8</f>
        <v>3#1#590000|3#3#596|3#4#894|3#5#596|3#6#894|3#7#596|3#8#894|3#9#325|3#10#325|3#11#325|3#12#325</v>
      </c>
      <c r="K317" s="154">
        <f t="shared" si="37"/>
        <v>12</v>
      </c>
      <c r="L317" s="154">
        <v>999</v>
      </c>
      <c r="M317" s="154">
        <v>1100</v>
      </c>
      <c r="N317" s="154">
        <v>1</v>
      </c>
      <c r="O317" s="154">
        <v>0</v>
      </c>
      <c r="P317" s="154">
        <v>600</v>
      </c>
      <c r="Q317" s="154"/>
      <c r="R317" s="153"/>
      <c r="S317" s="154"/>
      <c r="T317" s="154">
        <v>1</v>
      </c>
      <c r="U317" s="154">
        <v>5</v>
      </c>
    </row>
    <row r="318" spans="1:21" ht="15.75" x14ac:dyDescent="0.3">
      <c r="A318" s="154">
        <v>70</v>
      </c>
      <c r="B318" s="153" t="str">
        <f t="shared" si="36"/>
        <v>70级新增怪物种类7</v>
      </c>
      <c r="C318" s="153">
        <v>81</v>
      </c>
      <c r="D318" s="153">
        <v>19</v>
      </c>
      <c r="E318" s="153">
        <v>112</v>
      </c>
      <c r="F318" s="153">
        <v>70</v>
      </c>
      <c r="G318" s="153">
        <v>1</v>
      </c>
      <c r="H318" s="153">
        <v>0</v>
      </c>
      <c r="I318" s="153">
        <f>INT(怪物掉落配置方案!D12050/10)*10</f>
        <v>39010</v>
      </c>
      <c r="J318" s="154" t="str">
        <f>"3#1#"&amp;基本属性!BP9&amp;"|"&amp;"3#3#"&amp;INT(0.8*基本属性!AP9)&amp;"|"&amp;"3#4#"&amp;INT(1.2*基本属性!AP9)&amp;"|"&amp;"3#5#"&amp;INT(0.8*基本属性!AP9)&amp;"|"&amp;"3#6#"&amp;INT(1.2*基本属性!AP9)&amp;"|"&amp;"3#7#"&amp;INT(0.8*基本属性!AP9)&amp;"|"&amp;"3#8#"&amp;INT(1.2*基本属性!AP9)&amp;"|"&amp;"3#9#"&amp;基本属性!AQ9&amp;"|"&amp;"3#10#"&amp;基本属性!AQ9&amp;"|"&amp;"3#11#"&amp;基本属性!AQ9&amp;"|"&amp;"3#12#"&amp;基本属性!AQ9</f>
        <v>3#1#800000|3#3#757|3#4#1136|3#5#757|3#6#1136|3#7#757|3#8#1136|3#9#400|3#10#400|3#11#400|3#12#400</v>
      </c>
      <c r="K318" s="154">
        <f t="shared" si="37"/>
        <v>14</v>
      </c>
      <c r="L318" s="154">
        <v>999</v>
      </c>
      <c r="M318" s="154">
        <v>1100</v>
      </c>
      <c r="N318" s="154">
        <v>1</v>
      </c>
      <c r="O318" s="154">
        <v>0</v>
      </c>
      <c r="P318" s="154">
        <v>600</v>
      </c>
      <c r="Q318" s="154"/>
      <c r="R318" s="153"/>
      <c r="S318" s="154"/>
      <c r="T318" s="154">
        <v>1</v>
      </c>
      <c r="U318" s="154">
        <v>5</v>
      </c>
    </row>
    <row r="319" spans="1:21" ht="15.75" x14ac:dyDescent="0.3">
      <c r="A319" s="154">
        <v>75</v>
      </c>
      <c r="B319" s="153" t="str">
        <f t="shared" si="36"/>
        <v>75级新增怪物种类7</v>
      </c>
      <c r="C319" s="153">
        <v>81</v>
      </c>
      <c r="D319" s="153">
        <v>19</v>
      </c>
      <c r="E319" s="153">
        <v>112</v>
      </c>
      <c r="F319" s="153">
        <v>75</v>
      </c>
      <c r="G319" s="153">
        <v>1</v>
      </c>
      <c r="H319" s="153">
        <v>0</v>
      </c>
      <c r="I319" s="153">
        <f>INT(怪物掉落配置方案!D12051/10)*10</f>
        <v>44030</v>
      </c>
      <c r="J319" s="154" t="str">
        <f>"3#1#"&amp;基本属性!BP10&amp;"|"&amp;"3#3#"&amp;INT(0.8*基本属性!AP10)&amp;"|"&amp;"3#4#"&amp;INT(1.2*基本属性!AP10)&amp;"|"&amp;"3#5#"&amp;INT(0.8*基本属性!AP10)&amp;"|"&amp;"3#6#"&amp;INT(1.2*基本属性!AP10)&amp;"|"&amp;"3#7#"&amp;INT(0.8*基本属性!AP10)&amp;"|"&amp;"3#8#"&amp;INT(1.2*基本属性!AP10)&amp;"|"&amp;"3#9#"&amp;基本属性!AQ10&amp;"|"&amp;"3#10#"&amp;基本属性!AQ10&amp;"|"&amp;"3#11#"&amp;基本属性!AQ10&amp;"|"&amp;"3#12#"&amp;基本属性!AQ10</f>
        <v>3#1#1150000|3#3#930|3#4#1395|3#5#930|3#6#1395|3#7#930|3#8#1395|3#9#475|3#10#475|3#11#475|3#12#475</v>
      </c>
      <c r="K319" s="154">
        <f t="shared" si="37"/>
        <v>17</v>
      </c>
      <c r="L319" s="154">
        <v>999</v>
      </c>
      <c r="M319" s="154">
        <v>1100</v>
      </c>
      <c r="N319" s="154">
        <v>1</v>
      </c>
      <c r="O319" s="154">
        <v>0</v>
      </c>
      <c r="P319" s="154">
        <v>600</v>
      </c>
      <c r="Q319" s="154"/>
      <c r="R319" s="153"/>
      <c r="S319" s="154"/>
      <c r="T319" s="154">
        <v>1</v>
      </c>
      <c r="U319" s="154">
        <v>5</v>
      </c>
    </row>
    <row r="320" spans="1:21" ht="15.75" x14ac:dyDescent="0.3">
      <c r="A320" s="154">
        <v>1</v>
      </c>
      <c r="B320" s="153" t="str">
        <f t="shared" ref="B320:B339" si="38">A320&amp;"转新增怪物种类7"</f>
        <v>1转新增怪物种类7</v>
      </c>
      <c r="C320" s="153">
        <v>81</v>
      </c>
      <c r="D320" s="153">
        <v>19</v>
      </c>
      <c r="E320" s="153">
        <v>112</v>
      </c>
      <c r="F320" s="153">
        <v>80</v>
      </c>
      <c r="G320" s="153">
        <v>1</v>
      </c>
      <c r="H320" s="153">
        <v>0</v>
      </c>
      <c r="I320" s="153">
        <f>INT(怪物掉落配置方案!D12052/10)*10</f>
        <v>70560</v>
      </c>
      <c r="J320" s="154" t="str">
        <f>"3#1#"&amp;基本属性!BP11&amp;"|"&amp;"3#3#"&amp;INT(0.8*基本属性!AP11)&amp;"|"&amp;"3#4#"&amp;INT(1.2*基本属性!AP11)&amp;"|"&amp;"3#5#"&amp;INT(0.8*基本属性!AP11)&amp;"|"&amp;"3#6#"&amp;INT(1.2*基本属性!AP11)&amp;"|"&amp;"3#7#"&amp;INT(0.8*基本属性!AP11)&amp;"|"&amp;"3#8#"&amp;INT(1.2*基本属性!AP11)&amp;"|"&amp;"3#9#"&amp;基本属性!AQ11&amp;"|"&amp;"3#10#"&amp;基本属性!AQ11&amp;"|"&amp;"3#11#"&amp;基本属性!AQ11&amp;"|"&amp;"3#12#"&amp;基本属性!AQ11</f>
        <v>3#1#1470000|3#3#1115|3#4#1672|3#5#1115|3#6#1672|3#7#1115|3#8#1672|3#9#550|3#10#550|3#11#550|3#12#550</v>
      </c>
      <c r="K320" s="154">
        <f t="shared" si="37"/>
        <v>20</v>
      </c>
      <c r="L320" s="154">
        <v>999</v>
      </c>
      <c r="M320" s="154">
        <v>1100</v>
      </c>
      <c r="N320" s="154">
        <v>1</v>
      </c>
      <c r="O320" s="154">
        <v>0</v>
      </c>
      <c r="P320" s="154">
        <v>600</v>
      </c>
      <c r="Q320" s="154"/>
      <c r="R320" s="153"/>
      <c r="S320" s="154"/>
      <c r="T320" s="154">
        <v>1</v>
      </c>
      <c r="U320" s="154">
        <v>5</v>
      </c>
    </row>
    <row r="321" spans="1:21" ht="15.75" x14ac:dyDescent="0.3">
      <c r="A321" s="154">
        <v>2</v>
      </c>
      <c r="B321" s="153" t="str">
        <f t="shared" si="38"/>
        <v>2转新增怪物种类7</v>
      </c>
      <c r="C321" s="153">
        <v>81</v>
      </c>
      <c r="D321" s="153">
        <v>19</v>
      </c>
      <c r="E321" s="153">
        <v>112</v>
      </c>
      <c r="F321" s="153">
        <v>90</v>
      </c>
      <c r="G321" s="153">
        <v>1</v>
      </c>
      <c r="H321" s="153">
        <v>0</v>
      </c>
      <c r="I321" s="153">
        <f>INT(怪物掉落配置方案!D12053/10)*10</f>
        <v>121340</v>
      </c>
      <c r="J321" s="154" t="str">
        <f>"3#1#"&amp;基本属性!BP12&amp;"|"&amp;"3#3#"&amp;INT(0.8*基本属性!AP12)&amp;"|"&amp;"3#4#"&amp;INT(1.2*基本属性!AP12)&amp;"|"&amp;"3#5#"&amp;INT(0.8*基本属性!AP12)&amp;"|"&amp;"3#6#"&amp;INT(1.2*基本属性!AP12)&amp;"|"&amp;"3#7#"&amp;INT(0.8*基本属性!AP12)&amp;"|"&amp;"3#8#"&amp;INT(1.2*基本属性!AP12)&amp;"|"&amp;"3#9#"&amp;基本属性!AQ12&amp;"|"&amp;"3#10#"&amp;基本属性!AQ12&amp;"|"&amp;"3#11#"&amp;基本属性!AQ12&amp;"|"&amp;"3#12#"&amp;基本属性!AQ12</f>
        <v>3#1#2070000|3#3#1472|3#4#2209|3#5#1472|3#6#2209|3#7#1472|3#8#2209|3#9#700|3#10#700|3#11#700|3#12#700</v>
      </c>
      <c r="K321" s="154">
        <f t="shared" si="37"/>
        <v>23</v>
      </c>
      <c r="L321" s="154">
        <v>999</v>
      </c>
      <c r="M321" s="154">
        <v>1100</v>
      </c>
      <c r="N321" s="154">
        <v>1</v>
      </c>
      <c r="O321" s="154">
        <v>0</v>
      </c>
      <c r="P321" s="154">
        <v>600</v>
      </c>
      <c r="Q321" s="154"/>
      <c r="R321" s="153"/>
      <c r="S321" s="154"/>
      <c r="T321" s="154">
        <v>1</v>
      </c>
      <c r="U321" s="154">
        <v>5</v>
      </c>
    </row>
    <row r="322" spans="1:21" ht="15.75" x14ac:dyDescent="0.3">
      <c r="A322" s="154">
        <v>3</v>
      </c>
      <c r="B322" s="153" t="str">
        <f t="shared" si="38"/>
        <v>3转新增怪物种类7</v>
      </c>
      <c r="C322" s="153">
        <v>81</v>
      </c>
      <c r="D322" s="153">
        <v>19</v>
      </c>
      <c r="E322" s="153">
        <v>112</v>
      </c>
      <c r="F322" s="153">
        <v>100</v>
      </c>
      <c r="G322" s="153">
        <v>1</v>
      </c>
      <c r="H322" s="153">
        <v>0</v>
      </c>
      <c r="I322" s="153">
        <f>INT(怪物掉落配置方案!D12054/10)*10</f>
        <v>142770</v>
      </c>
      <c r="J322" s="154" t="str">
        <f>"3#1#"&amp;基本属性!BP13&amp;"|"&amp;"3#3#"&amp;INT(0.8*基本属性!AP13)&amp;"|"&amp;"3#4#"&amp;INT(1.2*基本属性!AP13)&amp;"|"&amp;"3#5#"&amp;INT(0.8*基本属性!AP13)&amp;"|"&amp;"3#6#"&amp;INT(1.2*基本属性!AP13)&amp;"|"&amp;"3#7#"&amp;INT(0.8*基本属性!AP13)&amp;"|"&amp;"3#8#"&amp;INT(1.2*基本属性!AP13)&amp;"|"&amp;"3#9#"&amp;基本属性!AQ13&amp;"|"&amp;"3#10#"&amp;基本属性!AQ13&amp;"|"&amp;"3#11#"&amp;基本属性!AQ13&amp;"|"&amp;"3#12#"&amp;基本属性!AQ13</f>
        <v>3#1#2930000|3#3#1968|3#4#2953|3#5#1968|3#6#2953|3#7#1968|3#8#2953|3#9#900|3#10#900|3#11#900|3#12#900</v>
      </c>
      <c r="K322" s="154">
        <f t="shared" si="37"/>
        <v>26</v>
      </c>
      <c r="L322" s="154">
        <v>999</v>
      </c>
      <c r="M322" s="154">
        <v>1100</v>
      </c>
      <c r="N322" s="154">
        <v>1</v>
      </c>
      <c r="O322" s="154">
        <v>0</v>
      </c>
      <c r="P322" s="154">
        <v>600</v>
      </c>
      <c r="Q322" s="154"/>
      <c r="R322" s="153"/>
      <c r="S322" s="154"/>
      <c r="T322" s="154">
        <v>1</v>
      </c>
      <c r="U322" s="154">
        <v>5</v>
      </c>
    </row>
    <row r="323" spans="1:21" ht="15.75" x14ac:dyDescent="0.3">
      <c r="A323" s="154">
        <v>4</v>
      </c>
      <c r="B323" s="153" t="str">
        <f t="shared" si="38"/>
        <v>4转新增怪物种类7</v>
      </c>
      <c r="C323" s="153">
        <v>81</v>
      </c>
      <c r="D323" s="153">
        <v>19</v>
      </c>
      <c r="E323" s="153">
        <v>112</v>
      </c>
      <c r="F323" s="153">
        <v>105</v>
      </c>
      <c r="G323" s="153">
        <v>1</v>
      </c>
      <c r="H323" s="153">
        <v>0</v>
      </c>
      <c r="I323" s="153">
        <f>INT(怪物掉落配置方案!D12055/10)*10</f>
        <v>220500</v>
      </c>
      <c r="J323" s="154" t="str">
        <f>"3#1#"&amp;基本属性!BP14&amp;"|"&amp;"3#3#"&amp;INT(0.8*基本属性!AP14)&amp;"|"&amp;"3#4#"&amp;INT(1.2*基本属性!AP14)&amp;"|"&amp;"3#5#"&amp;INT(0.8*基本属性!AP14)&amp;"|"&amp;"3#6#"&amp;INT(1.2*基本属性!AP14)&amp;"|"&amp;"3#7#"&amp;INT(0.8*基本属性!AP14)&amp;"|"&amp;"3#8#"&amp;INT(1.2*基本属性!AP14)&amp;"|"&amp;"3#9#"&amp;基本属性!AQ14&amp;"|"&amp;"3#10#"&amp;基本属性!AQ14&amp;"|"&amp;"3#11#"&amp;基本属性!AQ14&amp;"|"&amp;"3#12#"&amp;基本属性!AQ14</f>
        <v>3#1#4270000|3#3#2505|3#4#3758|3#5#2505|3#6#3758|3#7#2505|3#8#3758|3#9#1100|3#10#1100|3#11#1100|3#12#1100</v>
      </c>
      <c r="K323" s="154">
        <f t="shared" si="37"/>
        <v>29</v>
      </c>
      <c r="L323" s="154">
        <v>999</v>
      </c>
      <c r="M323" s="154">
        <v>1100</v>
      </c>
      <c r="N323" s="154">
        <v>1</v>
      </c>
      <c r="O323" s="154">
        <v>0</v>
      </c>
      <c r="P323" s="154">
        <v>600</v>
      </c>
      <c r="Q323" s="154"/>
      <c r="R323" s="153"/>
      <c r="S323" s="154"/>
      <c r="T323" s="154">
        <v>1</v>
      </c>
      <c r="U323" s="154">
        <v>5</v>
      </c>
    </row>
    <row r="324" spans="1:21" ht="15.75" x14ac:dyDescent="0.3">
      <c r="A324" s="154">
        <v>5</v>
      </c>
      <c r="B324" s="153" t="str">
        <f t="shared" si="38"/>
        <v>5转新增怪物种类7</v>
      </c>
      <c r="C324" s="153">
        <v>81</v>
      </c>
      <c r="D324" s="153">
        <v>19</v>
      </c>
      <c r="E324" s="153">
        <v>112</v>
      </c>
      <c r="F324" s="153">
        <v>110</v>
      </c>
      <c r="G324" s="153">
        <v>1</v>
      </c>
      <c r="H324" s="153">
        <v>0</v>
      </c>
      <c r="I324" s="153">
        <f>INT(怪物掉落配置方案!D12056/10)*10</f>
        <v>227890</v>
      </c>
      <c r="J324" s="154" t="str">
        <f>"3#1#"&amp;基本属性!BP15&amp;"|"&amp;"3#3#"&amp;INT(0.8*基本属性!AP15)&amp;"|"&amp;"3#4#"&amp;INT(1.2*基本属性!AP15)&amp;"|"&amp;"3#5#"&amp;INT(0.8*基本属性!AP15)&amp;"|"&amp;"3#6#"&amp;INT(1.2*基本属性!AP15)&amp;"|"&amp;"3#7#"&amp;INT(0.8*基本属性!AP15)&amp;"|"&amp;"3#8#"&amp;INT(1.2*基本属性!AP15)&amp;"|"&amp;"3#9#"&amp;基本属性!AQ15&amp;"|"&amp;"3#10#"&amp;基本属性!AQ15&amp;"|"&amp;"3#11#"&amp;基本属性!AQ15&amp;"|"&amp;"3#12#"&amp;基本属性!AQ15</f>
        <v>3#1#5440000|3#3#3029|3#4#4544|3#5#3029|3#6#4544|3#7#3029|3#8#4544|3#9#1275|3#10#1275|3#11#1275|3#12#1275</v>
      </c>
      <c r="K324" s="154">
        <f t="shared" si="37"/>
        <v>32</v>
      </c>
      <c r="L324" s="154">
        <v>999</v>
      </c>
      <c r="M324" s="154">
        <v>1100</v>
      </c>
      <c r="N324" s="154">
        <v>1</v>
      </c>
      <c r="O324" s="154">
        <v>0</v>
      </c>
      <c r="P324" s="154">
        <v>600</v>
      </c>
      <c r="Q324" s="154"/>
      <c r="R324" s="153"/>
      <c r="S324" s="154"/>
      <c r="T324" s="154">
        <v>1</v>
      </c>
      <c r="U324" s="154">
        <v>5</v>
      </c>
    </row>
    <row r="325" spans="1:21" ht="15.75" x14ac:dyDescent="0.3">
      <c r="A325" s="154">
        <v>6</v>
      </c>
      <c r="B325" s="153" t="str">
        <f t="shared" si="38"/>
        <v>6转新增怪物种类7</v>
      </c>
      <c r="C325" s="153">
        <v>81</v>
      </c>
      <c r="D325" s="153">
        <v>19</v>
      </c>
      <c r="E325" s="153">
        <v>112</v>
      </c>
      <c r="F325" s="153">
        <v>120</v>
      </c>
      <c r="G325" s="153">
        <v>1</v>
      </c>
      <c r="H325" s="153">
        <v>0</v>
      </c>
      <c r="I325" s="153">
        <f>INT(怪物掉落配置方案!D12057/10)*10</f>
        <v>908690</v>
      </c>
      <c r="J325" s="154" t="str">
        <f>"3#1#"&amp;基本属性!BP16&amp;"|"&amp;"3#3#"&amp;INT(0.8*基本属性!AP16)&amp;"|"&amp;"3#4#"&amp;INT(1.2*基本属性!AP16)&amp;"|"&amp;"3#5#"&amp;INT(0.8*基本属性!AP16)&amp;"|"&amp;"3#6#"&amp;INT(1.2*基本属性!AP16)&amp;"|"&amp;"3#7#"&amp;INT(0.8*基本属性!AP16)&amp;"|"&amp;"3#8#"&amp;INT(1.2*基本属性!AP16)&amp;"|"&amp;"3#9#"&amp;基本属性!AQ16&amp;"|"&amp;"3#10#"&amp;基本属性!AQ16&amp;"|"&amp;"3#11#"&amp;基本属性!AQ16&amp;"|"&amp;"3#12#"&amp;基本属性!AQ16</f>
        <v>3#1#6800000|3#3#3602|3#4#5403|3#5#3602|3#6#5403|3#7#3602|3#8#5403|3#9#1450|3#10#1450|3#11#1450|3#12#1450</v>
      </c>
      <c r="K325" s="154">
        <f t="shared" si="37"/>
        <v>36</v>
      </c>
      <c r="L325" s="154">
        <v>999</v>
      </c>
      <c r="M325" s="154">
        <v>1100</v>
      </c>
      <c r="N325" s="154">
        <v>1</v>
      </c>
      <c r="O325" s="154">
        <v>0</v>
      </c>
      <c r="P325" s="154">
        <v>600</v>
      </c>
      <c r="Q325" s="154"/>
      <c r="R325" s="153"/>
      <c r="S325" s="154"/>
      <c r="T325" s="154">
        <v>1</v>
      </c>
      <c r="U325" s="154">
        <v>5</v>
      </c>
    </row>
    <row r="326" spans="1:21" ht="15.75" x14ac:dyDescent="0.3">
      <c r="A326" s="154">
        <v>7</v>
      </c>
      <c r="B326" s="153" t="str">
        <f t="shared" si="38"/>
        <v>7转新增怪物种类7</v>
      </c>
      <c r="C326" s="153">
        <v>81</v>
      </c>
      <c r="D326" s="153">
        <v>19</v>
      </c>
      <c r="E326" s="153">
        <v>112</v>
      </c>
      <c r="F326" s="153">
        <v>135</v>
      </c>
      <c r="G326" s="153">
        <v>1</v>
      </c>
      <c r="H326" s="153">
        <v>0</v>
      </c>
      <c r="I326" s="153">
        <f>INT(怪物掉落配置方案!D12058/10)*10</f>
        <v>3110910</v>
      </c>
      <c r="J326" s="154" t="str">
        <f>"3#1#"&amp;基本属性!BP17&amp;"|"&amp;"3#3#"&amp;INT(0.8*基本属性!AP17)&amp;"|"&amp;"3#4#"&amp;INT(1.2*基本属性!AP17)&amp;"|"&amp;"3#5#"&amp;INT(0.8*基本属性!AP17)&amp;"|"&amp;"3#6#"&amp;INT(1.2*基本属性!AP17)&amp;"|"&amp;"3#7#"&amp;INT(0.8*基本属性!AP17)&amp;"|"&amp;"3#8#"&amp;INT(1.2*基本属性!AP17)&amp;"|"&amp;"3#9#"&amp;基本属性!AQ17&amp;"|"&amp;"3#10#"&amp;基本属性!AQ17&amp;"|"&amp;"3#11#"&amp;基本属性!AQ17&amp;"|"&amp;"3#12#"&amp;基本属性!AQ17</f>
        <v>3#1#8240000|3#3#4164|3#4#6247|3#5#4164|3#6#6247|3#7#4164|3#8#6247|3#9#1600|3#10#1600|3#11#1600|3#12#1600</v>
      </c>
      <c r="K326" s="154">
        <f t="shared" si="37"/>
        <v>39</v>
      </c>
      <c r="L326" s="154">
        <v>999</v>
      </c>
      <c r="M326" s="154">
        <v>1100</v>
      </c>
      <c r="N326" s="154">
        <v>1</v>
      </c>
      <c r="O326" s="154">
        <v>0</v>
      </c>
      <c r="P326" s="154">
        <v>600</v>
      </c>
      <c r="Q326" s="154"/>
      <c r="R326" s="153"/>
      <c r="S326" s="154"/>
      <c r="T326" s="154">
        <v>1</v>
      </c>
      <c r="U326" s="154">
        <v>5</v>
      </c>
    </row>
    <row r="327" spans="1:21" ht="15.75" x14ac:dyDescent="0.3">
      <c r="A327" s="154">
        <v>8</v>
      </c>
      <c r="B327" s="153" t="str">
        <f t="shared" si="38"/>
        <v>8转新增怪物种类7</v>
      </c>
      <c r="C327" s="153">
        <v>81</v>
      </c>
      <c r="D327" s="153">
        <v>19</v>
      </c>
      <c r="E327" s="153">
        <v>112</v>
      </c>
      <c r="F327" s="153">
        <v>155</v>
      </c>
      <c r="G327" s="153">
        <v>1</v>
      </c>
      <c r="H327" s="153">
        <v>0</v>
      </c>
      <c r="I327" s="153">
        <f>INT(怪物掉落配置方案!D12059/10)*10</f>
        <v>37578720</v>
      </c>
      <c r="J327" s="154" t="str">
        <f>"3#1#"&amp;基本属性!BP18&amp;"|"&amp;"3#3#"&amp;INT(0.8*基本属性!AP18)&amp;"|"&amp;"3#4#"&amp;INT(1.2*基本属性!AP18)&amp;"|"&amp;"3#5#"&amp;INT(0.8*基本属性!AP18)&amp;"|"&amp;"3#6#"&amp;INT(1.2*基本属性!AP18)&amp;"|"&amp;"3#7#"&amp;INT(0.8*基本属性!AP18)&amp;"|"&amp;"3#8#"&amp;INT(1.2*基本属性!AP18)&amp;"|"&amp;"3#9#"&amp;基本属性!AQ18&amp;"|"&amp;"3#10#"&amp;基本属性!AQ18&amp;"|"&amp;"3#11#"&amp;基本属性!AQ18&amp;"|"&amp;"3#12#"&amp;基本属性!AQ18</f>
        <v>3#1#10650000|3#3#4784|3#4#7176|3#5#4784|3#6#7176|3#7#4784|3#8#7176|3#9#1750|3#10#1750|3#11#1750|3#12#1750</v>
      </c>
      <c r="K327" s="154">
        <f t="shared" si="37"/>
        <v>43</v>
      </c>
      <c r="L327" s="154">
        <v>999</v>
      </c>
      <c r="M327" s="154">
        <v>1100</v>
      </c>
      <c r="N327" s="154">
        <v>1</v>
      </c>
      <c r="O327" s="154">
        <v>0</v>
      </c>
      <c r="P327" s="154">
        <v>600</v>
      </c>
      <c r="Q327" s="154"/>
      <c r="R327" s="153"/>
      <c r="S327" s="154"/>
      <c r="T327" s="154">
        <v>1</v>
      </c>
      <c r="U327" s="154">
        <v>5</v>
      </c>
    </row>
    <row r="328" spans="1:21" ht="15.75" x14ac:dyDescent="0.3">
      <c r="A328" s="154">
        <v>9</v>
      </c>
      <c r="B328" s="153" t="str">
        <f t="shared" si="38"/>
        <v>9转新增怪物种类7</v>
      </c>
      <c r="C328" s="153">
        <v>81</v>
      </c>
      <c r="D328" s="153">
        <v>19</v>
      </c>
      <c r="E328" s="153">
        <v>112</v>
      </c>
      <c r="F328" s="153">
        <v>190</v>
      </c>
      <c r="G328" s="153">
        <v>1</v>
      </c>
      <c r="H328" s="153">
        <v>0</v>
      </c>
      <c r="I328" s="153">
        <f>INT(怪物掉落配置方案!D12060/10)*10</f>
        <v>34170260</v>
      </c>
      <c r="J328" s="154" t="str">
        <f>"3#1#"&amp;基本属性!BP19&amp;"|"&amp;"3#3#"&amp;INT(0.8*基本属性!AP19)&amp;"|"&amp;"3#4#"&amp;INT(1.2*基本属性!AP19)&amp;"|"&amp;"3#5#"&amp;INT(0.8*基本属性!AP19)&amp;"|"&amp;"3#6#"&amp;INT(1.2*基本属性!AP19)&amp;"|"&amp;"3#7#"&amp;INT(0.8*基本属性!AP19)&amp;"|"&amp;"3#8#"&amp;INT(1.2*基本属性!AP19)&amp;"|"&amp;"3#9#"&amp;基本属性!AQ19&amp;"|"&amp;"3#10#"&amp;基本属性!AQ19&amp;"|"&amp;"3#11#"&amp;基本属性!AQ19&amp;"|"&amp;"3#12#"&amp;基本属性!AQ19</f>
        <v>3#1#12510000|3#3#5396|3#4#8095|3#5#5396|3#6#8095|3#7#5396|3#8#8095|3#9#1875|3#10#1875|3#11#1875|3#12#1875</v>
      </c>
      <c r="K328" s="154">
        <f t="shared" si="37"/>
        <v>46</v>
      </c>
      <c r="L328" s="154">
        <v>999</v>
      </c>
      <c r="M328" s="154">
        <v>1100</v>
      </c>
      <c r="N328" s="154">
        <v>1</v>
      </c>
      <c r="O328" s="154">
        <v>0</v>
      </c>
      <c r="P328" s="154">
        <v>600</v>
      </c>
      <c r="Q328" s="154"/>
      <c r="R328" s="153"/>
      <c r="S328" s="154"/>
      <c r="T328" s="154">
        <v>1</v>
      </c>
      <c r="U328" s="154">
        <v>5</v>
      </c>
    </row>
    <row r="329" spans="1:21" ht="15.75" x14ac:dyDescent="0.3">
      <c r="A329" s="154">
        <v>10</v>
      </c>
      <c r="B329" s="153" t="str">
        <f t="shared" si="38"/>
        <v>10转新增怪物种类7</v>
      </c>
      <c r="C329" s="153">
        <v>81</v>
      </c>
      <c r="D329" s="153">
        <v>19</v>
      </c>
      <c r="E329" s="153">
        <v>112</v>
      </c>
      <c r="F329" s="153">
        <v>200</v>
      </c>
      <c r="G329" s="153">
        <v>1</v>
      </c>
      <c r="H329" s="153">
        <v>0</v>
      </c>
      <c r="I329" s="153">
        <f>INT(怪物掉落配置方案!D12061/10)*10</f>
        <v>40833330</v>
      </c>
      <c r="J329" s="154" t="str">
        <f>"3#1#"&amp;基本属性!BP20&amp;"|"&amp;"3#3#"&amp;INT(0.8*基本属性!AP20)&amp;"|"&amp;"3#4#"&amp;INT(1.2*基本属性!AP20)&amp;"|"&amp;"3#5#"&amp;INT(0.8*基本属性!AP20)&amp;"|"&amp;"3#6#"&amp;INT(1.2*基本属性!AP20)&amp;"|"&amp;"3#7#"&amp;INT(0.8*基本属性!AP20)&amp;"|"&amp;"3#8#"&amp;INT(1.2*基本属性!AP20)&amp;"|"&amp;"3#9#"&amp;基本属性!AQ20&amp;"|"&amp;"3#10#"&amp;基本属性!AQ20&amp;"|"&amp;"3#11#"&amp;基本属性!AQ20&amp;"|"&amp;"3#12#"&amp;基本属性!AQ20</f>
        <v>3#1#14620000|3#3#6076|3#4#9114|3#5#6076|3#6#9114|3#7#6076|3#8#9114|3#9#2000|3#10#2000|3#11#2000|3#12#2000</v>
      </c>
      <c r="K329" s="154">
        <f t="shared" si="37"/>
        <v>50</v>
      </c>
      <c r="L329" s="154">
        <v>999</v>
      </c>
      <c r="M329" s="154">
        <v>1100</v>
      </c>
      <c r="N329" s="154">
        <v>1</v>
      </c>
      <c r="O329" s="154">
        <v>0</v>
      </c>
      <c r="P329" s="154">
        <v>600</v>
      </c>
      <c r="Q329" s="154"/>
      <c r="R329" s="153"/>
      <c r="S329" s="154"/>
      <c r="T329" s="154">
        <v>1</v>
      </c>
      <c r="U329" s="154">
        <v>5</v>
      </c>
    </row>
    <row r="330" spans="1:21" ht="15.75" x14ac:dyDescent="0.3">
      <c r="A330" s="154">
        <v>11</v>
      </c>
      <c r="B330" s="153" t="str">
        <f t="shared" si="38"/>
        <v>11转新增怪物种类7</v>
      </c>
      <c r="C330" s="153">
        <v>81</v>
      </c>
      <c r="D330" s="153">
        <v>19</v>
      </c>
      <c r="E330" s="153">
        <v>112</v>
      </c>
      <c r="F330" s="153">
        <v>200</v>
      </c>
      <c r="G330" s="153">
        <v>1</v>
      </c>
      <c r="H330" s="153">
        <v>0</v>
      </c>
      <c r="I330" s="153">
        <f>INT(怪物掉落配置方案!D12062/10)*10</f>
        <v>8166660</v>
      </c>
      <c r="J330" s="154" t="str">
        <f>"3#1#"&amp;基本属性!BP21&amp;"|"&amp;"3#3#"&amp;INT(0.8*基本属性!AP21)&amp;"|"&amp;"3#4#"&amp;INT(1.2*基本属性!AP21)&amp;"|"&amp;"3#5#"&amp;INT(0.8*基本属性!AP21)&amp;"|"&amp;"3#6#"&amp;INT(1.2*基本属性!AP21)&amp;"|"&amp;"3#7#"&amp;INT(0.8*基本属性!AP21)&amp;"|"&amp;"3#8#"&amp;INT(1.2*基本属性!AP21)&amp;"|"&amp;"3#9#"&amp;基本属性!AQ21&amp;"|"&amp;"3#10#"&amp;基本属性!AQ21&amp;"|"&amp;"3#11#"&amp;基本属性!AQ21&amp;"|"&amp;"3#12#"&amp;基本属性!AQ21</f>
        <v>3#1#17620000|3#3#7074|3#4#10611|3#5#7074|3#6#10611|3#7#7074|3#8#10611|3#9#2200|3#10#2200|3#11#2200|3#12#2200</v>
      </c>
      <c r="K330" s="154">
        <f t="shared" si="37"/>
        <v>54</v>
      </c>
      <c r="L330" s="154">
        <v>999</v>
      </c>
      <c r="M330" s="154">
        <v>1100</v>
      </c>
      <c r="N330" s="154">
        <v>1</v>
      </c>
      <c r="O330" s="154">
        <v>0</v>
      </c>
      <c r="P330" s="154">
        <v>600</v>
      </c>
      <c r="Q330" s="154"/>
      <c r="R330" s="153"/>
      <c r="S330" s="154"/>
      <c r="T330" s="154">
        <v>1</v>
      </c>
      <c r="U330" s="154">
        <v>5</v>
      </c>
    </row>
    <row r="331" spans="1:21" ht="15.75" x14ac:dyDescent="0.3">
      <c r="A331" s="154">
        <v>12</v>
      </c>
      <c r="B331" s="153" t="str">
        <f t="shared" si="38"/>
        <v>12转新增怪物种类7</v>
      </c>
      <c r="C331" s="153">
        <v>81</v>
      </c>
      <c r="D331" s="153">
        <v>19</v>
      </c>
      <c r="E331" s="153">
        <v>112</v>
      </c>
      <c r="F331" s="153">
        <v>210</v>
      </c>
      <c r="G331" s="153">
        <v>1</v>
      </c>
      <c r="H331" s="153">
        <v>0</v>
      </c>
      <c r="I331" s="153">
        <f>INT(怪物掉落配置方案!D12063/10)*10</f>
        <v>8166660</v>
      </c>
      <c r="J331" s="154" t="str">
        <f>"3#1#"&amp;基本属性!BP22&amp;"|"&amp;"3#3#"&amp;INT(0.8*基本属性!AP22)&amp;"|"&amp;"3#4#"&amp;INT(1.2*基本属性!AP22)&amp;"|"&amp;"3#5#"&amp;INT(0.8*基本属性!AP22)&amp;"|"&amp;"3#6#"&amp;INT(1.2*基本属性!AP22)&amp;"|"&amp;"3#7#"&amp;INT(0.8*基本属性!AP22)&amp;"|"&amp;"3#8#"&amp;INT(1.2*基本属性!AP22)&amp;"|"&amp;"3#9#"&amp;基本属性!AQ22&amp;"|"&amp;"3#10#"&amp;基本属性!AQ22&amp;"|"&amp;"3#11#"&amp;基本属性!AQ22&amp;"|"&amp;"3#12#"&amp;基本属性!AQ22</f>
        <v>3#1#22540000|3#3#8193|3#4#12290|3#5#8193|3#6#12290|3#7#8193|3#8#12290|3#9#2400|3#10#2400|3#11#2400|3#12#2400</v>
      </c>
      <c r="K331" s="154">
        <f t="shared" si="37"/>
        <v>58</v>
      </c>
      <c r="L331" s="154">
        <v>999</v>
      </c>
      <c r="M331" s="154">
        <v>1100</v>
      </c>
      <c r="N331" s="154">
        <v>1</v>
      </c>
      <c r="O331" s="154">
        <v>0</v>
      </c>
      <c r="P331" s="154">
        <v>600</v>
      </c>
      <c r="Q331" s="154"/>
      <c r="R331" s="153"/>
      <c r="S331" s="154"/>
      <c r="T331" s="154">
        <v>1</v>
      </c>
      <c r="U331" s="154">
        <v>5</v>
      </c>
    </row>
    <row r="332" spans="1:21" ht="15.75" x14ac:dyDescent="0.3">
      <c r="A332" s="154">
        <v>13</v>
      </c>
      <c r="B332" s="153" t="str">
        <f t="shared" si="38"/>
        <v>13转新增怪物种类7</v>
      </c>
      <c r="C332" s="153">
        <v>81</v>
      </c>
      <c r="D332" s="153">
        <v>19</v>
      </c>
      <c r="E332" s="153">
        <v>112</v>
      </c>
      <c r="F332" s="153">
        <v>210</v>
      </c>
      <c r="G332" s="153">
        <v>1</v>
      </c>
      <c r="H332" s="153">
        <v>0</v>
      </c>
      <c r="I332" s="153">
        <f>INT(怪物掉落配置方案!D12064/10)*10</f>
        <v>8166660</v>
      </c>
      <c r="J332" s="154" t="str">
        <f>"3#1#"&amp;基本属性!BP23&amp;"|"&amp;"3#3#"&amp;INT(0.8*基本属性!AP23)&amp;"|"&amp;"3#4#"&amp;INT(1.2*基本属性!AP23)&amp;"|"&amp;"3#5#"&amp;INT(0.8*基本属性!AP23)&amp;"|"&amp;"3#6#"&amp;INT(1.2*基本属性!AP23)&amp;"|"&amp;"3#7#"&amp;INT(0.8*基本属性!AP23)&amp;"|"&amp;"3#8#"&amp;INT(1.2*基本属性!AP23)&amp;"|"&amp;"3#9#"&amp;基本属性!AQ23&amp;"|"&amp;"3#10#"&amp;基本属性!AQ23&amp;"|"&amp;"3#11#"&amp;基本属性!AQ23&amp;"|"&amp;"3#12#"&amp;基本属性!AQ23</f>
        <v>3#1#27220000|3#3#9635|3#4#14452|3#5#9635|3#6#14452|3#7#9635|3#8#14452|3#9#2650|3#10#2650|3#11#2650|3#12#2650</v>
      </c>
      <c r="K332" s="154">
        <f t="shared" si="37"/>
        <v>62</v>
      </c>
      <c r="L332" s="154">
        <v>999</v>
      </c>
      <c r="M332" s="154">
        <v>1100</v>
      </c>
      <c r="N332" s="154">
        <v>1</v>
      </c>
      <c r="O332" s="154">
        <v>0</v>
      </c>
      <c r="P332" s="154">
        <v>600</v>
      </c>
      <c r="Q332" s="154"/>
      <c r="R332" s="153"/>
      <c r="S332" s="154"/>
      <c r="T332" s="154">
        <v>1</v>
      </c>
      <c r="U332" s="154">
        <v>5</v>
      </c>
    </row>
    <row r="333" spans="1:21" ht="15.75" x14ac:dyDescent="0.3">
      <c r="A333" s="154">
        <v>14</v>
      </c>
      <c r="B333" s="153" t="str">
        <f t="shared" si="38"/>
        <v>14转新增怪物种类7</v>
      </c>
      <c r="C333" s="153">
        <v>81</v>
      </c>
      <c r="D333" s="153">
        <v>19</v>
      </c>
      <c r="E333" s="153">
        <v>112</v>
      </c>
      <c r="F333" s="153">
        <v>220</v>
      </c>
      <c r="G333" s="153">
        <v>1</v>
      </c>
      <c r="H333" s="153">
        <v>0</v>
      </c>
      <c r="I333" s="153">
        <f>INT(怪物掉落配置方案!D12065/10)*10</f>
        <v>8166660</v>
      </c>
      <c r="J333" s="154" t="str">
        <f>"3#1#"&amp;基本属性!BP24&amp;"|"&amp;"3#3#"&amp;INT(0.8*基本属性!AP24)&amp;"|"&amp;"3#4#"&amp;INT(1.2*基本属性!AP24)&amp;"|"&amp;"3#5#"&amp;INT(0.8*基本属性!AP24)&amp;"|"&amp;"3#6#"&amp;INT(1.2*基本属性!AP24)&amp;"|"&amp;"3#7#"&amp;INT(0.8*基本属性!AP24)&amp;"|"&amp;"3#8#"&amp;INT(1.2*基本属性!AP24)&amp;"|"&amp;"3#9#"&amp;基本属性!AQ24&amp;"|"&amp;"3#10#"&amp;基本属性!AQ24&amp;"|"&amp;"3#11#"&amp;基本属性!AQ24&amp;"|"&amp;"3#12#"&amp;基本属性!AQ24</f>
        <v>3#1#32560000|3#3#11268|3#4#16903|3#5#11268|3#6#16903|3#7#11268|3#8#16903|3#9#2900|3#10#2900|3#11#2900|3#12#2900</v>
      </c>
      <c r="K333" s="154">
        <f t="shared" si="37"/>
        <v>66</v>
      </c>
      <c r="L333" s="154">
        <v>999</v>
      </c>
      <c r="M333" s="154">
        <v>1100</v>
      </c>
      <c r="N333" s="154">
        <v>1</v>
      </c>
      <c r="O333" s="154">
        <v>0</v>
      </c>
      <c r="P333" s="154">
        <v>600</v>
      </c>
      <c r="Q333" s="154"/>
      <c r="R333" s="153"/>
      <c r="S333" s="154"/>
      <c r="T333" s="154">
        <v>1</v>
      </c>
      <c r="U333" s="154">
        <v>5</v>
      </c>
    </row>
    <row r="334" spans="1:21" ht="15.75" x14ac:dyDescent="0.3">
      <c r="A334" s="154">
        <v>15</v>
      </c>
      <c r="B334" s="153" t="str">
        <f t="shared" si="38"/>
        <v>15转新增怪物种类7</v>
      </c>
      <c r="C334" s="153">
        <v>81</v>
      </c>
      <c r="D334" s="153">
        <v>19</v>
      </c>
      <c r="E334" s="153">
        <v>112</v>
      </c>
      <c r="F334" s="153">
        <v>220</v>
      </c>
      <c r="G334" s="153">
        <v>1</v>
      </c>
      <c r="H334" s="153">
        <v>0</v>
      </c>
      <c r="I334" s="153">
        <f>INT(怪物掉落配置方案!D12066/10)*10</f>
        <v>8166660</v>
      </c>
      <c r="J334" s="154" t="str">
        <f>"3#1#"&amp;基本属性!BP25&amp;"|"&amp;"3#3#"&amp;INT(0.8*基本属性!AP25)&amp;"|"&amp;"3#4#"&amp;INT(1.2*基本属性!AP25)&amp;"|"&amp;"3#5#"&amp;INT(0.8*基本属性!AP25)&amp;"|"&amp;"3#6#"&amp;INT(1.2*基本属性!AP25)&amp;"|"&amp;"3#7#"&amp;INT(0.8*基本属性!AP25)&amp;"|"&amp;"3#8#"&amp;INT(1.2*基本属性!AP25)&amp;"|"&amp;"3#9#"&amp;基本属性!AQ25&amp;"|"&amp;"3#10#"&amp;基本属性!AQ25&amp;"|"&amp;"3#11#"&amp;基本属性!AQ25&amp;"|"&amp;"3#12#"&amp;基本属性!AQ25</f>
        <v>3#1#39250000|3#3#13340|3#4#20010|3#5#13340|3#6#20010|3#7#13340|3#8#20010|3#9#3200|3#10#3200|3#11#3200|3#12#3200</v>
      </c>
      <c r="K334" s="154">
        <f t="shared" si="37"/>
        <v>70</v>
      </c>
      <c r="L334" s="154">
        <v>999</v>
      </c>
      <c r="M334" s="154">
        <v>1100</v>
      </c>
      <c r="N334" s="154">
        <v>1</v>
      </c>
      <c r="O334" s="154">
        <v>0</v>
      </c>
      <c r="P334" s="154">
        <v>600</v>
      </c>
      <c r="Q334" s="154"/>
      <c r="R334" s="153"/>
      <c r="S334" s="154"/>
      <c r="T334" s="154">
        <v>1</v>
      </c>
      <c r="U334" s="154">
        <v>5</v>
      </c>
    </row>
    <row r="335" spans="1:21" ht="15.75" x14ac:dyDescent="0.3">
      <c r="A335" s="154">
        <v>16</v>
      </c>
      <c r="B335" s="153" t="str">
        <f t="shared" si="38"/>
        <v>16转新增怪物种类7</v>
      </c>
      <c r="C335" s="153">
        <v>81</v>
      </c>
      <c r="D335" s="153">
        <v>19</v>
      </c>
      <c r="E335" s="153">
        <v>112</v>
      </c>
      <c r="F335" s="153">
        <v>230</v>
      </c>
      <c r="G335" s="153">
        <v>1</v>
      </c>
      <c r="H335" s="153">
        <v>0</v>
      </c>
      <c r="I335" s="153">
        <f>INT(怪物掉落配置方案!D12067/10)*10</f>
        <v>4083330</v>
      </c>
      <c r="J335" s="154" t="str">
        <f>"3#1#"&amp;基本属性!BP26&amp;"|"&amp;"3#3#"&amp;INT(0.8*基本属性!AP26)&amp;"|"&amp;"3#4#"&amp;INT(1.2*基本属性!AP26)&amp;"|"&amp;"3#5#"&amp;INT(0.8*基本属性!AP26)&amp;"|"&amp;"3#6#"&amp;INT(1.2*基本属性!AP26)&amp;"|"&amp;"3#7#"&amp;INT(0.8*基本属性!AP26)&amp;"|"&amp;"3#8#"&amp;INT(1.2*基本属性!AP26)&amp;"|"&amp;"3#9#"&amp;基本属性!AQ26&amp;"|"&amp;"3#10#"&amp;基本属性!AQ26&amp;"|"&amp;"3#11#"&amp;基本属性!AQ26&amp;"|"&amp;"3#12#"&amp;基本属性!AQ26</f>
        <v>3#1#50000000|3#3#15717|3#4#23576|3#5#15717|3#6#23576|3#7#15717|3#8#23576|3#9#3500|3#10#3500|3#11#3500|3#12#3500</v>
      </c>
      <c r="K335" s="154">
        <f t="shared" si="37"/>
        <v>75</v>
      </c>
      <c r="L335" s="154">
        <v>999</v>
      </c>
      <c r="M335" s="154">
        <v>1100</v>
      </c>
      <c r="N335" s="154">
        <v>1</v>
      </c>
      <c r="O335" s="154">
        <v>0</v>
      </c>
      <c r="P335" s="154">
        <v>600</v>
      </c>
      <c r="Q335" s="154"/>
      <c r="R335" s="153"/>
      <c r="S335" s="154"/>
      <c r="T335" s="154">
        <v>1</v>
      </c>
      <c r="U335" s="154">
        <v>5</v>
      </c>
    </row>
    <row r="336" spans="1:21" ht="15.75" x14ac:dyDescent="0.3">
      <c r="A336" s="154">
        <v>17</v>
      </c>
      <c r="B336" s="153" t="str">
        <f t="shared" si="38"/>
        <v>17转新增怪物种类7</v>
      </c>
      <c r="C336" s="153">
        <v>81</v>
      </c>
      <c r="D336" s="153">
        <v>19</v>
      </c>
      <c r="E336" s="153">
        <v>112</v>
      </c>
      <c r="F336" s="153">
        <v>230</v>
      </c>
      <c r="G336" s="153">
        <v>1</v>
      </c>
      <c r="H336" s="153">
        <v>0</v>
      </c>
      <c r="I336" s="153">
        <f>INT(怪物掉落配置方案!D12068/10)*10</f>
        <v>4083330</v>
      </c>
      <c r="J336" s="154" t="str">
        <f>"3#1#"&amp;基本属性!BP27&amp;"|"&amp;"3#3#"&amp;INT(0.8*基本属性!AP27)&amp;"|"&amp;"3#4#"&amp;INT(1.2*基本属性!AP27)&amp;"|"&amp;"3#5#"&amp;INT(0.8*基本属性!AP27)&amp;"|"&amp;"3#6#"&amp;INT(1.2*基本属性!AP27)&amp;"|"&amp;"3#7#"&amp;INT(0.8*基本属性!AP27)&amp;"|"&amp;"3#8#"&amp;INT(1.2*基本属性!AP27)&amp;"|"&amp;"3#9#"&amp;基本属性!AQ27&amp;"|"&amp;"3#10#"&amp;基本属性!AQ27&amp;"|"&amp;"3#11#"&amp;基本属性!AQ27&amp;"|"&amp;"3#12#"&amp;基本属性!AQ27</f>
        <v>3#1#58450000|3#3#18224|3#4#27336|3#5#18224|3#6#27336|3#7#18224|3#8#27336|3#9#3750|3#10#3750|3#11#3750|3#12#3750</v>
      </c>
      <c r="K336" s="154">
        <f t="shared" si="37"/>
        <v>79</v>
      </c>
      <c r="L336" s="154">
        <v>999</v>
      </c>
      <c r="M336" s="154">
        <v>1100</v>
      </c>
      <c r="N336" s="154">
        <v>1</v>
      </c>
      <c r="O336" s="154">
        <v>0</v>
      </c>
      <c r="P336" s="154">
        <v>600</v>
      </c>
      <c r="Q336" s="154"/>
      <c r="R336" s="153"/>
      <c r="S336" s="154"/>
      <c r="T336" s="154">
        <v>1</v>
      </c>
      <c r="U336" s="154">
        <v>5</v>
      </c>
    </row>
    <row r="337" spans="1:21" ht="15.75" x14ac:dyDescent="0.3">
      <c r="A337" s="154">
        <v>18</v>
      </c>
      <c r="B337" s="153" t="str">
        <f t="shared" si="38"/>
        <v>18转新增怪物种类7</v>
      </c>
      <c r="C337" s="153">
        <v>81</v>
      </c>
      <c r="D337" s="153">
        <v>19</v>
      </c>
      <c r="E337" s="153">
        <v>112</v>
      </c>
      <c r="F337" s="153">
        <v>240</v>
      </c>
      <c r="G337" s="153">
        <v>1</v>
      </c>
      <c r="H337" s="153">
        <v>0</v>
      </c>
      <c r="I337" s="153">
        <f>INT(怪物掉落配置方案!D12069/10)*10</f>
        <v>4083330</v>
      </c>
      <c r="J337" s="154" t="str">
        <f>"3#1#"&amp;基本属性!BP28&amp;"|"&amp;"3#3#"&amp;INT(0.8*基本属性!AP28)&amp;"|"&amp;"3#4#"&amp;INT(1.2*基本属性!AP28)&amp;"|"&amp;"3#5#"&amp;INT(0.8*基本属性!AP28)&amp;"|"&amp;"3#6#"&amp;INT(1.2*基本属性!AP28)&amp;"|"&amp;"3#7#"&amp;INT(0.8*基本属性!AP28)&amp;"|"&amp;"3#8#"&amp;INT(1.2*基本属性!AP28)&amp;"|"&amp;"3#9#"&amp;基本属性!AQ28&amp;"|"&amp;"3#10#"&amp;基本属性!AQ28&amp;"|"&amp;"3#11#"&amp;基本属性!AQ28&amp;"|"&amp;"3#12#"&amp;基本属性!AQ28</f>
        <v>3#1#67990000|3#3#21140|3#4#31711|3#5#21140|3#6#31711|3#7#21140|3#8#31711|3#9#4000|3#10#4000|3#11#4000|3#12#4000</v>
      </c>
      <c r="K337" s="154">
        <f t="shared" si="37"/>
        <v>84</v>
      </c>
      <c r="L337" s="154">
        <v>999</v>
      </c>
      <c r="M337" s="154">
        <v>1100</v>
      </c>
      <c r="N337" s="154">
        <v>1</v>
      </c>
      <c r="O337" s="154">
        <v>0</v>
      </c>
      <c r="P337" s="154">
        <v>600</v>
      </c>
      <c r="Q337" s="154"/>
      <c r="R337" s="153"/>
      <c r="S337" s="154"/>
      <c r="T337" s="154">
        <v>1</v>
      </c>
      <c r="U337" s="154">
        <v>5</v>
      </c>
    </row>
    <row r="338" spans="1:21" ht="15.75" x14ac:dyDescent="0.3">
      <c r="A338" s="154">
        <v>19</v>
      </c>
      <c r="B338" s="153" t="str">
        <f t="shared" si="38"/>
        <v>19转新增怪物种类7</v>
      </c>
      <c r="C338" s="153">
        <v>81</v>
      </c>
      <c r="D338" s="153">
        <v>19</v>
      </c>
      <c r="E338" s="153">
        <v>112</v>
      </c>
      <c r="F338" s="153">
        <v>240</v>
      </c>
      <c r="G338" s="153">
        <v>1</v>
      </c>
      <c r="H338" s="153">
        <v>0</v>
      </c>
      <c r="I338" s="153">
        <f>INT(怪物掉落配置方案!D12070/10)*10</f>
        <v>4083330</v>
      </c>
      <c r="J338" s="154" t="str">
        <f>"3#1#"&amp;基本属性!BP29&amp;"|"&amp;"3#3#"&amp;INT(0.8*基本属性!AP29)&amp;"|"&amp;"3#4#"&amp;INT(1.2*基本属性!AP29)&amp;"|"&amp;"3#5#"&amp;INT(0.8*基本属性!AP29)&amp;"|"&amp;"3#6#"&amp;INT(1.2*基本属性!AP29)&amp;"|"&amp;"3#7#"&amp;INT(0.8*基本属性!AP29)&amp;"|"&amp;"3#8#"&amp;INT(1.2*基本属性!AP29)&amp;"|"&amp;"3#9#"&amp;基本属性!AQ29&amp;"|"&amp;"3#10#"&amp;基本属性!AQ29&amp;"|"&amp;"3#11#"&amp;基本属性!AQ29&amp;"|"&amp;"3#12#"&amp;基本属性!AQ29</f>
        <v>3#1#83360000|3#3#26012|3#4#39018|3#5#26012|3#6#39018|3#7#26012|3#8#39018|3#9#4500|3#10#4500|3#11#4500|3#12#4500</v>
      </c>
      <c r="K338" s="154">
        <f t="shared" si="37"/>
        <v>88</v>
      </c>
      <c r="L338" s="154">
        <v>999</v>
      </c>
      <c r="M338" s="154">
        <v>1100</v>
      </c>
      <c r="N338" s="154">
        <v>1</v>
      </c>
      <c r="O338" s="154">
        <v>0</v>
      </c>
      <c r="P338" s="154">
        <v>600</v>
      </c>
      <c r="Q338" s="154"/>
      <c r="R338" s="153"/>
      <c r="S338" s="154"/>
      <c r="T338" s="154">
        <v>1</v>
      </c>
      <c r="U338" s="154">
        <v>5</v>
      </c>
    </row>
    <row r="339" spans="1:21" ht="15.75" x14ac:dyDescent="0.3">
      <c r="A339" s="154">
        <v>20</v>
      </c>
      <c r="B339" s="153" t="str">
        <f t="shared" si="38"/>
        <v>20转新增怪物种类7</v>
      </c>
      <c r="C339" s="153">
        <v>81</v>
      </c>
      <c r="D339" s="153">
        <v>19</v>
      </c>
      <c r="E339" s="153">
        <v>112</v>
      </c>
      <c r="F339" s="153">
        <v>250</v>
      </c>
      <c r="G339" s="153">
        <v>1</v>
      </c>
      <c r="H339" s="153">
        <v>0</v>
      </c>
      <c r="I339" s="153">
        <f>INT(怪物掉落配置方案!D12071/10)*10</f>
        <v>4083330</v>
      </c>
      <c r="J339" s="154" t="str">
        <f>"3#1#"&amp;基本属性!BP30&amp;"|"&amp;"3#3#"&amp;INT(0.8*基本属性!AP30)&amp;"|"&amp;"3#4#"&amp;INT(1.2*基本属性!AP30)&amp;"|"&amp;"3#5#"&amp;INT(0.8*基本属性!AP30)&amp;"|"&amp;"3#6#"&amp;INT(1.2*基本属性!AP30)&amp;"|"&amp;"3#7#"&amp;INT(0.8*基本属性!AP30)&amp;"|"&amp;"3#8#"&amp;INT(1.2*基本属性!AP30)&amp;"|"&amp;"3#9#"&amp;基本属性!AQ30&amp;"|"&amp;"3#10#"&amp;基本属性!AQ30&amp;"|"&amp;"3#11#"&amp;基本属性!AQ30&amp;"|"&amp;"3#12#"&amp;基本属性!AQ30</f>
        <v>3#1#112330000|3#3#33643|3#4#50464|3#5#33643|3#6#50464|3#7#33643|3#8#50464|3#9#5000|3#10#5000|3#11#5000|3#12#5000</v>
      </c>
      <c r="K339" s="154">
        <f t="shared" si="37"/>
        <v>96</v>
      </c>
      <c r="L339" s="154">
        <v>999</v>
      </c>
      <c r="M339" s="154">
        <v>1100</v>
      </c>
      <c r="N339" s="154">
        <v>1</v>
      </c>
      <c r="O339" s="154">
        <v>0</v>
      </c>
      <c r="P339" s="154">
        <v>600</v>
      </c>
      <c r="Q339" s="154"/>
      <c r="R339" s="153"/>
      <c r="S339" s="154"/>
      <c r="T339" s="154">
        <v>1</v>
      </c>
      <c r="U339" s="154">
        <v>5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9"/>
  <sheetViews>
    <sheetView tabSelected="1" topLeftCell="R1" zoomScaleNormal="100" workbookViewId="0">
      <selection activeCell="AC14" sqref="AC14"/>
    </sheetView>
  </sheetViews>
  <sheetFormatPr defaultRowHeight="14.25" x14ac:dyDescent="0.2"/>
  <cols>
    <col min="1" max="1" width="11.125" style="5" customWidth="1"/>
    <col min="2" max="3" width="9.125" style="164" bestFit="1" customWidth="1"/>
    <col min="4" max="5" width="9.125" style="5" bestFit="1" customWidth="1"/>
    <col min="6" max="6" width="9.125" style="164" bestFit="1" customWidth="1"/>
    <col min="7" max="8" width="9.125" style="5" bestFit="1" customWidth="1"/>
    <col min="9" max="9" width="11.25" style="5" bestFit="1" customWidth="1"/>
    <col min="10" max="10" width="9.125" style="5" bestFit="1" customWidth="1"/>
    <col min="11" max="11" width="9.625" style="5" bestFit="1" customWidth="1"/>
    <col min="12" max="12" width="11.25" style="5" bestFit="1" customWidth="1"/>
    <col min="13" max="14" width="9.125" style="5" bestFit="1" customWidth="1"/>
    <col min="15" max="15" width="11.25" style="5" bestFit="1" customWidth="1"/>
    <col min="16" max="17" width="9.125" style="5" bestFit="1" customWidth="1"/>
    <col min="18" max="18" width="11.25" style="5" bestFit="1" customWidth="1"/>
    <col min="19" max="20" width="9.125" style="5" bestFit="1" customWidth="1"/>
    <col min="21" max="21" width="11.25" style="5" bestFit="1" customWidth="1"/>
    <col min="22" max="22" width="9.125" style="5" bestFit="1" customWidth="1"/>
    <col min="23" max="23" width="17.5" style="5" bestFit="1" customWidth="1"/>
    <col min="24" max="24" width="11.25" style="5" bestFit="1" customWidth="1"/>
    <col min="25" max="26" width="18.75" style="5" bestFit="1" customWidth="1"/>
    <col min="27" max="27" width="11.25" style="5" bestFit="1" customWidth="1"/>
    <col min="28" max="29" width="18.75" style="5" bestFit="1" customWidth="1"/>
    <col min="30" max="30" width="11.25" style="5" bestFit="1" customWidth="1"/>
    <col min="31" max="32" width="18.75" style="5" bestFit="1" customWidth="1"/>
    <col min="33" max="33" width="11.25" style="5" bestFit="1" customWidth="1"/>
    <col min="34" max="35" width="18.75" style="5" bestFit="1" customWidth="1"/>
    <col min="36" max="36" width="11.25" style="5" bestFit="1" customWidth="1"/>
    <col min="37" max="38" width="18.75" style="5" bestFit="1" customWidth="1"/>
    <col min="39" max="39" width="11.25" style="5" bestFit="1" customWidth="1"/>
    <col min="40" max="41" width="18.75" style="5" bestFit="1" customWidth="1"/>
    <col min="42" max="42" width="11.25" style="5" bestFit="1" customWidth="1"/>
    <col min="43" max="43" width="18.75" style="5" bestFit="1" customWidth="1"/>
    <col min="44" max="44" width="10.375" style="164" customWidth="1"/>
    <col min="45" max="49" width="11.875" style="164" customWidth="1"/>
    <col min="50" max="50" width="20.5" style="164" bestFit="1" customWidth="1"/>
    <col min="51" max="56" width="20.5" style="164" customWidth="1"/>
    <col min="57" max="57" width="9.125" style="5" bestFit="1" customWidth="1"/>
    <col min="58" max="58" width="10.75" style="5" bestFit="1" customWidth="1"/>
    <col min="59" max="61" width="12" style="5" bestFit="1" customWidth="1"/>
    <col min="62" max="68" width="18.75" style="5" bestFit="1" customWidth="1"/>
    <col min="70" max="71" width="13.25" bestFit="1" customWidth="1"/>
    <col min="116" max="16384" width="9" style="5"/>
  </cols>
  <sheetData>
    <row r="1" spans="1:115" s="6" customFormat="1" ht="30.75" customHeight="1" x14ac:dyDescent="0.2">
      <c r="A1" s="168" t="s">
        <v>3394</v>
      </c>
      <c r="B1" s="245" t="s">
        <v>25</v>
      </c>
      <c r="C1" s="245"/>
      <c r="D1" s="245"/>
      <c r="E1" s="245"/>
      <c r="F1" s="245"/>
      <c r="G1" s="245"/>
      <c r="H1" s="246" t="s">
        <v>3326</v>
      </c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17"/>
      <c r="X1" s="217"/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167" t="s">
        <v>26</v>
      </c>
      <c r="AS1" s="246" t="s">
        <v>27</v>
      </c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55"/>
      <c r="BQ1" s="251" t="s">
        <v>3323</v>
      </c>
      <c r="BR1" s="251"/>
      <c r="BS1" s="251"/>
      <c r="BT1" s="251"/>
      <c r="BU1" s="251"/>
      <c r="BV1" s="251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1"/>
      <c r="CJ1" s="251"/>
      <c r="CK1" s="251"/>
      <c r="CL1" s="251"/>
      <c r="CM1" s="251"/>
      <c r="CN1" s="251"/>
      <c r="CO1" s="251"/>
      <c r="CP1" s="251"/>
    </row>
    <row r="2" spans="1:115" ht="16.5" x14ac:dyDescent="0.2">
      <c r="A2" s="4"/>
      <c r="B2" s="252" t="s">
        <v>3391</v>
      </c>
      <c r="C2" s="253"/>
      <c r="D2" s="253"/>
      <c r="E2" s="253"/>
      <c r="F2" s="254"/>
      <c r="G2" s="10">
        <f>参数调整!K3</f>
        <v>0.5</v>
      </c>
      <c r="H2" s="10">
        <f>参数调整!K4</f>
        <v>0.6</v>
      </c>
      <c r="I2" s="10"/>
      <c r="J2" s="10"/>
      <c r="K2" s="10">
        <f>参数调整!K5</f>
        <v>0.65</v>
      </c>
      <c r="L2" s="10"/>
      <c r="M2" s="10"/>
      <c r="N2" s="10">
        <f>参数调整!K6</f>
        <v>0.7</v>
      </c>
      <c r="O2" s="10"/>
      <c r="P2" s="10"/>
      <c r="Q2" s="10">
        <f>参数调整!K7</f>
        <v>0.75</v>
      </c>
      <c r="R2" s="10"/>
      <c r="S2" s="10"/>
      <c r="T2" s="10">
        <f>参数调整!K8</f>
        <v>1.1000000000000001</v>
      </c>
      <c r="U2" s="10"/>
      <c r="V2" s="10"/>
      <c r="W2" s="10">
        <f>参数调整!K9</f>
        <v>1</v>
      </c>
      <c r="X2" s="10"/>
      <c r="Y2" s="10"/>
      <c r="Z2" s="10">
        <f>参数调整!K10</f>
        <v>1</v>
      </c>
      <c r="AA2" s="10"/>
      <c r="AB2" s="10"/>
      <c r="AC2" s="10">
        <f>参数调整!K11</f>
        <v>1</v>
      </c>
      <c r="AD2" s="10"/>
      <c r="AE2" s="10"/>
      <c r="AF2" s="10">
        <f>参数调整!K12</f>
        <v>1</v>
      </c>
      <c r="AG2" s="10"/>
      <c r="AH2" s="10"/>
      <c r="AI2" s="10">
        <f>参数调整!K13</f>
        <v>1</v>
      </c>
      <c r="AJ2" s="10"/>
      <c r="AK2" s="10"/>
      <c r="AL2" s="10">
        <f>参数调整!K14</f>
        <v>1</v>
      </c>
      <c r="AM2" s="10"/>
      <c r="AN2" s="10"/>
      <c r="AO2" s="10">
        <f>参数调整!K15</f>
        <v>1</v>
      </c>
      <c r="AP2" s="10"/>
      <c r="AQ2" s="10"/>
      <c r="AR2" s="15">
        <f>参数调整!K17</f>
        <v>1</v>
      </c>
      <c r="AS2" s="15">
        <f>参数调整!$K18</f>
        <v>10</v>
      </c>
      <c r="AT2" s="15">
        <f>参数调整!$K19</f>
        <v>120</v>
      </c>
      <c r="AU2" s="15">
        <f>参数调整!$K20</f>
        <v>600</v>
      </c>
      <c r="AV2" s="15">
        <f>参数调整!$K21</f>
        <v>1200</v>
      </c>
      <c r="AW2" s="15">
        <f>参数调整!$K22</f>
        <v>1800</v>
      </c>
      <c r="AX2" s="15">
        <f>参数调整!$K23</f>
        <v>333</v>
      </c>
      <c r="AY2" s="15">
        <f>参数调整!$K24</f>
        <v>444</v>
      </c>
      <c r="AZ2" s="15">
        <f>参数调整!$K25</f>
        <v>555</v>
      </c>
      <c r="BA2" s="15">
        <f>参数调整!$K26</f>
        <v>666</v>
      </c>
      <c r="BB2" s="15">
        <f>参数调整!$K27</f>
        <v>777</v>
      </c>
      <c r="BC2" s="15">
        <f>参数调整!$K28</f>
        <v>888</v>
      </c>
      <c r="BD2" s="15">
        <f>参数调整!$K29</f>
        <v>999</v>
      </c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</row>
    <row r="3" spans="1:115" ht="16.5" x14ac:dyDescent="0.2">
      <c r="A3" s="4" t="s">
        <v>3395</v>
      </c>
      <c r="B3" s="165" t="s">
        <v>0</v>
      </c>
      <c r="C3" s="165" t="s">
        <v>3396</v>
      </c>
      <c r="D3" s="165" t="s">
        <v>37</v>
      </c>
      <c r="E3" s="165" t="s">
        <v>38</v>
      </c>
      <c r="F3" s="165" t="s">
        <v>3</v>
      </c>
      <c r="G3" s="10" t="s">
        <v>2</v>
      </c>
      <c r="H3" s="10" t="s">
        <v>4</v>
      </c>
      <c r="I3" s="10" t="s">
        <v>3299</v>
      </c>
      <c r="J3" s="10" t="s">
        <v>5</v>
      </c>
      <c r="K3" s="10" t="s">
        <v>6</v>
      </c>
      <c r="L3" s="10" t="s">
        <v>3299</v>
      </c>
      <c r="M3" s="10" t="s">
        <v>7</v>
      </c>
      <c r="N3" s="10" t="s">
        <v>8</v>
      </c>
      <c r="O3" s="10" t="s">
        <v>3299</v>
      </c>
      <c r="P3" s="10" t="s">
        <v>9</v>
      </c>
      <c r="Q3" s="10" t="s">
        <v>10</v>
      </c>
      <c r="R3" s="10" t="s">
        <v>3299</v>
      </c>
      <c r="S3" s="10" t="s">
        <v>11</v>
      </c>
      <c r="T3" s="10" t="s">
        <v>12</v>
      </c>
      <c r="U3" s="10" t="s">
        <v>3299</v>
      </c>
      <c r="V3" s="10" t="s">
        <v>13</v>
      </c>
      <c r="W3" s="10" t="s">
        <v>3665</v>
      </c>
      <c r="X3" s="10" t="s">
        <v>3299</v>
      </c>
      <c r="Y3" s="10" t="s">
        <v>3666</v>
      </c>
      <c r="Z3" s="10" t="s">
        <v>3667</v>
      </c>
      <c r="AA3" s="10" t="s">
        <v>3299</v>
      </c>
      <c r="AB3" s="10" t="s">
        <v>3668</v>
      </c>
      <c r="AC3" s="10" t="s">
        <v>3669</v>
      </c>
      <c r="AD3" s="10" t="s">
        <v>3299</v>
      </c>
      <c r="AE3" s="10" t="s">
        <v>3670</v>
      </c>
      <c r="AF3" s="10" t="s">
        <v>3671</v>
      </c>
      <c r="AG3" s="10" t="s">
        <v>3299</v>
      </c>
      <c r="AH3" s="10" t="s">
        <v>3672</v>
      </c>
      <c r="AI3" s="10" t="s">
        <v>3673</v>
      </c>
      <c r="AJ3" s="10" t="s">
        <v>3299</v>
      </c>
      <c r="AK3" s="10" t="s">
        <v>3674</v>
      </c>
      <c r="AL3" s="10" t="s">
        <v>3675</v>
      </c>
      <c r="AM3" s="10" t="s">
        <v>3299</v>
      </c>
      <c r="AN3" s="10" t="s">
        <v>3676</v>
      </c>
      <c r="AO3" s="10" t="s">
        <v>3677</v>
      </c>
      <c r="AP3" s="10" t="s">
        <v>3299</v>
      </c>
      <c r="AQ3" s="10" t="s">
        <v>3678</v>
      </c>
      <c r="AR3" s="165" t="s">
        <v>19</v>
      </c>
      <c r="AS3" s="166" t="s">
        <v>14</v>
      </c>
      <c r="AT3" s="166" t="s">
        <v>15</v>
      </c>
      <c r="AU3" s="166" t="s">
        <v>16</v>
      </c>
      <c r="AV3" s="166" t="s">
        <v>17</v>
      </c>
      <c r="AW3" s="166" t="s">
        <v>18</v>
      </c>
      <c r="AX3" s="166" t="s">
        <v>3694</v>
      </c>
      <c r="AY3" s="166" t="s">
        <v>3695</v>
      </c>
      <c r="AZ3" s="166" t="s">
        <v>3696</v>
      </c>
      <c r="BA3" s="166" t="s">
        <v>3697</v>
      </c>
      <c r="BB3" s="166" t="s">
        <v>3698</v>
      </c>
      <c r="BC3" s="166" t="s">
        <v>3699</v>
      </c>
      <c r="BD3" s="166" t="s">
        <v>3700</v>
      </c>
      <c r="BE3" s="11" t="s">
        <v>20</v>
      </c>
      <c r="BF3" s="11" t="s">
        <v>21</v>
      </c>
      <c r="BG3" s="11" t="s">
        <v>22</v>
      </c>
      <c r="BH3" s="11" t="s">
        <v>23</v>
      </c>
      <c r="BI3" s="145" t="s">
        <v>24</v>
      </c>
      <c r="BJ3" s="145" t="s">
        <v>3708</v>
      </c>
      <c r="BK3" s="145" t="s">
        <v>3709</v>
      </c>
      <c r="BL3" s="145" t="s">
        <v>3710</v>
      </c>
      <c r="BM3" s="145" t="s">
        <v>3711</v>
      </c>
      <c r="BN3" s="145" t="s">
        <v>3712</v>
      </c>
      <c r="BO3" s="145" t="s">
        <v>3713</v>
      </c>
      <c r="BP3" s="145" t="s">
        <v>3714</v>
      </c>
      <c r="BQ3" s="149" t="s">
        <v>55</v>
      </c>
      <c r="BR3" s="151" t="s">
        <v>3325</v>
      </c>
      <c r="BS3" s="151" t="s">
        <v>3324</v>
      </c>
      <c r="BT3" s="150" t="s">
        <v>3047</v>
      </c>
      <c r="BU3" s="149" t="s">
        <v>2690</v>
      </c>
      <c r="BV3" s="149" t="s">
        <v>3002</v>
      </c>
      <c r="BW3" s="149" t="s">
        <v>2268</v>
      </c>
      <c r="BX3" s="149" t="s">
        <v>1919</v>
      </c>
      <c r="BY3" s="149" t="s">
        <v>3314</v>
      </c>
      <c r="BZ3" s="149" t="s">
        <v>1920</v>
      </c>
      <c r="CA3" s="149" t="s">
        <v>1921</v>
      </c>
      <c r="CB3" s="149" t="s">
        <v>1923</v>
      </c>
      <c r="CC3" s="149" t="s">
        <v>1924</v>
      </c>
      <c r="CD3" s="149" t="s">
        <v>3315</v>
      </c>
      <c r="CE3" s="149" t="s">
        <v>3316</v>
      </c>
      <c r="CF3" s="149" t="s">
        <v>3317</v>
      </c>
      <c r="CG3" s="149" t="s">
        <v>3318</v>
      </c>
      <c r="CH3" s="149" t="s">
        <v>3312</v>
      </c>
      <c r="CI3" s="149" t="s">
        <v>2264</v>
      </c>
      <c r="CJ3" s="149" t="s">
        <v>3319</v>
      </c>
      <c r="CK3" s="149" t="s">
        <v>2265</v>
      </c>
      <c r="CL3" s="149" t="s">
        <v>2266</v>
      </c>
      <c r="CM3" s="149" t="s">
        <v>3320</v>
      </c>
      <c r="CN3" s="149" t="s">
        <v>3321</v>
      </c>
      <c r="CO3" s="149" t="s">
        <v>3308</v>
      </c>
      <c r="CP3" s="149" t="s">
        <v>3322</v>
      </c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</row>
    <row r="4" spans="1:115" ht="16.5" x14ac:dyDescent="0.2">
      <c r="A4" s="4">
        <f>参数调整!B4</f>
        <v>1</v>
      </c>
      <c r="B4" s="165">
        <f>参数调整!C4</f>
        <v>35</v>
      </c>
      <c r="C4" s="165">
        <f>参数调整!D4</f>
        <v>0</v>
      </c>
      <c r="D4" s="165">
        <f t="shared" ref="D4:D21" si="0">10*F4</f>
        <v>2000</v>
      </c>
      <c r="E4" s="165">
        <f t="shared" ref="E4:E21" si="1">20*F4</f>
        <v>4000</v>
      </c>
      <c r="F4" s="165">
        <f>参数调整!E4</f>
        <v>200</v>
      </c>
      <c r="G4" s="10">
        <f t="shared" ref="G4:G21" si="2">1/2*F4</f>
        <v>100</v>
      </c>
      <c r="H4" s="10">
        <f>ROUND($H$2*F4,0)</f>
        <v>120</v>
      </c>
      <c r="I4" s="10">
        <f t="shared" ref="I4:I30" si="3">INT(H4/BS4)</f>
        <v>122</v>
      </c>
      <c r="J4" s="10">
        <f>$H$2*G4</f>
        <v>60</v>
      </c>
      <c r="K4" s="10">
        <f>ROUND($K$2*F4,0)</f>
        <v>130</v>
      </c>
      <c r="L4" s="10">
        <f t="shared" ref="L4:L30" si="4">INT(K4/BS4)</f>
        <v>133</v>
      </c>
      <c r="M4" s="10">
        <f>ROUND($K$2*G4,0)</f>
        <v>65</v>
      </c>
      <c r="N4" s="10">
        <f>ROUND($N$2*F4,0)</f>
        <v>140</v>
      </c>
      <c r="O4" s="10">
        <f t="shared" ref="O4:O30" si="5">INT(N4/BS4)</f>
        <v>143</v>
      </c>
      <c r="P4" s="10">
        <f>ROUND($N$2*G4,0)</f>
        <v>70</v>
      </c>
      <c r="Q4" s="10">
        <f>ROUND($Q$2*F4,0)</f>
        <v>150</v>
      </c>
      <c r="R4" s="10">
        <f t="shared" ref="R4:R30" si="6">INT(Q4/BS4)</f>
        <v>153</v>
      </c>
      <c r="S4" s="10">
        <f>ROUND($Q$2*G4,0)</f>
        <v>75</v>
      </c>
      <c r="T4" s="10">
        <f>ROUND($T$2*F4,0)</f>
        <v>220</v>
      </c>
      <c r="U4" s="10">
        <f t="shared" ref="U4:U30" si="7">INT(T4/BS4)</f>
        <v>225</v>
      </c>
      <c r="V4" s="10">
        <f>ROUND($T$2*G4,0)</f>
        <v>110</v>
      </c>
      <c r="W4" s="10">
        <f>W$2*$F4</f>
        <v>200</v>
      </c>
      <c r="X4" s="10">
        <f>INT(W4/$BS4)</f>
        <v>204</v>
      </c>
      <c r="Y4" s="10">
        <f>INT(参数调整!$K$3*W4)</f>
        <v>100</v>
      </c>
      <c r="Z4" s="10">
        <f>Z$2*$F4</f>
        <v>200</v>
      </c>
      <c r="AA4" s="10">
        <f>INT(Z4/$BS4)</f>
        <v>204</v>
      </c>
      <c r="AB4" s="10">
        <f>INT(参数调整!$K$3*Z4)</f>
        <v>100</v>
      </c>
      <c r="AC4" s="10">
        <f>AC$2*$F4</f>
        <v>200</v>
      </c>
      <c r="AD4" s="10">
        <f>INT(AC4/$BS4)</f>
        <v>204</v>
      </c>
      <c r="AE4" s="10">
        <f>INT(参数调整!$K$3*AC4)</f>
        <v>100</v>
      </c>
      <c r="AF4" s="10">
        <f>AF$2*$F4</f>
        <v>200</v>
      </c>
      <c r="AG4" s="10">
        <f>INT(AF4/$BS4)</f>
        <v>204</v>
      </c>
      <c r="AH4" s="10">
        <f>INT(参数调整!$K$3*AF4)</f>
        <v>100</v>
      </c>
      <c r="AI4" s="10">
        <f>AI$2*$F4</f>
        <v>200</v>
      </c>
      <c r="AJ4" s="10">
        <f>INT(AI4/$BS4)</f>
        <v>204</v>
      </c>
      <c r="AK4" s="10">
        <f>INT(参数调整!$K$3*AI4)</f>
        <v>100</v>
      </c>
      <c r="AL4" s="10">
        <f>AL$2*$F4</f>
        <v>200</v>
      </c>
      <c r="AM4" s="10">
        <f>INT(AL4/$BS4)</f>
        <v>204</v>
      </c>
      <c r="AN4" s="10">
        <f>INT(参数调整!$K$3*AL4)</f>
        <v>100</v>
      </c>
      <c r="AO4" s="10">
        <f>AO$2*$F4</f>
        <v>200</v>
      </c>
      <c r="AP4" s="10">
        <f>INT(AO4/$BS4)</f>
        <v>204</v>
      </c>
      <c r="AQ4" s="10">
        <f>INT(参数调整!$K$3*AO4)</f>
        <v>100</v>
      </c>
      <c r="AR4" s="165">
        <f t="shared" ref="AR4:AW4" si="8">AR$2</f>
        <v>1</v>
      </c>
      <c r="AS4" s="165">
        <f>AS$2</f>
        <v>10</v>
      </c>
      <c r="AT4" s="165">
        <f t="shared" si="8"/>
        <v>120</v>
      </c>
      <c r="AU4" s="165">
        <f t="shared" si="8"/>
        <v>600</v>
      </c>
      <c r="AV4" s="165">
        <f t="shared" si="8"/>
        <v>1200</v>
      </c>
      <c r="AW4" s="165">
        <f t="shared" si="8"/>
        <v>1800</v>
      </c>
      <c r="AX4" s="165">
        <f>AX$2</f>
        <v>333</v>
      </c>
      <c r="AY4" s="165">
        <f>AY$2</f>
        <v>444</v>
      </c>
      <c r="AZ4" s="165">
        <f>AZ$2</f>
        <v>555</v>
      </c>
      <c r="BA4" s="165">
        <f t="shared" ref="BA4:BD19" si="9">BA$2</f>
        <v>666</v>
      </c>
      <c r="BB4" s="165">
        <f t="shared" si="9"/>
        <v>777</v>
      </c>
      <c r="BC4" s="165">
        <f t="shared" si="9"/>
        <v>888</v>
      </c>
      <c r="BD4" s="165">
        <f t="shared" si="9"/>
        <v>999</v>
      </c>
      <c r="BE4" s="10">
        <f t="shared" ref="BE4:BE30" si="10">INT(((F4-J4)*AR4*AS4*BR4)/100)*100</f>
        <v>1500</v>
      </c>
      <c r="BF4" s="10">
        <f t="shared" ref="BF4:BF30" si="11">INT(((F4-M4)*AR4*AT4*BR4)/100)*100</f>
        <v>17900</v>
      </c>
      <c r="BG4" s="10">
        <f t="shared" ref="BG4:BG30" si="12">INT(((F4-P4)*AR4*AU4*BR4)/1000)*1000</f>
        <v>86000</v>
      </c>
      <c r="BH4" s="10">
        <f t="shared" ref="BH4:BH30" si="13">INT(((F4-S4)*AR4*AU4*BR4)/1000)*1000</f>
        <v>83000</v>
      </c>
      <c r="BI4" s="146">
        <f t="shared" ref="BI4:BI30" si="14">INT(((F4-V4)*AR4*AW4*BR4)/10000)*10000</f>
        <v>170000</v>
      </c>
      <c r="BJ4" s="146">
        <f>INT(((F4-Y4)*AR4*AX4*BR4)/10000)*10000</f>
        <v>30000</v>
      </c>
      <c r="BK4" s="146">
        <f>INT(((F4-AB4)*AR4*AY4*BR4)/10000)*10000</f>
        <v>40000</v>
      </c>
      <c r="BL4" s="146">
        <f>INT(((F4-AE4)*AR4*AZ4*BR4)/10000)*10000</f>
        <v>60000</v>
      </c>
      <c r="BM4" s="146">
        <f>INT(((F4-AH4)*AR4*BA4*BR4)/10000)*10000</f>
        <v>70000</v>
      </c>
      <c r="BN4" s="146">
        <f>INT(((F4-AK4)*AR4*BB4*BR4)/10000)*10000</f>
        <v>80000</v>
      </c>
      <c r="BO4" s="146">
        <f>INT(((F4-AN4)*AR4*BC4*BR4)/10000)*10000</f>
        <v>90000</v>
      </c>
      <c r="BP4" s="146">
        <f>INT(((F4-AQ4)*AR4*BD4*BR4)/10000)*10000</f>
        <v>110000</v>
      </c>
      <c r="BQ4" s="149">
        <v>1</v>
      </c>
      <c r="BR4" s="151">
        <f t="shared" ref="BR4:BR29" si="15">1*(1+BU4/100)*(1+BV4/100*(1.5+BW4/100)+(CA4+CL4)/100)*(1+BZ4/10)*(1+CH4/600)</f>
        <v>1.1092729548359526</v>
      </c>
      <c r="BS4" s="151">
        <f t="shared" ref="BS4:BS29" si="16">1*(1-CB4/100)*(1-CF4/200)*(1-CK4/100)</f>
        <v>0.97563232990328674</v>
      </c>
      <c r="BT4" s="150">
        <f>参数调整!H4</f>
        <v>0.62150000000000005</v>
      </c>
      <c r="BU4" s="149">
        <f>BQ4/BQ30*BT4*BU30</f>
        <v>7.2968703703703701</v>
      </c>
      <c r="BV4" s="149">
        <f>BQ4/BQ30*BT4*BV30</f>
        <v>0.91655137037037027</v>
      </c>
      <c r="BW4" s="149">
        <f>BQ4/BQ30*BT4*BW30</f>
        <v>2.5320370370370369</v>
      </c>
      <c r="BX4" s="149">
        <f>BQ4/BQ30*BT4*BX30</f>
        <v>2.7622222222222224</v>
      </c>
      <c r="BY4" s="149">
        <v>0</v>
      </c>
      <c r="BZ4" s="149">
        <f>基本装备!AH3</f>
        <v>0</v>
      </c>
      <c r="CA4" s="149">
        <f>BQ4/BQ30*BT4*CA30</f>
        <v>1.5610698888888888</v>
      </c>
      <c r="CB4" s="149">
        <f>BQ4/BQ30*BT4*CB30</f>
        <v>0.59429211111111102</v>
      </c>
      <c r="CC4" s="149">
        <f>BQ4/BQ30*BT4*CC30</f>
        <v>0.59429211111111102</v>
      </c>
      <c r="CD4" s="149">
        <f>BQ4/BQ30*BT4*CD30</f>
        <v>8.7888847037037028</v>
      </c>
      <c r="CE4" s="149">
        <f>BQ4/BQ30*BT4*CE30</f>
        <v>8.5586995185185177</v>
      </c>
      <c r="CF4" s="149">
        <f>BQ4/BQ30*BT4*CF30</f>
        <v>2.7161851851851853</v>
      </c>
      <c r="CG4" s="149">
        <f>BQ4/BQ30*BT4*CG30</f>
        <v>2.7161851851851853</v>
      </c>
      <c r="CH4" s="149">
        <f>BQ4/BQ30*BT4*CH30</f>
        <v>2.2286069259259258</v>
      </c>
      <c r="CI4" s="149">
        <f>BQ4/BQ30*BT4*CI30</f>
        <v>0.50221803703703694</v>
      </c>
      <c r="CJ4" s="149">
        <f>BQ4/BQ30*BT4*CJ30</f>
        <v>0</v>
      </c>
      <c r="CK4" s="149">
        <f>BQ4/BQ30*BT4*CK30</f>
        <v>0.50221803703703705</v>
      </c>
      <c r="CL4" s="149">
        <f>BQ4/BQ30*BT4*CL30</f>
        <v>4.1847666666666665E-2</v>
      </c>
      <c r="CM4" s="149">
        <f>BQ4/BQ30*BT4*CM30</f>
        <v>46.037037037037038</v>
      </c>
      <c r="CN4" s="149">
        <f>BQ4/BQ30*BT4*CN30</f>
        <v>46.037037037037038</v>
      </c>
      <c r="CO4" s="149">
        <f>BQ4/BQ30*BT4*CO30</f>
        <v>0.456181</v>
      </c>
      <c r="CP4" s="149">
        <f>BQ4/BQ30*BT4*CP30</f>
        <v>0.50221803703703705</v>
      </c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</row>
    <row r="5" spans="1:115" ht="16.5" x14ac:dyDescent="0.2">
      <c r="A5" s="4">
        <f>参数调整!B5</f>
        <v>2</v>
      </c>
      <c r="B5" s="165">
        <f>参数调整!C5</f>
        <v>40</v>
      </c>
      <c r="C5" s="165">
        <f>参数调整!D5</f>
        <v>0</v>
      </c>
      <c r="D5" s="165">
        <f t="shared" si="0"/>
        <v>3000</v>
      </c>
      <c r="E5" s="165">
        <f t="shared" si="1"/>
        <v>6000</v>
      </c>
      <c r="F5" s="165">
        <f>参数调整!E5</f>
        <v>300</v>
      </c>
      <c r="G5" s="10">
        <f t="shared" si="2"/>
        <v>150</v>
      </c>
      <c r="H5" s="10">
        <f t="shared" ref="H5:H30" si="17">ROUND($H$2*F5,0)</f>
        <v>180</v>
      </c>
      <c r="I5" s="10">
        <f t="shared" si="3"/>
        <v>189</v>
      </c>
      <c r="J5" s="10">
        <f t="shared" ref="J5:J30" si="18">$H$2*G5</f>
        <v>90</v>
      </c>
      <c r="K5" s="10">
        <f t="shared" ref="K5:K30" si="19">ROUND($K$2*F5,0)</f>
        <v>195</v>
      </c>
      <c r="L5" s="10">
        <f t="shared" si="4"/>
        <v>205</v>
      </c>
      <c r="M5" s="10">
        <f t="shared" ref="M5:M30" si="20">ROUND($K$2*G5,0)</f>
        <v>98</v>
      </c>
      <c r="N5" s="10">
        <f t="shared" ref="N5:N30" si="21">ROUND($N$2*F5,0)</f>
        <v>210</v>
      </c>
      <c r="O5" s="10">
        <f t="shared" si="5"/>
        <v>220</v>
      </c>
      <c r="P5" s="10">
        <f t="shared" ref="P5:P30" si="22">ROUND($N$2*G5,0)</f>
        <v>105</v>
      </c>
      <c r="Q5" s="10">
        <f t="shared" ref="Q5:Q30" si="23">ROUND($Q$2*F5,0)</f>
        <v>225</v>
      </c>
      <c r="R5" s="10">
        <f t="shared" si="6"/>
        <v>236</v>
      </c>
      <c r="S5" s="10">
        <f t="shared" ref="S5:S30" si="24">ROUND($Q$2*G5,0)</f>
        <v>113</v>
      </c>
      <c r="T5" s="10">
        <f t="shared" ref="T5:T30" si="25">ROUND($T$2*F5,0)</f>
        <v>330</v>
      </c>
      <c r="U5" s="10">
        <f t="shared" si="7"/>
        <v>347</v>
      </c>
      <c r="V5" s="10">
        <f t="shared" ref="V5:V30" si="26">ROUND($T$2*G5,0)</f>
        <v>165</v>
      </c>
      <c r="W5" s="10">
        <f>W$2*$F5</f>
        <v>300</v>
      </c>
      <c r="X5" s="10">
        <f t="shared" ref="X5:X30" si="27">INT(W5/$BS5)</f>
        <v>315</v>
      </c>
      <c r="Y5" s="10">
        <f>INT(参数调整!$K$3*W5)</f>
        <v>150</v>
      </c>
      <c r="Z5" s="10">
        <f t="shared" ref="Z5:Z30" si="28">Z$2*$F5</f>
        <v>300</v>
      </c>
      <c r="AA5" s="10">
        <f t="shared" ref="AA5:AA30" si="29">INT(Z5/$BS5)</f>
        <v>315</v>
      </c>
      <c r="AB5" s="10">
        <f>INT(参数调整!$K$3*Z5)</f>
        <v>150</v>
      </c>
      <c r="AC5" s="10">
        <f t="shared" ref="AC5:AC30" si="30">AC$2*$F5</f>
        <v>300</v>
      </c>
      <c r="AD5" s="10">
        <f t="shared" ref="AD5:AD30" si="31">INT(AC5/$BS5)</f>
        <v>315</v>
      </c>
      <c r="AE5" s="10">
        <f>INT(参数调整!$K$3*AC5)</f>
        <v>150</v>
      </c>
      <c r="AF5" s="10">
        <f t="shared" ref="AF5:AF30" si="32">AF$2*$F5</f>
        <v>300</v>
      </c>
      <c r="AG5" s="10">
        <f t="shared" ref="AG5:AG30" si="33">INT(AF5/$BS5)</f>
        <v>315</v>
      </c>
      <c r="AH5" s="10">
        <f>INT(参数调整!$K$3*AF5)</f>
        <v>150</v>
      </c>
      <c r="AI5" s="10">
        <f t="shared" ref="AI5:AI30" si="34">AI$2*$F5</f>
        <v>300</v>
      </c>
      <c r="AJ5" s="10">
        <f t="shared" ref="AJ5:AJ30" si="35">INT(AI5/$BS5)</f>
        <v>315</v>
      </c>
      <c r="AK5" s="10">
        <f>INT(参数调整!$K$3*AI5)</f>
        <v>150</v>
      </c>
      <c r="AL5" s="10">
        <f t="shared" ref="AL5:AL30" si="36">AL$2*$F5</f>
        <v>300</v>
      </c>
      <c r="AM5" s="10">
        <f t="shared" ref="AM5:AM30" si="37">INT(AL5/$BS5)</f>
        <v>315</v>
      </c>
      <c r="AN5" s="10">
        <f>INT(参数调整!$K$3*AL5)</f>
        <v>150</v>
      </c>
      <c r="AO5" s="10">
        <f t="shared" ref="AO5:AO30" si="38">AO$2*$F5</f>
        <v>300</v>
      </c>
      <c r="AP5" s="10">
        <f t="shared" ref="AP5:AP30" si="39">INT(AO5/$BS5)</f>
        <v>315</v>
      </c>
      <c r="AQ5" s="10">
        <f>INT(参数调整!$K$3*AO5)</f>
        <v>150</v>
      </c>
      <c r="AR5" s="165">
        <f t="shared" ref="AR5:BD30" si="40">AR$2</f>
        <v>1</v>
      </c>
      <c r="AS5" s="165">
        <f t="shared" si="40"/>
        <v>10</v>
      </c>
      <c r="AT5" s="165">
        <f t="shared" si="40"/>
        <v>120</v>
      </c>
      <c r="AU5" s="165">
        <f t="shared" si="40"/>
        <v>600</v>
      </c>
      <c r="AV5" s="165">
        <f t="shared" si="40"/>
        <v>1200</v>
      </c>
      <c r="AW5" s="165">
        <f t="shared" si="40"/>
        <v>1800</v>
      </c>
      <c r="AX5" s="165">
        <f t="shared" si="40"/>
        <v>333</v>
      </c>
      <c r="AY5" s="165">
        <f t="shared" si="40"/>
        <v>444</v>
      </c>
      <c r="AZ5" s="165">
        <f t="shared" si="40"/>
        <v>555</v>
      </c>
      <c r="BA5" s="165">
        <f t="shared" si="9"/>
        <v>666</v>
      </c>
      <c r="BB5" s="165">
        <f t="shared" si="9"/>
        <v>777</v>
      </c>
      <c r="BC5" s="165">
        <f t="shared" si="9"/>
        <v>888</v>
      </c>
      <c r="BD5" s="165">
        <f t="shared" si="9"/>
        <v>999</v>
      </c>
      <c r="BE5" s="10">
        <f t="shared" si="10"/>
        <v>2500</v>
      </c>
      <c r="BF5" s="10">
        <f t="shared" si="11"/>
        <v>29800</v>
      </c>
      <c r="BG5" s="10">
        <f t="shared" si="12"/>
        <v>143000</v>
      </c>
      <c r="BH5" s="10">
        <f t="shared" si="13"/>
        <v>137000</v>
      </c>
      <c r="BI5" s="146">
        <f t="shared" si="14"/>
        <v>290000</v>
      </c>
      <c r="BJ5" s="146">
        <f t="shared" ref="BJ5:BJ30" si="41">INT(((F5-Y5)*AR5*AX5*BR5)/10000)*10000</f>
        <v>60000</v>
      </c>
      <c r="BK5" s="146">
        <f t="shared" ref="BK5:BK30" si="42">INT(((F5-AB5)*AR5*AY5*BR5)/10000)*10000</f>
        <v>80000</v>
      </c>
      <c r="BL5" s="146">
        <f t="shared" ref="BL5:BL30" si="43">INT(((F5-AE5)*AR5*AZ5*BR5)/10000)*10000</f>
        <v>100000</v>
      </c>
      <c r="BM5" s="146">
        <f t="shared" ref="BM5:BM30" si="44">INT(((F5-AH5)*AR5*BA5*BR5)/10000)*10000</f>
        <v>120000</v>
      </c>
      <c r="BN5" s="146">
        <f t="shared" ref="BN5:BN30" si="45">INT(((F5-AK5)*AR5*BB5*BR5)/10000)*10000</f>
        <v>140000</v>
      </c>
      <c r="BO5" s="146">
        <f t="shared" ref="BO5:BO30" si="46">INT(((F5-AN5)*AR5*BC5*BR5)/10000)*10000</f>
        <v>160000</v>
      </c>
      <c r="BP5" s="146">
        <f t="shared" ref="BP5:BP30" si="47">INT(((F5-AQ5)*AR5*BD5*BR5)/10000)*10000</f>
        <v>180000</v>
      </c>
      <c r="BQ5" s="149">
        <v>2</v>
      </c>
      <c r="BR5" s="151">
        <f t="shared" si="15"/>
        <v>1.229403398556693</v>
      </c>
      <c r="BS5" s="151">
        <f t="shared" si="16"/>
        <v>0.95058457865155299</v>
      </c>
      <c r="BT5" s="150">
        <f>参数调整!H5</f>
        <v>0.63500000000000001</v>
      </c>
      <c r="BU5" s="149">
        <f>BQ5/BQ30*BT5*BU30</f>
        <v>14.91074074074074</v>
      </c>
      <c r="BV5" s="149">
        <f>BQ5/BQ30*BT5*BV30</f>
        <v>1.8729207407407407</v>
      </c>
      <c r="BW5" s="149">
        <f>BQ5/BQ30*BT5*BW30</f>
        <v>5.174074074074074</v>
      </c>
      <c r="BX5" s="149">
        <f>BQ5/BQ30*BT5*BX30</f>
        <v>5.6444444444444448</v>
      </c>
      <c r="BY5" s="149">
        <v>0</v>
      </c>
      <c r="BZ5" s="149">
        <f>基本装备!AH4</f>
        <v>0</v>
      </c>
      <c r="CA5" s="149">
        <f>BQ5/BQ30*BT5*CA30</f>
        <v>3.1899577777777774</v>
      </c>
      <c r="CB5" s="149">
        <f>BQ5/BQ30*BT5*CB30</f>
        <v>1.2144022222222222</v>
      </c>
      <c r="CC5" s="149">
        <f>BQ5/BQ30*BT5*CC30</f>
        <v>1.2144022222222222</v>
      </c>
      <c r="CD5" s="149">
        <f>BQ5/BQ30*BT5*CD30</f>
        <v>17.959587407407408</v>
      </c>
      <c r="CE5" s="149">
        <f>BQ5/BQ30*BT5*CE30</f>
        <v>17.489217037037037</v>
      </c>
      <c r="CF5" s="149">
        <f>BQ5/BQ30*BT5*CF30</f>
        <v>5.55037037037037</v>
      </c>
      <c r="CG5" s="149">
        <f>BQ5/BQ30*BT5*CG30</f>
        <v>5.55037037037037</v>
      </c>
      <c r="CH5" s="149">
        <f>BQ5/BQ30*BT5*CH30</f>
        <v>4.5540318518518514</v>
      </c>
      <c r="CI5" s="149">
        <f>BQ5/BQ30*BT5*CI30</f>
        <v>1.026254074074074</v>
      </c>
      <c r="CJ5" s="149">
        <f>BQ5/BQ30*BT5*CJ30</f>
        <v>0</v>
      </c>
      <c r="CK5" s="149">
        <f>BQ5/BQ30*BT5*CK30</f>
        <v>1.0262540740740742</v>
      </c>
      <c r="CL5" s="149">
        <f>BQ5/BQ30*BT5*CL30</f>
        <v>8.551333333333333E-2</v>
      </c>
      <c r="CM5" s="149">
        <f>BQ5/BQ30*BT5*CM30</f>
        <v>94.074074074074076</v>
      </c>
      <c r="CN5" s="149">
        <f>BQ5/BQ30*BT5*CN30</f>
        <v>94.074074074074076</v>
      </c>
      <c r="CO5" s="149">
        <f>BQ5/BQ30*BT5*CO30</f>
        <v>0.93218000000000001</v>
      </c>
      <c r="CP5" s="149">
        <f>BQ5/BQ30*BT5*CP30</f>
        <v>1.0262540740740742</v>
      </c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</row>
    <row r="6" spans="1:115" ht="16.5" x14ac:dyDescent="0.2">
      <c r="A6" s="4">
        <f>参数调整!B6</f>
        <v>1.5</v>
      </c>
      <c r="B6" s="165">
        <f>参数调整!C6</f>
        <v>50</v>
      </c>
      <c r="C6" s="165">
        <f>参数调整!D6</f>
        <v>0</v>
      </c>
      <c r="D6" s="165">
        <f t="shared" si="0"/>
        <v>4000</v>
      </c>
      <c r="E6" s="165">
        <f t="shared" si="1"/>
        <v>8000</v>
      </c>
      <c r="F6" s="165">
        <f>参数调整!E6</f>
        <v>400</v>
      </c>
      <c r="G6" s="10">
        <f t="shared" si="2"/>
        <v>200</v>
      </c>
      <c r="H6" s="10">
        <f t="shared" si="17"/>
        <v>240</v>
      </c>
      <c r="I6" s="10">
        <f t="shared" si="3"/>
        <v>259</v>
      </c>
      <c r="J6" s="10">
        <f t="shared" si="18"/>
        <v>120</v>
      </c>
      <c r="K6" s="10">
        <f t="shared" si="19"/>
        <v>260</v>
      </c>
      <c r="L6" s="10">
        <f t="shared" si="4"/>
        <v>281</v>
      </c>
      <c r="M6" s="10">
        <f t="shared" si="20"/>
        <v>130</v>
      </c>
      <c r="N6" s="10">
        <f t="shared" si="21"/>
        <v>280</v>
      </c>
      <c r="O6" s="10">
        <f t="shared" si="5"/>
        <v>302</v>
      </c>
      <c r="P6" s="10">
        <f t="shared" si="22"/>
        <v>140</v>
      </c>
      <c r="Q6" s="10">
        <f t="shared" si="23"/>
        <v>300</v>
      </c>
      <c r="R6" s="10">
        <f t="shared" si="6"/>
        <v>324</v>
      </c>
      <c r="S6" s="10">
        <f t="shared" si="24"/>
        <v>150</v>
      </c>
      <c r="T6" s="10">
        <f t="shared" si="25"/>
        <v>440</v>
      </c>
      <c r="U6" s="10">
        <f t="shared" si="7"/>
        <v>475</v>
      </c>
      <c r="V6" s="10">
        <f t="shared" si="26"/>
        <v>220</v>
      </c>
      <c r="W6" s="10">
        <f t="shared" ref="W6:W30" si="48">W$2*$F6</f>
        <v>400</v>
      </c>
      <c r="X6" s="10">
        <f t="shared" si="27"/>
        <v>432</v>
      </c>
      <c r="Y6" s="10">
        <f>INT(参数调整!$K$3*W6)</f>
        <v>200</v>
      </c>
      <c r="Z6" s="10">
        <f t="shared" si="28"/>
        <v>400</v>
      </c>
      <c r="AA6" s="10">
        <f t="shared" si="29"/>
        <v>432</v>
      </c>
      <c r="AB6" s="10">
        <f>INT(参数调整!$K$3*Z6)</f>
        <v>200</v>
      </c>
      <c r="AC6" s="10">
        <f t="shared" si="30"/>
        <v>400</v>
      </c>
      <c r="AD6" s="10">
        <f t="shared" si="31"/>
        <v>432</v>
      </c>
      <c r="AE6" s="10">
        <f>INT(参数调整!$K$3*AC6)</f>
        <v>200</v>
      </c>
      <c r="AF6" s="10">
        <f t="shared" si="32"/>
        <v>400</v>
      </c>
      <c r="AG6" s="10">
        <f t="shared" si="33"/>
        <v>432</v>
      </c>
      <c r="AH6" s="10">
        <f>INT(参数调整!$K$3*AF6)</f>
        <v>200</v>
      </c>
      <c r="AI6" s="10">
        <f t="shared" si="34"/>
        <v>400</v>
      </c>
      <c r="AJ6" s="10">
        <f t="shared" si="35"/>
        <v>432</v>
      </c>
      <c r="AK6" s="10">
        <f>INT(参数调整!$K$3*AI6)</f>
        <v>200</v>
      </c>
      <c r="AL6" s="10">
        <f t="shared" si="36"/>
        <v>400</v>
      </c>
      <c r="AM6" s="10">
        <f t="shared" si="37"/>
        <v>432</v>
      </c>
      <c r="AN6" s="10">
        <f>INT(参数调整!$K$3*AL6)</f>
        <v>200</v>
      </c>
      <c r="AO6" s="10">
        <f t="shared" si="38"/>
        <v>400</v>
      </c>
      <c r="AP6" s="10">
        <f t="shared" si="39"/>
        <v>432</v>
      </c>
      <c r="AQ6" s="10">
        <f>INT(参数调整!$K$3*AO6)</f>
        <v>200</v>
      </c>
      <c r="AR6" s="165">
        <f t="shared" si="40"/>
        <v>1</v>
      </c>
      <c r="AS6" s="165">
        <f t="shared" si="40"/>
        <v>10</v>
      </c>
      <c r="AT6" s="165">
        <f t="shared" si="40"/>
        <v>120</v>
      </c>
      <c r="AU6" s="165">
        <f t="shared" si="40"/>
        <v>600</v>
      </c>
      <c r="AV6" s="165">
        <f t="shared" si="40"/>
        <v>1200</v>
      </c>
      <c r="AW6" s="165">
        <f t="shared" si="40"/>
        <v>1800</v>
      </c>
      <c r="AX6" s="165">
        <f t="shared" si="40"/>
        <v>333</v>
      </c>
      <c r="AY6" s="165">
        <f t="shared" si="40"/>
        <v>444</v>
      </c>
      <c r="AZ6" s="165">
        <f t="shared" si="40"/>
        <v>555</v>
      </c>
      <c r="BA6" s="165">
        <f t="shared" si="9"/>
        <v>666</v>
      </c>
      <c r="BB6" s="165">
        <f t="shared" si="9"/>
        <v>777</v>
      </c>
      <c r="BC6" s="165">
        <f t="shared" si="9"/>
        <v>888</v>
      </c>
      <c r="BD6" s="165">
        <f t="shared" si="9"/>
        <v>999</v>
      </c>
      <c r="BE6" s="10">
        <f t="shared" si="10"/>
        <v>3800</v>
      </c>
      <c r="BF6" s="10">
        <f t="shared" si="11"/>
        <v>44100</v>
      </c>
      <c r="BG6" s="10">
        <f t="shared" si="12"/>
        <v>212000</v>
      </c>
      <c r="BH6" s="10">
        <f t="shared" si="13"/>
        <v>204000</v>
      </c>
      <c r="BI6" s="146">
        <f t="shared" si="14"/>
        <v>440000</v>
      </c>
      <c r="BJ6" s="146">
        <f t="shared" si="41"/>
        <v>90000</v>
      </c>
      <c r="BK6" s="146">
        <f t="shared" si="42"/>
        <v>120000</v>
      </c>
      <c r="BL6" s="146">
        <f t="shared" si="43"/>
        <v>150000</v>
      </c>
      <c r="BM6" s="146">
        <f t="shared" si="44"/>
        <v>180000</v>
      </c>
      <c r="BN6" s="146">
        <f t="shared" si="45"/>
        <v>210000</v>
      </c>
      <c r="BO6" s="146">
        <f t="shared" si="46"/>
        <v>240000</v>
      </c>
      <c r="BP6" s="146">
        <f t="shared" si="47"/>
        <v>270000</v>
      </c>
      <c r="BQ6" s="149">
        <v>3</v>
      </c>
      <c r="BR6" s="151">
        <f t="shared" si="15"/>
        <v>1.3613610551394753</v>
      </c>
      <c r="BS6" s="151">
        <f t="shared" si="16"/>
        <v>0.92490209328789375</v>
      </c>
      <c r="BT6" s="150">
        <f>参数调整!H6</f>
        <v>0.64849999999999997</v>
      </c>
      <c r="BU6" s="149">
        <f>BQ6/BQ30*BT6*BU30</f>
        <v>22.84161111111111</v>
      </c>
      <c r="BV6" s="149">
        <f>BQ6/BQ30*BT6*BV30</f>
        <v>2.8691081111111107</v>
      </c>
      <c r="BW6" s="149">
        <f>BQ6/BQ30*BT6*BW30</f>
        <v>7.9261111111111111</v>
      </c>
      <c r="BX6" s="149">
        <f>BQ6/BQ30*BT6*BX30</f>
        <v>8.6466666666666665</v>
      </c>
      <c r="BY6" s="149">
        <v>0</v>
      </c>
      <c r="BZ6" s="149">
        <f>基本装备!AH5</f>
        <v>0</v>
      </c>
      <c r="CA6" s="149">
        <f>BQ6/BQ30*BT6*CA30</f>
        <v>4.8866636666666663</v>
      </c>
      <c r="CB6" s="149">
        <f>BQ6/BQ30*BT6*CB30</f>
        <v>1.8603303333333332</v>
      </c>
      <c r="CC6" s="149">
        <f>BQ6/BQ30*BT6*CC30</f>
        <v>1.8603303333333332</v>
      </c>
      <c r="CD6" s="149">
        <f>BQ6/BQ30*BT6*CD30</f>
        <v>27.512108111111107</v>
      </c>
      <c r="CE6" s="149">
        <f>BQ6/BQ30*BT6*CE30</f>
        <v>26.791552555555555</v>
      </c>
      <c r="CF6" s="149">
        <f>BQ6/BQ30*BT6*CF30</f>
        <v>8.5025555555555545</v>
      </c>
      <c r="CG6" s="149">
        <f>BQ6/BQ30*BT6*CG30</f>
        <v>8.5025555555555545</v>
      </c>
      <c r="CH6" s="149">
        <f>BQ6/BQ30*BT6*CH30</f>
        <v>6.9762747777777774</v>
      </c>
      <c r="CI6" s="149">
        <f>BQ6/BQ30*BT6*CI30</f>
        <v>1.5721081111111108</v>
      </c>
      <c r="CJ6" s="149">
        <f>BQ6/BQ30*BT6*CJ30</f>
        <v>0</v>
      </c>
      <c r="CK6" s="149">
        <f>BQ6/BQ30*BT6*CK30</f>
        <v>1.5721081111111113</v>
      </c>
      <c r="CL6" s="149">
        <f>BQ6/BQ30*BT6*CL30</f>
        <v>0.130997</v>
      </c>
      <c r="CM6" s="149">
        <f>BQ6/BQ30*BT6*CM30</f>
        <v>144.11111111111111</v>
      </c>
      <c r="CN6" s="149">
        <f>BQ6/BQ30*BT6*CN30</f>
        <v>144.11111111111111</v>
      </c>
      <c r="CO6" s="149">
        <f>BQ6/BQ30*BT6*CO30</f>
        <v>1.427997</v>
      </c>
      <c r="CP6" s="149">
        <f>BQ6/BQ30*BT6*CP30</f>
        <v>1.5721081111111113</v>
      </c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</row>
    <row r="7" spans="1:115" ht="16.5" x14ac:dyDescent="0.2">
      <c r="A7" s="4">
        <f>参数调整!B7</f>
        <v>1</v>
      </c>
      <c r="B7" s="165">
        <f>参数调整!C7</f>
        <v>60</v>
      </c>
      <c r="C7" s="165">
        <f>参数调整!D7</f>
        <v>0</v>
      </c>
      <c r="D7" s="165">
        <f t="shared" si="0"/>
        <v>5000</v>
      </c>
      <c r="E7" s="165">
        <f t="shared" si="1"/>
        <v>10000</v>
      </c>
      <c r="F7" s="165">
        <f>参数调整!E7</f>
        <v>500</v>
      </c>
      <c r="G7" s="10">
        <f t="shared" si="2"/>
        <v>250</v>
      </c>
      <c r="H7" s="10">
        <f t="shared" si="17"/>
        <v>300</v>
      </c>
      <c r="I7" s="10">
        <f t="shared" si="3"/>
        <v>333</v>
      </c>
      <c r="J7" s="10">
        <f t="shared" si="18"/>
        <v>150</v>
      </c>
      <c r="K7" s="10">
        <f t="shared" si="19"/>
        <v>325</v>
      </c>
      <c r="L7" s="10">
        <f t="shared" si="4"/>
        <v>361</v>
      </c>
      <c r="M7" s="10">
        <f t="shared" si="20"/>
        <v>163</v>
      </c>
      <c r="N7" s="10">
        <f t="shared" si="21"/>
        <v>350</v>
      </c>
      <c r="O7" s="10">
        <f t="shared" si="5"/>
        <v>389</v>
      </c>
      <c r="P7" s="10">
        <f t="shared" si="22"/>
        <v>175</v>
      </c>
      <c r="Q7" s="10">
        <f t="shared" si="23"/>
        <v>375</v>
      </c>
      <c r="R7" s="10">
        <f t="shared" si="6"/>
        <v>417</v>
      </c>
      <c r="S7" s="10">
        <f t="shared" si="24"/>
        <v>188</v>
      </c>
      <c r="T7" s="10">
        <f t="shared" si="25"/>
        <v>550</v>
      </c>
      <c r="U7" s="10">
        <f t="shared" si="7"/>
        <v>612</v>
      </c>
      <c r="V7" s="10">
        <f t="shared" si="26"/>
        <v>275</v>
      </c>
      <c r="W7" s="10">
        <f t="shared" si="48"/>
        <v>500</v>
      </c>
      <c r="X7" s="10">
        <f t="shared" si="27"/>
        <v>556</v>
      </c>
      <c r="Y7" s="10">
        <f>INT(参数调整!$K$3*W7)</f>
        <v>250</v>
      </c>
      <c r="Z7" s="10">
        <f t="shared" si="28"/>
        <v>500</v>
      </c>
      <c r="AA7" s="10">
        <f t="shared" si="29"/>
        <v>556</v>
      </c>
      <c r="AB7" s="10">
        <f>INT(参数调整!$K$3*Z7)</f>
        <v>250</v>
      </c>
      <c r="AC7" s="10">
        <f t="shared" si="30"/>
        <v>500</v>
      </c>
      <c r="AD7" s="10">
        <f t="shared" si="31"/>
        <v>556</v>
      </c>
      <c r="AE7" s="10">
        <f>INT(参数调整!$K$3*AC7)</f>
        <v>250</v>
      </c>
      <c r="AF7" s="10">
        <f t="shared" si="32"/>
        <v>500</v>
      </c>
      <c r="AG7" s="10">
        <f t="shared" si="33"/>
        <v>556</v>
      </c>
      <c r="AH7" s="10">
        <f>INT(参数调整!$K$3*AF7)</f>
        <v>250</v>
      </c>
      <c r="AI7" s="10">
        <f t="shared" si="34"/>
        <v>500</v>
      </c>
      <c r="AJ7" s="10">
        <f t="shared" si="35"/>
        <v>556</v>
      </c>
      <c r="AK7" s="10">
        <f>INT(参数调整!$K$3*AI7)</f>
        <v>250</v>
      </c>
      <c r="AL7" s="10">
        <f t="shared" si="36"/>
        <v>500</v>
      </c>
      <c r="AM7" s="10">
        <f t="shared" si="37"/>
        <v>556</v>
      </c>
      <c r="AN7" s="10">
        <f>INT(参数调整!$K$3*AL7)</f>
        <v>250</v>
      </c>
      <c r="AO7" s="10">
        <f t="shared" si="38"/>
        <v>500</v>
      </c>
      <c r="AP7" s="10">
        <f t="shared" si="39"/>
        <v>556</v>
      </c>
      <c r="AQ7" s="10">
        <f>INT(参数调整!$K$3*AO7)</f>
        <v>250</v>
      </c>
      <c r="AR7" s="165">
        <f t="shared" si="40"/>
        <v>1</v>
      </c>
      <c r="AS7" s="165">
        <f t="shared" si="40"/>
        <v>10</v>
      </c>
      <c r="AT7" s="165">
        <f t="shared" si="40"/>
        <v>120</v>
      </c>
      <c r="AU7" s="165">
        <f t="shared" si="40"/>
        <v>600</v>
      </c>
      <c r="AV7" s="165">
        <f t="shared" si="40"/>
        <v>1200</v>
      </c>
      <c r="AW7" s="165">
        <f t="shared" si="40"/>
        <v>1800</v>
      </c>
      <c r="AX7" s="165">
        <f t="shared" si="40"/>
        <v>333</v>
      </c>
      <c r="AY7" s="165">
        <f t="shared" si="40"/>
        <v>444</v>
      </c>
      <c r="AZ7" s="165">
        <f t="shared" si="40"/>
        <v>555</v>
      </c>
      <c r="BA7" s="165">
        <f t="shared" si="9"/>
        <v>666</v>
      </c>
      <c r="BB7" s="165">
        <f t="shared" si="9"/>
        <v>777</v>
      </c>
      <c r="BC7" s="165">
        <f t="shared" si="9"/>
        <v>888</v>
      </c>
      <c r="BD7" s="165">
        <f t="shared" si="9"/>
        <v>999</v>
      </c>
      <c r="BE7" s="10">
        <f t="shared" si="10"/>
        <v>5700</v>
      </c>
      <c r="BF7" s="10">
        <f t="shared" si="11"/>
        <v>67000</v>
      </c>
      <c r="BG7" s="10">
        <f t="shared" si="12"/>
        <v>323000</v>
      </c>
      <c r="BH7" s="10">
        <f t="shared" si="13"/>
        <v>310000</v>
      </c>
      <c r="BI7" s="146">
        <f t="shared" si="14"/>
        <v>670000</v>
      </c>
      <c r="BJ7" s="146">
        <f t="shared" si="41"/>
        <v>130000</v>
      </c>
      <c r="BK7" s="146">
        <f t="shared" si="42"/>
        <v>180000</v>
      </c>
      <c r="BL7" s="146">
        <f t="shared" si="43"/>
        <v>220000</v>
      </c>
      <c r="BM7" s="146">
        <f t="shared" si="44"/>
        <v>270000</v>
      </c>
      <c r="BN7" s="146">
        <f t="shared" si="45"/>
        <v>320000</v>
      </c>
      <c r="BO7" s="146">
        <f t="shared" si="46"/>
        <v>360000</v>
      </c>
      <c r="BP7" s="146">
        <f t="shared" si="47"/>
        <v>410000</v>
      </c>
      <c r="BQ7" s="149">
        <v>4</v>
      </c>
      <c r="BR7" s="151">
        <f t="shared" si="15"/>
        <v>1.6568176102009866</v>
      </c>
      <c r="BS7" s="151">
        <f t="shared" si="16"/>
        <v>0.89863149725995517</v>
      </c>
      <c r="BT7" s="150">
        <f>参数调整!H7</f>
        <v>0.66199999999999903</v>
      </c>
      <c r="BU7" s="149">
        <f>BQ7/BQ30*BT7*BU30</f>
        <v>31.089481481481435</v>
      </c>
      <c r="BV7" s="149">
        <f>BQ7/BQ30*BT7*BV30</f>
        <v>3.9051134814814752</v>
      </c>
      <c r="BW7" s="149">
        <f>BQ7/BQ30*BT7*BW30</f>
        <v>10.788148148148132</v>
      </c>
      <c r="BX7" s="149">
        <f>BQ7/BQ30*BT7*BX30</f>
        <v>11.768888888888871</v>
      </c>
      <c r="BY7" s="149">
        <v>0</v>
      </c>
      <c r="BZ7" s="149">
        <f>基本装备!AH6</f>
        <v>1</v>
      </c>
      <c r="CA7" s="149">
        <f>BQ7/BQ30*BT7*CA30</f>
        <v>6.6511875555555449</v>
      </c>
      <c r="CB7" s="149">
        <f>BQ7/BQ30*BT7*CB30</f>
        <v>2.5320764444444404</v>
      </c>
      <c r="CC7" s="149">
        <f>BQ7/BQ30*BT7*CC30</f>
        <v>2.5320764444444404</v>
      </c>
      <c r="CD7" s="149">
        <f>BQ7/BQ30*BT7*CD30</f>
        <v>37.446446814814756</v>
      </c>
      <c r="CE7" s="149">
        <f>BQ7/BQ30*BT7*CE30</f>
        <v>36.465706074074014</v>
      </c>
      <c r="CF7" s="149">
        <f>BQ7/BQ30*BT7*CF30</f>
        <v>11.572740740740723</v>
      </c>
      <c r="CG7" s="149">
        <f>BQ7/BQ30*BT7*CG30</f>
        <v>11.572740740740723</v>
      </c>
      <c r="CH7" s="149">
        <f>BQ7/BQ30*BT7*CH30</f>
        <v>9.4953357037036898</v>
      </c>
      <c r="CI7" s="149">
        <f>BQ7/BQ30*BT7*CI30</f>
        <v>2.1397801481481449</v>
      </c>
      <c r="CJ7" s="149">
        <f>BQ7/BQ30*BT7*CJ30</f>
        <v>0</v>
      </c>
      <c r="CK7" s="149">
        <f>BQ7/BQ30*BT7*CK30</f>
        <v>2.1397801481481449</v>
      </c>
      <c r="CL7" s="149">
        <f>BQ7/BQ30*BT7*CL30</f>
        <v>0.17829866666666641</v>
      </c>
      <c r="CM7" s="149">
        <f>BQ7/BQ30*BT7*CM30</f>
        <v>196.14814814814784</v>
      </c>
      <c r="CN7" s="149">
        <f>BQ7/BQ30*BT7*CN30</f>
        <v>196.14814814814784</v>
      </c>
      <c r="CO7" s="149">
        <f>BQ7/BQ30*BT7*CO30</f>
        <v>1.9436319999999971</v>
      </c>
      <c r="CP7" s="149">
        <f>BQ7/BQ30*BT7*CP30</f>
        <v>2.1397801481481449</v>
      </c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</row>
    <row r="8" spans="1:115" ht="16.5" x14ac:dyDescent="0.2">
      <c r="A8" s="4">
        <f>参数调整!B8</f>
        <v>1.25</v>
      </c>
      <c r="B8" s="165">
        <f>参数调整!C8</f>
        <v>65</v>
      </c>
      <c r="C8" s="165">
        <f>参数调整!D8</f>
        <v>0</v>
      </c>
      <c r="D8" s="165">
        <f t="shared" si="0"/>
        <v>6500</v>
      </c>
      <c r="E8" s="165">
        <f t="shared" si="1"/>
        <v>13000</v>
      </c>
      <c r="F8" s="165">
        <f>参数调整!E8</f>
        <v>650</v>
      </c>
      <c r="G8" s="10">
        <f t="shared" si="2"/>
        <v>325</v>
      </c>
      <c r="H8" s="10">
        <f t="shared" si="17"/>
        <v>390</v>
      </c>
      <c r="I8" s="10">
        <f t="shared" si="3"/>
        <v>447</v>
      </c>
      <c r="J8" s="10">
        <f t="shared" si="18"/>
        <v>195</v>
      </c>
      <c r="K8" s="10">
        <f t="shared" si="19"/>
        <v>423</v>
      </c>
      <c r="L8" s="10">
        <f t="shared" si="4"/>
        <v>485</v>
      </c>
      <c r="M8" s="10">
        <f t="shared" si="20"/>
        <v>211</v>
      </c>
      <c r="N8" s="10">
        <f t="shared" si="21"/>
        <v>455</v>
      </c>
      <c r="O8" s="10">
        <f t="shared" si="5"/>
        <v>521</v>
      </c>
      <c r="P8" s="10">
        <f t="shared" si="22"/>
        <v>228</v>
      </c>
      <c r="Q8" s="10">
        <f t="shared" si="23"/>
        <v>488</v>
      </c>
      <c r="R8" s="10">
        <f t="shared" si="6"/>
        <v>559</v>
      </c>
      <c r="S8" s="10">
        <f t="shared" si="24"/>
        <v>244</v>
      </c>
      <c r="T8" s="10">
        <f t="shared" si="25"/>
        <v>715</v>
      </c>
      <c r="U8" s="10">
        <f t="shared" si="7"/>
        <v>820</v>
      </c>
      <c r="V8" s="10">
        <f t="shared" si="26"/>
        <v>358</v>
      </c>
      <c r="W8" s="10">
        <f t="shared" si="48"/>
        <v>650</v>
      </c>
      <c r="X8" s="10">
        <f t="shared" si="27"/>
        <v>745</v>
      </c>
      <c r="Y8" s="10">
        <f>INT(参数调整!$K$3*W8)</f>
        <v>325</v>
      </c>
      <c r="Z8" s="10">
        <f t="shared" si="28"/>
        <v>650</v>
      </c>
      <c r="AA8" s="10">
        <f t="shared" si="29"/>
        <v>745</v>
      </c>
      <c r="AB8" s="10">
        <f>INT(参数调整!$K$3*Z8)</f>
        <v>325</v>
      </c>
      <c r="AC8" s="10">
        <f t="shared" si="30"/>
        <v>650</v>
      </c>
      <c r="AD8" s="10">
        <f t="shared" si="31"/>
        <v>745</v>
      </c>
      <c r="AE8" s="10">
        <f>INT(参数调整!$K$3*AC8)</f>
        <v>325</v>
      </c>
      <c r="AF8" s="10">
        <f t="shared" si="32"/>
        <v>650</v>
      </c>
      <c r="AG8" s="10">
        <f t="shared" si="33"/>
        <v>745</v>
      </c>
      <c r="AH8" s="10">
        <f>INT(参数调整!$K$3*AF8)</f>
        <v>325</v>
      </c>
      <c r="AI8" s="10">
        <f t="shared" si="34"/>
        <v>650</v>
      </c>
      <c r="AJ8" s="10">
        <f t="shared" si="35"/>
        <v>745</v>
      </c>
      <c r="AK8" s="10">
        <f>INT(参数调整!$K$3*AI8)</f>
        <v>325</v>
      </c>
      <c r="AL8" s="10">
        <f t="shared" si="36"/>
        <v>650</v>
      </c>
      <c r="AM8" s="10">
        <f t="shared" si="37"/>
        <v>745</v>
      </c>
      <c r="AN8" s="10">
        <f>INT(参数调整!$K$3*AL8)</f>
        <v>325</v>
      </c>
      <c r="AO8" s="10">
        <f t="shared" si="38"/>
        <v>650</v>
      </c>
      <c r="AP8" s="10">
        <f t="shared" si="39"/>
        <v>745</v>
      </c>
      <c r="AQ8" s="10">
        <f>INT(参数调整!$K$3*AO8)</f>
        <v>325</v>
      </c>
      <c r="AR8" s="165">
        <f t="shared" si="40"/>
        <v>1</v>
      </c>
      <c r="AS8" s="165">
        <f t="shared" si="40"/>
        <v>10</v>
      </c>
      <c r="AT8" s="165">
        <f t="shared" si="40"/>
        <v>120</v>
      </c>
      <c r="AU8" s="165">
        <f t="shared" si="40"/>
        <v>600</v>
      </c>
      <c r="AV8" s="165">
        <f t="shared" si="40"/>
        <v>1200</v>
      </c>
      <c r="AW8" s="165">
        <f t="shared" si="40"/>
        <v>1800</v>
      </c>
      <c r="AX8" s="165">
        <f t="shared" si="40"/>
        <v>333</v>
      </c>
      <c r="AY8" s="165">
        <f t="shared" si="40"/>
        <v>444</v>
      </c>
      <c r="AZ8" s="165">
        <f t="shared" si="40"/>
        <v>555</v>
      </c>
      <c r="BA8" s="165">
        <f t="shared" si="9"/>
        <v>666</v>
      </c>
      <c r="BB8" s="165">
        <f t="shared" si="9"/>
        <v>777</v>
      </c>
      <c r="BC8" s="165">
        <f t="shared" si="9"/>
        <v>888</v>
      </c>
      <c r="BD8" s="165">
        <f t="shared" si="9"/>
        <v>999</v>
      </c>
      <c r="BE8" s="10">
        <f t="shared" si="10"/>
        <v>8300</v>
      </c>
      <c r="BF8" s="10">
        <f t="shared" si="11"/>
        <v>96400</v>
      </c>
      <c r="BG8" s="10">
        <f t="shared" si="12"/>
        <v>463000</v>
      </c>
      <c r="BH8" s="10">
        <f t="shared" si="13"/>
        <v>446000</v>
      </c>
      <c r="BI8" s="146">
        <f t="shared" si="14"/>
        <v>960000</v>
      </c>
      <c r="BJ8" s="146">
        <f t="shared" si="41"/>
        <v>190000</v>
      </c>
      <c r="BK8" s="146">
        <f t="shared" si="42"/>
        <v>260000</v>
      </c>
      <c r="BL8" s="146">
        <f t="shared" si="43"/>
        <v>330000</v>
      </c>
      <c r="BM8" s="146">
        <f t="shared" si="44"/>
        <v>390000</v>
      </c>
      <c r="BN8" s="146">
        <f t="shared" si="45"/>
        <v>460000</v>
      </c>
      <c r="BO8" s="146">
        <f t="shared" si="46"/>
        <v>520000</v>
      </c>
      <c r="BP8" s="146">
        <f t="shared" si="47"/>
        <v>590000</v>
      </c>
      <c r="BQ8" s="149">
        <v>5</v>
      </c>
      <c r="BR8" s="151">
        <f t="shared" si="15"/>
        <v>1.8315588913666316</v>
      </c>
      <c r="BS8" s="151">
        <f t="shared" si="16"/>
        <v>0.87182061558684842</v>
      </c>
      <c r="BT8" s="150">
        <f>参数调整!H8</f>
        <v>0.67549999999999899</v>
      </c>
      <c r="BU8" s="149">
        <f>BQ8/BQ30*BT8*BU30</f>
        <v>39.654351851851786</v>
      </c>
      <c r="BV8" s="149">
        <f>BQ8/BQ30*BT8*BV30</f>
        <v>4.980936851851844</v>
      </c>
      <c r="BW8" s="149">
        <f>BQ8/BQ30*BT8*BW30</f>
        <v>13.760185185185163</v>
      </c>
      <c r="BX8" s="149">
        <f>BQ8/BQ30*BT8*BX30</f>
        <v>15.011111111111088</v>
      </c>
      <c r="BY8" s="149">
        <v>0</v>
      </c>
      <c r="BZ8" s="149">
        <f>基本装备!AH7</f>
        <v>1</v>
      </c>
      <c r="CA8" s="149">
        <f>BQ8/BQ30*BT8*CA30</f>
        <v>8.4835294444444305</v>
      </c>
      <c r="CB8" s="149">
        <f>BQ8/BQ30*BT8*CB30</f>
        <v>3.2296405555555503</v>
      </c>
      <c r="CC8" s="149">
        <f>BQ8/BQ30*BT8*CC30</f>
        <v>3.2296405555555503</v>
      </c>
      <c r="CD8" s="149">
        <f>BQ8/BQ30*BT8*CD30</f>
        <v>47.762603518518439</v>
      </c>
      <c r="CE8" s="149">
        <f>BQ8/BQ30*BT8*CE30</f>
        <v>46.51167759259252</v>
      </c>
      <c r="CF8" s="149">
        <f>BQ8/BQ30*BT8*CF30</f>
        <v>14.760925925925903</v>
      </c>
      <c r="CG8" s="149">
        <f>BQ8/BQ30*BT8*CG30</f>
        <v>14.760925925925903</v>
      </c>
      <c r="CH8" s="149">
        <f>BQ8/BQ30*BT8*CH30</f>
        <v>12.111214629629611</v>
      </c>
      <c r="CI8" s="149">
        <f>BQ8/BQ30*BT8*CI30</f>
        <v>2.7292701851851806</v>
      </c>
      <c r="CJ8" s="149">
        <f>BQ8/BQ30*BT8*CJ30</f>
        <v>0</v>
      </c>
      <c r="CK8" s="149">
        <f>BQ8/BQ30*BT8*CK30</f>
        <v>2.7292701851851811</v>
      </c>
      <c r="CL8" s="149">
        <f>BQ8/BQ30*BT8*CL30</f>
        <v>0.22741833333333297</v>
      </c>
      <c r="CM8" s="149">
        <f>BQ8/BQ30*BT8*CM30</f>
        <v>250.18518518518479</v>
      </c>
      <c r="CN8" s="149">
        <f>BQ8/BQ30*BT8*CN30</f>
        <v>250.18518518518479</v>
      </c>
      <c r="CO8" s="149">
        <f>BQ8/BQ30*BT8*CO30</f>
        <v>2.4790849999999964</v>
      </c>
      <c r="CP8" s="149">
        <f>BQ8/BQ30*BT8*CP30</f>
        <v>2.7292701851851811</v>
      </c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</row>
    <row r="9" spans="1:115" ht="16.5" x14ac:dyDescent="0.2">
      <c r="A9" s="4">
        <f>参数调整!B9</f>
        <v>1.5</v>
      </c>
      <c r="B9" s="165">
        <f>参数调整!C9</f>
        <v>70</v>
      </c>
      <c r="C9" s="165">
        <f>参数调整!D9</f>
        <v>0</v>
      </c>
      <c r="D9" s="165">
        <f t="shared" si="0"/>
        <v>8000</v>
      </c>
      <c r="E9" s="165">
        <f t="shared" si="1"/>
        <v>16000</v>
      </c>
      <c r="F9" s="165">
        <f>参数调整!E9</f>
        <v>800</v>
      </c>
      <c r="G9" s="10">
        <f t="shared" si="2"/>
        <v>400</v>
      </c>
      <c r="H9" s="10">
        <f t="shared" si="17"/>
        <v>480</v>
      </c>
      <c r="I9" s="10">
        <f t="shared" si="3"/>
        <v>568</v>
      </c>
      <c r="J9" s="10">
        <f t="shared" si="18"/>
        <v>240</v>
      </c>
      <c r="K9" s="10">
        <f t="shared" si="19"/>
        <v>520</v>
      </c>
      <c r="L9" s="10">
        <f t="shared" si="4"/>
        <v>615</v>
      </c>
      <c r="M9" s="10">
        <f t="shared" si="20"/>
        <v>260</v>
      </c>
      <c r="N9" s="10">
        <f t="shared" si="21"/>
        <v>560</v>
      </c>
      <c r="O9" s="10">
        <f t="shared" si="5"/>
        <v>663</v>
      </c>
      <c r="P9" s="10">
        <f t="shared" si="22"/>
        <v>280</v>
      </c>
      <c r="Q9" s="10">
        <f t="shared" si="23"/>
        <v>600</v>
      </c>
      <c r="R9" s="10">
        <f t="shared" si="6"/>
        <v>710</v>
      </c>
      <c r="S9" s="10">
        <f t="shared" si="24"/>
        <v>300</v>
      </c>
      <c r="T9" s="10">
        <f t="shared" si="25"/>
        <v>880</v>
      </c>
      <c r="U9" s="10">
        <f t="shared" si="7"/>
        <v>1042</v>
      </c>
      <c r="V9" s="10">
        <f t="shared" si="26"/>
        <v>440</v>
      </c>
      <c r="W9" s="10">
        <f t="shared" si="48"/>
        <v>800</v>
      </c>
      <c r="X9" s="10">
        <f t="shared" si="27"/>
        <v>947</v>
      </c>
      <c r="Y9" s="10">
        <f>INT(参数调整!$K$3*W9)</f>
        <v>400</v>
      </c>
      <c r="Z9" s="10">
        <f t="shared" si="28"/>
        <v>800</v>
      </c>
      <c r="AA9" s="10">
        <f t="shared" si="29"/>
        <v>947</v>
      </c>
      <c r="AB9" s="10">
        <f>INT(参数调整!$K$3*Z9)</f>
        <v>400</v>
      </c>
      <c r="AC9" s="10">
        <f t="shared" si="30"/>
        <v>800</v>
      </c>
      <c r="AD9" s="10">
        <f t="shared" si="31"/>
        <v>947</v>
      </c>
      <c r="AE9" s="10">
        <f>INT(参数调整!$K$3*AC9)</f>
        <v>400</v>
      </c>
      <c r="AF9" s="10">
        <f t="shared" si="32"/>
        <v>800</v>
      </c>
      <c r="AG9" s="10">
        <f t="shared" si="33"/>
        <v>947</v>
      </c>
      <c r="AH9" s="10">
        <f>INT(参数调整!$K$3*AF9)</f>
        <v>400</v>
      </c>
      <c r="AI9" s="10">
        <f t="shared" si="34"/>
        <v>800</v>
      </c>
      <c r="AJ9" s="10">
        <f t="shared" si="35"/>
        <v>947</v>
      </c>
      <c r="AK9" s="10">
        <f>INT(参数调整!$K$3*AI9)</f>
        <v>400</v>
      </c>
      <c r="AL9" s="10">
        <f t="shared" si="36"/>
        <v>800</v>
      </c>
      <c r="AM9" s="10">
        <f t="shared" si="37"/>
        <v>947</v>
      </c>
      <c r="AN9" s="10">
        <f>INT(参数调整!$K$3*AL9)</f>
        <v>400</v>
      </c>
      <c r="AO9" s="10">
        <f t="shared" si="38"/>
        <v>800</v>
      </c>
      <c r="AP9" s="10">
        <f t="shared" si="39"/>
        <v>947</v>
      </c>
      <c r="AQ9" s="10">
        <f>INT(参数调整!$K$3*AO9)</f>
        <v>400</v>
      </c>
      <c r="AR9" s="165">
        <f t="shared" si="40"/>
        <v>1</v>
      </c>
      <c r="AS9" s="165">
        <f t="shared" si="40"/>
        <v>10</v>
      </c>
      <c r="AT9" s="165">
        <f t="shared" si="40"/>
        <v>120</v>
      </c>
      <c r="AU9" s="165">
        <f t="shared" si="40"/>
        <v>600</v>
      </c>
      <c r="AV9" s="165">
        <f t="shared" si="40"/>
        <v>1200</v>
      </c>
      <c r="AW9" s="165">
        <f t="shared" si="40"/>
        <v>1800</v>
      </c>
      <c r="AX9" s="165">
        <f t="shared" si="40"/>
        <v>333</v>
      </c>
      <c r="AY9" s="165">
        <f t="shared" si="40"/>
        <v>444</v>
      </c>
      <c r="AZ9" s="165">
        <f t="shared" si="40"/>
        <v>555</v>
      </c>
      <c r="BA9" s="165">
        <f t="shared" si="9"/>
        <v>666</v>
      </c>
      <c r="BB9" s="165">
        <f t="shared" si="9"/>
        <v>777</v>
      </c>
      <c r="BC9" s="165">
        <f t="shared" si="9"/>
        <v>888</v>
      </c>
      <c r="BD9" s="165">
        <f t="shared" si="9"/>
        <v>999</v>
      </c>
      <c r="BE9" s="10">
        <f t="shared" si="10"/>
        <v>11300</v>
      </c>
      <c r="BF9" s="10">
        <f t="shared" si="11"/>
        <v>131000</v>
      </c>
      <c r="BG9" s="10">
        <f t="shared" si="12"/>
        <v>631000</v>
      </c>
      <c r="BH9" s="10">
        <f t="shared" si="13"/>
        <v>606000</v>
      </c>
      <c r="BI9" s="146">
        <f t="shared" si="14"/>
        <v>1310000</v>
      </c>
      <c r="BJ9" s="146">
        <f t="shared" si="41"/>
        <v>260000</v>
      </c>
      <c r="BK9" s="146">
        <f t="shared" si="42"/>
        <v>350000</v>
      </c>
      <c r="BL9" s="146">
        <f t="shared" si="43"/>
        <v>440000</v>
      </c>
      <c r="BM9" s="146">
        <f t="shared" si="44"/>
        <v>530000</v>
      </c>
      <c r="BN9" s="146">
        <f t="shared" si="45"/>
        <v>620000</v>
      </c>
      <c r="BO9" s="146">
        <f t="shared" si="46"/>
        <v>710000</v>
      </c>
      <c r="BP9" s="146">
        <f t="shared" si="47"/>
        <v>800000</v>
      </c>
      <c r="BQ9" s="149">
        <v>6</v>
      </c>
      <c r="BR9" s="151">
        <f t="shared" si="15"/>
        <v>2.0230782238236222</v>
      </c>
      <c r="BS9" s="151">
        <f t="shared" si="16"/>
        <v>0.84451839703496001</v>
      </c>
      <c r="BT9" s="150">
        <f>参数调整!H9</f>
        <v>0.68899999999999895</v>
      </c>
      <c r="BU9" s="149">
        <f>BQ9/BQ30*BT9*BU30</f>
        <v>48.536222222222143</v>
      </c>
      <c r="BV9" s="149">
        <f>BQ9/BQ30*BT9*BV30</f>
        <v>6.0965782222222122</v>
      </c>
      <c r="BW9" s="149">
        <f>BQ9/BQ30*BT9*BW30</f>
        <v>16.842222222222194</v>
      </c>
      <c r="BX9" s="149">
        <f>BQ9/BQ30*BT9*BX30</f>
        <v>18.373333333333303</v>
      </c>
      <c r="BY9" s="149">
        <v>0</v>
      </c>
      <c r="BZ9" s="149">
        <f>基本装备!AH8</f>
        <v>1</v>
      </c>
      <c r="CA9" s="149">
        <f>BQ9/BQ30*BT9*CA30</f>
        <v>10.383689333333317</v>
      </c>
      <c r="CB9" s="149">
        <f>BQ9/BQ30*BT9*CB30</f>
        <v>3.9530226666666599</v>
      </c>
      <c r="CC9" s="149">
        <f>BQ9/BQ30*BT9*CC30</f>
        <v>3.9530226666666599</v>
      </c>
      <c r="CD9" s="149">
        <f>BQ9/BQ30*BT9*CD30</f>
        <v>58.460578222222125</v>
      </c>
      <c r="CE9" s="149">
        <f>BQ9/BQ30*BT9*CE30</f>
        <v>56.929467111111016</v>
      </c>
      <c r="CF9" s="149">
        <f>BQ9/BQ30*BT9*CF30</f>
        <v>18.067111111111082</v>
      </c>
      <c r="CG9" s="149">
        <f>BQ9/BQ30*BT9*CG30</f>
        <v>18.067111111111082</v>
      </c>
      <c r="CH9" s="149">
        <f>BQ9/BQ30*BT9*CH30</f>
        <v>14.823911555555531</v>
      </c>
      <c r="CI9" s="149">
        <f>BQ9/BQ30*BT9*CI30</f>
        <v>3.3405782222222165</v>
      </c>
      <c r="CJ9" s="149">
        <f>BQ9/BQ30*BT9*CJ30</f>
        <v>0</v>
      </c>
      <c r="CK9" s="149">
        <f>BQ9/BQ30*BT9*CK30</f>
        <v>3.3405782222222169</v>
      </c>
      <c r="CL9" s="149">
        <f>BQ9/BQ30*BT9*CL30</f>
        <v>0.27835599999999955</v>
      </c>
      <c r="CM9" s="149">
        <f>BQ9/BQ30*BT9*CM30</f>
        <v>306.22222222222172</v>
      </c>
      <c r="CN9" s="149">
        <f>BQ9/BQ30*BT9*CN30</f>
        <v>306.22222222222172</v>
      </c>
      <c r="CO9" s="149">
        <f>BQ9/BQ30*BT9*CO30</f>
        <v>3.0343559999999954</v>
      </c>
      <c r="CP9" s="149">
        <f>BQ9/BQ30*BT9*CP30</f>
        <v>3.3405782222222169</v>
      </c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</row>
    <row r="10" spans="1:115" ht="16.5" x14ac:dyDescent="0.2">
      <c r="A10" s="4">
        <f>参数调整!B10</f>
        <v>1.7</v>
      </c>
      <c r="B10" s="165">
        <f>参数调整!C10</f>
        <v>75</v>
      </c>
      <c r="C10" s="165">
        <f>参数调整!D10</f>
        <v>0</v>
      </c>
      <c r="D10" s="165">
        <f t="shared" si="0"/>
        <v>9500</v>
      </c>
      <c r="E10" s="165">
        <f t="shared" si="1"/>
        <v>19000</v>
      </c>
      <c r="F10" s="165">
        <f>参数调整!E10</f>
        <v>950</v>
      </c>
      <c r="G10" s="10">
        <f t="shared" si="2"/>
        <v>475</v>
      </c>
      <c r="H10" s="10">
        <f t="shared" si="17"/>
        <v>570</v>
      </c>
      <c r="I10" s="10">
        <f t="shared" si="3"/>
        <v>697</v>
      </c>
      <c r="J10" s="10">
        <f t="shared" si="18"/>
        <v>285</v>
      </c>
      <c r="K10" s="10">
        <f t="shared" si="19"/>
        <v>618</v>
      </c>
      <c r="L10" s="10">
        <f t="shared" si="4"/>
        <v>756</v>
      </c>
      <c r="M10" s="10">
        <f t="shared" si="20"/>
        <v>309</v>
      </c>
      <c r="N10" s="10">
        <f t="shared" si="21"/>
        <v>665</v>
      </c>
      <c r="O10" s="10">
        <f t="shared" si="5"/>
        <v>814</v>
      </c>
      <c r="P10" s="10">
        <f t="shared" si="22"/>
        <v>333</v>
      </c>
      <c r="Q10" s="10">
        <f t="shared" si="23"/>
        <v>713</v>
      </c>
      <c r="R10" s="10">
        <f t="shared" si="6"/>
        <v>872</v>
      </c>
      <c r="S10" s="10">
        <f t="shared" si="24"/>
        <v>356</v>
      </c>
      <c r="T10" s="10">
        <f t="shared" si="25"/>
        <v>1045</v>
      </c>
      <c r="U10" s="10">
        <f t="shared" si="7"/>
        <v>1279</v>
      </c>
      <c r="V10" s="10">
        <f t="shared" si="26"/>
        <v>523</v>
      </c>
      <c r="W10" s="10">
        <f t="shared" si="48"/>
        <v>950</v>
      </c>
      <c r="X10" s="10">
        <f t="shared" si="27"/>
        <v>1163</v>
      </c>
      <c r="Y10" s="10">
        <f>INT(参数调整!$K$3*W10)</f>
        <v>475</v>
      </c>
      <c r="Z10" s="10">
        <f t="shared" si="28"/>
        <v>950</v>
      </c>
      <c r="AA10" s="10">
        <f t="shared" si="29"/>
        <v>1163</v>
      </c>
      <c r="AB10" s="10">
        <f>INT(参数调整!$K$3*Z10)</f>
        <v>475</v>
      </c>
      <c r="AC10" s="10">
        <f t="shared" si="30"/>
        <v>950</v>
      </c>
      <c r="AD10" s="10">
        <f t="shared" si="31"/>
        <v>1163</v>
      </c>
      <c r="AE10" s="10">
        <f>INT(参数调整!$K$3*AC10)</f>
        <v>475</v>
      </c>
      <c r="AF10" s="10">
        <f t="shared" si="32"/>
        <v>950</v>
      </c>
      <c r="AG10" s="10">
        <f t="shared" si="33"/>
        <v>1163</v>
      </c>
      <c r="AH10" s="10">
        <f>INT(参数调整!$K$3*AF10)</f>
        <v>475</v>
      </c>
      <c r="AI10" s="10">
        <f t="shared" si="34"/>
        <v>950</v>
      </c>
      <c r="AJ10" s="10">
        <f t="shared" si="35"/>
        <v>1163</v>
      </c>
      <c r="AK10" s="10">
        <f>INT(参数调整!$K$3*AI10)</f>
        <v>475</v>
      </c>
      <c r="AL10" s="10">
        <f t="shared" si="36"/>
        <v>950</v>
      </c>
      <c r="AM10" s="10">
        <f t="shared" si="37"/>
        <v>1163</v>
      </c>
      <c r="AN10" s="10">
        <f>INT(参数调整!$K$3*AL10)</f>
        <v>475</v>
      </c>
      <c r="AO10" s="10">
        <f t="shared" si="38"/>
        <v>950</v>
      </c>
      <c r="AP10" s="10">
        <f t="shared" si="39"/>
        <v>1163</v>
      </c>
      <c r="AQ10" s="10">
        <f>INT(参数调整!$K$3*AO10)</f>
        <v>475</v>
      </c>
      <c r="AR10" s="165">
        <f t="shared" si="40"/>
        <v>1</v>
      </c>
      <c r="AS10" s="165">
        <f t="shared" si="40"/>
        <v>10</v>
      </c>
      <c r="AT10" s="165">
        <f t="shared" si="40"/>
        <v>120</v>
      </c>
      <c r="AU10" s="165">
        <f t="shared" si="40"/>
        <v>600</v>
      </c>
      <c r="AV10" s="165">
        <f t="shared" si="40"/>
        <v>1200</v>
      </c>
      <c r="AW10" s="165">
        <f t="shared" si="40"/>
        <v>1800</v>
      </c>
      <c r="AX10" s="165">
        <f t="shared" si="40"/>
        <v>333</v>
      </c>
      <c r="AY10" s="165">
        <f t="shared" si="40"/>
        <v>444</v>
      </c>
      <c r="AZ10" s="165">
        <f t="shared" si="40"/>
        <v>555</v>
      </c>
      <c r="BA10" s="165">
        <f t="shared" si="9"/>
        <v>666</v>
      </c>
      <c r="BB10" s="165">
        <f t="shared" si="9"/>
        <v>777</v>
      </c>
      <c r="BC10" s="165">
        <f t="shared" si="9"/>
        <v>888</v>
      </c>
      <c r="BD10" s="165">
        <f t="shared" si="9"/>
        <v>999</v>
      </c>
      <c r="BE10" s="10">
        <f t="shared" si="10"/>
        <v>16100</v>
      </c>
      <c r="BF10" s="10">
        <f t="shared" si="11"/>
        <v>187300</v>
      </c>
      <c r="BG10" s="10">
        <f t="shared" si="12"/>
        <v>901000</v>
      </c>
      <c r="BH10" s="10">
        <f t="shared" si="13"/>
        <v>868000</v>
      </c>
      <c r="BI10" s="146">
        <f t="shared" si="14"/>
        <v>1870000</v>
      </c>
      <c r="BJ10" s="146">
        <f t="shared" si="41"/>
        <v>380000</v>
      </c>
      <c r="BK10" s="146">
        <f t="shared" si="42"/>
        <v>510000</v>
      </c>
      <c r="BL10" s="146">
        <f t="shared" si="43"/>
        <v>640000</v>
      </c>
      <c r="BM10" s="146">
        <f t="shared" si="44"/>
        <v>770000</v>
      </c>
      <c r="BN10" s="146">
        <f t="shared" si="45"/>
        <v>890000</v>
      </c>
      <c r="BO10" s="146">
        <f t="shared" si="46"/>
        <v>1020000</v>
      </c>
      <c r="BP10" s="146">
        <f t="shared" si="47"/>
        <v>1150000</v>
      </c>
      <c r="BQ10" s="149">
        <v>7</v>
      </c>
      <c r="BR10" s="151">
        <f t="shared" si="15"/>
        <v>2.4358291121590865</v>
      </c>
      <c r="BS10" s="151">
        <f t="shared" si="16"/>
        <v>0.81677483330265066</v>
      </c>
      <c r="BT10" s="150">
        <f>参数调整!H10</f>
        <v>0.70249999999999901</v>
      </c>
      <c r="BU10" s="149">
        <f>BQ10/BQ30*BT10*BU30</f>
        <v>57.735092592592508</v>
      </c>
      <c r="BV10" s="149">
        <f>BQ10/BQ30*BT10*BV30</f>
        <v>7.2520375925925817</v>
      </c>
      <c r="BW10" s="149">
        <f>BQ10/BQ30*BT10*BW30</f>
        <v>20.03425925925923</v>
      </c>
      <c r="BX10" s="149">
        <f>BQ10/BQ30*BT10*BX30</f>
        <v>21.855555555555522</v>
      </c>
      <c r="BY10" s="149">
        <v>0</v>
      </c>
      <c r="BZ10" s="149">
        <f>基本装备!AH9</f>
        <v>2</v>
      </c>
      <c r="CA10" s="149">
        <f>BQ10/BQ30*BT10*CA30</f>
        <v>12.351667222222204</v>
      </c>
      <c r="CB10" s="149">
        <f>BQ10/BQ30*BT10*CB30</f>
        <v>4.7022227777777701</v>
      </c>
      <c r="CC10" s="149">
        <f>BQ10/BQ30*BT10*CC30</f>
        <v>4.7022227777777701</v>
      </c>
      <c r="CD10" s="149">
        <f>BQ10/BQ30*BT10*CD30</f>
        <v>69.540370925925828</v>
      </c>
      <c r="CE10" s="149">
        <f>BQ10/BQ30*BT10*CE30</f>
        <v>67.719074629629532</v>
      </c>
      <c r="CF10" s="149">
        <f>BQ10/BQ30*BT10*CF30</f>
        <v>21.491296296296266</v>
      </c>
      <c r="CG10" s="149">
        <f>BQ10/BQ30*BT10*CG30</f>
        <v>21.491296296296266</v>
      </c>
      <c r="CH10" s="149">
        <f>BQ10/BQ30*BT10*CH30</f>
        <v>17.633426481481454</v>
      </c>
      <c r="CI10" s="149">
        <f>BQ10/BQ30*BT10*CI30</f>
        <v>3.9737042592592529</v>
      </c>
      <c r="CJ10" s="149">
        <f>BQ10/BQ30*BT10*CJ30</f>
        <v>0</v>
      </c>
      <c r="CK10" s="149">
        <f>BQ10/BQ30*BT10*CK30</f>
        <v>3.9737042592592537</v>
      </c>
      <c r="CL10" s="149">
        <f>BQ10/BQ30*BT10*CL30</f>
        <v>0.33111166666666619</v>
      </c>
      <c r="CM10" s="149">
        <f>BQ10/BQ30*BT10*CM30</f>
        <v>364.25925925925873</v>
      </c>
      <c r="CN10" s="149">
        <f>BQ10/BQ30*BT10*CN30</f>
        <v>364.25925925925873</v>
      </c>
      <c r="CO10" s="149">
        <f>BQ10/BQ30*BT10*CO30</f>
        <v>3.6094449999999951</v>
      </c>
      <c r="CP10" s="149">
        <f>BQ10/BQ30*BT10*CP30</f>
        <v>3.9737042592592537</v>
      </c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</row>
    <row r="11" spans="1:115" ht="16.5" x14ac:dyDescent="0.2">
      <c r="A11" s="4">
        <f>参数调整!B11</f>
        <v>3.1</v>
      </c>
      <c r="B11" s="165">
        <f>参数调整!C11</f>
        <v>80</v>
      </c>
      <c r="C11" s="165">
        <f>参数调整!D11</f>
        <v>1</v>
      </c>
      <c r="D11" s="165">
        <f t="shared" si="0"/>
        <v>11000</v>
      </c>
      <c r="E11" s="165">
        <f t="shared" si="1"/>
        <v>22000</v>
      </c>
      <c r="F11" s="165">
        <f>参数调整!E11</f>
        <v>1100</v>
      </c>
      <c r="G11" s="10">
        <f t="shared" si="2"/>
        <v>550</v>
      </c>
      <c r="H11" s="10">
        <f t="shared" si="17"/>
        <v>660</v>
      </c>
      <c r="I11" s="10">
        <f t="shared" si="3"/>
        <v>836</v>
      </c>
      <c r="J11" s="10">
        <f t="shared" si="18"/>
        <v>330</v>
      </c>
      <c r="K11" s="10">
        <f t="shared" si="19"/>
        <v>715</v>
      </c>
      <c r="L11" s="10">
        <f t="shared" si="4"/>
        <v>906</v>
      </c>
      <c r="M11" s="10">
        <f t="shared" si="20"/>
        <v>358</v>
      </c>
      <c r="N11" s="10">
        <f t="shared" si="21"/>
        <v>770</v>
      </c>
      <c r="O11" s="10">
        <f t="shared" si="5"/>
        <v>976</v>
      </c>
      <c r="P11" s="10">
        <f t="shared" si="22"/>
        <v>385</v>
      </c>
      <c r="Q11" s="10">
        <f t="shared" si="23"/>
        <v>825</v>
      </c>
      <c r="R11" s="10">
        <f t="shared" si="6"/>
        <v>1046</v>
      </c>
      <c r="S11" s="10">
        <f t="shared" si="24"/>
        <v>413</v>
      </c>
      <c r="T11" s="10">
        <f t="shared" si="25"/>
        <v>1210</v>
      </c>
      <c r="U11" s="10">
        <f t="shared" si="7"/>
        <v>1534</v>
      </c>
      <c r="V11" s="10">
        <f t="shared" si="26"/>
        <v>605</v>
      </c>
      <c r="W11" s="10">
        <f t="shared" si="48"/>
        <v>1100</v>
      </c>
      <c r="X11" s="10">
        <f t="shared" si="27"/>
        <v>1394</v>
      </c>
      <c r="Y11" s="10">
        <f>INT(参数调整!$K$3*W11)</f>
        <v>550</v>
      </c>
      <c r="Z11" s="10">
        <f t="shared" si="28"/>
        <v>1100</v>
      </c>
      <c r="AA11" s="10">
        <f t="shared" si="29"/>
        <v>1394</v>
      </c>
      <c r="AB11" s="10">
        <f>INT(参数调整!$K$3*Z11)</f>
        <v>550</v>
      </c>
      <c r="AC11" s="10">
        <f t="shared" si="30"/>
        <v>1100</v>
      </c>
      <c r="AD11" s="10">
        <f t="shared" si="31"/>
        <v>1394</v>
      </c>
      <c r="AE11" s="10">
        <f>INT(参数调整!$K$3*AC11)</f>
        <v>550</v>
      </c>
      <c r="AF11" s="10">
        <f t="shared" si="32"/>
        <v>1100</v>
      </c>
      <c r="AG11" s="10">
        <f t="shared" si="33"/>
        <v>1394</v>
      </c>
      <c r="AH11" s="10">
        <f>INT(参数调整!$K$3*AF11)</f>
        <v>550</v>
      </c>
      <c r="AI11" s="10">
        <f t="shared" si="34"/>
        <v>1100</v>
      </c>
      <c r="AJ11" s="10">
        <f t="shared" si="35"/>
        <v>1394</v>
      </c>
      <c r="AK11" s="10">
        <f>INT(参数调整!$K$3*AI11)</f>
        <v>550</v>
      </c>
      <c r="AL11" s="10">
        <f t="shared" si="36"/>
        <v>1100</v>
      </c>
      <c r="AM11" s="10">
        <f t="shared" si="37"/>
        <v>1394</v>
      </c>
      <c r="AN11" s="10">
        <f>INT(参数调整!$K$3*AL11)</f>
        <v>550</v>
      </c>
      <c r="AO11" s="10">
        <f t="shared" si="38"/>
        <v>1100</v>
      </c>
      <c r="AP11" s="10">
        <f t="shared" si="39"/>
        <v>1394</v>
      </c>
      <c r="AQ11" s="10">
        <f>INT(参数调整!$K$3*AO11)</f>
        <v>550</v>
      </c>
      <c r="AR11" s="165">
        <f t="shared" si="40"/>
        <v>1</v>
      </c>
      <c r="AS11" s="165">
        <f t="shared" si="40"/>
        <v>10</v>
      </c>
      <c r="AT11" s="165">
        <f t="shared" si="40"/>
        <v>120</v>
      </c>
      <c r="AU11" s="165">
        <f t="shared" si="40"/>
        <v>600</v>
      </c>
      <c r="AV11" s="165">
        <f t="shared" si="40"/>
        <v>1200</v>
      </c>
      <c r="AW11" s="165">
        <f t="shared" si="40"/>
        <v>1800</v>
      </c>
      <c r="AX11" s="165">
        <f t="shared" si="40"/>
        <v>333</v>
      </c>
      <c r="AY11" s="165">
        <f t="shared" si="40"/>
        <v>444</v>
      </c>
      <c r="AZ11" s="165">
        <f t="shared" si="40"/>
        <v>555</v>
      </c>
      <c r="BA11" s="165">
        <f t="shared" si="9"/>
        <v>666</v>
      </c>
      <c r="BB11" s="165">
        <f t="shared" si="9"/>
        <v>777</v>
      </c>
      <c r="BC11" s="165">
        <f t="shared" si="9"/>
        <v>888</v>
      </c>
      <c r="BD11" s="165">
        <f t="shared" si="9"/>
        <v>999</v>
      </c>
      <c r="BE11" s="10">
        <f t="shared" si="10"/>
        <v>20600</v>
      </c>
      <c r="BF11" s="10">
        <f t="shared" si="11"/>
        <v>239100</v>
      </c>
      <c r="BG11" s="10">
        <f t="shared" si="12"/>
        <v>1152000</v>
      </c>
      <c r="BH11" s="10">
        <f t="shared" si="13"/>
        <v>1107000</v>
      </c>
      <c r="BI11" s="146">
        <f t="shared" si="14"/>
        <v>2390000</v>
      </c>
      <c r="BJ11" s="146">
        <f t="shared" si="41"/>
        <v>490000</v>
      </c>
      <c r="BK11" s="146">
        <f t="shared" si="42"/>
        <v>650000</v>
      </c>
      <c r="BL11" s="146">
        <f t="shared" si="43"/>
        <v>810000</v>
      </c>
      <c r="BM11" s="146">
        <f t="shared" si="44"/>
        <v>980000</v>
      </c>
      <c r="BN11" s="146">
        <f t="shared" si="45"/>
        <v>1140000</v>
      </c>
      <c r="BO11" s="146">
        <f t="shared" si="46"/>
        <v>1310000</v>
      </c>
      <c r="BP11" s="146">
        <f t="shared" si="47"/>
        <v>1470000</v>
      </c>
      <c r="BQ11" s="149">
        <v>8</v>
      </c>
      <c r="BR11" s="151">
        <f t="shared" si="15"/>
        <v>2.6862982714078463</v>
      </c>
      <c r="BS11" s="151">
        <f t="shared" si="16"/>
        <v>0.78864087521384862</v>
      </c>
      <c r="BT11" s="150">
        <f>参数调整!H11</f>
        <v>0.71599999999999897</v>
      </c>
      <c r="BU11" s="149">
        <f>BQ11/BQ30*BT11*BU30</f>
        <v>67.250962962962859</v>
      </c>
      <c r="BV11" s="149">
        <f>BQ11/BQ30*BT11*BV30</f>
        <v>8.4473149629629507</v>
      </c>
      <c r="BW11" s="149">
        <f>BQ11/BQ30*BT11*BW30</f>
        <v>23.336296296296261</v>
      </c>
      <c r="BX11" s="149">
        <f>BQ11/BQ30*BT11*BX30</f>
        <v>25.457777777777739</v>
      </c>
      <c r="BY11" s="149">
        <v>0</v>
      </c>
      <c r="BZ11" s="149">
        <f>基本装备!AH10</f>
        <v>2</v>
      </c>
      <c r="CA11" s="149">
        <f>BQ11/BQ30*BT11*CA30</f>
        <v>14.387463111111089</v>
      </c>
      <c r="CB11" s="149">
        <f>BQ11/BQ30*BT11*CB30</f>
        <v>5.4772408888888799</v>
      </c>
      <c r="CC11" s="149">
        <f>BQ11/BQ30*BT11*CC30</f>
        <v>5.4772408888888799</v>
      </c>
      <c r="CD11" s="149">
        <f>BQ11/BQ30*BT11*CD30</f>
        <v>81.001981629629512</v>
      </c>
      <c r="CE11" s="149">
        <f>BQ11/BQ30*BT11*CE30</f>
        <v>78.88050014814803</v>
      </c>
      <c r="CF11" s="149">
        <f>BQ11/BQ30*BT11*CF30</f>
        <v>25.033481481481445</v>
      </c>
      <c r="CG11" s="149">
        <f>BQ11/BQ30*BT11*CG30</f>
        <v>25.033481481481445</v>
      </c>
      <c r="CH11" s="149">
        <f>BQ11/BQ30*BT11*CH30</f>
        <v>20.539759407407377</v>
      </c>
      <c r="CI11" s="149">
        <f>BQ11/BQ30*BT11*CI30</f>
        <v>4.6286482962962889</v>
      </c>
      <c r="CJ11" s="149">
        <f>BQ11/BQ30*BT11*CJ30</f>
        <v>0</v>
      </c>
      <c r="CK11" s="149">
        <f>BQ11/BQ30*BT11*CK30</f>
        <v>4.6286482962962898</v>
      </c>
      <c r="CL11" s="149">
        <f>BQ11/BQ30*BT11*CL30</f>
        <v>0.38568533333333277</v>
      </c>
      <c r="CM11" s="149">
        <f>BQ11/BQ30*BT11*CM30</f>
        <v>424.29629629629568</v>
      </c>
      <c r="CN11" s="149">
        <f>BQ11/BQ30*BT11*CN30</f>
        <v>424.29629629629568</v>
      </c>
      <c r="CO11" s="149">
        <f>BQ11/BQ30*BT11*CO30</f>
        <v>4.2043519999999939</v>
      </c>
      <c r="CP11" s="149">
        <f>BQ11/BQ30*BT11*CP30</f>
        <v>4.6286482962962898</v>
      </c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</row>
    <row r="12" spans="1:115" ht="16.5" x14ac:dyDescent="0.2">
      <c r="A12" s="4">
        <f>参数调整!B12</f>
        <v>3.2</v>
      </c>
      <c r="B12" s="165">
        <f>参数调整!C12</f>
        <v>90</v>
      </c>
      <c r="C12" s="165">
        <f>参数调整!D12</f>
        <v>2</v>
      </c>
      <c r="D12" s="165">
        <f t="shared" si="0"/>
        <v>14000</v>
      </c>
      <c r="E12" s="165">
        <f t="shared" si="1"/>
        <v>28000</v>
      </c>
      <c r="F12" s="165">
        <f>参数调整!E12</f>
        <v>1400</v>
      </c>
      <c r="G12" s="10">
        <f t="shared" si="2"/>
        <v>700</v>
      </c>
      <c r="H12" s="10">
        <f t="shared" si="17"/>
        <v>840</v>
      </c>
      <c r="I12" s="10">
        <f t="shared" si="3"/>
        <v>1105</v>
      </c>
      <c r="J12" s="10">
        <f t="shared" si="18"/>
        <v>420</v>
      </c>
      <c r="K12" s="10">
        <f t="shared" si="19"/>
        <v>910</v>
      </c>
      <c r="L12" s="10">
        <f t="shared" si="4"/>
        <v>1197</v>
      </c>
      <c r="M12" s="10">
        <f t="shared" si="20"/>
        <v>455</v>
      </c>
      <c r="N12" s="10">
        <f t="shared" si="21"/>
        <v>980</v>
      </c>
      <c r="O12" s="10">
        <f t="shared" si="5"/>
        <v>1289</v>
      </c>
      <c r="P12" s="10">
        <f t="shared" si="22"/>
        <v>490</v>
      </c>
      <c r="Q12" s="10">
        <f t="shared" si="23"/>
        <v>1050</v>
      </c>
      <c r="R12" s="10">
        <f t="shared" si="6"/>
        <v>1381</v>
      </c>
      <c r="S12" s="10">
        <f t="shared" si="24"/>
        <v>525</v>
      </c>
      <c r="T12" s="10">
        <f t="shared" si="25"/>
        <v>1540</v>
      </c>
      <c r="U12" s="10">
        <f t="shared" si="7"/>
        <v>2025</v>
      </c>
      <c r="V12" s="10">
        <f t="shared" si="26"/>
        <v>770</v>
      </c>
      <c r="W12" s="10">
        <f t="shared" si="48"/>
        <v>1400</v>
      </c>
      <c r="X12" s="10">
        <f t="shared" si="27"/>
        <v>1841</v>
      </c>
      <c r="Y12" s="10">
        <f>INT(参数调整!$K$3*W12)</f>
        <v>700</v>
      </c>
      <c r="Z12" s="10">
        <f t="shared" si="28"/>
        <v>1400</v>
      </c>
      <c r="AA12" s="10">
        <f t="shared" si="29"/>
        <v>1841</v>
      </c>
      <c r="AB12" s="10">
        <f>INT(参数调整!$K$3*Z12)</f>
        <v>700</v>
      </c>
      <c r="AC12" s="10">
        <f t="shared" si="30"/>
        <v>1400</v>
      </c>
      <c r="AD12" s="10">
        <f t="shared" si="31"/>
        <v>1841</v>
      </c>
      <c r="AE12" s="10">
        <f>INT(参数调整!$K$3*AC12)</f>
        <v>700</v>
      </c>
      <c r="AF12" s="10">
        <f t="shared" si="32"/>
        <v>1400</v>
      </c>
      <c r="AG12" s="10">
        <f t="shared" si="33"/>
        <v>1841</v>
      </c>
      <c r="AH12" s="10">
        <f>INT(参数调整!$K$3*AF12)</f>
        <v>700</v>
      </c>
      <c r="AI12" s="10">
        <f t="shared" si="34"/>
        <v>1400</v>
      </c>
      <c r="AJ12" s="10">
        <f t="shared" si="35"/>
        <v>1841</v>
      </c>
      <c r="AK12" s="10">
        <f>INT(参数调整!$K$3*AI12)</f>
        <v>700</v>
      </c>
      <c r="AL12" s="10">
        <f t="shared" si="36"/>
        <v>1400</v>
      </c>
      <c r="AM12" s="10">
        <f t="shared" si="37"/>
        <v>1841</v>
      </c>
      <c r="AN12" s="10">
        <f>INT(参数调整!$K$3*AL12)</f>
        <v>700</v>
      </c>
      <c r="AO12" s="10">
        <f t="shared" si="38"/>
        <v>1400</v>
      </c>
      <c r="AP12" s="10">
        <f t="shared" si="39"/>
        <v>1841</v>
      </c>
      <c r="AQ12" s="10">
        <f>INT(参数调整!$K$3*AO12)</f>
        <v>700</v>
      </c>
      <c r="AR12" s="165">
        <f t="shared" si="40"/>
        <v>1</v>
      </c>
      <c r="AS12" s="165">
        <f t="shared" si="40"/>
        <v>10</v>
      </c>
      <c r="AT12" s="165">
        <f t="shared" si="40"/>
        <v>120</v>
      </c>
      <c r="AU12" s="165">
        <f t="shared" si="40"/>
        <v>600</v>
      </c>
      <c r="AV12" s="165">
        <f t="shared" si="40"/>
        <v>1200</v>
      </c>
      <c r="AW12" s="165">
        <f t="shared" si="40"/>
        <v>1800</v>
      </c>
      <c r="AX12" s="165">
        <f t="shared" si="40"/>
        <v>333</v>
      </c>
      <c r="AY12" s="165">
        <f t="shared" si="40"/>
        <v>444</v>
      </c>
      <c r="AZ12" s="165">
        <f t="shared" si="40"/>
        <v>555</v>
      </c>
      <c r="BA12" s="165">
        <f t="shared" si="9"/>
        <v>666</v>
      </c>
      <c r="BB12" s="165">
        <f t="shared" si="9"/>
        <v>777</v>
      </c>
      <c r="BC12" s="165">
        <f t="shared" si="9"/>
        <v>888</v>
      </c>
      <c r="BD12" s="165">
        <f t="shared" si="9"/>
        <v>999</v>
      </c>
      <c r="BE12" s="10">
        <f t="shared" si="10"/>
        <v>29000</v>
      </c>
      <c r="BF12" s="10">
        <f t="shared" si="11"/>
        <v>335600</v>
      </c>
      <c r="BG12" s="10">
        <f t="shared" si="12"/>
        <v>1616000</v>
      </c>
      <c r="BH12" s="10">
        <f t="shared" si="13"/>
        <v>1554000</v>
      </c>
      <c r="BI12" s="146">
        <f t="shared" si="14"/>
        <v>3350000</v>
      </c>
      <c r="BJ12" s="146">
        <f t="shared" si="41"/>
        <v>690000</v>
      </c>
      <c r="BK12" s="146">
        <f t="shared" si="42"/>
        <v>920000</v>
      </c>
      <c r="BL12" s="146">
        <f t="shared" si="43"/>
        <v>1150000</v>
      </c>
      <c r="BM12" s="146">
        <f t="shared" si="44"/>
        <v>1380000</v>
      </c>
      <c r="BN12" s="146">
        <f t="shared" si="45"/>
        <v>1610000</v>
      </c>
      <c r="BO12" s="146">
        <f t="shared" si="46"/>
        <v>1840000</v>
      </c>
      <c r="BP12" s="146">
        <f t="shared" si="47"/>
        <v>2070000</v>
      </c>
      <c r="BQ12" s="149">
        <v>9</v>
      </c>
      <c r="BR12" s="151">
        <f t="shared" si="15"/>
        <v>2.9602693606465955</v>
      </c>
      <c r="BS12" s="151">
        <f t="shared" si="16"/>
        <v>0.76016834592053462</v>
      </c>
      <c r="BT12" s="150">
        <f>参数调整!H12</f>
        <v>0.72949999999999904</v>
      </c>
      <c r="BU12" s="149">
        <f>BQ12/BQ30*BT12*BU30</f>
        <v>77.083833333333232</v>
      </c>
      <c r="BV12" s="149">
        <f>BQ12/BQ30*BT12*BV30</f>
        <v>9.6824103333333191</v>
      </c>
      <c r="BW12" s="149">
        <f>BQ12/BQ30*BT12*BW30</f>
        <v>26.748333333333296</v>
      </c>
      <c r="BX12" s="149">
        <f>BQ12/BQ30*BT12*BX30</f>
        <v>29.179999999999961</v>
      </c>
      <c r="BY12" s="149">
        <v>0</v>
      </c>
      <c r="BZ12" s="149">
        <f>基本装备!AH11</f>
        <v>2</v>
      </c>
      <c r="CA12" s="149">
        <f>BQ12/BQ30*BT12*CA30</f>
        <v>16.491076999999976</v>
      </c>
      <c r="CB12" s="149">
        <f>BQ12/BQ30*BT12*CB30</f>
        <v>6.2780769999999908</v>
      </c>
      <c r="CC12" s="149">
        <f>BQ12/BQ30*BT12*CC30</f>
        <v>6.2780769999999908</v>
      </c>
      <c r="CD12" s="149">
        <f>BQ12/BQ30*BT12*CD30</f>
        <v>92.845410333333206</v>
      </c>
      <c r="CE12" s="149">
        <f>BQ12/BQ30*BT12*CE30</f>
        <v>90.413743666666534</v>
      </c>
      <c r="CF12" s="149">
        <f>BQ12/BQ30*BT12*CF30</f>
        <v>28.693666666666626</v>
      </c>
      <c r="CG12" s="149">
        <f>BQ12/BQ30*BT12*CG30</f>
        <v>28.693666666666626</v>
      </c>
      <c r="CH12" s="149">
        <f>BQ12/BQ30*BT12*CH30</f>
        <v>23.5429103333333</v>
      </c>
      <c r="CI12" s="149">
        <f>BQ12/BQ30*BT12*CI30</f>
        <v>5.3054103333333256</v>
      </c>
      <c r="CJ12" s="149">
        <f>BQ12/BQ30*BT12*CJ30</f>
        <v>0</v>
      </c>
      <c r="CK12" s="149">
        <f>BQ12/BQ30*BT12*CK30</f>
        <v>5.3054103333333265</v>
      </c>
      <c r="CL12" s="149">
        <f>BQ12/BQ30*BT12*CL30</f>
        <v>0.44207699999999944</v>
      </c>
      <c r="CM12" s="149">
        <f>BQ12/BQ30*BT12*CM30</f>
        <v>486.33333333333269</v>
      </c>
      <c r="CN12" s="149">
        <f>BQ12/BQ30*BT12*CN30</f>
        <v>486.33333333333269</v>
      </c>
      <c r="CO12" s="149">
        <f>BQ12/BQ30*BT12*CO30</f>
        <v>4.8190769999999938</v>
      </c>
      <c r="CP12" s="149">
        <f>BQ12/BQ30*BT12*CP30</f>
        <v>5.3054103333333265</v>
      </c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</row>
    <row r="13" spans="1:115" ht="16.5" x14ac:dyDescent="0.2">
      <c r="A13" s="4">
        <f>参数调整!B13</f>
        <v>3.5</v>
      </c>
      <c r="B13" s="165">
        <f>参数调整!C13</f>
        <v>100</v>
      </c>
      <c r="C13" s="165">
        <f>参数调整!D13</f>
        <v>3</v>
      </c>
      <c r="D13" s="165">
        <f t="shared" si="0"/>
        <v>18000</v>
      </c>
      <c r="E13" s="165">
        <f t="shared" si="1"/>
        <v>36000</v>
      </c>
      <c r="F13" s="165">
        <f>参数调整!E13</f>
        <v>1800</v>
      </c>
      <c r="G13" s="10">
        <f t="shared" si="2"/>
        <v>900</v>
      </c>
      <c r="H13" s="10">
        <f t="shared" si="17"/>
        <v>1080</v>
      </c>
      <c r="I13" s="10">
        <f t="shared" si="3"/>
        <v>1476</v>
      </c>
      <c r="J13" s="10">
        <f t="shared" si="18"/>
        <v>540</v>
      </c>
      <c r="K13" s="10">
        <f t="shared" si="19"/>
        <v>1170</v>
      </c>
      <c r="L13" s="10">
        <f t="shared" si="4"/>
        <v>1599</v>
      </c>
      <c r="M13" s="10">
        <f t="shared" si="20"/>
        <v>585</v>
      </c>
      <c r="N13" s="10">
        <f t="shared" si="21"/>
        <v>1260</v>
      </c>
      <c r="O13" s="10">
        <f t="shared" si="5"/>
        <v>1722</v>
      </c>
      <c r="P13" s="10">
        <f t="shared" si="22"/>
        <v>630</v>
      </c>
      <c r="Q13" s="10">
        <f t="shared" si="23"/>
        <v>1350</v>
      </c>
      <c r="R13" s="10">
        <f t="shared" si="6"/>
        <v>1845</v>
      </c>
      <c r="S13" s="10">
        <f t="shared" si="24"/>
        <v>675</v>
      </c>
      <c r="T13" s="10">
        <f t="shared" si="25"/>
        <v>1980</v>
      </c>
      <c r="U13" s="10">
        <f t="shared" si="7"/>
        <v>2707</v>
      </c>
      <c r="V13" s="10">
        <f t="shared" si="26"/>
        <v>990</v>
      </c>
      <c r="W13" s="10">
        <f t="shared" si="48"/>
        <v>1800</v>
      </c>
      <c r="X13" s="10">
        <f t="shared" si="27"/>
        <v>2461</v>
      </c>
      <c r="Y13" s="10">
        <f>INT(参数调整!$K$3*W13)</f>
        <v>900</v>
      </c>
      <c r="Z13" s="10">
        <f t="shared" si="28"/>
        <v>1800</v>
      </c>
      <c r="AA13" s="10">
        <f t="shared" si="29"/>
        <v>2461</v>
      </c>
      <c r="AB13" s="10">
        <f>INT(参数调整!$K$3*Z13)</f>
        <v>900</v>
      </c>
      <c r="AC13" s="10">
        <f t="shared" si="30"/>
        <v>1800</v>
      </c>
      <c r="AD13" s="10">
        <f t="shared" si="31"/>
        <v>2461</v>
      </c>
      <c r="AE13" s="10">
        <f>INT(参数调整!$K$3*AC13)</f>
        <v>900</v>
      </c>
      <c r="AF13" s="10">
        <f t="shared" si="32"/>
        <v>1800</v>
      </c>
      <c r="AG13" s="10">
        <f t="shared" si="33"/>
        <v>2461</v>
      </c>
      <c r="AH13" s="10">
        <f>INT(参数调整!$K$3*AF13)</f>
        <v>900</v>
      </c>
      <c r="AI13" s="10">
        <f t="shared" si="34"/>
        <v>1800</v>
      </c>
      <c r="AJ13" s="10">
        <f t="shared" si="35"/>
        <v>2461</v>
      </c>
      <c r="AK13" s="10">
        <f>INT(参数调整!$K$3*AI13)</f>
        <v>900</v>
      </c>
      <c r="AL13" s="10">
        <f t="shared" si="36"/>
        <v>1800</v>
      </c>
      <c r="AM13" s="10">
        <f t="shared" si="37"/>
        <v>2461</v>
      </c>
      <c r="AN13" s="10">
        <f>INT(参数调整!$K$3*AL13)</f>
        <v>900</v>
      </c>
      <c r="AO13" s="10">
        <f t="shared" si="38"/>
        <v>1800</v>
      </c>
      <c r="AP13" s="10">
        <f t="shared" si="39"/>
        <v>2461</v>
      </c>
      <c r="AQ13" s="10">
        <f>INT(参数调整!$K$3*AO13)</f>
        <v>900</v>
      </c>
      <c r="AR13" s="165">
        <f t="shared" si="40"/>
        <v>1</v>
      </c>
      <c r="AS13" s="165">
        <f t="shared" si="40"/>
        <v>10</v>
      </c>
      <c r="AT13" s="165">
        <f t="shared" si="40"/>
        <v>120</v>
      </c>
      <c r="AU13" s="165">
        <f t="shared" si="40"/>
        <v>600</v>
      </c>
      <c r="AV13" s="165">
        <f t="shared" si="40"/>
        <v>1200</v>
      </c>
      <c r="AW13" s="165">
        <f t="shared" si="40"/>
        <v>1800</v>
      </c>
      <c r="AX13" s="165">
        <f t="shared" si="40"/>
        <v>333</v>
      </c>
      <c r="AY13" s="165">
        <f t="shared" si="40"/>
        <v>444</v>
      </c>
      <c r="AZ13" s="165">
        <f t="shared" si="40"/>
        <v>555</v>
      </c>
      <c r="BA13" s="165">
        <f t="shared" si="9"/>
        <v>666</v>
      </c>
      <c r="BB13" s="165">
        <f t="shared" si="9"/>
        <v>777</v>
      </c>
      <c r="BC13" s="165">
        <f t="shared" si="9"/>
        <v>888</v>
      </c>
      <c r="BD13" s="165">
        <f t="shared" si="9"/>
        <v>999</v>
      </c>
      <c r="BE13" s="10">
        <f t="shared" si="10"/>
        <v>41000</v>
      </c>
      <c r="BF13" s="10">
        <f t="shared" si="11"/>
        <v>475200</v>
      </c>
      <c r="BG13" s="10">
        <f t="shared" si="12"/>
        <v>2288000</v>
      </c>
      <c r="BH13" s="10">
        <f t="shared" si="13"/>
        <v>2200000</v>
      </c>
      <c r="BI13" s="146">
        <f t="shared" si="14"/>
        <v>4750000</v>
      </c>
      <c r="BJ13" s="146">
        <f t="shared" si="41"/>
        <v>970000</v>
      </c>
      <c r="BK13" s="146">
        <f t="shared" si="42"/>
        <v>1300000</v>
      </c>
      <c r="BL13" s="146">
        <f t="shared" si="43"/>
        <v>1620000</v>
      </c>
      <c r="BM13" s="146">
        <f t="shared" si="44"/>
        <v>1950000</v>
      </c>
      <c r="BN13" s="146">
        <f t="shared" si="45"/>
        <v>2270000</v>
      </c>
      <c r="BO13" s="146">
        <f t="shared" si="46"/>
        <v>2600000</v>
      </c>
      <c r="BP13" s="146">
        <f t="shared" si="47"/>
        <v>2930000</v>
      </c>
      <c r="BQ13" s="149">
        <v>10</v>
      </c>
      <c r="BR13" s="151">
        <f t="shared" si="15"/>
        <v>3.259756523774255</v>
      </c>
      <c r="BS13" s="151">
        <f t="shared" si="16"/>
        <v>0.73140985111411927</v>
      </c>
      <c r="BT13" s="150">
        <f>参数调整!H13</f>
        <v>0.74299999999999899</v>
      </c>
      <c r="BU13" s="149">
        <f>BQ13/BQ30*BT13*BU30</f>
        <v>87.233703703703583</v>
      </c>
      <c r="BV13" s="149">
        <f>BQ13/BQ30*BT13*BV30</f>
        <v>10.957323703703688</v>
      </c>
      <c r="BW13" s="149">
        <f>BQ13/BQ30*BT13*BW30</f>
        <v>30.27037037037033</v>
      </c>
      <c r="BX13" s="149">
        <f>BQ13/BQ30*BT13*BX30</f>
        <v>33.022222222222176</v>
      </c>
      <c r="BY13" s="149">
        <v>0</v>
      </c>
      <c r="BZ13" s="149">
        <f>基本装备!AH12</f>
        <v>2</v>
      </c>
      <c r="CA13" s="149">
        <f>BQ13/BQ30*BT13*CA30</f>
        <v>18.662508888888862</v>
      </c>
      <c r="CB13" s="149">
        <f>BQ13/BQ30*BT13*CB30</f>
        <v>7.1047311111111009</v>
      </c>
      <c r="CC13" s="149">
        <f>BQ13/BQ30*BT13*CC30</f>
        <v>7.1047311111111009</v>
      </c>
      <c r="CD13" s="149">
        <f>BQ13/BQ30*BT13*CD30</f>
        <v>105.0706570370369</v>
      </c>
      <c r="CE13" s="149">
        <f>BQ13/BQ30*BT13*CE30</f>
        <v>102.31880518518504</v>
      </c>
      <c r="CF13" s="149">
        <f>BQ13/BQ30*BT13*CF30</f>
        <v>32.47185185185181</v>
      </c>
      <c r="CG13" s="149">
        <f>BQ13/BQ30*BT13*CG30</f>
        <v>32.47185185185181</v>
      </c>
      <c r="CH13" s="149">
        <f>BQ13/BQ30*BT13*CH30</f>
        <v>26.642879259259221</v>
      </c>
      <c r="CI13" s="149">
        <f>BQ13/BQ30*BT13*CI30</f>
        <v>6.0039903703703619</v>
      </c>
      <c r="CJ13" s="149">
        <f>BQ13/BQ30*BT13*CJ30</f>
        <v>0</v>
      </c>
      <c r="CK13" s="149">
        <f>BQ13/BQ30*BT13*CK30</f>
        <v>6.0039903703703628</v>
      </c>
      <c r="CL13" s="149">
        <f>BQ13/BQ30*BT13*CL30</f>
        <v>0.50028666666666599</v>
      </c>
      <c r="CM13" s="149">
        <f>BQ13/BQ30*BT13*CM30</f>
        <v>550.37037037036964</v>
      </c>
      <c r="CN13" s="149">
        <f>BQ13/BQ30*BT13*CN30</f>
        <v>550.37037037036964</v>
      </c>
      <c r="CO13" s="149">
        <f>BQ13/BQ30*BT13*CO30</f>
        <v>5.4536199999999928</v>
      </c>
      <c r="CP13" s="149">
        <f>BQ13/BQ30*BT13*CP30</f>
        <v>6.0039903703703628</v>
      </c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</row>
    <row r="14" spans="1:115" ht="16.5" x14ac:dyDescent="0.2">
      <c r="A14" s="4">
        <f>参数调整!B14</f>
        <v>5</v>
      </c>
      <c r="B14" s="165">
        <f>参数调整!C14</f>
        <v>105</v>
      </c>
      <c r="C14" s="165">
        <f>参数调整!D14</f>
        <v>4</v>
      </c>
      <c r="D14" s="165">
        <f t="shared" si="0"/>
        <v>22000</v>
      </c>
      <c r="E14" s="165">
        <f t="shared" si="1"/>
        <v>44000</v>
      </c>
      <c r="F14" s="165">
        <f>参数调整!E14</f>
        <v>2200</v>
      </c>
      <c r="G14" s="10">
        <f t="shared" si="2"/>
        <v>1100</v>
      </c>
      <c r="H14" s="10">
        <f t="shared" si="17"/>
        <v>1320</v>
      </c>
      <c r="I14" s="10">
        <f t="shared" si="3"/>
        <v>1879</v>
      </c>
      <c r="J14" s="10">
        <f t="shared" si="18"/>
        <v>660</v>
      </c>
      <c r="K14" s="10">
        <f t="shared" si="19"/>
        <v>1430</v>
      </c>
      <c r="L14" s="10">
        <f t="shared" si="4"/>
        <v>2035</v>
      </c>
      <c r="M14" s="10">
        <f t="shared" si="20"/>
        <v>715</v>
      </c>
      <c r="N14" s="10">
        <f t="shared" si="21"/>
        <v>1540</v>
      </c>
      <c r="O14" s="10">
        <f t="shared" si="5"/>
        <v>2192</v>
      </c>
      <c r="P14" s="10">
        <f t="shared" si="22"/>
        <v>770</v>
      </c>
      <c r="Q14" s="10">
        <f t="shared" si="23"/>
        <v>1650</v>
      </c>
      <c r="R14" s="10">
        <f t="shared" si="6"/>
        <v>2349</v>
      </c>
      <c r="S14" s="10">
        <f t="shared" si="24"/>
        <v>825</v>
      </c>
      <c r="T14" s="10">
        <f t="shared" si="25"/>
        <v>2420</v>
      </c>
      <c r="U14" s="10">
        <f t="shared" si="7"/>
        <v>3445</v>
      </c>
      <c r="V14" s="10">
        <f t="shared" si="26"/>
        <v>1210</v>
      </c>
      <c r="W14" s="10">
        <f t="shared" si="48"/>
        <v>2200</v>
      </c>
      <c r="X14" s="10">
        <f t="shared" si="27"/>
        <v>3132</v>
      </c>
      <c r="Y14" s="10">
        <f>INT(参数调整!$K$3*W14)</f>
        <v>1100</v>
      </c>
      <c r="Z14" s="10">
        <f t="shared" si="28"/>
        <v>2200</v>
      </c>
      <c r="AA14" s="10">
        <f t="shared" si="29"/>
        <v>3132</v>
      </c>
      <c r="AB14" s="10">
        <f>INT(参数调整!$K$3*Z14)</f>
        <v>1100</v>
      </c>
      <c r="AC14" s="10">
        <f t="shared" si="30"/>
        <v>2200</v>
      </c>
      <c r="AD14" s="10">
        <f t="shared" si="31"/>
        <v>3132</v>
      </c>
      <c r="AE14" s="10">
        <f>INT(参数调整!$K$3*AC14)</f>
        <v>1100</v>
      </c>
      <c r="AF14" s="10">
        <f t="shared" si="32"/>
        <v>2200</v>
      </c>
      <c r="AG14" s="10">
        <f t="shared" si="33"/>
        <v>3132</v>
      </c>
      <c r="AH14" s="10">
        <f>INT(参数调整!$K$3*AF14)</f>
        <v>1100</v>
      </c>
      <c r="AI14" s="10">
        <f t="shared" si="34"/>
        <v>2200</v>
      </c>
      <c r="AJ14" s="10">
        <f t="shared" si="35"/>
        <v>3132</v>
      </c>
      <c r="AK14" s="10">
        <f>INT(参数调整!$K$3*AI14)</f>
        <v>1100</v>
      </c>
      <c r="AL14" s="10">
        <f t="shared" si="36"/>
        <v>2200</v>
      </c>
      <c r="AM14" s="10">
        <f t="shared" si="37"/>
        <v>3132</v>
      </c>
      <c r="AN14" s="10">
        <f>INT(参数调整!$K$3*AL14)</f>
        <v>1100</v>
      </c>
      <c r="AO14" s="10">
        <f t="shared" si="38"/>
        <v>2200</v>
      </c>
      <c r="AP14" s="10">
        <f t="shared" si="39"/>
        <v>3132</v>
      </c>
      <c r="AQ14" s="10">
        <f>INT(参数调整!$K$3*AO14)</f>
        <v>1100</v>
      </c>
      <c r="AR14" s="165">
        <f t="shared" si="40"/>
        <v>1</v>
      </c>
      <c r="AS14" s="165">
        <f t="shared" si="40"/>
        <v>10</v>
      </c>
      <c r="AT14" s="165">
        <f t="shared" si="40"/>
        <v>120</v>
      </c>
      <c r="AU14" s="165">
        <f t="shared" si="40"/>
        <v>600</v>
      </c>
      <c r="AV14" s="165">
        <f t="shared" si="40"/>
        <v>1200</v>
      </c>
      <c r="AW14" s="165">
        <f t="shared" si="40"/>
        <v>1800</v>
      </c>
      <c r="AX14" s="165">
        <f t="shared" si="40"/>
        <v>333</v>
      </c>
      <c r="AY14" s="165">
        <f t="shared" si="40"/>
        <v>444</v>
      </c>
      <c r="AZ14" s="165">
        <f t="shared" si="40"/>
        <v>555</v>
      </c>
      <c r="BA14" s="165">
        <f t="shared" si="9"/>
        <v>666</v>
      </c>
      <c r="BB14" s="165">
        <f t="shared" si="9"/>
        <v>777</v>
      </c>
      <c r="BC14" s="165">
        <f t="shared" si="9"/>
        <v>888</v>
      </c>
      <c r="BD14" s="165">
        <f t="shared" si="9"/>
        <v>999</v>
      </c>
      <c r="BE14" s="10">
        <f t="shared" si="10"/>
        <v>59800</v>
      </c>
      <c r="BF14" s="10">
        <f t="shared" si="11"/>
        <v>692400</v>
      </c>
      <c r="BG14" s="10">
        <f t="shared" si="12"/>
        <v>3334000</v>
      </c>
      <c r="BH14" s="10">
        <f t="shared" si="13"/>
        <v>3205000</v>
      </c>
      <c r="BI14" s="146">
        <f t="shared" si="14"/>
        <v>6920000</v>
      </c>
      <c r="BJ14" s="146">
        <f t="shared" si="41"/>
        <v>1420000</v>
      </c>
      <c r="BK14" s="146">
        <f t="shared" si="42"/>
        <v>1890000</v>
      </c>
      <c r="BL14" s="146">
        <f t="shared" si="43"/>
        <v>2370000</v>
      </c>
      <c r="BM14" s="146">
        <f t="shared" si="44"/>
        <v>2840000</v>
      </c>
      <c r="BN14" s="146">
        <f t="shared" si="45"/>
        <v>3320000</v>
      </c>
      <c r="BO14" s="146">
        <f t="shared" si="46"/>
        <v>3790000</v>
      </c>
      <c r="BP14" s="146">
        <f t="shared" si="47"/>
        <v>4270000</v>
      </c>
      <c r="BQ14" s="149">
        <v>11</v>
      </c>
      <c r="BR14" s="151">
        <f t="shared" si="15"/>
        <v>3.885841168862501</v>
      </c>
      <c r="BS14" s="151">
        <f t="shared" si="16"/>
        <v>0.70241868624571224</v>
      </c>
      <c r="BT14" s="150">
        <f>参数调整!H14</f>
        <v>0.75649999999999895</v>
      </c>
      <c r="BU14" s="149">
        <f>BQ14/BQ30*BT14*BU30</f>
        <v>97.700574074073927</v>
      </c>
      <c r="BV14" s="149">
        <f>BQ14/BQ30*BT14*BV30</f>
        <v>12.272055074074055</v>
      </c>
      <c r="BW14" s="149">
        <f>BQ14/BQ30*BT14*BW30</f>
        <v>33.90240740740736</v>
      </c>
      <c r="BX14" s="149">
        <f>BQ14/BQ30*BT14*BX30</f>
        <v>36.984444444444392</v>
      </c>
      <c r="BY14" s="149">
        <v>0</v>
      </c>
      <c r="BZ14" s="149">
        <f>基本装备!AH13</f>
        <v>3</v>
      </c>
      <c r="CA14" s="149">
        <f>BQ14/BQ30*BT14*CA30</f>
        <v>20.901758777777747</v>
      </c>
      <c r="CB14" s="149">
        <f>BQ14/BQ30*BT14*CB30</f>
        <v>7.9572032222222102</v>
      </c>
      <c r="CC14" s="149">
        <f>BQ14/BQ30*BT14*CC30</f>
        <v>7.9572032222222102</v>
      </c>
      <c r="CD14" s="149">
        <f>BQ14/BQ30*BT14*CD30</f>
        <v>117.67772174074057</v>
      </c>
      <c r="CE14" s="149">
        <f>BQ14/BQ30*BT14*CE30</f>
        <v>114.59568470370353</v>
      </c>
      <c r="CF14" s="149">
        <f>BQ14/BQ30*BT14*CF30</f>
        <v>36.368037037036984</v>
      </c>
      <c r="CG14" s="149">
        <f>BQ14/BQ30*BT14*CG30</f>
        <v>36.368037037036984</v>
      </c>
      <c r="CH14" s="149">
        <f>BQ14/BQ30*BT14*CH30</f>
        <v>29.839666185185141</v>
      </c>
      <c r="CI14" s="149">
        <f>BQ14/BQ30*BT14*CI30</f>
        <v>6.724388407407397</v>
      </c>
      <c r="CJ14" s="149">
        <f>BQ14/BQ30*BT14*CJ30</f>
        <v>0</v>
      </c>
      <c r="CK14" s="149">
        <f>BQ14/BQ30*BT14*CK30</f>
        <v>6.7243884074073978</v>
      </c>
      <c r="CL14" s="149">
        <f>BQ14/BQ30*BT14*CL30</f>
        <v>0.56031433333333258</v>
      </c>
      <c r="CM14" s="149">
        <f>BQ14/BQ30*BT14*CM30</f>
        <v>616.40740740740648</v>
      </c>
      <c r="CN14" s="149">
        <f>BQ14/BQ30*BT14*CN30</f>
        <v>616.40740740740648</v>
      </c>
      <c r="CO14" s="149">
        <f>BQ14/BQ30*BT14*CO30</f>
        <v>6.1079809999999917</v>
      </c>
      <c r="CP14" s="149">
        <f>BQ14/BQ30*BT14*CP30</f>
        <v>6.7243884074073978</v>
      </c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</row>
    <row r="15" spans="1:115" ht="16.5" x14ac:dyDescent="0.2">
      <c r="A15" s="4">
        <f>参数调整!B15</f>
        <v>20</v>
      </c>
      <c r="B15" s="165">
        <f>参数调整!C15</f>
        <v>110</v>
      </c>
      <c r="C15" s="165">
        <f>参数调整!D15</f>
        <v>5</v>
      </c>
      <c r="D15" s="165">
        <f t="shared" si="0"/>
        <v>25500</v>
      </c>
      <c r="E15" s="165">
        <f t="shared" si="1"/>
        <v>51000</v>
      </c>
      <c r="F15" s="165">
        <f>参数调整!E15</f>
        <v>2550</v>
      </c>
      <c r="G15" s="10">
        <f t="shared" si="2"/>
        <v>1275</v>
      </c>
      <c r="H15" s="10">
        <f t="shared" si="17"/>
        <v>1530</v>
      </c>
      <c r="I15" s="10">
        <f t="shared" si="3"/>
        <v>2272</v>
      </c>
      <c r="J15" s="10">
        <f t="shared" si="18"/>
        <v>765</v>
      </c>
      <c r="K15" s="10">
        <f t="shared" si="19"/>
        <v>1658</v>
      </c>
      <c r="L15" s="10">
        <f t="shared" si="4"/>
        <v>2462</v>
      </c>
      <c r="M15" s="10">
        <f t="shared" si="20"/>
        <v>829</v>
      </c>
      <c r="N15" s="10">
        <f t="shared" si="21"/>
        <v>1785</v>
      </c>
      <c r="O15" s="10">
        <f t="shared" si="5"/>
        <v>2651</v>
      </c>
      <c r="P15" s="10">
        <f t="shared" si="22"/>
        <v>893</v>
      </c>
      <c r="Q15" s="10">
        <f t="shared" si="23"/>
        <v>1913</v>
      </c>
      <c r="R15" s="10">
        <f t="shared" si="6"/>
        <v>2841</v>
      </c>
      <c r="S15" s="10">
        <f t="shared" si="24"/>
        <v>956</v>
      </c>
      <c r="T15" s="10">
        <f t="shared" si="25"/>
        <v>2805</v>
      </c>
      <c r="U15" s="10">
        <f t="shared" si="7"/>
        <v>4166</v>
      </c>
      <c r="V15" s="10">
        <f t="shared" si="26"/>
        <v>1403</v>
      </c>
      <c r="W15" s="10">
        <f t="shared" si="48"/>
        <v>2550</v>
      </c>
      <c r="X15" s="10">
        <f t="shared" si="27"/>
        <v>3787</v>
      </c>
      <c r="Y15" s="10">
        <f>INT(参数调整!$K$3*W15)</f>
        <v>1275</v>
      </c>
      <c r="Z15" s="10">
        <f t="shared" si="28"/>
        <v>2550</v>
      </c>
      <c r="AA15" s="10">
        <f t="shared" si="29"/>
        <v>3787</v>
      </c>
      <c r="AB15" s="10">
        <f>INT(参数调整!$K$3*Z15)</f>
        <v>1275</v>
      </c>
      <c r="AC15" s="10">
        <f t="shared" si="30"/>
        <v>2550</v>
      </c>
      <c r="AD15" s="10">
        <f t="shared" si="31"/>
        <v>3787</v>
      </c>
      <c r="AE15" s="10">
        <f>INT(参数调整!$K$3*AC15)</f>
        <v>1275</v>
      </c>
      <c r="AF15" s="10">
        <f t="shared" si="32"/>
        <v>2550</v>
      </c>
      <c r="AG15" s="10">
        <f t="shared" si="33"/>
        <v>3787</v>
      </c>
      <c r="AH15" s="10">
        <f>INT(参数调整!$K$3*AF15)</f>
        <v>1275</v>
      </c>
      <c r="AI15" s="10">
        <f t="shared" si="34"/>
        <v>2550</v>
      </c>
      <c r="AJ15" s="10">
        <f t="shared" si="35"/>
        <v>3787</v>
      </c>
      <c r="AK15" s="10">
        <f>INT(参数调整!$K$3*AI15)</f>
        <v>1275</v>
      </c>
      <c r="AL15" s="10">
        <f t="shared" si="36"/>
        <v>2550</v>
      </c>
      <c r="AM15" s="10">
        <f t="shared" si="37"/>
        <v>3787</v>
      </c>
      <c r="AN15" s="10">
        <f>INT(参数调整!$K$3*AL15)</f>
        <v>1275</v>
      </c>
      <c r="AO15" s="10">
        <f t="shared" si="38"/>
        <v>2550</v>
      </c>
      <c r="AP15" s="10">
        <f t="shared" si="39"/>
        <v>3787</v>
      </c>
      <c r="AQ15" s="10">
        <f>INT(参数调整!$K$3*AO15)</f>
        <v>1275</v>
      </c>
      <c r="AR15" s="165">
        <f t="shared" si="40"/>
        <v>1</v>
      </c>
      <c r="AS15" s="165">
        <f t="shared" si="40"/>
        <v>10</v>
      </c>
      <c r="AT15" s="165">
        <f t="shared" si="40"/>
        <v>120</v>
      </c>
      <c r="AU15" s="165">
        <f t="shared" si="40"/>
        <v>600</v>
      </c>
      <c r="AV15" s="165">
        <f t="shared" si="40"/>
        <v>1200</v>
      </c>
      <c r="AW15" s="165">
        <f t="shared" si="40"/>
        <v>1800</v>
      </c>
      <c r="AX15" s="165">
        <f t="shared" si="40"/>
        <v>333</v>
      </c>
      <c r="AY15" s="165">
        <f t="shared" si="40"/>
        <v>444</v>
      </c>
      <c r="AZ15" s="165">
        <f t="shared" si="40"/>
        <v>555</v>
      </c>
      <c r="BA15" s="165">
        <f t="shared" si="9"/>
        <v>666</v>
      </c>
      <c r="BB15" s="165">
        <f t="shared" si="9"/>
        <v>777</v>
      </c>
      <c r="BC15" s="165">
        <f t="shared" si="9"/>
        <v>888</v>
      </c>
      <c r="BD15" s="165">
        <f t="shared" si="9"/>
        <v>999</v>
      </c>
      <c r="BE15" s="10">
        <f t="shared" si="10"/>
        <v>76200</v>
      </c>
      <c r="BF15" s="10">
        <f t="shared" si="11"/>
        <v>882400</v>
      </c>
      <c r="BG15" s="10">
        <f t="shared" si="12"/>
        <v>4248000</v>
      </c>
      <c r="BH15" s="10">
        <f t="shared" si="13"/>
        <v>4086000</v>
      </c>
      <c r="BI15" s="146">
        <f t="shared" si="14"/>
        <v>8820000</v>
      </c>
      <c r="BJ15" s="146">
        <f t="shared" si="41"/>
        <v>1810000</v>
      </c>
      <c r="BK15" s="146">
        <f t="shared" si="42"/>
        <v>2410000</v>
      </c>
      <c r="BL15" s="146">
        <f t="shared" si="43"/>
        <v>3020000</v>
      </c>
      <c r="BM15" s="146">
        <f t="shared" si="44"/>
        <v>3620000</v>
      </c>
      <c r="BN15" s="146">
        <f t="shared" si="45"/>
        <v>4230000</v>
      </c>
      <c r="BO15" s="146">
        <f t="shared" si="46"/>
        <v>4830000</v>
      </c>
      <c r="BP15" s="146">
        <f t="shared" si="47"/>
        <v>5440000</v>
      </c>
      <c r="BQ15" s="149">
        <v>12</v>
      </c>
      <c r="BR15" s="151">
        <f t="shared" si="15"/>
        <v>4.2728052593299424</v>
      </c>
      <c r="BS15" s="151">
        <f t="shared" si="16"/>
        <v>0.67324874075528429</v>
      </c>
      <c r="BT15" s="150">
        <f>参数调整!H15</f>
        <v>0.76999999999999902</v>
      </c>
      <c r="BU15" s="149">
        <f>BQ15/BQ30*BT15*BU30</f>
        <v>108.48444444444429</v>
      </c>
      <c r="BV15" s="149">
        <f>BQ15/BQ30*BT15*BV30</f>
        <v>13.626604444444425</v>
      </c>
      <c r="BW15" s="149">
        <f>BQ15/BQ30*BT15*BW30</f>
        <v>37.644444444444396</v>
      </c>
      <c r="BX15" s="149">
        <f>BQ15/BQ30*BT15*BX30</f>
        <v>41.066666666666613</v>
      </c>
      <c r="BY15" s="149">
        <v>0</v>
      </c>
      <c r="BZ15" s="149">
        <f>基本装备!AH14</f>
        <v>3</v>
      </c>
      <c r="CA15" s="149">
        <f>BQ15/BQ30*BT15*CA30</f>
        <v>23.208826666666635</v>
      </c>
      <c r="CB15" s="149">
        <f>BQ15/BQ30*BT15*CB30</f>
        <v>8.8354933333333214</v>
      </c>
      <c r="CC15" s="149">
        <f>BQ15/BQ30*BT15*CC30</f>
        <v>8.8354933333333214</v>
      </c>
      <c r="CD15" s="149">
        <f>BQ15/BQ30*BT15*CD30</f>
        <v>130.66660444444426</v>
      </c>
      <c r="CE15" s="149">
        <f>BQ15/BQ30*BT15*CE30</f>
        <v>127.24438222222204</v>
      </c>
      <c r="CF15" s="149">
        <f>BQ15/BQ30*BT15*CF30</f>
        <v>40.382222222222168</v>
      </c>
      <c r="CG15" s="149">
        <f>BQ15/BQ30*BT15*CG30</f>
        <v>40.382222222222168</v>
      </c>
      <c r="CH15" s="149">
        <f>BQ15/BQ30*BT15*CH30</f>
        <v>33.133271111111064</v>
      </c>
      <c r="CI15" s="149">
        <f>BQ15/BQ30*BT15*CI30</f>
        <v>7.4666044444444335</v>
      </c>
      <c r="CJ15" s="149">
        <f>BQ15/BQ30*BT15*CJ30</f>
        <v>0</v>
      </c>
      <c r="CK15" s="149">
        <f>BQ15/BQ30*BT15*CK30</f>
        <v>7.4666044444444353</v>
      </c>
      <c r="CL15" s="149">
        <f>BQ15/BQ30*BT15*CL30</f>
        <v>0.62215999999999916</v>
      </c>
      <c r="CM15" s="149">
        <f>BQ15/BQ30*BT15*CM30</f>
        <v>684.44444444444355</v>
      </c>
      <c r="CN15" s="149">
        <f>BQ15/BQ30*BT15*CN30</f>
        <v>684.44444444444355</v>
      </c>
      <c r="CO15" s="149">
        <f>BQ15/BQ30*BT15*CO30</f>
        <v>6.7821599999999913</v>
      </c>
      <c r="CP15" s="149">
        <f>BQ15/BQ30*BT15*CP30</f>
        <v>7.4666044444444353</v>
      </c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</row>
    <row r="16" spans="1:115" ht="16.5" x14ac:dyDescent="0.2">
      <c r="A16" s="4">
        <f>参数调整!B16</f>
        <v>20</v>
      </c>
      <c r="B16" s="165">
        <f>参数调整!C16</f>
        <v>120</v>
      </c>
      <c r="C16" s="165">
        <f>参数调整!D16</f>
        <v>6</v>
      </c>
      <c r="D16" s="165">
        <f t="shared" si="0"/>
        <v>29000</v>
      </c>
      <c r="E16" s="165">
        <f t="shared" si="1"/>
        <v>58000</v>
      </c>
      <c r="F16" s="165">
        <f>参数调整!E16</f>
        <v>2900</v>
      </c>
      <c r="G16" s="10">
        <f t="shared" si="2"/>
        <v>1450</v>
      </c>
      <c r="H16" s="10">
        <f t="shared" si="17"/>
        <v>1740</v>
      </c>
      <c r="I16" s="10">
        <f t="shared" si="3"/>
        <v>2702</v>
      </c>
      <c r="J16" s="10">
        <f t="shared" si="18"/>
        <v>870</v>
      </c>
      <c r="K16" s="10">
        <f t="shared" si="19"/>
        <v>1885</v>
      </c>
      <c r="L16" s="10">
        <f t="shared" si="4"/>
        <v>2927</v>
      </c>
      <c r="M16" s="10">
        <f t="shared" si="20"/>
        <v>943</v>
      </c>
      <c r="N16" s="10">
        <f t="shared" si="21"/>
        <v>2030</v>
      </c>
      <c r="O16" s="10">
        <f t="shared" si="5"/>
        <v>3152</v>
      </c>
      <c r="P16" s="10">
        <f t="shared" si="22"/>
        <v>1015</v>
      </c>
      <c r="Q16" s="10">
        <f t="shared" si="23"/>
        <v>2175</v>
      </c>
      <c r="R16" s="10">
        <f t="shared" si="6"/>
        <v>3377</v>
      </c>
      <c r="S16" s="10">
        <f t="shared" si="24"/>
        <v>1088</v>
      </c>
      <c r="T16" s="10">
        <f t="shared" si="25"/>
        <v>3190</v>
      </c>
      <c r="U16" s="10">
        <f t="shared" si="7"/>
        <v>4953</v>
      </c>
      <c r="V16" s="10">
        <f t="shared" si="26"/>
        <v>1595</v>
      </c>
      <c r="W16" s="10">
        <f t="shared" si="48"/>
        <v>2900</v>
      </c>
      <c r="X16" s="10">
        <f t="shared" si="27"/>
        <v>4503</v>
      </c>
      <c r="Y16" s="10">
        <f>INT(参数调整!$K$3*W16)</f>
        <v>1450</v>
      </c>
      <c r="Z16" s="10">
        <f t="shared" si="28"/>
        <v>2900</v>
      </c>
      <c r="AA16" s="10">
        <f t="shared" si="29"/>
        <v>4503</v>
      </c>
      <c r="AB16" s="10">
        <f>INT(参数调整!$K$3*Z16)</f>
        <v>1450</v>
      </c>
      <c r="AC16" s="10">
        <f t="shared" si="30"/>
        <v>2900</v>
      </c>
      <c r="AD16" s="10">
        <f t="shared" si="31"/>
        <v>4503</v>
      </c>
      <c r="AE16" s="10">
        <f>INT(参数调整!$K$3*AC16)</f>
        <v>1450</v>
      </c>
      <c r="AF16" s="10">
        <f t="shared" si="32"/>
        <v>2900</v>
      </c>
      <c r="AG16" s="10">
        <f t="shared" si="33"/>
        <v>4503</v>
      </c>
      <c r="AH16" s="10">
        <f>INT(参数调整!$K$3*AF16)</f>
        <v>1450</v>
      </c>
      <c r="AI16" s="10">
        <f t="shared" si="34"/>
        <v>2900</v>
      </c>
      <c r="AJ16" s="10">
        <f t="shared" si="35"/>
        <v>4503</v>
      </c>
      <c r="AK16" s="10">
        <f>INT(参数调整!$K$3*AI16)</f>
        <v>1450</v>
      </c>
      <c r="AL16" s="10">
        <f t="shared" si="36"/>
        <v>2900</v>
      </c>
      <c r="AM16" s="10">
        <f t="shared" si="37"/>
        <v>4503</v>
      </c>
      <c r="AN16" s="10">
        <f>INT(参数调整!$K$3*AL16)</f>
        <v>1450</v>
      </c>
      <c r="AO16" s="10">
        <f t="shared" si="38"/>
        <v>2900</v>
      </c>
      <c r="AP16" s="10">
        <f t="shared" si="39"/>
        <v>4503</v>
      </c>
      <c r="AQ16" s="10">
        <f>INT(参数调整!$K$3*AO16)</f>
        <v>1450</v>
      </c>
      <c r="AR16" s="165">
        <f t="shared" si="40"/>
        <v>1</v>
      </c>
      <c r="AS16" s="165">
        <f t="shared" si="40"/>
        <v>10</v>
      </c>
      <c r="AT16" s="165">
        <f t="shared" si="40"/>
        <v>120</v>
      </c>
      <c r="AU16" s="165">
        <f t="shared" si="40"/>
        <v>600</v>
      </c>
      <c r="AV16" s="165">
        <f t="shared" si="40"/>
        <v>1200</v>
      </c>
      <c r="AW16" s="165">
        <f t="shared" si="40"/>
        <v>1800</v>
      </c>
      <c r="AX16" s="165">
        <f t="shared" si="40"/>
        <v>333</v>
      </c>
      <c r="AY16" s="165">
        <f t="shared" si="40"/>
        <v>444</v>
      </c>
      <c r="AZ16" s="165">
        <f t="shared" si="40"/>
        <v>555</v>
      </c>
      <c r="BA16" s="165">
        <f t="shared" si="9"/>
        <v>666</v>
      </c>
      <c r="BB16" s="165">
        <f t="shared" si="9"/>
        <v>777</v>
      </c>
      <c r="BC16" s="165">
        <f t="shared" si="9"/>
        <v>888</v>
      </c>
      <c r="BD16" s="165">
        <f t="shared" si="9"/>
        <v>999</v>
      </c>
      <c r="BE16" s="10">
        <f t="shared" si="10"/>
        <v>95300</v>
      </c>
      <c r="BF16" s="10">
        <f t="shared" si="11"/>
        <v>1102500</v>
      </c>
      <c r="BG16" s="10">
        <f t="shared" si="12"/>
        <v>5310000</v>
      </c>
      <c r="BH16" s="10">
        <f t="shared" si="13"/>
        <v>5104000</v>
      </c>
      <c r="BI16" s="146">
        <f t="shared" si="14"/>
        <v>11020000</v>
      </c>
      <c r="BJ16" s="146">
        <f t="shared" si="41"/>
        <v>2260000</v>
      </c>
      <c r="BK16" s="146">
        <f t="shared" si="42"/>
        <v>3020000</v>
      </c>
      <c r="BL16" s="146">
        <f t="shared" si="43"/>
        <v>3770000</v>
      </c>
      <c r="BM16" s="146">
        <f t="shared" si="44"/>
        <v>4530000</v>
      </c>
      <c r="BN16" s="146">
        <f t="shared" si="45"/>
        <v>5280000</v>
      </c>
      <c r="BO16" s="146">
        <f t="shared" si="46"/>
        <v>6040000</v>
      </c>
      <c r="BP16" s="146">
        <f t="shared" si="47"/>
        <v>6800000</v>
      </c>
      <c r="BQ16" s="149">
        <v>13</v>
      </c>
      <c r="BR16" s="151">
        <f t="shared" si="15"/>
        <v>4.6950194300988386</v>
      </c>
      <c r="BS16" s="151">
        <f t="shared" si="16"/>
        <v>0.64395439930972143</v>
      </c>
      <c r="BT16" s="150">
        <f>参数调整!H16</f>
        <v>0.78349999999999898</v>
      </c>
      <c r="BU16" s="149">
        <f>BQ16/BQ30*BT16*BU30</f>
        <v>119.58531481481465</v>
      </c>
      <c r="BV16" s="149">
        <f>BQ16/BQ30*BT16*BV30</f>
        <v>15.020971814814793</v>
      </c>
      <c r="BW16" s="149">
        <f>BQ16/BQ30*BT16*BW30</f>
        <v>41.496481481481425</v>
      </c>
      <c r="BX16" s="149">
        <f>BQ16/BQ30*BT16*BX30</f>
        <v>45.268888888888824</v>
      </c>
      <c r="BY16" s="149">
        <v>0</v>
      </c>
      <c r="BZ16" s="149">
        <f>基本装备!AH15</f>
        <v>3</v>
      </c>
      <c r="CA16" s="149">
        <f>BQ16/BQ30*BT16*CA30</f>
        <v>25.583712555555518</v>
      </c>
      <c r="CB16" s="149">
        <f>BQ16/BQ30*BT16*CB30</f>
        <v>9.7396014444444301</v>
      </c>
      <c r="CC16" s="149">
        <f>BQ16/BQ30*BT16*CC30</f>
        <v>9.7396014444444301</v>
      </c>
      <c r="CD16" s="149">
        <f>BQ16/BQ30*BT16*CD30</f>
        <v>144.03730514814794</v>
      </c>
      <c r="CE16" s="149">
        <f>BQ16/BQ30*BT16*CE30</f>
        <v>140.26489774074054</v>
      </c>
      <c r="CF16" s="149">
        <f>BQ16/BQ30*BT16*CF30</f>
        <v>44.514407407407347</v>
      </c>
      <c r="CG16" s="149">
        <f>BQ16/BQ30*BT16*CG30</f>
        <v>44.514407407407347</v>
      </c>
      <c r="CH16" s="149">
        <f>BQ16/BQ30*BT16*CH30</f>
        <v>36.523694037036982</v>
      </c>
      <c r="CI16" s="149">
        <f>BQ16/BQ30*BT16*CI30</f>
        <v>8.2306384814814688</v>
      </c>
      <c r="CJ16" s="149">
        <f>BQ16/BQ30*BT16*CJ30</f>
        <v>0</v>
      </c>
      <c r="CK16" s="149">
        <f>BQ16/BQ30*BT16*CK30</f>
        <v>8.2306384814814706</v>
      </c>
      <c r="CL16" s="149">
        <f>BQ16/BQ30*BT16*CL30</f>
        <v>0.68582366666666572</v>
      </c>
      <c r="CM16" s="149">
        <f>BQ16/BQ30*BT16*CM30</f>
        <v>754.48148148148039</v>
      </c>
      <c r="CN16" s="149">
        <f>BQ16/BQ30*BT16*CN30</f>
        <v>754.48148148148039</v>
      </c>
      <c r="CO16" s="149">
        <f>BQ16/BQ30*BT16*CO30</f>
        <v>7.4761569999999899</v>
      </c>
      <c r="CP16" s="149">
        <f>BQ16/BQ30*BT16*CP30</f>
        <v>8.2306384814814706</v>
      </c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</row>
    <row r="17" spans="1:115" ht="16.5" x14ac:dyDescent="0.2">
      <c r="A17" s="4">
        <f>参数调整!B17</f>
        <v>20</v>
      </c>
      <c r="B17" s="165">
        <f>参数调整!C17</f>
        <v>135</v>
      </c>
      <c r="C17" s="165">
        <f>参数调整!D17</f>
        <v>7</v>
      </c>
      <c r="D17" s="165">
        <f t="shared" si="0"/>
        <v>32000</v>
      </c>
      <c r="E17" s="165">
        <f t="shared" si="1"/>
        <v>64000</v>
      </c>
      <c r="F17" s="165">
        <f>参数调整!E17</f>
        <v>3200</v>
      </c>
      <c r="G17" s="10">
        <f t="shared" si="2"/>
        <v>1600</v>
      </c>
      <c r="H17" s="10">
        <f t="shared" si="17"/>
        <v>1920</v>
      </c>
      <c r="I17" s="10">
        <f t="shared" si="3"/>
        <v>3124</v>
      </c>
      <c r="J17" s="10">
        <f t="shared" si="18"/>
        <v>960</v>
      </c>
      <c r="K17" s="10">
        <f t="shared" si="19"/>
        <v>2080</v>
      </c>
      <c r="L17" s="10">
        <f t="shared" si="4"/>
        <v>3384</v>
      </c>
      <c r="M17" s="10">
        <f t="shared" si="20"/>
        <v>1040</v>
      </c>
      <c r="N17" s="10">
        <f t="shared" si="21"/>
        <v>2240</v>
      </c>
      <c r="O17" s="10">
        <f t="shared" si="5"/>
        <v>3644</v>
      </c>
      <c r="P17" s="10">
        <f t="shared" si="22"/>
        <v>1120</v>
      </c>
      <c r="Q17" s="10">
        <f t="shared" si="23"/>
        <v>2400</v>
      </c>
      <c r="R17" s="10">
        <f t="shared" si="6"/>
        <v>3905</v>
      </c>
      <c r="S17" s="10">
        <f t="shared" si="24"/>
        <v>1200</v>
      </c>
      <c r="T17" s="10">
        <f t="shared" si="25"/>
        <v>3520</v>
      </c>
      <c r="U17" s="10">
        <f t="shared" si="7"/>
        <v>5727</v>
      </c>
      <c r="V17" s="10">
        <f t="shared" si="26"/>
        <v>1760</v>
      </c>
      <c r="W17" s="10">
        <f t="shared" si="48"/>
        <v>3200</v>
      </c>
      <c r="X17" s="10">
        <f t="shared" si="27"/>
        <v>5206</v>
      </c>
      <c r="Y17" s="10">
        <f>INT(参数调整!$K$3*W17)</f>
        <v>1600</v>
      </c>
      <c r="Z17" s="10">
        <f t="shared" si="28"/>
        <v>3200</v>
      </c>
      <c r="AA17" s="10">
        <f t="shared" si="29"/>
        <v>5206</v>
      </c>
      <c r="AB17" s="10">
        <f>INT(参数调整!$K$3*Z17)</f>
        <v>1600</v>
      </c>
      <c r="AC17" s="10">
        <f t="shared" si="30"/>
        <v>3200</v>
      </c>
      <c r="AD17" s="10">
        <f t="shared" si="31"/>
        <v>5206</v>
      </c>
      <c r="AE17" s="10">
        <f>INT(参数调整!$K$3*AC17)</f>
        <v>1600</v>
      </c>
      <c r="AF17" s="10">
        <f t="shared" si="32"/>
        <v>3200</v>
      </c>
      <c r="AG17" s="10">
        <f t="shared" si="33"/>
        <v>5206</v>
      </c>
      <c r="AH17" s="10">
        <f>INT(参数调整!$K$3*AF17)</f>
        <v>1600</v>
      </c>
      <c r="AI17" s="10">
        <f t="shared" si="34"/>
        <v>3200</v>
      </c>
      <c r="AJ17" s="10">
        <f t="shared" si="35"/>
        <v>5206</v>
      </c>
      <c r="AK17" s="10">
        <f>INT(参数调整!$K$3*AI17)</f>
        <v>1600</v>
      </c>
      <c r="AL17" s="10">
        <f t="shared" si="36"/>
        <v>3200</v>
      </c>
      <c r="AM17" s="10">
        <f t="shared" si="37"/>
        <v>5206</v>
      </c>
      <c r="AN17" s="10">
        <f>INT(参数调整!$K$3*AL17)</f>
        <v>1600</v>
      </c>
      <c r="AO17" s="10">
        <f t="shared" si="38"/>
        <v>3200</v>
      </c>
      <c r="AP17" s="10">
        <f t="shared" si="39"/>
        <v>5206</v>
      </c>
      <c r="AQ17" s="10">
        <f>INT(参数调整!$K$3*AO17)</f>
        <v>1600</v>
      </c>
      <c r="AR17" s="165">
        <f t="shared" si="40"/>
        <v>1</v>
      </c>
      <c r="AS17" s="165">
        <f t="shared" si="40"/>
        <v>10</v>
      </c>
      <c r="AT17" s="165">
        <f t="shared" si="40"/>
        <v>120</v>
      </c>
      <c r="AU17" s="165">
        <f t="shared" si="40"/>
        <v>600</v>
      </c>
      <c r="AV17" s="165">
        <f t="shared" si="40"/>
        <v>1200</v>
      </c>
      <c r="AW17" s="165">
        <f t="shared" si="40"/>
        <v>1800</v>
      </c>
      <c r="AX17" s="165">
        <f t="shared" si="40"/>
        <v>333</v>
      </c>
      <c r="AY17" s="165">
        <f t="shared" si="40"/>
        <v>444</v>
      </c>
      <c r="AZ17" s="165">
        <f t="shared" si="40"/>
        <v>555</v>
      </c>
      <c r="BA17" s="165">
        <f t="shared" si="9"/>
        <v>666</v>
      </c>
      <c r="BB17" s="165">
        <f t="shared" si="9"/>
        <v>777</v>
      </c>
      <c r="BC17" s="165">
        <f t="shared" si="9"/>
        <v>888</v>
      </c>
      <c r="BD17" s="165">
        <f t="shared" si="9"/>
        <v>999</v>
      </c>
      <c r="BE17" s="10">
        <f t="shared" si="10"/>
        <v>115400</v>
      </c>
      <c r="BF17" s="10">
        <f t="shared" si="11"/>
        <v>1336200</v>
      </c>
      <c r="BG17" s="10">
        <f t="shared" si="12"/>
        <v>6433000</v>
      </c>
      <c r="BH17" s="10">
        <f t="shared" si="13"/>
        <v>6186000</v>
      </c>
      <c r="BI17" s="146">
        <f t="shared" si="14"/>
        <v>13360000</v>
      </c>
      <c r="BJ17" s="146">
        <f t="shared" si="41"/>
        <v>2740000</v>
      </c>
      <c r="BK17" s="146">
        <f t="shared" si="42"/>
        <v>3660000</v>
      </c>
      <c r="BL17" s="146">
        <f t="shared" si="43"/>
        <v>4570000</v>
      </c>
      <c r="BM17" s="146">
        <f t="shared" si="44"/>
        <v>5490000</v>
      </c>
      <c r="BN17" s="146">
        <f t="shared" si="45"/>
        <v>6400000</v>
      </c>
      <c r="BO17" s="146">
        <f t="shared" si="46"/>
        <v>7320000</v>
      </c>
      <c r="BP17" s="146">
        <f t="shared" si="47"/>
        <v>8240000</v>
      </c>
      <c r="BQ17" s="149">
        <v>14</v>
      </c>
      <c r="BR17" s="151">
        <f t="shared" si="15"/>
        <v>5.1554125741177028</v>
      </c>
      <c r="BS17" s="151">
        <f t="shared" si="16"/>
        <v>0.61459044004977115</v>
      </c>
      <c r="BT17" s="150">
        <f>参数调整!H17</f>
        <v>0.79699999999999904</v>
      </c>
      <c r="BU17" s="149">
        <f>BQ17/BQ30*BT17*BU30</f>
        <v>131.003185185185</v>
      </c>
      <c r="BV17" s="149">
        <f>BQ17/BQ30*BT17*BV30</f>
        <v>16.455157185185161</v>
      </c>
      <c r="BW17" s="149">
        <f>BQ17/BQ30*BT17*BW30</f>
        <v>45.45851851851846</v>
      </c>
      <c r="BX17" s="149">
        <f>BQ17/BQ30*BT17*BX30</f>
        <v>49.591111111111047</v>
      </c>
      <c r="BY17" s="149">
        <v>0</v>
      </c>
      <c r="BZ17" s="149">
        <f>基本装备!AH16</f>
        <v>3</v>
      </c>
      <c r="CA17" s="149">
        <f>BQ17/BQ30*BT17*CA30</f>
        <v>28.026416444444408</v>
      </c>
      <c r="CB17" s="149">
        <f>BQ17/BQ30*BT17*CB30</f>
        <v>10.66952755555554</v>
      </c>
      <c r="CC17" s="149">
        <f>BQ17/BQ30*BT17*CC30</f>
        <v>10.66952755555554</v>
      </c>
      <c r="CD17" s="149">
        <f>BQ17/BQ30*BT17*CD30</f>
        <v>157.78982385185165</v>
      </c>
      <c r="CE17" s="149">
        <f>BQ17/BQ30*BT17*CE30</f>
        <v>153.65723125925905</v>
      </c>
      <c r="CF17" s="149">
        <f>BQ17/BQ30*BT17*CF30</f>
        <v>48.764592592592528</v>
      </c>
      <c r="CG17" s="149">
        <f>BQ17/BQ30*BT17*CG30</f>
        <v>48.764592592592528</v>
      </c>
      <c r="CH17" s="149">
        <f>BQ17/BQ30*BT17*CH30</f>
        <v>40.010934962962907</v>
      </c>
      <c r="CI17" s="149">
        <f>BQ17/BQ30*BT17*CI30</f>
        <v>9.0164905185185056</v>
      </c>
      <c r="CJ17" s="149">
        <f>BQ17/BQ30*BT17*CJ30</f>
        <v>0</v>
      </c>
      <c r="CK17" s="149">
        <f>BQ17/BQ30*BT17*CK30</f>
        <v>9.0164905185185074</v>
      </c>
      <c r="CL17" s="149">
        <f>BQ17/BQ30*BT17*CL30</f>
        <v>0.75130533333333238</v>
      </c>
      <c r="CM17" s="149">
        <f>BQ17/BQ30*BT17*CM30</f>
        <v>826.51851851851745</v>
      </c>
      <c r="CN17" s="149">
        <f>BQ17/BQ30*BT17*CN30</f>
        <v>826.51851851851745</v>
      </c>
      <c r="CO17" s="149">
        <f>BQ17/BQ30*BT17*CO30</f>
        <v>8.1899719999999903</v>
      </c>
      <c r="CP17" s="149">
        <f>BQ17/BQ30*BT17*CP30</f>
        <v>9.0164905185185074</v>
      </c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</row>
    <row r="18" spans="1:115" ht="16.5" x14ac:dyDescent="0.2">
      <c r="A18" s="4">
        <f>参数调整!B18</f>
        <v>20</v>
      </c>
      <c r="B18" s="165">
        <f>参数调整!C18</f>
        <v>155</v>
      </c>
      <c r="C18" s="165">
        <f>参数调整!D18</f>
        <v>8</v>
      </c>
      <c r="D18" s="165">
        <f t="shared" si="0"/>
        <v>35000</v>
      </c>
      <c r="E18" s="165">
        <f t="shared" si="1"/>
        <v>70000</v>
      </c>
      <c r="F18" s="165">
        <f>参数调整!E18</f>
        <v>3500</v>
      </c>
      <c r="G18" s="10">
        <f t="shared" si="2"/>
        <v>1750</v>
      </c>
      <c r="H18" s="10">
        <f t="shared" si="17"/>
        <v>2100</v>
      </c>
      <c r="I18" s="10">
        <f t="shared" si="3"/>
        <v>3588</v>
      </c>
      <c r="J18" s="10">
        <f t="shared" si="18"/>
        <v>1050</v>
      </c>
      <c r="K18" s="10">
        <f t="shared" si="19"/>
        <v>2275</v>
      </c>
      <c r="L18" s="10">
        <f t="shared" si="4"/>
        <v>3887</v>
      </c>
      <c r="M18" s="10">
        <f t="shared" si="20"/>
        <v>1138</v>
      </c>
      <c r="N18" s="10">
        <f t="shared" si="21"/>
        <v>2450</v>
      </c>
      <c r="O18" s="10">
        <f t="shared" si="5"/>
        <v>4186</v>
      </c>
      <c r="P18" s="10">
        <f t="shared" si="22"/>
        <v>1225</v>
      </c>
      <c r="Q18" s="10">
        <f t="shared" si="23"/>
        <v>2625</v>
      </c>
      <c r="R18" s="10">
        <f t="shared" si="6"/>
        <v>4485</v>
      </c>
      <c r="S18" s="10">
        <f t="shared" si="24"/>
        <v>1313</v>
      </c>
      <c r="T18" s="10">
        <f t="shared" si="25"/>
        <v>3850</v>
      </c>
      <c r="U18" s="10">
        <f t="shared" si="7"/>
        <v>6578</v>
      </c>
      <c r="V18" s="10">
        <f t="shared" si="26"/>
        <v>1925</v>
      </c>
      <c r="W18" s="10">
        <f t="shared" si="48"/>
        <v>3500</v>
      </c>
      <c r="X18" s="10">
        <f t="shared" si="27"/>
        <v>5980</v>
      </c>
      <c r="Y18" s="10">
        <f>INT(参数调整!$K$3*W18)</f>
        <v>1750</v>
      </c>
      <c r="Z18" s="10">
        <f t="shared" si="28"/>
        <v>3500</v>
      </c>
      <c r="AA18" s="10">
        <f t="shared" si="29"/>
        <v>5980</v>
      </c>
      <c r="AB18" s="10">
        <f>INT(参数调整!$K$3*Z18)</f>
        <v>1750</v>
      </c>
      <c r="AC18" s="10">
        <f t="shared" si="30"/>
        <v>3500</v>
      </c>
      <c r="AD18" s="10">
        <f t="shared" si="31"/>
        <v>5980</v>
      </c>
      <c r="AE18" s="10">
        <f>INT(参数调整!$K$3*AC18)</f>
        <v>1750</v>
      </c>
      <c r="AF18" s="10">
        <f t="shared" si="32"/>
        <v>3500</v>
      </c>
      <c r="AG18" s="10">
        <f t="shared" si="33"/>
        <v>5980</v>
      </c>
      <c r="AH18" s="10">
        <f>INT(参数调整!$K$3*AF18)</f>
        <v>1750</v>
      </c>
      <c r="AI18" s="10">
        <f t="shared" si="34"/>
        <v>3500</v>
      </c>
      <c r="AJ18" s="10">
        <f t="shared" si="35"/>
        <v>5980</v>
      </c>
      <c r="AK18" s="10">
        <f>INT(参数调整!$K$3*AI18)</f>
        <v>1750</v>
      </c>
      <c r="AL18" s="10">
        <f t="shared" si="36"/>
        <v>3500</v>
      </c>
      <c r="AM18" s="10">
        <f t="shared" si="37"/>
        <v>5980</v>
      </c>
      <c r="AN18" s="10">
        <f>INT(参数调整!$K$3*AL18)</f>
        <v>1750</v>
      </c>
      <c r="AO18" s="10">
        <f t="shared" si="38"/>
        <v>3500</v>
      </c>
      <c r="AP18" s="10">
        <f t="shared" si="39"/>
        <v>5980</v>
      </c>
      <c r="AQ18" s="10">
        <f>INT(参数调整!$K$3*AO18)</f>
        <v>1750</v>
      </c>
      <c r="AR18" s="165">
        <f t="shared" si="40"/>
        <v>1</v>
      </c>
      <c r="AS18" s="165">
        <f t="shared" si="40"/>
        <v>10</v>
      </c>
      <c r="AT18" s="165">
        <f t="shared" si="40"/>
        <v>120</v>
      </c>
      <c r="AU18" s="165">
        <f t="shared" si="40"/>
        <v>600</v>
      </c>
      <c r="AV18" s="165">
        <f t="shared" si="40"/>
        <v>1200</v>
      </c>
      <c r="AW18" s="165">
        <f t="shared" si="40"/>
        <v>1800</v>
      </c>
      <c r="AX18" s="165">
        <f t="shared" si="40"/>
        <v>333</v>
      </c>
      <c r="AY18" s="165">
        <f t="shared" si="40"/>
        <v>444</v>
      </c>
      <c r="AZ18" s="165">
        <f t="shared" si="40"/>
        <v>555</v>
      </c>
      <c r="BA18" s="165">
        <f t="shared" si="9"/>
        <v>666</v>
      </c>
      <c r="BB18" s="165">
        <f t="shared" si="9"/>
        <v>777</v>
      </c>
      <c r="BC18" s="165">
        <f t="shared" si="9"/>
        <v>888</v>
      </c>
      <c r="BD18" s="165">
        <f t="shared" si="9"/>
        <v>999</v>
      </c>
      <c r="BE18" s="10">
        <f t="shared" si="10"/>
        <v>149200</v>
      </c>
      <c r="BF18" s="10">
        <f t="shared" si="11"/>
        <v>1726800</v>
      </c>
      <c r="BG18" s="10">
        <f t="shared" si="12"/>
        <v>8315000</v>
      </c>
      <c r="BH18" s="10">
        <f t="shared" si="13"/>
        <v>7994000</v>
      </c>
      <c r="BI18" s="146">
        <f t="shared" si="14"/>
        <v>17270000</v>
      </c>
      <c r="BJ18" s="146">
        <f t="shared" si="41"/>
        <v>3550000</v>
      </c>
      <c r="BK18" s="146">
        <f t="shared" si="42"/>
        <v>4730000</v>
      </c>
      <c r="BL18" s="146">
        <f t="shared" si="43"/>
        <v>5910000</v>
      </c>
      <c r="BM18" s="146">
        <f t="shared" si="44"/>
        <v>7100000</v>
      </c>
      <c r="BN18" s="146">
        <f t="shared" si="45"/>
        <v>8280000</v>
      </c>
      <c r="BO18" s="146">
        <f t="shared" si="46"/>
        <v>9460000</v>
      </c>
      <c r="BP18" s="146">
        <f t="shared" si="47"/>
        <v>10650000</v>
      </c>
      <c r="BQ18" s="149">
        <v>15</v>
      </c>
      <c r="BR18" s="151">
        <f t="shared" si="15"/>
        <v>6.0922951776582233</v>
      </c>
      <c r="BS18" s="151">
        <f t="shared" si="16"/>
        <v>0.58521192984588088</v>
      </c>
      <c r="BT18" s="150">
        <f>参数调整!H18</f>
        <v>0.810499999999999</v>
      </c>
      <c r="BU18" s="149">
        <f>BQ18/BQ30*BT18*BU30</f>
        <v>142.73805555555538</v>
      </c>
      <c r="BV18" s="149">
        <f>BQ18/BQ30*BT18*BV30</f>
        <v>17.929160555555534</v>
      </c>
      <c r="BW18" s="149">
        <f>BQ18/BQ30*BT18*BW30</f>
        <v>49.530555555555495</v>
      </c>
      <c r="BX18" s="149">
        <f>BQ18/BQ30*BT18*BX30</f>
        <v>54.033333333333267</v>
      </c>
      <c r="BY18" s="149">
        <v>0</v>
      </c>
      <c r="BZ18" s="149">
        <f>基本装备!AH17</f>
        <v>4</v>
      </c>
      <c r="CA18" s="149">
        <f>BQ18/BQ30*BT18*CA30</f>
        <v>30.536938333333296</v>
      </c>
      <c r="CB18" s="149">
        <f>BQ18/BQ30*BT18*CB30</f>
        <v>11.62527166666665</v>
      </c>
      <c r="CC18" s="149">
        <f>BQ18/BQ30*BT18*CC30</f>
        <v>11.62527166666665</v>
      </c>
      <c r="CD18" s="149">
        <f>BQ18/BQ30*BT18*CD30</f>
        <v>171.92416055555535</v>
      </c>
      <c r="CE18" s="149">
        <f>BQ18/BQ30*BT18*CE30</f>
        <v>167.42138277777755</v>
      </c>
      <c r="CF18" s="149">
        <f>BQ18/BQ30*BT18*CF30</f>
        <v>53.132777777777711</v>
      </c>
      <c r="CG18" s="149">
        <f>BQ18/BQ30*BT18*CG30</f>
        <v>53.132777777777711</v>
      </c>
      <c r="CH18" s="149">
        <f>BQ18/BQ30*BT18*CH30</f>
        <v>43.594993888888837</v>
      </c>
      <c r="CI18" s="149">
        <f>BQ18/BQ30*BT18*CI30</f>
        <v>9.824160555555542</v>
      </c>
      <c r="CJ18" s="149">
        <f>BQ18/BQ30*BT18*CJ30</f>
        <v>0</v>
      </c>
      <c r="CK18" s="149">
        <f>BQ18/BQ30*BT18*CK30</f>
        <v>9.8241605555555438</v>
      </c>
      <c r="CL18" s="149">
        <f>BQ18/BQ30*BT18*CL30</f>
        <v>0.81860499999999903</v>
      </c>
      <c r="CM18" s="149">
        <f>BQ18/BQ30*BT18*CM30</f>
        <v>900.55555555555441</v>
      </c>
      <c r="CN18" s="149">
        <f>BQ18/BQ30*BT18*CN30</f>
        <v>900.55555555555441</v>
      </c>
      <c r="CO18" s="149">
        <f>BQ18/BQ30*BT18*CO30</f>
        <v>8.9236049999999896</v>
      </c>
      <c r="CP18" s="149">
        <f>BQ18/BQ30*BT18*CP30</f>
        <v>9.8241605555555438</v>
      </c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</row>
    <row r="19" spans="1:115" ht="16.5" x14ac:dyDescent="0.2">
      <c r="A19" s="4">
        <f>参数调整!B19</f>
        <v>20</v>
      </c>
      <c r="B19" s="165">
        <f>参数调整!C19</f>
        <v>190</v>
      </c>
      <c r="C19" s="165">
        <f>参数调整!D19</f>
        <v>9</v>
      </c>
      <c r="D19" s="165">
        <f t="shared" si="0"/>
        <v>37500</v>
      </c>
      <c r="E19" s="165">
        <f t="shared" si="1"/>
        <v>75000</v>
      </c>
      <c r="F19" s="165">
        <f>参数调整!E19</f>
        <v>3750</v>
      </c>
      <c r="G19" s="10">
        <f t="shared" si="2"/>
        <v>1875</v>
      </c>
      <c r="H19" s="10">
        <f t="shared" si="17"/>
        <v>2250</v>
      </c>
      <c r="I19" s="10">
        <f t="shared" si="3"/>
        <v>4047</v>
      </c>
      <c r="J19" s="10">
        <f t="shared" si="18"/>
        <v>1125</v>
      </c>
      <c r="K19" s="10">
        <f t="shared" si="19"/>
        <v>2438</v>
      </c>
      <c r="L19" s="10">
        <f t="shared" si="4"/>
        <v>4385</v>
      </c>
      <c r="M19" s="10">
        <f t="shared" si="20"/>
        <v>1219</v>
      </c>
      <c r="N19" s="10">
        <f t="shared" si="21"/>
        <v>2625</v>
      </c>
      <c r="O19" s="10">
        <f t="shared" si="5"/>
        <v>4722</v>
      </c>
      <c r="P19" s="10">
        <f t="shared" si="22"/>
        <v>1313</v>
      </c>
      <c r="Q19" s="10">
        <f t="shared" si="23"/>
        <v>2813</v>
      </c>
      <c r="R19" s="10">
        <f t="shared" si="6"/>
        <v>5060</v>
      </c>
      <c r="S19" s="10">
        <f t="shared" si="24"/>
        <v>1406</v>
      </c>
      <c r="T19" s="10">
        <f t="shared" si="25"/>
        <v>4125</v>
      </c>
      <c r="U19" s="10">
        <f t="shared" si="7"/>
        <v>7420</v>
      </c>
      <c r="V19" s="10">
        <f t="shared" si="26"/>
        <v>2063</v>
      </c>
      <c r="W19" s="10">
        <f t="shared" si="48"/>
        <v>3750</v>
      </c>
      <c r="X19" s="10">
        <f t="shared" si="27"/>
        <v>6746</v>
      </c>
      <c r="Y19" s="10">
        <f>INT(参数调整!$K$3*W19)</f>
        <v>1875</v>
      </c>
      <c r="Z19" s="10">
        <f t="shared" si="28"/>
        <v>3750</v>
      </c>
      <c r="AA19" s="10">
        <f t="shared" si="29"/>
        <v>6746</v>
      </c>
      <c r="AB19" s="10">
        <f>INT(参数调整!$K$3*Z19)</f>
        <v>1875</v>
      </c>
      <c r="AC19" s="10">
        <f t="shared" si="30"/>
        <v>3750</v>
      </c>
      <c r="AD19" s="10">
        <f t="shared" si="31"/>
        <v>6746</v>
      </c>
      <c r="AE19" s="10">
        <f>INT(参数调整!$K$3*AC19)</f>
        <v>1875</v>
      </c>
      <c r="AF19" s="10">
        <f t="shared" si="32"/>
        <v>3750</v>
      </c>
      <c r="AG19" s="10">
        <f t="shared" si="33"/>
        <v>6746</v>
      </c>
      <c r="AH19" s="10">
        <f>INT(参数调整!$K$3*AF19)</f>
        <v>1875</v>
      </c>
      <c r="AI19" s="10">
        <f t="shared" si="34"/>
        <v>3750</v>
      </c>
      <c r="AJ19" s="10">
        <f t="shared" si="35"/>
        <v>6746</v>
      </c>
      <c r="AK19" s="10">
        <f>INT(参数调整!$K$3*AI19)</f>
        <v>1875</v>
      </c>
      <c r="AL19" s="10">
        <f t="shared" si="36"/>
        <v>3750</v>
      </c>
      <c r="AM19" s="10">
        <f t="shared" si="37"/>
        <v>6746</v>
      </c>
      <c r="AN19" s="10">
        <f>INT(参数调整!$K$3*AL19)</f>
        <v>1875</v>
      </c>
      <c r="AO19" s="10">
        <f t="shared" si="38"/>
        <v>3750</v>
      </c>
      <c r="AP19" s="10">
        <f t="shared" si="39"/>
        <v>6746</v>
      </c>
      <c r="AQ19" s="10">
        <f>INT(参数调整!$K$3*AO19)</f>
        <v>1875</v>
      </c>
      <c r="AR19" s="165">
        <f t="shared" si="40"/>
        <v>1</v>
      </c>
      <c r="AS19" s="165">
        <f t="shared" si="40"/>
        <v>10</v>
      </c>
      <c r="AT19" s="165">
        <f t="shared" si="40"/>
        <v>120</v>
      </c>
      <c r="AU19" s="165">
        <f t="shared" si="40"/>
        <v>600</v>
      </c>
      <c r="AV19" s="165">
        <f t="shared" si="40"/>
        <v>1200</v>
      </c>
      <c r="AW19" s="165">
        <f t="shared" si="40"/>
        <v>1800</v>
      </c>
      <c r="AX19" s="165">
        <f t="shared" si="40"/>
        <v>333</v>
      </c>
      <c r="AY19" s="165">
        <f t="shared" si="40"/>
        <v>444</v>
      </c>
      <c r="AZ19" s="165">
        <f t="shared" si="40"/>
        <v>555</v>
      </c>
      <c r="BA19" s="165">
        <f t="shared" si="9"/>
        <v>666</v>
      </c>
      <c r="BB19" s="165">
        <f t="shared" si="9"/>
        <v>777</v>
      </c>
      <c r="BC19" s="165">
        <f t="shared" si="9"/>
        <v>888</v>
      </c>
      <c r="BD19" s="165">
        <f t="shared" si="9"/>
        <v>999</v>
      </c>
      <c r="BE19" s="10">
        <f t="shared" si="10"/>
        <v>175300</v>
      </c>
      <c r="BF19" s="10">
        <f t="shared" si="11"/>
        <v>2029000</v>
      </c>
      <c r="BG19" s="10">
        <f t="shared" si="12"/>
        <v>9768000</v>
      </c>
      <c r="BH19" s="10">
        <f t="shared" si="13"/>
        <v>9395000</v>
      </c>
      <c r="BI19" s="146">
        <f t="shared" si="14"/>
        <v>20280000</v>
      </c>
      <c r="BJ19" s="146">
        <f t="shared" si="41"/>
        <v>4170000</v>
      </c>
      <c r="BK19" s="146">
        <f t="shared" si="42"/>
        <v>5560000</v>
      </c>
      <c r="BL19" s="146">
        <f t="shared" si="43"/>
        <v>6950000</v>
      </c>
      <c r="BM19" s="146">
        <f t="shared" si="44"/>
        <v>8340000</v>
      </c>
      <c r="BN19" s="146">
        <f t="shared" si="45"/>
        <v>9730000</v>
      </c>
      <c r="BO19" s="146">
        <f t="shared" si="46"/>
        <v>11120000</v>
      </c>
      <c r="BP19" s="146">
        <f t="shared" si="47"/>
        <v>12510000</v>
      </c>
      <c r="BQ19" s="149">
        <v>16</v>
      </c>
      <c r="BR19" s="151">
        <f t="shared" si="15"/>
        <v>6.6807497246849499</v>
      </c>
      <c r="BS19" s="151">
        <f t="shared" si="16"/>
        <v>0.55587411656292918</v>
      </c>
      <c r="BT19" s="150">
        <f>参数调整!H19</f>
        <v>0.82399999999999896</v>
      </c>
      <c r="BU19" s="149">
        <f>BQ19/BQ30*BT19*BU30</f>
        <v>154.78992592592573</v>
      </c>
      <c r="BV19" s="149">
        <f>BQ19/BQ30*BT19*BV30</f>
        <v>19.442981925925899</v>
      </c>
      <c r="BW19" s="149">
        <f>BQ19/BQ30*BT19*BW30</f>
        <v>53.712592592592522</v>
      </c>
      <c r="BX19" s="149">
        <f>BQ19/BQ30*BT19*BX30</f>
        <v>58.595555555555478</v>
      </c>
      <c r="BY19" s="149">
        <v>0</v>
      </c>
      <c r="BZ19" s="149">
        <f>基本装备!AH18</f>
        <v>4</v>
      </c>
      <c r="CA19" s="149">
        <f>BQ19/BQ30*BT19*CA30</f>
        <v>33.11527822222218</v>
      </c>
      <c r="CB19" s="149">
        <f>BQ19/BQ30*BT19*CB30</f>
        <v>12.60683377777776</v>
      </c>
      <c r="CC19" s="149">
        <f>BQ19/BQ30*BT19*CC30</f>
        <v>12.60683377777776</v>
      </c>
      <c r="CD19" s="149">
        <f>BQ19/BQ30*BT19*CD30</f>
        <v>186.44031525925902</v>
      </c>
      <c r="CE19" s="149">
        <f>BQ19/BQ30*BT19*CE30</f>
        <v>181.55735229629605</v>
      </c>
      <c r="CF19" s="149">
        <f>BQ19/BQ30*BT19*CF30</f>
        <v>57.61896296296289</v>
      </c>
      <c r="CG19" s="149">
        <f>BQ19/BQ30*BT19*CG30</f>
        <v>57.61896296296289</v>
      </c>
      <c r="CH19" s="149">
        <f>BQ19/BQ30*BT19*CH30</f>
        <v>47.275870814814752</v>
      </c>
      <c r="CI19" s="149">
        <f>BQ19/BQ30*BT19*CI30</f>
        <v>10.653648592592578</v>
      </c>
      <c r="CJ19" s="149">
        <f>BQ19/BQ30*BT19*CJ30</f>
        <v>0</v>
      </c>
      <c r="CK19" s="149">
        <f>BQ19/BQ30*BT19*CK30</f>
        <v>10.65364859259258</v>
      </c>
      <c r="CL19" s="149">
        <f>BQ19/BQ30*BT19*CL30</f>
        <v>0.88772266666666555</v>
      </c>
      <c r="CM19" s="149">
        <f>BQ19/BQ30*BT19*CM30</f>
        <v>976.59259259259136</v>
      </c>
      <c r="CN19" s="149">
        <f>BQ19/BQ30*BT19*CN30</f>
        <v>976.59259259259136</v>
      </c>
      <c r="CO19" s="149">
        <f>BQ19/BQ30*BT19*CO30</f>
        <v>9.6770559999999879</v>
      </c>
      <c r="CP19" s="149">
        <f>BQ19/BQ30*BT19*CP30</f>
        <v>10.65364859259258</v>
      </c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</row>
    <row r="20" spans="1:115" ht="16.5" x14ac:dyDescent="0.2">
      <c r="A20" s="4">
        <f>参数调整!B20</f>
        <v>20</v>
      </c>
      <c r="B20" s="165">
        <f>参数调整!C20</f>
        <v>200</v>
      </c>
      <c r="C20" s="165">
        <f>参数调整!D20</f>
        <v>10</v>
      </c>
      <c r="D20" s="165">
        <f t="shared" si="0"/>
        <v>40000</v>
      </c>
      <c r="E20" s="165">
        <f t="shared" si="1"/>
        <v>80000</v>
      </c>
      <c r="F20" s="165">
        <f>参数调整!E20</f>
        <v>4000</v>
      </c>
      <c r="G20" s="10">
        <f t="shared" si="2"/>
        <v>2000</v>
      </c>
      <c r="H20" s="10">
        <f t="shared" si="17"/>
        <v>2400</v>
      </c>
      <c r="I20" s="10">
        <f t="shared" si="3"/>
        <v>4557</v>
      </c>
      <c r="J20" s="10">
        <f t="shared" si="18"/>
        <v>1200</v>
      </c>
      <c r="K20" s="10">
        <f t="shared" si="19"/>
        <v>2600</v>
      </c>
      <c r="L20" s="10">
        <f t="shared" si="4"/>
        <v>4937</v>
      </c>
      <c r="M20" s="10">
        <f t="shared" si="20"/>
        <v>1300</v>
      </c>
      <c r="N20" s="10">
        <f t="shared" si="21"/>
        <v>2800</v>
      </c>
      <c r="O20" s="10">
        <f t="shared" si="5"/>
        <v>5316</v>
      </c>
      <c r="P20" s="10">
        <f t="shared" si="22"/>
        <v>1400</v>
      </c>
      <c r="Q20" s="10">
        <f t="shared" si="23"/>
        <v>3000</v>
      </c>
      <c r="R20" s="10">
        <f t="shared" si="6"/>
        <v>5696</v>
      </c>
      <c r="S20" s="10">
        <f t="shared" si="24"/>
        <v>1500</v>
      </c>
      <c r="T20" s="10">
        <f t="shared" si="25"/>
        <v>4400</v>
      </c>
      <c r="U20" s="10">
        <f t="shared" si="7"/>
        <v>8354</v>
      </c>
      <c r="V20" s="10">
        <f t="shared" si="26"/>
        <v>2200</v>
      </c>
      <c r="W20" s="10">
        <f t="shared" si="48"/>
        <v>4000</v>
      </c>
      <c r="X20" s="10">
        <f t="shared" si="27"/>
        <v>7595</v>
      </c>
      <c r="Y20" s="10">
        <f>INT(参数调整!$K$3*W20)</f>
        <v>2000</v>
      </c>
      <c r="Z20" s="10">
        <f t="shared" si="28"/>
        <v>4000</v>
      </c>
      <c r="AA20" s="10">
        <f t="shared" si="29"/>
        <v>7595</v>
      </c>
      <c r="AB20" s="10">
        <f>INT(参数调整!$K$3*Z20)</f>
        <v>2000</v>
      </c>
      <c r="AC20" s="10">
        <f t="shared" si="30"/>
        <v>4000</v>
      </c>
      <c r="AD20" s="10">
        <f t="shared" si="31"/>
        <v>7595</v>
      </c>
      <c r="AE20" s="10">
        <f>INT(参数调整!$K$3*AC20)</f>
        <v>2000</v>
      </c>
      <c r="AF20" s="10">
        <f t="shared" si="32"/>
        <v>4000</v>
      </c>
      <c r="AG20" s="10">
        <f t="shared" si="33"/>
        <v>7595</v>
      </c>
      <c r="AH20" s="10">
        <f>INT(参数调整!$K$3*AF20)</f>
        <v>2000</v>
      </c>
      <c r="AI20" s="10">
        <f t="shared" si="34"/>
        <v>4000</v>
      </c>
      <c r="AJ20" s="10">
        <f t="shared" si="35"/>
        <v>7595</v>
      </c>
      <c r="AK20" s="10">
        <f>INT(参数调整!$K$3*AI20)</f>
        <v>2000</v>
      </c>
      <c r="AL20" s="10">
        <f t="shared" si="36"/>
        <v>4000</v>
      </c>
      <c r="AM20" s="10">
        <f t="shared" si="37"/>
        <v>7595</v>
      </c>
      <c r="AN20" s="10">
        <f>INT(参数调整!$K$3*AL20)</f>
        <v>2000</v>
      </c>
      <c r="AO20" s="10">
        <f t="shared" si="38"/>
        <v>4000</v>
      </c>
      <c r="AP20" s="10">
        <f t="shared" si="39"/>
        <v>7595</v>
      </c>
      <c r="AQ20" s="10">
        <f>INT(参数调整!$K$3*AO20)</f>
        <v>2000</v>
      </c>
      <c r="AR20" s="165">
        <f t="shared" si="40"/>
        <v>1</v>
      </c>
      <c r="AS20" s="165">
        <f t="shared" si="40"/>
        <v>10</v>
      </c>
      <c r="AT20" s="165">
        <f t="shared" si="40"/>
        <v>120</v>
      </c>
      <c r="AU20" s="165">
        <f t="shared" si="40"/>
        <v>600</v>
      </c>
      <c r="AV20" s="165">
        <f t="shared" si="40"/>
        <v>1200</v>
      </c>
      <c r="AW20" s="165">
        <f t="shared" si="40"/>
        <v>1800</v>
      </c>
      <c r="AX20" s="165">
        <f t="shared" si="40"/>
        <v>333</v>
      </c>
      <c r="AY20" s="165">
        <f t="shared" si="40"/>
        <v>444</v>
      </c>
      <c r="AZ20" s="165">
        <f t="shared" si="40"/>
        <v>555</v>
      </c>
      <c r="BA20" s="165">
        <f t="shared" si="40"/>
        <v>666</v>
      </c>
      <c r="BB20" s="165">
        <f t="shared" si="40"/>
        <v>777</v>
      </c>
      <c r="BC20" s="165">
        <f t="shared" si="40"/>
        <v>888</v>
      </c>
      <c r="BD20" s="165">
        <f t="shared" si="40"/>
        <v>999</v>
      </c>
      <c r="BE20" s="10">
        <f t="shared" si="10"/>
        <v>204900</v>
      </c>
      <c r="BF20" s="10">
        <f t="shared" si="11"/>
        <v>2372000</v>
      </c>
      <c r="BG20" s="10">
        <f t="shared" si="12"/>
        <v>11421000</v>
      </c>
      <c r="BH20" s="10">
        <f t="shared" si="13"/>
        <v>10981000</v>
      </c>
      <c r="BI20" s="146">
        <f t="shared" si="14"/>
        <v>23720000</v>
      </c>
      <c r="BJ20" s="146">
        <f t="shared" si="41"/>
        <v>4870000</v>
      </c>
      <c r="BK20" s="146">
        <f t="shared" si="42"/>
        <v>6500000</v>
      </c>
      <c r="BL20" s="146">
        <f t="shared" si="43"/>
        <v>8120000</v>
      </c>
      <c r="BM20" s="146">
        <f t="shared" si="44"/>
        <v>9750000</v>
      </c>
      <c r="BN20" s="146">
        <f t="shared" si="45"/>
        <v>11370000</v>
      </c>
      <c r="BO20" s="146">
        <f t="shared" si="46"/>
        <v>13000000</v>
      </c>
      <c r="BP20" s="146">
        <f t="shared" si="47"/>
        <v>14620000</v>
      </c>
      <c r="BQ20" s="149">
        <v>17</v>
      </c>
      <c r="BR20" s="151">
        <f t="shared" si="15"/>
        <v>7.3212488223112979</v>
      </c>
      <c r="BS20" s="151">
        <f t="shared" si="16"/>
        <v>0.52663231833384894</v>
      </c>
      <c r="BT20" s="150">
        <f>参数调整!H20</f>
        <v>0.83749999999999902</v>
      </c>
      <c r="BU20" s="149">
        <f>BQ20/BQ30*BT20*BU30</f>
        <v>167.15879629629612</v>
      </c>
      <c r="BV20" s="149">
        <f>BQ20/BQ30*BT20*BV30</f>
        <v>20.996621296296272</v>
      </c>
      <c r="BW20" s="149">
        <f>BQ20/BQ30*BT20*BW30</f>
        <v>58.004629629629569</v>
      </c>
      <c r="BX20" s="149">
        <f>BQ20/BQ30*BT20*BX30</f>
        <v>63.277777777777708</v>
      </c>
      <c r="BY20" s="149">
        <v>0</v>
      </c>
      <c r="BZ20" s="149">
        <f>基本装备!AH19</f>
        <v>4</v>
      </c>
      <c r="CA20" s="149">
        <f>BQ20/BQ30*BT20*CA30</f>
        <v>35.761436111111074</v>
      </c>
      <c r="CB20" s="149">
        <f>BQ20/BQ30*BT20*CB30</f>
        <v>13.614213888888873</v>
      </c>
      <c r="CC20" s="149">
        <f>BQ20/BQ30*BT20*CC30</f>
        <v>13.614213888888873</v>
      </c>
      <c r="CD20" s="149">
        <f>BQ20/BQ30*BT20*CD30</f>
        <v>201.33828796296274</v>
      </c>
      <c r="CE20" s="149">
        <f>BQ20/BQ30*BT20*CE30</f>
        <v>196.06513981481459</v>
      </c>
      <c r="CF20" s="149">
        <f>BQ20/BQ30*BT20*CF30</f>
        <v>62.223148148148077</v>
      </c>
      <c r="CG20" s="149">
        <f>BQ20/BQ30*BT20*CG30</f>
        <v>62.223148148148077</v>
      </c>
      <c r="CH20" s="149">
        <f>BQ20/BQ30*BT20*CH30</f>
        <v>51.05356574074068</v>
      </c>
      <c r="CI20" s="149">
        <f>BQ20/BQ30*BT20*CI30</f>
        <v>11.504954629629616</v>
      </c>
      <c r="CJ20" s="149">
        <f>BQ20/BQ30*BT20*CJ30</f>
        <v>0</v>
      </c>
      <c r="CK20" s="149">
        <f>BQ20/BQ30*BT20*CK30</f>
        <v>11.504954629629617</v>
      </c>
      <c r="CL20" s="149">
        <f>BQ20/BQ30*BT20*CL30</f>
        <v>0.95865833333333228</v>
      </c>
      <c r="CM20" s="149">
        <f>BQ20/BQ30*BT20*CM30</f>
        <v>1054.6296296296284</v>
      </c>
      <c r="CN20" s="149">
        <f>BQ20/BQ30*BT20*CN30</f>
        <v>1054.6296296296284</v>
      </c>
      <c r="CO20" s="149">
        <f>BQ20/BQ30*BT20*CO30</f>
        <v>10.450324999999989</v>
      </c>
      <c r="CP20" s="149">
        <f>BQ20/BQ30*BT20*CP30</f>
        <v>11.504954629629617</v>
      </c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</row>
    <row r="21" spans="1:115" ht="16.5" x14ac:dyDescent="0.2">
      <c r="A21" s="4">
        <f>参数调整!B21</f>
        <v>100</v>
      </c>
      <c r="B21" s="165">
        <f>参数调整!C21</f>
        <v>200</v>
      </c>
      <c r="C21" s="165">
        <f>参数调整!D21</f>
        <v>11</v>
      </c>
      <c r="D21" s="165">
        <f t="shared" si="0"/>
        <v>44000</v>
      </c>
      <c r="E21" s="165">
        <f t="shared" si="1"/>
        <v>88000</v>
      </c>
      <c r="F21" s="165">
        <f>参数调整!E21</f>
        <v>4400</v>
      </c>
      <c r="G21" s="10">
        <f t="shared" si="2"/>
        <v>2200</v>
      </c>
      <c r="H21" s="10">
        <f t="shared" si="17"/>
        <v>2640</v>
      </c>
      <c r="I21" s="10">
        <f t="shared" si="3"/>
        <v>5306</v>
      </c>
      <c r="J21" s="10">
        <f t="shared" si="18"/>
        <v>1320</v>
      </c>
      <c r="K21" s="10">
        <f t="shared" si="19"/>
        <v>2860</v>
      </c>
      <c r="L21" s="10">
        <f t="shared" si="4"/>
        <v>5748</v>
      </c>
      <c r="M21" s="10">
        <f t="shared" si="20"/>
        <v>1430</v>
      </c>
      <c r="N21" s="10">
        <f t="shared" si="21"/>
        <v>3080</v>
      </c>
      <c r="O21" s="10">
        <f t="shared" si="5"/>
        <v>6190</v>
      </c>
      <c r="P21" s="10">
        <f t="shared" si="22"/>
        <v>1540</v>
      </c>
      <c r="Q21" s="10">
        <f t="shared" si="23"/>
        <v>3300</v>
      </c>
      <c r="R21" s="10">
        <f t="shared" si="6"/>
        <v>6632</v>
      </c>
      <c r="S21" s="10">
        <f t="shared" si="24"/>
        <v>1650</v>
      </c>
      <c r="T21" s="10">
        <f t="shared" si="25"/>
        <v>4840</v>
      </c>
      <c r="U21" s="10">
        <f t="shared" si="7"/>
        <v>9727</v>
      </c>
      <c r="V21" s="10">
        <f t="shared" si="26"/>
        <v>2420</v>
      </c>
      <c r="W21" s="10">
        <f t="shared" si="48"/>
        <v>4400</v>
      </c>
      <c r="X21" s="10">
        <f t="shared" si="27"/>
        <v>8843</v>
      </c>
      <c r="Y21" s="10">
        <f>INT(参数调整!$K$3*W21)</f>
        <v>2200</v>
      </c>
      <c r="Z21" s="10">
        <f t="shared" si="28"/>
        <v>4400</v>
      </c>
      <c r="AA21" s="10">
        <f t="shared" si="29"/>
        <v>8843</v>
      </c>
      <c r="AB21" s="10">
        <f>INT(参数调整!$K$3*Z21)</f>
        <v>2200</v>
      </c>
      <c r="AC21" s="10">
        <f t="shared" si="30"/>
        <v>4400</v>
      </c>
      <c r="AD21" s="10">
        <f t="shared" si="31"/>
        <v>8843</v>
      </c>
      <c r="AE21" s="10">
        <f>INT(参数调整!$K$3*AC21)</f>
        <v>2200</v>
      </c>
      <c r="AF21" s="10">
        <f t="shared" si="32"/>
        <v>4400</v>
      </c>
      <c r="AG21" s="10">
        <f t="shared" si="33"/>
        <v>8843</v>
      </c>
      <c r="AH21" s="10">
        <f>INT(参数调整!$K$3*AF21)</f>
        <v>2200</v>
      </c>
      <c r="AI21" s="10">
        <f t="shared" si="34"/>
        <v>4400</v>
      </c>
      <c r="AJ21" s="10">
        <f t="shared" si="35"/>
        <v>8843</v>
      </c>
      <c r="AK21" s="10">
        <f>INT(参数调整!$K$3*AI21)</f>
        <v>2200</v>
      </c>
      <c r="AL21" s="10">
        <f t="shared" si="36"/>
        <v>4400</v>
      </c>
      <c r="AM21" s="10">
        <f t="shared" si="37"/>
        <v>8843</v>
      </c>
      <c r="AN21" s="10">
        <f>INT(参数调整!$K$3*AL21)</f>
        <v>2200</v>
      </c>
      <c r="AO21" s="10">
        <f t="shared" si="38"/>
        <v>4400</v>
      </c>
      <c r="AP21" s="10">
        <f t="shared" si="39"/>
        <v>8843</v>
      </c>
      <c r="AQ21" s="10">
        <f>INT(参数调整!$K$3*AO21)</f>
        <v>2200</v>
      </c>
      <c r="AR21" s="165">
        <f t="shared" si="40"/>
        <v>1</v>
      </c>
      <c r="AS21" s="165">
        <f t="shared" si="40"/>
        <v>10</v>
      </c>
      <c r="AT21" s="165">
        <f t="shared" si="40"/>
        <v>120</v>
      </c>
      <c r="AU21" s="165">
        <f t="shared" si="40"/>
        <v>600</v>
      </c>
      <c r="AV21" s="165">
        <f t="shared" si="40"/>
        <v>1200</v>
      </c>
      <c r="AW21" s="165">
        <f t="shared" si="40"/>
        <v>1800</v>
      </c>
      <c r="AX21" s="165">
        <f t="shared" si="40"/>
        <v>333</v>
      </c>
      <c r="AY21" s="165">
        <f t="shared" si="40"/>
        <v>444</v>
      </c>
      <c r="AZ21" s="165">
        <f t="shared" si="40"/>
        <v>555</v>
      </c>
      <c r="BA21" s="165">
        <f t="shared" si="40"/>
        <v>666</v>
      </c>
      <c r="BB21" s="165">
        <f t="shared" si="40"/>
        <v>777</v>
      </c>
      <c r="BC21" s="165">
        <f t="shared" si="40"/>
        <v>888</v>
      </c>
      <c r="BD21" s="165">
        <f t="shared" si="40"/>
        <v>999</v>
      </c>
      <c r="BE21" s="10">
        <f t="shared" si="10"/>
        <v>246900</v>
      </c>
      <c r="BF21" s="10">
        <f t="shared" si="11"/>
        <v>2857600</v>
      </c>
      <c r="BG21" s="10">
        <f t="shared" si="12"/>
        <v>13758000</v>
      </c>
      <c r="BH21" s="10">
        <f t="shared" si="13"/>
        <v>13229000</v>
      </c>
      <c r="BI21" s="146">
        <f t="shared" si="14"/>
        <v>28570000</v>
      </c>
      <c r="BJ21" s="146">
        <f t="shared" si="41"/>
        <v>5870000</v>
      </c>
      <c r="BK21" s="146">
        <f t="shared" si="42"/>
        <v>7830000</v>
      </c>
      <c r="BL21" s="146">
        <f t="shared" si="43"/>
        <v>9780000</v>
      </c>
      <c r="BM21" s="146">
        <f t="shared" si="44"/>
        <v>11740000</v>
      </c>
      <c r="BN21" s="146">
        <f t="shared" si="45"/>
        <v>13700000</v>
      </c>
      <c r="BO21" s="146">
        <f t="shared" si="46"/>
        <v>15660000</v>
      </c>
      <c r="BP21" s="146">
        <f t="shared" si="47"/>
        <v>17620000</v>
      </c>
      <c r="BQ21" s="149">
        <v>18</v>
      </c>
      <c r="BR21" s="151">
        <f t="shared" si="15"/>
        <v>8.0179758682569577</v>
      </c>
      <c r="BS21" s="151">
        <f t="shared" si="16"/>
        <v>0.4975418098421423</v>
      </c>
      <c r="BT21" s="150">
        <f>参数调整!H21</f>
        <v>0.85099999999999898</v>
      </c>
      <c r="BU21" s="149">
        <f>BQ21/BQ30*BT21*BU30</f>
        <v>179.84466666666643</v>
      </c>
      <c r="BV21" s="149">
        <f>BQ21/BQ30*BT21*BV30</f>
        <v>22.590078666666635</v>
      </c>
      <c r="BW21" s="149">
        <f>BQ21/BQ30*BT21*BW30</f>
        <v>62.406666666666581</v>
      </c>
      <c r="BX21" s="149">
        <f>BQ21/BQ30*BT21*BX30</f>
        <v>68.079999999999913</v>
      </c>
      <c r="BY21" s="149">
        <v>0</v>
      </c>
      <c r="BZ21" s="149">
        <f>基本装备!AH20</f>
        <v>4</v>
      </c>
      <c r="CA21" s="149">
        <f>BQ21/BQ30*BT21*CA30</f>
        <v>38.475411999999949</v>
      </c>
      <c r="CB21" s="149">
        <f>BQ21/BQ30*BT21*CB30</f>
        <v>14.64741199999998</v>
      </c>
      <c r="CC21" s="149">
        <f>BQ21/BQ30*BT21*CC30</f>
        <v>14.64741199999998</v>
      </c>
      <c r="CD21" s="149">
        <f>BQ21/BQ30*BT21*CD30</f>
        <v>216.61807866666638</v>
      </c>
      <c r="CE21" s="149">
        <f>BQ21/BQ30*BT21*CE30</f>
        <v>210.94474533333303</v>
      </c>
      <c r="CF21" s="149">
        <f>BQ21/BQ30*BT21*CF30</f>
        <v>66.945333333333238</v>
      </c>
      <c r="CG21" s="149">
        <f>BQ21/BQ30*BT21*CG30</f>
        <v>66.945333333333238</v>
      </c>
      <c r="CH21" s="149">
        <f>BQ21/BQ30*BT21*CH30</f>
        <v>54.928078666666593</v>
      </c>
      <c r="CI21" s="149">
        <f>BQ21/BQ30*BT21*CI30</f>
        <v>12.378078666666649</v>
      </c>
      <c r="CJ21" s="149">
        <f>BQ21/BQ30*BT21*CJ30</f>
        <v>0</v>
      </c>
      <c r="CK21" s="149">
        <f>BQ21/BQ30*BT21*CK30</f>
        <v>12.378078666666651</v>
      </c>
      <c r="CL21" s="149">
        <f>BQ21/BQ30*BT21*CL30</f>
        <v>1.0314119999999987</v>
      </c>
      <c r="CM21" s="149">
        <f>BQ21/BQ30*BT21*CM30</f>
        <v>1134.6666666666652</v>
      </c>
      <c r="CN21" s="149">
        <f>BQ21/BQ30*BT21*CN30</f>
        <v>1134.6666666666652</v>
      </c>
      <c r="CO21" s="149">
        <f>BQ21/BQ30*BT21*CO30</f>
        <v>11.243411999999985</v>
      </c>
      <c r="CP21" s="149">
        <f>BQ21/BQ30*BT21*CP30</f>
        <v>12.378078666666651</v>
      </c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</row>
    <row r="22" spans="1:115" ht="16.5" x14ac:dyDescent="0.2">
      <c r="A22" s="4">
        <f>参数调整!B22</f>
        <v>100</v>
      </c>
      <c r="B22" s="165">
        <f>参数调整!C22</f>
        <v>210</v>
      </c>
      <c r="C22" s="165">
        <f>参数调整!D22</f>
        <v>12</v>
      </c>
      <c r="D22" s="165">
        <f t="shared" ref="D22:D30" si="49">10*F22</f>
        <v>48000</v>
      </c>
      <c r="E22" s="165">
        <f t="shared" ref="E22:E30" si="50">20*F22</f>
        <v>96000</v>
      </c>
      <c r="F22" s="165">
        <f>参数调整!E22</f>
        <v>4800</v>
      </c>
      <c r="G22" s="10">
        <f t="shared" ref="G22:G30" si="51">1/2*F22</f>
        <v>2400</v>
      </c>
      <c r="H22" s="10">
        <f t="shared" si="17"/>
        <v>2880</v>
      </c>
      <c r="I22" s="10">
        <f t="shared" si="3"/>
        <v>6145</v>
      </c>
      <c r="J22" s="10">
        <f t="shared" si="18"/>
        <v>1440</v>
      </c>
      <c r="K22" s="10">
        <f t="shared" si="19"/>
        <v>3120</v>
      </c>
      <c r="L22" s="10">
        <f t="shared" si="4"/>
        <v>6657</v>
      </c>
      <c r="M22" s="10">
        <f t="shared" si="20"/>
        <v>1560</v>
      </c>
      <c r="N22" s="10">
        <f t="shared" si="21"/>
        <v>3360</v>
      </c>
      <c r="O22" s="10">
        <f t="shared" si="5"/>
        <v>7169</v>
      </c>
      <c r="P22" s="10">
        <f t="shared" si="22"/>
        <v>1680</v>
      </c>
      <c r="Q22" s="10">
        <f t="shared" si="23"/>
        <v>3600</v>
      </c>
      <c r="R22" s="10">
        <f t="shared" si="6"/>
        <v>7681</v>
      </c>
      <c r="S22" s="10">
        <f t="shared" si="24"/>
        <v>1800</v>
      </c>
      <c r="T22" s="10">
        <f t="shared" si="25"/>
        <v>5280</v>
      </c>
      <c r="U22" s="10">
        <f t="shared" si="7"/>
        <v>11266</v>
      </c>
      <c r="V22" s="10">
        <f t="shared" si="26"/>
        <v>2640</v>
      </c>
      <c r="W22" s="10">
        <f t="shared" si="48"/>
        <v>4800</v>
      </c>
      <c r="X22" s="10">
        <f t="shared" si="27"/>
        <v>10242</v>
      </c>
      <c r="Y22" s="10">
        <f>INT(参数调整!$K$3*W22)</f>
        <v>2400</v>
      </c>
      <c r="Z22" s="10">
        <f t="shared" si="28"/>
        <v>4800</v>
      </c>
      <c r="AA22" s="10">
        <f t="shared" si="29"/>
        <v>10242</v>
      </c>
      <c r="AB22" s="10">
        <f>INT(参数调整!$K$3*Z22)</f>
        <v>2400</v>
      </c>
      <c r="AC22" s="10">
        <f t="shared" si="30"/>
        <v>4800</v>
      </c>
      <c r="AD22" s="10">
        <f t="shared" si="31"/>
        <v>10242</v>
      </c>
      <c r="AE22" s="10">
        <f>INT(参数调整!$K$3*AC22)</f>
        <v>2400</v>
      </c>
      <c r="AF22" s="10">
        <f t="shared" si="32"/>
        <v>4800</v>
      </c>
      <c r="AG22" s="10">
        <f t="shared" si="33"/>
        <v>10242</v>
      </c>
      <c r="AH22" s="10">
        <f>INT(参数调整!$K$3*AF22)</f>
        <v>2400</v>
      </c>
      <c r="AI22" s="10">
        <f t="shared" si="34"/>
        <v>4800</v>
      </c>
      <c r="AJ22" s="10">
        <f t="shared" si="35"/>
        <v>10242</v>
      </c>
      <c r="AK22" s="10">
        <f>INT(参数调整!$K$3*AI22)</f>
        <v>2400</v>
      </c>
      <c r="AL22" s="10">
        <f t="shared" si="36"/>
        <v>4800</v>
      </c>
      <c r="AM22" s="10">
        <f t="shared" si="37"/>
        <v>10242</v>
      </c>
      <c r="AN22" s="10">
        <f>INT(参数调整!$K$3*AL22)</f>
        <v>2400</v>
      </c>
      <c r="AO22" s="10">
        <f t="shared" si="38"/>
        <v>4800</v>
      </c>
      <c r="AP22" s="10">
        <f t="shared" si="39"/>
        <v>10242</v>
      </c>
      <c r="AQ22" s="10">
        <f>INT(参数调整!$K$3*AO22)</f>
        <v>2400</v>
      </c>
      <c r="AR22" s="165">
        <f t="shared" si="40"/>
        <v>1</v>
      </c>
      <c r="AS22" s="165">
        <f t="shared" si="40"/>
        <v>10</v>
      </c>
      <c r="AT22" s="165">
        <f t="shared" si="40"/>
        <v>120</v>
      </c>
      <c r="AU22" s="165">
        <f t="shared" si="40"/>
        <v>600</v>
      </c>
      <c r="AV22" s="165">
        <f t="shared" si="40"/>
        <v>1200</v>
      </c>
      <c r="AW22" s="165">
        <f t="shared" si="40"/>
        <v>1800</v>
      </c>
      <c r="AX22" s="165">
        <f t="shared" si="40"/>
        <v>333</v>
      </c>
      <c r="AY22" s="165">
        <f t="shared" si="40"/>
        <v>444</v>
      </c>
      <c r="AZ22" s="165">
        <f t="shared" si="40"/>
        <v>555</v>
      </c>
      <c r="BA22" s="165">
        <f t="shared" si="40"/>
        <v>666</v>
      </c>
      <c r="BB22" s="165">
        <f t="shared" si="40"/>
        <v>777</v>
      </c>
      <c r="BC22" s="165">
        <f t="shared" si="40"/>
        <v>888</v>
      </c>
      <c r="BD22" s="165">
        <f t="shared" si="40"/>
        <v>999</v>
      </c>
      <c r="BE22" s="10">
        <f t="shared" si="10"/>
        <v>315900</v>
      </c>
      <c r="BF22" s="10">
        <f t="shared" si="11"/>
        <v>3655500</v>
      </c>
      <c r="BG22" s="10">
        <f t="shared" si="12"/>
        <v>17600000</v>
      </c>
      <c r="BH22" s="10">
        <f t="shared" si="13"/>
        <v>16924000</v>
      </c>
      <c r="BI22" s="146">
        <f t="shared" si="14"/>
        <v>36550000</v>
      </c>
      <c r="BJ22" s="146">
        <f t="shared" si="41"/>
        <v>7510000</v>
      </c>
      <c r="BK22" s="146">
        <f t="shared" si="42"/>
        <v>10010000</v>
      </c>
      <c r="BL22" s="146">
        <f t="shared" si="43"/>
        <v>12520000</v>
      </c>
      <c r="BM22" s="146">
        <f t="shared" si="44"/>
        <v>15020000</v>
      </c>
      <c r="BN22" s="146">
        <f t="shared" si="45"/>
        <v>17530000</v>
      </c>
      <c r="BO22" s="146">
        <f t="shared" si="46"/>
        <v>20030000</v>
      </c>
      <c r="BP22" s="146">
        <f t="shared" si="47"/>
        <v>22540000</v>
      </c>
      <c r="BQ22" s="149">
        <v>19</v>
      </c>
      <c r="BR22" s="151">
        <f t="shared" si="15"/>
        <v>9.4022275615188615</v>
      </c>
      <c r="BS22" s="151">
        <f t="shared" si="16"/>
        <v>0.4686577056132889</v>
      </c>
      <c r="BT22" s="150">
        <f>参数调整!H22</f>
        <v>0.86449999999999905</v>
      </c>
      <c r="BU22" s="149">
        <f>BQ22/BQ30*BT22*BU30</f>
        <v>192.8475370370368</v>
      </c>
      <c r="BV22" s="149">
        <f>BQ22/BQ30*BT22*BV30</f>
        <v>24.223354037037009</v>
      </c>
      <c r="BW22" s="149">
        <f>BQ22/BQ30*BT22*BW30</f>
        <v>66.918703703703628</v>
      </c>
      <c r="BX22" s="149">
        <f>BQ22/BQ30*BT22*BX30</f>
        <v>73.002222222222144</v>
      </c>
      <c r="BY22" s="149">
        <v>0</v>
      </c>
      <c r="BZ22" s="149">
        <f>基本装备!AH21</f>
        <v>5</v>
      </c>
      <c r="CA22" s="149">
        <f>BQ22/BQ30*BT22*CA30</f>
        <v>41.257205888888841</v>
      </c>
      <c r="CB22" s="149">
        <f>BQ22/BQ30*BT22*CB30</f>
        <v>15.706428111111091</v>
      </c>
      <c r="CC22" s="149">
        <f>BQ22/BQ30*BT22*CC30</f>
        <v>15.706428111111091</v>
      </c>
      <c r="CD22" s="149">
        <f>BQ22/BQ30*BT22*CD30</f>
        <v>232.27968737037008</v>
      </c>
      <c r="CE22" s="149">
        <f>BQ22/BQ30*BT22*CE30</f>
        <v>226.19616885185158</v>
      </c>
      <c r="CF22" s="149">
        <f>BQ22/BQ30*BT22*CF30</f>
        <v>71.78551851851843</v>
      </c>
      <c r="CG22" s="149">
        <f>BQ22/BQ30*BT22*CG30</f>
        <v>71.78551851851843</v>
      </c>
      <c r="CH22" s="149">
        <f>BQ22/BQ30*BT22*CH30</f>
        <v>58.899409592592519</v>
      </c>
      <c r="CI22" s="149">
        <f>BQ22/BQ30*BT22*CI30</f>
        <v>13.273020703703686</v>
      </c>
      <c r="CJ22" s="149">
        <f>BQ22/BQ30*BT22*CJ30</f>
        <v>0</v>
      </c>
      <c r="CK22" s="149">
        <f>BQ22/BQ30*BT22*CK30</f>
        <v>13.27302070370369</v>
      </c>
      <c r="CL22" s="149">
        <f>BQ22/BQ30*BT22*CL30</f>
        <v>1.1059836666666654</v>
      </c>
      <c r="CM22" s="149">
        <f>BQ22/BQ30*BT22*CM30</f>
        <v>1216.7037037037023</v>
      </c>
      <c r="CN22" s="149">
        <f>BQ22/BQ30*BT22*CN30</f>
        <v>1216.7037037037023</v>
      </c>
      <c r="CO22" s="149">
        <f>BQ22/BQ30*BT22*CO30</f>
        <v>12.056316999999988</v>
      </c>
      <c r="CP22" s="149">
        <f>BQ22/BQ30*BT22*CP30</f>
        <v>13.27302070370369</v>
      </c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</row>
    <row r="23" spans="1:115" ht="16.5" x14ac:dyDescent="0.2">
      <c r="A23" s="4">
        <f>参数调整!B23</f>
        <v>100</v>
      </c>
      <c r="B23" s="165">
        <f>参数调整!C23</f>
        <v>210</v>
      </c>
      <c r="C23" s="165">
        <f>参数调整!D23</f>
        <v>13</v>
      </c>
      <c r="D23" s="165">
        <f t="shared" si="49"/>
        <v>53000</v>
      </c>
      <c r="E23" s="165">
        <f t="shared" si="50"/>
        <v>106000</v>
      </c>
      <c r="F23" s="165">
        <f>参数调整!E23</f>
        <v>5300</v>
      </c>
      <c r="G23" s="10">
        <f t="shared" si="51"/>
        <v>2650</v>
      </c>
      <c r="H23" s="10">
        <f t="shared" si="17"/>
        <v>3180</v>
      </c>
      <c r="I23" s="10">
        <f t="shared" si="3"/>
        <v>7226</v>
      </c>
      <c r="J23" s="10">
        <f t="shared" si="18"/>
        <v>1590</v>
      </c>
      <c r="K23" s="10">
        <f t="shared" si="19"/>
        <v>3445</v>
      </c>
      <c r="L23" s="10">
        <f t="shared" si="4"/>
        <v>7828</v>
      </c>
      <c r="M23" s="10">
        <f t="shared" si="20"/>
        <v>1723</v>
      </c>
      <c r="N23" s="10">
        <f t="shared" si="21"/>
        <v>3710</v>
      </c>
      <c r="O23" s="10">
        <f t="shared" si="5"/>
        <v>8431</v>
      </c>
      <c r="P23" s="10">
        <f t="shared" si="22"/>
        <v>1855</v>
      </c>
      <c r="Q23" s="10">
        <f t="shared" si="23"/>
        <v>3975</v>
      </c>
      <c r="R23" s="10">
        <f t="shared" si="6"/>
        <v>9033</v>
      </c>
      <c r="S23" s="10">
        <f t="shared" si="24"/>
        <v>1988</v>
      </c>
      <c r="T23" s="10">
        <f t="shared" si="25"/>
        <v>5830</v>
      </c>
      <c r="U23" s="10">
        <f t="shared" si="7"/>
        <v>13248</v>
      </c>
      <c r="V23" s="10">
        <f t="shared" si="26"/>
        <v>2915</v>
      </c>
      <c r="W23" s="10">
        <f t="shared" si="48"/>
        <v>5300</v>
      </c>
      <c r="X23" s="10">
        <f t="shared" si="27"/>
        <v>12044</v>
      </c>
      <c r="Y23" s="10">
        <f>INT(参数调整!$K$3*W23)</f>
        <v>2650</v>
      </c>
      <c r="Z23" s="10">
        <f t="shared" si="28"/>
        <v>5300</v>
      </c>
      <c r="AA23" s="10">
        <f t="shared" si="29"/>
        <v>12044</v>
      </c>
      <c r="AB23" s="10">
        <f>INT(参数调整!$K$3*Z23)</f>
        <v>2650</v>
      </c>
      <c r="AC23" s="10">
        <f t="shared" si="30"/>
        <v>5300</v>
      </c>
      <c r="AD23" s="10">
        <f t="shared" si="31"/>
        <v>12044</v>
      </c>
      <c r="AE23" s="10">
        <f>INT(参数调整!$K$3*AC23)</f>
        <v>2650</v>
      </c>
      <c r="AF23" s="10">
        <f t="shared" si="32"/>
        <v>5300</v>
      </c>
      <c r="AG23" s="10">
        <f t="shared" si="33"/>
        <v>12044</v>
      </c>
      <c r="AH23" s="10">
        <f>INT(参数调整!$K$3*AF23)</f>
        <v>2650</v>
      </c>
      <c r="AI23" s="10">
        <f t="shared" si="34"/>
        <v>5300</v>
      </c>
      <c r="AJ23" s="10">
        <f t="shared" si="35"/>
        <v>12044</v>
      </c>
      <c r="AK23" s="10">
        <f>INT(参数调整!$K$3*AI23)</f>
        <v>2650</v>
      </c>
      <c r="AL23" s="10">
        <f t="shared" si="36"/>
        <v>5300</v>
      </c>
      <c r="AM23" s="10">
        <f t="shared" si="37"/>
        <v>12044</v>
      </c>
      <c r="AN23" s="10">
        <f>INT(参数调整!$K$3*AL23)</f>
        <v>2650</v>
      </c>
      <c r="AO23" s="10">
        <f t="shared" si="38"/>
        <v>5300</v>
      </c>
      <c r="AP23" s="10">
        <f t="shared" si="39"/>
        <v>12044</v>
      </c>
      <c r="AQ23" s="10">
        <f>INT(参数调整!$K$3*AO23)</f>
        <v>2650</v>
      </c>
      <c r="AR23" s="165">
        <f t="shared" si="40"/>
        <v>1</v>
      </c>
      <c r="AS23" s="165">
        <f t="shared" si="40"/>
        <v>10</v>
      </c>
      <c r="AT23" s="165">
        <f t="shared" si="40"/>
        <v>120</v>
      </c>
      <c r="AU23" s="165">
        <f t="shared" si="40"/>
        <v>600</v>
      </c>
      <c r="AV23" s="165">
        <f t="shared" si="40"/>
        <v>1200</v>
      </c>
      <c r="AW23" s="165">
        <f t="shared" si="40"/>
        <v>1800</v>
      </c>
      <c r="AX23" s="165">
        <f t="shared" si="40"/>
        <v>333</v>
      </c>
      <c r="AY23" s="165">
        <f t="shared" si="40"/>
        <v>444</v>
      </c>
      <c r="AZ23" s="165">
        <f t="shared" si="40"/>
        <v>555</v>
      </c>
      <c r="BA23" s="165">
        <f t="shared" si="40"/>
        <v>666</v>
      </c>
      <c r="BB23" s="165">
        <f t="shared" si="40"/>
        <v>777</v>
      </c>
      <c r="BC23" s="165">
        <f t="shared" si="40"/>
        <v>888</v>
      </c>
      <c r="BD23" s="165">
        <f t="shared" si="40"/>
        <v>999</v>
      </c>
      <c r="BE23" s="10">
        <f t="shared" si="10"/>
        <v>381500</v>
      </c>
      <c r="BF23" s="10">
        <f t="shared" si="11"/>
        <v>4414200</v>
      </c>
      <c r="BG23" s="10">
        <f t="shared" si="12"/>
        <v>21256000</v>
      </c>
      <c r="BH23" s="10">
        <f t="shared" si="13"/>
        <v>20436000</v>
      </c>
      <c r="BI23" s="146">
        <f t="shared" si="14"/>
        <v>44140000</v>
      </c>
      <c r="BJ23" s="146">
        <f t="shared" si="41"/>
        <v>9070000</v>
      </c>
      <c r="BK23" s="146">
        <f t="shared" si="42"/>
        <v>12100000</v>
      </c>
      <c r="BL23" s="146">
        <f t="shared" si="43"/>
        <v>15120000</v>
      </c>
      <c r="BM23" s="146">
        <f t="shared" si="44"/>
        <v>18150000</v>
      </c>
      <c r="BN23" s="146">
        <f t="shared" si="45"/>
        <v>21170000</v>
      </c>
      <c r="BO23" s="146">
        <f t="shared" si="46"/>
        <v>24200000</v>
      </c>
      <c r="BP23" s="146">
        <f t="shared" si="47"/>
        <v>27220000</v>
      </c>
      <c r="BQ23" s="149">
        <v>20</v>
      </c>
      <c r="BR23" s="151">
        <f t="shared" si="15"/>
        <v>10.283952906894767</v>
      </c>
      <c r="BS23" s="151">
        <f t="shared" si="16"/>
        <v>0.44003484031504569</v>
      </c>
      <c r="BT23" s="150">
        <f>参数调整!H23</f>
        <v>0.877999999999999</v>
      </c>
      <c r="BU23" s="149">
        <f>BQ23/BQ30*BT23*BU30</f>
        <v>206.16740740740715</v>
      </c>
      <c r="BV23" s="149">
        <f>BQ23/BQ30*BT23*BV30</f>
        <v>25.896447407407376</v>
      </c>
      <c r="BW23" s="149">
        <f>BQ23/BQ30*BT23*BW30</f>
        <v>71.540740740740659</v>
      </c>
      <c r="BX23" s="149">
        <f>BQ23/BQ30*BT23*BX30</f>
        <v>78.044444444444352</v>
      </c>
      <c r="BY23" s="149">
        <v>0</v>
      </c>
      <c r="BZ23" s="149">
        <f>基本装备!AH22</f>
        <v>5</v>
      </c>
      <c r="CA23" s="149">
        <f>BQ23/BQ30*BT23*CA30</f>
        <v>44.106817777777721</v>
      </c>
      <c r="CB23" s="149">
        <f>BQ23/BQ30*BT23*CB30</f>
        <v>16.791262222222201</v>
      </c>
      <c r="CC23" s="149">
        <f>BQ23/BQ30*BT23*CC30</f>
        <v>16.791262222222201</v>
      </c>
      <c r="CD23" s="149">
        <f>BQ23/BQ30*BT23*CD30</f>
        <v>248.32311407407377</v>
      </c>
      <c r="CE23" s="149">
        <f>BQ23/BQ30*BT23*CE30</f>
        <v>241.81941037037006</v>
      </c>
      <c r="CF23" s="149">
        <f>BQ23/BQ30*BT23*CF30</f>
        <v>76.743703703703616</v>
      </c>
      <c r="CG23" s="149">
        <f>BQ23/BQ30*BT23*CG30</f>
        <v>76.743703703703616</v>
      </c>
      <c r="CH23" s="149">
        <f>BQ23/BQ30*BT23*CH30</f>
        <v>62.967558518518445</v>
      </c>
      <c r="CI23" s="149">
        <f>BQ23/BQ30*BT23*CI30</f>
        <v>14.189780740740723</v>
      </c>
      <c r="CJ23" s="149">
        <f>BQ23/BQ30*BT23*CJ30</f>
        <v>0</v>
      </c>
      <c r="CK23" s="149">
        <f>BQ23/BQ30*BT23*CK30</f>
        <v>14.189780740740725</v>
      </c>
      <c r="CL23" s="149">
        <f>BQ23/BQ30*BT23*CL30</f>
        <v>1.1823733333333319</v>
      </c>
      <c r="CM23" s="149">
        <f>BQ23/BQ30*BT23*CM30</f>
        <v>1300.7407407407393</v>
      </c>
      <c r="CN23" s="149">
        <f>BQ23/BQ30*BT23*CN30</f>
        <v>1300.7407407407393</v>
      </c>
      <c r="CO23" s="149">
        <f>BQ23/BQ30*BT23*CO30</f>
        <v>12.889039999999985</v>
      </c>
      <c r="CP23" s="149">
        <f>BQ23/BQ30*BT23*CP30</f>
        <v>14.189780740740725</v>
      </c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</row>
    <row r="24" spans="1:115" ht="16.5" x14ac:dyDescent="0.2">
      <c r="A24" s="4">
        <f>参数调整!B24</f>
        <v>100</v>
      </c>
      <c r="B24" s="165">
        <f>参数调整!C24</f>
        <v>220</v>
      </c>
      <c r="C24" s="165">
        <f>参数调整!D24</f>
        <v>14</v>
      </c>
      <c r="D24" s="165">
        <f t="shared" si="49"/>
        <v>58000</v>
      </c>
      <c r="E24" s="165">
        <f t="shared" si="50"/>
        <v>116000</v>
      </c>
      <c r="F24" s="165">
        <f>参数调整!E24</f>
        <v>5800</v>
      </c>
      <c r="G24" s="10">
        <f t="shared" si="51"/>
        <v>2900</v>
      </c>
      <c r="H24" s="10">
        <f t="shared" si="17"/>
        <v>3480</v>
      </c>
      <c r="I24" s="10">
        <f t="shared" si="3"/>
        <v>8452</v>
      </c>
      <c r="J24" s="10">
        <f t="shared" si="18"/>
        <v>1740</v>
      </c>
      <c r="K24" s="10">
        <f t="shared" si="19"/>
        <v>3770</v>
      </c>
      <c r="L24" s="10">
        <f t="shared" si="4"/>
        <v>9156</v>
      </c>
      <c r="M24" s="10">
        <f t="shared" si="20"/>
        <v>1885</v>
      </c>
      <c r="N24" s="10">
        <f t="shared" si="21"/>
        <v>4060</v>
      </c>
      <c r="O24" s="10">
        <f t="shared" si="5"/>
        <v>9860</v>
      </c>
      <c r="P24" s="10">
        <f t="shared" si="22"/>
        <v>2030</v>
      </c>
      <c r="Q24" s="10">
        <f t="shared" si="23"/>
        <v>4350</v>
      </c>
      <c r="R24" s="10">
        <f t="shared" si="6"/>
        <v>10565</v>
      </c>
      <c r="S24" s="10">
        <f t="shared" si="24"/>
        <v>2175</v>
      </c>
      <c r="T24" s="10">
        <f t="shared" si="25"/>
        <v>6380</v>
      </c>
      <c r="U24" s="10">
        <f t="shared" si="7"/>
        <v>15495</v>
      </c>
      <c r="V24" s="10">
        <f t="shared" si="26"/>
        <v>3190</v>
      </c>
      <c r="W24" s="10">
        <f t="shared" si="48"/>
        <v>5800</v>
      </c>
      <c r="X24" s="10">
        <f t="shared" si="27"/>
        <v>14086</v>
      </c>
      <c r="Y24" s="10">
        <f>INT(参数调整!$K$3*W24)</f>
        <v>2900</v>
      </c>
      <c r="Z24" s="10">
        <f t="shared" si="28"/>
        <v>5800</v>
      </c>
      <c r="AA24" s="10">
        <f t="shared" si="29"/>
        <v>14086</v>
      </c>
      <c r="AB24" s="10">
        <f>INT(参数调整!$K$3*Z24)</f>
        <v>2900</v>
      </c>
      <c r="AC24" s="10">
        <f t="shared" si="30"/>
        <v>5800</v>
      </c>
      <c r="AD24" s="10">
        <f t="shared" si="31"/>
        <v>14086</v>
      </c>
      <c r="AE24" s="10">
        <f>INT(参数调整!$K$3*AC24)</f>
        <v>2900</v>
      </c>
      <c r="AF24" s="10">
        <f t="shared" si="32"/>
        <v>5800</v>
      </c>
      <c r="AG24" s="10">
        <f t="shared" si="33"/>
        <v>14086</v>
      </c>
      <c r="AH24" s="10">
        <f>INT(参数调整!$K$3*AF24)</f>
        <v>2900</v>
      </c>
      <c r="AI24" s="10">
        <f t="shared" si="34"/>
        <v>5800</v>
      </c>
      <c r="AJ24" s="10">
        <f t="shared" si="35"/>
        <v>14086</v>
      </c>
      <c r="AK24" s="10">
        <f>INT(参数调整!$K$3*AI24)</f>
        <v>2900</v>
      </c>
      <c r="AL24" s="10">
        <f t="shared" si="36"/>
        <v>5800</v>
      </c>
      <c r="AM24" s="10">
        <f t="shared" si="37"/>
        <v>14086</v>
      </c>
      <c r="AN24" s="10">
        <f>INT(参数调整!$K$3*AL24)</f>
        <v>2900</v>
      </c>
      <c r="AO24" s="10">
        <f t="shared" si="38"/>
        <v>5800</v>
      </c>
      <c r="AP24" s="10">
        <f t="shared" si="39"/>
        <v>14086</v>
      </c>
      <c r="AQ24" s="10">
        <f>INT(参数调整!$K$3*AO24)</f>
        <v>2900</v>
      </c>
      <c r="AR24" s="165">
        <f t="shared" si="40"/>
        <v>1</v>
      </c>
      <c r="AS24" s="165">
        <f t="shared" si="40"/>
        <v>10</v>
      </c>
      <c r="AT24" s="165">
        <f t="shared" si="40"/>
        <v>120</v>
      </c>
      <c r="AU24" s="165">
        <f t="shared" si="40"/>
        <v>600</v>
      </c>
      <c r="AV24" s="165">
        <f t="shared" si="40"/>
        <v>1200</v>
      </c>
      <c r="AW24" s="165">
        <f t="shared" si="40"/>
        <v>1800</v>
      </c>
      <c r="AX24" s="165">
        <f t="shared" si="40"/>
        <v>333</v>
      </c>
      <c r="AY24" s="165">
        <f t="shared" si="40"/>
        <v>444</v>
      </c>
      <c r="AZ24" s="165">
        <f t="shared" si="40"/>
        <v>555</v>
      </c>
      <c r="BA24" s="165">
        <f t="shared" si="40"/>
        <v>666</v>
      </c>
      <c r="BB24" s="165">
        <f t="shared" si="40"/>
        <v>777</v>
      </c>
      <c r="BC24" s="165">
        <f t="shared" si="40"/>
        <v>888</v>
      </c>
      <c r="BD24" s="165">
        <f t="shared" si="40"/>
        <v>999</v>
      </c>
      <c r="BE24" s="10">
        <f t="shared" si="10"/>
        <v>456300</v>
      </c>
      <c r="BF24" s="10">
        <f t="shared" si="11"/>
        <v>5281100</v>
      </c>
      <c r="BG24" s="10">
        <f t="shared" si="12"/>
        <v>25427000</v>
      </c>
      <c r="BH24" s="10">
        <f t="shared" si="13"/>
        <v>24449000</v>
      </c>
      <c r="BI24" s="146">
        <f t="shared" si="14"/>
        <v>52810000</v>
      </c>
      <c r="BJ24" s="146">
        <f t="shared" si="41"/>
        <v>10850000</v>
      </c>
      <c r="BK24" s="146">
        <f t="shared" si="42"/>
        <v>14470000</v>
      </c>
      <c r="BL24" s="146">
        <f t="shared" si="43"/>
        <v>18090000</v>
      </c>
      <c r="BM24" s="146">
        <f t="shared" si="44"/>
        <v>21710000</v>
      </c>
      <c r="BN24" s="146">
        <f t="shared" si="45"/>
        <v>25330000</v>
      </c>
      <c r="BO24" s="146">
        <f t="shared" si="46"/>
        <v>28940000</v>
      </c>
      <c r="BP24" s="146">
        <f t="shared" si="47"/>
        <v>32560000</v>
      </c>
      <c r="BQ24" s="149">
        <v>21</v>
      </c>
      <c r="BR24" s="151">
        <f t="shared" si="15"/>
        <v>11.241363756331472</v>
      </c>
      <c r="BS24" s="151">
        <f t="shared" si="16"/>
        <v>0.41172764606663931</v>
      </c>
      <c r="BT24" s="150">
        <f>参数调整!H24</f>
        <v>0.89149999999999896</v>
      </c>
      <c r="BU24" s="149">
        <f>BQ24/BQ30*BT24*BU30</f>
        <v>219.80427777777751</v>
      </c>
      <c r="BV24" s="149">
        <f>BQ24/BQ30*BT24*BV30</f>
        <v>27.609358777777743</v>
      </c>
      <c r="BW24" s="149">
        <f>BQ24/BQ30*BT24*BW30</f>
        <v>76.272777777777691</v>
      </c>
      <c r="BX24" s="149">
        <f>BQ24/BQ30*BT24*BX30</f>
        <v>83.206666666666564</v>
      </c>
      <c r="BY24" s="149">
        <v>0</v>
      </c>
      <c r="BZ24" s="149">
        <f>基本装备!AH23</f>
        <v>5</v>
      </c>
      <c r="CA24" s="149">
        <f>BQ24/BQ30*BT24*CA30</f>
        <v>47.024247666666611</v>
      </c>
      <c r="CB24" s="149">
        <f>BQ24/BQ30*BT24*CB30</f>
        <v>17.901914333333309</v>
      </c>
      <c r="CC24" s="149">
        <f>BQ24/BQ30*BT24*CC30</f>
        <v>17.901914333333309</v>
      </c>
      <c r="CD24" s="149">
        <f>BQ24/BQ30*BT24*CD30</f>
        <v>264.74835877777747</v>
      </c>
      <c r="CE24" s="149">
        <f>BQ24/BQ30*BT24*CE30</f>
        <v>257.8144698888886</v>
      </c>
      <c r="CF24" s="149">
        <f>BQ24/BQ30*BT24*CF30</f>
        <v>81.819888888888784</v>
      </c>
      <c r="CG24" s="149">
        <f>BQ24/BQ30*BT24*CG30</f>
        <v>81.819888888888784</v>
      </c>
      <c r="CH24" s="149">
        <f>BQ24/BQ30*BT24*CH30</f>
        <v>67.132525444444369</v>
      </c>
      <c r="CI24" s="149">
        <f>BQ24/BQ30*BT24*CI30</f>
        <v>15.128358777777757</v>
      </c>
      <c r="CJ24" s="149">
        <f>BQ24/BQ30*BT24*CJ30</f>
        <v>0</v>
      </c>
      <c r="CK24" s="149">
        <f>BQ24/BQ30*BT24*CK30</f>
        <v>15.128358777777761</v>
      </c>
      <c r="CL24" s="149">
        <f>BQ24/BQ30*BT24*CL30</f>
        <v>1.2605809999999986</v>
      </c>
      <c r="CM24" s="149">
        <f>BQ24/BQ30*BT24*CM30</f>
        <v>1386.777777777776</v>
      </c>
      <c r="CN24" s="149">
        <f>BQ24/BQ30*BT24*CN30</f>
        <v>1386.777777777776</v>
      </c>
      <c r="CO24" s="149">
        <f>BQ24/BQ30*BT24*CO30</f>
        <v>13.741580999999984</v>
      </c>
      <c r="CP24" s="149">
        <f>BQ24/BQ30*BT24*CP30</f>
        <v>15.128358777777761</v>
      </c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</row>
    <row r="25" spans="1:115" ht="16.5" x14ac:dyDescent="0.2">
      <c r="A25" s="4">
        <f>参数调整!B25</f>
        <v>100</v>
      </c>
      <c r="B25" s="165">
        <f>参数调整!C25</f>
        <v>220</v>
      </c>
      <c r="C25" s="165">
        <f>参数调整!D25</f>
        <v>15</v>
      </c>
      <c r="D25" s="165">
        <f t="shared" si="49"/>
        <v>64000</v>
      </c>
      <c r="E25" s="165">
        <f t="shared" si="50"/>
        <v>128000</v>
      </c>
      <c r="F25" s="165">
        <f>参数调整!E25</f>
        <v>6400</v>
      </c>
      <c r="G25" s="10">
        <f t="shared" si="51"/>
        <v>3200</v>
      </c>
      <c r="H25" s="10">
        <f t="shared" si="17"/>
        <v>3840</v>
      </c>
      <c r="I25" s="10">
        <f t="shared" si="3"/>
        <v>10005</v>
      </c>
      <c r="J25" s="10">
        <f t="shared" si="18"/>
        <v>1920</v>
      </c>
      <c r="K25" s="10">
        <f t="shared" si="19"/>
        <v>4160</v>
      </c>
      <c r="L25" s="10">
        <f t="shared" si="4"/>
        <v>10839</v>
      </c>
      <c r="M25" s="10">
        <f t="shared" si="20"/>
        <v>2080</v>
      </c>
      <c r="N25" s="10">
        <f t="shared" si="21"/>
        <v>4480</v>
      </c>
      <c r="O25" s="10">
        <f t="shared" si="5"/>
        <v>11673</v>
      </c>
      <c r="P25" s="10">
        <f t="shared" si="22"/>
        <v>2240</v>
      </c>
      <c r="Q25" s="10">
        <f t="shared" si="23"/>
        <v>4800</v>
      </c>
      <c r="R25" s="10">
        <f t="shared" si="6"/>
        <v>12506</v>
      </c>
      <c r="S25" s="10">
        <f t="shared" si="24"/>
        <v>2400</v>
      </c>
      <c r="T25" s="10">
        <f t="shared" si="25"/>
        <v>7040</v>
      </c>
      <c r="U25" s="10">
        <f t="shared" si="7"/>
        <v>18343</v>
      </c>
      <c r="V25" s="10">
        <f t="shared" si="26"/>
        <v>3520</v>
      </c>
      <c r="W25" s="10">
        <f t="shared" si="48"/>
        <v>6400</v>
      </c>
      <c r="X25" s="10">
        <f t="shared" si="27"/>
        <v>16675</v>
      </c>
      <c r="Y25" s="10">
        <f>INT(参数调整!$K$3*W25)</f>
        <v>3200</v>
      </c>
      <c r="Z25" s="10">
        <f t="shared" si="28"/>
        <v>6400</v>
      </c>
      <c r="AA25" s="10">
        <f t="shared" si="29"/>
        <v>16675</v>
      </c>
      <c r="AB25" s="10">
        <f>INT(参数调整!$K$3*Z25)</f>
        <v>3200</v>
      </c>
      <c r="AC25" s="10">
        <f t="shared" si="30"/>
        <v>6400</v>
      </c>
      <c r="AD25" s="10">
        <f t="shared" si="31"/>
        <v>16675</v>
      </c>
      <c r="AE25" s="10">
        <f>INT(参数调整!$K$3*AC25)</f>
        <v>3200</v>
      </c>
      <c r="AF25" s="10">
        <f t="shared" si="32"/>
        <v>6400</v>
      </c>
      <c r="AG25" s="10">
        <f t="shared" si="33"/>
        <v>16675</v>
      </c>
      <c r="AH25" s="10">
        <f>INT(参数调整!$K$3*AF25)</f>
        <v>3200</v>
      </c>
      <c r="AI25" s="10">
        <f t="shared" si="34"/>
        <v>6400</v>
      </c>
      <c r="AJ25" s="10">
        <f t="shared" si="35"/>
        <v>16675</v>
      </c>
      <c r="AK25" s="10">
        <f>INT(参数调整!$K$3*AI25)</f>
        <v>3200</v>
      </c>
      <c r="AL25" s="10">
        <f t="shared" si="36"/>
        <v>6400</v>
      </c>
      <c r="AM25" s="10">
        <f t="shared" si="37"/>
        <v>16675</v>
      </c>
      <c r="AN25" s="10">
        <f>INT(参数调整!$K$3*AL25)</f>
        <v>3200</v>
      </c>
      <c r="AO25" s="10">
        <f t="shared" si="38"/>
        <v>6400</v>
      </c>
      <c r="AP25" s="10">
        <f t="shared" si="39"/>
        <v>16675</v>
      </c>
      <c r="AQ25" s="10">
        <f>INT(参数调整!$K$3*AO25)</f>
        <v>3200</v>
      </c>
      <c r="AR25" s="165">
        <f t="shared" si="40"/>
        <v>1</v>
      </c>
      <c r="AS25" s="165">
        <f t="shared" si="40"/>
        <v>10</v>
      </c>
      <c r="AT25" s="165">
        <f t="shared" si="40"/>
        <v>120</v>
      </c>
      <c r="AU25" s="165">
        <f t="shared" si="40"/>
        <v>600</v>
      </c>
      <c r="AV25" s="165">
        <f t="shared" si="40"/>
        <v>1200</v>
      </c>
      <c r="AW25" s="165">
        <f t="shared" si="40"/>
        <v>1800</v>
      </c>
      <c r="AX25" s="165">
        <f t="shared" si="40"/>
        <v>333</v>
      </c>
      <c r="AY25" s="165">
        <f t="shared" si="40"/>
        <v>444</v>
      </c>
      <c r="AZ25" s="165">
        <f t="shared" si="40"/>
        <v>555</v>
      </c>
      <c r="BA25" s="165">
        <f t="shared" si="40"/>
        <v>666</v>
      </c>
      <c r="BB25" s="165">
        <f t="shared" si="40"/>
        <v>777</v>
      </c>
      <c r="BC25" s="165">
        <f t="shared" si="40"/>
        <v>888</v>
      </c>
      <c r="BD25" s="165">
        <f t="shared" si="40"/>
        <v>999</v>
      </c>
      <c r="BE25" s="10">
        <f t="shared" si="10"/>
        <v>550100</v>
      </c>
      <c r="BF25" s="10">
        <f t="shared" si="11"/>
        <v>6366100</v>
      </c>
      <c r="BG25" s="10">
        <f t="shared" si="12"/>
        <v>30651000</v>
      </c>
      <c r="BH25" s="10">
        <f t="shared" si="13"/>
        <v>29472000</v>
      </c>
      <c r="BI25" s="146">
        <f t="shared" si="14"/>
        <v>63660000</v>
      </c>
      <c r="BJ25" s="146">
        <f t="shared" si="41"/>
        <v>13080000</v>
      </c>
      <c r="BK25" s="146">
        <f t="shared" si="42"/>
        <v>17440000</v>
      </c>
      <c r="BL25" s="146">
        <f t="shared" si="43"/>
        <v>21800000</v>
      </c>
      <c r="BM25" s="146">
        <f t="shared" si="44"/>
        <v>26170000</v>
      </c>
      <c r="BN25" s="146">
        <f t="shared" si="45"/>
        <v>30530000</v>
      </c>
      <c r="BO25" s="146">
        <f t="shared" si="46"/>
        <v>34890000</v>
      </c>
      <c r="BP25" s="146">
        <f t="shared" si="47"/>
        <v>39250000</v>
      </c>
      <c r="BQ25" s="149">
        <v>22</v>
      </c>
      <c r="BR25" s="151">
        <f t="shared" si="15"/>
        <v>12.280339563579252</v>
      </c>
      <c r="BS25" s="151">
        <f t="shared" si="16"/>
        <v>0.38379002675684992</v>
      </c>
      <c r="BT25" s="150">
        <f>参数调整!H25</f>
        <v>0.90499999999999903</v>
      </c>
      <c r="BU25" s="149">
        <f>BQ25/BQ30*BT25*BU30</f>
        <v>233.75814814814791</v>
      </c>
      <c r="BV25" s="149">
        <f>BQ25/BQ30*BT25*BV30</f>
        <v>29.362088148148114</v>
      </c>
      <c r="BW25" s="149">
        <f>BQ25/BQ30*BT25*BW30</f>
        <v>81.114814814814736</v>
      </c>
      <c r="BX25" s="149">
        <f>BQ25/BQ30*BT25*BX30</f>
        <v>88.488888888888795</v>
      </c>
      <c r="BY25" s="149">
        <v>0</v>
      </c>
      <c r="BZ25" s="149">
        <f>基本装备!AH24</f>
        <v>5</v>
      </c>
      <c r="CA25" s="149">
        <f>BQ25/BQ30*BT25*CA30</f>
        <v>50.009495555555503</v>
      </c>
      <c r="CB25" s="149">
        <f>BQ25/BQ30*BT25*CB30</f>
        <v>19.038384444444421</v>
      </c>
      <c r="CC25" s="149">
        <f>BQ25/BQ30*BT25*CC30</f>
        <v>19.038384444444421</v>
      </c>
      <c r="CD25" s="149">
        <f>BQ25/BQ30*BT25*CD30</f>
        <v>281.55542148148118</v>
      </c>
      <c r="CE25" s="149">
        <f>BQ25/BQ30*BT25*CE30</f>
        <v>274.18134740740709</v>
      </c>
      <c r="CF25" s="149">
        <f>BQ25/BQ30*BT25*CF30</f>
        <v>87.014074074073989</v>
      </c>
      <c r="CG25" s="149">
        <f>BQ25/BQ30*BT25*CG30</f>
        <v>87.014074074073989</v>
      </c>
      <c r="CH25" s="149">
        <f>BQ25/BQ30*BT25*CH30</f>
        <v>71.394310370370292</v>
      </c>
      <c r="CI25" s="149">
        <f>BQ25/BQ30*BT25*CI30</f>
        <v>16.088754814814795</v>
      </c>
      <c r="CJ25" s="149">
        <f>BQ25/BQ30*BT25*CJ30</f>
        <v>0</v>
      </c>
      <c r="CK25" s="149">
        <f>BQ25/BQ30*BT25*CK30</f>
        <v>16.088754814814799</v>
      </c>
      <c r="CL25" s="149">
        <f>BQ25/BQ30*BT25*CL30</f>
        <v>1.3406066666666654</v>
      </c>
      <c r="CM25" s="149">
        <f>BQ25/BQ30*BT25*CM30</f>
        <v>1474.8148148148132</v>
      </c>
      <c r="CN25" s="149">
        <f>BQ25/BQ30*BT25*CN30</f>
        <v>1474.8148148148132</v>
      </c>
      <c r="CO25" s="149">
        <f>BQ25/BQ30*BT25*CO30</f>
        <v>14.613939999999985</v>
      </c>
      <c r="CP25" s="149">
        <f>BQ25/BQ30*BT25*CP30</f>
        <v>16.088754814814799</v>
      </c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</row>
    <row r="26" spans="1:115" ht="16.5" x14ac:dyDescent="0.2">
      <c r="A26" s="4">
        <f>参数调整!B26</f>
        <v>200</v>
      </c>
      <c r="B26" s="165">
        <f>参数调整!C26</f>
        <v>230</v>
      </c>
      <c r="C26" s="165">
        <f>参数调整!D26</f>
        <v>16</v>
      </c>
      <c r="D26" s="165">
        <f t="shared" si="49"/>
        <v>70000</v>
      </c>
      <c r="E26" s="165">
        <f t="shared" si="50"/>
        <v>140000</v>
      </c>
      <c r="F26" s="165">
        <f>参数调整!E26</f>
        <v>7000</v>
      </c>
      <c r="G26" s="10">
        <f t="shared" si="51"/>
        <v>3500</v>
      </c>
      <c r="H26" s="10">
        <f t="shared" si="17"/>
        <v>4200</v>
      </c>
      <c r="I26" s="10">
        <f t="shared" si="3"/>
        <v>11788</v>
      </c>
      <c r="J26" s="10">
        <f t="shared" si="18"/>
        <v>2100</v>
      </c>
      <c r="K26" s="10">
        <f t="shared" si="19"/>
        <v>4550</v>
      </c>
      <c r="L26" s="10">
        <f t="shared" si="4"/>
        <v>12771</v>
      </c>
      <c r="M26" s="10">
        <f t="shared" si="20"/>
        <v>2275</v>
      </c>
      <c r="N26" s="10">
        <f t="shared" si="21"/>
        <v>4900</v>
      </c>
      <c r="O26" s="10">
        <f t="shared" si="5"/>
        <v>13753</v>
      </c>
      <c r="P26" s="10">
        <f t="shared" si="22"/>
        <v>2450</v>
      </c>
      <c r="Q26" s="10">
        <f t="shared" si="23"/>
        <v>5250</v>
      </c>
      <c r="R26" s="10">
        <f t="shared" si="6"/>
        <v>14735</v>
      </c>
      <c r="S26" s="10">
        <f t="shared" si="24"/>
        <v>2625</v>
      </c>
      <c r="T26" s="10">
        <f t="shared" si="25"/>
        <v>7700</v>
      </c>
      <c r="U26" s="10">
        <f t="shared" si="7"/>
        <v>21612</v>
      </c>
      <c r="V26" s="10">
        <f t="shared" si="26"/>
        <v>3850</v>
      </c>
      <c r="W26" s="10">
        <f t="shared" si="48"/>
        <v>7000</v>
      </c>
      <c r="X26" s="10">
        <f t="shared" si="27"/>
        <v>19647</v>
      </c>
      <c r="Y26" s="10">
        <f>INT(参数调整!$K$3*W26)</f>
        <v>3500</v>
      </c>
      <c r="Z26" s="10">
        <f t="shared" si="28"/>
        <v>7000</v>
      </c>
      <c r="AA26" s="10">
        <f t="shared" si="29"/>
        <v>19647</v>
      </c>
      <c r="AB26" s="10">
        <f>INT(参数调整!$K$3*Z26)</f>
        <v>3500</v>
      </c>
      <c r="AC26" s="10">
        <f t="shared" si="30"/>
        <v>7000</v>
      </c>
      <c r="AD26" s="10">
        <f t="shared" si="31"/>
        <v>19647</v>
      </c>
      <c r="AE26" s="10">
        <f>INT(参数调整!$K$3*AC26)</f>
        <v>3500</v>
      </c>
      <c r="AF26" s="10">
        <f t="shared" si="32"/>
        <v>7000</v>
      </c>
      <c r="AG26" s="10">
        <f t="shared" si="33"/>
        <v>19647</v>
      </c>
      <c r="AH26" s="10">
        <f>INT(参数调整!$K$3*AF26)</f>
        <v>3500</v>
      </c>
      <c r="AI26" s="10">
        <f t="shared" si="34"/>
        <v>7000</v>
      </c>
      <c r="AJ26" s="10">
        <f t="shared" si="35"/>
        <v>19647</v>
      </c>
      <c r="AK26" s="10">
        <f>INT(参数调整!$K$3*AI26)</f>
        <v>3500</v>
      </c>
      <c r="AL26" s="10">
        <f t="shared" si="36"/>
        <v>7000</v>
      </c>
      <c r="AM26" s="10">
        <f t="shared" si="37"/>
        <v>19647</v>
      </c>
      <c r="AN26" s="10">
        <f>INT(参数调整!$K$3*AL26)</f>
        <v>3500</v>
      </c>
      <c r="AO26" s="10">
        <f t="shared" si="38"/>
        <v>7000</v>
      </c>
      <c r="AP26" s="10">
        <f t="shared" si="39"/>
        <v>19647</v>
      </c>
      <c r="AQ26" s="10">
        <f>INT(参数调整!$K$3*AO26)</f>
        <v>3500</v>
      </c>
      <c r="AR26" s="165">
        <f t="shared" si="40"/>
        <v>1</v>
      </c>
      <c r="AS26" s="165">
        <f t="shared" si="40"/>
        <v>10</v>
      </c>
      <c r="AT26" s="165">
        <f t="shared" si="40"/>
        <v>120</v>
      </c>
      <c r="AU26" s="165">
        <f t="shared" si="40"/>
        <v>600</v>
      </c>
      <c r="AV26" s="165">
        <f t="shared" si="40"/>
        <v>1200</v>
      </c>
      <c r="AW26" s="165">
        <f t="shared" si="40"/>
        <v>1800</v>
      </c>
      <c r="AX26" s="165">
        <f t="shared" si="40"/>
        <v>333</v>
      </c>
      <c r="AY26" s="165">
        <f t="shared" si="40"/>
        <v>444</v>
      </c>
      <c r="AZ26" s="165">
        <f t="shared" si="40"/>
        <v>555</v>
      </c>
      <c r="BA26" s="165">
        <f t="shared" si="40"/>
        <v>666</v>
      </c>
      <c r="BB26" s="165">
        <f t="shared" si="40"/>
        <v>777</v>
      </c>
      <c r="BC26" s="165">
        <f t="shared" si="40"/>
        <v>888</v>
      </c>
      <c r="BD26" s="165">
        <f t="shared" si="40"/>
        <v>999</v>
      </c>
      <c r="BE26" s="10">
        <f t="shared" si="10"/>
        <v>700700</v>
      </c>
      <c r="BF26" s="10">
        <f t="shared" si="11"/>
        <v>8108600</v>
      </c>
      <c r="BG26" s="10">
        <f t="shared" si="12"/>
        <v>39041000</v>
      </c>
      <c r="BH26" s="10">
        <f t="shared" si="13"/>
        <v>37540000</v>
      </c>
      <c r="BI26" s="146">
        <f t="shared" si="14"/>
        <v>81080000</v>
      </c>
      <c r="BJ26" s="146">
        <f t="shared" si="41"/>
        <v>16660000</v>
      </c>
      <c r="BK26" s="146">
        <f t="shared" si="42"/>
        <v>22220000</v>
      </c>
      <c r="BL26" s="146">
        <f t="shared" si="43"/>
        <v>27770000</v>
      </c>
      <c r="BM26" s="146">
        <f t="shared" si="44"/>
        <v>33330000</v>
      </c>
      <c r="BN26" s="146">
        <f t="shared" si="45"/>
        <v>38890000</v>
      </c>
      <c r="BO26" s="146">
        <f t="shared" si="46"/>
        <v>44440000</v>
      </c>
      <c r="BP26" s="146">
        <f t="shared" si="47"/>
        <v>50000000</v>
      </c>
      <c r="BQ26" s="149">
        <v>23</v>
      </c>
      <c r="BR26" s="151">
        <f t="shared" si="15"/>
        <v>14.3009730003984</v>
      </c>
      <c r="BS26" s="151">
        <f t="shared" si="16"/>
        <v>0.35627522937098932</v>
      </c>
      <c r="BT26" s="150">
        <f>参数调整!H26</f>
        <v>0.91849999999999898</v>
      </c>
      <c r="BU26" s="149">
        <f>BQ26/BQ30*BT26*BU30</f>
        <v>248.02901851851826</v>
      </c>
      <c r="BV26" s="149">
        <f>BQ26/BQ30*BT26*BV30</f>
        <v>31.154635518518482</v>
      </c>
      <c r="BW26" s="149">
        <f>BQ26/BQ30*BT26*BW30</f>
        <v>86.066851851851766</v>
      </c>
      <c r="BX26" s="149">
        <f>BQ26/BQ30*BT26*BX30</f>
        <v>93.891111111111016</v>
      </c>
      <c r="BY26" s="149">
        <v>0</v>
      </c>
      <c r="BZ26" s="149">
        <f>基本装备!AH25</f>
        <v>6</v>
      </c>
      <c r="CA26" s="149">
        <f>BQ26/BQ30*BT26*CA30</f>
        <v>53.062561444444384</v>
      </c>
      <c r="CB26" s="149">
        <f>BQ26/BQ30*BT26*CB30</f>
        <v>20.200672555555531</v>
      </c>
      <c r="CC26" s="149">
        <f>BQ26/BQ30*BT26*CC30</f>
        <v>20.200672555555531</v>
      </c>
      <c r="CD26" s="149">
        <f>BQ26/BQ30*BT26*CD30</f>
        <v>298.74430218518484</v>
      </c>
      <c r="CE26" s="149">
        <f>BQ26/BQ30*BT26*CE30</f>
        <v>290.9200429259256</v>
      </c>
      <c r="CF26" s="149">
        <f>BQ26/BQ30*BT26*CF30</f>
        <v>92.32625925925916</v>
      </c>
      <c r="CG26" s="149">
        <f>BQ26/BQ30*BT26*CG30</f>
        <v>92.32625925925916</v>
      </c>
      <c r="CH26" s="149">
        <f>BQ26/BQ30*BT26*CH30</f>
        <v>75.752913296296214</v>
      </c>
      <c r="CI26" s="149">
        <f>BQ26/BQ30*BT26*CI30</f>
        <v>17.070968851851831</v>
      </c>
      <c r="CJ26" s="149">
        <f>BQ26/BQ30*BT26*CJ30</f>
        <v>0</v>
      </c>
      <c r="CK26" s="149">
        <f>BQ26/BQ30*BT26*CK30</f>
        <v>17.070968851851834</v>
      </c>
      <c r="CL26" s="149">
        <f>BQ26/BQ30*BT26*CL30</f>
        <v>1.4224503333333318</v>
      </c>
      <c r="CM26" s="149">
        <f>BQ26/BQ30*BT26*CM30</f>
        <v>1564.8518518518501</v>
      </c>
      <c r="CN26" s="149">
        <f>BQ26/BQ30*BT26*CN30</f>
        <v>1564.8518518518501</v>
      </c>
      <c r="CO26" s="149">
        <f>BQ26/BQ30*BT26*CO30</f>
        <v>15.506116999999984</v>
      </c>
      <c r="CP26" s="149">
        <f>BQ26/BQ30*BT26*CP30</f>
        <v>17.070968851851834</v>
      </c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</row>
    <row r="27" spans="1:115" ht="16.5" x14ac:dyDescent="0.2">
      <c r="A27" s="4">
        <f>参数调整!B27</f>
        <v>200</v>
      </c>
      <c r="B27" s="165">
        <f>参数调整!C27</f>
        <v>230</v>
      </c>
      <c r="C27" s="165">
        <f>参数调整!D27</f>
        <v>17</v>
      </c>
      <c r="D27" s="165">
        <f t="shared" si="49"/>
        <v>75000</v>
      </c>
      <c r="E27" s="165">
        <f t="shared" si="50"/>
        <v>150000</v>
      </c>
      <c r="F27" s="165">
        <f>参数调整!E27</f>
        <v>7500</v>
      </c>
      <c r="G27" s="10">
        <f t="shared" si="51"/>
        <v>3750</v>
      </c>
      <c r="H27" s="10">
        <f t="shared" si="17"/>
        <v>4500</v>
      </c>
      <c r="I27" s="10">
        <f t="shared" si="3"/>
        <v>13668</v>
      </c>
      <c r="J27" s="10">
        <f t="shared" si="18"/>
        <v>2250</v>
      </c>
      <c r="K27" s="10">
        <f t="shared" si="19"/>
        <v>4875</v>
      </c>
      <c r="L27" s="10">
        <f t="shared" si="4"/>
        <v>14807</v>
      </c>
      <c r="M27" s="10">
        <f t="shared" si="20"/>
        <v>2438</v>
      </c>
      <c r="N27" s="10">
        <f t="shared" si="21"/>
        <v>5250</v>
      </c>
      <c r="O27" s="10">
        <f t="shared" si="5"/>
        <v>15946</v>
      </c>
      <c r="P27" s="10">
        <f t="shared" si="22"/>
        <v>2625</v>
      </c>
      <c r="Q27" s="10">
        <f t="shared" si="23"/>
        <v>5625</v>
      </c>
      <c r="R27" s="10">
        <f t="shared" si="6"/>
        <v>17085</v>
      </c>
      <c r="S27" s="10">
        <f t="shared" si="24"/>
        <v>2813</v>
      </c>
      <c r="T27" s="10">
        <f t="shared" si="25"/>
        <v>8250</v>
      </c>
      <c r="U27" s="10">
        <f t="shared" si="7"/>
        <v>25058</v>
      </c>
      <c r="V27" s="10">
        <f t="shared" si="26"/>
        <v>4125</v>
      </c>
      <c r="W27" s="10">
        <f t="shared" si="48"/>
        <v>7500</v>
      </c>
      <c r="X27" s="10">
        <f t="shared" si="27"/>
        <v>22780</v>
      </c>
      <c r="Y27" s="10">
        <f>INT(参数调整!$K$3*W27)</f>
        <v>3750</v>
      </c>
      <c r="Z27" s="10">
        <f t="shared" si="28"/>
        <v>7500</v>
      </c>
      <c r="AA27" s="10">
        <f t="shared" si="29"/>
        <v>22780</v>
      </c>
      <c r="AB27" s="10">
        <f>INT(参数调整!$K$3*Z27)</f>
        <v>3750</v>
      </c>
      <c r="AC27" s="10">
        <f t="shared" si="30"/>
        <v>7500</v>
      </c>
      <c r="AD27" s="10">
        <f t="shared" si="31"/>
        <v>22780</v>
      </c>
      <c r="AE27" s="10">
        <f>INT(参数调整!$K$3*AC27)</f>
        <v>3750</v>
      </c>
      <c r="AF27" s="10">
        <f t="shared" si="32"/>
        <v>7500</v>
      </c>
      <c r="AG27" s="10">
        <f t="shared" si="33"/>
        <v>22780</v>
      </c>
      <c r="AH27" s="10">
        <f>INT(参数调整!$K$3*AF27)</f>
        <v>3750</v>
      </c>
      <c r="AI27" s="10">
        <f t="shared" si="34"/>
        <v>7500</v>
      </c>
      <c r="AJ27" s="10">
        <f t="shared" si="35"/>
        <v>22780</v>
      </c>
      <c r="AK27" s="10">
        <f>INT(参数调整!$K$3*AI27)</f>
        <v>3750</v>
      </c>
      <c r="AL27" s="10">
        <f t="shared" si="36"/>
        <v>7500</v>
      </c>
      <c r="AM27" s="10">
        <f t="shared" si="37"/>
        <v>22780</v>
      </c>
      <c r="AN27" s="10">
        <f>INT(参数调整!$K$3*AL27)</f>
        <v>3750</v>
      </c>
      <c r="AO27" s="10">
        <f t="shared" si="38"/>
        <v>7500</v>
      </c>
      <c r="AP27" s="10">
        <f t="shared" si="39"/>
        <v>22780</v>
      </c>
      <c r="AQ27" s="10">
        <f>INT(参数调整!$K$3*AO27)</f>
        <v>3750</v>
      </c>
      <c r="AR27" s="165">
        <f t="shared" si="40"/>
        <v>1</v>
      </c>
      <c r="AS27" s="165">
        <f t="shared" si="40"/>
        <v>10</v>
      </c>
      <c r="AT27" s="165">
        <f t="shared" si="40"/>
        <v>120</v>
      </c>
      <c r="AU27" s="165">
        <f t="shared" si="40"/>
        <v>600</v>
      </c>
      <c r="AV27" s="165">
        <f t="shared" si="40"/>
        <v>1200</v>
      </c>
      <c r="AW27" s="165">
        <f t="shared" si="40"/>
        <v>1800</v>
      </c>
      <c r="AX27" s="165">
        <f t="shared" si="40"/>
        <v>333</v>
      </c>
      <c r="AY27" s="165">
        <f t="shared" si="40"/>
        <v>444</v>
      </c>
      <c r="AZ27" s="165">
        <f t="shared" ref="AZ27:BD30" si="52">AZ$2</f>
        <v>555</v>
      </c>
      <c r="BA27" s="165">
        <f t="shared" si="52"/>
        <v>666</v>
      </c>
      <c r="BB27" s="165">
        <f t="shared" si="52"/>
        <v>777</v>
      </c>
      <c r="BC27" s="165">
        <f t="shared" si="52"/>
        <v>888</v>
      </c>
      <c r="BD27" s="165">
        <f t="shared" si="52"/>
        <v>999</v>
      </c>
      <c r="BE27" s="10">
        <f t="shared" si="10"/>
        <v>819100</v>
      </c>
      <c r="BF27" s="10">
        <f t="shared" si="11"/>
        <v>9478300</v>
      </c>
      <c r="BG27" s="10">
        <f t="shared" si="12"/>
        <v>45641000</v>
      </c>
      <c r="BH27" s="10">
        <f t="shared" si="13"/>
        <v>43880000</v>
      </c>
      <c r="BI27" s="146">
        <f t="shared" si="14"/>
        <v>94790000</v>
      </c>
      <c r="BJ27" s="146">
        <f t="shared" si="41"/>
        <v>19480000</v>
      </c>
      <c r="BK27" s="146">
        <f t="shared" si="42"/>
        <v>25980000</v>
      </c>
      <c r="BL27" s="146">
        <f t="shared" si="43"/>
        <v>32470000</v>
      </c>
      <c r="BM27" s="146">
        <f t="shared" si="44"/>
        <v>38970000</v>
      </c>
      <c r="BN27" s="146">
        <f t="shared" si="45"/>
        <v>45460000</v>
      </c>
      <c r="BO27" s="146">
        <f t="shared" si="46"/>
        <v>51960000</v>
      </c>
      <c r="BP27" s="146">
        <f t="shared" si="47"/>
        <v>58450000</v>
      </c>
      <c r="BQ27" s="149">
        <v>24</v>
      </c>
      <c r="BR27" s="151">
        <f t="shared" si="15"/>
        <v>15.603775139624597</v>
      </c>
      <c r="BS27" s="151">
        <f t="shared" si="16"/>
        <v>0.32923571232676851</v>
      </c>
      <c r="BT27" s="150">
        <f>参数调整!H27</f>
        <v>0.93199999999999905</v>
      </c>
      <c r="BU27" s="149">
        <f>BQ27/BQ30*BT27*BU30</f>
        <v>262.61688888888858</v>
      </c>
      <c r="BV27" s="149">
        <f>BQ27/BQ30*BT27*BV30</f>
        <v>32.987000888888851</v>
      </c>
      <c r="BW27" s="149">
        <f>BQ27/BQ30*BT27*BW30</f>
        <v>91.128888888888795</v>
      </c>
      <c r="BX27" s="149">
        <f>BQ27/BQ30*BT27*BX30</f>
        <v>99.413333333333227</v>
      </c>
      <c r="BY27" s="149">
        <v>0</v>
      </c>
      <c r="BZ27" s="149">
        <f>基本装备!AH26</f>
        <v>6</v>
      </c>
      <c r="CA27" s="149">
        <f>BQ27/BQ30*BT27*CA30</f>
        <v>56.183445333333268</v>
      </c>
      <c r="CB27" s="149">
        <f>BQ27/BQ30*BT27*CB30</f>
        <v>21.388778666666642</v>
      </c>
      <c r="CC27" s="149">
        <f>BQ27/BQ30*BT27*CC30</f>
        <v>21.388778666666642</v>
      </c>
      <c r="CD27" s="149">
        <f>BQ27/BQ30*BT27*CD30</f>
        <v>316.31500088888851</v>
      </c>
      <c r="CE27" s="149">
        <f>BQ27/BQ30*BT27*CE30</f>
        <v>308.03055644444407</v>
      </c>
      <c r="CF27" s="149">
        <f>BQ27/BQ30*BT27*CF30</f>
        <v>97.756444444444341</v>
      </c>
      <c r="CG27" s="149">
        <f>BQ27/BQ30*BT27*CG30</f>
        <v>97.756444444444341</v>
      </c>
      <c r="CH27" s="149">
        <f>BQ27/BQ30*BT27*CH30</f>
        <v>80.208334222222135</v>
      </c>
      <c r="CI27" s="149">
        <f>BQ27/BQ30*BT27*CI30</f>
        <v>18.075000888888866</v>
      </c>
      <c r="CJ27" s="149">
        <f>BQ27/BQ30*BT27*CJ30</f>
        <v>0</v>
      </c>
      <c r="CK27" s="149">
        <f>BQ27/BQ30*BT27*CK30</f>
        <v>18.075000888888869</v>
      </c>
      <c r="CL27" s="149">
        <f>BQ27/BQ30*BT27*CL30</f>
        <v>1.5061119999999983</v>
      </c>
      <c r="CM27" s="149">
        <f>BQ27/BQ30*BT27*CM30</f>
        <v>1656.8888888888871</v>
      </c>
      <c r="CN27" s="149">
        <f>BQ27/BQ30*BT27*CN30</f>
        <v>1656.8888888888871</v>
      </c>
      <c r="CO27" s="149">
        <f>BQ27/BQ30*BT27*CO30</f>
        <v>16.418111999999983</v>
      </c>
      <c r="CP27" s="149">
        <f>BQ27/BQ30*BT27*CP30</f>
        <v>18.075000888888869</v>
      </c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</row>
    <row r="28" spans="1:115" ht="16.5" x14ac:dyDescent="0.2">
      <c r="A28" s="4">
        <f>参数调整!B28</f>
        <v>200</v>
      </c>
      <c r="B28" s="165">
        <f>参数调整!C28</f>
        <v>240</v>
      </c>
      <c r="C28" s="165">
        <f>参数调整!D28</f>
        <v>18</v>
      </c>
      <c r="D28" s="165">
        <f t="shared" si="49"/>
        <v>80000</v>
      </c>
      <c r="E28" s="165">
        <f t="shared" si="50"/>
        <v>160000</v>
      </c>
      <c r="F28" s="165">
        <f>参数调整!E28</f>
        <v>8000</v>
      </c>
      <c r="G28" s="10">
        <f t="shared" si="51"/>
        <v>4000</v>
      </c>
      <c r="H28" s="10">
        <f t="shared" si="17"/>
        <v>4800</v>
      </c>
      <c r="I28" s="10">
        <f t="shared" si="3"/>
        <v>15856</v>
      </c>
      <c r="J28" s="10">
        <f t="shared" si="18"/>
        <v>2400</v>
      </c>
      <c r="K28" s="10">
        <f t="shared" si="19"/>
        <v>5200</v>
      </c>
      <c r="L28" s="10">
        <f t="shared" si="4"/>
        <v>17177</v>
      </c>
      <c r="M28" s="10">
        <f t="shared" si="20"/>
        <v>2600</v>
      </c>
      <c r="N28" s="10">
        <f t="shared" si="21"/>
        <v>5600</v>
      </c>
      <c r="O28" s="10">
        <f t="shared" si="5"/>
        <v>18498</v>
      </c>
      <c r="P28" s="10">
        <f t="shared" si="22"/>
        <v>2800</v>
      </c>
      <c r="Q28" s="10">
        <f t="shared" si="23"/>
        <v>6000</v>
      </c>
      <c r="R28" s="10">
        <f t="shared" si="6"/>
        <v>19820</v>
      </c>
      <c r="S28" s="10">
        <f t="shared" si="24"/>
        <v>3000</v>
      </c>
      <c r="T28" s="10">
        <f t="shared" si="25"/>
        <v>8800</v>
      </c>
      <c r="U28" s="10">
        <f t="shared" si="7"/>
        <v>29069</v>
      </c>
      <c r="V28" s="10">
        <f t="shared" si="26"/>
        <v>4400</v>
      </c>
      <c r="W28" s="10">
        <f t="shared" si="48"/>
        <v>8000</v>
      </c>
      <c r="X28" s="10">
        <f t="shared" si="27"/>
        <v>26426</v>
      </c>
      <c r="Y28" s="10">
        <f>INT(参数调整!$K$3*W28)</f>
        <v>4000</v>
      </c>
      <c r="Z28" s="10">
        <f t="shared" si="28"/>
        <v>8000</v>
      </c>
      <c r="AA28" s="10">
        <f t="shared" si="29"/>
        <v>26426</v>
      </c>
      <c r="AB28" s="10">
        <f>INT(参数调整!$K$3*Z28)</f>
        <v>4000</v>
      </c>
      <c r="AC28" s="10">
        <f t="shared" si="30"/>
        <v>8000</v>
      </c>
      <c r="AD28" s="10">
        <f t="shared" si="31"/>
        <v>26426</v>
      </c>
      <c r="AE28" s="10">
        <f>INT(参数调整!$K$3*AC28)</f>
        <v>4000</v>
      </c>
      <c r="AF28" s="10">
        <f t="shared" si="32"/>
        <v>8000</v>
      </c>
      <c r="AG28" s="10">
        <f t="shared" si="33"/>
        <v>26426</v>
      </c>
      <c r="AH28" s="10">
        <f>INT(参数调整!$K$3*AF28)</f>
        <v>4000</v>
      </c>
      <c r="AI28" s="10">
        <f t="shared" si="34"/>
        <v>8000</v>
      </c>
      <c r="AJ28" s="10">
        <f t="shared" si="35"/>
        <v>26426</v>
      </c>
      <c r="AK28" s="10">
        <f>INT(参数调整!$K$3*AI28)</f>
        <v>4000</v>
      </c>
      <c r="AL28" s="10">
        <f t="shared" si="36"/>
        <v>8000</v>
      </c>
      <c r="AM28" s="10">
        <f t="shared" si="37"/>
        <v>26426</v>
      </c>
      <c r="AN28" s="10">
        <f>INT(参数调整!$K$3*AL28)</f>
        <v>4000</v>
      </c>
      <c r="AO28" s="10">
        <f t="shared" si="38"/>
        <v>8000</v>
      </c>
      <c r="AP28" s="10">
        <f t="shared" si="39"/>
        <v>26426</v>
      </c>
      <c r="AQ28" s="10">
        <f>INT(参数调整!$K$3*AO28)</f>
        <v>4000</v>
      </c>
      <c r="AR28" s="165">
        <f t="shared" si="40"/>
        <v>1</v>
      </c>
      <c r="AS28" s="165">
        <f t="shared" si="40"/>
        <v>10</v>
      </c>
      <c r="AT28" s="165">
        <f t="shared" si="40"/>
        <v>120</v>
      </c>
      <c r="AU28" s="165">
        <f t="shared" si="40"/>
        <v>600</v>
      </c>
      <c r="AV28" s="165">
        <f t="shared" si="40"/>
        <v>1200</v>
      </c>
      <c r="AW28" s="165">
        <f t="shared" si="40"/>
        <v>1800</v>
      </c>
      <c r="AX28" s="165">
        <f t="shared" si="40"/>
        <v>333</v>
      </c>
      <c r="AY28" s="165">
        <f t="shared" ref="AY28:AY30" si="53">AY$2</f>
        <v>444</v>
      </c>
      <c r="AZ28" s="165">
        <f t="shared" si="52"/>
        <v>555</v>
      </c>
      <c r="BA28" s="165">
        <f t="shared" si="52"/>
        <v>666</v>
      </c>
      <c r="BB28" s="165">
        <f t="shared" si="52"/>
        <v>777</v>
      </c>
      <c r="BC28" s="165">
        <f t="shared" si="52"/>
        <v>888</v>
      </c>
      <c r="BD28" s="165">
        <f t="shared" si="52"/>
        <v>999</v>
      </c>
      <c r="BE28" s="10">
        <f t="shared" si="10"/>
        <v>952800</v>
      </c>
      <c r="BF28" s="10">
        <f t="shared" si="11"/>
        <v>11025700</v>
      </c>
      <c r="BG28" s="10">
        <f t="shared" si="12"/>
        <v>53087000</v>
      </c>
      <c r="BH28" s="10">
        <f t="shared" si="13"/>
        <v>51045000</v>
      </c>
      <c r="BI28" s="146">
        <f t="shared" si="14"/>
        <v>110250000</v>
      </c>
      <c r="BJ28" s="146">
        <f t="shared" si="41"/>
        <v>22660000</v>
      </c>
      <c r="BK28" s="146">
        <f t="shared" si="42"/>
        <v>30210000</v>
      </c>
      <c r="BL28" s="146">
        <f t="shared" si="43"/>
        <v>37770000</v>
      </c>
      <c r="BM28" s="146">
        <f t="shared" si="44"/>
        <v>45320000</v>
      </c>
      <c r="BN28" s="146">
        <f t="shared" si="45"/>
        <v>52880000</v>
      </c>
      <c r="BO28" s="146">
        <f t="shared" si="46"/>
        <v>60430000</v>
      </c>
      <c r="BP28" s="146">
        <f t="shared" si="47"/>
        <v>67990000</v>
      </c>
      <c r="BQ28" s="149">
        <v>25</v>
      </c>
      <c r="BR28" s="151">
        <f t="shared" si="15"/>
        <v>17.01507012674913</v>
      </c>
      <c r="BS28" s="151">
        <f t="shared" si="16"/>
        <v>0.30272301081906028</v>
      </c>
      <c r="BT28" s="150">
        <f>参数调整!H28</f>
        <v>0.94549999999999901</v>
      </c>
      <c r="BU28" s="149">
        <f>BQ28/BQ30*BT28*BU30</f>
        <v>277.52175925925894</v>
      </c>
      <c r="BV28" s="149">
        <f>BQ28/BQ30*BT28*BV30</f>
        <v>34.859184259259216</v>
      </c>
      <c r="BW28" s="149">
        <f>BQ28/BQ30*BT28*BW30</f>
        <v>96.300925925925824</v>
      </c>
      <c r="BX28" s="149">
        <f>BQ28/BQ30*BT28*BX30</f>
        <v>105.05555555555544</v>
      </c>
      <c r="BY28" s="149">
        <v>0</v>
      </c>
      <c r="BZ28" s="149">
        <f>基本装备!AH27</f>
        <v>6</v>
      </c>
      <c r="CA28" s="149">
        <f>BQ28/BQ30*BT28*CA30</f>
        <v>59.372147222222154</v>
      </c>
      <c r="CB28" s="149">
        <f>BQ28/BQ30*BT28*CB30</f>
        <v>22.60270277777775</v>
      </c>
      <c r="CC28" s="149">
        <f>BQ28/BQ30*BT28*CC30</f>
        <v>22.60270277777775</v>
      </c>
      <c r="CD28" s="149">
        <f>BQ28/BQ30*BT28*CD30</f>
        <v>334.26751759259218</v>
      </c>
      <c r="CE28" s="149">
        <f>BQ28/BQ30*BT28*CE30</f>
        <v>325.51288796296257</v>
      </c>
      <c r="CF28" s="149">
        <f>BQ28/BQ30*BT28*CF30</f>
        <v>103.30462962962952</v>
      </c>
      <c r="CG28" s="149">
        <f>BQ28/BQ30*BT28*CG30</f>
        <v>103.30462962962952</v>
      </c>
      <c r="CH28" s="149">
        <f>BQ28/BQ30*BT28*CH30</f>
        <v>84.760573148148055</v>
      </c>
      <c r="CI28" s="149">
        <f>BQ28/BQ30*BT28*CI30</f>
        <v>19.100850925925904</v>
      </c>
      <c r="CJ28" s="149">
        <f>BQ28/BQ30*BT28*CJ30</f>
        <v>0</v>
      </c>
      <c r="CK28" s="149">
        <f>BQ28/BQ30*BT28*CK30</f>
        <v>19.100850925925908</v>
      </c>
      <c r="CL28" s="149">
        <f>BQ28/BQ30*BT28*CL30</f>
        <v>1.591591666666665</v>
      </c>
      <c r="CM28" s="149">
        <f>BQ28/BQ30*BT28*CM30</f>
        <v>1750.925925925924</v>
      </c>
      <c r="CN28" s="149">
        <f>BQ28/BQ30*BT28*CN30</f>
        <v>1750.925925925924</v>
      </c>
      <c r="CO28" s="149">
        <f>BQ28/BQ30*BT28*CO30</f>
        <v>17.349924999999981</v>
      </c>
      <c r="CP28" s="149">
        <f>BQ28/BQ30*BT28*CP30</f>
        <v>19.100850925925908</v>
      </c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</row>
    <row r="29" spans="1:115" ht="16.5" x14ac:dyDescent="0.2">
      <c r="A29" s="4">
        <f>参数调整!B29</f>
        <v>200</v>
      </c>
      <c r="B29" s="165">
        <f>参数调整!C29</f>
        <v>240</v>
      </c>
      <c r="C29" s="165">
        <f>参数调整!D29</f>
        <v>19</v>
      </c>
      <c r="D29" s="165">
        <f t="shared" si="49"/>
        <v>90000</v>
      </c>
      <c r="E29" s="165">
        <f t="shared" si="50"/>
        <v>180000</v>
      </c>
      <c r="F29" s="165">
        <f>参数调整!E29</f>
        <v>9000</v>
      </c>
      <c r="G29" s="10">
        <f t="shared" si="51"/>
        <v>4500</v>
      </c>
      <c r="H29" s="10">
        <f t="shared" si="17"/>
        <v>5400</v>
      </c>
      <c r="I29" s="10">
        <f t="shared" si="3"/>
        <v>19509</v>
      </c>
      <c r="J29" s="10">
        <f t="shared" si="18"/>
        <v>2700</v>
      </c>
      <c r="K29" s="10">
        <f t="shared" si="19"/>
        <v>5850</v>
      </c>
      <c r="L29" s="10">
        <f t="shared" si="4"/>
        <v>21135</v>
      </c>
      <c r="M29" s="10">
        <f t="shared" si="20"/>
        <v>2925</v>
      </c>
      <c r="N29" s="10">
        <f t="shared" si="21"/>
        <v>6300</v>
      </c>
      <c r="O29" s="10">
        <f t="shared" si="5"/>
        <v>22761</v>
      </c>
      <c r="P29" s="10">
        <f t="shared" si="22"/>
        <v>3150</v>
      </c>
      <c r="Q29" s="10">
        <f t="shared" si="23"/>
        <v>6750</v>
      </c>
      <c r="R29" s="10">
        <f t="shared" si="6"/>
        <v>24386</v>
      </c>
      <c r="S29" s="10">
        <f t="shared" si="24"/>
        <v>3375</v>
      </c>
      <c r="T29" s="10">
        <f t="shared" si="25"/>
        <v>9900</v>
      </c>
      <c r="U29" s="10">
        <f t="shared" si="7"/>
        <v>35767</v>
      </c>
      <c r="V29" s="10">
        <f t="shared" si="26"/>
        <v>4950</v>
      </c>
      <c r="W29" s="10">
        <f t="shared" si="48"/>
        <v>9000</v>
      </c>
      <c r="X29" s="10">
        <f t="shared" si="27"/>
        <v>32515</v>
      </c>
      <c r="Y29" s="10">
        <f>INT(参数调整!$K$3*W29)</f>
        <v>4500</v>
      </c>
      <c r="Z29" s="10">
        <f t="shared" si="28"/>
        <v>9000</v>
      </c>
      <c r="AA29" s="10">
        <f t="shared" si="29"/>
        <v>32515</v>
      </c>
      <c r="AB29" s="10">
        <f>INT(参数调整!$K$3*Z29)</f>
        <v>4500</v>
      </c>
      <c r="AC29" s="10">
        <f t="shared" si="30"/>
        <v>9000</v>
      </c>
      <c r="AD29" s="10">
        <f t="shared" si="31"/>
        <v>32515</v>
      </c>
      <c r="AE29" s="10">
        <f>INT(参数调整!$K$3*AC29)</f>
        <v>4500</v>
      </c>
      <c r="AF29" s="10">
        <f t="shared" si="32"/>
        <v>9000</v>
      </c>
      <c r="AG29" s="10">
        <f t="shared" si="33"/>
        <v>32515</v>
      </c>
      <c r="AH29" s="10">
        <f>INT(参数调整!$K$3*AF29)</f>
        <v>4500</v>
      </c>
      <c r="AI29" s="10">
        <f t="shared" si="34"/>
        <v>9000</v>
      </c>
      <c r="AJ29" s="10">
        <f t="shared" si="35"/>
        <v>32515</v>
      </c>
      <c r="AK29" s="10">
        <f>INT(参数调整!$K$3*AI29)</f>
        <v>4500</v>
      </c>
      <c r="AL29" s="10">
        <f t="shared" si="36"/>
        <v>9000</v>
      </c>
      <c r="AM29" s="10">
        <f t="shared" si="37"/>
        <v>32515</v>
      </c>
      <c r="AN29" s="10">
        <f>INT(参数调整!$K$3*AL29)</f>
        <v>4500</v>
      </c>
      <c r="AO29" s="10">
        <f t="shared" si="38"/>
        <v>9000</v>
      </c>
      <c r="AP29" s="10">
        <f t="shared" si="39"/>
        <v>32515</v>
      </c>
      <c r="AQ29" s="10">
        <f>INT(参数调整!$K$3*AO29)</f>
        <v>4500</v>
      </c>
      <c r="AR29" s="165">
        <f t="shared" si="40"/>
        <v>1</v>
      </c>
      <c r="AS29" s="165">
        <f t="shared" si="40"/>
        <v>10</v>
      </c>
      <c r="AT29" s="165">
        <f t="shared" si="40"/>
        <v>120</v>
      </c>
      <c r="AU29" s="165">
        <f t="shared" si="40"/>
        <v>600</v>
      </c>
      <c r="AV29" s="165">
        <f t="shared" si="40"/>
        <v>1200</v>
      </c>
      <c r="AW29" s="165">
        <f t="shared" si="40"/>
        <v>1800</v>
      </c>
      <c r="AX29" s="165">
        <f t="shared" si="40"/>
        <v>333</v>
      </c>
      <c r="AY29" s="165">
        <f t="shared" si="53"/>
        <v>444</v>
      </c>
      <c r="AZ29" s="165">
        <f t="shared" si="52"/>
        <v>555</v>
      </c>
      <c r="BA29" s="165">
        <f t="shared" si="52"/>
        <v>666</v>
      </c>
      <c r="BB29" s="165">
        <f t="shared" si="52"/>
        <v>777</v>
      </c>
      <c r="BC29" s="165">
        <f t="shared" si="52"/>
        <v>888</v>
      </c>
      <c r="BD29" s="165">
        <f t="shared" si="52"/>
        <v>999</v>
      </c>
      <c r="BE29" s="10">
        <f t="shared" si="10"/>
        <v>1168200</v>
      </c>
      <c r="BF29" s="10">
        <f t="shared" si="11"/>
        <v>13517800</v>
      </c>
      <c r="BG29" s="10">
        <f t="shared" si="12"/>
        <v>65085000</v>
      </c>
      <c r="BH29" s="10">
        <f t="shared" si="13"/>
        <v>62582000</v>
      </c>
      <c r="BI29" s="146">
        <f t="shared" si="14"/>
        <v>135170000</v>
      </c>
      <c r="BJ29" s="146">
        <f t="shared" si="41"/>
        <v>27780000</v>
      </c>
      <c r="BK29" s="146">
        <f t="shared" si="42"/>
        <v>37040000</v>
      </c>
      <c r="BL29" s="146">
        <f t="shared" si="43"/>
        <v>46310000</v>
      </c>
      <c r="BM29" s="146">
        <f t="shared" si="44"/>
        <v>55570000</v>
      </c>
      <c r="BN29" s="146">
        <f t="shared" si="45"/>
        <v>64830000</v>
      </c>
      <c r="BO29" s="146">
        <f t="shared" si="46"/>
        <v>74090000</v>
      </c>
      <c r="BP29" s="146">
        <f t="shared" si="47"/>
        <v>83360000</v>
      </c>
      <c r="BQ29" s="149">
        <v>26</v>
      </c>
      <c r="BR29" s="151">
        <f t="shared" si="15"/>
        <v>18.54300013874467</v>
      </c>
      <c r="BS29" s="151">
        <f t="shared" si="16"/>
        <v>0.27678759917355178</v>
      </c>
      <c r="BT29" s="150">
        <f>参数调整!H29</f>
        <v>0.95899999999999896</v>
      </c>
      <c r="BU29" s="149">
        <f>BQ29/BQ30*BT29*BU30</f>
        <v>292.74362962962931</v>
      </c>
      <c r="BV29" s="149">
        <f>BQ29/BQ30*BT29*BV30</f>
        <v>36.771185629629585</v>
      </c>
      <c r="BW29" s="149">
        <f>BQ29/BQ30*BT29*BW30</f>
        <v>101.58296296296285</v>
      </c>
      <c r="BX29" s="149">
        <f>BQ29/BQ30*BT29*BX30</f>
        <v>110.81777777777765</v>
      </c>
      <c r="BY29" s="149">
        <v>0</v>
      </c>
      <c r="BZ29" s="149">
        <f>基本装备!AH28</f>
        <v>6</v>
      </c>
      <c r="CA29" s="149">
        <f>BQ29/BQ30*BT29*CA30</f>
        <v>62.628667111111042</v>
      </c>
      <c r="CB29" s="149">
        <f>BQ29/BQ30*BT29*CB30</f>
        <v>23.84244488888886</v>
      </c>
      <c r="CC29" s="149">
        <f>BQ29/BQ30*BT29*CC30</f>
        <v>23.84244488888886</v>
      </c>
      <c r="CD29" s="149">
        <f>BQ29/BQ30*BT29*CD30</f>
        <v>352.60185229629587</v>
      </c>
      <c r="CE29" s="149">
        <f>BQ29/BQ30*BT29*CE30</f>
        <v>343.36703748148108</v>
      </c>
      <c r="CF29" s="149">
        <f>BQ29/BQ30*BT29*CF30</f>
        <v>108.97081481481469</v>
      </c>
      <c r="CG29" s="149">
        <f>BQ29/BQ30*BT29*CG30</f>
        <v>108.97081481481469</v>
      </c>
      <c r="CH29" s="149">
        <f>BQ29/BQ30*BT29*CH30</f>
        <v>89.409630074073974</v>
      </c>
      <c r="CI29" s="149">
        <f>BQ29/BQ30*BT29*CI30</f>
        <v>20.148518962962939</v>
      </c>
      <c r="CJ29" s="149">
        <f>BQ29/BQ30*BT29*CJ30</f>
        <v>0</v>
      </c>
      <c r="CK29" s="149">
        <f>BQ29/BQ30*BT29*CK30</f>
        <v>20.148518962962942</v>
      </c>
      <c r="CL29" s="149">
        <f>BQ29/BQ30*BT29*CL30</f>
        <v>1.6788893333333315</v>
      </c>
      <c r="CM29" s="149">
        <f>BQ29/BQ30*BT29*CM30</f>
        <v>1846.962962962961</v>
      </c>
      <c r="CN29" s="149">
        <f>BQ29/BQ30*BT29*CN30</f>
        <v>1846.962962962961</v>
      </c>
      <c r="CO29" s="149">
        <f>BQ29/BQ30*BT29*CO30</f>
        <v>18.30155599999998</v>
      </c>
      <c r="CP29" s="149">
        <f>BQ29/BQ30*BT29*CP30</f>
        <v>20.148518962962942</v>
      </c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</row>
    <row r="30" spans="1:115" ht="16.5" x14ac:dyDescent="0.2">
      <c r="A30" s="4">
        <f>参数调整!B30</f>
        <v>200</v>
      </c>
      <c r="B30" s="165">
        <f>参数调整!C30</f>
        <v>250</v>
      </c>
      <c r="C30" s="165">
        <f>参数调整!D30</f>
        <v>20</v>
      </c>
      <c r="D30" s="165">
        <f t="shared" si="49"/>
        <v>100000</v>
      </c>
      <c r="E30" s="165">
        <f t="shared" si="50"/>
        <v>200000</v>
      </c>
      <c r="F30" s="165">
        <f>参数调整!E30</f>
        <v>10000</v>
      </c>
      <c r="G30" s="10">
        <f t="shared" si="51"/>
        <v>5000</v>
      </c>
      <c r="H30" s="10">
        <f t="shared" si="17"/>
        <v>6000</v>
      </c>
      <c r="I30" s="10">
        <f t="shared" si="3"/>
        <v>25232</v>
      </c>
      <c r="J30" s="10">
        <f t="shared" si="18"/>
        <v>3000</v>
      </c>
      <c r="K30" s="10">
        <f t="shared" si="19"/>
        <v>6500</v>
      </c>
      <c r="L30" s="10">
        <f t="shared" si="4"/>
        <v>27335</v>
      </c>
      <c r="M30" s="10">
        <f t="shared" si="20"/>
        <v>3250</v>
      </c>
      <c r="N30" s="10">
        <f t="shared" si="21"/>
        <v>7000</v>
      </c>
      <c r="O30" s="10">
        <f t="shared" si="5"/>
        <v>29438</v>
      </c>
      <c r="P30" s="10">
        <f t="shared" si="22"/>
        <v>3500</v>
      </c>
      <c r="Q30" s="10">
        <f t="shared" si="23"/>
        <v>7500</v>
      </c>
      <c r="R30" s="10">
        <f t="shared" si="6"/>
        <v>31540</v>
      </c>
      <c r="S30" s="10">
        <f t="shared" si="24"/>
        <v>3750</v>
      </c>
      <c r="T30" s="10">
        <f t="shared" si="25"/>
        <v>11000</v>
      </c>
      <c r="U30" s="10">
        <f t="shared" si="7"/>
        <v>46259</v>
      </c>
      <c r="V30" s="10">
        <f t="shared" si="26"/>
        <v>5500</v>
      </c>
      <c r="W30" s="10">
        <f t="shared" si="48"/>
        <v>10000</v>
      </c>
      <c r="X30" s="10">
        <f t="shared" si="27"/>
        <v>42054</v>
      </c>
      <c r="Y30" s="10">
        <f>INT(参数调整!$K$3*W30)</f>
        <v>5000</v>
      </c>
      <c r="Z30" s="10">
        <f t="shared" si="28"/>
        <v>10000</v>
      </c>
      <c r="AA30" s="10">
        <f t="shared" si="29"/>
        <v>42054</v>
      </c>
      <c r="AB30" s="10">
        <f>INT(参数调整!$K$3*Z30)</f>
        <v>5000</v>
      </c>
      <c r="AC30" s="10">
        <f t="shared" si="30"/>
        <v>10000</v>
      </c>
      <c r="AD30" s="10">
        <f t="shared" si="31"/>
        <v>42054</v>
      </c>
      <c r="AE30" s="10">
        <f>INT(参数调整!$K$3*AC30)</f>
        <v>5000</v>
      </c>
      <c r="AF30" s="10">
        <f t="shared" si="32"/>
        <v>10000</v>
      </c>
      <c r="AG30" s="10">
        <f t="shared" si="33"/>
        <v>42054</v>
      </c>
      <c r="AH30" s="10">
        <f>INT(参数调整!$K$3*AF30)</f>
        <v>5000</v>
      </c>
      <c r="AI30" s="10">
        <f t="shared" si="34"/>
        <v>10000</v>
      </c>
      <c r="AJ30" s="10">
        <f t="shared" si="35"/>
        <v>42054</v>
      </c>
      <c r="AK30" s="10">
        <f>INT(参数调整!$K$3*AI30)</f>
        <v>5000</v>
      </c>
      <c r="AL30" s="10">
        <f t="shared" si="36"/>
        <v>10000</v>
      </c>
      <c r="AM30" s="10">
        <f t="shared" si="37"/>
        <v>42054</v>
      </c>
      <c r="AN30" s="10">
        <f>INT(参数调整!$K$3*AL30)</f>
        <v>5000</v>
      </c>
      <c r="AO30" s="10">
        <f t="shared" si="38"/>
        <v>10000</v>
      </c>
      <c r="AP30" s="10">
        <f t="shared" si="39"/>
        <v>42054</v>
      </c>
      <c r="AQ30" s="10">
        <f>INT(参数调整!$K$3*AO30)</f>
        <v>5000</v>
      </c>
      <c r="AR30" s="165">
        <f t="shared" si="40"/>
        <v>1</v>
      </c>
      <c r="AS30" s="165">
        <f t="shared" si="40"/>
        <v>10</v>
      </c>
      <c r="AT30" s="165">
        <f t="shared" si="40"/>
        <v>120</v>
      </c>
      <c r="AU30" s="165">
        <f t="shared" si="40"/>
        <v>600</v>
      </c>
      <c r="AV30" s="165">
        <f t="shared" si="40"/>
        <v>1200</v>
      </c>
      <c r="AW30" s="165">
        <f t="shared" si="40"/>
        <v>1800</v>
      </c>
      <c r="AX30" s="165">
        <f t="shared" si="40"/>
        <v>333</v>
      </c>
      <c r="AY30" s="165">
        <f t="shared" si="53"/>
        <v>444</v>
      </c>
      <c r="AZ30" s="165">
        <f t="shared" si="52"/>
        <v>555</v>
      </c>
      <c r="BA30" s="165">
        <f t="shared" si="52"/>
        <v>666</v>
      </c>
      <c r="BB30" s="165">
        <f t="shared" si="52"/>
        <v>777</v>
      </c>
      <c r="BC30" s="165">
        <f t="shared" si="52"/>
        <v>888</v>
      </c>
      <c r="BD30" s="165">
        <f t="shared" si="52"/>
        <v>999</v>
      </c>
      <c r="BE30" s="10">
        <f t="shared" si="10"/>
        <v>1574200</v>
      </c>
      <c r="BF30" s="10">
        <f t="shared" si="11"/>
        <v>18216200</v>
      </c>
      <c r="BG30" s="10">
        <f t="shared" si="12"/>
        <v>87708000</v>
      </c>
      <c r="BH30" s="10">
        <f t="shared" si="13"/>
        <v>84334000</v>
      </c>
      <c r="BI30" s="146">
        <f t="shared" si="14"/>
        <v>182160000</v>
      </c>
      <c r="BJ30" s="146">
        <f t="shared" si="41"/>
        <v>37440000</v>
      </c>
      <c r="BK30" s="146">
        <f t="shared" si="42"/>
        <v>49920000</v>
      </c>
      <c r="BL30" s="146">
        <f t="shared" si="43"/>
        <v>62400000</v>
      </c>
      <c r="BM30" s="146">
        <f t="shared" si="44"/>
        <v>74880000</v>
      </c>
      <c r="BN30" s="146">
        <f t="shared" si="45"/>
        <v>87370000</v>
      </c>
      <c r="BO30" s="146">
        <f t="shared" si="46"/>
        <v>99850000</v>
      </c>
      <c r="BP30" s="146">
        <f t="shared" si="47"/>
        <v>112330000</v>
      </c>
      <c r="BQ30" s="149">
        <v>27</v>
      </c>
      <c r="BR30" s="151">
        <f>1*(1+BU30/100)*(1+BV30/100*(1.5+BW30/100)+(CA30+CL30)/100)*(1+BZ30/10)*(1+CH30/600)</f>
        <v>22.489232917902761</v>
      </c>
      <c r="BS30" s="151">
        <f>1*(1-CB30/100)*(1-CF30/200)*(1-CK30/100)</f>
        <v>0.23778758208400003</v>
      </c>
      <c r="BT30" s="150">
        <f>参数调整!H30</f>
        <v>1</v>
      </c>
      <c r="BU30" s="149">
        <f>参数调整!V39</f>
        <v>317</v>
      </c>
      <c r="BV30" s="149">
        <f>参数调整!W39</f>
        <v>39.817999999999998</v>
      </c>
      <c r="BW30" s="149">
        <f>参数调整!X39</f>
        <v>110</v>
      </c>
      <c r="BX30" s="149">
        <f>参数调整!Y39</f>
        <v>120</v>
      </c>
      <c r="BY30" s="149">
        <f>参数调整!Z39</f>
        <v>0</v>
      </c>
      <c r="BZ30" s="149">
        <f>参数调整!AA39</f>
        <v>7</v>
      </c>
      <c r="CA30" s="149">
        <f>参数调整!AB39</f>
        <v>67.817999999999998</v>
      </c>
      <c r="CB30" s="149">
        <f>参数调整!AC39</f>
        <v>25.817999999999998</v>
      </c>
      <c r="CC30" s="149">
        <f>参数调整!AD39</f>
        <v>25.817999999999998</v>
      </c>
      <c r="CD30" s="149">
        <f>参数调整!AE39</f>
        <v>381.81799999999998</v>
      </c>
      <c r="CE30" s="149">
        <f>参数调整!AF39</f>
        <v>371.81799999999998</v>
      </c>
      <c r="CF30" s="149">
        <f>参数调整!AG39</f>
        <v>118</v>
      </c>
      <c r="CG30" s="149">
        <f>参数调整!AH39</f>
        <v>118</v>
      </c>
      <c r="CH30" s="149">
        <f>参数调整!AI39</f>
        <v>96.817999999999998</v>
      </c>
      <c r="CI30" s="149">
        <f>参数调整!AJ39</f>
        <v>21.817999999999998</v>
      </c>
      <c r="CJ30" s="149">
        <f>参数调整!AK39</f>
        <v>0</v>
      </c>
      <c r="CK30" s="149">
        <f>参数调整!AL39</f>
        <v>21.818000000000001</v>
      </c>
      <c r="CL30" s="149">
        <f>参数调整!AM39</f>
        <v>1.8180000000000001</v>
      </c>
      <c r="CM30" s="149">
        <f>参数调整!AN39</f>
        <v>2000</v>
      </c>
      <c r="CN30" s="149">
        <f>参数调整!AO39</f>
        <v>2000</v>
      </c>
      <c r="CO30" s="149">
        <f>参数调整!AP39</f>
        <v>19.818000000000001</v>
      </c>
      <c r="CP30" s="149">
        <f>参数调整!AQ39</f>
        <v>21.818000000000001</v>
      </c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</row>
    <row r="31" spans="1:115" ht="16.5" customHeight="1" x14ac:dyDescent="0.2">
      <c r="A31" s="4"/>
      <c r="B31" s="163"/>
      <c r="C31" s="163"/>
      <c r="D31" s="4"/>
      <c r="E31" s="4"/>
      <c r="F31" s="163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4"/>
      <c r="BF31" s="4"/>
      <c r="BG31" s="4"/>
      <c r="BH31" s="4"/>
      <c r="BI31" s="147"/>
      <c r="BJ31" s="147"/>
      <c r="BK31" s="147"/>
      <c r="BL31" s="147"/>
      <c r="BM31" s="147"/>
      <c r="BN31" s="147"/>
      <c r="BO31" s="147"/>
      <c r="BP31" s="147"/>
      <c r="BQ31" s="149"/>
      <c r="BR31" s="152"/>
      <c r="BS31" s="152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</row>
    <row r="32" spans="1:115" ht="16.5" customHeight="1" x14ac:dyDescent="0.2">
      <c r="BQ32" s="149"/>
      <c r="BR32" s="152"/>
      <c r="BS32" s="152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9"/>
      <c r="CH32" s="149"/>
      <c r="CI32" s="149"/>
      <c r="CJ32" s="149"/>
      <c r="CK32" s="149"/>
      <c r="CL32" s="149"/>
      <c r="CM32" s="149"/>
      <c r="CN32" s="149"/>
      <c r="CO32" s="149"/>
      <c r="CP32" s="149"/>
    </row>
    <row r="33" ht="16.5" customHeight="1" x14ac:dyDescent="0.2"/>
    <row r="34" ht="16.5" customHeight="1" x14ac:dyDescent="0.2"/>
    <row r="35" ht="16.5" customHeight="1" x14ac:dyDescent="0.2"/>
    <row r="36" ht="16.5" customHeight="1" x14ac:dyDescent="0.2"/>
    <row r="37" ht="16.5" customHeight="1" x14ac:dyDescent="0.2"/>
    <row r="38" ht="16.5" customHeight="1" x14ac:dyDescent="0.2"/>
    <row r="39" ht="16.5" customHeight="1" x14ac:dyDescent="0.2"/>
  </sheetData>
  <mergeCells count="5">
    <mergeCell ref="BQ1:CP1"/>
    <mergeCell ref="B1:G1"/>
    <mergeCell ref="H1:V1"/>
    <mergeCell ref="B2:F2"/>
    <mergeCell ref="AS1:BP1"/>
  </mergeCells>
  <phoneticPr fontId="1" type="noConversion"/>
  <pageMargins left="0.7" right="0.7" top="0.75" bottom="0.75" header="0.3" footer="0.3"/>
  <ignoredErrors>
    <ignoredError sqref="C1:G1 J3:K3 M3:N3 P3:Q3 S3:T3 B3 D4:E30 V2:V3 M2 P2 S2 BE2:BI3 D3:H3 G5:G30 AR3:AW3 AR1:AS1 G4" formula="1"/>
  </ignoredErrors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C9F6EEE9-78C8-4420-B7AA-184B1D10C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基本属性!W4:W30</xm:f>
              <xm:sqref>W31</xm:sqref>
            </x14:sparkline>
            <x14:sparkline>
              <xm:f>基本属性!X4:X30</xm:f>
              <xm:sqref>X31</xm:sqref>
            </x14:sparkline>
            <x14:sparkline>
              <xm:f>基本属性!Y4:Y30</xm:f>
              <xm:sqref>Y31</xm:sqref>
            </x14:sparkline>
            <x14:sparkline>
              <xm:f>基本属性!Z4:Z30</xm:f>
              <xm:sqref>Z31</xm:sqref>
            </x14:sparkline>
            <x14:sparkline>
              <xm:f>基本属性!AD4:AD30</xm:f>
              <xm:sqref>AD31</xm:sqref>
            </x14:sparkline>
            <x14:sparkline>
              <xm:f>基本属性!AE4:AE30</xm:f>
              <xm:sqref>AE31</xm:sqref>
            </x14:sparkline>
            <x14:sparkline>
              <xm:f>基本属性!AF4:AF30</xm:f>
              <xm:sqref>AF31</xm:sqref>
            </x14:sparkline>
          </x14:sparklines>
        </x14:sparklineGroup>
        <x14:sparklineGroup displayEmptyCellsAs="gap" xr2:uid="{39405EDD-955A-4452-94C6-4B4BCA4C099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基本属性!AA4:AA30</xm:f>
              <xm:sqref>AA31</xm:sqref>
            </x14:sparkline>
            <x14:sparkline>
              <xm:f>基本属性!AB4:AB30</xm:f>
              <xm:sqref>AB31</xm:sqref>
            </x14:sparkline>
            <x14:sparkline>
              <xm:f>基本属性!AC4:AC30</xm:f>
              <xm:sqref>AC31</xm:sqref>
            </x14:sparkline>
          </x14:sparklines>
        </x14:sparklineGroup>
        <x14:sparklineGroup displayEmptyCellsAs="gap" xr2:uid="{C9DFC3AA-D476-49A7-9FAE-C1CA1685CF5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基本属性!AK4:AK30</xm:f>
              <xm:sqref>AK31</xm:sqref>
            </x14:sparkline>
            <x14:sparkline>
              <xm:f>基本属性!AL4:AL30</xm:f>
              <xm:sqref>AL31</xm:sqref>
            </x14:sparkline>
            <x14:sparkline>
              <xm:f>基本属性!AM4:AM30</xm:f>
              <xm:sqref>AM31</xm:sqref>
            </x14:sparkline>
          </x14:sparklines>
        </x14:sparklineGroup>
        <x14:sparklineGroup displayEmptyCellsAs="gap" xr2:uid="{F6E1CE9E-1C6C-4EC3-8DC2-FA30CB8E452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基本属性!B4:B30</xm:f>
              <xm:sqref>B31</xm:sqref>
            </x14:sparkline>
            <x14:sparkline>
              <xm:f>基本属性!C4:C30</xm:f>
              <xm:sqref>C31</xm:sqref>
            </x14:sparkline>
            <x14:sparkline>
              <xm:f>基本属性!D4:D30</xm:f>
              <xm:sqref>D31</xm:sqref>
            </x14:sparkline>
            <x14:sparkline>
              <xm:f>基本属性!E4:E30</xm:f>
              <xm:sqref>E31</xm:sqref>
            </x14:sparkline>
            <x14:sparkline>
              <xm:f>基本属性!F4:F30</xm:f>
              <xm:sqref>F31</xm:sqref>
            </x14:sparkline>
            <x14:sparkline>
              <xm:f>基本属性!G4:G30</xm:f>
              <xm:sqref>G31</xm:sqref>
            </x14:sparkline>
            <x14:sparkline>
              <xm:f>基本属性!H4:H30</xm:f>
              <xm:sqref>H31</xm:sqref>
            </x14:sparkline>
            <x14:sparkline>
              <xm:f>基本属性!I4:I30</xm:f>
              <xm:sqref>I31</xm:sqref>
            </x14:sparkline>
            <x14:sparkline>
              <xm:f>基本属性!J4:J30</xm:f>
              <xm:sqref>J31</xm:sqref>
            </x14:sparkline>
            <x14:sparkline>
              <xm:f>基本属性!K4:K30</xm:f>
              <xm:sqref>K31</xm:sqref>
            </x14:sparkline>
            <x14:sparkline>
              <xm:f>基本属性!L4:L30</xm:f>
              <xm:sqref>L31</xm:sqref>
            </x14:sparkline>
            <x14:sparkline>
              <xm:f>基本属性!M4:M30</xm:f>
              <xm:sqref>M31</xm:sqref>
            </x14:sparkline>
            <x14:sparkline>
              <xm:f>基本属性!N4:N30</xm:f>
              <xm:sqref>N31</xm:sqref>
            </x14:sparkline>
            <x14:sparkline>
              <xm:f>基本属性!O4:O30</xm:f>
              <xm:sqref>O31</xm:sqref>
            </x14:sparkline>
            <x14:sparkline>
              <xm:f>基本属性!P4:P30</xm:f>
              <xm:sqref>P31</xm:sqref>
            </x14:sparkline>
            <x14:sparkline>
              <xm:f>基本属性!Q4:Q30</xm:f>
              <xm:sqref>Q31</xm:sqref>
            </x14:sparkline>
            <x14:sparkline>
              <xm:f>基本属性!R4:R30</xm:f>
              <xm:sqref>R31</xm:sqref>
            </x14:sparkline>
            <x14:sparkline>
              <xm:f>基本属性!S4:S30</xm:f>
              <xm:sqref>S31</xm:sqref>
            </x14:sparkline>
            <x14:sparkline>
              <xm:f>基本属性!T4:T30</xm:f>
              <xm:sqref>T31</xm:sqref>
            </x14:sparkline>
            <x14:sparkline>
              <xm:f>基本属性!U4:U30</xm:f>
              <xm:sqref>U31</xm:sqref>
            </x14:sparkline>
            <x14:sparkline>
              <xm:f>基本属性!V4:V30</xm:f>
              <xm:sqref>V31</xm:sqref>
            </x14:sparkline>
            <x14:sparkline>
              <xm:f>基本属性!AG4:AG30</xm:f>
              <xm:sqref>AG31</xm:sqref>
            </x14:sparkline>
            <x14:sparkline>
              <xm:f>基本属性!AH4:AH30</xm:f>
              <xm:sqref>AH31</xm:sqref>
            </x14:sparkline>
            <x14:sparkline>
              <xm:f>基本属性!AI4:AI30</xm:f>
              <xm:sqref>AI31</xm:sqref>
            </x14:sparkline>
            <x14:sparkline>
              <xm:f>基本属性!AJ4:AJ30</xm:f>
              <xm:sqref>AJ31</xm:sqref>
            </x14:sparkline>
            <x14:sparkline>
              <xm:f>基本属性!AN4:AN30</xm:f>
              <xm:sqref>AN31</xm:sqref>
            </x14:sparkline>
            <x14:sparkline>
              <xm:f>基本属性!AO4:AO30</xm:f>
              <xm:sqref>AO31</xm:sqref>
            </x14:sparkline>
            <x14:sparkline>
              <xm:f>基本属性!AP4:AP30</xm:f>
              <xm:sqref>AP31</xm:sqref>
            </x14:sparkline>
            <x14:sparkline>
              <xm:f>基本属性!AQ4:AQ30</xm:f>
              <xm:sqref>AQ31</xm:sqref>
            </x14:sparkline>
            <x14:sparkline>
              <xm:f>基本属性!AR4:AR30</xm:f>
              <xm:sqref>AR31</xm:sqref>
            </x14:sparkline>
            <x14:sparkline>
              <xm:f>基本属性!AS4:AS30</xm:f>
              <xm:sqref>AS31</xm:sqref>
            </x14:sparkline>
            <x14:sparkline>
              <xm:f>基本属性!AT4:AT30</xm:f>
              <xm:sqref>AT31</xm:sqref>
            </x14:sparkline>
            <x14:sparkline>
              <xm:f>基本属性!AU4:AU30</xm:f>
              <xm:sqref>AU31</xm:sqref>
            </x14:sparkline>
            <x14:sparkline>
              <xm:f>基本属性!AV4:AV30</xm:f>
              <xm:sqref>AV31</xm:sqref>
            </x14:sparkline>
            <x14:sparkline>
              <xm:f>基本属性!AW4:AW30</xm:f>
              <xm:sqref>AW31</xm:sqref>
            </x14:sparkline>
            <x14:sparkline>
              <xm:f>基本属性!AX4:AX30</xm:f>
              <xm:sqref>AX31</xm:sqref>
            </x14:sparkline>
            <x14:sparkline>
              <xm:f>基本属性!AY4:AY30</xm:f>
              <xm:sqref>AY31</xm:sqref>
            </x14:sparkline>
            <x14:sparkline>
              <xm:f>基本属性!AZ4:AZ30</xm:f>
              <xm:sqref>AZ31</xm:sqref>
            </x14:sparkline>
            <x14:sparkline>
              <xm:f>基本属性!BA4:BA30</xm:f>
              <xm:sqref>BA31</xm:sqref>
            </x14:sparkline>
            <x14:sparkline>
              <xm:f>基本属性!BB4:BB30</xm:f>
              <xm:sqref>BB31</xm:sqref>
            </x14:sparkline>
            <x14:sparkline>
              <xm:f>基本属性!BC4:BC30</xm:f>
              <xm:sqref>BC31</xm:sqref>
            </x14:sparkline>
            <x14:sparkline>
              <xm:f>基本属性!BD4:BD30</xm:f>
              <xm:sqref>BD31</xm:sqref>
            </x14:sparkline>
            <x14:sparkline>
              <xm:f>基本属性!BE4:BE30</xm:f>
              <xm:sqref>BE31</xm:sqref>
            </x14:sparkline>
            <x14:sparkline>
              <xm:f>基本属性!BF4:BF30</xm:f>
              <xm:sqref>BF31</xm:sqref>
            </x14:sparkline>
            <x14:sparkline>
              <xm:f>基本属性!BG4:BG30</xm:f>
              <xm:sqref>BG31</xm:sqref>
            </x14:sparkline>
            <x14:sparkline>
              <xm:f>基本属性!BH4:BH30</xm:f>
              <xm:sqref>BH31</xm:sqref>
            </x14:sparkline>
            <x14:sparkline>
              <xm:f>基本属性!BI4:BI30</xm:f>
              <xm:sqref>BI31</xm:sqref>
            </x14:sparkline>
            <x14:sparkline>
              <xm:f>基本属性!BJ4:BJ30</xm:f>
              <xm:sqref>BJ31</xm:sqref>
            </x14:sparkline>
            <x14:sparkline>
              <xm:f>基本属性!BK4:BK30</xm:f>
              <xm:sqref>BK31</xm:sqref>
            </x14:sparkline>
            <x14:sparkline>
              <xm:f>基本属性!BL4:BL30</xm:f>
              <xm:sqref>BL31</xm:sqref>
            </x14:sparkline>
            <x14:sparkline>
              <xm:f>基本属性!BM4:BM30</xm:f>
              <xm:sqref>BM31</xm:sqref>
            </x14:sparkline>
            <x14:sparkline>
              <xm:f>基本属性!BN4:BN30</xm:f>
              <xm:sqref>BN31</xm:sqref>
            </x14:sparkline>
            <x14:sparkline>
              <xm:f>基本属性!BO4:BO30</xm:f>
              <xm:sqref>BO31</xm:sqref>
            </x14:sparkline>
            <x14:sparkline>
              <xm:f>基本属性!BP4:BP30</xm:f>
              <xm:sqref>BP31</xm:sqref>
            </x14:sparkline>
          </x14:sparklines>
        </x14:sparklineGroup>
        <x14:sparklineGroup displayEmptyCellsAs="gap" xr2:uid="{59FB5BA7-3B19-4DC0-95AE-9CCE4D9AD18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基本属性!BT3:BT30</xm:f>
              <xm:sqref>BT31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D4EBC-4520-4FC0-9C87-789704A27C43}">
  <dimension ref="A1:EH31"/>
  <sheetViews>
    <sheetView workbookViewId="0">
      <selection activeCell="T8" sqref="T8"/>
    </sheetView>
  </sheetViews>
  <sheetFormatPr defaultRowHeight="16.5" x14ac:dyDescent="0.3"/>
  <cols>
    <col min="1" max="4" width="9" style="12"/>
    <col min="5" max="5" width="9" style="13"/>
    <col min="6" max="6" width="9" style="12"/>
    <col min="7" max="8" width="11.375" style="12" bestFit="1" customWidth="1"/>
    <col min="9" max="10" width="9" style="12"/>
    <col min="11" max="11" width="13.25" style="13" bestFit="1" customWidth="1"/>
    <col min="12" max="54" width="9" style="13"/>
    <col min="55" max="16384" width="9" style="12"/>
  </cols>
  <sheetData>
    <row r="1" spans="1:138" ht="21" x14ac:dyDescent="0.3">
      <c r="A1" s="245" t="s">
        <v>25</v>
      </c>
      <c r="B1" s="245"/>
      <c r="C1" s="7"/>
      <c r="D1" s="7"/>
      <c r="E1" s="7"/>
      <c r="F1" s="7"/>
      <c r="G1" s="246" t="s">
        <v>3392</v>
      </c>
      <c r="H1" s="247"/>
      <c r="I1" s="247"/>
      <c r="J1" s="255"/>
      <c r="K1" s="261" t="s">
        <v>39</v>
      </c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62"/>
      <c r="AA1" s="262"/>
      <c r="AB1" s="262"/>
      <c r="AC1" s="262"/>
      <c r="AD1" s="262"/>
      <c r="AE1" s="262"/>
      <c r="AF1" s="262"/>
      <c r="AG1" s="262"/>
      <c r="AH1" s="262"/>
      <c r="AI1" s="262"/>
      <c r="AJ1" s="262"/>
      <c r="AK1" s="262"/>
      <c r="AL1" s="262"/>
      <c r="AM1" s="262"/>
      <c r="AN1" s="262"/>
      <c r="AO1" s="262"/>
      <c r="AP1" s="262"/>
      <c r="AQ1" s="262"/>
      <c r="AR1" s="262"/>
      <c r="AS1" s="262"/>
      <c r="AT1" s="262"/>
      <c r="AU1" s="262"/>
      <c r="AV1" s="262"/>
      <c r="AW1" s="262"/>
      <c r="AX1" s="262"/>
      <c r="AY1" s="262"/>
      <c r="AZ1" s="262"/>
      <c r="BA1" s="262"/>
      <c r="BB1" s="262"/>
      <c r="BC1" s="262"/>
      <c r="BD1" s="262"/>
      <c r="BE1" s="262"/>
      <c r="BF1" s="262"/>
      <c r="BG1" s="262"/>
      <c r="BH1" s="262"/>
      <c r="BI1" s="262"/>
      <c r="BJ1" s="262"/>
      <c r="BK1" s="262"/>
      <c r="BL1" s="262"/>
      <c r="BM1" s="262"/>
      <c r="BN1" s="262"/>
      <c r="BO1" s="262"/>
      <c r="BP1" s="262"/>
      <c r="BQ1" s="262"/>
      <c r="BR1" s="262"/>
      <c r="BS1" s="262"/>
      <c r="BT1" s="262"/>
      <c r="BU1" s="262"/>
      <c r="BV1" s="262"/>
      <c r="BW1" s="262"/>
      <c r="BX1" s="262"/>
      <c r="BY1" s="262"/>
      <c r="BZ1" s="262"/>
      <c r="CA1" s="262"/>
      <c r="CB1" s="262"/>
      <c r="CC1" s="262"/>
      <c r="CD1" s="262"/>
      <c r="CE1" s="262"/>
      <c r="CF1" s="262"/>
      <c r="CG1" s="262"/>
      <c r="CH1" s="262"/>
      <c r="CI1" s="262"/>
      <c r="CJ1" s="262"/>
      <c r="CK1" s="262"/>
      <c r="CL1" s="262"/>
      <c r="CM1" s="262"/>
      <c r="CN1" s="262"/>
      <c r="CO1" s="262"/>
      <c r="CP1" s="262"/>
      <c r="CQ1" s="262"/>
      <c r="CR1" s="262"/>
      <c r="CS1" s="262"/>
      <c r="CT1" s="262"/>
      <c r="CU1" s="262"/>
      <c r="CV1" s="262"/>
      <c r="CW1" s="262"/>
      <c r="CX1" s="262"/>
      <c r="CY1" s="262"/>
      <c r="CZ1" s="262"/>
      <c r="DA1" s="262"/>
      <c r="DB1" s="262"/>
      <c r="DC1" s="262"/>
      <c r="DD1" s="262"/>
      <c r="DE1" s="262"/>
      <c r="DF1" s="262"/>
      <c r="DG1" s="262"/>
      <c r="DH1" s="262"/>
      <c r="DI1" s="262"/>
      <c r="DJ1" s="262"/>
      <c r="DK1" s="262"/>
      <c r="DL1" s="262"/>
      <c r="DM1" s="262"/>
      <c r="DN1" s="262"/>
      <c r="DO1" s="262"/>
      <c r="DP1" s="262"/>
      <c r="DQ1" s="262"/>
      <c r="DR1" s="262"/>
      <c r="DS1" s="262"/>
      <c r="DT1" s="262"/>
      <c r="DU1" s="262"/>
      <c r="DV1" s="262"/>
      <c r="DW1" s="262"/>
      <c r="DX1" s="262"/>
      <c r="DY1" s="262"/>
      <c r="DZ1" s="262"/>
      <c r="EA1" s="262"/>
      <c r="EB1" s="262"/>
      <c r="EC1" s="262"/>
      <c r="ED1" s="262"/>
      <c r="EE1" s="262"/>
      <c r="EF1" s="262"/>
      <c r="EG1" s="262"/>
      <c r="EH1" s="262"/>
    </row>
    <row r="2" spans="1:138" s="19" customFormat="1" ht="15" x14ac:dyDescent="0.25">
      <c r="A2" s="17"/>
      <c r="B2" s="17"/>
      <c r="C2" s="17"/>
      <c r="D2" s="17"/>
      <c r="E2" s="18"/>
      <c r="F2" s="17"/>
      <c r="G2" s="238" t="s">
        <v>3725</v>
      </c>
      <c r="H2" s="239"/>
      <c r="I2" s="239"/>
      <c r="J2" s="240"/>
      <c r="K2" s="256" t="s">
        <v>28</v>
      </c>
      <c r="L2" s="256"/>
      <c r="M2" s="256"/>
      <c r="N2" s="256"/>
      <c r="O2" s="18" t="s">
        <v>29</v>
      </c>
      <c r="P2" s="256" t="s">
        <v>30</v>
      </c>
      <c r="Q2" s="256"/>
      <c r="R2" s="256"/>
      <c r="S2" s="256" t="s">
        <v>31</v>
      </c>
      <c r="T2" s="256"/>
      <c r="U2" s="256"/>
      <c r="V2" s="256" t="s">
        <v>32</v>
      </c>
      <c r="W2" s="256"/>
      <c r="X2" s="256"/>
      <c r="Y2" s="256"/>
      <c r="Z2" s="256" t="s">
        <v>45</v>
      </c>
      <c r="AA2" s="256"/>
      <c r="AB2" s="256"/>
      <c r="AC2" s="256" t="s">
        <v>46</v>
      </c>
      <c r="AD2" s="256"/>
      <c r="AE2" s="256"/>
      <c r="AF2" s="256"/>
      <c r="AG2" s="256" t="s">
        <v>47</v>
      </c>
      <c r="AH2" s="256"/>
      <c r="AI2" s="256" t="s">
        <v>48</v>
      </c>
      <c r="AJ2" s="256"/>
      <c r="AK2" s="18" t="s">
        <v>33</v>
      </c>
      <c r="AL2" s="256" t="s">
        <v>40</v>
      </c>
      <c r="AM2" s="256"/>
      <c r="AN2" s="256"/>
      <c r="AO2" s="18" t="s">
        <v>34</v>
      </c>
      <c r="AP2" s="256" t="s">
        <v>35</v>
      </c>
      <c r="AQ2" s="256"/>
      <c r="AR2" s="256"/>
      <c r="AS2" s="256"/>
      <c r="AT2" s="257" t="s">
        <v>41</v>
      </c>
      <c r="AU2" s="258"/>
      <c r="AV2" s="256" t="s">
        <v>42</v>
      </c>
      <c r="AW2" s="256"/>
      <c r="AX2" s="256"/>
      <c r="AY2" s="256"/>
      <c r="AZ2" s="18" t="s">
        <v>43</v>
      </c>
      <c r="BA2" s="256" t="s">
        <v>44</v>
      </c>
      <c r="BB2" s="256"/>
      <c r="BC2" s="259" t="s">
        <v>3643</v>
      </c>
      <c r="BD2" s="260"/>
      <c r="BE2" s="260"/>
      <c r="BF2" s="260"/>
      <c r="BG2" s="259" t="s">
        <v>3644</v>
      </c>
      <c r="BH2" s="260"/>
      <c r="BI2" s="260"/>
      <c r="BJ2" s="260"/>
      <c r="BK2" s="259" t="s">
        <v>3645</v>
      </c>
      <c r="BL2" s="260"/>
      <c r="BM2" s="260"/>
      <c r="BN2" s="260"/>
      <c r="BO2" s="259" t="s">
        <v>3646</v>
      </c>
      <c r="BP2" s="260"/>
      <c r="BQ2" s="260"/>
      <c r="BR2" s="260"/>
      <c r="BS2" s="259" t="s">
        <v>3647</v>
      </c>
      <c r="BT2" s="260"/>
      <c r="BU2" s="260"/>
      <c r="BV2" s="260"/>
      <c r="BW2" s="259" t="s">
        <v>3648</v>
      </c>
      <c r="BX2" s="260"/>
      <c r="BY2" s="260"/>
      <c r="BZ2" s="260"/>
      <c r="CA2" s="259" t="s">
        <v>3649</v>
      </c>
      <c r="CB2" s="260"/>
      <c r="CC2" s="260"/>
      <c r="CD2" s="260"/>
      <c r="CE2" s="259" t="s">
        <v>3650</v>
      </c>
      <c r="CF2" s="260"/>
      <c r="CG2" s="260"/>
      <c r="CH2" s="260"/>
      <c r="CI2" s="259" t="s">
        <v>3651</v>
      </c>
      <c r="CJ2" s="260"/>
      <c r="CK2" s="260"/>
      <c r="CL2" s="260"/>
      <c r="CM2" s="259" t="s">
        <v>3652</v>
      </c>
      <c r="CN2" s="260"/>
      <c r="CO2" s="260"/>
      <c r="CP2" s="260"/>
      <c r="CQ2" s="259" t="s">
        <v>3653</v>
      </c>
      <c r="CR2" s="260"/>
      <c r="CS2" s="260"/>
      <c r="CT2" s="260"/>
      <c r="CU2" s="259" t="s">
        <v>3654</v>
      </c>
      <c r="CV2" s="260"/>
      <c r="CW2" s="260"/>
      <c r="CX2" s="260"/>
      <c r="CY2" s="259" t="s">
        <v>3655</v>
      </c>
      <c r="CZ2" s="260"/>
      <c r="DA2" s="260"/>
      <c r="DB2" s="260"/>
      <c r="DC2" s="259" t="s">
        <v>3656</v>
      </c>
      <c r="DD2" s="260"/>
      <c r="DE2" s="260"/>
      <c r="DF2" s="260"/>
      <c r="DG2" s="259" t="s">
        <v>3657</v>
      </c>
      <c r="DH2" s="260"/>
      <c r="DI2" s="260"/>
      <c r="DJ2" s="260"/>
      <c r="DK2" s="259" t="s">
        <v>3658</v>
      </c>
      <c r="DL2" s="260"/>
      <c r="DM2" s="260"/>
      <c r="DN2" s="260"/>
      <c r="DO2" s="259" t="s">
        <v>3659</v>
      </c>
      <c r="DP2" s="260"/>
      <c r="DQ2" s="260"/>
      <c r="DR2" s="260"/>
      <c r="DS2" s="259" t="s">
        <v>3660</v>
      </c>
      <c r="DT2" s="260"/>
      <c r="DU2" s="260"/>
      <c r="DV2" s="260"/>
      <c r="DW2" s="259" t="s">
        <v>3661</v>
      </c>
      <c r="DX2" s="260"/>
      <c r="DY2" s="260"/>
      <c r="DZ2" s="260"/>
      <c r="EA2" s="259" t="s">
        <v>3662</v>
      </c>
      <c r="EB2" s="260"/>
      <c r="EC2" s="260"/>
      <c r="ED2" s="260"/>
      <c r="EE2" s="259" t="s">
        <v>3663</v>
      </c>
      <c r="EF2" s="260"/>
      <c r="EG2" s="260"/>
      <c r="EH2" s="260"/>
    </row>
    <row r="3" spans="1:138" s="19" customFormat="1" ht="15" x14ac:dyDescent="0.25">
      <c r="A3" s="18" t="s">
        <v>0</v>
      </c>
      <c r="B3" s="18" t="s">
        <v>1</v>
      </c>
      <c r="C3" s="18" t="s">
        <v>37</v>
      </c>
      <c r="D3" s="18" t="s">
        <v>38</v>
      </c>
      <c r="E3" s="18" t="s">
        <v>3</v>
      </c>
      <c r="F3" s="18" t="s">
        <v>2</v>
      </c>
      <c r="G3" s="20" t="s">
        <v>37</v>
      </c>
      <c r="H3" s="20" t="s">
        <v>38</v>
      </c>
      <c r="I3" s="20" t="s">
        <v>3</v>
      </c>
      <c r="J3" s="20" t="s">
        <v>2</v>
      </c>
      <c r="K3" s="20" t="s">
        <v>37</v>
      </c>
      <c r="L3" s="20" t="s">
        <v>38</v>
      </c>
      <c r="M3" s="20" t="s">
        <v>3</v>
      </c>
      <c r="N3" s="20" t="s">
        <v>2</v>
      </c>
      <c r="O3" s="20" t="s">
        <v>3</v>
      </c>
      <c r="P3" s="20" t="s">
        <v>37</v>
      </c>
      <c r="Q3" s="20" t="s">
        <v>3</v>
      </c>
      <c r="R3" s="20" t="s">
        <v>2</v>
      </c>
      <c r="S3" s="20" t="s">
        <v>37</v>
      </c>
      <c r="T3" s="20" t="s">
        <v>38</v>
      </c>
      <c r="U3" s="20" t="s">
        <v>3</v>
      </c>
      <c r="V3" s="20" t="s">
        <v>37</v>
      </c>
      <c r="W3" s="20" t="s">
        <v>38</v>
      </c>
      <c r="X3" s="20" t="s">
        <v>3</v>
      </c>
      <c r="Y3" s="18" t="s">
        <v>2</v>
      </c>
      <c r="Z3" s="18" t="s">
        <v>37</v>
      </c>
      <c r="AA3" s="18" t="s">
        <v>3</v>
      </c>
      <c r="AB3" s="18" t="s">
        <v>2</v>
      </c>
      <c r="AC3" s="18" t="s">
        <v>37</v>
      </c>
      <c r="AD3" s="18" t="s">
        <v>38</v>
      </c>
      <c r="AE3" s="18" t="s">
        <v>3</v>
      </c>
      <c r="AF3" s="18" t="s">
        <v>2</v>
      </c>
      <c r="AG3" s="18" t="s">
        <v>3</v>
      </c>
      <c r="AH3" s="18" t="s">
        <v>2</v>
      </c>
      <c r="AI3" s="18" t="s">
        <v>3</v>
      </c>
      <c r="AJ3" s="18" t="s">
        <v>2</v>
      </c>
      <c r="AK3" s="18" t="s">
        <v>3</v>
      </c>
      <c r="AL3" s="18" t="s">
        <v>37</v>
      </c>
      <c r="AM3" s="18" t="s">
        <v>3</v>
      </c>
      <c r="AN3" s="18" t="s">
        <v>2</v>
      </c>
      <c r="AO3" s="18"/>
      <c r="AP3" s="18" t="s">
        <v>37</v>
      </c>
      <c r="AQ3" s="18" t="s">
        <v>38</v>
      </c>
      <c r="AR3" s="18" t="s">
        <v>3</v>
      </c>
      <c r="AS3" s="18" t="s">
        <v>2</v>
      </c>
      <c r="AT3" s="18" t="s">
        <v>3</v>
      </c>
      <c r="AU3" s="18" t="s">
        <v>2</v>
      </c>
      <c r="AV3" s="18" t="s">
        <v>37</v>
      </c>
      <c r="AW3" s="18" t="s">
        <v>38</v>
      </c>
      <c r="AX3" s="18" t="s">
        <v>3</v>
      </c>
      <c r="AY3" s="18" t="s">
        <v>2</v>
      </c>
      <c r="AZ3" s="18"/>
      <c r="BA3" s="18" t="s">
        <v>3</v>
      </c>
      <c r="BB3" s="18" t="s">
        <v>2</v>
      </c>
      <c r="BC3" s="18" t="s">
        <v>37</v>
      </c>
      <c r="BD3" s="18" t="s">
        <v>38</v>
      </c>
      <c r="BE3" s="18" t="s">
        <v>3</v>
      </c>
      <c r="BF3" s="18" t="s">
        <v>2</v>
      </c>
      <c r="BG3" s="18" t="s">
        <v>37</v>
      </c>
      <c r="BH3" s="18" t="s">
        <v>38</v>
      </c>
      <c r="BI3" s="18" t="s">
        <v>3</v>
      </c>
      <c r="BJ3" s="18" t="s">
        <v>2</v>
      </c>
      <c r="BK3" s="18" t="s">
        <v>37</v>
      </c>
      <c r="BL3" s="18" t="s">
        <v>38</v>
      </c>
      <c r="BM3" s="18" t="s">
        <v>3</v>
      </c>
      <c r="BN3" s="18" t="s">
        <v>2</v>
      </c>
      <c r="BO3" s="18" t="s">
        <v>37</v>
      </c>
      <c r="BP3" s="18" t="s">
        <v>38</v>
      </c>
      <c r="BQ3" s="18" t="s">
        <v>3</v>
      </c>
      <c r="BR3" s="18" t="s">
        <v>2</v>
      </c>
      <c r="BS3" s="18" t="s">
        <v>37</v>
      </c>
      <c r="BT3" s="18" t="s">
        <v>38</v>
      </c>
      <c r="BU3" s="18" t="s">
        <v>3</v>
      </c>
      <c r="BV3" s="18" t="s">
        <v>2</v>
      </c>
      <c r="BW3" s="18" t="s">
        <v>37</v>
      </c>
      <c r="BX3" s="18" t="s">
        <v>38</v>
      </c>
      <c r="BY3" s="18" t="s">
        <v>3</v>
      </c>
      <c r="BZ3" s="18" t="s">
        <v>2</v>
      </c>
      <c r="CA3" s="18" t="s">
        <v>37</v>
      </c>
      <c r="CB3" s="18" t="s">
        <v>38</v>
      </c>
      <c r="CC3" s="18" t="s">
        <v>3</v>
      </c>
      <c r="CD3" s="18" t="s">
        <v>2</v>
      </c>
      <c r="CE3" s="18" t="s">
        <v>37</v>
      </c>
      <c r="CF3" s="18" t="s">
        <v>38</v>
      </c>
      <c r="CG3" s="18" t="s">
        <v>3</v>
      </c>
      <c r="CH3" s="18" t="s">
        <v>2</v>
      </c>
      <c r="CI3" s="18" t="s">
        <v>37</v>
      </c>
      <c r="CJ3" s="18" t="s">
        <v>38</v>
      </c>
      <c r="CK3" s="18" t="s">
        <v>3</v>
      </c>
      <c r="CL3" s="18" t="s">
        <v>2</v>
      </c>
      <c r="CM3" s="18" t="s">
        <v>37</v>
      </c>
      <c r="CN3" s="18" t="s">
        <v>38</v>
      </c>
      <c r="CO3" s="18" t="s">
        <v>3</v>
      </c>
      <c r="CP3" s="18" t="s">
        <v>2</v>
      </c>
      <c r="CQ3" s="18" t="s">
        <v>37</v>
      </c>
      <c r="CR3" s="18" t="s">
        <v>38</v>
      </c>
      <c r="CS3" s="18" t="s">
        <v>3</v>
      </c>
      <c r="CT3" s="18" t="s">
        <v>2</v>
      </c>
      <c r="CU3" s="18" t="s">
        <v>37</v>
      </c>
      <c r="CV3" s="18" t="s">
        <v>38</v>
      </c>
      <c r="CW3" s="18" t="s">
        <v>3</v>
      </c>
      <c r="CX3" s="18" t="s">
        <v>2</v>
      </c>
      <c r="CY3" s="18" t="s">
        <v>37</v>
      </c>
      <c r="CZ3" s="18" t="s">
        <v>38</v>
      </c>
      <c r="DA3" s="18" t="s">
        <v>3</v>
      </c>
      <c r="DB3" s="18" t="s">
        <v>2</v>
      </c>
      <c r="DC3" s="18" t="s">
        <v>37</v>
      </c>
      <c r="DD3" s="18" t="s">
        <v>38</v>
      </c>
      <c r="DE3" s="18" t="s">
        <v>3</v>
      </c>
      <c r="DF3" s="18" t="s">
        <v>2</v>
      </c>
      <c r="DG3" s="18" t="s">
        <v>37</v>
      </c>
      <c r="DH3" s="18" t="s">
        <v>38</v>
      </c>
      <c r="DI3" s="18" t="s">
        <v>3</v>
      </c>
      <c r="DJ3" s="18" t="s">
        <v>2</v>
      </c>
      <c r="DK3" s="18" t="s">
        <v>37</v>
      </c>
      <c r="DL3" s="18" t="s">
        <v>38</v>
      </c>
      <c r="DM3" s="18" t="s">
        <v>3</v>
      </c>
      <c r="DN3" s="18" t="s">
        <v>2</v>
      </c>
      <c r="DO3" s="18" t="s">
        <v>37</v>
      </c>
      <c r="DP3" s="18" t="s">
        <v>38</v>
      </c>
      <c r="DQ3" s="18" t="s">
        <v>3</v>
      </c>
      <c r="DR3" s="18" t="s">
        <v>2</v>
      </c>
      <c r="DS3" s="18" t="s">
        <v>37</v>
      </c>
      <c r="DT3" s="18" t="s">
        <v>38</v>
      </c>
      <c r="DU3" s="18" t="s">
        <v>3</v>
      </c>
      <c r="DV3" s="18" t="s">
        <v>2</v>
      </c>
      <c r="DW3" s="18" t="s">
        <v>37</v>
      </c>
      <c r="DX3" s="18" t="s">
        <v>38</v>
      </c>
      <c r="DY3" s="18" t="s">
        <v>3</v>
      </c>
      <c r="DZ3" s="18" t="s">
        <v>2</v>
      </c>
      <c r="EA3" s="18" t="s">
        <v>37</v>
      </c>
      <c r="EB3" s="18" t="s">
        <v>38</v>
      </c>
      <c r="EC3" s="18" t="s">
        <v>3</v>
      </c>
      <c r="ED3" s="18" t="s">
        <v>2</v>
      </c>
      <c r="EE3" s="18" t="s">
        <v>37</v>
      </c>
      <c r="EF3" s="18" t="s">
        <v>38</v>
      </c>
      <c r="EG3" s="18" t="s">
        <v>3</v>
      </c>
      <c r="EH3" s="18" t="s">
        <v>2</v>
      </c>
    </row>
    <row r="4" spans="1:138" x14ac:dyDescent="0.3">
      <c r="A4" s="10"/>
      <c r="B4" s="10"/>
      <c r="C4" s="8"/>
      <c r="D4" s="8"/>
      <c r="E4" s="10"/>
      <c r="F4" s="8"/>
      <c r="G4" s="10">
        <f>K4+P4+S4+V4+Z4+AC4+AL4+AP4+AV4+BC4+BG4+BK4+BO4+BS4+BW4+CA4+CE4+CI4+CM4+CQ4+CU4+CY4+DC4+DG4+DK4+DO4+DS4+DW4+EA4+EE4</f>
        <v>100000</v>
      </c>
      <c r="H4" s="10">
        <f>L4+T4+W4+AD4+AQ4+AW4+BD4+BH4+BL4+BP4+BT4+BX4+CB4+CF4+CJ4+CN4+CR4+CV4+CZ4+DD4+DH4+DL4+DP4+DT4+DX4+EB4+EF4</f>
        <v>200000</v>
      </c>
      <c r="I4" s="10">
        <f>M4+O4+Q4+U4+X4+AA4+AE4+AG4+AI4+AK4+AM4+AR4+AT4+AX4+BA4+BE4+BI4+BM4+BQ4+BU4+BY4+CC4+CG4+CK4+CO4+CS4+CW4+DA4+DE4+DI4+DM4+DQ4+DU4+DY4+EC4+EG4</f>
        <v>10000</v>
      </c>
      <c r="J4" s="10">
        <f>N4+R4+Y4+AB4+AF4+AH4+AJ4+AN4+AS4+AU4+AY4+BB4</f>
        <v>5000</v>
      </c>
      <c r="K4" s="192">
        <f>参数调整!N3</f>
        <v>35000</v>
      </c>
      <c r="L4" s="192">
        <f>参数调整!P3</f>
        <v>60000</v>
      </c>
      <c r="M4" s="192">
        <f>参数调整!R3</f>
        <v>500</v>
      </c>
      <c r="N4" s="192">
        <f>参数调整!T3</f>
        <v>500</v>
      </c>
      <c r="O4" s="192">
        <f>参数调整!R4</f>
        <v>500</v>
      </c>
      <c r="P4" s="192">
        <f>参数调整!N5</f>
        <v>5000</v>
      </c>
      <c r="Q4" s="192">
        <f>参数调整!R5</f>
        <v>500</v>
      </c>
      <c r="R4" s="192">
        <f>参数调整!T5</f>
        <v>250</v>
      </c>
      <c r="S4" s="192">
        <f>参数调整!N6</f>
        <v>10000</v>
      </c>
      <c r="T4" s="192">
        <f>参数调整!P6</f>
        <v>20000</v>
      </c>
      <c r="U4" s="192">
        <f>参数调整!R6</f>
        <v>500</v>
      </c>
      <c r="V4" s="192">
        <f>参数调整!N7</f>
        <v>15000</v>
      </c>
      <c r="W4" s="192">
        <f>参数调整!P7</f>
        <v>60000</v>
      </c>
      <c r="X4" s="192">
        <f>参数调整!R7</f>
        <v>2000</v>
      </c>
      <c r="Y4" s="192">
        <f>参数调整!T7</f>
        <v>1500</v>
      </c>
      <c r="Z4" s="15">
        <f>参数调整!N8</f>
        <v>5000</v>
      </c>
      <c r="AA4" s="15">
        <f>参数调整!R8</f>
        <v>500</v>
      </c>
      <c r="AB4" s="15">
        <f>参数调整!T8</f>
        <v>250</v>
      </c>
      <c r="AC4" s="15">
        <f>参数调整!N9</f>
        <v>10000</v>
      </c>
      <c r="AD4" s="15">
        <f>参数调整!P9</f>
        <v>40000</v>
      </c>
      <c r="AE4" s="15">
        <f>参数调整!R9</f>
        <v>500</v>
      </c>
      <c r="AF4" s="15">
        <f>参数调整!T9</f>
        <v>500</v>
      </c>
      <c r="AG4" s="15">
        <f>参数调整!R10</f>
        <v>500</v>
      </c>
      <c r="AH4" s="15">
        <f>参数调整!T10</f>
        <v>250</v>
      </c>
      <c r="AI4" s="15">
        <f>参数调整!R11</f>
        <v>500</v>
      </c>
      <c r="AJ4" s="15">
        <f>参数调整!T11</f>
        <v>250</v>
      </c>
      <c r="AK4" s="15">
        <f>参数调整!R12</f>
        <v>2000</v>
      </c>
      <c r="AL4" s="15">
        <f>参数调整!N13</f>
        <v>15000</v>
      </c>
      <c r="AM4" s="15">
        <f>参数调整!R13</f>
        <v>600</v>
      </c>
      <c r="AN4" s="15">
        <f>参数调整!T13</f>
        <v>600</v>
      </c>
      <c r="AO4" s="15"/>
      <c r="AP4" s="15">
        <f>参数调整!N14</f>
        <v>5000</v>
      </c>
      <c r="AQ4" s="15">
        <f>参数调整!P14</f>
        <v>20000</v>
      </c>
      <c r="AR4" s="15">
        <f>参数调整!R14</f>
        <v>500</v>
      </c>
      <c r="AS4" s="15">
        <f>参数调整!T14</f>
        <v>250</v>
      </c>
      <c r="AT4" s="15">
        <f>参数调整!R15</f>
        <v>500</v>
      </c>
      <c r="AU4" s="15">
        <f>参数调整!T15</f>
        <v>250</v>
      </c>
      <c r="AV4" s="15">
        <f>参数调整!N16</f>
        <v>0</v>
      </c>
      <c r="AW4" s="15">
        <f>参数调整!P16</f>
        <v>0</v>
      </c>
      <c r="AX4" s="15">
        <f>参数调整!R16</f>
        <v>0</v>
      </c>
      <c r="AY4" s="15">
        <f>参数调整!T16</f>
        <v>0</v>
      </c>
      <c r="AZ4" s="15"/>
      <c r="BA4" s="15">
        <f>参数调整!R17</f>
        <v>400</v>
      </c>
      <c r="BB4" s="15">
        <f>参数调整!T17</f>
        <v>400</v>
      </c>
      <c r="BC4" s="15">
        <f>参数调整!N18</f>
        <v>0</v>
      </c>
      <c r="BD4" s="15">
        <f>参数调整!P18</f>
        <v>0</v>
      </c>
      <c r="BE4" s="15">
        <f>参数调整!R18</f>
        <v>0</v>
      </c>
      <c r="BF4" s="15">
        <f>参数调整!T18</f>
        <v>0</v>
      </c>
      <c r="BG4" s="15">
        <f>参数调整!N19</f>
        <v>0</v>
      </c>
      <c r="BH4" s="15">
        <f>参数调整!P19</f>
        <v>0</v>
      </c>
      <c r="BI4" s="15">
        <f>参数调整!R19</f>
        <v>0</v>
      </c>
      <c r="BJ4" s="15">
        <f>参数调整!T19</f>
        <v>0</v>
      </c>
      <c r="BK4" s="15">
        <f>参数调整!N20</f>
        <v>0</v>
      </c>
      <c r="BL4" s="15">
        <f>参数调整!P20</f>
        <v>0</v>
      </c>
      <c r="BM4" s="15">
        <f>参数调整!R20</f>
        <v>0</v>
      </c>
      <c r="BN4" s="15">
        <f>参数调整!T20</f>
        <v>0</v>
      </c>
      <c r="BO4" s="15">
        <f>参数调整!N21</f>
        <v>0</v>
      </c>
      <c r="BP4" s="15">
        <f>参数调整!P21</f>
        <v>0</v>
      </c>
      <c r="BQ4" s="15">
        <f>参数调整!R21</f>
        <v>0</v>
      </c>
      <c r="BR4" s="15">
        <f>参数调整!T21</f>
        <v>0</v>
      </c>
      <c r="BS4" s="15">
        <f>参数调整!N22</f>
        <v>0</v>
      </c>
      <c r="BT4" s="15">
        <f>参数调整!P22</f>
        <v>0</v>
      </c>
      <c r="BU4" s="15">
        <f>参数调整!R22</f>
        <v>0</v>
      </c>
      <c r="BV4" s="15">
        <f>参数调整!T22</f>
        <v>0</v>
      </c>
      <c r="BW4" s="15">
        <f>参数调整!N23</f>
        <v>0</v>
      </c>
      <c r="BX4" s="15">
        <f>参数调整!P23</f>
        <v>0</v>
      </c>
      <c r="BY4" s="15">
        <f>参数调整!R23</f>
        <v>0</v>
      </c>
      <c r="BZ4" s="15">
        <f>参数调整!T23</f>
        <v>0</v>
      </c>
      <c r="CA4" s="15">
        <f>参数调整!N24</f>
        <v>0</v>
      </c>
      <c r="CB4" s="15">
        <f>参数调整!P24</f>
        <v>0</v>
      </c>
      <c r="CC4" s="15">
        <f>参数调整!R24</f>
        <v>0</v>
      </c>
      <c r="CD4" s="15">
        <f>参数调整!T24</f>
        <v>0</v>
      </c>
      <c r="CE4" s="15">
        <f>参数调整!$N25</f>
        <v>0</v>
      </c>
      <c r="CF4" s="15">
        <f>参数调整!$P25</f>
        <v>0</v>
      </c>
      <c r="CG4" s="15">
        <f>参数调整!$R25</f>
        <v>0</v>
      </c>
      <c r="CH4" s="15">
        <f>参数调整!$T25</f>
        <v>0</v>
      </c>
      <c r="CI4" s="15">
        <f>参数调整!$N26</f>
        <v>0</v>
      </c>
      <c r="CJ4" s="15">
        <f>参数调整!$P26</f>
        <v>0</v>
      </c>
      <c r="CK4" s="15">
        <f>参数调整!$R26</f>
        <v>0</v>
      </c>
      <c r="CL4" s="15">
        <f>参数调整!$T26</f>
        <v>0</v>
      </c>
      <c r="CM4" s="15">
        <f>参数调整!$N27</f>
        <v>0</v>
      </c>
      <c r="CN4" s="15">
        <f>参数调整!$P27</f>
        <v>0</v>
      </c>
      <c r="CO4" s="15">
        <f>参数调整!$R27</f>
        <v>0</v>
      </c>
      <c r="CP4" s="15">
        <f>参数调整!$T27</f>
        <v>0</v>
      </c>
      <c r="CQ4" s="15">
        <f>参数调整!$N28</f>
        <v>0</v>
      </c>
      <c r="CR4" s="15">
        <f>参数调整!$P28</f>
        <v>0</v>
      </c>
      <c r="CS4" s="15">
        <f>参数调整!$R28</f>
        <v>0</v>
      </c>
      <c r="CT4" s="15">
        <f>参数调整!$T28</f>
        <v>0</v>
      </c>
      <c r="CU4" s="15">
        <f>参数调整!$N29</f>
        <v>0</v>
      </c>
      <c r="CV4" s="15">
        <f>参数调整!$P29</f>
        <v>0</v>
      </c>
      <c r="CW4" s="15">
        <f>参数调整!$R29</f>
        <v>0</v>
      </c>
      <c r="CX4" s="15">
        <f>参数调整!$T29</f>
        <v>0</v>
      </c>
      <c r="CY4" s="15">
        <f>参数调整!$N30</f>
        <v>0</v>
      </c>
      <c r="CZ4" s="15">
        <f>参数调整!$P30</f>
        <v>0</v>
      </c>
      <c r="DA4" s="15">
        <f>参数调整!$R30</f>
        <v>0</v>
      </c>
      <c r="DB4" s="15">
        <f>参数调整!$T30</f>
        <v>0</v>
      </c>
      <c r="DC4" s="15">
        <f>参数调整!$N31</f>
        <v>0</v>
      </c>
      <c r="DD4" s="15">
        <f>参数调整!$P31</f>
        <v>0</v>
      </c>
      <c r="DE4" s="15">
        <f>参数调整!$R31</f>
        <v>0</v>
      </c>
      <c r="DF4" s="15">
        <f>参数调整!$T31</f>
        <v>0</v>
      </c>
      <c r="DG4" s="15">
        <f>参数调整!$N32</f>
        <v>0</v>
      </c>
      <c r="DH4" s="15">
        <f>参数调整!$P32</f>
        <v>0</v>
      </c>
      <c r="DI4" s="15">
        <f>参数调整!$R32</f>
        <v>0</v>
      </c>
      <c r="DJ4" s="15">
        <f>参数调整!$T32</f>
        <v>0</v>
      </c>
      <c r="DK4" s="15">
        <f>参数调整!$N33</f>
        <v>0</v>
      </c>
      <c r="DL4" s="15">
        <f>参数调整!$P33</f>
        <v>0</v>
      </c>
      <c r="DM4" s="15">
        <f>参数调整!$R33</f>
        <v>0</v>
      </c>
      <c r="DN4" s="15">
        <f>参数调整!$T33</f>
        <v>0</v>
      </c>
      <c r="DO4" s="15">
        <f>参数调整!$N34</f>
        <v>0</v>
      </c>
      <c r="DP4" s="15">
        <f>参数调整!$P34</f>
        <v>0</v>
      </c>
      <c r="DQ4" s="15">
        <f>参数调整!$R34</f>
        <v>0</v>
      </c>
      <c r="DR4" s="15">
        <f>参数调整!$T34</f>
        <v>0</v>
      </c>
      <c r="DS4" s="15">
        <f>参数调整!$N35</f>
        <v>0</v>
      </c>
      <c r="DT4" s="15">
        <f>参数调整!$P35</f>
        <v>0</v>
      </c>
      <c r="DU4" s="15">
        <f>参数调整!$R35</f>
        <v>0</v>
      </c>
      <c r="DV4" s="15">
        <f>参数调整!$T35</f>
        <v>0</v>
      </c>
      <c r="DW4" s="15">
        <f>参数调整!$N36</f>
        <v>0</v>
      </c>
      <c r="DX4" s="15">
        <f>参数调整!$P36</f>
        <v>0</v>
      </c>
      <c r="DY4" s="15">
        <f>参数调整!$R36</f>
        <v>0</v>
      </c>
      <c r="DZ4" s="15">
        <f>参数调整!$T36</f>
        <v>0</v>
      </c>
      <c r="EA4" s="15">
        <f>参数调整!$N37</f>
        <v>0</v>
      </c>
      <c r="EB4" s="15">
        <f>参数调整!$P37</f>
        <v>0</v>
      </c>
      <c r="EC4" s="15">
        <f>参数调整!$R37</f>
        <v>0</v>
      </c>
      <c r="ED4" s="15">
        <f>参数调整!$T37</f>
        <v>0</v>
      </c>
      <c r="EE4" s="15">
        <f>参数调整!$N38</f>
        <v>0</v>
      </c>
      <c r="EF4" s="15">
        <f>参数调整!$P38</f>
        <v>0</v>
      </c>
      <c r="EG4" s="15">
        <f>参数调整!$R38</f>
        <v>0</v>
      </c>
      <c r="EH4" s="15">
        <f>参数调整!$T38</f>
        <v>0</v>
      </c>
    </row>
    <row r="5" spans="1:138" x14ac:dyDescent="0.3">
      <c r="A5" s="10">
        <f>基本属性!B4</f>
        <v>35</v>
      </c>
      <c r="B5" s="10">
        <f>基本属性!C4</f>
        <v>0</v>
      </c>
      <c r="C5" s="10">
        <f t="shared" ref="C5:C22" si="0">10*E5</f>
        <v>2000</v>
      </c>
      <c r="D5" s="10">
        <f t="shared" ref="D5:D22" si="1">20*E5</f>
        <v>4000</v>
      </c>
      <c r="E5" s="10">
        <f>基本属性!F4</f>
        <v>200</v>
      </c>
      <c r="F5" s="10">
        <f t="shared" ref="F5:F22" si="2">1/2*E5</f>
        <v>100</v>
      </c>
      <c r="G5" s="10">
        <f>K4+P4+S4+V4+Z4+AC4+AL4+AP4+AV4+BC4+BG4+BK4+BO4+BS4+BW4+CA4+CE4+CI4+CM4+CQ4+CU4+CY4+DC4+DG4+DK4+DO4+DS4+DW4+EA4+EE4</f>
        <v>100000</v>
      </c>
      <c r="H5" s="10">
        <f>L4+T4+W4+AD4+AQ4+AW4+BD4+BH4+BL4+BP4+BT4+BX4+CB4+CF4+CJ4+CN4+CR4+CV4+CZ4+DD4+DH4+DL4+DP4+DT4+DX4+EB4+EF4</f>
        <v>200000</v>
      </c>
      <c r="I5" s="10">
        <f>M4+O4+Q4+U4+X4+AA4+AE4+AG4+AI4+AK4+AM4+AR4+AT4+AX4+BA4</f>
        <v>10000</v>
      </c>
      <c r="J5" s="10">
        <f>N4+R4+Y4+AB4+AF4+AH4+AJ4+AN4+AS4+AU4+AY4+BB4</f>
        <v>5000</v>
      </c>
      <c r="K5" s="10">
        <f t="shared" ref="K5:K29" si="3">(C5/C$31)*$K$4</f>
        <v>700</v>
      </c>
      <c r="L5" s="10">
        <f t="shared" ref="L5:L29" si="4">(D5/D$31)*$L$4</f>
        <v>1200</v>
      </c>
      <c r="M5" s="10">
        <f t="shared" ref="M5:M29" si="5">(E5/E$31)*$M$4</f>
        <v>10</v>
      </c>
      <c r="N5" s="10">
        <f t="shared" ref="N5:N29" si="6">(F5/F$31)*$N$4</f>
        <v>10</v>
      </c>
      <c r="O5" s="10">
        <f t="shared" ref="O5:O29" si="7">(E5/E$31)*$O$4</f>
        <v>10</v>
      </c>
      <c r="P5" s="10"/>
      <c r="Q5" s="10"/>
      <c r="R5" s="10"/>
      <c r="S5" s="10"/>
      <c r="T5" s="10"/>
      <c r="U5" s="10"/>
      <c r="V5" s="10">
        <f t="shared" ref="V5:V29" si="8">(C5/C$31)*$V$4</f>
        <v>300</v>
      </c>
      <c r="W5" s="10">
        <f t="shared" ref="W5:W29" si="9">(D5/D$31)*$W$4</f>
        <v>1200</v>
      </c>
      <c r="X5" s="10">
        <f t="shared" ref="X5:X29" si="10">(E5/E$31)*$X$4</f>
        <v>40</v>
      </c>
      <c r="Y5" s="10">
        <f t="shared" ref="Y5:Y29" si="11">(F5/F$31)*$Y$4</f>
        <v>30</v>
      </c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</row>
    <row r="6" spans="1:138" x14ac:dyDescent="0.3">
      <c r="A6" s="10">
        <f>基本属性!B5</f>
        <v>40</v>
      </c>
      <c r="B6" s="10">
        <f>基本属性!C5</f>
        <v>0</v>
      </c>
      <c r="C6" s="10">
        <f t="shared" si="0"/>
        <v>3000</v>
      </c>
      <c r="D6" s="10">
        <f t="shared" si="1"/>
        <v>6000</v>
      </c>
      <c r="E6" s="10">
        <f>基本属性!F5</f>
        <v>300</v>
      </c>
      <c r="F6" s="10">
        <f t="shared" si="2"/>
        <v>150</v>
      </c>
      <c r="G6" s="10">
        <f>K4+P4+S4+V4+Z4+AC4+AL4+AP4+AV4+BC4+BG4+BK4+BO4+BS4+BW4+CA4+CE4+CI4+CM4+CQ4+CU4+CY4+DC4+DG4+DK4+DO4+DS4+DW4+EA4+EE4</f>
        <v>100000</v>
      </c>
      <c r="H6" s="10">
        <f>L4+T4+W4+AD4+AQ4+AW4+BD4+BH4+BL4+BP4+BT4+BX4+CB4+CF4+CJ4+CN4+CR4+CV4+CZ4+DD4+DH4+DL4+DP4+DT4+DX4+EB4+EF4</f>
        <v>200000</v>
      </c>
      <c r="I6" s="10">
        <f>M4+O4+Q4+U4+X4+AA4+AE4+AG4+AI4+AK4+AM4+AR4+AT4+AX4+BA4</f>
        <v>10000</v>
      </c>
      <c r="J6" s="10">
        <f>N4+R4+Y4+AB4+AF4+AH4+AJ4+AN4+AS4+AU4+AY4+BB4</f>
        <v>5000</v>
      </c>
      <c r="K6" s="10">
        <f t="shared" si="3"/>
        <v>1050</v>
      </c>
      <c r="L6" s="10">
        <f t="shared" si="4"/>
        <v>1800</v>
      </c>
      <c r="M6" s="10">
        <f t="shared" si="5"/>
        <v>15</v>
      </c>
      <c r="N6" s="10">
        <f t="shared" si="6"/>
        <v>15</v>
      </c>
      <c r="O6" s="10">
        <f t="shared" si="7"/>
        <v>15</v>
      </c>
      <c r="P6" s="10"/>
      <c r="Q6" s="10"/>
      <c r="R6" s="10"/>
      <c r="S6" s="10"/>
      <c r="T6" s="10"/>
      <c r="U6" s="10"/>
      <c r="V6" s="10">
        <f t="shared" si="8"/>
        <v>450</v>
      </c>
      <c r="W6" s="10">
        <f t="shared" si="9"/>
        <v>1800</v>
      </c>
      <c r="X6" s="10">
        <f t="shared" si="10"/>
        <v>60</v>
      </c>
      <c r="Y6" s="10">
        <f t="shared" si="11"/>
        <v>45</v>
      </c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</row>
    <row r="7" spans="1:138" x14ac:dyDescent="0.3">
      <c r="A7" s="10">
        <f>基本属性!B6</f>
        <v>50</v>
      </c>
      <c r="B7" s="10">
        <f>基本属性!C6</f>
        <v>0</v>
      </c>
      <c r="C7" s="10">
        <f t="shared" si="0"/>
        <v>4000</v>
      </c>
      <c r="D7" s="10">
        <f t="shared" si="1"/>
        <v>8000</v>
      </c>
      <c r="E7" s="10">
        <f>基本属性!F6</f>
        <v>400</v>
      </c>
      <c r="F7" s="10">
        <f t="shared" si="2"/>
        <v>200</v>
      </c>
      <c r="G7" s="10">
        <f>K4+P4+S4+V4+Z4+AC4+AL4+AP4+AV4+BC4+BG4+BK4+BO4+BS4+BW4+CA4+CE4+CI4+CM4+CQ4+CU4+CY4+DC4+DG4+DK4+DO4+DS4+DW4+EA4+EE4</f>
        <v>100000</v>
      </c>
      <c r="H7" s="10">
        <f>L4+T4+W4+AD4+AQ4+AW4+BD4+BH4+BL4+BP4+BT4+BX4+CB4+CF4+CJ4+CN4+CR4+CV4+CZ4+DD4+DH4+DL4+DP4+DT4+DX4+EB4+EF4</f>
        <v>200000</v>
      </c>
      <c r="I7" s="10">
        <f>M4+O4+Q4+U4+X4+AA4+AE4+AG4+AI4+AK4+AM4+AR4+AT4+AX4+BA4</f>
        <v>10000</v>
      </c>
      <c r="J7" s="10">
        <f>N4+R4+Y4+AB4+AF4+AH4+AJ4+AN4+AS4+AU4+AY4+BB4</f>
        <v>5000</v>
      </c>
      <c r="K7" s="10">
        <f t="shared" si="3"/>
        <v>1400</v>
      </c>
      <c r="L7" s="10">
        <f t="shared" si="4"/>
        <v>2400</v>
      </c>
      <c r="M7" s="10">
        <f t="shared" si="5"/>
        <v>20</v>
      </c>
      <c r="N7" s="10">
        <f t="shared" si="6"/>
        <v>20</v>
      </c>
      <c r="O7" s="10">
        <f t="shared" si="7"/>
        <v>20</v>
      </c>
      <c r="P7" s="10"/>
      <c r="Q7" s="10"/>
      <c r="R7" s="10"/>
      <c r="S7" s="10"/>
      <c r="T7" s="10"/>
      <c r="U7" s="10"/>
      <c r="V7" s="10">
        <f t="shared" si="8"/>
        <v>600</v>
      </c>
      <c r="W7" s="10">
        <f t="shared" si="9"/>
        <v>2400</v>
      </c>
      <c r="X7" s="10">
        <f t="shared" si="10"/>
        <v>80</v>
      </c>
      <c r="Y7" s="10">
        <f t="shared" si="11"/>
        <v>60</v>
      </c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</row>
    <row r="8" spans="1:138" x14ac:dyDescent="0.3">
      <c r="A8" s="10">
        <f>基本属性!B7</f>
        <v>60</v>
      </c>
      <c r="B8" s="10">
        <f>基本属性!C7</f>
        <v>0</v>
      </c>
      <c r="C8" s="10">
        <f t="shared" si="0"/>
        <v>5000</v>
      </c>
      <c r="D8" s="10">
        <f t="shared" si="1"/>
        <v>10000</v>
      </c>
      <c r="E8" s="10">
        <f>基本属性!F7</f>
        <v>500</v>
      </c>
      <c r="F8" s="10">
        <f t="shared" si="2"/>
        <v>250</v>
      </c>
      <c r="G8" s="10">
        <f>K4+P4+S4+V4+Z4+AC4+AL4+AP4+AV4+BC4+BG4+BK4+BO4+BS4+BW4+CA4+CE4+CI4+CM4+CQ4+CU4+CY4+DC4+DG4+DK4+DO4+DS4+DW4+EA4+EE4</f>
        <v>100000</v>
      </c>
      <c r="H8" s="10">
        <f>L4+T4+W4+AD4+AQ4+AW4+BD4+BH4+BL4+BP4+BT4+BX4+CB4+CF4+CJ4+CN4+CR4+CV4+CZ4+DD4+DH4+DL4+DP4+DT4+DX4+EB4+EF4</f>
        <v>200000</v>
      </c>
      <c r="I8" s="10">
        <f>M4+O4+Q4+U4+X4+AA4+AE4+AG4+AI4+AK4+AM4+AR4+AT4+AX4+BA4</f>
        <v>10000</v>
      </c>
      <c r="J8" s="10">
        <f>N4+R4+Y4+AB4+AF4+AH4+AJ4+AN4+AS4+AU4+AY4+BB4</f>
        <v>5000</v>
      </c>
      <c r="K8" s="10">
        <f t="shared" si="3"/>
        <v>1750</v>
      </c>
      <c r="L8" s="10">
        <f t="shared" si="4"/>
        <v>3000</v>
      </c>
      <c r="M8" s="10">
        <f t="shared" si="5"/>
        <v>25</v>
      </c>
      <c r="N8" s="10">
        <f t="shared" si="6"/>
        <v>25</v>
      </c>
      <c r="O8" s="10">
        <f t="shared" si="7"/>
        <v>25</v>
      </c>
      <c r="P8" s="10"/>
      <c r="Q8" s="10"/>
      <c r="R8" s="10"/>
      <c r="S8" s="10"/>
      <c r="T8" s="10"/>
      <c r="U8" s="10"/>
      <c r="V8" s="10">
        <f t="shared" si="8"/>
        <v>750</v>
      </c>
      <c r="W8" s="10">
        <f t="shared" si="9"/>
        <v>3000</v>
      </c>
      <c r="X8" s="10">
        <f t="shared" si="10"/>
        <v>100</v>
      </c>
      <c r="Y8" s="10">
        <f t="shared" si="11"/>
        <v>75</v>
      </c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</row>
    <row r="9" spans="1:138" x14ac:dyDescent="0.3">
      <c r="A9" s="10">
        <f>基本属性!B8</f>
        <v>65</v>
      </c>
      <c r="B9" s="10">
        <f>基本属性!C8</f>
        <v>0</v>
      </c>
      <c r="C9" s="10">
        <f t="shared" si="0"/>
        <v>6500</v>
      </c>
      <c r="D9" s="10">
        <f t="shared" si="1"/>
        <v>13000</v>
      </c>
      <c r="E9" s="10">
        <f>基本属性!F8</f>
        <v>650</v>
      </c>
      <c r="F9" s="10">
        <f t="shared" si="2"/>
        <v>325</v>
      </c>
      <c r="G9" s="10">
        <f>K4+P4+S4+V4+Z4+AC4+AL4+AP4+AV4+BC4+BG4+BK4+BO4+BS4+BW4+CA4+CE4+CI4+CM4+CQ4+CU4+CY4+DC4+DG4+DK4+DO4+DS4+DW4+EA4+EE4</f>
        <v>100000</v>
      </c>
      <c r="H9" s="10">
        <f>L4+T4+W4+AD4+AQ4+AW4+BD4+BH4+BL4+BP4+BT4+BX4+CB4+CF4+CJ4+CN4+CR4+CV4+CZ4+DD4+DH4+DL4+DP4+DT4+DX4+EB4+EF4</f>
        <v>200000</v>
      </c>
      <c r="I9" s="10">
        <f>M4+O4+Q4+U4+X4+AA4+AE4+AG4+AI4+AK4+AM4+AR4+AT4+AX4+BA4</f>
        <v>10000</v>
      </c>
      <c r="J9" s="10">
        <f>N4+R4+Y4+AB4+AF4+AH4+AJ4+AN4+AS4+AU4+AY4+BB4</f>
        <v>5000</v>
      </c>
      <c r="K9" s="10">
        <f t="shared" si="3"/>
        <v>2275</v>
      </c>
      <c r="L9" s="10">
        <f t="shared" si="4"/>
        <v>3900</v>
      </c>
      <c r="M9" s="10">
        <f t="shared" si="5"/>
        <v>32.5</v>
      </c>
      <c r="N9" s="10">
        <f t="shared" si="6"/>
        <v>32.5</v>
      </c>
      <c r="O9" s="10">
        <f t="shared" si="7"/>
        <v>32.5</v>
      </c>
      <c r="P9" s="10"/>
      <c r="Q9" s="10"/>
      <c r="R9" s="10"/>
      <c r="S9" s="10"/>
      <c r="T9" s="10"/>
      <c r="U9" s="10"/>
      <c r="V9" s="10">
        <f t="shared" si="8"/>
        <v>975</v>
      </c>
      <c r="W9" s="10">
        <f t="shared" si="9"/>
        <v>3900</v>
      </c>
      <c r="X9" s="10">
        <f t="shared" si="10"/>
        <v>130</v>
      </c>
      <c r="Y9" s="10">
        <f t="shared" si="11"/>
        <v>97.5</v>
      </c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</row>
    <row r="10" spans="1:138" x14ac:dyDescent="0.3">
      <c r="A10" s="10">
        <f>基本属性!B9</f>
        <v>70</v>
      </c>
      <c r="B10" s="10">
        <f>基本属性!C9</f>
        <v>0</v>
      </c>
      <c r="C10" s="10">
        <f t="shared" si="0"/>
        <v>8000</v>
      </c>
      <c r="D10" s="10">
        <f t="shared" si="1"/>
        <v>16000</v>
      </c>
      <c r="E10" s="10">
        <f>基本属性!F9</f>
        <v>800</v>
      </c>
      <c r="F10" s="10">
        <f t="shared" si="2"/>
        <v>400</v>
      </c>
      <c r="G10" s="10">
        <f>K4+P4+S4+V4+Z4+AC4+AL4+AP4+AV4+BC4+BG4+BK4+BO4+BS4+BW4+CA4+CE4+CI4+CM4+CQ4+CU4+CY4+DC4+DG4+DK4+DO4+DS4+DW4+EA4+EE4</f>
        <v>100000</v>
      </c>
      <c r="H10" s="10">
        <f>L4+T4+W4+AD4+AQ4+AW4+BD4+BH4+BL4+BP4+BT4+BX4+CB4+CF4+CJ4+CN4+CR4+CV4+CZ4+DD4+DH4+DL4+DP4+DT4+DX4+EB4+EF4</f>
        <v>200000</v>
      </c>
      <c r="I10" s="10">
        <f>M4+O4+Q4+U4+X4+AA4+AE4+AG4+AI4+AK4+AM4+AR4+AT4+AX4+BA4</f>
        <v>10000</v>
      </c>
      <c r="J10" s="10">
        <f>N4+R4+Y4+AB4+AF4+AH4+AJ4+AN4+AS4+AU4+AY4+BB4</f>
        <v>5000</v>
      </c>
      <c r="K10" s="10">
        <f t="shared" si="3"/>
        <v>2800</v>
      </c>
      <c r="L10" s="10">
        <f t="shared" si="4"/>
        <v>4800</v>
      </c>
      <c r="M10" s="10">
        <f t="shared" si="5"/>
        <v>40</v>
      </c>
      <c r="N10" s="10">
        <f t="shared" si="6"/>
        <v>40</v>
      </c>
      <c r="O10" s="10">
        <f t="shared" si="7"/>
        <v>40</v>
      </c>
      <c r="P10" s="10"/>
      <c r="Q10" s="10"/>
      <c r="R10" s="10"/>
      <c r="S10" s="10"/>
      <c r="T10" s="10"/>
      <c r="U10" s="10"/>
      <c r="V10" s="10">
        <f t="shared" si="8"/>
        <v>1200</v>
      </c>
      <c r="W10" s="10">
        <f t="shared" si="9"/>
        <v>4800</v>
      </c>
      <c r="X10" s="10">
        <f t="shared" si="10"/>
        <v>160</v>
      </c>
      <c r="Y10" s="10">
        <f t="shared" si="11"/>
        <v>120</v>
      </c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</row>
    <row r="11" spans="1:138" x14ac:dyDescent="0.3">
      <c r="A11" s="10">
        <f>基本属性!B10</f>
        <v>75</v>
      </c>
      <c r="B11" s="10">
        <f>基本属性!C10</f>
        <v>0</v>
      </c>
      <c r="C11" s="10">
        <f t="shared" si="0"/>
        <v>9500</v>
      </c>
      <c r="D11" s="10">
        <f t="shared" si="1"/>
        <v>19000</v>
      </c>
      <c r="E11" s="10">
        <f>基本属性!F10</f>
        <v>950</v>
      </c>
      <c r="F11" s="10">
        <f t="shared" si="2"/>
        <v>475</v>
      </c>
      <c r="G11" s="10">
        <f>K4+P4+S4+V4+Z4+AC4+AL4+AP4+AV4+BC4+BG4+BK4+BO4+BS4+BW4+CA4+CE4+CI4+CM4+CQ4+CU4+CY4+DC4+DG4+DK4+DO4+DS4+DW4+EA4+EE4</f>
        <v>100000</v>
      </c>
      <c r="H11" s="10">
        <f>L4+T4+W4+AD4+AQ4+AW4+BD4+BH4+BL4+BP4+BT4+BX4+CB4+CF4+CJ4+CN4+CR4+CV4+CZ4+DD4+DH4+DL4+DP4+DT4+DX4+EB4+EF4</f>
        <v>200000</v>
      </c>
      <c r="I11" s="10">
        <f>M4+O4+Q4+U4+X4+AA4+AE4+AG4+AI4+AK4+AM4+AR4+AT4+AX4+BA4</f>
        <v>10000</v>
      </c>
      <c r="J11" s="10">
        <f>N4+R4+Y4+AB4+AF4+AH4+AJ4+AN4+AS4+AU4+AY4+BB4</f>
        <v>5000</v>
      </c>
      <c r="K11" s="10">
        <f t="shared" si="3"/>
        <v>3325</v>
      </c>
      <c r="L11" s="10">
        <f t="shared" si="4"/>
        <v>5700</v>
      </c>
      <c r="M11" s="10">
        <f t="shared" si="5"/>
        <v>47.5</v>
      </c>
      <c r="N11" s="10">
        <f t="shared" si="6"/>
        <v>47.5</v>
      </c>
      <c r="O11" s="10">
        <f t="shared" si="7"/>
        <v>47.5</v>
      </c>
      <c r="P11" s="10"/>
      <c r="Q11" s="10"/>
      <c r="R11" s="10"/>
      <c r="S11" s="10"/>
      <c r="T11" s="10"/>
      <c r="U11" s="10"/>
      <c r="V11" s="10">
        <f t="shared" si="8"/>
        <v>1425</v>
      </c>
      <c r="W11" s="10">
        <f t="shared" si="9"/>
        <v>5700</v>
      </c>
      <c r="X11" s="10">
        <f t="shared" si="10"/>
        <v>190</v>
      </c>
      <c r="Y11" s="10">
        <f t="shared" si="11"/>
        <v>142.5</v>
      </c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</row>
    <row r="12" spans="1:138" x14ac:dyDescent="0.3">
      <c r="A12" s="10">
        <f>基本属性!B11</f>
        <v>80</v>
      </c>
      <c r="B12" s="10">
        <f>基本属性!C11</f>
        <v>1</v>
      </c>
      <c r="C12" s="16">
        <f t="shared" si="0"/>
        <v>11000</v>
      </c>
      <c r="D12" s="16">
        <f t="shared" si="1"/>
        <v>22000</v>
      </c>
      <c r="E12" s="16">
        <f>基本属性!F11</f>
        <v>1100</v>
      </c>
      <c r="F12" s="16">
        <f t="shared" si="2"/>
        <v>550</v>
      </c>
      <c r="G12" s="16">
        <f>K4+P4+S4+V4+Z4+AC4+AL4+AP4+AV4+BC4+BG4+BK4+BO4+BS4+BW4+CA4+CE4+CI4+CM4+CQ4+CU4+CY4+DC4+DG4+DK4+DO4+DS4+DW4+EA4+EE4</f>
        <v>100000</v>
      </c>
      <c r="H12" s="16">
        <f>L4+T4+W4+AD4+AQ4+AW4+BD4+BH4+BL4+BP4+BT4+BX4+CB4+CF4+CJ4+CN4+CR4+CV4+CZ4+DD4+DH4+DL4+DP4+DT4+DX4+EB4+EF4</f>
        <v>200000</v>
      </c>
      <c r="I12" s="16">
        <f>M4+O4+Q4+U4+X4+AA4+AE4+AG4+AI4+AK4+AM4+AR4+AT4+AX4+BA4</f>
        <v>10000</v>
      </c>
      <c r="J12" s="16">
        <f>N4+R4+Y4+AB4+AF4+AH4+AJ4+AN4+AS4+AU4+AY4+BB4</f>
        <v>5000</v>
      </c>
      <c r="K12" s="10">
        <f t="shared" si="3"/>
        <v>3850</v>
      </c>
      <c r="L12" s="10">
        <f t="shared" si="4"/>
        <v>6600</v>
      </c>
      <c r="M12" s="10">
        <f t="shared" si="5"/>
        <v>55</v>
      </c>
      <c r="N12" s="10">
        <f t="shared" si="6"/>
        <v>55</v>
      </c>
      <c r="O12" s="10">
        <f t="shared" si="7"/>
        <v>55</v>
      </c>
      <c r="P12" s="10">
        <f>(C12/C$31)*$P$4</f>
        <v>550</v>
      </c>
      <c r="Q12" s="10">
        <f>(E12/E$31)*$Q$4</f>
        <v>55</v>
      </c>
      <c r="R12" s="10">
        <f>(F12/F$31)*$R$4</f>
        <v>27.5</v>
      </c>
      <c r="S12" s="16">
        <f>(C12/C$31)*$S$4</f>
        <v>1100</v>
      </c>
      <c r="T12" s="16">
        <f>(D12/D$31)*$T$4</f>
        <v>2200</v>
      </c>
      <c r="U12" s="16">
        <f>(E12/E$31)*$U$4</f>
        <v>55</v>
      </c>
      <c r="V12" s="10">
        <f t="shared" si="8"/>
        <v>1650</v>
      </c>
      <c r="W12" s="10">
        <f t="shared" si="9"/>
        <v>6600</v>
      </c>
      <c r="X12" s="10">
        <f t="shared" si="10"/>
        <v>220</v>
      </c>
      <c r="Y12" s="10">
        <f t="shared" si="11"/>
        <v>165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</row>
    <row r="13" spans="1:138" x14ac:dyDescent="0.3">
      <c r="A13" s="10">
        <f>基本属性!B12</f>
        <v>90</v>
      </c>
      <c r="B13" s="10">
        <f>基本属性!C12</f>
        <v>2</v>
      </c>
      <c r="C13" s="10">
        <f t="shared" si="0"/>
        <v>14000</v>
      </c>
      <c r="D13" s="10">
        <f t="shared" si="1"/>
        <v>28000</v>
      </c>
      <c r="E13" s="10">
        <f>基本属性!F12</f>
        <v>1400</v>
      </c>
      <c r="F13" s="10">
        <f t="shared" si="2"/>
        <v>700</v>
      </c>
      <c r="G13" s="10">
        <f>K4+P4+S4+V4+Z4+AC4+AL4+AP4+AV4+BC4+BG4+BK4+BO4+BS4+BW4+CA4+CE4+CI4+CM4+CQ4+CU4+CY4+DC4+DG4+DK4+DO4+DS4+DW4+EA4+EE4</f>
        <v>100000</v>
      </c>
      <c r="H13" s="10">
        <f>L4+T4+W4+AD4+AQ4+AW4+BD4+BH4+BL4+BP4+BT4+BX4+CB4+CF4+CJ4+CN4+CR4+CV4+CZ4+DD4+DH4+DL4+DP4+DT4+DX4+EB4+EF4</f>
        <v>200000</v>
      </c>
      <c r="I13" s="10">
        <f>M4+O4+Q4+U4+X4+AA4+AE4+AG4+AI4+AK4+AM4+AR4+AT4+AX4+BA4</f>
        <v>10000</v>
      </c>
      <c r="J13" s="10">
        <f>N4+R4+Y4+AB4+AF4+AH4+AJ4+AN4+AS4+AU4+AY4+BB4</f>
        <v>5000</v>
      </c>
      <c r="K13" s="10">
        <f t="shared" si="3"/>
        <v>4900.0000000000009</v>
      </c>
      <c r="L13" s="10">
        <f t="shared" si="4"/>
        <v>8400</v>
      </c>
      <c r="M13" s="10">
        <f t="shared" si="5"/>
        <v>70</v>
      </c>
      <c r="N13" s="10">
        <f t="shared" si="6"/>
        <v>70</v>
      </c>
      <c r="O13" s="10">
        <f t="shared" si="7"/>
        <v>70</v>
      </c>
      <c r="P13" s="10"/>
      <c r="Q13" s="10"/>
      <c r="R13" s="10"/>
      <c r="S13" s="10"/>
      <c r="T13" s="10"/>
      <c r="U13" s="10"/>
      <c r="V13" s="10">
        <f t="shared" si="8"/>
        <v>2100</v>
      </c>
      <c r="W13" s="10">
        <f t="shared" si="9"/>
        <v>8400</v>
      </c>
      <c r="X13" s="10">
        <f t="shared" si="10"/>
        <v>280</v>
      </c>
      <c r="Y13" s="10">
        <f t="shared" si="11"/>
        <v>210.00000000000003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</row>
    <row r="14" spans="1:138" x14ac:dyDescent="0.3">
      <c r="A14" s="10">
        <f>基本属性!B13</f>
        <v>100</v>
      </c>
      <c r="B14" s="10">
        <f>基本属性!C13</f>
        <v>3</v>
      </c>
      <c r="C14" s="10">
        <f t="shared" si="0"/>
        <v>18000</v>
      </c>
      <c r="D14" s="10">
        <f t="shared" si="1"/>
        <v>36000</v>
      </c>
      <c r="E14" s="10">
        <f>基本属性!F13</f>
        <v>1800</v>
      </c>
      <c r="F14" s="10">
        <f t="shared" si="2"/>
        <v>900</v>
      </c>
      <c r="G14" s="10">
        <f>K4+P4+S4+V4+Z4+AC4+AL4+AP4+AV4+BC4+BG4+BK4+BO4+BS4+BW4+CA4+CE4+CI4+CM4+CQ4+CU4+CY4+DC4+DG4+DK4+DO4+DS4+DW4+EA4+EE4</f>
        <v>100000</v>
      </c>
      <c r="H14" s="10">
        <f>L4+T4+W4+AD4+AQ4+AW4+BD4+BH4+BL4+BP4+BT4+BX4+CB4+CF4+CJ4+CN4+CR4+CV4+CZ4+DD4+DH4+DL4+DP4+DT4+DX4+EB4+EF4</f>
        <v>200000</v>
      </c>
      <c r="I14" s="10">
        <f>M4+O4+Q4+U4+X4+AA4+AE4+AG4+AI4+AK4+AM4+AR4+AT4+AX4+BA4</f>
        <v>10000</v>
      </c>
      <c r="J14" s="10">
        <f>N4+R4+Y4+AB4+AF4+AH4+AJ4+AN4+AS4+AU4+AY4+BB4</f>
        <v>5000</v>
      </c>
      <c r="K14" s="10">
        <f t="shared" si="3"/>
        <v>6300</v>
      </c>
      <c r="L14" s="10">
        <f t="shared" si="4"/>
        <v>10800</v>
      </c>
      <c r="M14" s="10">
        <f t="shared" si="5"/>
        <v>90</v>
      </c>
      <c r="N14" s="10">
        <f t="shared" si="6"/>
        <v>90</v>
      </c>
      <c r="O14" s="10">
        <f t="shared" si="7"/>
        <v>90</v>
      </c>
      <c r="P14" s="10"/>
      <c r="Q14" s="10"/>
      <c r="R14" s="10"/>
      <c r="S14" s="10"/>
      <c r="T14" s="10"/>
      <c r="U14" s="10"/>
      <c r="V14" s="10">
        <f t="shared" si="8"/>
        <v>2700</v>
      </c>
      <c r="W14" s="10">
        <f t="shared" si="9"/>
        <v>10800</v>
      </c>
      <c r="X14" s="10">
        <f t="shared" si="10"/>
        <v>360</v>
      </c>
      <c r="Y14" s="10">
        <f t="shared" si="11"/>
        <v>270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</row>
    <row r="15" spans="1:138" x14ac:dyDescent="0.3">
      <c r="A15" s="10">
        <f>基本属性!B14</f>
        <v>105</v>
      </c>
      <c r="B15" s="10">
        <f>基本属性!C14</f>
        <v>4</v>
      </c>
      <c r="C15" s="10">
        <f t="shared" si="0"/>
        <v>22000</v>
      </c>
      <c r="D15" s="10">
        <f t="shared" si="1"/>
        <v>44000</v>
      </c>
      <c r="E15" s="10">
        <f>基本属性!F14</f>
        <v>2200</v>
      </c>
      <c r="F15" s="10">
        <f t="shared" si="2"/>
        <v>1100</v>
      </c>
      <c r="G15" s="10">
        <f>K4+P4+S4+V4+Z4+AC4+AL4+AP4+AV4+BC4+BG4+BK4+BO4+BS4+BW4+CA4+CE4+CI4+CM4+CQ4+CU4+CY4+DC4+DG4+DK4+DO4+DS4+DW4+EA4+EE4</f>
        <v>100000</v>
      </c>
      <c r="H15" s="10">
        <f>L4+T4+W4+AD4+AQ4+AW4+BD4+BH4+BL4+BP4+BT4+BX4+CB4+CF4+CJ4+CN4+CR4+CV4+CZ4+DD4+DH4+DL4+DP4+DT4+DX4+EB4+EF4</f>
        <v>200000</v>
      </c>
      <c r="I15" s="10">
        <f>M4+O4+Q4+U4+X4+AA4+AE4+AG4+AI4+AK4+AM4+AR4+AT4+AX4+BA4</f>
        <v>10000</v>
      </c>
      <c r="J15" s="10">
        <f>N4+R4+Y4+AB4+AF4+AH4+AJ4+AN4+AS4+AU4+AY4+BB4</f>
        <v>5000</v>
      </c>
      <c r="K15" s="10">
        <f t="shared" si="3"/>
        <v>7700</v>
      </c>
      <c r="L15" s="10">
        <f t="shared" si="4"/>
        <v>13200</v>
      </c>
      <c r="M15" s="10">
        <f t="shared" si="5"/>
        <v>110</v>
      </c>
      <c r="N15" s="10">
        <f t="shared" si="6"/>
        <v>110</v>
      </c>
      <c r="O15" s="10">
        <f t="shared" si="7"/>
        <v>110</v>
      </c>
      <c r="P15" s="10"/>
      <c r="Q15" s="10"/>
      <c r="R15" s="10"/>
      <c r="S15" s="10"/>
      <c r="T15" s="10"/>
      <c r="U15" s="10"/>
      <c r="V15" s="10">
        <f t="shared" si="8"/>
        <v>3300</v>
      </c>
      <c r="W15" s="10">
        <f t="shared" si="9"/>
        <v>13200</v>
      </c>
      <c r="X15" s="10">
        <f t="shared" si="10"/>
        <v>440</v>
      </c>
      <c r="Y15" s="10">
        <f t="shared" si="11"/>
        <v>330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</row>
    <row r="16" spans="1:138" x14ac:dyDescent="0.3">
      <c r="A16" s="10">
        <f>基本属性!B15</f>
        <v>110</v>
      </c>
      <c r="B16" s="10">
        <f>基本属性!C15</f>
        <v>5</v>
      </c>
      <c r="C16" s="10">
        <f t="shared" si="0"/>
        <v>25500</v>
      </c>
      <c r="D16" s="10">
        <f t="shared" si="1"/>
        <v>51000</v>
      </c>
      <c r="E16" s="10">
        <f>基本属性!F15</f>
        <v>2550</v>
      </c>
      <c r="F16" s="10">
        <f t="shared" si="2"/>
        <v>1275</v>
      </c>
      <c r="G16" s="10">
        <f>K4+P4+S4+V4+Z4+AC4+AL4+AP4+AV4+BC4+BG4+BK4+BO4+BS4+BW4+CA4+CE4+CI4+CM4+CQ4+CU4+CY4+DC4+DG4+DK4+DO4+DS4+DW4+EA4+EE4</f>
        <v>100000</v>
      </c>
      <c r="H16" s="10">
        <f>L4+T4+W4+AD4+AQ4+AW4+BD4+BH4+BL4+BP4+BT4+BX4+CB4+CF4+CJ4+CN4+CR4+CV4+CZ4+DD4+DH4+DL4+DP4+DT4+DX4+EB4+EF4</f>
        <v>200000</v>
      </c>
      <c r="I16" s="10">
        <f>M4+O4+Q4+U4+X4+AA4+AE4+AG4+AI4+AK4+AM4+AR4+AT4+AX4+BA4</f>
        <v>10000</v>
      </c>
      <c r="J16" s="10">
        <f>N4+R4+Y4+AB4+AF4+AH4+AJ4+AN4+AS4+AU4+AY4+BB4</f>
        <v>5000</v>
      </c>
      <c r="K16" s="10">
        <f t="shared" si="3"/>
        <v>8925</v>
      </c>
      <c r="L16" s="10">
        <f t="shared" si="4"/>
        <v>15300</v>
      </c>
      <c r="M16" s="10">
        <f t="shared" si="5"/>
        <v>127.5</v>
      </c>
      <c r="N16" s="10">
        <f t="shared" si="6"/>
        <v>127.5</v>
      </c>
      <c r="O16" s="10">
        <f t="shared" si="7"/>
        <v>127.5</v>
      </c>
      <c r="P16" s="10"/>
      <c r="Q16" s="10"/>
      <c r="R16" s="10"/>
      <c r="S16" s="10"/>
      <c r="T16" s="10"/>
      <c r="U16" s="10"/>
      <c r="V16" s="10">
        <f t="shared" si="8"/>
        <v>3825</v>
      </c>
      <c r="W16" s="10">
        <f t="shared" si="9"/>
        <v>15300</v>
      </c>
      <c r="X16" s="10">
        <f t="shared" si="10"/>
        <v>510</v>
      </c>
      <c r="Y16" s="10">
        <f t="shared" si="11"/>
        <v>382.5</v>
      </c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</row>
    <row r="17" spans="1:138" x14ac:dyDescent="0.3">
      <c r="A17" s="10">
        <f>基本属性!B16</f>
        <v>120</v>
      </c>
      <c r="B17" s="10">
        <f>基本属性!C16</f>
        <v>6</v>
      </c>
      <c r="C17" s="10">
        <f t="shared" si="0"/>
        <v>29000</v>
      </c>
      <c r="D17" s="10">
        <f t="shared" si="1"/>
        <v>58000</v>
      </c>
      <c r="E17" s="10">
        <f>基本属性!F16</f>
        <v>2900</v>
      </c>
      <c r="F17" s="10">
        <f t="shared" si="2"/>
        <v>1450</v>
      </c>
      <c r="G17" s="10">
        <f>K4+P4+S4+V4+Z4+AC4+AL4+AP4+AV4+BC4+BG4+BK4+BO4+BS4+BW4+CA4+CE4+CI4+CM4+CQ4+CU4+CY4+DC4+DG4+DK4+DO4+DS4+DW4+EA4+EE4</f>
        <v>100000</v>
      </c>
      <c r="H17" s="10">
        <f>L4+T4+W4+AD4+AQ4+AW4+BD4+BH4+BL4+BP4+BT4+BX4+CB4+CF4+CJ4+CN4+CR4+CV4+CZ4+DD4+DH4+DL4+DP4+DT4+DX4+EB4+EF4</f>
        <v>200000</v>
      </c>
      <c r="I17" s="10">
        <f>M4+O4+Q4+U4+X4+AA4+AE4+AG4+AI4+AK4+AM4+AR4+AT4+AX4+BA4</f>
        <v>10000</v>
      </c>
      <c r="J17" s="10">
        <f>N4+R4+Y4+AB4+AF4+AH4+AJ4+AN4+AS4+AU4+AY4+BB4</f>
        <v>5000</v>
      </c>
      <c r="K17" s="10">
        <f t="shared" si="3"/>
        <v>10150</v>
      </c>
      <c r="L17" s="10">
        <f t="shared" si="4"/>
        <v>17400</v>
      </c>
      <c r="M17" s="10">
        <f t="shared" si="5"/>
        <v>145</v>
      </c>
      <c r="N17" s="10">
        <f t="shared" si="6"/>
        <v>145</v>
      </c>
      <c r="O17" s="10">
        <f t="shared" si="7"/>
        <v>145</v>
      </c>
      <c r="P17" s="10"/>
      <c r="Q17" s="10"/>
      <c r="R17" s="10"/>
      <c r="S17" s="10"/>
      <c r="T17" s="10"/>
      <c r="U17" s="10"/>
      <c r="V17" s="10">
        <f t="shared" si="8"/>
        <v>4350</v>
      </c>
      <c r="W17" s="10">
        <f t="shared" si="9"/>
        <v>17400</v>
      </c>
      <c r="X17" s="10">
        <f t="shared" si="10"/>
        <v>580</v>
      </c>
      <c r="Y17" s="10">
        <f t="shared" si="11"/>
        <v>434.99999999999994</v>
      </c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</row>
    <row r="18" spans="1:138" x14ac:dyDescent="0.3">
      <c r="A18" s="10">
        <f>基本属性!B17</f>
        <v>135</v>
      </c>
      <c r="B18" s="10">
        <f>基本属性!C17</f>
        <v>7</v>
      </c>
      <c r="C18" s="10">
        <f t="shared" si="0"/>
        <v>32000</v>
      </c>
      <c r="D18" s="10">
        <f t="shared" si="1"/>
        <v>64000</v>
      </c>
      <c r="E18" s="10">
        <f>基本属性!F17</f>
        <v>3200</v>
      </c>
      <c r="F18" s="10">
        <f t="shared" si="2"/>
        <v>1600</v>
      </c>
      <c r="G18" s="10">
        <f>K4+P4+S4+V4+Z4+AC4+AL4+AP4+AV4+BC4+BG4+BK4+BO4+BS4+BW4+CA4+CE4+CI4+CM4+CQ4+CU4+CY4+DC4+DG4+DK4+DO4+DS4+DW4+EA4+EE4</f>
        <v>100000</v>
      </c>
      <c r="H18" s="10">
        <f>L4+T4+W4+AD4+AQ4+AW4+BD4+BH4+BL4+BP4+BT4+BX4+CB4+CF4+CJ4+CN4+CR4+CV4+CZ4+DD4+DH4+DL4+DP4+DT4+DX4+EB4+EF4</f>
        <v>200000</v>
      </c>
      <c r="I18" s="10">
        <f>M4+O4+Q4+U4+X4+AA4+AE4+AG4+AI4+AK4+AM4+AR4+AT4+AX4+BA4</f>
        <v>10000</v>
      </c>
      <c r="J18" s="10">
        <f>N4+R4+Y4+AB4+AF4+AH4+AJ4+AN4+AS4+AU4+AY4+BB4</f>
        <v>5000</v>
      </c>
      <c r="K18" s="10">
        <f t="shared" si="3"/>
        <v>11200</v>
      </c>
      <c r="L18" s="10">
        <f t="shared" si="4"/>
        <v>19200</v>
      </c>
      <c r="M18" s="10">
        <f t="shared" si="5"/>
        <v>160</v>
      </c>
      <c r="N18" s="10">
        <f t="shared" si="6"/>
        <v>160</v>
      </c>
      <c r="O18" s="10">
        <f t="shared" si="7"/>
        <v>160</v>
      </c>
      <c r="P18" s="10"/>
      <c r="Q18" s="10"/>
      <c r="R18" s="10"/>
      <c r="S18" s="10"/>
      <c r="T18" s="10"/>
      <c r="U18" s="10"/>
      <c r="V18" s="10">
        <f t="shared" si="8"/>
        <v>4800</v>
      </c>
      <c r="W18" s="10">
        <f t="shared" si="9"/>
        <v>19200</v>
      </c>
      <c r="X18" s="10">
        <f t="shared" si="10"/>
        <v>640</v>
      </c>
      <c r="Y18" s="10">
        <f t="shared" si="11"/>
        <v>480</v>
      </c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</row>
    <row r="19" spans="1:138" x14ac:dyDescent="0.3">
      <c r="A19" s="10">
        <f>基本属性!B18</f>
        <v>155</v>
      </c>
      <c r="B19" s="10">
        <f>基本属性!C18</f>
        <v>8</v>
      </c>
      <c r="C19" s="10">
        <f t="shared" si="0"/>
        <v>35000</v>
      </c>
      <c r="D19" s="10">
        <f t="shared" si="1"/>
        <v>70000</v>
      </c>
      <c r="E19" s="10">
        <f>基本属性!F18</f>
        <v>3500</v>
      </c>
      <c r="F19" s="10">
        <f t="shared" si="2"/>
        <v>1750</v>
      </c>
      <c r="G19" s="10">
        <f>K4+P4+S4+V4+Z4+AC4+AL4+AP4+AV4+BC4+BG4+BK4+BO4+BS4+BW4+CA4+CE4+CI4+CM4+CQ4+CU4+CY4+DC4+DG4+DK4+DO4+DS4+DW4+EA4+EE4</f>
        <v>100000</v>
      </c>
      <c r="H19" s="10">
        <f>L4+T4+W4+AD4+AQ4+AW4+BD4+BH4+BL4+BP4+BT4+BX4+CB4+CF4+CJ4+CN4+CR4+CV4+CZ4+DD4+DH4+DL4+DP4+DT4+DX4+EB4+EF4</f>
        <v>200000</v>
      </c>
      <c r="I19" s="10">
        <f>M4+O4+Q4+U4+X4+AA4+AE4+AG4+AI4+AK4+AM4+AR4+AT4+AX4+BA4</f>
        <v>10000</v>
      </c>
      <c r="J19" s="10">
        <f>N4+R4+Y4+AB4+AF4+AH4+AJ4+AN4+AS4+AU4+AY4+BB4</f>
        <v>5000</v>
      </c>
      <c r="K19" s="10">
        <f t="shared" si="3"/>
        <v>12250</v>
      </c>
      <c r="L19" s="10">
        <f t="shared" si="4"/>
        <v>21000</v>
      </c>
      <c r="M19" s="10">
        <f t="shared" si="5"/>
        <v>175</v>
      </c>
      <c r="N19" s="10">
        <f t="shared" si="6"/>
        <v>175</v>
      </c>
      <c r="O19" s="10">
        <f t="shared" si="7"/>
        <v>175</v>
      </c>
      <c r="P19" s="10"/>
      <c r="Q19" s="10"/>
      <c r="R19" s="10"/>
      <c r="S19" s="10"/>
      <c r="T19" s="10"/>
      <c r="U19" s="10"/>
      <c r="V19" s="10">
        <f t="shared" si="8"/>
        <v>5250</v>
      </c>
      <c r="W19" s="10">
        <f t="shared" si="9"/>
        <v>21000</v>
      </c>
      <c r="X19" s="10">
        <f t="shared" si="10"/>
        <v>700</v>
      </c>
      <c r="Y19" s="10">
        <f t="shared" si="11"/>
        <v>525</v>
      </c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</row>
    <row r="20" spans="1:138" x14ac:dyDescent="0.3">
      <c r="A20" s="10">
        <f>基本属性!B19</f>
        <v>190</v>
      </c>
      <c r="B20" s="10">
        <f>基本属性!C19</f>
        <v>9</v>
      </c>
      <c r="C20" s="10">
        <f t="shared" si="0"/>
        <v>37500</v>
      </c>
      <c r="D20" s="10">
        <f t="shared" si="1"/>
        <v>75000</v>
      </c>
      <c r="E20" s="10">
        <f>基本属性!F19</f>
        <v>3750</v>
      </c>
      <c r="F20" s="10">
        <f t="shared" si="2"/>
        <v>1875</v>
      </c>
      <c r="G20" s="10">
        <f>K4+P4+S4+V4+Z4+AC4+AL4+AP4+AV4+BC4+BG4+BK4+BO4+BS4+BW4+CA4+CE4+CI4+CM4+CQ4+CU4+CY4+DC4+DG4+DK4+DO4+DS4+DW4+EA4+EE4</f>
        <v>100000</v>
      </c>
      <c r="H20" s="10">
        <f>L4+T4+W4+AD4+AQ4+AW4+BD4+BH4+BL4+BP4+BT4+BX4+CB4+CF4+CJ4+CN4+CR4+CV4+CZ4+DD4+DH4+DL4+DP4+DT4+DX4+EB4+EF4</f>
        <v>200000</v>
      </c>
      <c r="I20" s="10">
        <f>M4+O4+Q4+U4+X4+AA4+AE4+AG4+AI4+AK4+AM4+AR4+AT4+AX4+BA4</f>
        <v>10000</v>
      </c>
      <c r="J20" s="10">
        <f>N4+R4+Y4+AB4+AF4+AH4+AJ4+AN4+AS4+AU4+AY4+BB4</f>
        <v>5000</v>
      </c>
      <c r="K20" s="10">
        <f t="shared" si="3"/>
        <v>13125</v>
      </c>
      <c r="L20" s="10">
        <f t="shared" si="4"/>
        <v>22500</v>
      </c>
      <c r="M20" s="10">
        <f t="shared" si="5"/>
        <v>187.5</v>
      </c>
      <c r="N20" s="10">
        <f t="shared" si="6"/>
        <v>187.5</v>
      </c>
      <c r="O20" s="10">
        <f t="shared" si="7"/>
        <v>187.5</v>
      </c>
      <c r="P20" s="10"/>
      <c r="Q20" s="10"/>
      <c r="R20" s="10"/>
      <c r="S20" s="10"/>
      <c r="T20" s="10"/>
      <c r="U20" s="10"/>
      <c r="V20" s="10">
        <f t="shared" si="8"/>
        <v>5625</v>
      </c>
      <c r="W20" s="10">
        <f t="shared" si="9"/>
        <v>22500</v>
      </c>
      <c r="X20" s="10">
        <f t="shared" si="10"/>
        <v>750</v>
      </c>
      <c r="Y20" s="10">
        <f t="shared" si="11"/>
        <v>562.5</v>
      </c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</row>
    <row r="21" spans="1:138" x14ac:dyDescent="0.3">
      <c r="A21" s="10">
        <f>基本属性!B20</f>
        <v>200</v>
      </c>
      <c r="B21" s="10">
        <f>基本属性!C20</f>
        <v>10</v>
      </c>
      <c r="C21" s="16">
        <f t="shared" si="0"/>
        <v>40000</v>
      </c>
      <c r="D21" s="16">
        <f t="shared" si="1"/>
        <v>80000</v>
      </c>
      <c r="E21" s="16">
        <f>基本属性!F20</f>
        <v>4000</v>
      </c>
      <c r="F21" s="16">
        <f t="shared" si="2"/>
        <v>2000</v>
      </c>
      <c r="G21" s="16">
        <f>K4+P4+S4+V4+Z4+AC4+AL4+AP4+AV4+BC4+BG4+BK4+BO4+BS4+BW4+CA4+CE4+CI4+CM4+CQ4+CU4+CY4+DC4+DG4+DK4+DO4+DS4+DW4+EA4+EE4</f>
        <v>100000</v>
      </c>
      <c r="H21" s="16">
        <f>L4+T4+W4+AD4+AQ4+AW4+BD4+BH4+BL4+BP4+BT4+BX4+CB4+CF4+CJ4+CN4+CR4+CV4+CZ4+DD4+DH4+DL4+DP4+DT4+DX4+EB4+EF4</f>
        <v>200000</v>
      </c>
      <c r="I21" s="16">
        <f>M4+O4+Q4+U4+X4+AA4+AE4+AG4+AI4+AK4+AM4+AR4+AT4+AX4+BA4</f>
        <v>10000</v>
      </c>
      <c r="J21" s="16">
        <f>N4+R4+Y4+AB4+AF4+AH4+AJ4+AN4+AS4+AU4+AY4+BB4</f>
        <v>5000</v>
      </c>
      <c r="K21" s="10">
        <f t="shared" si="3"/>
        <v>14000</v>
      </c>
      <c r="L21" s="10">
        <f t="shared" si="4"/>
        <v>24000</v>
      </c>
      <c r="M21" s="10">
        <f t="shared" si="5"/>
        <v>200</v>
      </c>
      <c r="N21" s="10">
        <f t="shared" si="6"/>
        <v>200</v>
      </c>
      <c r="O21" s="10">
        <f t="shared" si="7"/>
        <v>200</v>
      </c>
      <c r="P21" s="10">
        <f>(C21/C$31)*$P$4</f>
        <v>2000</v>
      </c>
      <c r="Q21" s="10">
        <f>(E21/E$31)*$Q$4</f>
        <v>200</v>
      </c>
      <c r="R21" s="10">
        <f>(F21/F$31)*$R$4</f>
        <v>100</v>
      </c>
      <c r="S21" s="16">
        <f>(C21/C$31)*$S$4</f>
        <v>4000</v>
      </c>
      <c r="T21" s="16">
        <f>(D21/D$31)*$T$4</f>
        <v>8000</v>
      </c>
      <c r="U21" s="16">
        <f>(E21/E$31)*$U$4</f>
        <v>200</v>
      </c>
      <c r="V21" s="10">
        <f t="shared" si="8"/>
        <v>6000</v>
      </c>
      <c r="W21" s="10">
        <f t="shared" si="9"/>
        <v>24000</v>
      </c>
      <c r="X21" s="10">
        <f t="shared" si="10"/>
        <v>800</v>
      </c>
      <c r="Y21" s="10">
        <f t="shared" si="11"/>
        <v>600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</row>
    <row r="22" spans="1:138" x14ac:dyDescent="0.3">
      <c r="A22" s="10">
        <f>基本属性!B21</f>
        <v>200</v>
      </c>
      <c r="B22" s="10">
        <f>基本属性!C21</f>
        <v>11</v>
      </c>
      <c r="C22" s="10">
        <f t="shared" si="0"/>
        <v>44000</v>
      </c>
      <c r="D22" s="10">
        <f t="shared" si="1"/>
        <v>88000</v>
      </c>
      <c r="E22" s="10">
        <f>基本属性!F21</f>
        <v>4400</v>
      </c>
      <c r="F22" s="10">
        <f t="shared" si="2"/>
        <v>2200</v>
      </c>
      <c r="G22" s="10">
        <f>K4+P4+S4+V4+Z4+AC4+AL4+AP4+AV4+BC4+BG4+BK4+BO4+BS4+BW4+CA4+CE4+CI4+CM4+CQ4+CU4+CY4+DC4+DG4+DK4+DO4+DS4+DW4+EA4+EE4</f>
        <v>100000</v>
      </c>
      <c r="H22" s="10">
        <f>L4+T4+W4+AD4+AQ4+AW4+BD4+BH4+BL4+BP4+BT4+BX4+CB4+CF4+CJ4+CN4+CR4+CV4+CZ4+DD4+DH4+DL4+DP4+DT4+DX4+EB4+EF4</f>
        <v>200000</v>
      </c>
      <c r="I22" s="10">
        <f>M4+O4+Q4+U4+X4+AA4+AE4+AG4+AI4+AK4+AM4+AR4+AT4+AX4+BA4</f>
        <v>10000</v>
      </c>
      <c r="J22" s="10">
        <f>N4+R4+Y4+AB4+AF4+AH4+AJ4+AN4+AS4+AU4+AY4+BB4</f>
        <v>5000</v>
      </c>
      <c r="K22" s="10">
        <f t="shared" si="3"/>
        <v>15400</v>
      </c>
      <c r="L22" s="10">
        <f t="shared" si="4"/>
        <v>26400</v>
      </c>
      <c r="M22" s="10">
        <f t="shared" si="5"/>
        <v>220</v>
      </c>
      <c r="N22" s="10">
        <f t="shared" si="6"/>
        <v>220</v>
      </c>
      <c r="O22" s="10">
        <f t="shared" si="7"/>
        <v>220</v>
      </c>
      <c r="P22" s="10"/>
      <c r="Q22" s="10"/>
      <c r="R22" s="10"/>
      <c r="S22" s="10"/>
      <c r="T22" s="10"/>
      <c r="U22" s="10"/>
      <c r="V22" s="10">
        <f t="shared" si="8"/>
        <v>6600</v>
      </c>
      <c r="W22" s="10">
        <f t="shared" si="9"/>
        <v>26400</v>
      </c>
      <c r="X22" s="10">
        <f t="shared" si="10"/>
        <v>880</v>
      </c>
      <c r="Y22" s="10">
        <f t="shared" si="11"/>
        <v>660</v>
      </c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</row>
    <row r="23" spans="1:138" x14ac:dyDescent="0.3">
      <c r="A23" s="10">
        <f>基本属性!B22</f>
        <v>210</v>
      </c>
      <c r="B23" s="10">
        <f>基本属性!C22</f>
        <v>12</v>
      </c>
      <c r="C23" s="10">
        <f t="shared" ref="C23:C31" si="12">10*E23</f>
        <v>48000</v>
      </c>
      <c r="D23" s="10">
        <f t="shared" ref="D23:D31" si="13">20*E23</f>
        <v>96000</v>
      </c>
      <c r="E23" s="10">
        <f>基本属性!F22</f>
        <v>4800</v>
      </c>
      <c r="F23" s="10">
        <f t="shared" ref="F23:F31" si="14">1/2*E23</f>
        <v>2400</v>
      </c>
      <c r="G23" s="10">
        <f>K4+P4+S4+V4+Z4+AC4+AL4+AP4+AV4+BC4+BG4+BK4+BO4+BS4+BW4+CA4+CE4+CI4+CM4+CQ4+CU4+CY4+DC4+DG4+DK4+DO4+DS4+DW4+EA4+EE4</f>
        <v>100000</v>
      </c>
      <c r="H23" s="10">
        <f>L4+T4+W4+AD4+AQ4+AW4+BD4+BH4+BL4+BP4+BT4+BX4+CB4+CF4+CJ4+CN4+CR4+CV4+CZ4+DD4+DH4+DL4+DP4+DT4+DX4+EB4+EF4</f>
        <v>200000</v>
      </c>
      <c r="I23" s="10">
        <f>M4+O4+Q4+U4+X4+AA4+AE4+AG4+AI4+AK4+AM4+AR4+AT4+AX4+BA4</f>
        <v>10000</v>
      </c>
      <c r="J23" s="10">
        <f>N4+R4+Y4+AB4+AF4+AH4+AJ4+AN4+AS4+AU4+AY4+BB4</f>
        <v>5000</v>
      </c>
      <c r="K23" s="10">
        <f t="shared" si="3"/>
        <v>16800</v>
      </c>
      <c r="L23" s="10">
        <f t="shared" si="4"/>
        <v>28800</v>
      </c>
      <c r="M23" s="10">
        <f t="shared" si="5"/>
        <v>240</v>
      </c>
      <c r="N23" s="10">
        <f t="shared" si="6"/>
        <v>240</v>
      </c>
      <c r="O23" s="10">
        <f t="shared" si="7"/>
        <v>240</v>
      </c>
      <c r="P23" s="10"/>
      <c r="Q23" s="10"/>
      <c r="R23" s="10"/>
      <c r="S23" s="10"/>
      <c r="T23" s="10"/>
      <c r="U23" s="10"/>
      <c r="V23" s="10">
        <f t="shared" si="8"/>
        <v>7200</v>
      </c>
      <c r="W23" s="10">
        <f t="shared" si="9"/>
        <v>28800</v>
      </c>
      <c r="X23" s="10">
        <f t="shared" si="10"/>
        <v>960</v>
      </c>
      <c r="Y23" s="10">
        <f t="shared" si="11"/>
        <v>720</v>
      </c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</row>
    <row r="24" spans="1:138" x14ac:dyDescent="0.3">
      <c r="A24" s="10">
        <f>基本属性!B23</f>
        <v>210</v>
      </c>
      <c r="B24" s="10">
        <f>基本属性!C23</f>
        <v>13</v>
      </c>
      <c r="C24" s="10">
        <f t="shared" si="12"/>
        <v>53000</v>
      </c>
      <c r="D24" s="10">
        <f t="shared" si="13"/>
        <v>106000</v>
      </c>
      <c r="E24" s="10">
        <f>基本属性!F23</f>
        <v>5300</v>
      </c>
      <c r="F24" s="10">
        <f t="shared" si="14"/>
        <v>2650</v>
      </c>
      <c r="G24" s="10">
        <f>K4+P4+S4+V4+Z4+AC4+AL4+AP4+AV4+BC4+BG4+BK4+BO4+BS4+BW4+CA4+CE4+CI4+CM4+CQ4+CU4+CY4+DC4+DG4+DK4+DO4+DS4+DW4+EA4+EE4</f>
        <v>100000</v>
      </c>
      <c r="H24" s="10">
        <f>L4+T4+W4+AD4+AQ4+AW4+BD4+BH4+BL4+BP4+BT4+BX4+CB4+CF4+CJ4+CN4+CR4+CV4+CZ4+DD4+DH4+DL4+DP4+DT4+DX4+EB4+EF4</f>
        <v>200000</v>
      </c>
      <c r="I24" s="10">
        <f>M4+O4+Q4+U4+X4+AA4+AE4+AG4+AI4+AK4+AM4+AR4+AT4+AX4+BA4</f>
        <v>10000</v>
      </c>
      <c r="J24" s="10">
        <f>N4+R4+Y4+AB4+AF4+AH4+AJ4+AN4+AS4+AU4+AY4+BB4</f>
        <v>5000</v>
      </c>
      <c r="K24" s="10">
        <f t="shared" si="3"/>
        <v>18550</v>
      </c>
      <c r="L24" s="10">
        <f t="shared" si="4"/>
        <v>31800</v>
      </c>
      <c r="M24" s="10">
        <f t="shared" si="5"/>
        <v>265</v>
      </c>
      <c r="N24" s="10">
        <f t="shared" si="6"/>
        <v>265</v>
      </c>
      <c r="O24" s="10">
        <f t="shared" si="7"/>
        <v>265</v>
      </c>
      <c r="P24" s="10"/>
      <c r="Q24" s="10"/>
      <c r="R24" s="10"/>
      <c r="S24" s="10"/>
      <c r="T24" s="10"/>
      <c r="U24" s="10"/>
      <c r="V24" s="10">
        <f t="shared" si="8"/>
        <v>7950</v>
      </c>
      <c r="W24" s="10">
        <f t="shared" si="9"/>
        <v>31800</v>
      </c>
      <c r="X24" s="10">
        <f t="shared" si="10"/>
        <v>1060</v>
      </c>
      <c r="Y24" s="10">
        <f t="shared" si="11"/>
        <v>795</v>
      </c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</row>
    <row r="25" spans="1:138" x14ac:dyDescent="0.3">
      <c r="A25" s="10">
        <f>基本属性!B24</f>
        <v>220</v>
      </c>
      <c r="B25" s="10">
        <f>基本属性!C24</f>
        <v>14</v>
      </c>
      <c r="C25" s="10">
        <f t="shared" si="12"/>
        <v>58000</v>
      </c>
      <c r="D25" s="10">
        <f t="shared" si="13"/>
        <v>116000</v>
      </c>
      <c r="E25" s="10">
        <f>基本属性!F24</f>
        <v>5800</v>
      </c>
      <c r="F25" s="10">
        <f t="shared" si="14"/>
        <v>2900</v>
      </c>
      <c r="G25" s="10">
        <f>K4+P4+S4+V4+Z4+AC4+AL4+AP4+AV4+BC4+BG4+BK4+BO4+BS4+BW4+CA4+CE4+CI4+CM4+CQ4+CU4+CY4+DC4+DG4+DK4+DO4+DS4+DW4+EA4+EE4</f>
        <v>100000</v>
      </c>
      <c r="H25" s="10">
        <f>L4+T4+W4+AD4+AQ4+AW4+BD4+BH4+BL4+BP4+BT4+BX4+CB4+CF4+CJ4+CN4+CR4+CV4+CZ4+DD4+DH4+DL4+DP4+DT4+DX4+EB4+EF4</f>
        <v>200000</v>
      </c>
      <c r="I25" s="10">
        <f>M4+O4+Q4+U4+X4+AA4+AE4+AG4+AI4+AK4+AM4+AR4+AT4+AX4+BA4</f>
        <v>10000</v>
      </c>
      <c r="J25" s="10">
        <f>N4+R4+Y4+AB4+AF4+AH4+AJ4+AN4+AS4+AU4+AY4+BB4</f>
        <v>5000</v>
      </c>
      <c r="K25" s="10">
        <f t="shared" si="3"/>
        <v>20300</v>
      </c>
      <c r="L25" s="10">
        <f t="shared" si="4"/>
        <v>34800</v>
      </c>
      <c r="M25" s="10">
        <f t="shared" si="5"/>
        <v>290</v>
      </c>
      <c r="N25" s="10">
        <f t="shared" si="6"/>
        <v>290</v>
      </c>
      <c r="O25" s="10">
        <f t="shared" si="7"/>
        <v>290</v>
      </c>
      <c r="P25" s="10"/>
      <c r="Q25" s="10"/>
      <c r="R25" s="10"/>
      <c r="S25" s="10"/>
      <c r="T25" s="10"/>
      <c r="U25" s="10"/>
      <c r="V25" s="10">
        <f t="shared" si="8"/>
        <v>8700</v>
      </c>
      <c r="W25" s="10">
        <f t="shared" si="9"/>
        <v>34800</v>
      </c>
      <c r="X25" s="10">
        <f t="shared" si="10"/>
        <v>1160</v>
      </c>
      <c r="Y25" s="10">
        <f t="shared" si="11"/>
        <v>869.99999999999989</v>
      </c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</row>
    <row r="26" spans="1:138" x14ac:dyDescent="0.3">
      <c r="A26" s="10">
        <f>基本属性!B25</f>
        <v>220</v>
      </c>
      <c r="B26" s="10">
        <f>基本属性!C25</f>
        <v>15</v>
      </c>
      <c r="C26" s="16">
        <f t="shared" si="12"/>
        <v>64000</v>
      </c>
      <c r="D26" s="16">
        <f t="shared" si="13"/>
        <v>128000</v>
      </c>
      <c r="E26" s="16">
        <f>基本属性!F25</f>
        <v>6400</v>
      </c>
      <c r="F26" s="16">
        <f t="shared" si="14"/>
        <v>3200</v>
      </c>
      <c r="G26" s="16">
        <f>K4+P4+S4+V4+Z4+AC4+AL4+AP4+AV4+BC4+BG4+BK4+BO4+BS4+BW4+CA4+CE4+CI4+CM4+CQ4+CU4+CY4+DC4+DG4+DK4+DO4+DS4+DW4+EA4+EE4</f>
        <v>100000</v>
      </c>
      <c r="H26" s="16">
        <f>L4+T4+W4+AD4+AQ4+AW4+BD4+BH4+BL4+BP4+BT4+BX4+CB4+CF4+CJ4+CN4+CR4+CV4+CZ4+DD4+DH4+DL4+DP4+DT4+DX4+EB4+EF4</f>
        <v>200000</v>
      </c>
      <c r="I26" s="16">
        <f>M4+O4+Q4+U4+X4+AA4+AE4+AG4+AI4+AK4+AM4+AR4+AT4+AX4+BA4</f>
        <v>10000</v>
      </c>
      <c r="J26" s="16">
        <f>N4+R4+Y4+AB4+AF4+AH4+AJ4+AN4+AS4+AU4+AY4+BB4</f>
        <v>5000</v>
      </c>
      <c r="K26" s="10">
        <f t="shared" si="3"/>
        <v>22400</v>
      </c>
      <c r="L26" s="10">
        <f t="shared" si="4"/>
        <v>38400</v>
      </c>
      <c r="M26" s="10">
        <f t="shared" si="5"/>
        <v>320</v>
      </c>
      <c r="N26" s="10">
        <f t="shared" si="6"/>
        <v>320</v>
      </c>
      <c r="O26" s="10">
        <f t="shared" si="7"/>
        <v>320</v>
      </c>
      <c r="P26" s="10">
        <f>(C26/C$31)*$P$4</f>
        <v>3200</v>
      </c>
      <c r="Q26" s="10">
        <f>(E26/E$31)*$Q$4</f>
        <v>320</v>
      </c>
      <c r="R26" s="10">
        <f>(F26/F$31)*$R$4</f>
        <v>160</v>
      </c>
      <c r="S26" s="16">
        <f>(C26/C$31)*$S$4</f>
        <v>6400</v>
      </c>
      <c r="T26" s="16">
        <f>(D26/D$31)*$T$4</f>
        <v>12800</v>
      </c>
      <c r="U26" s="16">
        <f>(E26/E$31)*$U$4</f>
        <v>320</v>
      </c>
      <c r="V26" s="10">
        <f t="shared" si="8"/>
        <v>9600</v>
      </c>
      <c r="W26" s="10">
        <f t="shared" si="9"/>
        <v>38400</v>
      </c>
      <c r="X26" s="10">
        <f t="shared" si="10"/>
        <v>1280</v>
      </c>
      <c r="Y26" s="10">
        <f t="shared" si="11"/>
        <v>960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</row>
    <row r="27" spans="1:138" x14ac:dyDescent="0.3">
      <c r="A27" s="10">
        <f>基本属性!B26</f>
        <v>230</v>
      </c>
      <c r="B27" s="10">
        <f>基本属性!C26</f>
        <v>16</v>
      </c>
      <c r="C27" s="10">
        <f t="shared" si="12"/>
        <v>70000</v>
      </c>
      <c r="D27" s="10">
        <f t="shared" si="13"/>
        <v>140000</v>
      </c>
      <c r="E27" s="10">
        <f>基本属性!F26</f>
        <v>7000</v>
      </c>
      <c r="F27" s="10">
        <f t="shared" si="14"/>
        <v>3500</v>
      </c>
      <c r="G27" s="10">
        <f>K4+P4+S4+V4+Z4+AC4+AL4+AP4+AV4+BC4+BG4+BK4+BO4+BS4+BW4+CA4+CE4+CI4+CM4+CQ4+CU4+CY4+DC4+DG4+DK4+DO4+DS4+DW4+EA4+EE4</f>
        <v>100000</v>
      </c>
      <c r="H27" s="10">
        <f>L4+T4+W4+AD4+AQ4+AW4+BD4+BH4+BL4+BP4+BT4+BX4+CB4+CF4+CJ4+CN4+CR4+CV4+CZ4+DD4+DH4+DL4+DP4+DT4+DX4+EB4+EF4</f>
        <v>200000</v>
      </c>
      <c r="I27" s="10">
        <f>M4+O4+Q4+U4+X4+AA4+AE4+AG4+AI4+AK4+AM4+AR4+AT4+AX4+BA4</f>
        <v>10000</v>
      </c>
      <c r="J27" s="10">
        <f>N4+R4+Y4+AB4+AF4+AH4+AJ4+AN4+AS4+AU4+AY4+BB4</f>
        <v>5000</v>
      </c>
      <c r="K27" s="10">
        <f t="shared" si="3"/>
        <v>24500</v>
      </c>
      <c r="L27" s="10">
        <f t="shared" si="4"/>
        <v>42000</v>
      </c>
      <c r="M27" s="10">
        <f t="shared" si="5"/>
        <v>350</v>
      </c>
      <c r="N27" s="10">
        <f t="shared" si="6"/>
        <v>350</v>
      </c>
      <c r="O27" s="10">
        <f t="shared" si="7"/>
        <v>350</v>
      </c>
      <c r="P27" s="10"/>
      <c r="Q27" s="10"/>
      <c r="R27" s="10"/>
      <c r="S27" s="10"/>
      <c r="T27" s="10"/>
      <c r="U27" s="10"/>
      <c r="V27" s="10">
        <f t="shared" si="8"/>
        <v>10500</v>
      </c>
      <c r="W27" s="10">
        <f t="shared" si="9"/>
        <v>42000</v>
      </c>
      <c r="X27" s="10">
        <f t="shared" si="10"/>
        <v>1400</v>
      </c>
      <c r="Y27" s="10">
        <f t="shared" si="11"/>
        <v>1050</v>
      </c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</row>
    <row r="28" spans="1:138" x14ac:dyDescent="0.3">
      <c r="A28" s="10">
        <f>基本属性!B27</f>
        <v>230</v>
      </c>
      <c r="B28" s="10">
        <f>基本属性!C27</f>
        <v>17</v>
      </c>
      <c r="C28" s="10">
        <f t="shared" si="12"/>
        <v>75000</v>
      </c>
      <c r="D28" s="10">
        <f t="shared" si="13"/>
        <v>150000</v>
      </c>
      <c r="E28" s="10">
        <f>基本属性!F27</f>
        <v>7500</v>
      </c>
      <c r="F28" s="10">
        <f t="shared" si="14"/>
        <v>3750</v>
      </c>
      <c r="G28" s="10">
        <f>K4+P4+S4+V4+Z4+AC4+AL4+AP4+AV4+BC4+BG4+BK4+BO4+BS4+BW4+CA4+CE4+CI4+CM4+CQ4+CU4+CY4+DC4+DG4+DK4+DO4+DS4+DW4+EA4+EE4</f>
        <v>100000</v>
      </c>
      <c r="H28" s="10">
        <f>L4+T4+W4+AD4+AQ4+AW4+BD4+BH4+BL4+BP4+BT4+BX4+CB4+CF4+CJ4+CN4+CR4+CV4+CZ4+DD4+DH4+DL4+DP4+DT4+DX4+EB4+EF4</f>
        <v>200000</v>
      </c>
      <c r="I28" s="10">
        <f>M4+O4+Q4+U4+X4+AA4+AE4+AG4+AI4+AK4+AM4+AR4+AT4+AX4+BA4</f>
        <v>10000</v>
      </c>
      <c r="J28" s="10">
        <f>N4+R4+Y4+AB4+AF4+AH4+AJ4+AN4+AS4+AU4+AY4+BB4</f>
        <v>5000</v>
      </c>
      <c r="K28" s="10">
        <f t="shared" si="3"/>
        <v>26250</v>
      </c>
      <c r="L28" s="10">
        <f t="shared" si="4"/>
        <v>45000</v>
      </c>
      <c r="M28" s="10">
        <f t="shared" si="5"/>
        <v>375</v>
      </c>
      <c r="N28" s="10">
        <f t="shared" si="6"/>
        <v>375</v>
      </c>
      <c r="O28" s="10">
        <f t="shared" si="7"/>
        <v>375</v>
      </c>
      <c r="P28" s="10"/>
      <c r="Q28" s="10"/>
      <c r="R28" s="10"/>
      <c r="S28" s="10"/>
      <c r="T28" s="10"/>
      <c r="U28" s="10"/>
      <c r="V28" s="10">
        <f t="shared" si="8"/>
        <v>11250</v>
      </c>
      <c r="W28" s="10">
        <f t="shared" si="9"/>
        <v>45000</v>
      </c>
      <c r="X28" s="10">
        <f t="shared" si="10"/>
        <v>1500</v>
      </c>
      <c r="Y28" s="10">
        <f t="shared" si="11"/>
        <v>1125</v>
      </c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</row>
    <row r="29" spans="1:138" x14ac:dyDescent="0.3">
      <c r="A29" s="10">
        <f>基本属性!B28</f>
        <v>240</v>
      </c>
      <c r="B29" s="10">
        <f>基本属性!C28</f>
        <v>18</v>
      </c>
      <c r="C29" s="10">
        <f t="shared" si="12"/>
        <v>80000</v>
      </c>
      <c r="D29" s="10">
        <f t="shared" si="13"/>
        <v>160000</v>
      </c>
      <c r="E29" s="10">
        <f>基本属性!F28</f>
        <v>8000</v>
      </c>
      <c r="F29" s="10">
        <f t="shared" si="14"/>
        <v>4000</v>
      </c>
      <c r="G29" s="10">
        <f>K4+P4+S4+V4+Z4+AC4+AL4+AP4+AV4+BC4+BG4+BK4+BO4+BS4+BW4+CA4+CE4+CI4+CM4+CQ4+CU4+CY4+DC4+DG4+DK4+DO4+DS4+DW4+EA4+EE4</f>
        <v>100000</v>
      </c>
      <c r="H29" s="10">
        <f>L4+T4+W4+AD4+AQ4+AW4+BD4+BH4+BL4+BP4+BT4+BX4+CB4+CF4+CJ4+CN4+CR4+CV4+CZ4+DD4+DH4+DL4+DP4+DT4+DX4+EB4+EF4</f>
        <v>200000</v>
      </c>
      <c r="I29" s="10">
        <f>M4+O4+Q4+U4+X4+AA4+AE4+AG4+AI4+AK4+AM4+AR4+AT4+AX4+BA4</f>
        <v>10000</v>
      </c>
      <c r="J29" s="10">
        <f>N4+R4+Y4+AB4+AF4+AH4+AJ4+AN4+AS4+AU4+AY4+BB4</f>
        <v>5000</v>
      </c>
      <c r="K29" s="10">
        <f t="shared" si="3"/>
        <v>28000</v>
      </c>
      <c r="L29" s="10">
        <f t="shared" si="4"/>
        <v>48000</v>
      </c>
      <c r="M29" s="10">
        <f t="shared" si="5"/>
        <v>400</v>
      </c>
      <c r="N29" s="10">
        <f t="shared" si="6"/>
        <v>400</v>
      </c>
      <c r="O29" s="10">
        <f t="shared" si="7"/>
        <v>400</v>
      </c>
      <c r="P29" s="10"/>
      <c r="Q29" s="10"/>
      <c r="R29" s="10"/>
      <c r="S29" s="10"/>
      <c r="T29" s="10"/>
      <c r="U29" s="10"/>
      <c r="V29" s="10">
        <f t="shared" si="8"/>
        <v>12000</v>
      </c>
      <c r="W29" s="10">
        <f t="shared" si="9"/>
        <v>48000</v>
      </c>
      <c r="X29" s="10">
        <f t="shared" si="10"/>
        <v>1600</v>
      </c>
      <c r="Y29" s="10">
        <f t="shared" si="11"/>
        <v>1200</v>
      </c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</row>
    <row r="30" spans="1:138" x14ac:dyDescent="0.3">
      <c r="A30" s="10">
        <f>基本属性!B29</f>
        <v>240</v>
      </c>
      <c r="B30" s="10">
        <f>基本属性!C29</f>
        <v>19</v>
      </c>
      <c r="C30" s="10">
        <f t="shared" si="12"/>
        <v>90000</v>
      </c>
      <c r="D30" s="10">
        <f t="shared" si="13"/>
        <v>180000</v>
      </c>
      <c r="E30" s="10">
        <f>基本属性!F29</f>
        <v>9000</v>
      </c>
      <c r="F30" s="10">
        <f t="shared" si="14"/>
        <v>4500</v>
      </c>
      <c r="G30" s="10">
        <f>K4+P4+S4+V4+Z4+AC4+AL4+AP4+AV4+BC4+BG4+BK4+BO4+BS4+BW4+CA4+CE4+CI4+CM4+CQ4+CU4+CY4+DC4+DG4+DK4+DO4+DS4+DW4+EA4+EE4</f>
        <v>100000</v>
      </c>
      <c r="H30" s="10">
        <f>L4+T4+W4+AD4+AQ4+AW4+BD4+BH4+BL4+BP4+BT4+BX4+CB4+CF4+CJ4+CN4+CR4+CV4+CZ4+DD4+DH4+DL4+DP4+DT4+DX4+EB4+EF4</f>
        <v>200000</v>
      </c>
      <c r="I30" s="10">
        <f>M4+O4+Q4+U4+X4+AA4+AE4+AG4+AI4+AK4+AM4+AR4+AT4+AX4+BA4</f>
        <v>10000</v>
      </c>
      <c r="J30" s="10">
        <f>N4+R4+Y4+AB4+AF4+AH4+AJ4+AN4+AS4+AU4+AY4+BB4</f>
        <v>5000</v>
      </c>
      <c r="K30" s="10">
        <f>(C30/C$31)*$K$4</f>
        <v>31500</v>
      </c>
      <c r="L30" s="10">
        <f>(D30/D$31)*$L$4</f>
        <v>54000</v>
      </c>
      <c r="M30" s="10">
        <f>(E30/E$31)*$M$4</f>
        <v>450</v>
      </c>
      <c r="N30" s="10">
        <f>(F30/F$31)*$N$4</f>
        <v>450</v>
      </c>
      <c r="O30" s="10">
        <f>(E30/E$31)*$O$4</f>
        <v>450</v>
      </c>
      <c r="P30" s="10"/>
      <c r="Q30" s="10"/>
      <c r="R30" s="10"/>
      <c r="S30" s="10"/>
      <c r="T30" s="10"/>
      <c r="U30" s="10"/>
      <c r="V30" s="10">
        <f>(C30/C$31)*$V$4</f>
        <v>13500</v>
      </c>
      <c r="W30" s="10">
        <f>(D30/D$31)*$W$4</f>
        <v>54000</v>
      </c>
      <c r="X30" s="10">
        <f>(E30/E$31)*$X$4</f>
        <v>1800</v>
      </c>
      <c r="Y30" s="10">
        <f>(F30/F$31)*$Y$4</f>
        <v>1350</v>
      </c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</row>
    <row r="31" spans="1:138" x14ac:dyDescent="0.3">
      <c r="A31" s="10">
        <f>基本属性!B30</f>
        <v>250</v>
      </c>
      <c r="B31" s="10">
        <f>基本属性!C30</f>
        <v>20</v>
      </c>
      <c r="C31" s="16">
        <f t="shared" si="12"/>
        <v>100000</v>
      </c>
      <c r="D31" s="16">
        <f t="shared" si="13"/>
        <v>200000</v>
      </c>
      <c r="E31" s="16">
        <f>基本属性!F30</f>
        <v>10000</v>
      </c>
      <c r="F31" s="16">
        <f t="shared" si="14"/>
        <v>5000</v>
      </c>
      <c r="G31" s="16">
        <f>K4+P4+S4+V4+Z4+AC4+AL4+AP4+AV4+BC4+BG4+BK4+BO4+BS4+BW4+CA4+CE4+CI4+CM4+CQ4+CU4+CY4+DC4+DG4+DK4+DO4+DS4+DW4+EA4+EE4</f>
        <v>100000</v>
      </c>
      <c r="H31" s="16">
        <f>L4+T4+W4+AD4+AQ4+AW4+BD4+BH4+BL4+BP4+BT4+BX4+CB4+CF4+CJ4+CN4+CR4+CV4+CZ4+DD4+DH4+DL4+DP4+DT4+DX4+EB4+EF4</f>
        <v>200000</v>
      </c>
      <c r="I31" s="16">
        <f>M4+O4+Q4+U4+X4+AA4+AE4+AG4+AI4+AK4+AM4+AR4+AT4+AX4+BA4</f>
        <v>10000</v>
      </c>
      <c r="J31" s="16">
        <f>N4+R4+Y4+AB4+AF4+AH4+AJ4+AN4+AS4+AU4+AY4+BB4</f>
        <v>5000</v>
      </c>
      <c r="K31" s="16">
        <f>K4</f>
        <v>35000</v>
      </c>
      <c r="L31" s="16">
        <f>L4</f>
        <v>60000</v>
      </c>
      <c r="M31" s="16">
        <f>M4</f>
        <v>500</v>
      </c>
      <c r="N31" s="16">
        <f>N4</f>
        <v>500</v>
      </c>
      <c r="O31" s="16">
        <f>O4</f>
        <v>500</v>
      </c>
      <c r="P31" s="16">
        <f t="shared" ref="P31:CA31" si="15">P4</f>
        <v>5000</v>
      </c>
      <c r="Q31" s="16">
        <f t="shared" si="15"/>
        <v>500</v>
      </c>
      <c r="R31" s="16">
        <f t="shared" si="15"/>
        <v>250</v>
      </c>
      <c r="S31" s="16">
        <f t="shared" si="15"/>
        <v>10000</v>
      </c>
      <c r="T31" s="16">
        <f t="shared" si="15"/>
        <v>20000</v>
      </c>
      <c r="U31" s="16">
        <f t="shared" si="15"/>
        <v>500</v>
      </c>
      <c r="V31" s="16">
        <f t="shared" si="15"/>
        <v>15000</v>
      </c>
      <c r="W31" s="16">
        <f t="shared" si="15"/>
        <v>60000</v>
      </c>
      <c r="X31" s="16">
        <f t="shared" si="15"/>
        <v>2000</v>
      </c>
      <c r="Y31" s="16">
        <f t="shared" si="15"/>
        <v>1500</v>
      </c>
      <c r="Z31" s="16">
        <f t="shared" si="15"/>
        <v>5000</v>
      </c>
      <c r="AA31" s="16">
        <f t="shared" si="15"/>
        <v>500</v>
      </c>
      <c r="AB31" s="16">
        <f t="shared" si="15"/>
        <v>250</v>
      </c>
      <c r="AC31" s="16">
        <f t="shared" si="15"/>
        <v>10000</v>
      </c>
      <c r="AD31" s="16">
        <f t="shared" si="15"/>
        <v>40000</v>
      </c>
      <c r="AE31" s="16">
        <f t="shared" si="15"/>
        <v>500</v>
      </c>
      <c r="AF31" s="16">
        <f t="shared" si="15"/>
        <v>500</v>
      </c>
      <c r="AG31" s="16">
        <f t="shared" si="15"/>
        <v>500</v>
      </c>
      <c r="AH31" s="16">
        <f t="shared" si="15"/>
        <v>250</v>
      </c>
      <c r="AI31" s="16">
        <f t="shared" si="15"/>
        <v>500</v>
      </c>
      <c r="AJ31" s="16">
        <f t="shared" si="15"/>
        <v>250</v>
      </c>
      <c r="AK31" s="16">
        <f t="shared" si="15"/>
        <v>2000</v>
      </c>
      <c r="AL31" s="16">
        <f t="shared" si="15"/>
        <v>15000</v>
      </c>
      <c r="AM31" s="16">
        <f t="shared" si="15"/>
        <v>600</v>
      </c>
      <c r="AN31" s="16">
        <f t="shared" si="15"/>
        <v>600</v>
      </c>
      <c r="AO31" s="16">
        <f t="shared" si="15"/>
        <v>0</v>
      </c>
      <c r="AP31" s="16">
        <f t="shared" si="15"/>
        <v>5000</v>
      </c>
      <c r="AQ31" s="16">
        <f t="shared" si="15"/>
        <v>20000</v>
      </c>
      <c r="AR31" s="16">
        <f t="shared" si="15"/>
        <v>500</v>
      </c>
      <c r="AS31" s="16">
        <f t="shared" si="15"/>
        <v>250</v>
      </c>
      <c r="AT31" s="16">
        <f t="shared" si="15"/>
        <v>500</v>
      </c>
      <c r="AU31" s="16">
        <f t="shared" si="15"/>
        <v>250</v>
      </c>
      <c r="AV31" s="16">
        <f t="shared" si="15"/>
        <v>0</v>
      </c>
      <c r="AW31" s="16">
        <f t="shared" si="15"/>
        <v>0</v>
      </c>
      <c r="AX31" s="16">
        <f t="shared" si="15"/>
        <v>0</v>
      </c>
      <c r="AY31" s="16">
        <f t="shared" si="15"/>
        <v>0</v>
      </c>
      <c r="AZ31" s="16">
        <f t="shared" si="15"/>
        <v>0</v>
      </c>
      <c r="BA31" s="16">
        <f t="shared" si="15"/>
        <v>400</v>
      </c>
      <c r="BB31" s="16">
        <f t="shared" si="15"/>
        <v>400</v>
      </c>
      <c r="BC31" s="16">
        <f t="shared" si="15"/>
        <v>0</v>
      </c>
      <c r="BD31" s="16">
        <f t="shared" si="15"/>
        <v>0</v>
      </c>
      <c r="BE31" s="16">
        <f t="shared" si="15"/>
        <v>0</v>
      </c>
      <c r="BF31" s="16">
        <f t="shared" si="15"/>
        <v>0</v>
      </c>
      <c r="BG31" s="16">
        <f t="shared" si="15"/>
        <v>0</v>
      </c>
      <c r="BH31" s="16">
        <f t="shared" si="15"/>
        <v>0</v>
      </c>
      <c r="BI31" s="16">
        <f t="shared" si="15"/>
        <v>0</v>
      </c>
      <c r="BJ31" s="16">
        <f t="shared" si="15"/>
        <v>0</v>
      </c>
      <c r="BK31" s="16">
        <f t="shared" si="15"/>
        <v>0</v>
      </c>
      <c r="BL31" s="16">
        <f t="shared" si="15"/>
        <v>0</v>
      </c>
      <c r="BM31" s="16">
        <f t="shared" si="15"/>
        <v>0</v>
      </c>
      <c r="BN31" s="16">
        <f t="shared" si="15"/>
        <v>0</v>
      </c>
      <c r="BO31" s="16">
        <f t="shared" si="15"/>
        <v>0</v>
      </c>
      <c r="BP31" s="16">
        <f t="shared" si="15"/>
        <v>0</v>
      </c>
      <c r="BQ31" s="16">
        <f t="shared" si="15"/>
        <v>0</v>
      </c>
      <c r="BR31" s="16">
        <f t="shared" si="15"/>
        <v>0</v>
      </c>
      <c r="BS31" s="16">
        <f t="shared" si="15"/>
        <v>0</v>
      </c>
      <c r="BT31" s="16">
        <f t="shared" si="15"/>
        <v>0</v>
      </c>
      <c r="BU31" s="16">
        <f t="shared" si="15"/>
        <v>0</v>
      </c>
      <c r="BV31" s="16">
        <f t="shared" si="15"/>
        <v>0</v>
      </c>
      <c r="BW31" s="16">
        <f t="shared" si="15"/>
        <v>0</v>
      </c>
      <c r="BX31" s="16">
        <f t="shared" si="15"/>
        <v>0</v>
      </c>
      <c r="BY31" s="16">
        <f t="shared" si="15"/>
        <v>0</v>
      </c>
      <c r="BZ31" s="16">
        <f t="shared" si="15"/>
        <v>0</v>
      </c>
      <c r="CA31" s="16">
        <f t="shared" si="15"/>
        <v>0</v>
      </c>
      <c r="CB31" s="16">
        <f t="shared" ref="CB31:EH31" si="16">CB4</f>
        <v>0</v>
      </c>
      <c r="CC31" s="16">
        <f t="shared" si="16"/>
        <v>0</v>
      </c>
      <c r="CD31" s="16">
        <f t="shared" si="16"/>
        <v>0</v>
      </c>
      <c r="CE31" s="16">
        <f t="shared" si="16"/>
        <v>0</v>
      </c>
      <c r="CF31" s="16">
        <f t="shared" si="16"/>
        <v>0</v>
      </c>
      <c r="CG31" s="16">
        <f t="shared" si="16"/>
        <v>0</v>
      </c>
      <c r="CH31" s="16">
        <f t="shared" si="16"/>
        <v>0</v>
      </c>
      <c r="CI31" s="16">
        <f t="shared" si="16"/>
        <v>0</v>
      </c>
      <c r="CJ31" s="16">
        <f t="shared" si="16"/>
        <v>0</v>
      </c>
      <c r="CK31" s="16">
        <f t="shared" si="16"/>
        <v>0</v>
      </c>
      <c r="CL31" s="16">
        <f t="shared" si="16"/>
        <v>0</v>
      </c>
      <c r="CM31" s="16">
        <f t="shared" si="16"/>
        <v>0</v>
      </c>
      <c r="CN31" s="16">
        <f t="shared" si="16"/>
        <v>0</v>
      </c>
      <c r="CO31" s="16">
        <f t="shared" si="16"/>
        <v>0</v>
      </c>
      <c r="CP31" s="16">
        <f t="shared" si="16"/>
        <v>0</v>
      </c>
      <c r="CQ31" s="16">
        <f t="shared" si="16"/>
        <v>0</v>
      </c>
      <c r="CR31" s="16">
        <f t="shared" si="16"/>
        <v>0</v>
      </c>
      <c r="CS31" s="16">
        <f t="shared" si="16"/>
        <v>0</v>
      </c>
      <c r="CT31" s="16">
        <f t="shared" si="16"/>
        <v>0</v>
      </c>
      <c r="CU31" s="16">
        <f t="shared" si="16"/>
        <v>0</v>
      </c>
      <c r="CV31" s="16">
        <f t="shared" si="16"/>
        <v>0</v>
      </c>
      <c r="CW31" s="16">
        <f t="shared" si="16"/>
        <v>0</v>
      </c>
      <c r="CX31" s="16">
        <f t="shared" si="16"/>
        <v>0</v>
      </c>
      <c r="CY31" s="16">
        <f t="shared" si="16"/>
        <v>0</v>
      </c>
      <c r="CZ31" s="16">
        <f t="shared" si="16"/>
        <v>0</v>
      </c>
      <c r="DA31" s="16">
        <f t="shared" si="16"/>
        <v>0</v>
      </c>
      <c r="DB31" s="16">
        <f t="shared" si="16"/>
        <v>0</v>
      </c>
      <c r="DC31" s="16">
        <f t="shared" si="16"/>
        <v>0</v>
      </c>
      <c r="DD31" s="16">
        <f t="shared" si="16"/>
        <v>0</v>
      </c>
      <c r="DE31" s="16">
        <f t="shared" si="16"/>
        <v>0</v>
      </c>
      <c r="DF31" s="16">
        <f t="shared" si="16"/>
        <v>0</v>
      </c>
      <c r="DG31" s="16">
        <f t="shared" si="16"/>
        <v>0</v>
      </c>
      <c r="DH31" s="16">
        <f t="shared" si="16"/>
        <v>0</v>
      </c>
      <c r="DI31" s="16">
        <f t="shared" si="16"/>
        <v>0</v>
      </c>
      <c r="DJ31" s="16">
        <f t="shared" si="16"/>
        <v>0</v>
      </c>
      <c r="DK31" s="16">
        <f t="shared" si="16"/>
        <v>0</v>
      </c>
      <c r="DL31" s="16">
        <f t="shared" si="16"/>
        <v>0</v>
      </c>
      <c r="DM31" s="16">
        <f t="shared" si="16"/>
        <v>0</v>
      </c>
      <c r="DN31" s="16">
        <f t="shared" si="16"/>
        <v>0</v>
      </c>
      <c r="DO31" s="16">
        <f t="shared" si="16"/>
        <v>0</v>
      </c>
      <c r="DP31" s="16">
        <f t="shared" si="16"/>
        <v>0</v>
      </c>
      <c r="DQ31" s="16">
        <f t="shared" si="16"/>
        <v>0</v>
      </c>
      <c r="DR31" s="16">
        <f t="shared" si="16"/>
        <v>0</v>
      </c>
      <c r="DS31" s="16">
        <f t="shared" si="16"/>
        <v>0</v>
      </c>
      <c r="DT31" s="16">
        <f t="shared" si="16"/>
        <v>0</v>
      </c>
      <c r="DU31" s="16">
        <f t="shared" si="16"/>
        <v>0</v>
      </c>
      <c r="DV31" s="16">
        <f t="shared" si="16"/>
        <v>0</v>
      </c>
      <c r="DW31" s="16">
        <f t="shared" si="16"/>
        <v>0</v>
      </c>
      <c r="DX31" s="16">
        <f t="shared" si="16"/>
        <v>0</v>
      </c>
      <c r="DY31" s="16">
        <f t="shared" si="16"/>
        <v>0</v>
      </c>
      <c r="DZ31" s="16">
        <f t="shared" si="16"/>
        <v>0</v>
      </c>
      <c r="EA31" s="16">
        <f t="shared" si="16"/>
        <v>0</v>
      </c>
      <c r="EB31" s="16">
        <f t="shared" si="16"/>
        <v>0</v>
      </c>
      <c r="EC31" s="16">
        <f t="shared" si="16"/>
        <v>0</v>
      </c>
      <c r="ED31" s="16">
        <f t="shared" si="16"/>
        <v>0</v>
      </c>
      <c r="EE31" s="16">
        <f t="shared" si="16"/>
        <v>0</v>
      </c>
      <c r="EF31" s="16">
        <f t="shared" si="16"/>
        <v>0</v>
      </c>
      <c r="EG31" s="16">
        <f t="shared" si="16"/>
        <v>0</v>
      </c>
      <c r="EH31" s="16">
        <f t="shared" si="16"/>
        <v>0</v>
      </c>
    </row>
  </sheetData>
  <mergeCells count="38">
    <mergeCell ref="EE2:EH2"/>
    <mergeCell ref="K1:EH1"/>
    <mergeCell ref="DK2:DN2"/>
    <mergeCell ref="DO2:DR2"/>
    <mergeCell ref="DS2:DV2"/>
    <mergeCell ref="DW2:DZ2"/>
    <mergeCell ref="EA2:ED2"/>
    <mergeCell ref="CQ2:CT2"/>
    <mergeCell ref="CU2:CX2"/>
    <mergeCell ref="CY2:DB2"/>
    <mergeCell ref="DC2:DF2"/>
    <mergeCell ref="DG2:DJ2"/>
    <mergeCell ref="BW2:BZ2"/>
    <mergeCell ref="CA2:CD2"/>
    <mergeCell ref="CE2:CH2"/>
    <mergeCell ref="CI2:CL2"/>
    <mergeCell ref="CM2:CP2"/>
    <mergeCell ref="BC2:BF2"/>
    <mergeCell ref="BG2:BJ2"/>
    <mergeCell ref="BK2:BN2"/>
    <mergeCell ref="BO2:BR2"/>
    <mergeCell ref="BS2:BV2"/>
    <mergeCell ref="G1:J1"/>
    <mergeCell ref="G2:J2"/>
    <mergeCell ref="A1:B1"/>
    <mergeCell ref="AT2:AU2"/>
    <mergeCell ref="AV2:AY2"/>
    <mergeCell ref="K2:N2"/>
    <mergeCell ref="P2:R2"/>
    <mergeCell ref="S2:U2"/>
    <mergeCell ref="V2:Y2"/>
    <mergeCell ref="BA2:BB2"/>
    <mergeCell ref="Z2:AB2"/>
    <mergeCell ref="AC2:AF2"/>
    <mergeCell ref="AG2:AH2"/>
    <mergeCell ref="AI2:AJ2"/>
    <mergeCell ref="AL2:AN2"/>
    <mergeCell ref="AP2:AS2"/>
  </mergeCells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E0AF-8781-4F4C-ADCF-884AB687693F}">
  <dimension ref="A1:HX31"/>
  <sheetViews>
    <sheetView topLeftCell="A16" workbookViewId="0">
      <pane xSplit="6" topLeftCell="G1" activePane="topRight" state="frozen"/>
      <selection pane="topRight" activeCell="I38" sqref="I38"/>
    </sheetView>
  </sheetViews>
  <sheetFormatPr defaultRowHeight="16.5" x14ac:dyDescent="0.3"/>
  <cols>
    <col min="1" max="1" width="12.375" style="19" customWidth="1"/>
    <col min="2" max="2" width="11.125" style="13" customWidth="1"/>
    <col min="3" max="3" width="13.25" style="13" bestFit="1" customWidth="1"/>
    <col min="4" max="4" width="16.625" style="13" customWidth="1"/>
    <col min="5" max="6" width="9.125" style="169" bestFit="1" customWidth="1"/>
    <col min="7" max="7" width="15.375" style="169" bestFit="1" customWidth="1"/>
    <col min="8" max="8" width="14.625" style="12" bestFit="1" customWidth="1"/>
    <col min="9" max="9" width="17" style="12" bestFit="1" customWidth="1"/>
    <col min="10" max="10" width="14.5" style="12" bestFit="1" customWidth="1"/>
    <col min="11" max="35" width="10.75" style="12" customWidth="1"/>
    <col min="36" max="39" width="9" style="12"/>
    <col min="40" max="40" width="11" style="12" bestFit="1" customWidth="1"/>
    <col min="41" max="41" width="11" style="12" customWidth="1"/>
    <col min="42" max="43" width="9" style="12"/>
    <col min="44" max="44" width="9.625" style="12" bestFit="1" customWidth="1"/>
    <col min="45" max="47" width="9.625" style="12" customWidth="1"/>
    <col min="48" max="16384" width="9" style="12"/>
  </cols>
  <sheetData>
    <row r="1" spans="1:232" ht="21" customHeight="1" x14ac:dyDescent="0.3">
      <c r="A1" s="245" t="s">
        <v>3425</v>
      </c>
      <c r="B1" s="266" t="s">
        <v>3394</v>
      </c>
      <c r="C1" s="266"/>
      <c r="D1" s="241"/>
      <c r="E1" s="263" t="s">
        <v>3463</v>
      </c>
      <c r="F1" s="263"/>
      <c r="G1" s="270"/>
      <c r="H1" s="218"/>
      <c r="I1" s="219"/>
      <c r="J1" s="10">
        <v>1E-3</v>
      </c>
      <c r="K1" s="10">
        <v>1</v>
      </c>
      <c r="L1" s="10">
        <v>1</v>
      </c>
      <c r="M1" s="10">
        <v>1</v>
      </c>
      <c r="N1" s="10">
        <v>15</v>
      </c>
      <c r="O1" s="10">
        <v>1</v>
      </c>
      <c r="P1" s="10">
        <v>0.5</v>
      </c>
      <c r="Q1" s="10">
        <v>1</v>
      </c>
      <c r="R1" s="10">
        <v>30</v>
      </c>
      <c r="S1" s="10">
        <v>1</v>
      </c>
      <c r="T1" s="10">
        <v>50</v>
      </c>
      <c r="U1" s="10">
        <v>1</v>
      </c>
      <c r="V1" s="10">
        <v>50</v>
      </c>
      <c r="W1" s="10">
        <v>1</v>
      </c>
      <c r="X1" s="10">
        <v>50</v>
      </c>
      <c r="Y1" s="10">
        <v>1</v>
      </c>
      <c r="Z1" s="10">
        <v>50</v>
      </c>
      <c r="AA1" s="10">
        <v>1</v>
      </c>
      <c r="AB1" s="10">
        <v>15</v>
      </c>
      <c r="AC1" s="10">
        <v>1</v>
      </c>
      <c r="AD1" s="10">
        <v>50</v>
      </c>
      <c r="AE1" s="10">
        <v>1</v>
      </c>
      <c r="AF1" s="10">
        <v>100</v>
      </c>
      <c r="AG1" s="10">
        <v>1</v>
      </c>
      <c r="AH1" s="10">
        <v>500</v>
      </c>
      <c r="AI1" s="10">
        <v>1</v>
      </c>
      <c r="AJ1" s="10">
        <v>30</v>
      </c>
      <c r="AK1" s="10">
        <v>1</v>
      </c>
      <c r="AL1" s="10">
        <v>60</v>
      </c>
      <c r="AM1" s="10">
        <v>1</v>
      </c>
      <c r="AN1" s="10">
        <v>500</v>
      </c>
      <c r="AO1" s="10">
        <v>1</v>
      </c>
      <c r="AP1" s="10">
        <v>500</v>
      </c>
      <c r="AQ1" s="10">
        <v>1</v>
      </c>
      <c r="AR1" s="10">
        <v>1000</v>
      </c>
      <c r="AS1" s="10">
        <v>1</v>
      </c>
      <c r="AT1" s="10">
        <v>1000</v>
      </c>
      <c r="AU1" s="10">
        <v>1</v>
      </c>
      <c r="AV1" s="10">
        <v>100</v>
      </c>
      <c r="AW1" s="10">
        <v>1</v>
      </c>
      <c r="AX1" s="10">
        <v>400</v>
      </c>
      <c r="AY1" s="10">
        <v>1</v>
      </c>
      <c r="AZ1" s="10">
        <v>400</v>
      </c>
      <c r="BA1" s="10">
        <v>1</v>
      </c>
      <c r="BB1" s="10">
        <v>400</v>
      </c>
      <c r="BC1" s="10">
        <v>1</v>
      </c>
      <c r="BD1" s="10">
        <v>400</v>
      </c>
      <c r="BE1" s="10">
        <v>1</v>
      </c>
      <c r="BF1" s="10">
        <v>400</v>
      </c>
      <c r="BG1" s="10">
        <v>1</v>
      </c>
      <c r="BH1" s="10">
        <v>400</v>
      </c>
      <c r="BI1" s="10">
        <v>1</v>
      </c>
      <c r="BJ1" s="10">
        <v>400</v>
      </c>
      <c r="BK1" s="10">
        <v>1</v>
      </c>
      <c r="BL1" s="10">
        <v>400</v>
      </c>
      <c r="BM1" s="10">
        <v>1</v>
      </c>
      <c r="BN1" s="10">
        <v>400</v>
      </c>
      <c r="BO1" s="10">
        <v>1</v>
      </c>
      <c r="BP1" s="10">
        <v>400</v>
      </c>
      <c r="BQ1" s="10">
        <v>1</v>
      </c>
      <c r="BR1" s="10">
        <v>400</v>
      </c>
      <c r="BS1" s="10">
        <v>1</v>
      </c>
      <c r="BT1" s="10">
        <v>400</v>
      </c>
      <c r="BU1" s="10">
        <v>1</v>
      </c>
      <c r="BV1" s="10">
        <v>400</v>
      </c>
      <c r="BW1" s="10">
        <v>1</v>
      </c>
      <c r="BX1" s="10">
        <v>400</v>
      </c>
      <c r="BY1" s="10">
        <v>1</v>
      </c>
      <c r="BZ1" s="10">
        <v>400</v>
      </c>
      <c r="CA1" s="10">
        <v>1</v>
      </c>
      <c r="CB1" s="10">
        <v>400</v>
      </c>
      <c r="CC1" s="10">
        <v>1</v>
      </c>
      <c r="CD1" s="10">
        <v>400</v>
      </c>
      <c r="CE1" s="10">
        <v>1</v>
      </c>
      <c r="CF1" s="10">
        <v>400</v>
      </c>
      <c r="CG1" s="10">
        <v>1</v>
      </c>
      <c r="CH1" s="10">
        <v>400</v>
      </c>
      <c r="CI1" s="10">
        <v>1</v>
      </c>
      <c r="CJ1" s="10">
        <v>400</v>
      </c>
      <c r="CK1" s="10">
        <v>1</v>
      </c>
      <c r="CL1" s="10">
        <v>400</v>
      </c>
      <c r="CM1" s="10">
        <v>1</v>
      </c>
      <c r="CN1" s="10">
        <v>400</v>
      </c>
      <c r="CO1" s="10">
        <v>1</v>
      </c>
      <c r="CP1" s="10">
        <v>400</v>
      </c>
      <c r="CQ1" s="10">
        <v>1</v>
      </c>
      <c r="CR1" s="10">
        <v>400</v>
      </c>
      <c r="CS1" s="10">
        <v>1</v>
      </c>
      <c r="CT1" s="10">
        <v>400</v>
      </c>
      <c r="CU1" s="10">
        <v>1</v>
      </c>
      <c r="CV1" s="10">
        <v>400</v>
      </c>
      <c r="CW1" s="10">
        <v>1</v>
      </c>
      <c r="CX1" s="10">
        <v>400</v>
      </c>
      <c r="CY1" s="10">
        <v>1</v>
      </c>
      <c r="CZ1" s="10">
        <v>400</v>
      </c>
      <c r="DA1" s="10">
        <v>1</v>
      </c>
      <c r="DB1" s="10">
        <v>400</v>
      </c>
      <c r="DC1" s="10">
        <v>1</v>
      </c>
      <c r="DD1" s="10">
        <v>400</v>
      </c>
      <c r="DE1" s="10">
        <v>1</v>
      </c>
      <c r="DF1" s="10">
        <v>400</v>
      </c>
      <c r="DG1" s="10">
        <v>1</v>
      </c>
      <c r="DH1" s="10">
        <v>400</v>
      </c>
      <c r="DI1" s="10">
        <v>1</v>
      </c>
      <c r="DJ1" s="10">
        <v>400</v>
      </c>
      <c r="DK1" s="10">
        <v>1</v>
      </c>
      <c r="DL1" s="10">
        <v>400</v>
      </c>
      <c r="DM1" s="10">
        <v>1</v>
      </c>
      <c r="DN1" s="10">
        <v>400</v>
      </c>
      <c r="DO1" s="10">
        <v>1</v>
      </c>
      <c r="DP1" s="10">
        <v>400</v>
      </c>
      <c r="DQ1" s="10">
        <v>1</v>
      </c>
      <c r="DR1" s="10">
        <v>400</v>
      </c>
      <c r="DS1" s="10">
        <v>1</v>
      </c>
      <c r="DT1" s="10">
        <v>400</v>
      </c>
      <c r="DU1" s="10">
        <v>1</v>
      </c>
      <c r="DV1" s="10">
        <v>400</v>
      </c>
      <c r="DW1" s="10">
        <v>1</v>
      </c>
      <c r="DX1" s="10">
        <v>400</v>
      </c>
      <c r="DY1" s="10">
        <v>1</v>
      </c>
      <c r="DZ1" s="10">
        <v>400</v>
      </c>
      <c r="EA1" s="10">
        <v>1</v>
      </c>
      <c r="EB1" s="10">
        <v>400</v>
      </c>
      <c r="EC1" s="10">
        <v>1</v>
      </c>
      <c r="ED1" s="10">
        <v>400</v>
      </c>
      <c r="EE1" s="10">
        <v>1</v>
      </c>
      <c r="EF1" s="10">
        <v>400</v>
      </c>
      <c r="EG1" s="10">
        <v>1</v>
      </c>
      <c r="EH1" s="10">
        <v>400</v>
      </c>
      <c r="EI1" s="10">
        <v>1</v>
      </c>
      <c r="EJ1" s="10">
        <v>400</v>
      </c>
      <c r="EK1" s="10">
        <v>1</v>
      </c>
      <c r="EL1" s="10">
        <v>400</v>
      </c>
      <c r="EM1" s="10">
        <v>1</v>
      </c>
      <c r="EN1" s="10">
        <v>400</v>
      </c>
      <c r="EO1" s="10">
        <v>1</v>
      </c>
      <c r="EP1" s="10">
        <v>400</v>
      </c>
      <c r="EQ1" s="10">
        <v>1</v>
      </c>
      <c r="ER1" s="10">
        <v>400</v>
      </c>
      <c r="ES1" s="10">
        <v>1</v>
      </c>
      <c r="ET1" s="10">
        <v>400</v>
      </c>
      <c r="EU1" s="10">
        <v>1</v>
      </c>
      <c r="EV1" s="10">
        <v>400</v>
      </c>
      <c r="EW1" s="10">
        <v>1</v>
      </c>
      <c r="EX1" s="10">
        <v>400</v>
      </c>
      <c r="EY1" s="10">
        <v>1</v>
      </c>
      <c r="EZ1" s="10">
        <v>400</v>
      </c>
      <c r="FA1" s="10">
        <v>1</v>
      </c>
      <c r="FB1" s="10">
        <v>400</v>
      </c>
      <c r="FC1" s="10">
        <v>1</v>
      </c>
      <c r="FD1" s="10">
        <v>400</v>
      </c>
      <c r="FE1" s="10">
        <v>1</v>
      </c>
      <c r="FF1" s="10">
        <v>400</v>
      </c>
      <c r="FG1" s="10">
        <v>1</v>
      </c>
      <c r="FH1" s="10">
        <v>400</v>
      </c>
      <c r="FI1" s="10">
        <v>1</v>
      </c>
      <c r="FJ1" s="10">
        <v>400</v>
      </c>
      <c r="FK1" s="10">
        <v>1</v>
      </c>
      <c r="FL1" s="10">
        <v>400</v>
      </c>
      <c r="FM1" s="10">
        <v>1</v>
      </c>
      <c r="FN1" s="10">
        <v>400</v>
      </c>
      <c r="FO1" s="10">
        <v>1</v>
      </c>
      <c r="FP1" s="10">
        <v>400</v>
      </c>
      <c r="FQ1" s="10">
        <v>1</v>
      </c>
      <c r="FR1" s="10">
        <v>400</v>
      </c>
      <c r="FS1" s="10">
        <v>1</v>
      </c>
      <c r="FT1" s="10">
        <v>400</v>
      </c>
      <c r="FU1" s="10">
        <v>1</v>
      </c>
      <c r="FV1" s="10">
        <v>400</v>
      </c>
      <c r="FW1" s="10">
        <v>1</v>
      </c>
      <c r="FX1" s="10">
        <v>400</v>
      </c>
      <c r="FY1" s="10">
        <v>1</v>
      </c>
      <c r="FZ1" s="10">
        <v>400</v>
      </c>
      <c r="GA1" s="10">
        <v>1</v>
      </c>
      <c r="GB1" s="10">
        <v>400</v>
      </c>
      <c r="GC1" s="10">
        <v>1</v>
      </c>
      <c r="GD1" s="10">
        <v>400</v>
      </c>
      <c r="GE1" s="10">
        <v>1</v>
      </c>
      <c r="GF1" s="10">
        <v>400</v>
      </c>
      <c r="GG1" s="10">
        <v>1</v>
      </c>
      <c r="GH1" s="10">
        <v>400</v>
      </c>
      <c r="GI1" s="10">
        <v>1</v>
      </c>
      <c r="GJ1" s="10">
        <v>400</v>
      </c>
      <c r="GK1" s="10">
        <v>1</v>
      </c>
      <c r="GL1" s="10">
        <v>400</v>
      </c>
      <c r="GM1" s="10">
        <v>1</v>
      </c>
      <c r="GN1" s="10">
        <v>400</v>
      </c>
      <c r="GO1" s="10">
        <v>1</v>
      </c>
      <c r="GP1" s="10">
        <v>400</v>
      </c>
      <c r="GQ1" s="10">
        <v>1</v>
      </c>
      <c r="GR1" s="10">
        <v>400</v>
      </c>
      <c r="GS1" s="10">
        <v>1</v>
      </c>
      <c r="GT1" s="10">
        <v>400</v>
      </c>
      <c r="GU1" s="10">
        <v>1</v>
      </c>
      <c r="GV1" s="10">
        <v>400</v>
      </c>
      <c r="GW1" s="10">
        <v>1</v>
      </c>
      <c r="GX1" s="10">
        <v>400</v>
      </c>
      <c r="GY1" s="10">
        <v>1</v>
      </c>
      <c r="GZ1" s="10">
        <v>400</v>
      </c>
      <c r="HA1" s="10">
        <v>1</v>
      </c>
      <c r="HB1" s="10">
        <v>400</v>
      </c>
      <c r="HC1" s="10">
        <v>1</v>
      </c>
      <c r="HD1" s="10">
        <v>400</v>
      </c>
      <c r="HE1" s="10">
        <v>1</v>
      </c>
      <c r="HF1" s="10">
        <v>400</v>
      </c>
      <c r="HG1" s="10">
        <v>1</v>
      </c>
      <c r="HH1" s="10">
        <v>400</v>
      </c>
      <c r="HI1" s="10">
        <v>1</v>
      </c>
      <c r="HJ1" s="10">
        <v>400</v>
      </c>
      <c r="HK1" s="10">
        <v>1</v>
      </c>
      <c r="HL1" s="10">
        <v>400</v>
      </c>
      <c r="HM1" s="10">
        <v>400</v>
      </c>
      <c r="HN1" s="10">
        <v>400</v>
      </c>
      <c r="HO1" s="10">
        <v>1</v>
      </c>
      <c r="HP1" s="10">
        <v>400</v>
      </c>
      <c r="HQ1" s="10">
        <v>1</v>
      </c>
      <c r="HR1" s="10">
        <v>400</v>
      </c>
      <c r="HS1" s="10">
        <v>1</v>
      </c>
      <c r="HT1" s="10">
        <v>400</v>
      </c>
      <c r="HU1" s="10">
        <v>1</v>
      </c>
      <c r="HV1" s="10">
        <v>1</v>
      </c>
      <c r="HW1" s="10">
        <v>1</v>
      </c>
      <c r="HX1" s="10">
        <v>1</v>
      </c>
    </row>
    <row r="2" spans="1:232" ht="21" customHeight="1" x14ac:dyDescent="0.3">
      <c r="A2" s="245"/>
      <c r="B2" s="267"/>
      <c r="C2" s="267"/>
      <c r="D2" s="242"/>
      <c r="E2" s="264" t="s">
        <v>3398</v>
      </c>
      <c r="F2" s="265"/>
      <c r="G2" s="271"/>
      <c r="H2" s="268" t="s">
        <v>3400</v>
      </c>
      <c r="I2" s="269"/>
      <c r="J2" s="268" t="s">
        <v>3401</v>
      </c>
      <c r="K2" s="269"/>
      <c r="L2" s="268" t="s">
        <v>3419</v>
      </c>
      <c r="M2" s="269"/>
      <c r="N2" s="268" t="s">
        <v>3399</v>
      </c>
      <c r="O2" s="269"/>
      <c r="P2" s="268" t="s">
        <v>3402</v>
      </c>
      <c r="Q2" s="269"/>
      <c r="R2" s="268" t="s">
        <v>3403</v>
      </c>
      <c r="S2" s="269"/>
      <c r="T2" s="268" t="s">
        <v>3404</v>
      </c>
      <c r="U2" s="269"/>
      <c r="V2" s="268" t="s">
        <v>3405</v>
      </c>
      <c r="W2" s="269"/>
      <c r="X2" s="268" t="s">
        <v>3406</v>
      </c>
      <c r="Y2" s="269"/>
      <c r="Z2" s="268" t="s">
        <v>3407</v>
      </c>
      <c r="AA2" s="269"/>
      <c r="AB2" s="268" t="s">
        <v>3408</v>
      </c>
      <c r="AC2" s="269"/>
      <c r="AD2" s="268" t="s">
        <v>3410</v>
      </c>
      <c r="AE2" s="269"/>
      <c r="AF2" s="268" t="s">
        <v>3411</v>
      </c>
      <c r="AG2" s="269"/>
      <c r="AH2" s="268" t="s">
        <v>3412</v>
      </c>
      <c r="AI2" s="269"/>
      <c r="AJ2" s="268" t="s">
        <v>3413</v>
      </c>
      <c r="AK2" s="269"/>
      <c r="AL2" s="268" t="s">
        <v>3414</v>
      </c>
      <c r="AM2" s="269"/>
      <c r="AN2" s="268" t="s">
        <v>3415</v>
      </c>
      <c r="AO2" s="269"/>
      <c r="AP2" s="268" t="s">
        <v>3416</v>
      </c>
      <c r="AQ2" s="269"/>
      <c r="AR2" s="268" t="s">
        <v>3417</v>
      </c>
      <c r="AS2" s="269"/>
      <c r="AT2" s="268" t="s">
        <v>3464</v>
      </c>
      <c r="AU2" s="269"/>
      <c r="AV2" s="268" t="s">
        <v>3423</v>
      </c>
      <c r="AW2" s="269"/>
      <c r="AX2" s="268" t="s">
        <v>3418</v>
      </c>
      <c r="AY2" s="269"/>
      <c r="AZ2" s="268" t="s">
        <v>3420</v>
      </c>
      <c r="BA2" s="269"/>
      <c r="BB2" s="268" t="s">
        <v>3421</v>
      </c>
      <c r="BC2" s="269"/>
      <c r="BD2" s="268" t="s">
        <v>3422</v>
      </c>
      <c r="BE2" s="269"/>
      <c r="BF2" s="268" t="s">
        <v>3424</v>
      </c>
      <c r="BG2" s="269"/>
      <c r="BH2" s="268" t="s">
        <v>3558</v>
      </c>
      <c r="BI2" s="269"/>
      <c r="BJ2" s="268" t="s">
        <v>3559</v>
      </c>
      <c r="BK2" s="269"/>
      <c r="BL2" s="268" t="s">
        <v>3560</v>
      </c>
      <c r="BM2" s="269"/>
      <c r="BN2" s="268" t="s">
        <v>3561</v>
      </c>
      <c r="BO2" s="269"/>
      <c r="BP2" s="268" t="s">
        <v>3562</v>
      </c>
      <c r="BQ2" s="269"/>
      <c r="BR2" s="268" t="s">
        <v>3563</v>
      </c>
      <c r="BS2" s="269"/>
      <c r="BT2" s="268" t="s">
        <v>3564</v>
      </c>
      <c r="BU2" s="269"/>
      <c r="BV2" s="268" t="s">
        <v>3565</v>
      </c>
      <c r="BW2" s="269"/>
      <c r="BX2" s="268" t="s">
        <v>3566</v>
      </c>
      <c r="BY2" s="269"/>
      <c r="BZ2" s="268" t="s">
        <v>3567</v>
      </c>
      <c r="CA2" s="269"/>
      <c r="CB2" s="268" t="s">
        <v>3568</v>
      </c>
      <c r="CC2" s="269"/>
      <c r="CD2" s="268" t="s">
        <v>3569</v>
      </c>
      <c r="CE2" s="269"/>
      <c r="CF2" s="268" t="s">
        <v>3570</v>
      </c>
      <c r="CG2" s="269"/>
      <c r="CH2" s="268" t="s">
        <v>3571</v>
      </c>
      <c r="CI2" s="269"/>
      <c r="CJ2" s="268" t="s">
        <v>3572</v>
      </c>
      <c r="CK2" s="269"/>
      <c r="CL2" s="268" t="s">
        <v>3573</v>
      </c>
      <c r="CM2" s="269"/>
      <c r="CN2" s="268" t="s">
        <v>3574</v>
      </c>
      <c r="CO2" s="269"/>
      <c r="CP2" s="268" t="s">
        <v>3575</v>
      </c>
      <c r="CQ2" s="269"/>
      <c r="CR2" s="268" t="s">
        <v>3576</v>
      </c>
      <c r="CS2" s="269"/>
      <c r="CT2" s="268" t="s">
        <v>3577</v>
      </c>
      <c r="CU2" s="269"/>
      <c r="CV2" s="268" t="s">
        <v>3578</v>
      </c>
      <c r="CW2" s="269"/>
      <c r="CX2" s="268" t="s">
        <v>3579</v>
      </c>
      <c r="CY2" s="269"/>
      <c r="CZ2" s="268" t="s">
        <v>3580</v>
      </c>
      <c r="DA2" s="269"/>
      <c r="DB2" s="268" t="s">
        <v>3581</v>
      </c>
      <c r="DC2" s="269"/>
      <c r="DD2" s="268" t="s">
        <v>3582</v>
      </c>
      <c r="DE2" s="269"/>
      <c r="DF2" s="268" t="s">
        <v>3583</v>
      </c>
      <c r="DG2" s="269"/>
      <c r="DH2" s="268" t="s">
        <v>3584</v>
      </c>
      <c r="DI2" s="269"/>
      <c r="DJ2" s="268" t="s">
        <v>3585</v>
      </c>
      <c r="DK2" s="269"/>
      <c r="DL2" s="268" t="s">
        <v>3586</v>
      </c>
      <c r="DM2" s="269"/>
      <c r="DN2" s="268" t="s">
        <v>3587</v>
      </c>
      <c r="DO2" s="269"/>
      <c r="DP2" s="268" t="s">
        <v>3588</v>
      </c>
      <c r="DQ2" s="269"/>
      <c r="DR2" s="268" t="s">
        <v>3589</v>
      </c>
      <c r="DS2" s="269"/>
      <c r="DT2" s="268" t="s">
        <v>3590</v>
      </c>
      <c r="DU2" s="269"/>
      <c r="DV2" s="268" t="s">
        <v>3591</v>
      </c>
      <c r="DW2" s="269"/>
      <c r="DX2" s="268" t="s">
        <v>3592</v>
      </c>
      <c r="DY2" s="269"/>
      <c r="DZ2" s="268" t="s">
        <v>3593</v>
      </c>
      <c r="EA2" s="269"/>
      <c r="EB2" s="268" t="s">
        <v>3594</v>
      </c>
      <c r="EC2" s="269"/>
      <c r="ED2" s="268" t="s">
        <v>3595</v>
      </c>
      <c r="EE2" s="269"/>
      <c r="EF2" s="268" t="s">
        <v>3596</v>
      </c>
      <c r="EG2" s="269"/>
      <c r="EH2" s="268" t="s">
        <v>3597</v>
      </c>
      <c r="EI2" s="269"/>
      <c r="EJ2" s="268" t="s">
        <v>3598</v>
      </c>
      <c r="EK2" s="269"/>
      <c r="EL2" s="268" t="s">
        <v>3599</v>
      </c>
      <c r="EM2" s="269"/>
      <c r="EN2" s="268" t="s">
        <v>3600</v>
      </c>
      <c r="EO2" s="269"/>
      <c r="EP2" s="268" t="s">
        <v>3601</v>
      </c>
      <c r="EQ2" s="269"/>
      <c r="ER2" s="268" t="s">
        <v>3602</v>
      </c>
      <c r="ES2" s="269"/>
      <c r="ET2" s="268" t="s">
        <v>3603</v>
      </c>
      <c r="EU2" s="269"/>
      <c r="EV2" s="268" t="s">
        <v>3604</v>
      </c>
      <c r="EW2" s="269"/>
      <c r="EX2" s="268" t="s">
        <v>3605</v>
      </c>
      <c r="EY2" s="269"/>
      <c r="EZ2" s="268" t="s">
        <v>3606</v>
      </c>
      <c r="FA2" s="269"/>
      <c r="FB2" s="268" t="s">
        <v>3607</v>
      </c>
      <c r="FC2" s="269"/>
      <c r="FD2" s="268" t="s">
        <v>3608</v>
      </c>
      <c r="FE2" s="269"/>
      <c r="FF2" s="268" t="s">
        <v>3609</v>
      </c>
      <c r="FG2" s="269"/>
      <c r="FH2" s="268" t="s">
        <v>3610</v>
      </c>
      <c r="FI2" s="269"/>
      <c r="FJ2" s="268" t="s">
        <v>3611</v>
      </c>
      <c r="FK2" s="269"/>
      <c r="FL2" s="268" t="s">
        <v>3612</v>
      </c>
      <c r="FM2" s="269"/>
      <c r="FN2" s="268" t="s">
        <v>3613</v>
      </c>
      <c r="FO2" s="269"/>
      <c r="FP2" s="268" t="s">
        <v>3614</v>
      </c>
      <c r="FQ2" s="269"/>
      <c r="FR2" s="268" t="s">
        <v>3615</v>
      </c>
      <c r="FS2" s="269"/>
      <c r="FT2" s="268" t="s">
        <v>3616</v>
      </c>
      <c r="FU2" s="269"/>
      <c r="FV2" s="268" t="s">
        <v>3617</v>
      </c>
      <c r="FW2" s="269"/>
      <c r="FX2" s="268" t="s">
        <v>3618</v>
      </c>
      <c r="FY2" s="269"/>
      <c r="FZ2" s="268" t="s">
        <v>3619</v>
      </c>
      <c r="GA2" s="269"/>
      <c r="GB2" s="268" t="s">
        <v>3620</v>
      </c>
      <c r="GC2" s="269"/>
      <c r="GD2" s="268" t="s">
        <v>3621</v>
      </c>
      <c r="GE2" s="269"/>
      <c r="GF2" s="268" t="s">
        <v>3622</v>
      </c>
      <c r="GG2" s="269"/>
      <c r="GH2" s="268" t="s">
        <v>3623</v>
      </c>
      <c r="GI2" s="269"/>
      <c r="GJ2" s="268" t="s">
        <v>3624</v>
      </c>
      <c r="GK2" s="269"/>
      <c r="GL2" s="268" t="s">
        <v>3625</v>
      </c>
      <c r="GM2" s="269"/>
      <c r="GN2" s="268" t="s">
        <v>3626</v>
      </c>
      <c r="GO2" s="269"/>
      <c r="GP2" s="268" t="s">
        <v>3627</v>
      </c>
      <c r="GQ2" s="269"/>
      <c r="GR2" s="268" t="s">
        <v>3628</v>
      </c>
      <c r="GS2" s="269"/>
      <c r="GT2" s="268" t="s">
        <v>3629</v>
      </c>
      <c r="GU2" s="269"/>
      <c r="GV2" s="268" t="s">
        <v>3630</v>
      </c>
      <c r="GW2" s="269"/>
      <c r="GX2" s="268" t="s">
        <v>3631</v>
      </c>
      <c r="GY2" s="269"/>
      <c r="GZ2" s="268" t="s">
        <v>3632</v>
      </c>
      <c r="HA2" s="269"/>
      <c r="HB2" s="268" t="s">
        <v>3633</v>
      </c>
      <c r="HC2" s="269"/>
      <c r="HD2" s="268" t="s">
        <v>3634</v>
      </c>
      <c r="HE2" s="269"/>
      <c r="HF2" s="268" t="s">
        <v>3635</v>
      </c>
      <c r="HG2" s="269"/>
      <c r="HH2" s="268" t="s">
        <v>3636</v>
      </c>
      <c r="HI2" s="269"/>
      <c r="HJ2" s="268" t="s">
        <v>3637</v>
      </c>
      <c r="HK2" s="269"/>
      <c r="HL2" s="268" t="s">
        <v>3638</v>
      </c>
      <c r="HM2" s="269"/>
      <c r="HN2" s="268" t="s">
        <v>3639</v>
      </c>
      <c r="HO2" s="269"/>
      <c r="HP2" s="268" t="s">
        <v>3640</v>
      </c>
      <c r="HQ2" s="269"/>
      <c r="HR2" s="268" t="s">
        <v>3641</v>
      </c>
      <c r="HS2" s="269"/>
      <c r="HT2" s="268" t="s">
        <v>3642</v>
      </c>
      <c r="HU2" s="269"/>
      <c r="HV2" s="10" t="s">
        <v>32</v>
      </c>
      <c r="HW2" s="10" t="s">
        <v>3409</v>
      </c>
      <c r="HX2" s="10" t="s">
        <v>2752</v>
      </c>
    </row>
    <row r="3" spans="1:232" ht="16.5" customHeight="1" x14ac:dyDescent="0.3">
      <c r="A3" s="245"/>
      <c r="B3" s="170" t="s">
        <v>3395</v>
      </c>
      <c r="C3" s="170" t="s">
        <v>3465</v>
      </c>
      <c r="D3" s="10" t="s">
        <v>3466</v>
      </c>
      <c r="E3" s="15" t="s">
        <v>0</v>
      </c>
      <c r="F3" s="15" t="s">
        <v>3396</v>
      </c>
      <c r="G3" s="271"/>
      <c r="H3" s="10" t="s">
        <v>3397</v>
      </c>
      <c r="I3" s="10" t="s">
        <v>3462</v>
      </c>
      <c r="J3" s="10" t="s">
        <v>3397</v>
      </c>
      <c r="K3" s="10" t="s">
        <v>3462</v>
      </c>
      <c r="L3" s="10" t="s">
        <v>3397</v>
      </c>
      <c r="M3" s="10" t="s">
        <v>3462</v>
      </c>
      <c r="N3" s="10" t="s">
        <v>3397</v>
      </c>
      <c r="O3" s="10" t="s">
        <v>3462</v>
      </c>
      <c r="P3" s="10" t="s">
        <v>3397</v>
      </c>
      <c r="Q3" s="10" t="s">
        <v>3462</v>
      </c>
      <c r="R3" s="10" t="s">
        <v>3397</v>
      </c>
      <c r="S3" s="10" t="s">
        <v>3462</v>
      </c>
      <c r="T3" s="10" t="s">
        <v>3397</v>
      </c>
      <c r="U3" s="10" t="s">
        <v>3462</v>
      </c>
      <c r="V3" s="10" t="s">
        <v>3397</v>
      </c>
      <c r="W3" s="10" t="s">
        <v>3462</v>
      </c>
      <c r="X3" s="10" t="s">
        <v>3397</v>
      </c>
      <c r="Y3" s="10" t="s">
        <v>3462</v>
      </c>
      <c r="Z3" s="10" t="s">
        <v>3397</v>
      </c>
      <c r="AA3" s="10" t="s">
        <v>3462</v>
      </c>
      <c r="AB3" s="10" t="s">
        <v>3397</v>
      </c>
      <c r="AC3" s="10" t="s">
        <v>3462</v>
      </c>
      <c r="AD3" s="10" t="s">
        <v>3397</v>
      </c>
      <c r="AE3" s="10" t="s">
        <v>3462</v>
      </c>
      <c r="AF3" s="10" t="s">
        <v>3397</v>
      </c>
      <c r="AG3" s="10" t="s">
        <v>3462</v>
      </c>
      <c r="AH3" s="10" t="s">
        <v>3397</v>
      </c>
      <c r="AI3" s="10" t="s">
        <v>3462</v>
      </c>
      <c r="AJ3" s="10" t="s">
        <v>3397</v>
      </c>
      <c r="AK3" s="10" t="s">
        <v>3462</v>
      </c>
      <c r="AL3" s="10" t="s">
        <v>3397</v>
      </c>
      <c r="AM3" s="10" t="s">
        <v>3462</v>
      </c>
      <c r="AN3" s="10" t="s">
        <v>3397</v>
      </c>
      <c r="AO3" s="10" t="s">
        <v>3462</v>
      </c>
      <c r="AP3" s="10" t="s">
        <v>3397</v>
      </c>
      <c r="AQ3" s="10" t="s">
        <v>3462</v>
      </c>
      <c r="AR3" s="10" t="s">
        <v>3397</v>
      </c>
      <c r="AS3" s="10" t="s">
        <v>3462</v>
      </c>
      <c r="AT3" s="10" t="s">
        <v>3397</v>
      </c>
      <c r="AU3" s="10" t="s">
        <v>3462</v>
      </c>
      <c r="AV3" s="10" t="s">
        <v>3397</v>
      </c>
      <c r="AW3" s="10" t="s">
        <v>3462</v>
      </c>
      <c r="AX3" s="10" t="s">
        <v>3397</v>
      </c>
      <c r="AY3" s="10" t="s">
        <v>3462</v>
      </c>
      <c r="AZ3" s="10" t="s">
        <v>3397</v>
      </c>
      <c r="BA3" s="10" t="s">
        <v>3462</v>
      </c>
      <c r="BB3" s="10" t="s">
        <v>3397</v>
      </c>
      <c r="BC3" s="10" t="s">
        <v>3462</v>
      </c>
      <c r="BD3" s="10" t="s">
        <v>3397</v>
      </c>
      <c r="BE3" s="10" t="s">
        <v>3462</v>
      </c>
      <c r="BF3" s="10" t="s">
        <v>3397</v>
      </c>
      <c r="BG3" s="10" t="s">
        <v>3462</v>
      </c>
      <c r="BH3" s="10" t="s">
        <v>3397</v>
      </c>
      <c r="BI3" s="10" t="s">
        <v>3462</v>
      </c>
      <c r="BJ3" s="10" t="s">
        <v>3397</v>
      </c>
      <c r="BK3" s="10" t="s">
        <v>3462</v>
      </c>
      <c r="BL3" s="10" t="s">
        <v>3397</v>
      </c>
      <c r="BM3" s="10" t="s">
        <v>3462</v>
      </c>
      <c r="BN3" s="10" t="s">
        <v>3397</v>
      </c>
      <c r="BO3" s="10" t="s">
        <v>3462</v>
      </c>
      <c r="BP3" s="10" t="s">
        <v>3397</v>
      </c>
      <c r="BQ3" s="10" t="s">
        <v>3462</v>
      </c>
      <c r="BR3" s="10" t="s">
        <v>3397</v>
      </c>
      <c r="BS3" s="10" t="s">
        <v>3462</v>
      </c>
      <c r="BT3" s="10" t="s">
        <v>3397</v>
      </c>
      <c r="BU3" s="10" t="s">
        <v>3462</v>
      </c>
      <c r="BV3" s="10" t="s">
        <v>3397</v>
      </c>
      <c r="BW3" s="10" t="s">
        <v>3462</v>
      </c>
      <c r="BX3" s="10" t="s">
        <v>3397</v>
      </c>
      <c r="BY3" s="10" t="s">
        <v>3462</v>
      </c>
      <c r="BZ3" s="10" t="s">
        <v>3397</v>
      </c>
      <c r="CA3" s="10" t="s">
        <v>3462</v>
      </c>
      <c r="CB3" s="10" t="s">
        <v>3397</v>
      </c>
      <c r="CC3" s="10" t="s">
        <v>3462</v>
      </c>
      <c r="CD3" s="10" t="s">
        <v>3397</v>
      </c>
      <c r="CE3" s="10" t="s">
        <v>3462</v>
      </c>
      <c r="CF3" s="10" t="s">
        <v>3397</v>
      </c>
      <c r="CG3" s="10" t="s">
        <v>3462</v>
      </c>
      <c r="CH3" s="10" t="s">
        <v>3397</v>
      </c>
      <c r="CI3" s="10" t="s">
        <v>3462</v>
      </c>
      <c r="CJ3" s="10" t="s">
        <v>3397</v>
      </c>
      <c r="CK3" s="10" t="s">
        <v>3462</v>
      </c>
      <c r="CL3" s="10" t="s">
        <v>3397</v>
      </c>
      <c r="CM3" s="10" t="s">
        <v>3462</v>
      </c>
      <c r="CN3" s="10" t="s">
        <v>3397</v>
      </c>
      <c r="CO3" s="10" t="s">
        <v>3462</v>
      </c>
      <c r="CP3" s="10" t="s">
        <v>3397</v>
      </c>
      <c r="CQ3" s="10" t="s">
        <v>3462</v>
      </c>
      <c r="CR3" s="10" t="s">
        <v>3397</v>
      </c>
      <c r="CS3" s="10" t="s">
        <v>3462</v>
      </c>
      <c r="CT3" s="10" t="s">
        <v>3397</v>
      </c>
      <c r="CU3" s="10" t="s">
        <v>3462</v>
      </c>
      <c r="CV3" s="10" t="s">
        <v>3397</v>
      </c>
      <c r="CW3" s="10" t="s">
        <v>3462</v>
      </c>
      <c r="CX3" s="10" t="s">
        <v>3397</v>
      </c>
      <c r="CY3" s="10" t="s">
        <v>3462</v>
      </c>
      <c r="CZ3" s="10" t="s">
        <v>3397</v>
      </c>
      <c r="DA3" s="10" t="s">
        <v>3462</v>
      </c>
      <c r="DB3" s="10" t="s">
        <v>3397</v>
      </c>
      <c r="DC3" s="10" t="s">
        <v>3462</v>
      </c>
      <c r="DD3" s="10" t="s">
        <v>3397</v>
      </c>
      <c r="DE3" s="10" t="s">
        <v>3462</v>
      </c>
      <c r="DF3" s="10" t="s">
        <v>3397</v>
      </c>
      <c r="DG3" s="10" t="s">
        <v>3462</v>
      </c>
      <c r="DH3" s="10" t="s">
        <v>3397</v>
      </c>
      <c r="DI3" s="10" t="s">
        <v>3462</v>
      </c>
      <c r="DJ3" s="10" t="s">
        <v>3397</v>
      </c>
      <c r="DK3" s="10" t="s">
        <v>3462</v>
      </c>
      <c r="DL3" s="10" t="s">
        <v>3397</v>
      </c>
      <c r="DM3" s="10" t="s">
        <v>3462</v>
      </c>
      <c r="DN3" s="10" t="s">
        <v>3397</v>
      </c>
      <c r="DO3" s="10" t="s">
        <v>3462</v>
      </c>
      <c r="DP3" s="10" t="s">
        <v>3397</v>
      </c>
      <c r="DQ3" s="10" t="s">
        <v>3462</v>
      </c>
      <c r="DR3" s="10" t="s">
        <v>3397</v>
      </c>
      <c r="DS3" s="10" t="s">
        <v>3462</v>
      </c>
      <c r="DT3" s="10" t="s">
        <v>3397</v>
      </c>
      <c r="DU3" s="10" t="s">
        <v>3462</v>
      </c>
      <c r="DV3" s="10" t="s">
        <v>3397</v>
      </c>
      <c r="DW3" s="10" t="s">
        <v>3462</v>
      </c>
      <c r="DX3" s="10" t="s">
        <v>3397</v>
      </c>
      <c r="DY3" s="10" t="s">
        <v>3462</v>
      </c>
      <c r="DZ3" s="10" t="s">
        <v>3397</v>
      </c>
      <c r="EA3" s="10" t="s">
        <v>3462</v>
      </c>
      <c r="EB3" s="10" t="s">
        <v>3397</v>
      </c>
      <c r="EC3" s="10" t="s">
        <v>3462</v>
      </c>
      <c r="ED3" s="10" t="s">
        <v>3397</v>
      </c>
      <c r="EE3" s="10" t="s">
        <v>3462</v>
      </c>
      <c r="EF3" s="10" t="s">
        <v>3397</v>
      </c>
      <c r="EG3" s="10" t="s">
        <v>3462</v>
      </c>
      <c r="EH3" s="10" t="s">
        <v>3397</v>
      </c>
      <c r="EI3" s="10" t="s">
        <v>3462</v>
      </c>
      <c r="EJ3" s="10" t="s">
        <v>3397</v>
      </c>
      <c r="EK3" s="10" t="s">
        <v>3462</v>
      </c>
      <c r="EL3" s="10" t="s">
        <v>3397</v>
      </c>
      <c r="EM3" s="10" t="s">
        <v>3462</v>
      </c>
      <c r="EN3" s="10" t="s">
        <v>3397</v>
      </c>
      <c r="EO3" s="10" t="s">
        <v>3462</v>
      </c>
      <c r="EP3" s="10" t="s">
        <v>3397</v>
      </c>
      <c r="EQ3" s="10" t="s">
        <v>3462</v>
      </c>
      <c r="ER3" s="10" t="s">
        <v>3397</v>
      </c>
      <c r="ES3" s="10" t="s">
        <v>3462</v>
      </c>
      <c r="ET3" s="10" t="s">
        <v>3397</v>
      </c>
      <c r="EU3" s="10" t="s">
        <v>3462</v>
      </c>
      <c r="EV3" s="10" t="s">
        <v>3397</v>
      </c>
      <c r="EW3" s="10" t="s">
        <v>3462</v>
      </c>
      <c r="EX3" s="10" t="s">
        <v>3397</v>
      </c>
      <c r="EY3" s="10" t="s">
        <v>3462</v>
      </c>
      <c r="EZ3" s="10" t="s">
        <v>3397</v>
      </c>
      <c r="FA3" s="10" t="s">
        <v>3462</v>
      </c>
      <c r="FB3" s="10" t="s">
        <v>3397</v>
      </c>
      <c r="FC3" s="10" t="s">
        <v>3462</v>
      </c>
      <c r="FD3" s="10" t="s">
        <v>3397</v>
      </c>
      <c r="FE3" s="10" t="s">
        <v>3462</v>
      </c>
      <c r="FF3" s="10" t="s">
        <v>3397</v>
      </c>
      <c r="FG3" s="10" t="s">
        <v>3462</v>
      </c>
      <c r="FH3" s="10" t="s">
        <v>3397</v>
      </c>
      <c r="FI3" s="10" t="s">
        <v>3462</v>
      </c>
      <c r="FJ3" s="10" t="s">
        <v>3397</v>
      </c>
      <c r="FK3" s="10" t="s">
        <v>3462</v>
      </c>
      <c r="FL3" s="10" t="s">
        <v>3397</v>
      </c>
      <c r="FM3" s="10" t="s">
        <v>3462</v>
      </c>
      <c r="FN3" s="10" t="s">
        <v>3397</v>
      </c>
      <c r="FO3" s="10" t="s">
        <v>3462</v>
      </c>
      <c r="FP3" s="10" t="s">
        <v>3397</v>
      </c>
      <c r="FQ3" s="10" t="s">
        <v>3462</v>
      </c>
      <c r="FR3" s="10" t="s">
        <v>3397</v>
      </c>
      <c r="FS3" s="10" t="s">
        <v>3462</v>
      </c>
      <c r="FT3" s="10" t="s">
        <v>3397</v>
      </c>
      <c r="FU3" s="10" t="s">
        <v>3462</v>
      </c>
      <c r="FV3" s="10" t="s">
        <v>3397</v>
      </c>
      <c r="FW3" s="10" t="s">
        <v>3462</v>
      </c>
      <c r="FX3" s="10" t="s">
        <v>3397</v>
      </c>
      <c r="FY3" s="10" t="s">
        <v>3462</v>
      </c>
      <c r="FZ3" s="10" t="s">
        <v>3397</v>
      </c>
      <c r="GA3" s="10" t="s">
        <v>3462</v>
      </c>
      <c r="GB3" s="10" t="s">
        <v>3397</v>
      </c>
      <c r="GC3" s="10" t="s">
        <v>3462</v>
      </c>
      <c r="GD3" s="10" t="s">
        <v>3397</v>
      </c>
      <c r="GE3" s="10" t="s">
        <v>3462</v>
      </c>
      <c r="GF3" s="10" t="s">
        <v>3397</v>
      </c>
      <c r="GG3" s="10" t="s">
        <v>3462</v>
      </c>
      <c r="GH3" s="10" t="s">
        <v>3397</v>
      </c>
      <c r="GI3" s="10" t="s">
        <v>3462</v>
      </c>
      <c r="GJ3" s="10" t="s">
        <v>3397</v>
      </c>
      <c r="GK3" s="10" t="s">
        <v>3462</v>
      </c>
      <c r="GL3" s="10" t="s">
        <v>3397</v>
      </c>
      <c r="GM3" s="10" t="s">
        <v>3462</v>
      </c>
      <c r="GN3" s="10" t="s">
        <v>3397</v>
      </c>
      <c r="GO3" s="10" t="s">
        <v>3462</v>
      </c>
      <c r="GP3" s="10" t="s">
        <v>3397</v>
      </c>
      <c r="GQ3" s="10" t="s">
        <v>3462</v>
      </c>
      <c r="GR3" s="10" t="s">
        <v>3397</v>
      </c>
      <c r="GS3" s="10" t="s">
        <v>3462</v>
      </c>
      <c r="GT3" s="10" t="s">
        <v>3397</v>
      </c>
      <c r="GU3" s="10" t="s">
        <v>3462</v>
      </c>
      <c r="GV3" s="10" t="s">
        <v>3397</v>
      </c>
      <c r="GW3" s="10" t="s">
        <v>3462</v>
      </c>
      <c r="GX3" s="10" t="s">
        <v>3397</v>
      </c>
      <c r="GY3" s="10" t="s">
        <v>3462</v>
      </c>
      <c r="GZ3" s="10" t="s">
        <v>3397</v>
      </c>
      <c r="HA3" s="10" t="s">
        <v>3462</v>
      </c>
      <c r="HB3" s="10" t="s">
        <v>3397</v>
      </c>
      <c r="HC3" s="10" t="s">
        <v>3462</v>
      </c>
      <c r="HD3" s="10" t="s">
        <v>3397</v>
      </c>
      <c r="HE3" s="10" t="s">
        <v>3462</v>
      </c>
      <c r="HF3" s="10" t="s">
        <v>3397</v>
      </c>
      <c r="HG3" s="10" t="s">
        <v>3462</v>
      </c>
      <c r="HH3" s="10" t="s">
        <v>3397</v>
      </c>
      <c r="HI3" s="10" t="s">
        <v>3462</v>
      </c>
      <c r="HJ3" s="10" t="s">
        <v>3397</v>
      </c>
      <c r="HK3" s="10" t="s">
        <v>3462</v>
      </c>
      <c r="HL3" s="10" t="s">
        <v>3397</v>
      </c>
      <c r="HM3" s="10" t="s">
        <v>3397</v>
      </c>
      <c r="HN3" s="10" t="s">
        <v>3397</v>
      </c>
      <c r="HO3" s="10" t="s">
        <v>3462</v>
      </c>
      <c r="HP3" s="10" t="s">
        <v>3397</v>
      </c>
      <c r="HQ3" s="10" t="s">
        <v>3462</v>
      </c>
      <c r="HR3" s="10" t="s">
        <v>3397</v>
      </c>
      <c r="HS3" s="10" t="s">
        <v>3462</v>
      </c>
      <c r="HT3" s="10" t="s">
        <v>3397</v>
      </c>
      <c r="HU3" s="10" t="s">
        <v>3462</v>
      </c>
      <c r="HV3" s="10" t="s">
        <v>3397</v>
      </c>
      <c r="HW3" s="10" t="s">
        <v>3397</v>
      </c>
      <c r="HX3" s="10" t="s">
        <v>3397</v>
      </c>
    </row>
    <row r="4" spans="1:232" ht="21" customHeight="1" x14ac:dyDescent="0.3">
      <c r="A4" s="18">
        <f>参数调整!A4</f>
        <v>1</v>
      </c>
      <c r="B4" s="170">
        <f>参数调整!B4</f>
        <v>1</v>
      </c>
      <c r="C4" s="10">
        <f>参数调整!F4</f>
        <v>0.5</v>
      </c>
      <c r="D4" s="10">
        <f>参数调整!G4</f>
        <v>0.8</v>
      </c>
      <c r="E4" s="15">
        <f>基本属性!B4</f>
        <v>35</v>
      </c>
      <c r="F4" s="15">
        <f>基本属性!C4</f>
        <v>0</v>
      </c>
      <c r="G4" s="271"/>
      <c r="H4" s="188">
        <f>B4/B$31*D4*I$31</f>
        <v>729594163.24669397</v>
      </c>
      <c r="I4" s="188">
        <f t="shared" ref="I4:I29" si="0">B4/B$31*C4*I$31</f>
        <v>455996352.02918375</v>
      </c>
      <c r="J4" s="10">
        <f t="shared" ref="J4:J29" si="1">B4/B$31*D4*K$31</f>
        <v>30177.386515390153</v>
      </c>
      <c r="K4" s="10">
        <f t="shared" ref="K4:K29" si="2">B4/B$31*C4*K$31</f>
        <v>18860.866572118844</v>
      </c>
      <c r="L4" s="10">
        <f>B4/B$31*D4*M$31</f>
        <v>0.40177651181530272</v>
      </c>
      <c r="M4" s="10">
        <f>B4/B$31*C4*M$31</f>
        <v>0.25111031988456417</v>
      </c>
      <c r="N4" s="10">
        <f>B4/B$31*D4*O$31</f>
        <v>2.922754217966256</v>
      </c>
      <c r="O4" s="10">
        <f>B4/B$31*C4*O$31</f>
        <v>1.82672138622891</v>
      </c>
      <c r="P4" s="10">
        <f t="shared" ref="P4:P29" si="3">B4/B$31*D4*Q$31</f>
        <v>56.300349597203223</v>
      </c>
      <c r="Q4" s="10">
        <f t="shared" ref="Q4:Q29" si="4">B4/B$31*C4*Q$31</f>
        <v>35.187718498252011</v>
      </c>
      <c r="R4" s="10">
        <f t="shared" ref="R4:R29" si="5">B4/B$31*D4*S$31</f>
        <v>0.17802097583219334</v>
      </c>
      <c r="S4" s="10">
        <f t="shared" ref="S4:S29" si="6">B4/B$31*C4*S$31</f>
        <v>0.11126310989512084</v>
      </c>
      <c r="T4" s="10">
        <f t="shared" ref="T4:T29" si="7">B4/B$31*D4*U$31</f>
        <v>0.2658345478334212</v>
      </c>
      <c r="U4" s="10">
        <f t="shared" ref="U4:U29" si="8">B4/B$31*C4*U$31</f>
        <v>0.16614659239588825</v>
      </c>
      <c r="V4" s="10">
        <f t="shared" ref="V4:V29" si="9">B4/B$31*D4*W$31</f>
        <v>0.2658345478334212</v>
      </c>
      <c r="W4" s="10">
        <f t="shared" ref="W4:W29" si="10">B4/B$31*C4*W$31</f>
        <v>0.16614659239588825</v>
      </c>
      <c r="X4" s="10">
        <f t="shared" ref="X4:X29" si="11">B4/B$31*D4*Y$31</f>
        <v>0.2658345478334212</v>
      </c>
      <c r="Y4" s="10">
        <f t="shared" ref="Y4:Y29" si="12">B4/B$31*C4*Y$31</f>
        <v>0.16614659239588825</v>
      </c>
      <c r="Z4" s="10">
        <f t="shared" ref="Z4:Z29" si="13">B4/B$31*D4*AA$31</f>
        <v>0.2658345478334212</v>
      </c>
      <c r="AA4" s="10">
        <f t="shared" ref="AA4:AA29" si="14">B4/B$31*C4*AA$31</f>
        <v>0.16614659239588825</v>
      </c>
      <c r="AB4" s="10">
        <f t="shared" ref="AB4:AB29" si="15">B4/B$31*D4*AC$31</f>
        <v>6.8144094847241217</v>
      </c>
      <c r="AC4" s="10">
        <f t="shared" ref="AC4:AC29" si="16">B4/B$31*C4*AC$31</f>
        <v>4.2590059279525763</v>
      </c>
      <c r="AD4" s="10">
        <f t="shared" ref="AD4:AD29" si="17">B4/B$31*D4*AE$31</f>
        <v>2.0414269178154267</v>
      </c>
      <c r="AE4" s="10">
        <f t="shared" ref="AE4:AE29" si="18">B4/B$31*C4*AE$31</f>
        <v>1.2758918236346417</v>
      </c>
      <c r="AF4" s="10">
        <f t="shared" ref="AF4:AF29" si="19">B4/B$31*D4*AG$31</f>
        <v>1.0207134589077134</v>
      </c>
      <c r="AG4" s="10">
        <f t="shared" ref="AG4:AG29" si="20">B4/B$31*C4*AG$31</f>
        <v>0.63794591181732085</v>
      </c>
      <c r="AH4" s="10">
        <f t="shared" ref="AH4:AH29" si="21">B4/B$31*D4*AI$31</f>
        <v>0.20414269178154268</v>
      </c>
      <c r="AI4" s="10">
        <f t="shared" ref="AI4:AI29" si="22">B4/B$31*C4*AI$31</f>
        <v>0.12758918236346417</v>
      </c>
      <c r="AJ4" s="10">
        <f t="shared" ref="AJ4:AJ29" si="23">B4/B$31*D4*AK$31</f>
        <v>2.3329846302406048</v>
      </c>
      <c r="AK4" s="10">
        <f t="shared" ref="AK4:AK29" si="24">B4/B$31*C4*AK$31</f>
        <v>1.4581153939003779</v>
      </c>
      <c r="AL4" s="10">
        <f t="shared" ref="AL4:AL29" si="25">B4/B$31*D4*AM$31</f>
        <v>1.1664923151203024</v>
      </c>
      <c r="AM4" s="10">
        <f t="shared" ref="AM4:AM29" si="26">B4/B$31*C4*AM$31</f>
        <v>0.72905769695018896</v>
      </c>
      <c r="AN4" s="10">
        <f t="shared" ref="AN4:AN29" si="27">B4/B$31*D4*AO$31</f>
        <v>0.23329846302406049</v>
      </c>
      <c r="AO4" s="10">
        <f t="shared" ref="AO4:AO29" si="28">B4/B$31*C4*AO$31</f>
        <v>0.1458115393900378</v>
      </c>
      <c r="AP4" s="10">
        <f t="shared" ref="AP4:AP29" si="29">B4/B$31*D4*AQ$31</f>
        <v>0.11068576835083131</v>
      </c>
      <c r="AQ4" s="10">
        <f t="shared" ref="AQ4:AQ29" si="30">B4/B$31*C4*AQ$31</f>
        <v>6.9178605219269579E-2</v>
      </c>
      <c r="AR4" s="10">
        <f t="shared" ref="AR4:AR29" si="31">B4/B$31*D4*AS$31</f>
        <v>1.4610054975101917E-3</v>
      </c>
      <c r="AS4" s="10">
        <f t="shared" ref="AS4:AS29" si="32">B4/B$31*C4*AS$31</f>
        <v>9.1312843594386979E-4</v>
      </c>
      <c r="AT4" s="10">
        <f t="shared" ref="AT4:AT29" si="33">B4/B$31*D4*AU$31</f>
        <v>1.4610054975101917E-3</v>
      </c>
      <c r="AU4" s="10">
        <f t="shared" ref="AU4:AU29" si="34">B4/B$31*C4*AU$31</f>
        <v>9.1312843594386979E-4</v>
      </c>
      <c r="AV4" s="10">
        <f t="shared" ref="AV4:AV29" si="35">B4/B$31*D4*AW$31</f>
        <v>1.3149049477591723E-2</v>
      </c>
      <c r="AW4" s="10">
        <f t="shared" ref="AW4:AW29" si="36">B4/B$31*C4*AW$31</f>
        <v>8.218155923494827E-3</v>
      </c>
      <c r="AX4" s="10">
        <f t="shared" ref="AX4:AX29" si="37">B4/B$31*D4*AY$31</f>
        <v>4.0177651181530272E-2</v>
      </c>
      <c r="AY4" s="10">
        <f t="shared" ref="AY4:AY29" si="38">B4/B$31*C4*AY$31</f>
        <v>2.511103198845642E-2</v>
      </c>
      <c r="AZ4" s="10">
        <f t="shared" ref="AZ4:AZ29" si="39">B4/B$31*D4*BA$31</f>
        <v>3.6525137437754792E-3</v>
      </c>
      <c r="BA4" s="10">
        <f t="shared" ref="BA4:BA29" si="40">B4/B$31*C4*BA$31</f>
        <v>2.2828210898596744E-3</v>
      </c>
      <c r="BB4" s="10">
        <f t="shared" ref="BB4:BB29" si="41">B4/B$31*D4*BC$31</f>
        <v>3.6525137437754792E-3</v>
      </c>
      <c r="BC4" s="10">
        <f t="shared" ref="BC4:BC29" si="42">B4/B$31*C4*BC$31</f>
        <v>2.2828210898596744E-3</v>
      </c>
      <c r="BD4" s="10">
        <f t="shared" ref="BD4:BD29" si="43">B4/B$31*D4*BE$31</f>
        <v>1.4610054975101917E-2</v>
      </c>
      <c r="BE4" s="10">
        <f t="shared" ref="BE4:BE29" si="44">B4/B$31*C4*BE$31</f>
        <v>9.1312843594386975E-3</v>
      </c>
      <c r="BF4" s="10">
        <f>$B4/$B$31*$D4*BG$31</f>
        <v>1.8262568718877395E-2</v>
      </c>
      <c r="BG4" s="10">
        <f>$B4/$B$31*$C4*BG$31</f>
        <v>1.1414105449298372E-2</v>
      </c>
      <c r="BH4" s="10">
        <f>$B4/$B$31*$D4*BI$31</f>
        <v>0</v>
      </c>
      <c r="BI4" s="10">
        <f>$B4/$B$31*$C4*BI$31</f>
        <v>0</v>
      </c>
      <c r="BJ4" s="10">
        <f>$B4/$B$31*$D4*BK$31</f>
        <v>0</v>
      </c>
      <c r="BK4" s="10">
        <f>$B4/$B$31*$C4*BK$31</f>
        <v>0</v>
      </c>
      <c r="BL4" s="10">
        <f>$B4/$B$31*$D4*BM$31</f>
        <v>0</v>
      </c>
      <c r="BM4" s="10">
        <f>$B4/$B$31*$C4*BM$31</f>
        <v>0</v>
      </c>
      <c r="BN4" s="10">
        <f>$B4/$B$31*$D4*BO$31</f>
        <v>0</v>
      </c>
      <c r="BO4" s="10">
        <f>$B4/$B$31*$C4*BO$31</f>
        <v>0</v>
      </c>
      <c r="BP4" s="10">
        <f>$B4/$B$31*$D4*BQ$31</f>
        <v>0</v>
      </c>
      <c r="BQ4" s="10">
        <f>$B4/$B$31*$C4*BQ$31</f>
        <v>0</v>
      </c>
      <c r="BR4" s="10">
        <f>$B4/$B$31*$D4*BS$31</f>
        <v>0</v>
      </c>
      <c r="BS4" s="10">
        <f>$B4/$B$31*$C4*BS$31</f>
        <v>0</v>
      </c>
      <c r="BT4" s="10">
        <f>$B4/$B$31*$D4*BU$31</f>
        <v>0</v>
      </c>
      <c r="BU4" s="10">
        <f>$B4/$B$31*$C4*BU$31</f>
        <v>0</v>
      </c>
      <c r="BV4" s="10">
        <f>$B4/$B$31*$D4*BW$31</f>
        <v>0</v>
      </c>
      <c r="BW4" s="10">
        <f>$B4/$B$31*$C4*BW$31</f>
        <v>0</v>
      </c>
      <c r="BX4" s="10">
        <f>$B4/$B$31*$D4*BY$31</f>
        <v>0</v>
      </c>
      <c r="BY4" s="10">
        <f>$B4/$B$31*$C4*BY$31</f>
        <v>0</v>
      </c>
      <c r="BZ4" s="10">
        <f>$B4/$B$31*$D4*CA$31</f>
        <v>0</v>
      </c>
      <c r="CA4" s="10">
        <f>$B4/$B$31*$C4*CA$31</f>
        <v>0</v>
      </c>
      <c r="CB4" s="10">
        <f>$B4/$B$31*$D4*CC$31</f>
        <v>0</v>
      </c>
      <c r="CC4" s="10">
        <f>$B4/$B$31*$C4*CC$31</f>
        <v>0</v>
      </c>
      <c r="CD4" s="10">
        <f>$B4/$B$31*$D4*CE$31</f>
        <v>0</v>
      </c>
      <c r="CE4" s="10">
        <f>$B4/$B$31*$C4*CE$31</f>
        <v>0</v>
      </c>
      <c r="CF4" s="10">
        <f>$B4/$B$31*$D4*CG$31</f>
        <v>0</v>
      </c>
      <c r="CG4" s="10">
        <f>$B4/$B$31*$C4*CG$31</f>
        <v>0</v>
      </c>
      <c r="CH4" s="10">
        <f>$B4/$B$31*$D4*CI$31</f>
        <v>0</v>
      </c>
      <c r="CI4" s="10">
        <f>$B4/$B$31*$C4*CI$31</f>
        <v>0</v>
      </c>
      <c r="CJ4" s="10">
        <f>$B4/$B$31*$D4*CK$31</f>
        <v>0</v>
      </c>
      <c r="CK4" s="10">
        <f>$B4/$B$31*$C4*CK$31</f>
        <v>0</v>
      </c>
      <c r="CL4" s="10">
        <f>$B4/$B$31*$D4*CM$31</f>
        <v>0</v>
      </c>
      <c r="CM4" s="10">
        <f>$B4/$B$31*$C4*CM$31</f>
        <v>0</v>
      </c>
      <c r="CN4" s="10">
        <f>$B4/$B$31*$D4*CO$31</f>
        <v>0</v>
      </c>
      <c r="CO4" s="10">
        <f>$B4/$B$31*$C4*CO$31</f>
        <v>0</v>
      </c>
      <c r="CP4" s="10">
        <f>$B4/$B$31*$D4*CQ$31</f>
        <v>0</v>
      </c>
      <c r="CQ4" s="10">
        <f>$B4/$B$31*$C4*CQ$31</f>
        <v>0</v>
      </c>
      <c r="CR4" s="10">
        <f>$B4/$B$31*$D4*CS$31</f>
        <v>0</v>
      </c>
      <c r="CS4" s="10">
        <f>$B4/$B$31*$C4*CS$31</f>
        <v>0</v>
      </c>
      <c r="CT4" s="10">
        <f>$B4/$B$31*$D4*CU$31</f>
        <v>0</v>
      </c>
      <c r="CU4" s="10">
        <f>$B4/$B$31*$C4*CU$31</f>
        <v>0</v>
      </c>
      <c r="CV4" s="10">
        <f>$B4/$B$31*$D4*CW$31</f>
        <v>0</v>
      </c>
      <c r="CW4" s="10">
        <f>$B4/$B$31*$C4*CW$31</f>
        <v>0</v>
      </c>
      <c r="CX4" s="10">
        <f>$B4/$B$31*$D4*CY$31</f>
        <v>0</v>
      </c>
      <c r="CY4" s="10">
        <f>$B4/$B$31*$C4*CY$31</f>
        <v>0</v>
      </c>
      <c r="CZ4" s="10">
        <f>$B4/$B$31*$D4*DA$31</f>
        <v>0</v>
      </c>
      <c r="DA4" s="10">
        <f>$B4/$B$31*$C4*DA$31</f>
        <v>0</v>
      </c>
      <c r="DB4" s="10">
        <f>$B4/$B$31*$D4*DC$31</f>
        <v>0</v>
      </c>
      <c r="DC4" s="10">
        <f>$B4/$B$31*$C4*DC$31</f>
        <v>0</v>
      </c>
      <c r="DD4" s="10">
        <f>$B4/$B$31*$D4*DE$31</f>
        <v>0</v>
      </c>
      <c r="DE4" s="10">
        <f>$B4/$B$31*$C4*DE$31</f>
        <v>0</v>
      </c>
      <c r="DF4" s="10">
        <f>$B4/$B$31*$D4*DG$31</f>
        <v>0</v>
      </c>
      <c r="DG4" s="10">
        <f>$B4/$B$31*$C4*DG$31</f>
        <v>0</v>
      </c>
      <c r="DH4" s="10">
        <f>$B4/$B$31*$D4*DI$31</f>
        <v>0</v>
      </c>
      <c r="DI4" s="10">
        <f>$B4/$B$31*$C4*DI$31</f>
        <v>0</v>
      </c>
      <c r="DJ4" s="10">
        <f>$B4/$B$31*$D4*DK$31</f>
        <v>0</v>
      </c>
      <c r="DK4" s="10">
        <f>$B4/$B$31*$C4*DK$31</f>
        <v>0</v>
      </c>
      <c r="DL4" s="10">
        <f>$B4/$B$31*$D4*DM$31</f>
        <v>0</v>
      </c>
      <c r="DM4" s="10">
        <f>$B4/$B$31*$C4*DM$31</f>
        <v>0</v>
      </c>
      <c r="DN4" s="10">
        <f>$B4/$B$31*$D4*DO$31</f>
        <v>0</v>
      </c>
      <c r="DO4" s="10">
        <f>$B4/$B$31*$C4*DO$31</f>
        <v>0</v>
      </c>
      <c r="DP4" s="10">
        <f>$B4/$B$31*$D4*DQ$31</f>
        <v>0</v>
      </c>
      <c r="DQ4" s="10">
        <f>$B4/$B$31*$C4*DQ$31</f>
        <v>0</v>
      </c>
      <c r="DR4" s="10">
        <f>$B4/$B$31*$D4*DS$31</f>
        <v>0</v>
      </c>
      <c r="DS4" s="10">
        <f>$B4/$B$31*$C4*DS$31</f>
        <v>0</v>
      </c>
      <c r="DT4" s="10">
        <f>$B4/$B$31*$D4*DU$31</f>
        <v>0</v>
      </c>
      <c r="DU4" s="10">
        <f>$B4/$B$31*$C4*DU$31</f>
        <v>0</v>
      </c>
      <c r="DV4" s="10">
        <f>$B4/$B$31*$D4*DW$31</f>
        <v>0</v>
      </c>
      <c r="DW4" s="10">
        <f>$B4/$B$31*$C4*DW$31</f>
        <v>0</v>
      </c>
      <c r="DX4" s="10">
        <f>$B4/$B$31*$D4*DY$31</f>
        <v>0</v>
      </c>
      <c r="DY4" s="10">
        <f>$B4/$B$31*$C4*DY$31</f>
        <v>0</v>
      </c>
      <c r="DZ4" s="10">
        <f>$B4/$B$31*$D4*EA$31</f>
        <v>0</v>
      </c>
      <c r="EA4" s="10">
        <f>$B4/$B$31*$C4*EA$31</f>
        <v>0</v>
      </c>
      <c r="EB4" s="10">
        <f>$B4/$B$31*$D4*EC$31</f>
        <v>0</v>
      </c>
      <c r="EC4" s="10">
        <f>$B4/$B$31*$C4*EC$31</f>
        <v>0</v>
      </c>
      <c r="ED4" s="10">
        <f>$B4/$B$31*$D4*EE$31</f>
        <v>0</v>
      </c>
      <c r="EE4" s="10">
        <f>$B4/$B$31*$C4*EE$31</f>
        <v>0</v>
      </c>
      <c r="EF4" s="10">
        <f>$B4/$B$31*$D4*EG$31</f>
        <v>0</v>
      </c>
      <c r="EG4" s="10">
        <f>$B4/$B$31*$C4*EG$31</f>
        <v>0</v>
      </c>
      <c r="EH4" s="10">
        <f>$B4/$B$31*$D4*EI$31</f>
        <v>0</v>
      </c>
      <c r="EI4" s="10">
        <f>$B4/$B$31*$C4*EI$31</f>
        <v>0</v>
      </c>
      <c r="EJ4" s="10">
        <f>$B4/$B$31*$D4*EK$31</f>
        <v>0</v>
      </c>
      <c r="EK4" s="10">
        <f>$B4/$B$31*$C4*EK$31</f>
        <v>0</v>
      </c>
      <c r="EL4" s="10">
        <f>$B4/$B$31*$D4*EM$31</f>
        <v>0</v>
      </c>
      <c r="EM4" s="10">
        <f>$B4/$B$31*$C4*EM$31</f>
        <v>0</v>
      </c>
      <c r="EN4" s="10">
        <f>$B4/$B$31*$D4*EO$31</f>
        <v>0</v>
      </c>
      <c r="EO4" s="10">
        <f>$B4/$B$31*$C4*EO$31</f>
        <v>0</v>
      </c>
      <c r="EP4" s="10">
        <f>$B4/$B$31*$D4*EQ$31</f>
        <v>0</v>
      </c>
      <c r="EQ4" s="10">
        <f>$B4/$B$31*$C4*EQ$31</f>
        <v>0</v>
      </c>
      <c r="ER4" s="10">
        <f>$B4/$B$31*$D4*ES$31</f>
        <v>0</v>
      </c>
      <c r="ES4" s="10">
        <f>$B4/$B$31*$C4*ES$31</f>
        <v>0</v>
      </c>
      <c r="ET4" s="10">
        <f>$B4/$B$31*$D4*EU$31</f>
        <v>0</v>
      </c>
      <c r="EU4" s="10">
        <f>$B4/$B$31*$C4*EU$31</f>
        <v>0</v>
      </c>
      <c r="EV4" s="10">
        <f>$B4/$B$31*$D4*EW$31</f>
        <v>0</v>
      </c>
      <c r="EW4" s="10">
        <f>$B4/$B$31*$C4*EW$31</f>
        <v>0</v>
      </c>
      <c r="EX4" s="10">
        <f>$B4/$B$31*$D4*EY$31</f>
        <v>0</v>
      </c>
      <c r="EY4" s="10">
        <f>$B4/$B$31*$C4*EY$31</f>
        <v>0</v>
      </c>
      <c r="EZ4" s="10">
        <f>$B4/$B$31*$D4*FA$31</f>
        <v>0</v>
      </c>
      <c r="FA4" s="10">
        <f>$B4/$B$31*$C4*FA$31</f>
        <v>0</v>
      </c>
      <c r="FB4" s="10">
        <f>$B4/$B$31*$D4*FC$31</f>
        <v>0</v>
      </c>
      <c r="FC4" s="10">
        <f>$B4/$B$31*$C4*FC$31</f>
        <v>0</v>
      </c>
      <c r="FD4" s="10">
        <f>$B4/$B$31*$D4*FE$31</f>
        <v>0</v>
      </c>
      <c r="FE4" s="10">
        <f>$B4/$B$31*$C4*FE$31</f>
        <v>0</v>
      </c>
      <c r="FF4" s="10">
        <f>$B4/$B$31*$D4*FG$31</f>
        <v>0</v>
      </c>
      <c r="FG4" s="10">
        <f>$B4/$B$31*$C4*FG$31</f>
        <v>0</v>
      </c>
      <c r="FH4" s="10">
        <f>$B4/$B$31*$D4*FI$31</f>
        <v>0</v>
      </c>
      <c r="FI4" s="10">
        <f>$B4/$B$31*$C4*FI$31</f>
        <v>0</v>
      </c>
      <c r="FJ4" s="10">
        <f>$B4/$B$31*$D4*FK$31</f>
        <v>0</v>
      </c>
      <c r="FK4" s="10">
        <f>$B4/$B$31*$C4*FK$31</f>
        <v>0</v>
      </c>
      <c r="FL4" s="10">
        <f>$B4/$B$31*$D4*FM$31</f>
        <v>0</v>
      </c>
      <c r="FM4" s="10">
        <f>$B4/$B$31*$C4*FM$31</f>
        <v>0</v>
      </c>
      <c r="FN4" s="10">
        <f>$B4/$B$31*$D4*FO$31</f>
        <v>0</v>
      </c>
      <c r="FO4" s="10">
        <f>$B4/$B$31*$C4*FO$31</f>
        <v>0</v>
      </c>
      <c r="FP4" s="10">
        <f>$B4/$B$31*$D4*FQ$31</f>
        <v>0</v>
      </c>
      <c r="FQ4" s="10">
        <f>$B4/$B$31*$C4*FQ$31</f>
        <v>0</v>
      </c>
      <c r="FR4" s="10">
        <f>$B4/$B$31*$D4*FS$31</f>
        <v>0</v>
      </c>
      <c r="FS4" s="10">
        <f>$B4/$B$31*$C4*FS$31</f>
        <v>0</v>
      </c>
      <c r="FT4" s="10">
        <f>$B4/$B$31*$D4*FU$31</f>
        <v>0</v>
      </c>
      <c r="FU4" s="10">
        <f>$B4/$B$31*$C4*FU$31</f>
        <v>0</v>
      </c>
      <c r="FV4" s="10">
        <f>$B4/$B$31*$D4*FW$31</f>
        <v>0</v>
      </c>
      <c r="FW4" s="10">
        <f>$B4/$B$31*$C4*FW$31</f>
        <v>0</v>
      </c>
      <c r="FX4" s="10">
        <f>$B4/$B$31*$D4*FY$31</f>
        <v>0</v>
      </c>
      <c r="FY4" s="10">
        <f>$B4/$B$31*$C4*FY$31</f>
        <v>0</v>
      </c>
      <c r="FZ4" s="10">
        <f>$B4/$B$31*$D4*GA$31</f>
        <v>0</v>
      </c>
      <c r="GA4" s="10">
        <f>$B4/$B$31*$C4*GA$31</f>
        <v>0</v>
      </c>
      <c r="GB4" s="10">
        <f>$B4/$B$31*$D4*GC$31</f>
        <v>0</v>
      </c>
      <c r="GC4" s="10">
        <f>$B4/$B$31*$C4*GC$31</f>
        <v>0</v>
      </c>
      <c r="GD4" s="10">
        <f>$B4/$B$31*$D4*GE$31</f>
        <v>0</v>
      </c>
      <c r="GE4" s="10">
        <f>$B4/$B$31*$C4*GE$31</f>
        <v>0</v>
      </c>
      <c r="GF4" s="10">
        <f>$B4/$B$31*$D4*GG$31</f>
        <v>0</v>
      </c>
      <c r="GG4" s="10">
        <f>$B4/$B$31*$C4*GG$31</f>
        <v>0</v>
      </c>
      <c r="GH4" s="10">
        <f>$B4/$B$31*$D4*GI$31</f>
        <v>0</v>
      </c>
      <c r="GI4" s="10">
        <f>$B4/$B$31*$C4*GI$31</f>
        <v>0</v>
      </c>
      <c r="GJ4" s="10">
        <f>$B4/$B$31*$D4*GK$31</f>
        <v>0</v>
      </c>
      <c r="GK4" s="10">
        <f>$B4/$B$31*$C4*GK$31</f>
        <v>0</v>
      </c>
      <c r="GL4" s="10">
        <f>$B4/$B$31*$D4*GM$31</f>
        <v>0</v>
      </c>
      <c r="GM4" s="10">
        <f>$B4/$B$31*$C4*GM$31</f>
        <v>0</v>
      </c>
      <c r="GN4" s="10">
        <f>$B4/$B$31*$D4*GO$31</f>
        <v>0</v>
      </c>
      <c r="GO4" s="10">
        <f>$B4/$B$31*$C4*GO$31</f>
        <v>0</v>
      </c>
      <c r="GP4" s="10">
        <f>$B4/$B$31*$D4*GQ$31</f>
        <v>0</v>
      </c>
      <c r="GQ4" s="10">
        <f>$B4/$B$31*$C4*GQ$31</f>
        <v>0</v>
      </c>
      <c r="GR4" s="10">
        <f>$B4/$B$31*$D4*GS$31</f>
        <v>0</v>
      </c>
      <c r="GS4" s="10">
        <f>$B4/$B$31*$C4*GS$31</f>
        <v>0</v>
      </c>
      <c r="GT4" s="10">
        <f>$B4/$B$31*$D4*GU$31</f>
        <v>0</v>
      </c>
      <c r="GU4" s="10">
        <f>$B4/$B$31*$C4*GU$31</f>
        <v>0</v>
      </c>
      <c r="GV4" s="10">
        <f>$B4/$B$31*$D4*GW$31</f>
        <v>0</v>
      </c>
      <c r="GW4" s="10">
        <f>$B4/$B$31*$C4*GW$31</f>
        <v>0</v>
      </c>
      <c r="GX4" s="10">
        <f>$B4/$B$31*$D4*GY$31</f>
        <v>0</v>
      </c>
      <c r="GY4" s="10">
        <f>$B4/$B$31*$C4*GY$31</f>
        <v>0</v>
      </c>
      <c r="GZ4" s="10">
        <f>$B4/$B$31*$D4*HA$31</f>
        <v>0</v>
      </c>
      <c r="HA4" s="10">
        <f>$B4/$B$31*$C4*HA$31</f>
        <v>0</v>
      </c>
      <c r="HB4" s="10">
        <f>$B4/$B$31*$D4*HC$31</f>
        <v>0</v>
      </c>
      <c r="HC4" s="10">
        <f>$B4/$B$31*$C4*HC$31</f>
        <v>0</v>
      </c>
      <c r="HD4" s="10">
        <f>$B4/$B$31*$D4*HE$31</f>
        <v>0</v>
      </c>
      <c r="HE4" s="10">
        <f>$B4/$B$31*$C4*HE$31</f>
        <v>0</v>
      </c>
      <c r="HF4" s="10">
        <f>$B4/$B$31*$D4*HG$31</f>
        <v>0</v>
      </c>
      <c r="HG4" s="10">
        <f>$B4/$B$31*$C4*HG$31</f>
        <v>0</v>
      </c>
      <c r="HH4" s="10">
        <f>$B4/$B$31*$D4*HI$31</f>
        <v>0</v>
      </c>
      <c r="HI4" s="10">
        <f>$B4/$B$31*$C4*HI$31</f>
        <v>0</v>
      </c>
      <c r="HJ4" s="10">
        <f>$B4/$B$31*$D4*HK$31</f>
        <v>0</v>
      </c>
      <c r="HK4" s="10">
        <f>$B4/$B$31*$C4*HK$31</f>
        <v>0</v>
      </c>
      <c r="HL4" s="10">
        <f>$B4/$B$31*$D4*HM$31</f>
        <v>0</v>
      </c>
      <c r="HM4" s="10">
        <f>$B4/$B$31*$C4*HM$31</f>
        <v>0</v>
      </c>
      <c r="HN4" s="10">
        <f>$B4/$B$31*$D4*HO$31</f>
        <v>0</v>
      </c>
      <c r="HO4" s="10">
        <f>$B4/$B$31*$C4*HO$31</f>
        <v>0</v>
      </c>
      <c r="HP4" s="10">
        <f>$B4/$B$31*$D4*HQ$31</f>
        <v>0</v>
      </c>
      <c r="HQ4" s="10">
        <f>$B4/$B$31*$C4*HQ$31</f>
        <v>0</v>
      </c>
      <c r="HR4" s="10">
        <f>$B4/$B$31*$D4*HS$31</f>
        <v>0</v>
      </c>
      <c r="HS4" s="10">
        <f>$B4/$B$31*$C4*HS$31</f>
        <v>0</v>
      </c>
      <c r="HT4" s="10">
        <f>$B4/$B$31*$D4*HU$31</f>
        <v>0</v>
      </c>
      <c r="HU4" s="10">
        <f>$B4/$B$31*$C4*HU$31</f>
        <v>0</v>
      </c>
      <c r="HV4" s="10"/>
      <c r="HW4" s="10"/>
      <c r="HX4" s="10"/>
    </row>
    <row r="5" spans="1:232" x14ac:dyDescent="0.3">
      <c r="A5" s="18">
        <f>参数调整!A5</f>
        <v>2</v>
      </c>
      <c r="B5" s="170">
        <f>参数调整!B5</f>
        <v>2</v>
      </c>
      <c r="C5" s="10">
        <f>参数调整!F5</f>
        <v>0.6</v>
      </c>
      <c r="D5" s="10">
        <f>参数调整!G5</f>
        <v>0.9</v>
      </c>
      <c r="E5" s="15">
        <f>基本属性!B5</f>
        <v>40</v>
      </c>
      <c r="F5" s="15">
        <f>基本属性!C5</f>
        <v>0</v>
      </c>
      <c r="G5" s="271"/>
      <c r="H5" s="10">
        <f t="shared" ref="H5:H30" si="45">B5/B$31*D5*I$31</f>
        <v>1641586867.3050616</v>
      </c>
      <c r="I5" s="188">
        <f t="shared" si="0"/>
        <v>1094391244.8700409</v>
      </c>
      <c r="J5" s="10">
        <f t="shared" si="1"/>
        <v>67899.119659627846</v>
      </c>
      <c r="K5" s="10">
        <f t="shared" si="2"/>
        <v>45266.079773085221</v>
      </c>
      <c r="L5" s="10">
        <f t="shared" ref="L5:L29" si="46">B5/B$31*D5*M$31</f>
        <v>0.90399715158443106</v>
      </c>
      <c r="M5" s="10">
        <f t="shared" ref="M5:M29" si="47">B5/B$31*C5*M$31</f>
        <v>0.60266476772295396</v>
      </c>
      <c r="N5" s="10">
        <f t="shared" ref="N5:N29" si="48">B5/B$31*D5*O$31</f>
        <v>6.5761969904240765</v>
      </c>
      <c r="O5" s="10">
        <f t="shared" ref="O5:O29" si="49">B5/B$31*C5*O$31</f>
        <v>4.384131326949384</v>
      </c>
      <c r="P5" s="10">
        <f t="shared" si="3"/>
        <v>126.67578659370724</v>
      </c>
      <c r="Q5" s="10">
        <f t="shared" si="4"/>
        <v>84.45052439580482</v>
      </c>
      <c r="R5" s="10">
        <f t="shared" si="5"/>
        <v>0.40054719562243501</v>
      </c>
      <c r="S5" s="10">
        <f t="shared" si="6"/>
        <v>0.26703146374828995</v>
      </c>
      <c r="T5" s="10">
        <f t="shared" si="7"/>
        <v>0.59812773262519781</v>
      </c>
      <c r="U5" s="10">
        <f t="shared" si="8"/>
        <v>0.3987518217501318</v>
      </c>
      <c r="V5" s="10">
        <f t="shared" si="9"/>
        <v>0.59812773262519781</v>
      </c>
      <c r="W5" s="10">
        <f t="shared" si="10"/>
        <v>0.3987518217501318</v>
      </c>
      <c r="X5" s="10">
        <f t="shared" si="11"/>
        <v>0.59812773262519781</v>
      </c>
      <c r="Y5" s="10">
        <f t="shared" si="12"/>
        <v>0.3987518217501318</v>
      </c>
      <c r="Z5" s="10">
        <f t="shared" si="13"/>
        <v>0.59812773262519781</v>
      </c>
      <c r="AA5" s="10">
        <f t="shared" si="14"/>
        <v>0.3987518217501318</v>
      </c>
      <c r="AB5" s="10">
        <f t="shared" si="15"/>
        <v>15.332421340629274</v>
      </c>
      <c r="AC5" s="10">
        <f t="shared" si="16"/>
        <v>10.221614227086182</v>
      </c>
      <c r="AD5" s="10">
        <f t="shared" si="17"/>
        <v>4.5932105650847106</v>
      </c>
      <c r="AE5" s="10">
        <f t="shared" si="18"/>
        <v>3.0621403767231397</v>
      </c>
      <c r="AF5" s="10">
        <f t="shared" si="19"/>
        <v>2.2966052825423553</v>
      </c>
      <c r="AG5" s="10">
        <f t="shared" si="20"/>
        <v>1.5310701883615698</v>
      </c>
      <c r="AH5" s="10">
        <f t="shared" si="21"/>
        <v>0.45932105650847105</v>
      </c>
      <c r="AI5" s="10">
        <f t="shared" si="22"/>
        <v>0.30621403767231398</v>
      </c>
      <c r="AJ5" s="10">
        <f t="shared" si="23"/>
        <v>5.249215418041361</v>
      </c>
      <c r="AK5" s="10">
        <f t="shared" si="24"/>
        <v>3.4994769453609069</v>
      </c>
      <c r="AL5" s="10">
        <f t="shared" si="25"/>
        <v>2.6246077090206805</v>
      </c>
      <c r="AM5" s="10">
        <f t="shared" si="26"/>
        <v>1.7497384726804535</v>
      </c>
      <c r="AN5" s="10">
        <f t="shared" si="27"/>
        <v>0.52492154180413608</v>
      </c>
      <c r="AO5" s="10">
        <f t="shared" si="28"/>
        <v>0.3499476945360907</v>
      </c>
      <c r="AP5" s="10">
        <f t="shared" si="29"/>
        <v>0.24904297878937048</v>
      </c>
      <c r="AQ5" s="10">
        <f t="shared" si="30"/>
        <v>0.16602865252624696</v>
      </c>
      <c r="AR5" s="10">
        <f t="shared" si="31"/>
        <v>3.2872623693979315E-3</v>
      </c>
      <c r="AS5" s="10">
        <f t="shared" si="32"/>
        <v>2.1915082462652872E-3</v>
      </c>
      <c r="AT5" s="10">
        <f t="shared" si="33"/>
        <v>3.2872623693979315E-3</v>
      </c>
      <c r="AU5" s="10">
        <f t="shared" si="34"/>
        <v>2.1915082462652872E-3</v>
      </c>
      <c r="AV5" s="10">
        <f t="shared" si="35"/>
        <v>2.958536132458138E-2</v>
      </c>
      <c r="AW5" s="10">
        <f t="shared" si="36"/>
        <v>1.9723574216387582E-2</v>
      </c>
      <c r="AX5" s="10">
        <f t="shared" si="37"/>
        <v>9.0399715158443111E-2</v>
      </c>
      <c r="AY5" s="10">
        <f t="shared" si="38"/>
        <v>6.0266476772295401E-2</v>
      </c>
      <c r="AZ5" s="10">
        <f t="shared" si="39"/>
        <v>8.2181559234948288E-3</v>
      </c>
      <c r="BA5" s="10">
        <f t="shared" si="40"/>
        <v>5.4787706156632183E-3</v>
      </c>
      <c r="BB5" s="10">
        <f t="shared" si="41"/>
        <v>8.2181559234948288E-3</v>
      </c>
      <c r="BC5" s="10">
        <f t="shared" si="42"/>
        <v>5.4787706156632183E-3</v>
      </c>
      <c r="BD5" s="10">
        <f t="shared" si="43"/>
        <v>3.2872623693979315E-2</v>
      </c>
      <c r="BE5" s="10">
        <f t="shared" si="44"/>
        <v>2.1915082462652873E-2</v>
      </c>
      <c r="BF5" s="10">
        <f t="shared" ref="BF5:BF29" si="50">B5/B$31*D5*BG$31</f>
        <v>4.1090779617474142E-2</v>
      </c>
      <c r="BG5" s="10">
        <f t="shared" ref="BG5:BG30" si="51">$B5/$B$31*$C5*BG$31</f>
        <v>2.7393853078316092E-2</v>
      </c>
      <c r="BH5" s="10">
        <f t="shared" ref="BH5:BJ30" si="52">$B5/$B$31*$D5*BI$31</f>
        <v>0</v>
      </c>
      <c r="BI5" s="10">
        <f t="shared" ref="BI5:CA30" si="53">$B5/$B$31*$C5*BI$31</f>
        <v>0</v>
      </c>
      <c r="BJ5" s="10">
        <f t="shared" si="52"/>
        <v>0</v>
      </c>
      <c r="BK5" s="10">
        <f t="shared" si="53"/>
        <v>0</v>
      </c>
      <c r="BL5" s="10">
        <f t="shared" ref="BL5" si="54">$B5/$B$31*$D5*BM$31</f>
        <v>0</v>
      </c>
      <c r="BM5" s="10">
        <f t="shared" si="53"/>
        <v>0</v>
      </c>
      <c r="BN5" s="10">
        <f t="shared" ref="BN5" si="55">$B5/$B$31*$D5*BO$31</f>
        <v>0</v>
      </c>
      <c r="BO5" s="10">
        <f t="shared" si="53"/>
        <v>0</v>
      </c>
      <c r="BP5" s="10">
        <f t="shared" ref="BP5" si="56">$B5/$B$31*$D5*BQ$31</f>
        <v>0</v>
      </c>
      <c r="BQ5" s="10">
        <f t="shared" si="53"/>
        <v>0</v>
      </c>
      <c r="BR5" s="10">
        <f t="shared" ref="BR5" si="57">$B5/$B$31*$D5*BS$31</f>
        <v>0</v>
      </c>
      <c r="BS5" s="10">
        <f t="shared" si="53"/>
        <v>0</v>
      </c>
      <c r="BT5" s="10">
        <f t="shared" ref="BT5" si="58">$B5/$B$31*$D5*BU$31</f>
        <v>0</v>
      </c>
      <c r="BU5" s="10">
        <f t="shared" si="53"/>
        <v>0</v>
      </c>
      <c r="BV5" s="10">
        <f t="shared" ref="BV5" si="59">$B5/$B$31*$D5*BW$31</f>
        <v>0</v>
      </c>
      <c r="BW5" s="10">
        <f t="shared" si="53"/>
        <v>0</v>
      </c>
      <c r="BX5" s="10">
        <f t="shared" ref="BX5" si="60">$B5/$B$31*$D5*BY$31</f>
        <v>0</v>
      </c>
      <c r="BY5" s="10">
        <f t="shared" si="53"/>
        <v>0</v>
      </c>
      <c r="BZ5" s="10">
        <f t="shared" ref="BZ5" si="61">$B5/$B$31*$D5*CA$31</f>
        <v>0</v>
      </c>
      <c r="CA5" s="10">
        <f t="shared" si="53"/>
        <v>0</v>
      </c>
      <c r="CB5" s="10">
        <f t="shared" ref="CB5" si="62">$B5/$B$31*$D5*CC$31</f>
        <v>0</v>
      </c>
      <c r="CC5" s="10">
        <f t="shared" ref="CC5:CC30" si="63">$B5/$B$31*$C5*CC$31</f>
        <v>0</v>
      </c>
      <c r="CD5" s="10">
        <f t="shared" ref="CD5" si="64">$B5/$B$31*$D5*CE$31</f>
        <v>0</v>
      </c>
      <c r="CE5" s="10">
        <f t="shared" ref="CE5:CE30" si="65">$B5/$B$31*$C5*CE$31</f>
        <v>0</v>
      </c>
      <c r="CF5" s="10">
        <f t="shared" ref="CF5" si="66">$B5/$B$31*$D5*CG$31</f>
        <v>0</v>
      </c>
      <c r="CG5" s="10">
        <f t="shared" ref="CG5:CG30" si="67">$B5/$B$31*$C5*CG$31</f>
        <v>0</v>
      </c>
      <c r="CH5" s="10">
        <f t="shared" ref="CH5" si="68">$B5/$B$31*$D5*CI$31</f>
        <v>0</v>
      </c>
      <c r="CI5" s="10">
        <f t="shared" ref="CI5:CI30" si="69">$B5/$B$31*$C5*CI$31</f>
        <v>0</v>
      </c>
      <c r="CJ5" s="10">
        <f t="shared" ref="CJ5" si="70">$B5/$B$31*$D5*CK$31</f>
        <v>0</v>
      </c>
      <c r="CK5" s="10">
        <f t="shared" ref="CK5:CK30" si="71">$B5/$B$31*$C5*CK$31</f>
        <v>0</v>
      </c>
      <c r="CL5" s="10">
        <f t="shared" ref="CL5" si="72">$B5/$B$31*$D5*CM$31</f>
        <v>0</v>
      </c>
      <c r="CM5" s="10">
        <f t="shared" ref="CM5:CM30" si="73">$B5/$B$31*$C5*CM$31</f>
        <v>0</v>
      </c>
      <c r="CN5" s="10">
        <f t="shared" ref="CN5" si="74">$B5/$B$31*$D5*CO$31</f>
        <v>0</v>
      </c>
      <c r="CO5" s="10">
        <f t="shared" ref="CO5:CO30" si="75">$B5/$B$31*$C5*CO$31</f>
        <v>0</v>
      </c>
      <c r="CP5" s="10">
        <f t="shared" ref="CP5" si="76">$B5/$B$31*$D5*CQ$31</f>
        <v>0</v>
      </c>
      <c r="CQ5" s="10">
        <f t="shared" ref="CQ5:CQ30" si="77">$B5/$B$31*$C5*CQ$31</f>
        <v>0</v>
      </c>
      <c r="CR5" s="10">
        <f t="shared" ref="CR5" si="78">$B5/$B$31*$D5*CS$31</f>
        <v>0</v>
      </c>
      <c r="CS5" s="10">
        <f t="shared" ref="CS5:CS30" si="79">$B5/$B$31*$C5*CS$31</f>
        <v>0</v>
      </c>
      <c r="CT5" s="10">
        <f t="shared" ref="CT5" si="80">$B5/$B$31*$D5*CU$31</f>
        <v>0</v>
      </c>
      <c r="CU5" s="10">
        <f t="shared" ref="CU5:CU30" si="81">$B5/$B$31*$C5*CU$31</f>
        <v>0</v>
      </c>
      <c r="CV5" s="10">
        <f t="shared" ref="CV5" si="82">$B5/$B$31*$D5*CW$31</f>
        <v>0</v>
      </c>
      <c r="CW5" s="10">
        <f t="shared" ref="CW5:CW30" si="83">$B5/$B$31*$C5*CW$31</f>
        <v>0</v>
      </c>
      <c r="CX5" s="10">
        <f t="shared" ref="CX5" si="84">$B5/$B$31*$D5*CY$31</f>
        <v>0</v>
      </c>
      <c r="CY5" s="10">
        <f t="shared" ref="CY5:CY30" si="85">$B5/$B$31*$C5*CY$31</f>
        <v>0</v>
      </c>
      <c r="CZ5" s="10">
        <f t="shared" ref="CZ5" si="86">$B5/$B$31*$D5*DA$31</f>
        <v>0</v>
      </c>
      <c r="DA5" s="10">
        <f t="shared" ref="DA5:DA30" si="87">$B5/$B$31*$C5*DA$31</f>
        <v>0</v>
      </c>
      <c r="DB5" s="10">
        <f t="shared" ref="DB5" si="88">$B5/$B$31*$D5*DC$31</f>
        <v>0</v>
      </c>
      <c r="DC5" s="10">
        <f t="shared" ref="DC5:DC30" si="89">$B5/$B$31*$C5*DC$31</f>
        <v>0</v>
      </c>
      <c r="DD5" s="10">
        <f t="shared" ref="DD5" si="90">$B5/$B$31*$D5*DE$31</f>
        <v>0</v>
      </c>
      <c r="DE5" s="10">
        <f t="shared" ref="DE5:DE30" si="91">$B5/$B$31*$C5*DE$31</f>
        <v>0</v>
      </c>
      <c r="DF5" s="10">
        <f t="shared" ref="DF5" si="92">$B5/$B$31*$D5*DG$31</f>
        <v>0</v>
      </c>
      <c r="DG5" s="10">
        <f t="shared" ref="DG5:DG30" si="93">$B5/$B$31*$C5*DG$31</f>
        <v>0</v>
      </c>
      <c r="DH5" s="10">
        <f t="shared" ref="DH5" si="94">$B5/$B$31*$D5*DI$31</f>
        <v>0</v>
      </c>
      <c r="DI5" s="10">
        <f t="shared" ref="DI5:DI30" si="95">$B5/$B$31*$C5*DI$31</f>
        <v>0</v>
      </c>
      <c r="DJ5" s="10">
        <f t="shared" ref="DJ5" si="96">$B5/$B$31*$D5*DK$31</f>
        <v>0</v>
      </c>
      <c r="DK5" s="10">
        <f t="shared" ref="DK5:DK30" si="97">$B5/$B$31*$C5*DK$31</f>
        <v>0</v>
      </c>
      <c r="DL5" s="10">
        <f t="shared" ref="DL5" si="98">$B5/$B$31*$D5*DM$31</f>
        <v>0</v>
      </c>
      <c r="DM5" s="10">
        <f t="shared" ref="DM5:DM30" si="99">$B5/$B$31*$C5*DM$31</f>
        <v>0</v>
      </c>
      <c r="DN5" s="10">
        <f t="shared" ref="DN5" si="100">$B5/$B$31*$D5*DO$31</f>
        <v>0</v>
      </c>
      <c r="DO5" s="10">
        <f t="shared" ref="DO5:DO30" si="101">$B5/$B$31*$C5*DO$31</f>
        <v>0</v>
      </c>
      <c r="DP5" s="10">
        <f t="shared" ref="DP5" si="102">$B5/$B$31*$D5*DQ$31</f>
        <v>0</v>
      </c>
      <c r="DQ5" s="10">
        <f t="shared" ref="DQ5:DQ30" si="103">$B5/$B$31*$C5*DQ$31</f>
        <v>0</v>
      </c>
      <c r="DR5" s="10">
        <f t="shared" ref="DR5" si="104">$B5/$B$31*$D5*DS$31</f>
        <v>0</v>
      </c>
      <c r="DS5" s="10">
        <f t="shared" ref="DS5:DS30" si="105">$B5/$B$31*$C5*DS$31</f>
        <v>0</v>
      </c>
      <c r="DT5" s="10">
        <f t="shared" ref="DT5" si="106">$B5/$B$31*$D5*DU$31</f>
        <v>0</v>
      </c>
      <c r="DU5" s="10">
        <f t="shared" ref="DU5:DU30" si="107">$B5/$B$31*$C5*DU$31</f>
        <v>0</v>
      </c>
      <c r="DV5" s="10">
        <f t="shared" ref="DV5" si="108">$B5/$B$31*$D5*DW$31</f>
        <v>0</v>
      </c>
      <c r="DW5" s="10">
        <f t="shared" ref="DW5:DW30" si="109">$B5/$B$31*$C5*DW$31</f>
        <v>0</v>
      </c>
      <c r="DX5" s="10">
        <f t="shared" ref="DX5" si="110">$B5/$B$31*$D5*DY$31</f>
        <v>0</v>
      </c>
      <c r="DY5" s="10">
        <f t="shared" ref="DY5:DY30" si="111">$B5/$B$31*$C5*DY$31</f>
        <v>0</v>
      </c>
      <c r="DZ5" s="10">
        <f t="shared" ref="DZ5" si="112">$B5/$B$31*$D5*EA$31</f>
        <v>0</v>
      </c>
      <c r="EA5" s="10">
        <f t="shared" ref="EA5:EA30" si="113">$B5/$B$31*$C5*EA$31</f>
        <v>0</v>
      </c>
      <c r="EB5" s="10">
        <f t="shared" ref="EB5" si="114">$B5/$B$31*$D5*EC$31</f>
        <v>0</v>
      </c>
      <c r="EC5" s="10">
        <f t="shared" ref="EC5:EC30" si="115">$B5/$B$31*$C5*EC$31</f>
        <v>0</v>
      </c>
      <c r="ED5" s="10">
        <f t="shared" ref="ED5" si="116">$B5/$B$31*$D5*EE$31</f>
        <v>0</v>
      </c>
      <c r="EE5" s="10">
        <f t="shared" ref="EE5:EE30" si="117">$B5/$B$31*$C5*EE$31</f>
        <v>0</v>
      </c>
      <c r="EF5" s="10">
        <f t="shared" ref="EF5" si="118">$B5/$B$31*$D5*EG$31</f>
        <v>0</v>
      </c>
      <c r="EG5" s="10">
        <f t="shared" ref="EG5:EG30" si="119">$B5/$B$31*$C5*EG$31</f>
        <v>0</v>
      </c>
      <c r="EH5" s="10">
        <f t="shared" ref="EH5" si="120">$B5/$B$31*$D5*EI$31</f>
        <v>0</v>
      </c>
      <c r="EI5" s="10">
        <f t="shared" ref="EI5:EI30" si="121">$B5/$B$31*$C5*EI$31</f>
        <v>0</v>
      </c>
      <c r="EJ5" s="10">
        <f t="shared" ref="EJ5" si="122">$B5/$B$31*$D5*EK$31</f>
        <v>0</v>
      </c>
      <c r="EK5" s="10">
        <f t="shared" ref="EK5:EK30" si="123">$B5/$B$31*$C5*EK$31</f>
        <v>0</v>
      </c>
      <c r="EL5" s="10">
        <f t="shared" ref="EL5" si="124">$B5/$B$31*$D5*EM$31</f>
        <v>0</v>
      </c>
      <c r="EM5" s="10">
        <f t="shared" ref="EM5:EM30" si="125">$B5/$B$31*$C5*EM$31</f>
        <v>0</v>
      </c>
      <c r="EN5" s="10">
        <f t="shared" ref="EN5" si="126">$B5/$B$31*$D5*EO$31</f>
        <v>0</v>
      </c>
      <c r="EO5" s="10">
        <f t="shared" ref="EO5:EO30" si="127">$B5/$B$31*$C5*EO$31</f>
        <v>0</v>
      </c>
      <c r="EP5" s="10">
        <f t="shared" ref="EP5" si="128">$B5/$B$31*$D5*EQ$31</f>
        <v>0</v>
      </c>
      <c r="EQ5" s="10">
        <f t="shared" ref="EQ5:EQ30" si="129">$B5/$B$31*$C5*EQ$31</f>
        <v>0</v>
      </c>
      <c r="ER5" s="10">
        <f t="shared" ref="ER5" si="130">$B5/$B$31*$D5*ES$31</f>
        <v>0</v>
      </c>
      <c r="ES5" s="10">
        <f t="shared" ref="ES5:ES30" si="131">$B5/$B$31*$C5*ES$31</f>
        <v>0</v>
      </c>
      <c r="ET5" s="10">
        <f t="shared" ref="ET5" si="132">$B5/$B$31*$D5*EU$31</f>
        <v>0</v>
      </c>
      <c r="EU5" s="10">
        <f t="shared" ref="EU5:FM30" si="133">$B5/$B$31*$C5*EU$31</f>
        <v>0</v>
      </c>
      <c r="EV5" s="10">
        <f t="shared" ref="EV5" si="134">$B5/$B$31*$D5*EW$31</f>
        <v>0</v>
      </c>
      <c r="EW5" s="10">
        <f t="shared" si="133"/>
        <v>0</v>
      </c>
      <c r="EX5" s="10">
        <f t="shared" ref="EX5" si="135">$B5/$B$31*$D5*EY$31</f>
        <v>0</v>
      </c>
      <c r="EY5" s="10">
        <f t="shared" si="133"/>
        <v>0</v>
      </c>
      <c r="EZ5" s="10">
        <f t="shared" ref="EZ5" si="136">$B5/$B$31*$D5*FA$31</f>
        <v>0</v>
      </c>
      <c r="FA5" s="10">
        <f t="shared" si="133"/>
        <v>0</v>
      </c>
      <c r="FB5" s="10">
        <f t="shared" ref="FB5" si="137">$B5/$B$31*$D5*FC$31</f>
        <v>0</v>
      </c>
      <c r="FC5" s="10">
        <f t="shared" si="133"/>
        <v>0</v>
      </c>
      <c r="FD5" s="10">
        <f t="shared" ref="FD5" si="138">$B5/$B$31*$D5*FE$31</f>
        <v>0</v>
      </c>
      <c r="FE5" s="10">
        <f t="shared" si="133"/>
        <v>0</v>
      </c>
      <c r="FF5" s="10">
        <f t="shared" ref="FF5" si="139">$B5/$B$31*$D5*FG$31</f>
        <v>0</v>
      </c>
      <c r="FG5" s="10">
        <f t="shared" si="133"/>
        <v>0</v>
      </c>
      <c r="FH5" s="10">
        <f t="shared" ref="FH5" si="140">$B5/$B$31*$D5*FI$31</f>
        <v>0</v>
      </c>
      <c r="FI5" s="10">
        <f t="shared" si="133"/>
        <v>0</v>
      </c>
      <c r="FJ5" s="10">
        <f t="shared" ref="FJ5" si="141">$B5/$B$31*$D5*FK$31</f>
        <v>0</v>
      </c>
      <c r="FK5" s="10">
        <f t="shared" si="133"/>
        <v>0</v>
      </c>
      <c r="FL5" s="10">
        <f t="shared" ref="FL5" si="142">$B5/$B$31*$D5*FM$31</f>
        <v>0</v>
      </c>
      <c r="FM5" s="10">
        <f t="shared" si="133"/>
        <v>0</v>
      </c>
      <c r="FN5" s="10">
        <f t="shared" ref="FN5" si="143">$B5/$B$31*$D5*FO$31</f>
        <v>0</v>
      </c>
      <c r="FO5" s="10">
        <f t="shared" ref="FO5:FO30" si="144">$B5/$B$31*$C5*FO$31</f>
        <v>0</v>
      </c>
      <c r="FP5" s="10">
        <f t="shared" ref="FP5" si="145">$B5/$B$31*$D5*FQ$31</f>
        <v>0</v>
      </c>
      <c r="FQ5" s="10">
        <f t="shared" ref="FQ5:FQ30" si="146">$B5/$B$31*$C5*FQ$31</f>
        <v>0</v>
      </c>
      <c r="FR5" s="10">
        <f t="shared" ref="FR5" si="147">$B5/$B$31*$D5*FS$31</f>
        <v>0</v>
      </c>
      <c r="FS5" s="10">
        <f t="shared" ref="FS5:FS30" si="148">$B5/$B$31*$C5*FS$31</f>
        <v>0</v>
      </c>
      <c r="FT5" s="10">
        <f t="shared" ref="FT5" si="149">$B5/$B$31*$D5*FU$31</f>
        <v>0</v>
      </c>
      <c r="FU5" s="10">
        <f t="shared" ref="FU5:FU30" si="150">$B5/$B$31*$C5*FU$31</f>
        <v>0</v>
      </c>
      <c r="FV5" s="10">
        <f t="shared" ref="FV5" si="151">$B5/$B$31*$D5*FW$31</f>
        <v>0</v>
      </c>
      <c r="FW5" s="10">
        <f t="shared" ref="FW5:FW30" si="152">$B5/$B$31*$C5*FW$31</f>
        <v>0</v>
      </c>
      <c r="FX5" s="10">
        <f t="shared" ref="FX5" si="153">$B5/$B$31*$D5*FY$31</f>
        <v>0</v>
      </c>
      <c r="FY5" s="10">
        <f t="shared" ref="FY5:FY30" si="154">$B5/$B$31*$C5*FY$31</f>
        <v>0</v>
      </c>
      <c r="FZ5" s="10">
        <f t="shared" ref="FZ5" si="155">$B5/$B$31*$D5*GA$31</f>
        <v>0</v>
      </c>
      <c r="GA5" s="10">
        <f t="shared" ref="GA5:GA30" si="156">$B5/$B$31*$C5*GA$31</f>
        <v>0</v>
      </c>
      <c r="GB5" s="10">
        <f t="shared" ref="GB5" si="157">$B5/$B$31*$D5*GC$31</f>
        <v>0</v>
      </c>
      <c r="GC5" s="10">
        <f t="shared" ref="GC5:GC30" si="158">$B5/$B$31*$C5*GC$31</f>
        <v>0</v>
      </c>
      <c r="GD5" s="10">
        <f t="shared" ref="GD5" si="159">$B5/$B$31*$D5*GE$31</f>
        <v>0</v>
      </c>
      <c r="GE5" s="10">
        <f t="shared" ref="GE5:GE30" si="160">$B5/$B$31*$C5*GE$31</f>
        <v>0</v>
      </c>
      <c r="GF5" s="10">
        <f t="shared" ref="GF5" si="161">$B5/$B$31*$D5*GG$31</f>
        <v>0</v>
      </c>
      <c r="GG5" s="10">
        <f t="shared" ref="GG5:GG30" si="162">$B5/$B$31*$C5*GG$31</f>
        <v>0</v>
      </c>
      <c r="GH5" s="10">
        <f t="shared" ref="GH5" si="163">$B5/$B$31*$D5*GI$31</f>
        <v>0</v>
      </c>
      <c r="GI5" s="10">
        <f t="shared" ref="GI5:GI30" si="164">$B5/$B$31*$C5*GI$31</f>
        <v>0</v>
      </c>
      <c r="GJ5" s="10">
        <f t="shared" ref="GJ5" si="165">$B5/$B$31*$D5*GK$31</f>
        <v>0</v>
      </c>
      <c r="GK5" s="10">
        <f t="shared" ref="GK5:GK30" si="166">$B5/$B$31*$C5*GK$31</f>
        <v>0</v>
      </c>
      <c r="GL5" s="10">
        <f t="shared" ref="GL5" si="167">$B5/$B$31*$D5*GM$31</f>
        <v>0</v>
      </c>
      <c r="GM5" s="10">
        <f t="shared" ref="GM5:GM30" si="168">$B5/$B$31*$C5*GM$31</f>
        <v>0</v>
      </c>
      <c r="GN5" s="10">
        <f t="shared" ref="GN5" si="169">$B5/$B$31*$D5*GO$31</f>
        <v>0</v>
      </c>
      <c r="GO5" s="10">
        <f t="shared" ref="GO5:GO30" si="170">$B5/$B$31*$C5*GO$31</f>
        <v>0</v>
      </c>
      <c r="GP5" s="10">
        <f t="shared" ref="GP5" si="171">$B5/$B$31*$D5*GQ$31</f>
        <v>0</v>
      </c>
      <c r="GQ5" s="10">
        <f t="shared" ref="GQ5:GQ30" si="172">$B5/$B$31*$C5*GQ$31</f>
        <v>0</v>
      </c>
      <c r="GR5" s="10">
        <f t="shared" ref="GR5" si="173">$B5/$B$31*$D5*GS$31</f>
        <v>0</v>
      </c>
      <c r="GS5" s="10">
        <f t="shared" ref="GS5:GS30" si="174">$B5/$B$31*$C5*GS$31</f>
        <v>0</v>
      </c>
      <c r="GT5" s="10">
        <f t="shared" ref="GT5" si="175">$B5/$B$31*$D5*GU$31</f>
        <v>0</v>
      </c>
      <c r="GU5" s="10">
        <f t="shared" ref="GU5:GU30" si="176">$B5/$B$31*$C5*GU$31</f>
        <v>0</v>
      </c>
      <c r="GV5" s="10">
        <f t="shared" ref="GV5" si="177">$B5/$B$31*$D5*GW$31</f>
        <v>0</v>
      </c>
      <c r="GW5" s="10">
        <f t="shared" ref="GW5:GW30" si="178">$B5/$B$31*$C5*GW$31</f>
        <v>0</v>
      </c>
      <c r="GX5" s="10">
        <f t="shared" ref="GX5" si="179">$B5/$B$31*$D5*GY$31</f>
        <v>0</v>
      </c>
      <c r="GY5" s="10">
        <f t="shared" ref="GY5:GY30" si="180">$B5/$B$31*$C5*GY$31</f>
        <v>0</v>
      </c>
      <c r="GZ5" s="10">
        <f t="shared" ref="GZ5" si="181">$B5/$B$31*$D5*HA$31</f>
        <v>0</v>
      </c>
      <c r="HA5" s="10">
        <f t="shared" ref="HA5:HA30" si="182">$B5/$B$31*$C5*HA$31</f>
        <v>0</v>
      </c>
      <c r="HB5" s="10">
        <f t="shared" ref="HB5" si="183">$B5/$B$31*$D5*HC$31</f>
        <v>0</v>
      </c>
      <c r="HC5" s="10">
        <f t="shared" ref="HC5:HC30" si="184">$B5/$B$31*$C5*HC$31</f>
        <v>0</v>
      </c>
      <c r="HD5" s="10">
        <f t="shared" ref="HD5" si="185">$B5/$B$31*$D5*HE$31</f>
        <v>0</v>
      </c>
      <c r="HE5" s="10">
        <f t="shared" ref="HE5:HE30" si="186">$B5/$B$31*$C5*HE$31</f>
        <v>0</v>
      </c>
      <c r="HF5" s="10">
        <f t="shared" ref="HF5" si="187">$B5/$B$31*$D5*HG$31</f>
        <v>0</v>
      </c>
      <c r="HG5" s="10">
        <f t="shared" ref="HG5:HG30" si="188">$B5/$B$31*$C5*HG$31</f>
        <v>0</v>
      </c>
      <c r="HH5" s="10">
        <f t="shared" ref="HH5" si="189">$B5/$B$31*$D5*HI$31</f>
        <v>0</v>
      </c>
      <c r="HI5" s="10">
        <f t="shared" ref="HI5:HI30" si="190">$B5/$B$31*$C5*HI$31</f>
        <v>0</v>
      </c>
      <c r="HJ5" s="10">
        <f t="shared" ref="HJ5" si="191">$B5/$B$31*$D5*HK$31</f>
        <v>0</v>
      </c>
      <c r="HK5" s="10">
        <f t="shared" ref="HK5:HK30" si="192">$B5/$B$31*$C5*HK$31</f>
        <v>0</v>
      </c>
      <c r="HL5" s="10">
        <f t="shared" ref="HL5" si="193">$B5/$B$31*$D5*HM$31</f>
        <v>0</v>
      </c>
      <c r="HM5" s="10">
        <f t="shared" ref="HM5:HM30" si="194">$B5/$B$31*$C5*HM$31</f>
        <v>0</v>
      </c>
      <c r="HN5" s="10">
        <f t="shared" ref="HN5" si="195">$B5/$B$31*$D5*HO$31</f>
        <v>0</v>
      </c>
      <c r="HO5" s="10">
        <f t="shared" ref="HO5:HO30" si="196">$B5/$B$31*$C5*HO$31</f>
        <v>0</v>
      </c>
      <c r="HP5" s="10">
        <f t="shared" ref="HP5" si="197">$B5/$B$31*$D5*HQ$31</f>
        <v>0</v>
      </c>
      <c r="HQ5" s="10">
        <f t="shared" ref="HQ5:HQ30" si="198">$B5/$B$31*$C5*HQ$31</f>
        <v>0</v>
      </c>
      <c r="HR5" s="10">
        <f t="shared" ref="HR5" si="199">$B5/$B$31*$D5*HS$31</f>
        <v>0</v>
      </c>
      <c r="HS5" s="10">
        <f t="shared" ref="HS5:HS30" si="200">$B5/$B$31*$C5*HS$31</f>
        <v>0</v>
      </c>
      <c r="HT5" s="10">
        <f t="shared" ref="HT5" si="201">$B5/$B$31*$D5*HU$31</f>
        <v>0</v>
      </c>
      <c r="HU5" s="10">
        <f t="shared" ref="HU5:HU30" si="202">$B5/$B$31*$C5*HU$31</f>
        <v>0</v>
      </c>
      <c r="HV5" s="10"/>
      <c r="HW5" s="10"/>
      <c r="HX5" s="10"/>
    </row>
    <row r="6" spans="1:232" x14ac:dyDescent="0.3">
      <c r="A6" s="18">
        <f>参数调整!A6</f>
        <v>3</v>
      </c>
      <c r="B6" s="170">
        <f>参数调整!B6</f>
        <v>1.5</v>
      </c>
      <c r="C6" s="10">
        <f>参数调整!F6</f>
        <v>0.7</v>
      </c>
      <c r="D6" s="10">
        <f>参数调整!G6</f>
        <v>1</v>
      </c>
      <c r="E6" s="15">
        <f>基本属性!B6</f>
        <v>50</v>
      </c>
      <c r="F6" s="15">
        <f>基本属性!C6</f>
        <v>0</v>
      </c>
      <c r="G6" s="271"/>
      <c r="H6" s="10">
        <f t="shared" si="45"/>
        <v>1367989056.0875514</v>
      </c>
      <c r="I6" s="188">
        <f t="shared" si="0"/>
        <v>957592339.2612859</v>
      </c>
      <c r="J6" s="10">
        <f t="shared" si="1"/>
        <v>56582.599716356541</v>
      </c>
      <c r="K6" s="10">
        <f t="shared" si="2"/>
        <v>39607.819801449579</v>
      </c>
      <c r="L6" s="10">
        <f t="shared" si="46"/>
        <v>0.75333095965369257</v>
      </c>
      <c r="M6" s="10">
        <f t="shared" si="47"/>
        <v>0.52733167175758477</v>
      </c>
      <c r="N6" s="10">
        <f t="shared" si="48"/>
        <v>5.4801641586867307</v>
      </c>
      <c r="O6" s="10">
        <f t="shared" si="49"/>
        <v>3.8361149110807111</v>
      </c>
      <c r="P6" s="10">
        <f t="shared" si="3"/>
        <v>105.56315549475605</v>
      </c>
      <c r="Q6" s="10">
        <f t="shared" si="4"/>
        <v>73.894208846329235</v>
      </c>
      <c r="R6" s="10">
        <f t="shared" si="5"/>
        <v>0.33378932968536251</v>
      </c>
      <c r="S6" s="10">
        <f t="shared" si="6"/>
        <v>0.23365253077975376</v>
      </c>
      <c r="T6" s="10">
        <f t="shared" si="7"/>
        <v>0.4984397771876648</v>
      </c>
      <c r="U6" s="10">
        <f t="shared" si="8"/>
        <v>0.34890784403136538</v>
      </c>
      <c r="V6" s="10">
        <f t="shared" si="9"/>
        <v>0.4984397771876648</v>
      </c>
      <c r="W6" s="10">
        <f t="shared" si="10"/>
        <v>0.34890784403136538</v>
      </c>
      <c r="X6" s="10">
        <f t="shared" si="11"/>
        <v>0.4984397771876648</v>
      </c>
      <c r="Y6" s="10">
        <f t="shared" si="12"/>
        <v>0.34890784403136538</v>
      </c>
      <c r="Z6" s="10">
        <f t="shared" si="13"/>
        <v>0.4984397771876648</v>
      </c>
      <c r="AA6" s="10">
        <f t="shared" si="14"/>
        <v>0.34890784403136538</v>
      </c>
      <c r="AB6" s="10">
        <f t="shared" si="15"/>
        <v>12.77701778385773</v>
      </c>
      <c r="AC6" s="10">
        <f t="shared" si="16"/>
        <v>8.9439124487004111</v>
      </c>
      <c r="AD6" s="10">
        <f t="shared" si="17"/>
        <v>3.8276754709039253</v>
      </c>
      <c r="AE6" s="10">
        <f t="shared" si="18"/>
        <v>2.6793728296327477</v>
      </c>
      <c r="AF6" s="10">
        <f t="shared" si="19"/>
        <v>1.9138377354519627</v>
      </c>
      <c r="AG6" s="10">
        <f t="shared" si="20"/>
        <v>1.3396864148163738</v>
      </c>
      <c r="AH6" s="10">
        <f t="shared" si="21"/>
        <v>0.38276754709039251</v>
      </c>
      <c r="AI6" s="10">
        <f t="shared" si="22"/>
        <v>0.26793728296327479</v>
      </c>
      <c r="AJ6" s="10">
        <f t="shared" si="23"/>
        <v>4.3743461817011342</v>
      </c>
      <c r="AK6" s="10">
        <f t="shared" si="24"/>
        <v>3.0620423271907939</v>
      </c>
      <c r="AL6" s="10">
        <f t="shared" si="25"/>
        <v>2.1871730908505671</v>
      </c>
      <c r="AM6" s="10">
        <f t="shared" si="26"/>
        <v>1.531021163595397</v>
      </c>
      <c r="AN6" s="10">
        <f t="shared" si="27"/>
        <v>0.43743461817011342</v>
      </c>
      <c r="AO6" s="10">
        <f t="shared" si="28"/>
        <v>0.30620423271907943</v>
      </c>
      <c r="AP6" s="10">
        <f t="shared" si="29"/>
        <v>0.20753581565780874</v>
      </c>
      <c r="AQ6" s="10">
        <f t="shared" si="30"/>
        <v>0.1452750709604661</v>
      </c>
      <c r="AR6" s="10">
        <f t="shared" si="31"/>
        <v>2.7393853078316096E-3</v>
      </c>
      <c r="AS6" s="10">
        <f t="shared" si="32"/>
        <v>1.9175697154821267E-3</v>
      </c>
      <c r="AT6" s="10">
        <f t="shared" si="33"/>
        <v>2.7393853078316096E-3</v>
      </c>
      <c r="AU6" s="10">
        <f t="shared" si="34"/>
        <v>1.9175697154821267E-3</v>
      </c>
      <c r="AV6" s="10">
        <f t="shared" si="35"/>
        <v>2.4654467770484481E-2</v>
      </c>
      <c r="AW6" s="10">
        <f t="shared" si="36"/>
        <v>1.7258127439339136E-2</v>
      </c>
      <c r="AX6" s="10">
        <f t="shared" si="37"/>
        <v>7.5333095965369259E-2</v>
      </c>
      <c r="AY6" s="10">
        <f t="shared" si="38"/>
        <v>5.2733167175758482E-2</v>
      </c>
      <c r="AZ6" s="10">
        <f t="shared" si="39"/>
        <v>6.848463269579024E-3</v>
      </c>
      <c r="BA6" s="10">
        <f t="shared" si="40"/>
        <v>4.7939242887053164E-3</v>
      </c>
      <c r="BB6" s="10">
        <f t="shared" si="41"/>
        <v>6.848463269579024E-3</v>
      </c>
      <c r="BC6" s="10">
        <f t="shared" si="42"/>
        <v>4.7939242887053164E-3</v>
      </c>
      <c r="BD6" s="10">
        <f t="shared" si="43"/>
        <v>2.7393853078316096E-2</v>
      </c>
      <c r="BE6" s="10">
        <f t="shared" si="44"/>
        <v>1.9175697154821265E-2</v>
      </c>
      <c r="BF6" s="10">
        <f t="shared" si="50"/>
        <v>3.4242316347895117E-2</v>
      </c>
      <c r="BG6" s="10">
        <f t="shared" si="51"/>
        <v>2.3969621443526583E-2</v>
      </c>
      <c r="BH6" s="10">
        <f t="shared" si="52"/>
        <v>0</v>
      </c>
      <c r="BI6" s="10">
        <f t="shared" si="53"/>
        <v>0</v>
      </c>
      <c r="BJ6" s="10">
        <f t="shared" si="52"/>
        <v>0</v>
      </c>
      <c r="BK6" s="10">
        <f t="shared" si="53"/>
        <v>0</v>
      </c>
      <c r="BL6" s="10">
        <f t="shared" ref="BL6" si="203">$B6/$B$31*$D6*BM$31</f>
        <v>0</v>
      </c>
      <c r="BM6" s="10">
        <f t="shared" si="53"/>
        <v>0</v>
      </c>
      <c r="BN6" s="10">
        <f t="shared" ref="BN6" si="204">$B6/$B$31*$D6*BO$31</f>
        <v>0</v>
      </c>
      <c r="BO6" s="10">
        <f t="shared" si="53"/>
        <v>0</v>
      </c>
      <c r="BP6" s="10">
        <f t="shared" ref="BP6" si="205">$B6/$B$31*$D6*BQ$31</f>
        <v>0</v>
      </c>
      <c r="BQ6" s="10">
        <f t="shared" si="53"/>
        <v>0</v>
      </c>
      <c r="BR6" s="10">
        <f t="shared" ref="BR6" si="206">$B6/$B$31*$D6*BS$31</f>
        <v>0</v>
      </c>
      <c r="BS6" s="10">
        <f t="shared" si="53"/>
        <v>0</v>
      </c>
      <c r="BT6" s="10">
        <f t="shared" ref="BT6" si="207">$B6/$B$31*$D6*BU$31</f>
        <v>0</v>
      </c>
      <c r="BU6" s="10">
        <f t="shared" si="53"/>
        <v>0</v>
      </c>
      <c r="BV6" s="10">
        <f t="shared" ref="BV6" si="208">$B6/$B$31*$D6*BW$31</f>
        <v>0</v>
      </c>
      <c r="BW6" s="10">
        <f t="shared" si="53"/>
        <v>0</v>
      </c>
      <c r="BX6" s="10">
        <f t="shared" ref="BX6" si="209">$B6/$B$31*$D6*BY$31</f>
        <v>0</v>
      </c>
      <c r="BY6" s="10">
        <f t="shared" si="53"/>
        <v>0</v>
      </c>
      <c r="BZ6" s="10">
        <f t="shared" ref="BZ6" si="210">$B6/$B$31*$D6*CA$31</f>
        <v>0</v>
      </c>
      <c r="CA6" s="10">
        <f t="shared" si="53"/>
        <v>0</v>
      </c>
      <c r="CB6" s="10">
        <f t="shared" ref="CB6" si="211">$B6/$B$31*$D6*CC$31</f>
        <v>0</v>
      </c>
      <c r="CC6" s="10">
        <f t="shared" si="63"/>
        <v>0</v>
      </c>
      <c r="CD6" s="10">
        <f t="shared" ref="CD6" si="212">$B6/$B$31*$D6*CE$31</f>
        <v>0</v>
      </c>
      <c r="CE6" s="10">
        <f t="shared" si="65"/>
        <v>0</v>
      </c>
      <c r="CF6" s="10">
        <f t="shared" ref="CF6" si="213">$B6/$B$31*$D6*CG$31</f>
        <v>0</v>
      </c>
      <c r="CG6" s="10">
        <f t="shared" si="67"/>
        <v>0</v>
      </c>
      <c r="CH6" s="10">
        <f t="shared" ref="CH6" si="214">$B6/$B$31*$D6*CI$31</f>
        <v>0</v>
      </c>
      <c r="CI6" s="10">
        <f t="shared" si="69"/>
        <v>0</v>
      </c>
      <c r="CJ6" s="10">
        <f t="shared" ref="CJ6" si="215">$B6/$B$31*$D6*CK$31</f>
        <v>0</v>
      </c>
      <c r="CK6" s="10">
        <f t="shared" si="71"/>
        <v>0</v>
      </c>
      <c r="CL6" s="10">
        <f t="shared" ref="CL6" si="216">$B6/$B$31*$D6*CM$31</f>
        <v>0</v>
      </c>
      <c r="CM6" s="10">
        <f t="shared" si="73"/>
        <v>0</v>
      </c>
      <c r="CN6" s="10">
        <f t="shared" ref="CN6" si="217">$B6/$B$31*$D6*CO$31</f>
        <v>0</v>
      </c>
      <c r="CO6" s="10">
        <f t="shared" si="75"/>
        <v>0</v>
      </c>
      <c r="CP6" s="10">
        <f t="shared" ref="CP6" si="218">$B6/$B$31*$D6*CQ$31</f>
        <v>0</v>
      </c>
      <c r="CQ6" s="10">
        <f t="shared" si="77"/>
        <v>0</v>
      </c>
      <c r="CR6" s="10">
        <f t="shared" ref="CR6" si="219">$B6/$B$31*$D6*CS$31</f>
        <v>0</v>
      </c>
      <c r="CS6" s="10">
        <f t="shared" si="79"/>
        <v>0</v>
      </c>
      <c r="CT6" s="10">
        <f t="shared" ref="CT6" si="220">$B6/$B$31*$D6*CU$31</f>
        <v>0</v>
      </c>
      <c r="CU6" s="10">
        <f t="shared" si="81"/>
        <v>0</v>
      </c>
      <c r="CV6" s="10">
        <f t="shared" ref="CV6" si="221">$B6/$B$31*$D6*CW$31</f>
        <v>0</v>
      </c>
      <c r="CW6" s="10">
        <f t="shared" si="83"/>
        <v>0</v>
      </c>
      <c r="CX6" s="10">
        <f t="shared" ref="CX6" si="222">$B6/$B$31*$D6*CY$31</f>
        <v>0</v>
      </c>
      <c r="CY6" s="10">
        <f t="shared" si="85"/>
        <v>0</v>
      </c>
      <c r="CZ6" s="10">
        <f t="shared" ref="CZ6" si="223">$B6/$B$31*$D6*DA$31</f>
        <v>0</v>
      </c>
      <c r="DA6" s="10">
        <f t="shared" si="87"/>
        <v>0</v>
      </c>
      <c r="DB6" s="10">
        <f t="shared" ref="DB6" si="224">$B6/$B$31*$D6*DC$31</f>
        <v>0</v>
      </c>
      <c r="DC6" s="10">
        <f t="shared" si="89"/>
        <v>0</v>
      </c>
      <c r="DD6" s="10">
        <f t="shared" ref="DD6" si="225">$B6/$B$31*$D6*DE$31</f>
        <v>0</v>
      </c>
      <c r="DE6" s="10">
        <f t="shared" si="91"/>
        <v>0</v>
      </c>
      <c r="DF6" s="10">
        <f t="shared" ref="DF6" si="226">$B6/$B$31*$D6*DG$31</f>
        <v>0</v>
      </c>
      <c r="DG6" s="10">
        <f t="shared" si="93"/>
        <v>0</v>
      </c>
      <c r="DH6" s="10">
        <f t="shared" ref="DH6" si="227">$B6/$B$31*$D6*DI$31</f>
        <v>0</v>
      </c>
      <c r="DI6" s="10">
        <f t="shared" si="95"/>
        <v>0</v>
      </c>
      <c r="DJ6" s="10">
        <f t="shared" ref="DJ6" si="228">$B6/$B$31*$D6*DK$31</f>
        <v>0</v>
      </c>
      <c r="DK6" s="10">
        <f t="shared" si="97"/>
        <v>0</v>
      </c>
      <c r="DL6" s="10">
        <f t="shared" ref="DL6" si="229">$B6/$B$31*$D6*DM$31</f>
        <v>0</v>
      </c>
      <c r="DM6" s="10">
        <f t="shared" si="99"/>
        <v>0</v>
      </c>
      <c r="DN6" s="10">
        <f t="shared" ref="DN6" si="230">$B6/$B$31*$D6*DO$31</f>
        <v>0</v>
      </c>
      <c r="DO6" s="10">
        <f t="shared" si="101"/>
        <v>0</v>
      </c>
      <c r="DP6" s="10">
        <f t="shared" ref="DP6" si="231">$B6/$B$31*$D6*DQ$31</f>
        <v>0</v>
      </c>
      <c r="DQ6" s="10">
        <f t="shared" si="103"/>
        <v>0</v>
      </c>
      <c r="DR6" s="10">
        <f t="shared" ref="DR6" si="232">$B6/$B$31*$D6*DS$31</f>
        <v>0</v>
      </c>
      <c r="DS6" s="10">
        <f t="shared" si="105"/>
        <v>0</v>
      </c>
      <c r="DT6" s="10">
        <f t="shared" ref="DT6" si="233">$B6/$B$31*$D6*DU$31</f>
        <v>0</v>
      </c>
      <c r="DU6" s="10">
        <f t="shared" si="107"/>
        <v>0</v>
      </c>
      <c r="DV6" s="10">
        <f t="shared" ref="DV6" si="234">$B6/$B$31*$D6*DW$31</f>
        <v>0</v>
      </c>
      <c r="DW6" s="10">
        <f t="shared" si="109"/>
        <v>0</v>
      </c>
      <c r="DX6" s="10">
        <f t="shared" ref="DX6" si="235">$B6/$B$31*$D6*DY$31</f>
        <v>0</v>
      </c>
      <c r="DY6" s="10">
        <f t="shared" si="111"/>
        <v>0</v>
      </c>
      <c r="DZ6" s="10">
        <f t="shared" ref="DZ6" si="236">$B6/$B$31*$D6*EA$31</f>
        <v>0</v>
      </c>
      <c r="EA6" s="10">
        <f t="shared" si="113"/>
        <v>0</v>
      </c>
      <c r="EB6" s="10">
        <f t="shared" ref="EB6" si="237">$B6/$B$31*$D6*EC$31</f>
        <v>0</v>
      </c>
      <c r="EC6" s="10">
        <f t="shared" si="115"/>
        <v>0</v>
      </c>
      <c r="ED6" s="10">
        <f t="shared" ref="ED6" si="238">$B6/$B$31*$D6*EE$31</f>
        <v>0</v>
      </c>
      <c r="EE6" s="10">
        <f t="shared" si="117"/>
        <v>0</v>
      </c>
      <c r="EF6" s="10">
        <f t="shared" ref="EF6" si="239">$B6/$B$31*$D6*EG$31</f>
        <v>0</v>
      </c>
      <c r="EG6" s="10">
        <f t="shared" si="119"/>
        <v>0</v>
      </c>
      <c r="EH6" s="10">
        <f t="shared" ref="EH6" si="240">$B6/$B$31*$D6*EI$31</f>
        <v>0</v>
      </c>
      <c r="EI6" s="10">
        <f t="shared" si="121"/>
        <v>0</v>
      </c>
      <c r="EJ6" s="10">
        <f t="shared" ref="EJ6" si="241">$B6/$B$31*$D6*EK$31</f>
        <v>0</v>
      </c>
      <c r="EK6" s="10">
        <f t="shared" si="123"/>
        <v>0</v>
      </c>
      <c r="EL6" s="10">
        <f t="shared" ref="EL6" si="242">$B6/$B$31*$D6*EM$31</f>
        <v>0</v>
      </c>
      <c r="EM6" s="10">
        <f t="shared" si="125"/>
        <v>0</v>
      </c>
      <c r="EN6" s="10">
        <f t="shared" ref="EN6" si="243">$B6/$B$31*$D6*EO$31</f>
        <v>0</v>
      </c>
      <c r="EO6" s="10">
        <f t="shared" si="127"/>
        <v>0</v>
      </c>
      <c r="EP6" s="10">
        <f t="shared" ref="EP6" si="244">$B6/$B$31*$D6*EQ$31</f>
        <v>0</v>
      </c>
      <c r="EQ6" s="10">
        <f t="shared" si="129"/>
        <v>0</v>
      </c>
      <c r="ER6" s="10">
        <f t="shared" ref="ER6" si="245">$B6/$B$31*$D6*ES$31</f>
        <v>0</v>
      </c>
      <c r="ES6" s="10">
        <f t="shared" si="131"/>
        <v>0</v>
      </c>
      <c r="ET6" s="10">
        <f t="shared" ref="ET6" si="246">$B6/$B$31*$D6*EU$31</f>
        <v>0</v>
      </c>
      <c r="EU6" s="10">
        <f t="shared" si="133"/>
        <v>0</v>
      </c>
      <c r="EV6" s="10">
        <f t="shared" ref="EV6" si="247">$B6/$B$31*$D6*EW$31</f>
        <v>0</v>
      </c>
      <c r="EW6" s="10">
        <f t="shared" si="133"/>
        <v>0</v>
      </c>
      <c r="EX6" s="10">
        <f t="shared" ref="EX6" si="248">$B6/$B$31*$D6*EY$31</f>
        <v>0</v>
      </c>
      <c r="EY6" s="10">
        <f t="shared" si="133"/>
        <v>0</v>
      </c>
      <c r="EZ6" s="10">
        <f t="shared" ref="EZ6" si="249">$B6/$B$31*$D6*FA$31</f>
        <v>0</v>
      </c>
      <c r="FA6" s="10">
        <f t="shared" si="133"/>
        <v>0</v>
      </c>
      <c r="FB6" s="10">
        <f t="shared" ref="FB6" si="250">$B6/$B$31*$D6*FC$31</f>
        <v>0</v>
      </c>
      <c r="FC6" s="10">
        <f t="shared" si="133"/>
        <v>0</v>
      </c>
      <c r="FD6" s="10">
        <f t="shared" ref="FD6" si="251">$B6/$B$31*$D6*FE$31</f>
        <v>0</v>
      </c>
      <c r="FE6" s="10">
        <f t="shared" si="133"/>
        <v>0</v>
      </c>
      <c r="FF6" s="10">
        <f t="shared" ref="FF6" si="252">$B6/$B$31*$D6*FG$31</f>
        <v>0</v>
      </c>
      <c r="FG6" s="10">
        <f t="shared" si="133"/>
        <v>0</v>
      </c>
      <c r="FH6" s="10">
        <f t="shared" ref="FH6" si="253">$B6/$B$31*$D6*FI$31</f>
        <v>0</v>
      </c>
      <c r="FI6" s="10">
        <f t="shared" si="133"/>
        <v>0</v>
      </c>
      <c r="FJ6" s="10">
        <f t="shared" ref="FJ6" si="254">$B6/$B$31*$D6*FK$31</f>
        <v>0</v>
      </c>
      <c r="FK6" s="10">
        <f t="shared" si="133"/>
        <v>0</v>
      </c>
      <c r="FL6" s="10">
        <f t="shared" ref="FL6" si="255">$B6/$B$31*$D6*FM$31</f>
        <v>0</v>
      </c>
      <c r="FM6" s="10">
        <f t="shared" si="133"/>
        <v>0</v>
      </c>
      <c r="FN6" s="10">
        <f t="shared" ref="FN6" si="256">$B6/$B$31*$D6*FO$31</f>
        <v>0</v>
      </c>
      <c r="FO6" s="10">
        <f t="shared" si="144"/>
        <v>0</v>
      </c>
      <c r="FP6" s="10">
        <f t="shared" ref="FP6" si="257">$B6/$B$31*$D6*FQ$31</f>
        <v>0</v>
      </c>
      <c r="FQ6" s="10">
        <f t="shared" si="146"/>
        <v>0</v>
      </c>
      <c r="FR6" s="10">
        <f t="shared" ref="FR6" si="258">$B6/$B$31*$D6*FS$31</f>
        <v>0</v>
      </c>
      <c r="FS6" s="10">
        <f t="shared" si="148"/>
        <v>0</v>
      </c>
      <c r="FT6" s="10">
        <f t="shared" ref="FT6" si="259">$B6/$B$31*$D6*FU$31</f>
        <v>0</v>
      </c>
      <c r="FU6" s="10">
        <f t="shared" si="150"/>
        <v>0</v>
      </c>
      <c r="FV6" s="10">
        <f t="shared" ref="FV6" si="260">$B6/$B$31*$D6*FW$31</f>
        <v>0</v>
      </c>
      <c r="FW6" s="10">
        <f t="shared" si="152"/>
        <v>0</v>
      </c>
      <c r="FX6" s="10">
        <f t="shared" ref="FX6" si="261">$B6/$B$31*$D6*FY$31</f>
        <v>0</v>
      </c>
      <c r="FY6" s="10">
        <f t="shared" si="154"/>
        <v>0</v>
      </c>
      <c r="FZ6" s="10">
        <f t="shared" ref="FZ6" si="262">$B6/$B$31*$D6*GA$31</f>
        <v>0</v>
      </c>
      <c r="GA6" s="10">
        <f t="shared" si="156"/>
        <v>0</v>
      </c>
      <c r="GB6" s="10">
        <f t="shared" ref="GB6" si="263">$B6/$B$31*$D6*GC$31</f>
        <v>0</v>
      </c>
      <c r="GC6" s="10">
        <f t="shared" si="158"/>
        <v>0</v>
      </c>
      <c r="GD6" s="10">
        <f t="shared" ref="GD6" si="264">$B6/$B$31*$D6*GE$31</f>
        <v>0</v>
      </c>
      <c r="GE6" s="10">
        <f t="shared" si="160"/>
        <v>0</v>
      </c>
      <c r="GF6" s="10">
        <f t="shared" ref="GF6" si="265">$B6/$B$31*$D6*GG$31</f>
        <v>0</v>
      </c>
      <c r="GG6" s="10">
        <f t="shared" si="162"/>
        <v>0</v>
      </c>
      <c r="GH6" s="10">
        <f t="shared" ref="GH6" si="266">$B6/$B$31*$D6*GI$31</f>
        <v>0</v>
      </c>
      <c r="GI6" s="10">
        <f t="shared" si="164"/>
        <v>0</v>
      </c>
      <c r="GJ6" s="10">
        <f t="shared" ref="GJ6" si="267">$B6/$B$31*$D6*GK$31</f>
        <v>0</v>
      </c>
      <c r="GK6" s="10">
        <f t="shared" si="166"/>
        <v>0</v>
      </c>
      <c r="GL6" s="10">
        <f t="shared" ref="GL6" si="268">$B6/$B$31*$D6*GM$31</f>
        <v>0</v>
      </c>
      <c r="GM6" s="10">
        <f t="shared" si="168"/>
        <v>0</v>
      </c>
      <c r="GN6" s="10">
        <f t="shared" ref="GN6" si="269">$B6/$B$31*$D6*GO$31</f>
        <v>0</v>
      </c>
      <c r="GO6" s="10">
        <f t="shared" si="170"/>
        <v>0</v>
      </c>
      <c r="GP6" s="10">
        <f t="shared" ref="GP6" si="270">$B6/$B$31*$D6*GQ$31</f>
        <v>0</v>
      </c>
      <c r="GQ6" s="10">
        <f t="shared" si="172"/>
        <v>0</v>
      </c>
      <c r="GR6" s="10">
        <f t="shared" ref="GR6" si="271">$B6/$B$31*$D6*GS$31</f>
        <v>0</v>
      </c>
      <c r="GS6" s="10">
        <f t="shared" si="174"/>
        <v>0</v>
      </c>
      <c r="GT6" s="10">
        <f t="shared" ref="GT6" si="272">$B6/$B$31*$D6*GU$31</f>
        <v>0</v>
      </c>
      <c r="GU6" s="10">
        <f t="shared" si="176"/>
        <v>0</v>
      </c>
      <c r="GV6" s="10">
        <f t="shared" ref="GV6" si="273">$B6/$B$31*$D6*GW$31</f>
        <v>0</v>
      </c>
      <c r="GW6" s="10">
        <f t="shared" si="178"/>
        <v>0</v>
      </c>
      <c r="GX6" s="10">
        <f t="shared" ref="GX6" si="274">$B6/$B$31*$D6*GY$31</f>
        <v>0</v>
      </c>
      <c r="GY6" s="10">
        <f t="shared" si="180"/>
        <v>0</v>
      </c>
      <c r="GZ6" s="10">
        <f t="shared" ref="GZ6" si="275">$B6/$B$31*$D6*HA$31</f>
        <v>0</v>
      </c>
      <c r="HA6" s="10">
        <f t="shared" si="182"/>
        <v>0</v>
      </c>
      <c r="HB6" s="10">
        <f t="shared" ref="HB6" si="276">$B6/$B$31*$D6*HC$31</f>
        <v>0</v>
      </c>
      <c r="HC6" s="10">
        <f t="shared" si="184"/>
        <v>0</v>
      </c>
      <c r="HD6" s="10">
        <f t="shared" ref="HD6" si="277">$B6/$B$31*$D6*HE$31</f>
        <v>0</v>
      </c>
      <c r="HE6" s="10">
        <f t="shared" si="186"/>
        <v>0</v>
      </c>
      <c r="HF6" s="10">
        <f t="shared" ref="HF6" si="278">$B6/$B$31*$D6*HG$31</f>
        <v>0</v>
      </c>
      <c r="HG6" s="10">
        <f t="shared" si="188"/>
        <v>0</v>
      </c>
      <c r="HH6" s="10">
        <f t="shared" ref="HH6" si="279">$B6/$B$31*$D6*HI$31</f>
        <v>0</v>
      </c>
      <c r="HI6" s="10">
        <f t="shared" si="190"/>
        <v>0</v>
      </c>
      <c r="HJ6" s="10">
        <f t="shared" ref="HJ6" si="280">$B6/$B$31*$D6*HK$31</f>
        <v>0</v>
      </c>
      <c r="HK6" s="10">
        <f t="shared" si="192"/>
        <v>0</v>
      </c>
      <c r="HL6" s="10">
        <f t="shared" ref="HL6" si="281">$B6/$B$31*$D6*HM$31</f>
        <v>0</v>
      </c>
      <c r="HM6" s="10">
        <f t="shared" si="194"/>
        <v>0</v>
      </c>
      <c r="HN6" s="10">
        <f t="shared" ref="HN6" si="282">$B6/$B$31*$D6*HO$31</f>
        <v>0</v>
      </c>
      <c r="HO6" s="10">
        <f t="shared" si="196"/>
        <v>0</v>
      </c>
      <c r="HP6" s="10">
        <f t="shared" ref="HP6" si="283">$B6/$B$31*$D6*HQ$31</f>
        <v>0</v>
      </c>
      <c r="HQ6" s="10">
        <f t="shared" si="198"/>
        <v>0</v>
      </c>
      <c r="HR6" s="10">
        <f t="shared" ref="HR6" si="284">$B6/$B$31*$D6*HS$31</f>
        <v>0</v>
      </c>
      <c r="HS6" s="10">
        <f t="shared" si="200"/>
        <v>0</v>
      </c>
      <c r="HT6" s="10">
        <f t="shared" ref="HT6" si="285">$B6/$B$31*$D6*HU$31</f>
        <v>0</v>
      </c>
      <c r="HU6" s="10">
        <f t="shared" si="202"/>
        <v>0</v>
      </c>
      <c r="HV6" s="10"/>
      <c r="HW6" s="10"/>
      <c r="HX6" s="10"/>
    </row>
    <row r="7" spans="1:232" x14ac:dyDescent="0.3">
      <c r="A7" s="18">
        <f>参数调整!A7</f>
        <v>4</v>
      </c>
      <c r="B7" s="170">
        <f>参数调整!B7</f>
        <v>1</v>
      </c>
      <c r="C7" s="10">
        <f>参数调整!F7</f>
        <v>0.8</v>
      </c>
      <c r="D7" s="10">
        <f>参数调整!G7</f>
        <v>1.1000000000000001</v>
      </c>
      <c r="E7" s="15">
        <f>基本属性!B7</f>
        <v>60</v>
      </c>
      <c r="F7" s="15">
        <f>基本属性!C7</f>
        <v>0</v>
      </c>
      <c r="G7" s="271"/>
      <c r="H7" s="10">
        <f t="shared" si="45"/>
        <v>1003191974.4642043</v>
      </c>
      <c r="I7" s="188">
        <f t="shared" si="0"/>
        <v>729594163.24669397</v>
      </c>
      <c r="J7" s="10">
        <f t="shared" si="1"/>
        <v>41493.906458661462</v>
      </c>
      <c r="K7" s="10">
        <f t="shared" si="2"/>
        <v>30177.386515390153</v>
      </c>
      <c r="L7" s="10">
        <f t="shared" si="46"/>
        <v>0.55244270374604121</v>
      </c>
      <c r="M7" s="10">
        <f t="shared" si="47"/>
        <v>0.40177651181530272</v>
      </c>
      <c r="N7" s="10">
        <f t="shared" si="48"/>
        <v>4.0187870497036027</v>
      </c>
      <c r="O7" s="10">
        <f t="shared" si="49"/>
        <v>2.922754217966256</v>
      </c>
      <c r="P7" s="10">
        <f t="shared" si="3"/>
        <v>77.412980696154435</v>
      </c>
      <c r="Q7" s="10">
        <f t="shared" si="4"/>
        <v>56.300349597203223</v>
      </c>
      <c r="R7" s="10">
        <f t="shared" si="5"/>
        <v>0.24477884176926584</v>
      </c>
      <c r="S7" s="10">
        <f t="shared" si="6"/>
        <v>0.17802097583219334</v>
      </c>
      <c r="T7" s="10">
        <f t="shared" si="7"/>
        <v>0.3655225032709542</v>
      </c>
      <c r="U7" s="10">
        <f t="shared" si="8"/>
        <v>0.2658345478334212</v>
      </c>
      <c r="V7" s="10">
        <f t="shared" si="9"/>
        <v>0.3655225032709542</v>
      </c>
      <c r="W7" s="10">
        <f t="shared" si="10"/>
        <v>0.2658345478334212</v>
      </c>
      <c r="X7" s="10">
        <f t="shared" si="11"/>
        <v>0.3655225032709542</v>
      </c>
      <c r="Y7" s="10">
        <f t="shared" si="12"/>
        <v>0.2658345478334212</v>
      </c>
      <c r="Z7" s="10">
        <f t="shared" si="13"/>
        <v>0.3655225032709542</v>
      </c>
      <c r="AA7" s="10">
        <f t="shared" si="14"/>
        <v>0.2658345478334212</v>
      </c>
      <c r="AB7" s="10">
        <f t="shared" si="15"/>
        <v>9.369813041495668</v>
      </c>
      <c r="AC7" s="10">
        <f t="shared" si="16"/>
        <v>6.8144094847241217</v>
      </c>
      <c r="AD7" s="10">
        <f t="shared" si="17"/>
        <v>2.806962011996212</v>
      </c>
      <c r="AE7" s="10">
        <f t="shared" si="18"/>
        <v>2.0414269178154267</v>
      </c>
      <c r="AF7" s="10">
        <f t="shared" si="19"/>
        <v>1.403481005998106</v>
      </c>
      <c r="AG7" s="10">
        <f t="shared" si="20"/>
        <v>1.0207134589077134</v>
      </c>
      <c r="AH7" s="10">
        <f t="shared" si="21"/>
        <v>0.28069620119962119</v>
      </c>
      <c r="AI7" s="10">
        <f t="shared" si="22"/>
        <v>0.20414269178154268</v>
      </c>
      <c r="AJ7" s="10">
        <f t="shared" si="23"/>
        <v>3.207853866580832</v>
      </c>
      <c r="AK7" s="10">
        <f t="shared" si="24"/>
        <v>2.3329846302406048</v>
      </c>
      <c r="AL7" s="10">
        <f t="shared" si="25"/>
        <v>1.603926933290416</v>
      </c>
      <c r="AM7" s="10">
        <f t="shared" si="26"/>
        <v>1.1664923151203024</v>
      </c>
      <c r="AN7" s="10">
        <f t="shared" si="27"/>
        <v>0.3207853866580832</v>
      </c>
      <c r="AO7" s="10">
        <f t="shared" si="28"/>
        <v>0.23329846302406049</v>
      </c>
      <c r="AP7" s="10">
        <f t="shared" si="29"/>
        <v>0.15219293148239307</v>
      </c>
      <c r="AQ7" s="10">
        <f t="shared" si="30"/>
        <v>0.11068576835083131</v>
      </c>
      <c r="AR7" s="10">
        <f t="shared" si="31"/>
        <v>2.0088825590765138E-3</v>
      </c>
      <c r="AS7" s="10">
        <f t="shared" si="32"/>
        <v>1.4610054975101917E-3</v>
      </c>
      <c r="AT7" s="10">
        <f t="shared" si="33"/>
        <v>2.0088825590765138E-3</v>
      </c>
      <c r="AU7" s="10">
        <f t="shared" si="34"/>
        <v>1.4610054975101917E-3</v>
      </c>
      <c r="AV7" s="10">
        <f t="shared" si="35"/>
        <v>1.8079943031688622E-2</v>
      </c>
      <c r="AW7" s="10">
        <f t="shared" si="36"/>
        <v>1.3149049477591723E-2</v>
      </c>
      <c r="AX7" s="10">
        <f t="shared" si="37"/>
        <v>5.5244270374604124E-2</v>
      </c>
      <c r="AY7" s="10">
        <f t="shared" si="38"/>
        <v>4.0177651181530272E-2</v>
      </c>
      <c r="AZ7" s="10">
        <f t="shared" si="39"/>
        <v>5.022206397691284E-3</v>
      </c>
      <c r="BA7" s="10">
        <f t="shared" si="40"/>
        <v>3.6525137437754792E-3</v>
      </c>
      <c r="BB7" s="10">
        <f t="shared" si="41"/>
        <v>5.022206397691284E-3</v>
      </c>
      <c r="BC7" s="10">
        <f t="shared" si="42"/>
        <v>3.6525137437754792E-3</v>
      </c>
      <c r="BD7" s="10">
        <f t="shared" si="43"/>
        <v>2.0088825590765136E-2</v>
      </c>
      <c r="BE7" s="10">
        <f t="shared" si="44"/>
        <v>1.4610054975101917E-2</v>
      </c>
      <c r="BF7" s="10">
        <f t="shared" si="50"/>
        <v>2.5111031988456423E-2</v>
      </c>
      <c r="BG7" s="10">
        <f t="shared" si="51"/>
        <v>1.8262568718877395E-2</v>
      </c>
      <c r="BH7" s="10">
        <f t="shared" si="52"/>
        <v>0</v>
      </c>
      <c r="BI7" s="10">
        <f t="shared" si="53"/>
        <v>0</v>
      </c>
      <c r="BJ7" s="10">
        <f t="shared" si="52"/>
        <v>0</v>
      </c>
      <c r="BK7" s="10">
        <f t="shared" si="53"/>
        <v>0</v>
      </c>
      <c r="BL7" s="10">
        <f t="shared" ref="BL7" si="286">$B7/$B$31*$D7*BM$31</f>
        <v>0</v>
      </c>
      <c r="BM7" s="10">
        <f t="shared" si="53"/>
        <v>0</v>
      </c>
      <c r="BN7" s="10">
        <f t="shared" ref="BN7" si="287">$B7/$B$31*$D7*BO$31</f>
        <v>0</v>
      </c>
      <c r="BO7" s="10">
        <f t="shared" si="53"/>
        <v>0</v>
      </c>
      <c r="BP7" s="10">
        <f t="shared" ref="BP7" si="288">$B7/$B$31*$D7*BQ$31</f>
        <v>0</v>
      </c>
      <c r="BQ7" s="10">
        <f t="shared" si="53"/>
        <v>0</v>
      </c>
      <c r="BR7" s="10">
        <f t="shared" ref="BR7" si="289">$B7/$B$31*$D7*BS$31</f>
        <v>0</v>
      </c>
      <c r="BS7" s="10">
        <f t="shared" si="53"/>
        <v>0</v>
      </c>
      <c r="BT7" s="10">
        <f t="shared" ref="BT7" si="290">$B7/$B$31*$D7*BU$31</f>
        <v>0</v>
      </c>
      <c r="BU7" s="10">
        <f t="shared" si="53"/>
        <v>0</v>
      </c>
      <c r="BV7" s="10">
        <f t="shared" ref="BV7" si="291">$B7/$B$31*$D7*BW$31</f>
        <v>0</v>
      </c>
      <c r="BW7" s="10">
        <f t="shared" si="53"/>
        <v>0</v>
      </c>
      <c r="BX7" s="10">
        <f t="shared" ref="BX7" si="292">$B7/$B$31*$D7*BY$31</f>
        <v>0</v>
      </c>
      <c r="BY7" s="10">
        <f t="shared" si="53"/>
        <v>0</v>
      </c>
      <c r="BZ7" s="10">
        <f t="shared" ref="BZ7" si="293">$B7/$B$31*$D7*CA$31</f>
        <v>0</v>
      </c>
      <c r="CA7" s="10">
        <f t="shared" si="53"/>
        <v>0</v>
      </c>
      <c r="CB7" s="10">
        <f t="shared" ref="CB7" si="294">$B7/$B$31*$D7*CC$31</f>
        <v>0</v>
      </c>
      <c r="CC7" s="10">
        <f t="shared" si="63"/>
        <v>0</v>
      </c>
      <c r="CD7" s="10">
        <f t="shared" ref="CD7" si="295">$B7/$B$31*$D7*CE$31</f>
        <v>0</v>
      </c>
      <c r="CE7" s="10">
        <f t="shared" si="65"/>
        <v>0</v>
      </c>
      <c r="CF7" s="10">
        <f t="shared" ref="CF7" si="296">$B7/$B$31*$D7*CG$31</f>
        <v>0</v>
      </c>
      <c r="CG7" s="10">
        <f t="shared" si="67"/>
        <v>0</v>
      </c>
      <c r="CH7" s="10">
        <f t="shared" ref="CH7" si="297">$B7/$B$31*$D7*CI$31</f>
        <v>0</v>
      </c>
      <c r="CI7" s="10">
        <f t="shared" si="69"/>
        <v>0</v>
      </c>
      <c r="CJ7" s="10">
        <f t="shared" ref="CJ7" si="298">$B7/$B$31*$D7*CK$31</f>
        <v>0</v>
      </c>
      <c r="CK7" s="10">
        <f t="shared" si="71"/>
        <v>0</v>
      </c>
      <c r="CL7" s="10">
        <f t="shared" ref="CL7" si="299">$B7/$B$31*$D7*CM$31</f>
        <v>0</v>
      </c>
      <c r="CM7" s="10">
        <f t="shared" si="73"/>
        <v>0</v>
      </c>
      <c r="CN7" s="10">
        <f t="shared" ref="CN7" si="300">$B7/$B$31*$D7*CO$31</f>
        <v>0</v>
      </c>
      <c r="CO7" s="10">
        <f t="shared" si="75"/>
        <v>0</v>
      </c>
      <c r="CP7" s="10">
        <f t="shared" ref="CP7" si="301">$B7/$B$31*$D7*CQ$31</f>
        <v>0</v>
      </c>
      <c r="CQ7" s="10">
        <f t="shared" si="77"/>
        <v>0</v>
      </c>
      <c r="CR7" s="10">
        <f t="shared" ref="CR7" si="302">$B7/$B$31*$D7*CS$31</f>
        <v>0</v>
      </c>
      <c r="CS7" s="10">
        <f t="shared" si="79"/>
        <v>0</v>
      </c>
      <c r="CT7" s="10">
        <f t="shared" ref="CT7" si="303">$B7/$B$31*$D7*CU$31</f>
        <v>0</v>
      </c>
      <c r="CU7" s="10">
        <f t="shared" si="81"/>
        <v>0</v>
      </c>
      <c r="CV7" s="10">
        <f t="shared" ref="CV7" si="304">$B7/$B$31*$D7*CW$31</f>
        <v>0</v>
      </c>
      <c r="CW7" s="10">
        <f t="shared" si="83"/>
        <v>0</v>
      </c>
      <c r="CX7" s="10">
        <f t="shared" ref="CX7" si="305">$B7/$B$31*$D7*CY$31</f>
        <v>0</v>
      </c>
      <c r="CY7" s="10">
        <f t="shared" si="85"/>
        <v>0</v>
      </c>
      <c r="CZ7" s="10">
        <f t="shared" ref="CZ7" si="306">$B7/$B$31*$D7*DA$31</f>
        <v>0</v>
      </c>
      <c r="DA7" s="10">
        <f t="shared" si="87"/>
        <v>0</v>
      </c>
      <c r="DB7" s="10">
        <f t="shared" ref="DB7" si="307">$B7/$B$31*$D7*DC$31</f>
        <v>0</v>
      </c>
      <c r="DC7" s="10">
        <f t="shared" si="89"/>
        <v>0</v>
      </c>
      <c r="DD7" s="10">
        <f t="shared" ref="DD7" si="308">$B7/$B$31*$D7*DE$31</f>
        <v>0</v>
      </c>
      <c r="DE7" s="10">
        <f t="shared" si="91"/>
        <v>0</v>
      </c>
      <c r="DF7" s="10">
        <f t="shared" ref="DF7" si="309">$B7/$B$31*$D7*DG$31</f>
        <v>0</v>
      </c>
      <c r="DG7" s="10">
        <f t="shared" si="93"/>
        <v>0</v>
      </c>
      <c r="DH7" s="10">
        <f t="shared" ref="DH7" si="310">$B7/$B$31*$D7*DI$31</f>
        <v>0</v>
      </c>
      <c r="DI7" s="10">
        <f t="shared" si="95"/>
        <v>0</v>
      </c>
      <c r="DJ7" s="10">
        <f t="shared" ref="DJ7" si="311">$B7/$B$31*$D7*DK$31</f>
        <v>0</v>
      </c>
      <c r="DK7" s="10">
        <f t="shared" si="97"/>
        <v>0</v>
      </c>
      <c r="DL7" s="10">
        <f t="shared" ref="DL7" si="312">$B7/$B$31*$D7*DM$31</f>
        <v>0</v>
      </c>
      <c r="DM7" s="10">
        <f t="shared" si="99"/>
        <v>0</v>
      </c>
      <c r="DN7" s="10">
        <f t="shared" ref="DN7" si="313">$B7/$B$31*$D7*DO$31</f>
        <v>0</v>
      </c>
      <c r="DO7" s="10">
        <f t="shared" si="101"/>
        <v>0</v>
      </c>
      <c r="DP7" s="10">
        <f t="shared" ref="DP7" si="314">$B7/$B$31*$D7*DQ$31</f>
        <v>0</v>
      </c>
      <c r="DQ7" s="10">
        <f t="shared" si="103"/>
        <v>0</v>
      </c>
      <c r="DR7" s="10">
        <f t="shared" ref="DR7" si="315">$B7/$B$31*$D7*DS$31</f>
        <v>0</v>
      </c>
      <c r="DS7" s="10">
        <f t="shared" si="105"/>
        <v>0</v>
      </c>
      <c r="DT7" s="10">
        <f t="shared" ref="DT7" si="316">$B7/$B$31*$D7*DU$31</f>
        <v>0</v>
      </c>
      <c r="DU7" s="10">
        <f t="shared" si="107"/>
        <v>0</v>
      </c>
      <c r="DV7" s="10">
        <f t="shared" ref="DV7" si="317">$B7/$B$31*$D7*DW$31</f>
        <v>0</v>
      </c>
      <c r="DW7" s="10">
        <f t="shared" si="109"/>
        <v>0</v>
      </c>
      <c r="DX7" s="10">
        <f t="shared" ref="DX7" si="318">$B7/$B$31*$D7*DY$31</f>
        <v>0</v>
      </c>
      <c r="DY7" s="10">
        <f t="shared" si="111"/>
        <v>0</v>
      </c>
      <c r="DZ7" s="10">
        <f t="shared" ref="DZ7" si="319">$B7/$B$31*$D7*EA$31</f>
        <v>0</v>
      </c>
      <c r="EA7" s="10">
        <f t="shared" si="113"/>
        <v>0</v>
      </c>
      <c r="EB7" s="10">
        <f t="shared" ref="EB7" si="320">$B7/$B$31*$D7*EC$31</f>
        <v>0</v>
      </c>
      <c r="EC7" s="10">
        <f t="shared" si="115"/>
        <v>0</v>
      </c>
      <c r="ED7" s="10">
        <f t="shared" ref="ED7" si="321">$B7/$B$31*$D7*EE$31</f>
        <v>0</v>
      </c>
      <c r="EE7" s="10">
        <f t="shared" si="117"/>
        <v>0</v>
      </c>
      <c r="EF7" s="10">
        <f t="shared" ref="EF7" si="322">$B7/$B$31*$D7*EG$31</f>
        <v>0</v>
      </c>
      <c r="EG7" s="10">
        <f t="shared" si="119"/>
        <v>0</v>
      </c>
      <c r="EH7" s="10">
        <f t="shared" ref="EH7" si="323">$B7/$B$31*$D7*EI$31</f>
        <v>0</v>
      </c>
      <c r="EI7" s="10">
        <f t="shared" si="121"/>
        <v>0</v>
      </c>
      <c r="EJ7" s="10">
        <f t="shared" ref="EJ7" si="324">$B7/$B$31*$D7*EK$31</f>
        <v>0</v>
      </c>
      <c r="EK7" s="10">
        <f t="shared" si="123"/>
        <v>0</v>
      </c>
      <c r="EL7" s="10">
        <f t="shared" ref="EL7" si="325">$B7/$B$31*$D7*EM$31</f>
        <v>0</v>
      </c>
      <c r="EM7" s="10">
        <f t="shared" si="125"/>
        <v>0</v>
      </c>
      <c r="EN7" s="10">
        <f t="shared" ref="EN7" si="326">$B7/$B$31*$D7*EO$31</f>
        <v>0</v>
      </c>
      <c r="EO7" s="10">
        <f t="shared" si="127"/>
        <v>0</v>
      </c>
      <c r="EP7" s="10">
        <f t="shared" ref="EP7" si="327">$B7/$B$31*$D7*EQ$31</f>
        <v>0</v>
      </c>
      <c r="EQ7" s="10">
        <f t="shared" si="129"/>
        <v>0</v>
      </c>
      <c r="ER7" s="10">
        <f t="shared" ref="ER7" si="328">$B7/$B$31*$D7*ES$31</f>
        <v>0</v>
      </c>
      <c r="ES7" s="10">
        <f t="shared" si="131"/>
        <v>0</v>
      </c>
      <c r="ET7" s="10">
        <f t="shared" ref="ET7" si="329">$B7/$B$31*$D7*EU$31</f>
        <v>0</v>
      </c>
      <c r="EU7" s="10">
        <f t="shared" si="133"/>
        <v>0</v>
      </c>
      <c r="EV7" s="10">
        <f t="shared" ref="EV7" si="330">$B7/$B$31*$D7*EW$31</f>
        <v>0</v>
      </c>
      <c r="EW7" s="10">
        <f t="shared" si="133"/>
        <v>0</v>
      </c>
      <c r="EX7" s="10">
        <f t="shared" ref="EX7" si="331">$B7/$B$31*$D7*EY$31</f>
        <v>0</v>
      </c>
      <c r="EY7" s="10">
        <f t="shared" si="133"/>
        <v>0</v>
      </c>
      <c r="EZ7" s="10">
        <f t="shared" ref="EZ7" si="332">$B7/$B$31*$D7*FA$31</f>
        <v>0</v>
      </c>
      <c r="FA7" s="10">
        <f t="shared" si="133"/>
        <v>0</v>
      </c>
      <c r="FB7" s="10">
        <f t="shared" ref="FB7" si="333">$B7/$B$31*$D7*FC$31</f>
        <v>0</v>
      </c>
      <c r="FC7" s="10">
        <f t="shared" si="133"/>
        <v>0</v>
      </c>
      <c r="FD7" s="10">
        <f t="shared" ref="FD7" si="334">$B7/$B$31*$D7*FE$31</f>
        <v>0</v>
      </c>
      <c r="FE7" s="10">
        <f t="shared" si="133"/>
        <v>0</v>
      </c>
      <c r="FF7" s="10">
        <f t="shared" ref="FF7" si="335">$B7/$B$31*$D7*FG$31</f>
        <v>0</v>
      </c>
      <c r="FG7" s="10">
        <f t="shared" si="133"/>
        <v>0</v>
      </c>
      <c r="FH7" s="10">
        <f t="shared" ref="FH7" si="336">$B7/$B$31*$D7*FI$31</f>
        <v>0</v>
      </c>
      <c r="FI7" s="10">
        <f t="shared" si="133"/>
        <v>0</v>
      </c>
      <c r="FJ7" s="10">
        <f t="shared" ref="FJ7" si="337">$B7/$B$31*$D7*FK$31</f>
        <v>0</v>
      </c>
      <c r="FK7" s="10">
        <f t="shared" si="133"/>
        <v>0</v>
      </c>
      <c r="FL7" s="10">
        <f t="shared" ref="FL7" si="338">$B7/$B$31*$D7*FM$31</f>
        <v>0</v>
      </c>
      <c r="FM7" s="10">
        <f t="shared" si="133"/>
        <v>0</v>
      </c>
      <c r="FN7" s="10">
        <f t="shared" ref="FN7" si="339">$B7/$B$31*$D7*FO$31</f>
        <v>0</v>
      </c>
      <c r="FO7" s="10">
        <f t="shared" si="144"/>
        <v>0</v>
      </c>
      <c r="FP7" s="10">
        <f t="shared" ref="FP7" si="340">$B7/$B$31*$D7*FQ$31</f>
        <v>0</v>
      </c>
      <c r="FQ7" s="10">
        <f t="shared" si="146"/>
        <v>0</v>
      </c>
      <c r="FR7" s="10">
        <f t="shared" ref="FR7" si="341">$B7/$B$31*$D7*FS$31</f>
        <v>0</v>
      </c>
      <c r="FS7" s="10">
        <f t="shared" si="148"/>
        <v>0</v>
      </c>
      <c r="FT7" s="10">
        <f t="shared" ref="FT7" si="342">$B7/$B$31*$D7*FU$31</f>
        <v>0</v>
      </c>
      <c r="FU7" s="10">
        <f t="shared" si="150"/>
        <v>0</v>
      </c>
      <c r="FV7" s="10">
        <f t="shared" ref="FV7" si="343">$B7/$B$31*$D7*FW$31</f>
        <v>0</v>
      </c>
      <c r="FW7" s="10">
        <f t="shared" si="152"/>
        <v>0</v>
      </c>
      <c r="FX7" s="10">
        <f t="shared" ref="FX7" si="344">$B7/$B$31*$D7*FY$31</f>
        <v>0</v>
      </c>
      <c r="FY7" s="10">
        <f t="shared" si="154"/>
        <v>0</v>
      </c>
      <c r="FZ7" s="10">
        <f t="shared" ref="FZ7" si="345">$B7/$B$31*$D7*GA$31</f>
        <v>0</v>
      </c>
      <c r="GA7" s="10">
        <f t="shared" si="156"/>
        <v>0</v>
      </c>
      <c r="GB7" s="10">
        <f t="shared" ref="GB7" si="346">$B7/$B$31*$D7*GC$31</f>
        <v>0</v>
      </c>
      <c r="GC7" s="10">
        <f t="shared" si="158"/>
        <v>0</v>
      </c>
      <c r="GD7" s="10">
        <f t="shared" ref="GD7" si="347">$B7/$B$31*$D7*GE$31</f>
        <v>0</v>
      </c>
      <c r="GE7" s="10">
        <f t="shared" si="160"/>
        <v>0</v>
      </c>
      <c r="GF7" s="10">
        <f t="shared" ref="GF7" si="348">$B7/$B$31*$D7*GG$31</f>
        <v>0</v>
      </c>
      <c r="GG7" s="10">
        <f t="shared" si="162"/>
        <v>0</v>
      </c>
      <c r="GH7" s="10">
        <f t="shared" ref="GH7" si="349">$B7/$B$31*$D7*GI$31</f>
        <v>0</v>
      </c>
      <c r="GI7" s="10">
        <f t="shared" si="164"/>
        <v>0</v>
      </c>
      <c r="GJ7" s="10">
        <f t="shared" ref="GJ7" si="350">$B7/$B$31*$D7*GK$31</f>
        <v>0</v>
      </c>
      <c r="GK7" s="10">
        <f t="shared" si="166"/>
        <v>0</v>
      </c>
      <c r="GL7" s="10">
        <f t="shared" ref="GL7" si="351">$B7/$B$31*$D7*GM$31</f>
        <v>0</v>
      </c>
      <c r="GM7" s="10">
        <f t="shared" si="168"/>
        <v>0</v>
      </c>
      <c r="GN7" s="10">
        <f t="shared" ref="GN7" si="352">$B7/$B$31*$D7*GO$31</f>
        <v>0</v>
      </c>
      <c r="GO7" s="10">
        <f t="shared" si="170"/>
        <v>0</v>
      </c>
      <c r="GP7" s="10">
        <f t="shared" ref="GP7" si="353">$B7/$B$31*$D7*GQ$31</f>
        <v>0</v>
      </c>
      <c r="GQ7" s="10">
        <f t="shared" si="172"/>
        <v>0</v>
      </c>
      <c r="GR7" s="10">
        <f t="shared" ref="GR7" si="354">$B7/$B$31*$D7*GS$31</f>
        <v>0</v>
      </c>
      <c r="GS7" s="10">
        <f t="shared" si="174"/>
        <v>0</v>
      </c>
      <c r="GT7" s="10">
        <f t="shared" ref="GT7" si="355">$B7/$B$31*$D7*GU$31</f>
        <v>0</v>
      </c>
      <c r="GU7" s="10">
        <f t="shared" si="176"/>
        <v>0</v>
      </c>
      <c r="GV7" s="10">
        <f t="shared" ref="GV7" si="356">$B7/$B$31*$D7*GW$31</f>
        <v>0</v>
      </c>
      <c r="GW7" s="10">
        <f t="shared" si="178"/>
        <v>0</v>
      </c>
      <c r="GX7" s="10">
        <f t="shared" ref="GX7" si="357">$B7/$B$31*$D7*GY$31</f>
        <v>0</v>
      </c>
      <c r="GY7" s="10">
        <f t="shared" si="180"/>
        <v>0</v>
      </c>
      <c r="GZ7" s="10">
        <f t="shared" ref="GZ7" si="358">$B7/$B$31*$D7*HA$31</f>
        <v>0</v>
      </c>
      <c r="HA7" s="10">
        <f t="shared" si="182"/>
        <v>0</v>
      </c>
      <c r="HB7" s="10">
        <f t="shared" ref="HB7" si="359">$B7/$B$31*$D7*HC$31</f>
        <v>0</v>
      </c>
      <c r="HC7" s="10">
        <f t="shared" si="184"/>
        <v>0</v>
      </c>
      <c r="HD7" s="10">
        <f t="shared" ref="HD7" si="360">$B7/$B$31*$D7*HE$31</f>
        <v>0</v>
      </c>
      <c r="HE7" s="10">
        <f t="shared" si="186"/>
        <v>0</v>
      </c>
      <c r="HF7" s="10">
        <f t="shared" ref="HF7" si="361">$B7/$B$31*$D7*HG$31</f>
        <v>0</v>
      </c>
      <c r="HG7" s="10">
        <f t="shared" si="188"/>
        <v>0</v>
      </c>
      <c r="HH7" s="10">
        <f t="shared" ref="HH7" si="362">$B7/$B$31*$D7*HI$31</f>
        <v>0</v>
      </c>
      <c r="HI7" s="10">
        <f t="shared" si="190"/>
        <v>0</v>
      </c>
      <c r="HJ7" s="10">
        <f t="shared" ref="HJ7" si="363">$B7/$B$31*$D7*HK$31</f>
        <v>0</v>
      </c>
      <c r="HK7" s="10">
        <f t="shared" si="192"/>
        <v>0</v>
      </c>
      <c r="HL7" s="10">
        <f t="shared" ref="HL7" si="364">$B7/$B$31*$D7*HM$31</f>
        <v>0</v>
      </c>
      <c r="HM7" s="10">
        <f t="shared" si="194"/>
        <v>0</v>
      </c>
      <c r="HN7" s="10">
        <f t="shared" ref="HN7" si="365">$B7/$B$31*$D7*HO$31</f>
        <v>0</v>
      </c>
      <c r="HO7" s="10">
        <f t="shared" si="196"/>
        <v>0</v>
      </c>
      <c r="HP7" s="10">
        <f t="shared" ref="HP7" si="366">$B7/$B$31*$D7*HQ$31</f>
        <v>0</v>
      </c>
      <c r="HQ7" s="10">
        <f t="shared" si="198"/>
        <v>0</v>
      </c>
      <c r="HR7" s="10">
        <f t="shared" ref="HR7" si="367">$B7/$B$31*$D7*HS$31</f>
        <v>0</v>
      </c>
      <c r="HS7" s="10">
        <f t="shared" si="200"/>
        <v>0</v>
      </c>
      <c r="HT7" s="10">
        <f t="shared" ref="HT7" si="368">$B7/$B$31*$D7*HU$31</f>
        <v>0</v>
      </c>
      <c r="HU7" s="10">
        <f t="shared" si="202"/>
        <v>0</v>
      </c>
      <c r="HV7" s="10"/>
      <c r="HW7" s="10"/>
      <c r="HX7" s="10"/>
    </row>
    <row r="8" spans="1:232" x14ac:dyDescent="0.3">
      <c r="A8" s="18">
        <f>参数调整!A8</f>
        <v>5</v>
      </c>
      <c r="B8" s="170">
        <f>参数调整!B8</f>
        <v>1.25</v>
      </c>
      <c r="C8" s="10">
        <f>参数调整!F8</f>
        <v>0.9</v>
      </c>
      <c r="D8" s="10">
        <f>参数调整!G8</f>
        <v>1.2</v>
      </c>
      <c r="E8" s="15">
        <f>基本属性!B8</f>
        <v>65</v>
      </c>
      <c r="F8" s="15">
        <f>基本属性!C8</f>
        <v>0</v>
      </c>
      <c r="G8" s="271"/>
      <c r="H8" s="10">
        <f t="shared" si="45"/>
        <v>1367989056.0875514</v>
      </c>
      <c r="I8" s="188">
        <f t="shared" si="0"/>
        <v>1025991792.0656635</v>
      </c>
      <c r="J8" s="10">
        <f t="shared" si="1"/>
        <v>56582.599716356541</v>
      </c>
      <c r="K8" s="10">
        <f t="shared" si="2"/>
        <v>42436.949787267404</v>
      </c>
      <c r="L8" s="10">
        <f t="shared" si="46"/>
        <v>0.75333095965369257</v>
      </c>
      <c r="M8" s="10">
        <f t="shared" si="47"/>
        <v>0.56499821974026943</v>
      </c>
      <c r="N8" s="10">
        <f t="shared" si="48"/>
        <v>5.4801641586867307</v>
      </c>
      <c r="O8" s="10">
        <f t="shared" si="49"/>
        <v>4.1101231190150482</v>
      </c>
      <c r="P8" s="10">
        <f t="shared" si="3"/>
        <v>105.56315549475605</v>
      </c>
      <c r="Q8" s="10">
        <f t="shared" si="4"/>
        <v>79.172366621067027</v>
      </c>
      <c r="R8" s="10">
        <f t="shared" si="5"/>
        <v>0.33378932968536251</v>
      </c>
      <c r="S8" s="10">
        <f t="shared" si="6"/>
        <v>0.2503419972640219</v>
      </c>
      <c r="T8" s="10">
        <f t="shared" si="7"/>
        <v>0.4984397771876648</v>
      </c>
      <c r="U8" s="10">
        <f t="shared" si="8"/>
        <v>0.37382983289074861</v>
      </c>
      <c r="V8" s="10">
        <f t="shared" si="9"/>
        <v>0.4984397771876648</v>
      </c>
      <c r="W8" s="10">
        <f t="shared" si="10"/>
        <v>0.37382983289074861</v>
      </c>
      <c r="X8" s="10">
        <f t="shared" si="11"/>
        <v>0.4984397771876648</v>
      </c>
      <c r="Y8" s="10">
        <f t="shared" si="12"/>
        <v>0.37382983289074861</v>
      </c>
      <c r="Z8" s="10">
        <f t="shared" si="13"/>
        <v>0.4984397771876648</v>
      </c>
      <c r="AA8" s="10">
        <f t="shared" si="14"/>
        <v>0.37382983289074861</v>
      </c>
      <c r="AB8" s="10">
        <f t="shared" si="15"/>
        <v>12.77701778385773</v>
      </c>
      <c r="AC8" s="10">
        <f t="shared" si="16"/>
        <v>9.5827633378932973</v>
      </c>
      <c r="AD8" s="10">
        <f t="shared" si="17"/>
        <v>3.8276754709039253</v>
      </c>
      <c r="AE8" s="10">
        <f t="shared" si="18"/>
        <v>2.8707566031779441</v>
      </c>
      <c r="AF8" s="10">
        <f t="shared" si="19"/>
        <v>1.9138377354519627</v>
      </c>
      <c r="AG8" s="10">
        <f t="shared" si="20"/>
        <v>1.4353783015889721</v>
      </c>
      <c r="AH8" s="10">
        <f t="shared" si="21"/>
        <v>0.38276754709039251</v>
      </c>
      <c r="AI8" s="10">
        <f t="shared" si="22"/>
        <v>0.28707566031779441</v>
      </c>
      <c r="AJ8" s="10">
        <f t="shared" si="23"/>
        <v>4.3743461817011342</v>
      </c>
      <c r="AK8" s="10">
        <f t="shared" si="24"/>
        <v>3.2807596362758504</v>
      </c>
      <c r="AL8" s="10">
        <f t="shared" si="25"/>
        <v>2.1871730908505671</v>
      </c>
      <c r="AM8" s="10">
        <f t="shared" si="26"/>
        <v>1.6403798181379252</v>
      </c>
      <c r="AN8" s="10">
        <f t="shared" si="27"/>
        <v>0.43743461817011342</v>
      </c>
      <c r="AO8" s="10">
        <f t="shared" si="28"/>
        <v>0.32807596362758507</v>
      </c>
      <c r="AP8" s="10">
        <f t="shared" si="29"/>
        <v>0.20753581565780874</v>
      </c>
      <c r="AQ8" s="10">
        <f t="shared" si="30"/>
        <v>0.15565186174335655</v>
      </c>
      <c r="AR8" s="10">
        <f t="shared" si="31"/>
        <v>2.7393853078316096E-3</v>
      </c>
      <c r="AS8" s="10">
        <f t="shared" si="32"/>
        <v>2.0545389808737072E-3</v>
      </c>
      <c r="AT8" s="10">
        <f t="shared" si="33"/>
        <v>2.7393853078316096E-3</v>
      </c>
      <c r="AU8" s="10">
        <f t="shared" si="34"/>
        <v>2.0545389808737072E-3</v>
      </c>
      <c r="AV8" s="10">
        <f t="shared" si="35"/>
        <v>2.4654467770484481E-2</v>
      </c>
      <c r="AW8" s="10">
        <f t="shared" si="36"/>
        <v>1.8490850827863361E-2</v>
      </c>
      <c r="AX8" s="10">
        <f t="shared" si="37"/>
        <v>7.5333095965369259E-2</v>
      </c>
      <c r="AY8" s="10">
        <f t="shared" si="38"/>
        <v>5.6499821974026948E-2</v>
      </c>
      <c r="AZ8" s="10">
        <f t="shared" si="39"/>
        <v>6.848463269579024E-3</v>
      </c>
      <c r="BA8" s="10">
        <f t="shared" si="40"/>
        <v>5.1363474521842678E-3</v>
      </c>
      <c r="BB8" s="10">
        <f t="shared" si="41"/>
        <v>6.848463269579024E-3</v>
      </c>
      <c r="BC8" s="10">
        <f t="shared" si="42"/>
        <v>5.1363474521842678E-3</v>
      </c>
      <c r="BD8" s="10">
        <f t="shared" si="43"/>
        <v>2.7393853078316096E-2</v>
      </c>
      <c r="BE8" s="10">
        <f t="shared" si="44"/>
        <v>2.0545389808737071E-2</v>
      </c>
      <c r="BF8" s="10">
        <f t="shared" si="50"/>
        <v>3.4242316347895117E-2</v>
      </c>
      <c r="BG8" s="10">
        <f t="shared" si="51"/>
        <v>2.568173726092134E-2</v>
      </c>
      <c r="BH8" s="10">
        <f t="shared" si="52"/>
        <v>0</v>
      </c>
      <c r="BI8" s="10">
        <f t="shared" si="53"/>
        <v>0</v>
      </c>
      <c r="BJ8" s="10">
        <f t="shared" si="52"/>
        <v>0</v>
      </c>
      <c r="BK8" s="10">
        <f t="shared" si="53"/>
        <v>0</v>
      </c>
      <c r="BL8" s="10">
        <f t="shared" ref="BL8" si="369">$B8/$B$31*$D8*BM$31</f>
        <v>0</v>
      </c>
      <c r="BM8" s="10">
        <f t="shared" si="53"/>
        <v>0</v>
      </c>
      <c r="BN8" s="10">
        <f t="shared" ref="BN8" si="370">$B8/$B$31*$D8*BO$31</f>
        <v>0</v>
      </c>
      <c r="BO8" s="10">
        <f t="shared" si="53"/>
        <v>0</v>
      </c>
      <c r="BP8" s="10">
        <f t="shared" ref="BP8" si="371">$B8/$B$31*$D8*BQ$31</f>
        <v>0</v>
      </c>
      <c r="BQ8" s="10">
        <f t="shared" si="53"/>
        <v>0</v>
      </c>
      <c r="BR8" s="10">
        <f t="shared" ref="BR8" si="372">$B8/$B$31*$D8*BS$31</f>
        <v>0</v>
      </c>
      <c r="BS8" s="10">
        <f t="shared" si="53"/>
        <v>0</v>
      </c>
      <c r="BT8" s="10">
        <f t="shared" ref="BT8" si="373">$B8/$B$31*$D8*BU$31</f>
        <v>0</v>
      </c>
      <c r="BU8" s="10">
        <f t="shared" si="53"/>
        <v>0</v>
      </c>
      <c r="BV8" s="10">
        <f t="shared" ref="BV8" si="374">$B8/$B$31*$D8*BW$31</f>
        <v>0</v>
      </c>
      <c r="BW8" s="10">
        <f t="shared" si="53"/>
        <v>0</v>
      </c>
      <c r="BX8" s="10">
        <f t="shared" ref="BX8" si="375">$B8/$B$31*$D8*BY$31</f>
        <v>0</v>
      </c>
      <c r="BY8" s="10">
        <f t="shared" si="53"/>
        <v>0</v>
      </c>
      <c r="BZ8" s="10">
        <f t="shared" ref="BZ8" si="376">$B8/$B$31*$D8*CA$31</f>
        <v>0</v>
      </c>
      <c r="CA8" s="10">
        <f t="shared" si="53"/>
        <v>0</v>
      </c>
      <c r="CB8" s="10">
        <f t="shared" ref="CB8" si="377">$B8/$B$31*$D8*CC$31</f>
        <v>0</v>
      </c>
      <c r="CC8" s="10">
        <f t="shared" si="63"/>
        <v>0</v>
      </c>
      <c r="CD8" s="10">
        <f t="shared" ref="CD8" si="378">$B8/$B$31*$D8*CE$31</f>
        <v>0</v>
      </c>
      <c r="CE8" s="10">
        <f t="shared" si="65"/>
        <v>0</v>
      </c>
      <c r="CF8" s="10">
        <f t="shared" ref="CF8" si="379">$B8/$B$31*$D8*CG$31</f>
        <v>0</v>
      </c>
      <c r="CG8" s="10">
        <f t="shared" si="67"/>
        <v>0</v>
      </c>
      <c r="CH8" s="10">
        <f t="shared" ref="CH8" si="380">$B8/$B$31*$D8*CI$31</f>
        <v>0</v>
      </c>
      <c r="CI8" s="10">
        <f t="shared" si="69"/>
        <v>0</v>
      </c>
      <c r="CJ8" s="10">
        <f t="shared" ref="CJ8" si="381">$B8/$B$31*$D8*CK$31</f>
        <v>0</v>
      </c>
      <c r="CK8" s="10">
        <f t="shared" si="71"/>
        <v>0</v>
      </c>
      <c r="CL8" s="10">
        <f t="shared" ref="CL8" si="382">$B8/$B$31*$D8*CM$31</f>
        <v>0</v>
      </c>
      <c r="CM8" s="10">
        <f t="shared" si="73"/>
        <v>0</v>
      </c>
      <c r="CN8" s="10">
        <f t="shared" ref="CN8" si="383">$B8/$B$31*$D8*CO$31</f>
        <v>0</v>
      </c>
      <c r="CO8" s="10">
        <f t="shared" si="75"/>
        <v>0</v>
      </c>
      <c r="CP8" s="10">
        <f t="shared" ref="CP8" si="384">$B8/$B$31*$D8*CQ$31</f>
        <v>0</v>
      </c>
      <c r="CQ8" s="10">
        <f t="shared" si="77"/>
        <v>0</v>
      </c>
      <c r="CR8" s="10">
        <f t="shared" ref="CR8" si="385">$B8/$B$31*$D8*CS$31</f>
        <v>0</v>
      </c>
      <c r="CS8" s="10">
        <f t="shared" si="79"/>
        <v>0</v>
      </c>
      <c r="CT8" s="10">
        <f t="shared" ref="CT8" si="386">$B8/$B$31*$D8*CU$31</f>
        <v>0</v>
      </c>
      <c r="CU8" s="10">
        <f t="shared" si="81"/>
        <v>0</v>
      </c>
      <c r="CV8" s="10">
        <f t="shared" ref="CV8" si="387">$B8/$B$31*$D8*CW$31</f>
        <v>0</v>
      </c>
      <c r="CW8" s="10">
        <f t="shared" si="83"/>
        <v>0</v>
      </c>
      <c r="CX8" s="10">
        <f t="shared" ref="CX8" si="388">$B8/$B$31*$D8*CY$31</f>
        <v>0</v>
      </c>
      <c r="CY8" s="10">
        <f t="shared" si="85"/>
        <v>0</v>
      </c>
      <c r="CZ8" s="10">
        <f t="shared" ref="CZ8" si="389">$B8/$B$31*$D8*DA$31</f>
        <v>0</v>
      </c>
      <c r="DA8" s="10">
        <f t="shared" si="87"/>
        <v>0</v>
      </c>
      <c r="DB8" s="10">
        <f t="shared" ref="DB8" si="390">$B8/$B$31*$D8*DC$31</f>
        <v>0</v>
      </c>
      <c r="DC8" s="10">
        <f t="shared" si="89"/>
        <v>0</v>
      </c>
      <c r="DD8" s="10">
        <f t="shared" ref="DD8" si="391">$B8/$B$31*$D8*DE$31</f>
        <v>0</v>
      </c>
      <c r="DE8" s="10">
        <f t="shared" si="91"/>
        <v>0</v>
      </c>
      <c r="DF8" s="10">
        <f t="shared" ref="DF8" si="392">$B8/$B$31*$D8*DG$31</f>
        <v>0</v>
      </c>
      <c r="DG8" s="10">
        <f t="shared" si="93"/>
        <v>0</v>
      </c>
      <c r="DH8" s="10">
        <f t="shared" ref="DH8" si="393">$B8/$B$31*$D8*DI$31</f>
        <v>0</v>
      </c>
      <c r="DI8" s="10">
        <f t="shared" si="95"/>
        <v>0</v>
      </c>
      <c r="DJ8" s="10">
        <f t="shared" ref="DJ8" si="394">$B8/$B$31*$D8*DK$31</f>
        <v>0</v>
      </c>
      <c r="DK8" s="10">
        <f t="shared" si="97"/>
        <v>0</v>
      </c>
      <c r="DL8" s="10">
        <f t="shared" ref="DL8" si="395">$B8/$B$31*$D8*DM$31</f>
        <v>0</v>
      </c>
      <c r="DM8" s="10">
        <f t="shared" si="99"/>
        <v>0</v>
      </c>
      <c r="DN8" s="10">
        <f t="shared" ref="DN8" si="396">$B8/$B$31*$D8*DO$31</f>
        <v>0</v>
      </c>
      <c r="DO8" s="10">
        <f t="shared" si="101"/>
        <v>0</v>
      </c>
      <c r="DP8" s="10">
        <f t="shared" ref="DP8" si="397">$B8/$B$31*$D8*DQ$31</f>
        <v>0</v>
      </c>
      <c r="DQ8" s="10">
        <f t="shared" si="103"/>
        <v>0</v>
      </c>
      <c r="DR8" s="10">
        <f t="shared" ref="DR8" si="398">$B8/$B$31*$D8*DS$31</f>
        <v>0</v>
      </c>
      <c r="DS8" s="10">
        <f t="shared" si="105"/>
        <v>0</v>
      </c>
      <c r="DT8" s="10">
        <f t="shared" ref="DT8" si="399">$B8/$B$31*$D8*DU$31</f>
        <v>0</v>
      </c>
      <c r="DU8" s="10">
        <f t="shared" si="107"/>
        <v>0</v>
      </c>
      <c r="DV8" s="10">
        <f t="shared" ref="DV8" si="400">$B8/$B$31*$D8*DW$31</f>
        <v>0</v>
      </c>
      <c r="DW8" s="10">
        <f t="shared" si="109"/>
        <v>0</v>
      </c>
      <c r="DX8" s="10">
        <f t="shared" ref="DX8" si="401">$B8/$B$31*$D8*DY$31</f>
        <v>0</v>
      </c>
      <c r="DY8" s="10">
        <f t="shared" si="111"/>
        <v>0</v>
      </c>
      <c r="DZ8" s="10">
        <f t="shared" ref="DZ8" si="402">$B8/$B$31*$D8*EA$31</f>
        <v>0</v>
      </c>
      <c r="EA8" s="10">
        <f t="shared" si="113"/>
        <v>0</v>
      </c>
      <c r="EB8" s="10">
        <f t="shared" ref="EB8" si="403">$B8/$B$31*$D8*EC$31</f>
        <v>0</v>
      </c>
      <c r="EC8" s="10">
        <f t="shared" si="115"/>
        <v>0</v>
      </c>
      <c r="ED8" s="10">
        <f t="shared" ref="ED8" si="404">$B8/$B$31*$D8*EE$31</f>
        <v>0</v>
      </c>
      <c r="EE8" s="10">
        <f t="shared" si="117"/>
        <v>0</v>
      </c>
      <c r="EF8" s="10">
        <f t="shared" ref="EF8" si="405">$B8/$B$31*$D8*EG$31</f>
        <v>0</v>
      </c>
      <c r="EG8" s="10">
        <f t="shared" si="119"/>
        <v>0</v>
      </c>
      <c r="EH8" s="10">
        <f t="shared" ref="EH8" si="406">$B8/$B$31*$D8*EI$31</f>
        <v>0</v>
      </c>
      <c r="EI8" s="10">
        <f t="shared" si="121"/>
        <v>0</v>
      </c>
      <c r="EJ8" s="10">
        <f t="shared" ref="EJ8" si="407">$B8/$B$31*$D8*EK$31</f>
        <v>0</v>
      </c>
      <c r="EK8" s="10">
        <f t="shared" si="123"/>
        <v>0</v>
      </c>
      <c r="EL8" s="10">
        <f t="shared" ref="EL8" si="408">$B8/$B$31*$D8*EM$31</f>
        <v>0</v>
      </c>
      <c r="EM8" s="10">
        <f t="shared" si="125"/>
        <v>0</v>
      </c>
      <c r="EN8" s="10">
        <f t="shared" ref="EN8" si="409">$B8/$B$31*$D8*EO$31</f>
        <v>0</v>
      </c>
      <c r="EO8" s="10">
        <f t="shared" si="127"/>
        <v>0</v>
      </c>
      <c r="EP8" s="10">
        <f t="shared" ref="EP8" si="410">$B8/$B$31*$D8*EQ$31</f>
        <v>0</v>
      </c>
      <c r="EQ8" s="10">
        <f t="shared" si="129"/>
        <v>0</v>
      </c>
      <c r="ER8" s="10">
        <f t="shared" ref="ER8" si="411">$B8/$B$31*$D8*ES$31</f>
        <v>0</v>
      </c>
      <c r="ES8" s="10">
        <f t="shared" si="131"/>
        <v>0</v>
      </c>
      <c r="ET8" s="10">
        <f t="shared" ref="ET8" si="412">$B8/$B$31*$D8*EU$31</f>
        <v>0</v>
      </c>
      <c r="EU8" s="10">
        <f t="shared" si="133"/>
        <v>0</v>
      </c>
      <c r="EV8" s="10">
        <f t="shared" ref="EV8" si="413">$B8/$B$31*$D8*EW$31</f>
        <v>0</v>
      </c>
      <c r="EW8" s="10">
        <f t="shared" si="133"/>
        <v>0</v>
      </c>
      <c r="EX8" s="10">
        <f t="shared" ref="EX8" si="414">$B8/$B$31*$D8*EY$31</f>
        <v>0</v>
      </c>
      <c r="EY8" s="10">
        <f t="shared" si="133"/>
        <v>0</v>
      </c>
      <c r="EZ8" s="10">
        <f t="shared" ref="EZ8" si="415">$B8/$B$31*$D8*FA$31</f>
        <v>0</v>
      </c>
      <c r="FA8" s="10">
        <f t="shared" si="133"/>
        <v>0</v>
      </c>
      <c r="FB8" s="10">
        <f t="shared" ref="FB8" si="416">$B8/$B$31*$D8*FC$31</f>
        <v>0</v>
      </c>
      <c r="FC8" s="10">
        <f t="shared" si="133"/>
        <v>0</v>
      </c>
      <c r="FD8" s="10">
        <f t="shared" ref="FD8" si="417">$B8/$B$31*$D8*FE$31</f>
        <v>0</v>
      </c>
      <c r="FE8" s="10">
        <f t="shared" si="133"/>
        <v>0</v>
      </c>
      <c r="FF8" s="10">
        <f t="shared" ref="FF8" si="418">$B8/$B$31*$D8*FG$31</f>
        <v>0</v>
      </c>
      <c r="FG8" s="10">
        <f t="shared" si="133"/>
        <v>0</v>
      </c>
      <c r="FH8" s="10">
        <f t="shared" ref="FH8" si="419">$B8/$B$31*$D8*FI$31</f>
        <v>0</v>
      </c>
      <c r="FI8" s="10">
        <f t="shared" si="133"/>
        <v>0</v>
      </c>
      <c r="FJ8" s="10">
        <f t="shared" ref="FJ8" si="420">$B8/$B$31*$D8*FK$31</f>
        <v>0</v>
      </c>
      <c r="FK8" s="10">
        <f t="shared" si="133"/>
        <v>0</v>
      </c>
      <c r="FL8" s="10">
        <f t="shared" ref="FL8" si="421">$B8/$B$31*$D8*FM$31</f>
        <v>0</v>
      </c>
      <c r="FM8" s="10">
        <f t="shared" si="133"/>
        <v>0</v>
      </c>
      <c r="FN8" s="10">
        <f t="shared" ref="FN8" si="422">$B8/$B$31*$D8*FO$31</f>
        <v>0</v>
      </c>
      <c r="FO8" s="10">
        <f t="shared" si="144"/>
        <v>0</v>
      </c>
      <c r="FP8" s="10">
        <f t="shared" ref="FP8" si="423">$B8/$B$31*$D8*FQ$31</f>
        <v>0</v>
      </c>
      <c r="FQ8" s="10">
        <f t="shared" si="146"/>
        <v>0</v>
      </c>
      <c r="FR8" s="10">
        <f t="shared" ref="FR8" si="424">$B8/$B$31*$D8*FS$31</f>
        <v>0</v>
      </c>
      <c r="FS8" s="10">
        <f t="shared" si="148"/>
        <v>0</v>
      </c>
      <c r="FT8" s="10">
        <f t="shared" ref="FT8" si="425">$B8/$B$31*$D8*FU$31</f>
        <v>0</v>
      </c>
      <c r="FU8" s="10">
        <f t="shared" si="150"/>
        <v>0</v>
      </c>
      <c r="FV8" s="10">
        <f t="shared" ref="FV8" si="426">$B8/$B$31*$D8*FW$31</f>
        <v>0</v>
      </c>
      <c r="FW8" s="10">
        <f t="shared" si="152"/>
        <v>0</v>
      </c>
      <c r="FX8" s="10">
        <f t="shared" ref="FX8" si="427">$B8/$B$31*$D8*FY$31</f>
        <v>0</v>
      </c>
      <c r="FY8" s="10">
        <f t="shared" si="154"/>
        <v>0</v>
      </c>
      <c r="FZ8" s="10">
        <f t="shared" ref="FZ8" si="428">$B8/$B$31*$D8*GA$31</f>
        <v>0</v>
      </c>
      <c r="GA8" s="10">
        <f t="shared" si="156"/>
        <v>0</v>
      </c>
      <c r="GB8" s="10">
        <f t="shared" ref="GB8" si="429">$B8/$B$31*$D8*GC$31</f>
        <v>0</v>
      </c>
      <c r="GC8" s="10">
        <f t="shared" si="158"/>
        <v>0</v>
      </c>
      <c r="GD8" s="10">
        <f t="shared" ref="GD8" si="430">$B8/$B$31*$D8*GE$31</f>
        <v>0</v>
      </c>
      <c r="GE8" s="10">
        <f t="shared" si="160"/>
        <v>0</v>
      </c>
      <c r="GF8" s="10">
        <f t="shared" ref="GF8" si="431">$B8/$B$31*$D8*GG$31</f>
        <v>0</v>
      </c>
      <c r="GG8" s="10">
        <f t="shared" si="162"/>
        <v>0</v>
      </c>
      <c r="GH8" s="10">
        <f t="shared" ref="GH8" si="432">$B8/$B$31*$D8*GI$31</f>
        <v>0</v>
      </c>
      <c r="GI8" s="10">
        <f t="shared" si="164"/>
        <v>0</v>
      </c>
      <c r="GJ8" s="10">
        <f t="shared" ref="GJ8" si="433">$B8/$B$31*$D8*GK$31</f>
        <v>0</v>
      </c>
      <c r="GK8" s="10">
        <f t="shared" si="166"/>
        <v>0</v>
      </c>
      <c r="GL8" s="10">
        <f t="shared" ref="GL8" si="434">$B8/$B$31*$D8*GM$31</f>
        <v>0</v>
      </c>
      <c r="GM8" s="10">
        <f t="shared" si="168"/>
        <v>0</v>
      </c>
      <c r="GN8" s="10">
        <f t="shared" ref="GN8" si="435">$B8/$B$31*$D8*GO$31</f>
        <v>0</v>
      </c>
      <c r="GO8" s="10">
        <f t="shared" si="170"/>
        <v>0</v>
      </c>
      <c r="GP8" s="10">
        <f t="shared" ref="GP8" si="436">$B8/$B$31*$D8*GQ$31</f>
        <v>0</v>
      </c>
      <c r="GQ8" s="10">
        <f t="shared" si="172"/>
        <v>0</v>
      </c>
      <c r="GR8" s="10">
        <f t="shared" ref="GR8" si="437">$B8/$B$31*$D8*GS$31</f>
        <v>0</v>
      </c>
      <c r="GS8" s="10">
        <f t="shared" si="174"/>
        <v>0</v>
      </c>
      <c r="GT8" s="10">
        <f t="shared" ref="GT8" si="438">$B8/$B$31*$D8*GU$31</f>
        <v>0</v>
      </c>
      <c r="GU8" s="10">
        <f t="shared" si="176"/>
        <v>0</v>
      </c>
      <c r="GV8" s="10">
        <f t="shared" ref="GV8" si="439">$B8/$B$31*$D8*GW$31</f>
        <v>0</v>
      </c>
      <c r="GW8" s="10">
        <f t="shared" si="178"/>
        <v>0</v>
      </c>
      <c r="GX8" s="10">
        <f t="shared" ref="GX8" si="440">$B8/$B$31*$D8*GY$31</f>
        <v>0</v>
      </c>
      <c r="GY8" s="10">
        <f t="shared" si="180"/>
        <v>0</v>
      </c>
      <c r="GZ8" s="10">
        <f t="shared" ref="GZ8" si="441">$B8/$B$31*$D8*HA$31</f>
        <v>0</v>
      </c>
      <c r="HA8" s="10">
        <f t="shared" si="182"/>
        <v>0</v>
      </c>
      <c r="HB8" s="10">
        <f t="shared" ref="HB8" si="442">$B8/$B$31*$D8*HC$31</f>
        <v>0</v>
      </c>
      <c r="HC8" s="10">
        <f t="shared" si="184"/>
        <v>0</v>
      </c>
      <c r="HD8" s="10">
        <f t="shared" ref="HD8" si="443">$B8/$B$31*$D8*HE$31</f>
        <v>0</v>
      </c>
      <c r="HE8" s="10">
        <f t="shared" si="186"/>
        <v>0</v>
      </c>
      <c r="HF8" s="10">
        <f t="shared" ref="HF8" si="444">$B8/$B$31*$D8*HG$31</f>
        <v>0</v>
      </c>
      <c r="HG8" s="10">
        <f t="shared" si="188"/>
        <v>0</v>
      </c>
      <c r="HH8" s="10">
        <f t="shared" ref="HH8" si="445">$B8/$B$31*$D8*HI$31</f>
        <v>0</v>
      </c>
      <c r="HI8" s="10">
        <f t="shared" si="190"/>
        <v>0</v>
      </c>
      <c r="HJ8" s="10">
        <f t="shared" ref="HJ8" si="446">$B8/$B$31*$D8*HK$31</f>
        <v>0</v>
      </c>
      <c r="HK8" s="10">
        <f t="shared" si="192"/>
        <v>0</v>
      </c>
      <c r="HL8" s="10">
        <f t="shared" ref="HL8" si="447">$B8/$B$31*$D8*HM$31</f>
        <v>0</v>
      </c>
      <c r="HM8" s="10">
        <f t="shared" si="194"/>
        <v>0</v>
      </c>
      <c r="HN8" s="10">
        <f t="shared" ref="HN8" si="448">$B8/$B$31*$D8*HO$31</f>
        <v>0</v>
      </c>
      <c r="HO8" s="10">
        <f t="shared" si="196"/>
        <v>0</v>
      </c>
      <c r="HP8" s="10">
        <f t="shared" ref="HP8" si="449">$B8/$B$31*$D8*HQ$31</f>
        <v>0</v>
      </c>
      <c r="HQ8" s="10">
        <f t="shared" si="198"/>
        <v>0</v>
      </c>
      <c r="HR8" s="10">
        <f t="shared" ref="HR8" si="450">$B8/$B$31*$D8*HS$31</f>
        <v>0</v>
      </c>
      <c r="HS8" s="10">
        <f t="shared" si="200"/>
        <v>0</v>
      </c>
      <c r="HT8" s="10">
        <f t="shared" ref="HT8" si="451">$B8/$B$31*$D8*HU$31</f>
        <v>0</v>
      </c>
      <c r="HU8" s="10">
        <f t="shared" si="202"/>
        <v>0</v>
      </c>
      <c r="HV8" s="10"/>
      <c r="HW8" s="10"/>
      <c r="HX8" s="10"/>
    </row>
    <row r="9" spans="1:232" x14ac:dyDescent="0.3">
      <c r="A9" s="18">
        <f>参数调整!A9</f>
        <v>6</v>
      </c>
      <c r="B9" s="170">
        <f>参数调整!B9</f>
        <v>1.5</v>
      </c>
      <c r="C9" s="10">
        <f>参数调整!F9</f>
        <v>1</v>
      </c>
      <c r="D9" s="10">
        <f>参数调整!G9</f>
        <v>1.3</v>
      </c>
      <c r="E9" s="15">
        <f>基本属性!B9</f>
        <v>70</v>
      </c>
      <c r="F9" s="15">
        <f>基本属性!C9</f>
        <v>0</v>
      </c>
      <c r="G9" s="271"/>
      <c r="H9" s="10">
        <f t="shared" si="45"/>
        <v>1778385772.9138167</v>
      </c>
      <c r="I9" s="188">
        <f t="shared" si="0"/>
        <v>1367989056.0875514</v>
      </c>
      <c r="J9" s="10">
        <f t="shared" si="1"/>
        <v>73557.379631263495</v>
      </c>
      <c r="K9" s="10">
        <f t="shared" si="2"/>
        <v>56582.599716356541</v>
      </c>
      <c r="L9" s="10">
        <f t="shared" si="46"/>
        <v>0.97933024754980036</v>
      </c>
      <c r="M9" s="10">
        <f t="shared" si="47"/>
        <v>0.75333095965369257</v>
      </c>
      <c r="N9" s="10">
        <f t="shared" si="48"/>
        <v>7.1242134062927498</v>
      </c>
      <c r="O9" s="10">
        <f t="shared" si="49"/>
        <v>5.4801641586867307</v>
      </c>
      <c r="P9" s="10">
        <f t="shared" si="3"/>
        <v>137.23210214318286</v>
      </c>
      <c r="Q9" s="10">
        <f t="shared" si="4"/>
        <v>105.56315549475605</v>
      </c>
      <c r="R9" s="10">
        <f t="shared" si="5"/>
        <v>0.43392612859097124</v>
      </c>
      <c r="S9" s="10">
        <f t="shared" si="6"/>
        <v>0.33378932968536251</v>
      </c>
      <c r="T9" s="10">
        <f t="shared" si="7"/>
        <v>0.64797171034396428</v>
      </c>
      <c r="U9" s="10">
        <f t="shared" si="8"/>
        <v>0.4984397771876648</v>
      </c>
      <c r="V9" s="10">
        <f t="shared" si="9"/>
        <v>0.64797171034396428</v>
      </c>
      <c r="W9" s="10">
        <f t="shared" si="10"/>
        <v>0.4984397771876648</v>
      </c>
      <c r="X9" s="10">
        <f t="shared" si="11"/>
        <v>0.64797171034396428</v>
      </c>
      <c r="Y9" s="10">
        <f t="shared" si="12"/>
        <v>0.4984397771876648</v>
      </c>
      <c r="Z9" s="10">
        <f t="shared" si="13"/>
        <v>0.64797171034396428</v>
      </c>
      <c r="AA9" s="10">
        <f t="shared" si="14"/>
        <v>0.4984397771876648</v>
      </c>
      <c r="AB9" s="10">
        <f t="shared" si="15"/>
        <v>16.610123119015046</v>
      </c>
      <c r="AC9" s="10">
        <f t="shared" si="16"/>
        <v>12.77701778385773</v>
      </c>
      <c r="AD9" s="10">
        <f t="shared" si="17"/>
        <v>4.9759781121751026</v>
      </c>
      <c r="AE9" s="10">
        <f t="shared" si="18"/>
        <v>3.8276754709039253</v>
      </c>
      <c r="AF9" s="10">
        <f t="shared" si="19"/>
        <v>2.4879890560875513</v>
      </c>
      <c r="AG9" s="10">
        <f t="shared" si="20"/>
        <v>1.9138377354519627</v>
      </c>
      <c r="AH9" s="10">
        <f t="shared" si="21"/>
        <v>0.49759781121751029</v>
      </c>
      <c r="AI9" s="10">
        <f t="shared" si="22"/>
        <v>0.38276754709039251</v>
      </c>
      <c r="AJ9" s="10">
        <f t="shared" si="23"/>
        <v>5.686650036211474</v>
      </c>
      <c r="AK9" s="10">
        <f t="shared" si="24"/>
        <v>4.3743461817011342</v>
      </c>
      <c r="AL9" s="10">
        <f t="shared" si="25"/>
        <v>2.843325018105737</v>
      </c>
      <c r="AM9" s="10">
        <f t="shared" si="26"/>
        <v>2.1871730908505671</v>
      </c>
      <c r="AN9" s="10">
        <f t="shared" si="27"/>
        <v>0.56866500362114747</v>
      </c>
      <c r="AO9" s="10">
        <f t="shared" si="28"/>
        <v>0.43743461817011342</v>
      </c>
      <c r="AP9" s="10">
        <f t="shared" si="29"/>
        <v>0.26979656035515137</v>
      </c>
      <c r="AQ9" s="10">
        <f t="shared" si="30"/>
        <v>0.20753581565780874</v>
      </c>
      <c r="AR9" s="10">
        <f t="shared" si="31"/>
        <v>3.5612009001810925E-3</v>
      </c>
      <c r="AS9" s="10">
        <f t="shared" si="32"/>
        <v>2.7393853078316096E-3</v>
      </c>
      <c r="AT9" s="10">
        <f t="shared" si="33"/>
        <v>3.5612009001810925E-3</v>
      </c>
      <c r="AU9" s="10">
        <f t="shared" si="34"/>
        <v>2.7393853078316096E-3</v>
      </c>
      <c r="AV9" s="10">
        <f t="shared" si="35"/>
        <v>3.205080810162983E-2</v>
      </c>
      <c r="AW9" s="10">
        <f t="shared" si="36"/>
        <v>2.4654467770484481E-2</v>
      </c>
      <c r="AX9" s="10">
        <f t="shared" si="37"/>
        <v>9.7933024754980044E-2</v>
      </c>
      <c r="AY9" s="10">
        <f t="shared" si="38"/>
        <v>7.5333095965369259E-2</v>
      </c>
      <c r="AZ9" s="10">
        <f t="shared" si="39"/>
        <v>8.9030022504527316E-3</v>
      </c>
      <c r="BA9" s="10">
        <f t="shared" si="40"/>
        <v>6.848463269579024E-3</v>
      </c>
      <c r="BB9" s="10">
        <f t="shared" si="41"/>
        <v>8.9030022504527316E-3</v>
      </c>
      <c r="BC9" s="10">
        <f t="shared" si="42"/>
        <v>6.848463269579024E-3</v>
      </c>
      <c r="BD9" s="10">
        <f t="shared" si="43"/>
        <v>3.5612009001810926E-2</v>
      </c>
      <c r="BE9" s="10">
        <f t="shared" si="44"/>
        <v>2.7393853078316096E-2</v>
      </c>
      <c r="BF9" s="10">
        <f t="shared" si="50"/>
        <v>4.4515011252263655E-2</v>
      </c>
      <c r="BG9" s="10">
        <f t="shared" si="51"/>
        <v>3.4242316347895117E-2</v>
      </c>
      <c r="BH9" s="10">
        <f t="shared" si="52"/>
        <v>0</v>
      </c>
      <c r="BI9" s="10">
        <f t="shared" si="53"/>
        <v>0</v>
      </c>
      <c r="BJ9" s="10">
        <f t="shared" si="52"/>
        <v>0</v>
      </c>
      <c r="BK9" s="10">
        <f t="shared" si="53"/>
        <v>0</v>
      </c>
      <c r="BL9" s="10">
        <f t="shared" ref="BL9" si="452">$B9/$B$31*$D9*BM$31</f>
        <v>0</v>
      </c>
      <c r="BM9" s="10">
        <f t="shared" si="53"/>
        <v>0</v>
      </c>
      <c r="BN9" s="10">
        <f t="shared" ref="BN9" si="453">$B9/$B$31*$D9*BO$31</f>
        <v>0</v>
      </c>
      <c r="BO9" s="10">
        <f t="shared" si="53"/>
        <v>0</v>
      </c>
      <c r="BP9" s="10">
        <f t="shared" ref="BP9" si="454">$B9/$B$31*$D9*BQ$31</f>
        <v>0</v>
      </c>
      <c r="BQ9" s="10">
        <f t="shared" si="53"/>
        <v>0</v>
      </c>
      <c r="BR9" s="10">
        <f t="shared" ref="BR9" si="455">$B9/$B$31*$D9*BS$31</f>
        <v>0</v>
      </c>
      <c r="BS9" s="10">
        <f t="shared" si="53"/>
        <v>0</v>
      </c>
      <c r="BT9" s="10">
        <f t="shared" ref="BT9" si="456">$B9/$B$31*$D9*BU$31</f>
        <v>0</v>
      </c>
      <c r="BU9" s="10">
        <f t="shared" si="53"/>
        <v>0</v>
      </c>
      <c r="BV9" s="10">
        <f t="shared" ref="BV9" si="457">$B9/$B$31*$D9*BW$31</f>
        <v>0</v>
      </c>
      <c r="BW9" s="10">
        <f t="shared" si="53"/>
        <v>0</v>
      </c>
      <c r="BX9" s="10">
        <f t="shared" ref="BX9" si="458">$B9/$B$31*$D9*BY$31</f>
        <v>0</v>
      </c>
      <c r="BY9" s="10">
        <f t="shared" si="53"/>
        <v>0</v>
      </c>
      <c r="BZ9" s="10">
        <f t="shared" ref="BZ9" si="459">$B9/$B$31*$D9*CA$31</f>
        <v>0</v>
      </c>
      <c r="CA9" s="10">
        <f t="shared" si="53"/>
        <v>0</v>
      </c>
      <c r="CB9" s="10">
        <f t="shared" ref="CB9" si="460">$B9/$B$31*$D9*CC$31</f>
        <v>0</v>
      </c>
      <c r="CC9" s="10">
        <f t="shared" si="63"/>
        <v>0</v>
      </c>
      <c r="CD9" s="10">
        <f t="shared" ref="CD9" si="461">$B9/$B$31*$D9*CE$31</f>
        <v>0</v>
      </c>
      <c r="CE9" s="10">
        <f t="shared" si="65"/>
        <v>0</v>
      </c>
      <c r="CF9" s="10">
        <f t="shared" ref="CF9" si="462">$B9/$B$31*$D9*CG$31</f>
        <v>0</v>
      </c>
      <c r="CG9" s="10">
        <f t="shared" si="67"/>
        <v>0</v>
      </c>
      <c r="CH9" s="10">
        <f t="shared" ref="CH9" si="463">$B9/$B$31*$D9*CI$31</f>
        <v>0</v>
      </c>
      <c r="CI9" s="10">
        <f t="shared" si="69"/>
        <v>0</v>
      </c>
      <c r="CJ9" s="10">
        <f t="shared" ref="CJ9" si="464">$B9/$B$31*$D9*CK$31</f>
        <v>0</v>
      </c>
      <c r="CK9" s="10">
        <f t="shared" si="71"/>
        <v>0</v>
      </c>
      <c r="CL9" s="10">
        <f t="shared" ref="CL9" si="465">$B9/$B$31*$D9*CM$31</f>
        <v>0</v>
      </c>
      <c r="CM9" s="10">
        <f t="shared" si="73"/>
        <v>0</v>
      </c>
      <c r="CN9" s="10">
        <f t="shared" ref="CN9" si="466">$B9/$B$31*$D9*CO$31</f>
        <v>0</v>
      </c>
      <c r="CO9" s="10">
        <f t="shared" si="75"/>
        <v>0</v>
      </c>
      <c r="CP9" s="10">
        <f t="shared" ref="CP9" si="467">$B9/$B$31*$D9*CQ$31</f>
        <v>0</v>
      </c>
      <c r="CQ9" s="10">
        <f t="shared" si="77"/>
        <v>0</v>
      </c>
      <c r="CR9" s="10">
        <f t="shared" ref="CR9" si="468">$B9/$B$31*$D9*CS$31</f>
        <v>0</v>
      </c>
      <c r="CS9" s="10">
        <f t="shared" si="79"/>
        <v>0</v>
      </c>
      <c r="CT9" s="10">
        <f t="shared" ref="CT9" si="469">$B9/$B$31*$D9*CU$31</f>
        <v>0</v>
      </c>
      <c r="CU9" s="10">
        <f t="shared" si="81"/>
        <v>0</v>
      </c>
      <c r="CV9" s="10">
        <f t="shared" ref="CV9" si="470">$B9/$B$31*$D9*CW$31</f>
        <v>0</v>
      </c>
      <c r="CW9" s="10">
        <f t="shared" si="83"/>
        <v>0</v>
      </c>
      <c r="CX9" s="10">
        <f t="shared" ref="CX9" si="471">$B9/$B$31*$D9*CY$31</f>
        <v>0</v>
      </c>
      <c r="CY9" s="10">
        <f t="shared" si="85"/>
        <v>0</v>
      </c>
      <c r="CZ9" s="10">
        <f t="shared" ref="CZ9" si="472">$B9/$B$31*$D9*DA$31</f>
        <v>0</v>
      </c>
      <c r="DA9" s="10">
        <f t="shared" si="87"/>
        <v>0</v>
      </c>
      <c r="DB9" s="10">
        <f t="shared" ref="DB9" si="473">$B9/$B$31*$D9*DC$31</f>
        <v>0</v>
      </c>
      <c r="DC9" s="10">
        <f t="shared" si="89"/>
        <v>0</v>
      </c>
      <c r="DD9" s="10">
        <f t="shared" ref="DD9" si="474">$B9/$B$31*$D9*DE$31</f>
        <v>0</v>
      </c>
      <c r="DE9" s="10">
        <f t="shared" si="91"/>
        <v>0</v>
      </c>
      <c r="DF9" s="10">
        <f t="shared" ref="DF9" si="475">$B9/$B$31*$D9*DG$31</f>
        <v>0</v>
      </c>
      <c r="DG9" s="10">
        <f t="shared" si="93"/>
        <v>0</v>
      </c>
      <c r="DH9" s="10">
        <f t="shared" ref="DH9" si="476">$B9/$B$31*$D9*DI$31</f>
        <v>0</v>
      </c>
      <c r="DI9" s="10">
        <f t="shared" si="95"/>
        <v>0</v>
      </c>
      <c r="DJ9" s="10">
        <f t="shared" ref="DJ9" si="477">$B9/$B$31*$D9*DK$31</f>
        <v>0</v>
      </c>
      <c r="DK9" s="10">
        <f t="shared" si="97"/>
        <v>0</v>
      </c>
      <c r="DL9" s="10">
        <f t="shared" ref="DL9" si="478">$B9/$B$31*$D9*DM$31</f>
        <v>0</v>
      </c>
      <c r="DM9" s="10">
        <f t="shared" si="99"/>
        <v>0</v>
      </c>
      <c r="DN9" s="10">
        <f t="shared" ref="DN9" si="479">$B9/$B$31*$D9*DO$31</f>
        <v>0</v>
      </c>
      <c r="DO9" s="10">
        <f t="shared" si="101"/>
        <v>0</v>
      </c>
      <c r="DP9" s="10">
        <f t="shared" ref="DP9" si="480">$B9/$B$31*$D9*DQ$31</f>
        <v>0</v>
      </c>
      <c r="DQ9" s="10">
        <f t="shared" si="103"/>
        <v>0</v>
      </c>
      <c r="DR9" s="10">
        <f t="shared" ref="DR9" si="481">$B9/$B$31*$D9*DS$31</f>
        <v>0</v>
      </c>
      <c r="DS9" s="10">
        <f t="shared" si="105"/>
        <v>0</v>
      </c>
      <c r="DT9" s="10">
        <f t="shared" ref="DT9" si="482">$B9/$B$31*$D9*DU$31</f>
        <v>0</v>
      </c>
      <c r="DU9" s="10">
        <f t="shared" si="107"/>
        <v>0</v>
      </c>
      <c r="DV9" s="10">
        <f t="shared" ref="DV9" si="483">$B9/$B$31*$D9*DW$31</f>
        <v>0</v>
      </c>
      <c r="DW9" s="10">
        <f t="shared" si="109"/>
        <v>0</v>
      </c>
      <c r="DX9" s="10">
        <f t="shared" ref="DX9" si="484">$B9/$B$31*$D9*DY$31</f>
        <v>0</v>
      </c>
      <c r="DY9" s="10">
        <f t="shared" si="111"/>
        <v>0</v>
      </c>
      <c r="DZ9" s="10">
        <f t="shared" ref="DZ9" si="485">$B9/$B$31*$D9*EA$31</f>
        <v>0</v>
      </c>
      <c r="EA9" s="10">
        <f t="shared" si="113"/>
        <v>0</v>
      </c>
      <c r="EB9" s="10">
        <f t="shared" ref="EB9" si="486">$B9/$B$31*$D9*EC$31</f>
        <v>0</v>
      </c>
      <c r="EC9" s="10">
        <f t="shared" si="115"/>
        <v>0</v>
      </c>
      <c r="ED9" s="10">
        <f t="shared" ref="ED9" si="487">$B9/$B$31*$D9*EE$31</f>
        <v>0</v>
      </c>
      <c r="EE9" s="10">
        <f t="shared" si="117"/>
        <v>0</v>
      </c>
      <c r="EF9" s="10">
        <f t="shared" ref="EF9" si="488">$B9/$B$31*$D9*EG$31</f>
        <v>0</v>
      </c>
      <c r="EG9" s="10">
        <f t="shared" si="119"/>
        <v>0</v>
      </c>
      <c r="EH9" s="10">
        <f t="shared" ref="EH9" si="489">$B9/$B$31*$D9*EI$31</f>
        <v>0</v>
      </c>
      <c r="EI9" s="10">
        <f t="shared" si="121"/>
        <v>0</v>
      </c>
      <c r="EJ9" s="10">
        <f t="shared" ref="EJ9" si="490">$B9/$B$31*$D9*EK$31</f>
        <v>0</v>
      </c>
      <c r="EK9" s="10">
        <f t="shared" si="123"/>
        <v>0</v>
      </c>
      <c r="EL9" s="10">
        <f t="shared" ref="EL9" si="491">$B9/$B$31*$D9*EM$31</f>
        <v>0</v>
      </c>
      <c r="EM9" s="10">
        <f t="shared" si="125"/>
        <v>0</v>
      </c>
      <c r="EN9" s="10">
        <f t="shared" ref="EN9" si="492">$B9/$B$31*$D9*EO$31</f>
        <v>0</v>
      </c>
      <c r="EO9" s="10">
        <f t="shared" si="127"/>
        <v>0</v>
      </c>
      <c r="EP9" s="10">
        <f t="shared" ref="EP9" si="493">$B9/$B$31*$D9*EQ$31</f>
        <v>0</v>
      </c>
      <c r="EQ9" s="10">
        <f t="shared" si="129"/>
        <v>0</v>
      </c>
      <c r="ER9" s="10">
        <f t="shared" ref="ER9" si="494">$B9/$B$31*$D9*ES$31</f>
        <v>0</v>
      </c>
      <c r="ES9" s="10">
        <f t="shared" si="131"/>
        <v>0</v>
      </c>
      <c r="ET9" s="10">
        <f t="shared" ref="ET9" si="495">$B9/$B$31*$D9*EU$31</f>
        <v>0</v>
      </c>
      <c r="EU9" s="10">
        <f t="shared" si="133"/>
        <v>0</v>
      </c>
      <c r="EV9" s="10">
        <f t="shared" ref="EV9" si="496">$B9/$B$31*$D9*EW$31</f>
        <v>0</v>
      </c>
      <c r="EW9" s="10">
        <f t="shared" si="133"/>
        <v>0</v>
      </c>
      <c r="EX9" s="10">
        <f t="shared" ref="EX9" si="497">$B9/$B$31*$D9*EY$31</f>
        <v>0</v>
      </c>
      <c r="EY9" s="10">
        <f t="shared" si="133"/>
        <v>0</v>
      </c>
      <c r="EZ9" s="10">
        <f t="shared" ref="EZ9" si="498">$B9/$B$31*$D9*FA$31</f>
        <v>0</v>
      </c>
      <c r="FA9" s="10">
        <f t="shared" si="133"/>
        <v>0</v>
      </c>
      <c r="FB9" s="10">
        <f t="shared" ref="FB9" si="499">$B9/$B$31*$D9*FC$31</f>
        <v>0</v>
      </c>
      <c r="FC9" s="10">
        <f t="shared" si="133"/>
        <v>0</v>
      </c>
      <c r="FD9" s="10">
        <f t="shared" ref="FD9" si="500">$B9/$B$31*$D9*FE$31</f>
        <v>0</v>
      </c>
      <c r="FE9" s="10">
        <f t="shared" si="133"/>
        <v>0</v>
      </c>
      <c r="FF9" s="10">
        <f t="shared" ref="FF9" si="501">$B9/$B$31*$D9*FG$31</f>
        <v>0</v>
      </c>
      <c r="FG9" s="10">
        <f t="shared" si="133"/>
        <v>0</v>
      </c>
      <c r="FH9" s="10">
        <f t="shared" ref="FH9" si="502">$B9/$B$31*$D9*FI$31</f>
        <v>0</v>
      </c>
      <c r="FI9" s="10">
        <f t="shared" si="133"/>
        <v>0</v>
      </c>
      <c r="FJ9" s="10">
        <f t="shared" ref="FJ9" si="503">$B9/$B$31*$D9*FK$31</f>
        <v>0</v>
      </c>
      <c r="FK9" s="10">
        <f t="shared" si="133"/>
        <v>0</v>
      </c>
      <c r="FL9" s="10">
        <f t="shared" ref="FL9" si="504">$B9/$B$31*$D9*FM$31</f>
        <v>0</v>
      </c>
      <c r="FM9" s="10">
        <f t="shared" si="133"/>
        <v>0</v>
      </c>
      <c r="FN9" s="10">
        <f t="shared" ref="FN9" si="505">$B9/$B$31*$D9*FO$31</f>
        <v>0</v>
      </c>
      <c r="FO9" s="10">
        <f t="shared" si="144"/>
        <v>0</v>
      </c>
      <c r="FP9" s="10">
        <f t="shared" ref="FP9" si="506">$B9/$B$31*$D9*FQ$31</f>
        <v>0</v>
      </c>
      <c r="FQ9" s="10">
        <f t="shared" si="146"/>
        <v>0</v>
      </c>
      <c r="FR9" s="10">
        <f t="shared" ref="FR9" si="507">$B9/$B$31*$D9*FS$31</f>
        <v>0</v>
      </c>
      <c r="FS9" s="10">
        <f t="shared" si="148"/>
        <v>0</v>
      </c>
      <c r="FT9" s="10">
        <f t="shared" ref="FT9" si="508">$B9/$B$31*$D9*FU$31</f>
        <v>0</v>
      </c>
      <c r="FU9" s="10">
        <f t="shared" si="150"/>
        <v>0</v>
      </c>
      <c r="FV9" s="10">
        <f t="shared" ref="FV9" si="509">$B9/$B$31*$D9*FW$31</f>
        <v>0</v>
      </c>
      <c r="FW9" s="10">
        <f t="shared" si="152"/>
        <v>0</v>
      </c>
      <c r="FX9" s="10">
        <f t="shared" ref="FX9" si="510">$B9/$B$31*$D9*FY$31</f>
        <v>0</v>
      </c>
      <c r="FY9" s="10">
        <f t="shared" si="154"/>
        <v>0</v>
      </c>
      <c r="FZ9" s="10">
        <f t="shared" ref="FZ9" si="511">$B9/$B$31*$D9*GA$31</f>
        <v>0</v>
      </c>
      <c r="GA9" s="10">
        <f t="shared" si="156"/>
        <v>0</v>
      </c>
      <c r="GB9" s="10">
        <f t="shared" ref="GB9" si="512">$B9/$B$31*$D9*GC$31</f>
        <v>0</v>
      </c>
      <c r="GC9" s="10">
        <f t="shared" si="158"/>
        <v>0</v>
      </c>
      <c r="GD9" s="10">
        <f t="shared" ref="GD9" si="513">$B9/$B$31*$D9*GE$31</f>
        <v>0</v>
      </c>
      <c r="GE9" s="10">
        <f t="shared" si="160"/>
        <v>0</v>
      </c>
      <c r="GF9" s="10">
        <f t="shared" ref="GF9" si="514">$B9/$B$31*$D9*GG$31</f>
        <v>0</v>
      </c>
      <c r="GG9" s="10">
        <f t="shared" si="162"/>
        <v>0</v>
      </c>
      <c r="GH9" s="10">
        <f t="shared" ref="GH9" si="515">$B9/$B$31*$D9*GI$31</f>
        <v>0</v>
      </c>
      <c r="GI9" s="10">
        <f t="shared" si="164"/>
        <v>0</v>
      </c>
      <c r="GJ9" s="10">
        <f t="shared" ref="GJ9" si="516">$B9/$B$31*$D9*GK$31</f>
        <v>0</v>
      </c>
      <c r="GK9" s="10">
        <f t="shared" si="166"/>
        <v>0</v>
      </c>
      <c r="GL9" s="10">
        <f t="shared" ref="GL9" si="517">$B9/$B$31*$D9*GM$31</f>
        <v>0</v>
      </c>
      <c r="GM9" s="10">
        <f t="shared" si="168"/>
        <v>0</v>
      </c>
      <c r="GN9" s="10">
        <f t="shared" ref="GN9" si="518">$B9/$B$31*$D9*GO$31</f>
        <v>0</v>
      </c>
      <c r="GO9" s="10">
        <f t="shared" si="170"/>
        <v>0</v>
      </c>
      <c r="GP9" s="10">
        <f t="shared" ref="GP9" si="519">$B9/$B$31*$D9*GQ$31</f>
        <v>0</v>
      </c>
      <c r="GQ9" s="10">
        <f t="shared" si="172"/>
        <v>0</v>
      </c>
      <c r="GR9" s="10">
        <f t="shared" ref="GR9" si="520">$B9/$B$31*$D9*GS$31</f>
        <v>0</v>
      </c>
      <c r="GS9" s="10">
        <f t="shared" si="174"/>
        <v>0</v>
      </c>
      <c r="GT9" s="10">
        <f t="shared" ref="GT9" si="521">$B9/$B$31*$D9*GU$31</f>
        <v>0</v>
      </c>
      <c r="GU9" s="10">
        <f t="shared" si="176"/>
        <v>0</v>
      </c>
      <c r="GV9" s="10">
        <f t="shared" ref="GV9" si="522">$B9/$B$31*$D9*GW$31</f>
        <v>0</v>
      </c>
      <c r="GW9" s="10">
        <f t="shared" si="178"/>
        <v>0</v>
      </c>
      <c r="GX9" s="10">
        <f t="shared" ref="GX9" si="523">$B9/$B$31*$D9*GY$31</f>
        <v>0</v>
      </c>
      <c r="GY9" s="10">
        <f t="shared" si="180"/>
        <v>0</v>
      </c>
      <c r="GZ9" s="10">
        <f t="shared" ref="GZ9" si="524">$B9/$B$31*$D9*HA$31</f>
        <v>0</v>
      </c>
      <c r="HA9" s="10">
        <f t="shared" si="182"/>
        <v>0</v>
      </c>
      <c r="HB9" s="10">
        <f t="shared" ref="HB9" si="525">$B9/$B$31*$D9*HC$31</f>
        <v>0</v>
      </c>
      <c r="HC9" s="10">
        <f t="shared" si="184"/>
        <v>0</v>
      </c>
      <c r="HD9" s="10">
        <f t="shared" ref="HD9" si="526">$B9/$B$31*$D9*HE$31</f>
        <v>0</v>
      </c>
      <c r="HE9" s="10">
        <f t="shared" si="186"/>
        <v>0</v>
      </c>
      <c r="HF9" s="10">
        <f t="shared" ref="HF9" si="527">$B9/$B$31*$D9*HG$31</f>
        <v>0</v>
      </c>
      <c r="HG9" s="10">
        <f t="shared" si="188"/>
        <v>0</v>
      </c>
      <c r="HH9" s="10">
        <f t="shared" ref="HH9" si="528">$B9/$B$31*$D9*HI$31</f>
        <v>0</v>
      </c>
      <c r="HI9" s="10">
        <f t="shared" si="190"/>
        <v>0</v>
      </c>
      <c r="HJ9" s="10">
        <f t="shared" ref="HJ9" si="529">$B9/$B$31*$D9*HK$31</f>
        <v>0</v>
      </c>
      <c r="HK9" s="10">
        <f t="shared" si="192"/>
        <v>0</v>
      </c>
      <c r="HL9" s="10">
        <f t="shared" ref="HL9" si="530">$B9/$B$31*$D9*HM$31</f>
        <v>0</v>
      </c>
      <c r="HM9" s="10">
        <f t="shared" si="194"/>
        <v>0</v>
      </c>
      <c r="HN9" s="10">
        <f t="shared" ref="HN9" si="531">$B9/$B$31*$D9*HO$31</f>
        <v>0</v>
      </c>
      <c r="HO9" s="10">
        <f t="shared" si="196"/>
        <v>0</v>
      </c>
      <c r="HP9" s="10">
        <f t="shared" ref="HP9" si="532">$B9/$B$31*$D9*HQ$31</f>
        <v>0</v>
      </c>
      <c r="HQ9" s="10">
        <f t="shared" si="198"/>
        <v>0</v>
      </c>
      <c r="HR9" s="10">
        <f t="shared" ref="HR9" si="533">$B9/$B$31*$D9*HS$31</f>
        <v>0</v>
      </c>
      <c r="HS9" s="10">
        <f t="shared" si="200"/>
        <v>0</v>
      </c>
      <c r="HT9" s="10">
        <f t="shared" ref="HT9" si="534">$B9/$B$31*$D9*HU$31</f>
        <v>0</v>
      </c>
      <c r="HU9" s="10">
        <f t="shared" si="202"/>
        <v>0</v>
      </c>
      <c r="HV9" s="10"/>
      <c r="HW9" s="10"/>
      <c r="HX9" s="10"/>
    </row>
    <row r="10" spans="1:232" x14ac:dyDescent="0.3">
      <c r="A10" s="18">
        <f>参数调整!A10</f>
        <v>7</v>
      </c>
      <c r="B10" s="170">
        <f>参数调整!B10</f>
        <v>1.7</v>
      </c>
      <c r="C10" s="10">
        <f>参数调整!F10</f>
        <v>1.1000000000000001</v>
      </c>
      <c r="D10" s="10">
        <f>参数调整!G10</f>
        <v>1.4</v>
      </c>
      <c r="E10" s="15">
        <f>基本属性!B10</f>
        <v>75</v>
      </c>
      <c r="F10" s="15">
        <f>基本属性!C10</f>
        <v>0</v>
      </c>
      <c r="G10" s="271"/>
      <c r="H10" s="10">
        <f t="shared" si="45"/>
        <v>2170542635.6589146</v>
      </c>
      <c r="I10" s="188">
        <f t="shared" si="0"/>
        <v>1705426356.5891473</v>
      </c>
      <c r="J10" s="10">
        <f t="shared" si="1"/>
        <v>89777.7248832857</v>
      </c>
      <c r="K10" s="10">
        <f t="shared" si="2"/>
        <v>70539.640979724485</v>
      </c>
      <c r="L10" s="10">
        <f t="shared" si="46"/>
        <v>1.1952851226505254</v>
      </c>
      <c r="M10" s="10">
        <f t="shared" si="47"/>
        <v>0.9391525963682702</v>
      </c>
      <c r="N10" s="10">
        <f t="shared" si="48"/>
        <v>8.6951937984496119</v>
      </c>
      <c r="O10" s="10">
        <f t="shared" si="49"/>
        <v>6.8319379844961245</v>
      </c>
      <c r="P10" s="10">
        <f t="shared" si="3"/>
        <v>167.49354005167956</v>
      </c>
      <c r="Q10" s="10">
        <f t="shared" si="4"/>
        <v>131.60206718346254</v>
      </c>
      <c r="R10" s="10">
        <f t="shared" si="5"/>
        <v>0.52961240310077506</v>
      </c>
      <c r="S10" s="10">
        <f t="shared" si="6"/>
        <v>0.41612403100775197</v>
      </c>
      <c r="T10" s="10">
        <f t="shared" si="7"/>
        <v>0.79085777980442806</v>
      </c>
      <c r="U10" s="10">
        <f t="shared" si="8"/>
        <v>0.62138825556062216</v>
      </c>
      <c r="V10" s="10">
        <f t="shared" si="9"/>
        <v>0.79085777980442806</v>
      </c>
      <c r="W10" s="10">
        <f t="shared" si="10"/>
        <v>0.62138825556062216</v>
      </c>
      <c r="X10" s="10">
        <f t="shared" si="11"/>
        <v>0.79085777980442806</v>
      </c>
      <c r="Y10" s="10">
        <f t="shared" si="12"/>
        <v>0.62138825556062216</v>
      </c>
      <c r="Z10" s="10">
        <f t="shared" si="13"/>
        <v>0.79085777980442806</v>
      </c>
      <c r="AA10" s="10">
        <f t="shared" si="14"/>
        <v>0.62138825556062216</v>
      </c>
      <c r="AB10" s="10">
        <f t="shared" si="15"/>
        <v>20.27286821705426</v>
      </c>
      <c r="AC10" s="10">
        <f t="shared" si="16"/>
        <v>15.928682170542636</v>
      </c>
      <c r="AD10" s="10">
        <f t="shared" si="17"/>
        <v>6.073245080500894</v>
      </c>
      <c r="AE10" s="10">
        <f t="shared" si="18"/>
        <v>4.7718354203935602</v>
      </c>
      <c r="AF10" s="10">
        <f t="shared" si="19"/>
        <v>3.036622540250447</v>
      </c>
      <c r="AG10" s="10">
        <f t="shared" si="20"/>
        <v>2.3859177101967801</v>
      </c>
      <c r="AH10" s="10">
        <f t="shared" si="21"/>
        <v>0.60732450805008942</v>
      </c>
      <c r="AI10" s="10">
        <f t="shared" si="22"/>
        <v>0.47718354203935603</v>
      </c>
      <c r="AJ10" s="10">
        <f t="shared" si="23"/>
        <v>6.940629274965799</v>
      </c>
      <c r="AK10" s="10">
        <f t="shared" si="24"/>
        <v>5.4533515731874145</v>
      </c>
      <c r="AL10" s="10">
        <f t="shared" si="25"/>
        <v>3.4703146374828995</v>
      </c>
      <c r="AM10" s="10">
        <f t="shared" si="26"/>
        <v>2.7266757865937072</v>
      </c>
      <c r="AN10" s="10">
        <f t="shared" si="27"/>
        <v>0.69406292749657994</v>
      </c>
      <c r="AO10" s="10">
        <f t="shared" si="28"/>
        <v>0.54533515731874149</v>
      </c>
      <c r="AP10" s="10">
        <f t="shared" si="29"/>
        <v>0.32929016084372315</v>
      </c>
      <c r="AQ10" s="10">
        <f t="shared" si="30"/>
        <v>0.25872798352006826</v>
      </c>
      <c r="AR10" s="10">
        <f t="shared" si="31"/>
        <v>4.3464913550928198E-3</v>
      </c>
      <c r="AS10" s="10">
        <f t="shared" si="32"/>
        <v>3.4151003504300738E-3</v>
      </c>
      <c r="AT10" s="10">
        <f t="shared" si="33"/>
        <v>4.3464913550928198E-3</v>
      </c>
      <c r="AU10" s="10">
        <f t="shared" si="34"/>
        <v>3.4151003504300738E-3</v>
      </c>
      <c r="AV10" s="10">
        <f t="shared" si="35"/>
        <v>3.9118422195835376E-2</v>
      </c>
      <c r="AW10" s="10">
        <f t="shared" si="36"/>
        <v>3.0735903153870658E-2</v>
      </c>
      <c r="AX10" s="10">
        <f t="shared" si="37"/>
        <v>0.11952851226505254</v>
      </c>
      <c r="AY10" s="10">
        <f t="shared" si="38"/>
        <v>9.3915259636827023E-2</v>
      </c>
      <c r="AZ10" s="10">
        <f t="shared" si="39"/>
        <v>1.086622838773205E-2</v>
      </c>
      <c r="BA10" s="10">
        <f t="shared" si="40"/>
        <v>8.5377508760751831E-3</v>
      </c>
      <c r="BB10" s="10">
        <f t="shared" si="41"/>
        <v>1.086622838773205E-2</v>
      </c>
      <c r="BC10" s="10">
        <f t="shared" si="42"/>
        <v>8.5377508760751831E-3</v>
      </c>
      <c r="BD10" s="10">
        <f t="shared" si="43"/>
        <v>4.34649135509282E-2</v>
      </c>
      <c r="BE10" s="10">
        <f t="shared" si="44"/>
        <v>3.4151003504300732E-2</v>
      </c>
      <c r="BF10" s="10">
        <f t="shared" si="50"/>
        <v>5.4331141938660246E-2</v>
      </c>
      <c r="BG10" s="10">
        <f t="shared" si="51"/>
        <v>4.2688754380375921E-2</v>
      </c>
      <c r="BH10" s="10">
        <f t="shared" si="52"/>
        <v>0</v>
      </c>
      <c r="BI10" s="10">
        <f t="shared" si="53"/>
        <v>0</v>
      </c>
      <c r="BJ10" s="10">
        <f t="shared" si="52"/>
        <v>0</v>
      </c>
      <c r="BK10" s="10">
        <f t="shared" si="53"/>
        <v>0</v>
      </c>
      <c r="BL10" s="10">
        <f t="shared" ref="BL10" si="535">$B10/$B$31*$D10*BM$31</f>
        <v>0</v>
      </c>
      <c r="BM10" s="10">
        <f t="shared" si="53"/>
        <v>0</v>
      </c>
      <c r="BN10" s="10">
        <f t="shared" ref="BN10" si="536">$B10/$B$31*$D10*BO$31</f>
        <v>0</v>
      </c>
      <c r="BO10" s="10">
        <f t="shared" si="53"/>
        <v>0</v>
      </c>
      <c r="BP10" s="10">
        <f t="shared" ref="BP10" si="537">$B10/$B$31*$D10*BQ$31</f>
        <v>0</v>
      </c>
      <c r="BQ10" s="10">
        <f t="shared" si="53"/>
        <v>0</v>
      </c>
      <c r="BR10" s="10">
        <f t="shared" ref="BR10" si="538">$B10/$B$31*$D10*BS$31</f>
        <v>0</v>
      </c>
      <c r="BS10" s="10">
        <f t="shared" si="53"/>
        <v>0</v>
      </c>
      <c r="BT10" s="10">
        <f t="shared" ref="BT10" si="539">$B10/$B$31*$D10*BU$31</f>
        <v>0</v>
      </c>
      <c r="BU10" s="10">
        <f t="shared" si="53"/>
        <v>0</v>
      </c>
      <c r="BV10" s="10">
        <f t="shared" ref="BV10" si="540">$B10/$B$31*$D10*BW$31</f>
        <v>0</v>
      </c>
      <c r="BW10" s="10">
        <f t="shared" si="53"/>
        <v>0</v>
      </c>
      <c r="BX10" s="10">
        <f t="shared" ref="BX10" si="541">$B10/$B$31*$D10*BY$31</f>
        <v>0</v>
      </c>
      <c r="BY10" s="10">
        <f t="shared" si="53"/>
        <v>0</v>
      </c>
      <c r="BZ10" s="10">
        <f t="shared" ref="BZ10" si="542">$B10/$B$31*$D10*CA$31</f>
        <v>0</v>
      </c>
      <c r="CA10" s="10">
        <f t="shared" si="53"/>
        <v>0</v>
      </c>
      <c r="CB10" s="10">
        <f t="shared" ref="CB10" si="543">$B10/$B$31*$D10*CC$31</f>
        <v>0</v>
      </c>
      <c r="CC10" s="10">
        <f t="shared" si="63"/>
        <v>0</v>
      </c>
      <c r="CD10" s="10">
        <f t="shared" ref="CD10" si="544">$B10/$B$31*$D10*CE$31</f>
        <v>0</v>
      </c>
      <c r="CE10" s="10">
        <f t="shared" si="65"/>
        <v>0</v>
      </c>
      <c r="CF10" s="10">
        <f t="shared" ref="CF10" si="545">$B10/$B$31*$D10*CG$31</f>
        <v>0</v>
      </c>
      <c r="CG10" s="10">
        <f t="shared" si="67"/>
        <v>0</v>
      </c>
      <c r="CH10" s="10">
        <f t="shared" ref="CH10" si="546">$B10/$B$31*$D10*CI$31</f>
        <v>0</v>
      </c>
      <c r="CI10" s="10">
        <f t="shared" si="69"/>
        <v>0</v>
      </c>
      <c r="CJ10" s="10">
        <f t="shared" ref="CJ10" si="547">$B10/$B$31*$D10*CK$31</f>
        <v>0</v>
      </c>
      <c r="CK10" s="10">
        <f t="shared" si="71"/>
        <v>0</v>
      </c>
      <c r="CL10" s="10">
        <f t="shared" ref="CL10" si="548">$B10/$B$31*$D10*CM$31</f>
        <v>0</v>
      </c>
      <c r="CM10" s="10">
        <f t="shared" si="73"/>
        <v>0</v>
      </c>
      <c r="CN10" s="10">
        <f t="shared" ref="CN10" si="549">$B10/$B$31*$D10*CO$31</f>
        <v>0</v>
      </c>
      <c r="CO10" s="10">
        <f t="shared" si="75"/>
        <v>0</v>
      </c>
      <c r="CP10" s="10">
        <f t="shared" ref="CP10" si="550">$B10/$B$31*$D10*CQ$31</f>
        <v>0</v>
      </c>
      <c r="CQ10" s="10">
        <f t="shared" si="77"/>
        <v>0</v>
      </c>
      <c r="CR10" s="10">
        <f t="shared" ref="CR10" si="551">$B10/$B$31*$D10*CS$31</f>
        <v>0</v>
      </c>
      <c r="CS10" s="10">
        <f t="shared" si="79"/>
        <v>0</v>
      </c>
      <c r="CT10" s="10">
        <f t="shared" ref="CT10" si="552">$B10/$B$31*$D10*CU$31</f>
        <v>0</v>
      </c>
      <c r="CU10" s="10">
        <f t="shared" si="81"/>
        <v>0</v>
      </c>
      <c r="CV10" s="10">
        <f t="shared" ref="CV10" si="553">$B10/$B$31*$D10*CW$31</f>
        <v>0</v>
      </c>
      <c r="CW10" s="10">
        <f t="shared" si="83"/>
        <v>0</v>
      </c>
      <c r="CX10" s="10">
        <f t="shared" ref="CX10" si="554">$B10/$B$31*$D10*CY$31</f>
        <v>0</v>
      </c>
      <c r="CY10" s="10">
        <f t="shared" si="85"/>
        <v>0</v>
      </c>
      <c r="CZ10" s="10">
        <f t="shared" ref="CZ10" si="555">$B10/$B$31*$D10*DA$31</f>
        <v>0</v>
      </c>
      <c r="DA10" s="10">
        <f t="shared" si="87"/>
        <v>0</v>
      </c>
      <c r="DB10" s="10">
        <f t="shared" ref="DB10" si="556">$B10/$B$31*$D10*DC$31</f>
        <v>0</v>
      </c>
      <c r="DC10" s="10">
        <f t="shared" si="89"/>
        <v>0</v>
      </c>
      <c r="DD10" s="10">
        <f t="shared" ref="DD10" si="557">$B10/$B$31*$D10*DE$31</f>
        <v>0</v>
      </c>
      <c r="DE10" s="10">
        <f t="shared" si="91"/>
        <v>0</v>
      </c>
      <c r="DF10" s="10">
        <f t="shared" ref="DF10" si="558">$B10/$B$31*$D10*DG$31</f>
        <v>0</v>
      </c>
      <c r="DG10" s="10">
        <f t="shared" si="93"/>
        <v>0</v>
      </c>
      <c r="DH10" s="10">
        <f t="shared" ref="DH10" si="559">$B10/$B$31*$D10*DI$31</f>
        <v>0</v>
      </c>
      <c r="DI10" s="10">
        <f t="shared" si="95"/>
        <v>0</v>
      </c>
      <c r="DJ10" s="10">
        <f t="shared" ref="DJ10" si="560">$B10/$B$31*$D10*DK$31</f>
        <v>0</v>
      </c>
      <c r="DK10" s="10">
        <f t="shared" si="97"/>
        <v>0</v>
      </c>
      <c r="DL10" s="10">
        <f t="shared" ref="DL10" si="561">$B10/$B$31*$D10*DM$31</f>
        <v>0</v>
      </c>
      <c r="DM10" s="10">
        <f t="shared" si="99"/>
        <v>0</v>
      </c>
      <c r="DN10" s="10">
        <f t="shared" ref="DN10" si="562">$B10/$B$31*$D10*DO$31</f>
        <v>0</v>
      </c>
      <c r="DO10" s="10">
        <f t="shared" si="101"/>
        <v>0</v>
      </c>
      <c r="DP10" s="10">
        <f t="shared" ref="DP10" si="563">$B10/$B$31*$D10*DQ$31</f>
        <v>0</v>
      </c>
      <c r="DQ10" s="10">
        <f t="shared" si="103"/>
        <v>0</v>
      </c>
      <c r="DR10" s="10">
        <f t="shared" ref="DR10" si="564">$B10/$B$31*$D10*DS$31</f>
        <v>0</v>
      </c>
      <c r="DS10" s="10">
        <f t="shared" si="105"/>
        <v>0</v>
      </c>
      <c r="DT10" s="10">
        <f t="shared" ref="DT10" si="565">$B10/$B$31*$D10*DU$31</f>
        <v>0</v>
      </c>
      <c r="DU10" s="10">
        <f t="shared" si="107"/>
        <v>0</v>
      </c>
      <c r="DV10" s="10">
        <f t="shared" ref="DV10" si="566">$B10/$B$31*$D10*DW$31</f>
        <v>0</v>
      </c>
      <c r="DW10" s="10">
        <f t="shared" si="109"/>
        <v>0</v>
      </c>
      <c r="DX10" s="10">
        <f t="shared" ref="DX10" si="567">$B10/$B$31*$D10*DY$31</f>
        <v>0</v>
      </c>
      <c r="DY10" s="10">
        <f t="shared" si="111"/>
        <v>0</v>
      </c>
      <c r="DZ10" s="10">
        <f t="shared" ref="DZ10" si="568">$B10/$B$31*$D10*EA$31</f>
        <v>0</v>
      </c>
      <c r="EA10" s="10">
        <f t="shared" si="113"/>
        <v>0</v>
      </c>
      <c r="EB10" s="10">
        <f t="shared" ref="EB10" si="569">$B10/$B$31*$D10*EC$31</f>
        <v>0</v>
      </c>
      <c r="EC10" s="10">
        <f t="shared" si="115"/>
        <v>0</v>
      </c>
      <c r="ED10" s="10">
        <f t="shared" ref="ED10" si="570">$B10/$B$31*$D10*EE$31</f>
        <v>0</v>
      </c>
      <c r="EE10" s="10">
        <f t="shared" si="117"/>
        <v>0</v>
      </c>
      <c r="EF10" s="10">
        <f t="shared" ref="EF10" si="571">$B10/$B$31*$D10*EG$31</f>
        <v>0</v>
      </c>
      <c r="EG10" s="10">
        <f t="shared" si="119"/>
        <v>0</v>
      </c>
      <c r="EH10" s="10">
        <f t="shared" ref="EH10" si="572">$B10/$B$31*$D10*EI$31</f>
        <v>0</v>
      </c>
      <c r="EI10" s="10">
        <f t="shared" si="121"/>
        <v>0</v>
      </c>
      <c r="EJ10" s="10">
        <f t="shared" ref="EJ10" si="573">$B10/$B$31*$D10*EK$31</f>
        <v>0</v>
      </c>
      <c r="EK10" s="10">
        <f t="shared" si="123"/>
        <v>0</v>
      </c>
      <c r="EL10" s="10">
        <f t="shared" ref="EL10" si="574">$B10/$B$31*$D10*EM$31</f>
        <v>0</v>
      </c>
      <c r="EM10" s="10">
        <f t="shared" si="125"/>
        <v>0</v>
      </c>
      <c r="EN10" s="10">
        <f t="shared" ref="EN10" si="575">$B10/$B$31*$D10*EO$31</f>
        <v>0</v>
      </c>
      <c r="EO10" s="10">
        <f t="shared" si="127"/>
        <v>0</v>
      </c>
      <c r="EP10" s="10">
        <f t="shared" ref="EP10" si="576">$B10/$B$31*$D10*EQ$31</f>
        <v>0</v>
      </c>
      <c r="EQ10" s="10">
        <f t="shared" si="129"/>
        <v>0</v>
      </c>
      <c r="ER10" s="10">
        <f t="shared" ref="ER10" si="577">$B10/$B$31*$D10*ES$31</f>
        <v>0</v>
      </c>
      <c r="ES10" s="10">
        <f t="shared" si="131"/>
        <v>0</v>
      </c>
      <c r="ET10" s="10">
        <f t="shared" ref="ET10" si="578">$B10/$B$31*$D10*EU$31</f>
        <v>0</v>
      </c>
      <c r="EU10" s="10">
        <f t="shared" si="133"/>
        <v>0</v>
      </c>
      <c r="EV10" s="10">
        <f t="shared" ref="EV10" si="579">$B10/$B$31*$D10*EW$31</f>
        <v>0</v>
      </c>
      <c r="EW10" s="10">
        <f t="shared" si="133"/>
        <v>0</v>
      </c>
      <c r="EX10" s="10">
        <f t="shared" ref="EX10" si="580">$B10/$B$31*$D10*EY$31</f>
        <v>0</v>
      </c>
      <c r="EY10" s="10">
        <f t="shared" si="133"/>
        <v>0</v>
      </c>
      <c r="EZ10" s="10">
        <f t="shared" ref="EZ10" si="581">$B10/$B$31*$D10*FA$31</f>
        <v>0</v>
      </c>
      <c r="FA10" s="10">
        <f t="shared" si="133"/>
        <v>0</v>
      </c>
      <c r="FB10" s="10">
        <f t="shared" ref="FB10" si="582">$B10/$B$31*$D10*FC$31</f>
        <v>0</v>
      </c>
      <c r="FC10" s="10">
        <f t="shared" si="133"/>
        <v>0</v>
      </c>
      <c r="FD10" s="10">
        <f t="shared" ref="FD10" si="583">$B10/$B$31*$D10*FE$31</f>
        <v>0</v>
      </c>
      <c r="FE10" s="10">
        <f t="shared" si="133"/>
        <v>0</v>
      </c>
      <c r="FF10" s="10">
        <f t="shared" ref="FF10" si="584">$B10/$B$31*$D10*FG$31</f>
        <v>0</v>
      </c>
      <c r="FG10" s="10">
        <f t="shared" si="133"/>
        <v>0</v>
      </c>
      <c r="FH10" s="10">
        <f t="shared" ref="FH10" si="585">$B10/$B$31*$D10*FI$31</f>
        <v>0</v>
      </c>
      <c r="FI10" s="10">
        <f t="shared" si="133"/>
        <v>0</v>
      </c>
      <c r="FJ10" s="10">
        <f t="shared" ref="FJ10" si="586">$B10/$B$31*$D10*FK$31</f>
        <v>0</v>
      </c>
      <c r="FK10" s="10">
        <f t="shared" si="133"/>
        <v>0</v>
      </c>
      <c r="FL10" s="10">
        <f t="shared" ref="FL10" si="587">$B10/$B$31*$D10*FM$31</f>
        <v>0</v>
      </c>
      <c r="FM10" s="10">
        <f t="shared" si="133"/>
        <v>0</v>
      </c>
      <c r="FN10" s="10">
        <f t="shared" ref="FN10" si="588">$B10/$B$31*$D10*FO$31</f>
        <v>0</v>
      </c>
      <c r="FO10" s="10">
        <f t="shared" si="144"/>
        <v>0</v>
      </c>
      <c r="FP10" s="10">
        <f t="shared" ref="FP10" si="589">$B10/$B$31*$D10*FQ$31</f>
        <v>0</v>
      </c>
      <c r="FQ10" s="10">
        <f t="shared" si="146"/>
        <v>0</v>
      </c>
      <c r="FR10" s="10">
        <f t="shared" ref="FR10" si="590">$B10/$B$31*$D10*FS$31</f>
        <v>0</v>
      </c>
      <c r="FS10" s="10">
        <f t="shared" si="148"/>
        <v>0</v>
      </c>
      <c r="FT10" s="10">
        <f t="shared" ref="FT10" si="591">$B10/$B$31*$D10*FU$31</f>
        <v>0</v>
      </c>
      <c r="FU10" s="10">
        <f t="shared" si="150"/>
        <v>0</v>
      </c>
      <c r="FV10" s="10">
        <f t="shared" ref="FV10" si="592">$B10/$B$31*$D10*FW$31</f>
        <v>0</v>
      </c>
      <c r="FW10" s="10">
        <f t="shared" si="152"/>
        <v>0</v>
      </c>
      <c r="FX10" s="10">
        <f t="shared" ref="FX10" si="593">$B10/$B$31*$D10*FY$31</f>
        <v>0</v>
      </c>
      <c r="FY10" s="10">
        <f t="shared" si="154"/>
        <v>0</v>
      </c>
      <c r="FZ10" s="10">
        <f t="shared" ref="FZ10" si="594">$B10/$B$31*$D10*GA$31</f>
        <v>0</v>
      </c>
      <c r="GA10" s="10">
        <f t="shared" si="156"/>
        <v>0</v>
      </c>
      <c r="GB10" s="10">
        <f t="shared" ref="GB10" si="595">$B10/$B$31*$D10*GC$31</f>
        <v>0</v>
      </c>
      <c r="GC10" s="10">
        <f t="shared" si="158"/>
        <v>0</v>
      </c>
      <c r="GD10" s="10">
        <f t="shared" ref="GD10" si="596">$B10/$B$31*$D10*GE$31</f>
        <v>0</v>
      </c>
      <c r="GE10" s="10">
        <f t="shared" si="160"/>
        <v>0</v>
      </c>
      <c r="GF10" s="10">
        <f t="shared" ref="GF10" si="597">$B10/$B$31*$D10*GG$31</f>
        <v>0</v>
      </c>
      <c r="GG10" s="10">
        <f t="shared" si="162"/>
        <v>0</v>
      </c>
      <c r="GH10" s="10">
        <f t="shared" ref="GH10" si="598">$B10/$B$31*$D10*GI$31</f>
        <v>0</v>
      </c>
      <c r="GI10" s="10">
        <f t="shared" si="164"/>
        <v>0</v>
      </c>
      <c r="GJ10" s="10">
        <f t="shared" ref="GJ10" si="599">$B10/$B$31*$D10*GK$31</f>
        <v>0</v>
      </c>
      <c r="GK10" s="10">
        <f t="shared" si="166"/>
        <v>0</v>
      </c>
      <c r="GL10" s="10">
        <f t="shared" ref="GL10" si="600">$B10/$B$31*$D10*GM$31</f>
        <v>0</v>
      </c>
      <c r="GM10" s="10">
        <f t="shared" si="168"/>
        <v>0</v>
      </c>
      <c r="GN10" s="10">
        <f t="shared" ref="GN10" si="601">$B10/$B$31*$D10*GO$31</f>
        <v>0</v>
      </c>
      <c r="GO10" s="10">
        <f t="shared" si="170"/>
        <v>0</v>
      </c>
      <c r="GP10" s="10">
        <f t="shared" ref="GP10" si="602">$B10/$B$31*$D10*GQ$31</f>
        <v>0</v>
      </c>
      <c r="GQ10" s="10">
        <f t="shared" si="172"/>
        <v>0</v>
      </c>
      <c r="GR10" s="10">
        <f t="shared" ref="GR10" si="603">$B10/$B$31*$D10*GS$31</f>
        <v>0</v>
      </c>
      <c r="GS10" s="10">
        <f t="shared" si="174"/>
        <v>0</v>
      </c>
      <c r="GT10" s="10">
        <f t="shared" ref="GT10" si="604">$B10/$B$31*$D10*GU$31</f>
        <v>0</v>
      </c>
      <c r="GU10" s="10">
        <f t="shared" si="176"/>
        <v>0</v>
      </c>
      <c r="GV10" s="10">
        <f t="shared" ref="GV10" si="605">$B10/$B$31*$D10*GW$31</f>
        <v>0</v>
      </c>
      <c r="GW10" s="10">
        <f t="shared" si="178"/>
        <v>0</v>
      </c>
      <c r="GX10" s="10">
        <f t="shared" ref="GX10" si="606">$B10/$B$31*$D10*GY$31</f>
        <v>0</v>
      </c>
      <c r="GY10" s="10">
        <f t="shared" si="180"/>
        <v>0</v>
      </c>
      <c r="GZ10" s="10">
        <f t="shared" ref="GZ10" si="607">$B10/$B$31*$D10*HA$31</f>
        <v>0</v>
      </c>
      <c r="HA10" s="10">
        <f t="shared" si="182"/>
        <v>0</v>
      </c>
      <c r="HB10" s="10">
        <f t="shared" ref="HB10" si="608">$B10/$B$31*$D10*HC$31</f>
        <v>0</v>
      </c>
      <c r="HC10" s="10">
        <f t="shared" si="184"/>
        <v>0</v>
      </c>
      <c r="HD10" s="10">
        <f t="shared" ref="HD10" si="609">$B10/$B$31*$D10*HE$31</f>
        <v>0</v>
      </c>
      <c r="HE10" s="10">
        <f t="shared" si="186"/>
        <v>0</v>
      </c>
      <c r="HF10" s="10">
        <f t="shared" ref="HF10" si="610">$B10/$B$31*$D10*HG$31</f>
        <v>0</v>
      </c>
      <c r="HG10" s="10">
        <f t="shared" si="188"/>
        <v>0</v>
      </c>
      <c r="HH10" s="10">
        <f t="shared" ref="HH10" si="611">$B10/$B$31*$D10*HI$31</f>
        <v>0</v>
      </c>
      <c r="HI10" s="10">
        <f t="shared" si="190"/>
        <v>0</v>
      </c>
      <c r="HJ10" s="10">
        <f t="shared" ref="HJ10" si="612">$B10/$B$31*$D10*HK$31</f>
        <v>0</v>
      </c>
      <c r="HK10" s="10">
        <f t="shared" si="192"/>
        <v>0</v>
      </c>
      <c r="HL10" s="10">
        <f t="shared" ref="HL10" si="613">$B10/$B$31*$D10*HM$31</f>
        <v>0</v>
      </c>
      <c r="HM10" s="10">
        <f t="shared" si="194"/>
        <v>0</v>
      </c>
      <c r="HN10" s="10">
        <f t="shared" ref="HN10" si="614">$B10/$B$31*$D10*HO$31</f>
        <v>0</v>
      </c>
      <c r="HO10" s="10">
        <f t="shared" si="196"/>
        <v>0</v>
      </c>
      <c r="HP10" s="10">
        <f t="shared" ref="HP10" si="615">$B10/$B$31*$D10*HQ$31</f>
        <v>0</v>
      </c>
      <c r="HQ10" s="10">
        <f t="shared" si="198"/>
        <v>0</v>
      </c>
      <c r="HR10" s="10">
        <f t="shared" ref="HR10" si="616">$B10/$B$31*$D10*HS$31</f>
        <v>0</v>
      </c>
      <c r="HS10" s="10">
        <f t="shared" si="200"/>
        <v>0</v>
      </c>
      <c r="HT10" s="10">
        <f t="shared" ref="HT10" si="617">$B10/$B$31*$D10*HU$31</f>
        <v>0</v>
      </c>
      <c r="HU10" s="10">
        <f t="shared" si="202"/>
        <v>0</v>
      </c>
      <c r="HV10" s="10"/>
      <c r="HW10" s="10"/>
      <c r="HX10" s="10"/>
    </row>
    <row r="11" spans="1:232" x14ac:dyDescent="0.3">
      <c r="A11" s="18">
        <f>参数调整!A11</f>
        <v>8</v>
      </c>
      <c r="B11" s="170">
        <f>参数调整!B11</f>
        <v>3.1</v>
      </c>
      <c r="C11" s="10">
        <f>参数调整!F11</f>
        <v>1.2</v>
      </c>
      <c r="D11" s="10">
        <f>参数调整!G11</f>
        <v>1.5</v>
      </c>
      <c r="E11" s="15">
        <f>基本属性!B11</f>
        <v>80</v>
      </c>
      <c r="F11" s="15">
        <f>基本属性!C11</f>
        <v>1</v>
      </c>
      <c r="G11" s="271"/>
      <c r="H11" s="10">
        <f t="shared" si="45"/>
        <v>4240766073.8714089</v>
      </c>
      <c r="I11" s="188">
        <f t="shared" si="0"/>
        <v>3392612859.097127</v>
      </c>
      <c r="J11" s="10">
        <f t="shared" si="1"/>
        <v>175406.05912070526</v>
      </c>
      <c r="K11" s="10">
        <f t="shared" si="2"/>
        <v>140324.8472965642</v>
      </c>
      <c r="L11" s="10">
        <f t="shared" si="46"/>
        <v>2.3353259749264468</v>
      </c>
      <c r="M11" s="10">
        <f t="shared" si="47"/>
        <v>1.8682607799411575</v>
      </c>
      <c r="N11" s="10">
        <f t="shared" si="48"/>
        <v>16.988508891928863</v>
      </c>
      <c r="O11" s="10">
        <f t="shared" si="49"/>
        <v>13.590807113543091</v>
      </c>
      <c r="P11" s="10">
        <f t="shared" si="3"/>
        <v>327.24578203374375</v>
      </c>
      <c r="Q11" s="10">
        <f t="shared" si="4"/>
        <v>261.79662562699497</v>
      </c>
      <c r="R11" s="10">
        <f t="shared" si="5"/>
        <v>1.0347469220246237</v>
      </c>
      <c r="S11" s="10">
        <f t="shared" si="6"/>
        <v>0.82779753761969899</v>
      </c>
      <c r="T11" s="10">
        <f t="shared" si="7"/>
        <v>1.5451633092817609</v>
      </c>
      <c r="U11" s="10">
        <f t="shared" si="8"/>
        <v>1.2361306474254086</v>
      </c>
      <c r="V11" s="10">
        <f t="shared" si="9"/>
        <v>1.5451633092817609</v>
      </c>
      <c r="W11" s="10">
        <f t="shared" si="10"/>
        <v>1.2361306474254086</v>
      </c>
      <c r="X11" s="10">
        <f t="shared" si="11"/>
        <v>1.5451633092817609</v>
      </c>
      <c r="Y11" s="10">
        <f t="shared" si="12"/>
        <v>1.2361306474254086</v>
      </c>
      <c r="Z11" s="10">
        <f t="shared" si="13"/>
        <v>1.5451633092817609</v>
      </c>
      <c r="AA11" s="10">
        <f t="shared" si="14"/>
        <v>1.2361306474254086</v>
      </c>
      <c r="AB11" s="10">
        <f t="shared" si="15"/>
        <v>39.608755129958958</v>
      </c>
      <c r="AC11" s="10">
        <f t="shared" si="16"/>
        <v>31.687004103967165</v>
      </c>
      <c r="AD11" s="10">
        <f t="shared" si="17"/>
        <v>11.865793959802168</v>
      </c>
      <c r="AE11" s="10">
        <f t="shared" si="18"/>
        <v>9.4926351678417333</v>
      </c>
      <c r="AF11" s="10">
        <f t="shared" si="19"/>
        <v>5.9328969799010842</v>
      </c>
      <c r="AG11" s="10">
        <f t="shared" si="20"/>
        <v>4.7463175839208667</v>
      </c>
      <c r="AH11" s="10">
        <f t="shared" si="21"/>
        <v>1.1865793959802169</v>
      </c>
      <c r="AI11" s="10">
        <f t="shared" si="22"/>
        <v>0.94926351678417342</v>
      </c>
      <c r="AJ11" s="10">
        <f t="shared" si="23"/>
        <v>13.560473163273516</v>
      </c>
      <c r="AK11" s="10">
        <f t="shared" si="24"/>
        <v>10.848378530618811</v>
      </c>
      <c r="AL11" s="10">
        <f t="shared" si="25"/>
        <v>6.7802365816367578</v>
      </c>
      <c r="AM11" s="10">
        <f t="shared" si="26"/>
        <v>5.4241892653094057</v>
      </c>
      <c r="AN11" s="10">
        <f t="shared" si="27"/>
        <v>1.3560473163273516</v>
      </c>
      <c r="AO11" s="10">
        <f t="shared" si="28"/>
        <v>1.0848378530618812</v>
      </c>
      <c r="AP11" s="10">
        <f t="shared" si="29"/>
        <v>0.64336102853920707</v>
      </c>
      <c r="AQ11" s="10">
        <f t="shared" si="30"/>
        <v>0.51468882283136563</v>
      </c>
      <c r="AR11" s="10">
        <f t="shared" si="31"/>
        <v>8.4920944542779889E-3</v>
      </c>
      <c r="AS11" s="10">
        <f t="shared" si="32"/>
        <v>6.7936755634223911E-3</v>
      </c>
      <c r="AT11" s="10">
        <f t="shared" si="33"/>
        <v>8.4920944542779889E-3</v>
      </c>
      <c r="AU11" s="10">
        <f t="shared" si="34"/>
        <v>6.7936755634223911E-3</v>
      </c>
      <c r="AV11" s="10">
        <f t="shared" si="35"/>
        <v>7.6428850088501893E-2</v>
      </c>
      <c r="AW11" s="10">
        <f t="shared" si="36"/>
        <v>6.1143080070801513E-2</v>
      </c>
      <c r="AX11" s="10">
        <f t="shared" si="37"/>
        <v>0.23353259749264471</v>
      </c>
      <c r="AY11" s="10">
        <f t="shared" si="38"/>
        <v>0.18682607799411574</v>
      </c>
      <c r="AZ11" s="10">
        <f t="shared" si="39"/>
        <v>2.1230236135694972E-2</v>
      </c>
      <c r="BA11" s="10">
        <f t="shared" si="40"/>
        <v>1.6984188908555978E-2</v>
      </c>
      <c r="BB11" s="10">
        <f t="shared" si="41"/>
        <v>2.1230236135694972E-2</v>
      </c>
      <c r="BC11" s="10">
        <f t="shared" si="42"/>
        <v>1.6984188908555978E-2</v>
      </c>
      <c r="BD11" s="10">
        <f t="shared" si="43"/>
        <v>8.4920944542779889E-2</v>
      </c>
      <c r="BE11" s="10">
        <f t="shared" si="44"/>
        <v>6.7936755634223911E-2</v>
      </c>
      <c r="BF11" s="10">
        <f t="shared" si="50"/>
        <v>0.10615118067847487</v>
      </c>
      <c r="BG11" s="10">
        <f t="shared" si="51"/>
        <v>8.4920944542779889E-2</v>
      </c>
      <c r="BH11" s="10">
        <f t="shared" si="52"/>
        <v>0</v>
      </c>
      <c r="BI11" s="10">
        <f t="shared" si="53"/>
        <v>0</v>
      </c>
      <c r="BJ11" s="10">
        <f t="shared" si="52"/>
        <v>0</v>
      </c>
      <c r="BK11" s="10">
        <f t="shared" si="53"/>
        <v>0</v>
      </c>
      <c r="BL11" s="10">
        <f t="shared" ref="BL11" si="618">$B11/$B$31*$D11*BM$31</f>
        <v>0</v>
      </c>
      <c r="BM11" s="10">
        <f t="shared" si="53"/>
        <v>0</v>
      </c>
      <c r="BN11" s="10">
        <f t="shared" ref="BN11" si="619">$B11/$B$31*$D11*BO$31</f>
        <v>0</v>
      </c>
      <c r="BO11" s="10">
        <f t="shared" si="53"/>
        <v>0</v>
      </c>
      <c r="BP11" s="10">
        <f t="shared" ref="BP11" si="620">$B11/$B$31*$D11*BQ$31</f>
        <v>0</v>
      </c>
      <c r="BQ11" s="10">
        <f t="shared" si="53"/>
        <v>0</v>
      </c>
      <c r="BR11" s="10">
        <f t="shared" ref="BR11" si="621">$B11/$B$31*$D11*BS$31</f>
        <v>0</v>
      </c>
      <c r="BS11" s="10">
        <f t="shared" si="53"/>
        <v>0</v>
      </c>
      <c r="BT11" s="10">
        <f t="shared" ref="BT11" si="622">$B11/$B$31*$D11*BU$31</f>
        <v>0</v>
      </c>
      <c r="BU11" s="10">
        <f t="shared" si="53"/>
        <v>0</v>
      </c>
      <c r="BV11" s="10">
        <f t="shared" ref="BV11" si="623">$B11/$B$31*$D11*BW$31</f>
        <v>0</v>
      </c>
      <c r="BW11" s="10">
        <f t="shared" si="53"/>
        <v>0</v>
      </c>
      <c r="BX11" s="10">
        <f t="shared" ref="BX11" si="624">$B11/$B$31*$D11*BY$31</f>
        <v>0</v>
      </c>
      <c r="BY11" s="10">
        <f t="shared" si="53"/>
        <v>0</v>
      </c>
      <c r="BZ11" s="10">
        <f t="shared" ref="BZ11" si="625">$B11/$B$31*$D11*CA$31</f>
        <v>0</v>
      </c>
      <c r="CA11" s="10">
        <f t="shared" si="53"/>
        <v>0</v>
      </c>
      <c r="CB11" s="10">
        <f t="shared" ref="CB11" si="626">$B11/$B$31*$D11*CC$31</f>
        <v>0</v>
      </c>
      <c r="CC11" s="10">
        <f t="shared" si="63"/>
        <v>0</v>
      </c>
      <c r="CD11" s="10">
        <f t="shared" ref="CD11" si="627">$B11/$B$31*$D11*CE$31</f>
        <v>0</v>
      </c>
      <c r="CE11" s="10">
        <f t="shared" si="65"/>
        <v>0</v>
      </c>
      <c r="CF11" s="10">
        <f t="shared" ref="CF11" si="628">$B11/$B$31*$D11*CG$31</f>
        <v>0</v>
      </c>
      <c r="CG11" s="10">
        <f t="shared" si="67"/>
        <v>0</v>
      </c>
      <c r="CH11" s="10">
        <f t="shared" ref="CH11" si="629">$B11/$B$31*$D11*CI$31</f>
        <v>0</v>
      </c>
      <c r="CI11" s="10">
        <f t="shared" si="69"/>
        <v>0</v>
      </c>
      <c r="CJ11" s="10">
        <f t="shared" ref="CJ11" si="630">$B11/$B$31*$D11*CK$31</f>
        <v>0</v>
      </c>
      <c r="CK11" s="10">
        <f t="shared" si="71"/>
        <v>0</v>
      </c>
      <c r="CL11" s="10">
        <f t="shared" ref="CL11" si="631">$B11/$B$31*$D11*CM$31</f>
        <v>0</v>
      </c>
      <c r="CM11" s="10">
        <f t="shared" si="73"/>
        <v>0</v>
      </c>
      <c r="CN11" s="10">
        <f t="shared" ref="CN11" si="632">$B11/$B$31*$D11*CO$31</f>
        <v>0</v>
      </c>
      <c r="CO11" s="10">
        <f t="shared" si="75"/>
        <v>0</v>
      </c>
      <c r="CP11" s="10">
        <f t="shared" ref="CP11" si="633">$B11/$B$31*$D11*CQ$31</f>
        <v>0</v>
      </c>
      <c r="CQ11" s="10">
        <f t="shared" si="77"/>
        <v>0</v>
      </c>
      <c r="CR11" s="10">
        <f t="shared" ref="CR11" si="634">$B11/$B$31*$D11*CS$31</f>
        <v>0</v>
      </c>
      <c r="CS11" s="10">
        <f t="shared" si="79"/>
        <v>0</v>
      </c>
      <c r="CT11" s="10">
        <f t="shared" ref="CT11" si="635">$B11/$B$31*$D11*CU$31</f>
        <v>0</v>
      </c>
      <c r="CU11" s="10">
        <f t="shared" si="81"/>
        <v>0</v>
      </c>
      <c r="CV11" s="10">
        <f t="shared" ref="CV11" si="636">$B11/$B$31*$D11*CW$31</f>
        <v>0</v>
      </c>
      <c r="CW11" s="10">
        <f t="shared" si="83"/>
        <v>0</v>
      </c>
      <c r="CX11" s="10">
        <f t="shared" ref="CX11" si="637">$B11/$B$31*$D11*CY$31</f>
        <v>0</v>
      </c>
      <c r="CY11" s="10">
        <f t="shared" si="85"/>
        <v>0</v>
      </c>
      <c r="CZ11" s="10">
        <f t="shared" ref="CZ11" si="638">$B11/$B$31*$D11*DA$31</f>
        <v>0</v>
      </c>
      <c r="DA11" s="10">
        <f t="shared" si="87"/>
        <v>0</v>
      </c>
      <c r="DB11" s="10">
        <f t="shared" ref="DB11" si="639">$B11/$B$31*$D11*DC$31</f>
        <v>0</v>
      </c>
      <c r="DC11" s="10">
        <f t="shared" si="89"/>
        <v>0</v>
      </c>
      <c r="DD11" s="10">
        <f t="shared" ref="DD11" si="640">$B11/$B$31*$D11*DE$31</f>
        <v>0</v>
      </c>
      <c r="DE11" s="10">
        <f t="shared" si="91"/>
        <v>0</v>
      </c>
      <c r="DF11" s="10">
        <f t="shared" ref="DF11" si="641">$B11/$B$31*$D11*DG$31</f>
        <v>0</v>
      </c>
      <c r="DG11" s="10">
        <f t="shared" si="93"/>
        <v>0</v>
      </c>
      <c r="DH11" s="10">
        <f t="shared" ref="DH11" si="642">$B11/$B$31*$D11*DI$31</f>
        <v>0</v>
      </c>
      <c r="DI11" s="10">
        <f t="shared" si="95"/>
        <v>0</v>
      </c>
      <c r="DJ11" s="10">
        <f t="shared" ref="DJ11" si="643">$B11/$B$31*$D11*DK$31</f>
        <v>0</v>
      </c>
      <c r="DK11" s="10">
        <f t="shared" si="97"/>
        <v>0</v>
      </c>
      <c r="DL11" s="10">
        <f t="shared" ref="DL11" si="644">$B11/$B$31*$D11*DM$31</f>
        <v>0</v>
      </c>
      <c r="DM11" s="10">
        <f t="shared" si="99"/>
        <v>0</v>
      </c>
      <c r="DN11" s="10">
        <f t="shared" ref="DN11" si="645">$B11/$B$31*$D11*DO$31</f>
        <v>0</v>
      </c>
      <c r="DO11" s="10">
        <f t="shared" si="101"/>
        <v>0</v>
      </c>
      <c r="DP11" s="10">
        <f t="shared" ref="DP11" si="646">$B11/$B$31*$D11*DQ$31</f>
        <v>0</v>
      </c>
      <c r="DQ11" s="10">
        <f t="shared" si="103"/>
        <v>0</v>
      </c>
      <c r="DR11" s="10">
        <f t="shared" ref="DR11" si="647">$B11/$B$31*$D11*DS$31</f>
        <v>0</v>
      </c>
      <c r="DS11" s="10">
        <f t="shared" si="105"/>
        <v>0</v>
      </c>
      <c r="DT11" s="10">
        <f t="shared" ref="DT11" si="648">$B11/$B$31*$D11*DU$31</f>
        <v>0</v>
      </c>
      <c r="DU11" s="10">
        <f t="shared" si="107"/>
        <v>0</v>
      </c>
      <c r="DV11" s="10">
        <f t="shared" ref="DV11" si="649">$B11/$B$31*$D11*DW$31</f>
        <v>0</v>
      </c>
      <c r="DW11" s="10">
        <f t="shared" si="109"/>
        <v>0</v>
      </c>
      <c r="DX11" s="10">
        <f t="shared" ref="DX11" si="650">$B11/$B$31*$D11*DY$31</f>
        <v>0</v>
      </c>
      <c r="DY11" s="10">
        <f t="shared" si="111"/>
        <v>0</v>
      </c>
      <c r="DZ11" s="10">
        <f t="shared" ref="DZ11" si="651">$B11/$B$31*$D11*EA$31</f>
        <v>0</v>
      </c>
      <c r="EA11" s="10">
        <f t="shared" si="113"/>
        <v>0</v>
      </c>
      <c r="EB11" s="10">
        <f t="shared" ref="EB11" si="652">$B11/$B$31*$D11*EC$31</f>
        <v>0</v>
      </c>
      <c r="EC11" s="10">
        <f t="shared" si="115"/>
        <v>0</v>
      </c>
      <c r="ED11" s="10">
        <f t="shared" ref="ED11" si="653">$B11/$B$31*$D11*EE$31</f>
        <v>0</v>
      </c>
      <c r="EE11" s="10">
        <f t="shared" si="117"/>
        <v>0</v>
      </c>
      <c r="EF11" s="10">
        <f t="shared" ref="EF11" si="654">$B11/$B$31*$D11*EG$31</f>
        <v>0</v>
      </c>
      <c r="EG11" s="10">
        <f t="shared" si="119"/>
        <v>0</v>
      </c>
      <c r="EH11" s="10">
        <f t="shared" ref="EH11" si="655">$B11/$B$31*$D11*EI$31</f>
        <v>0</v>
      </c>
      <c r="EI11" s="10">
        <f t="shared" si="121"/>
        <v>0</v>
      </c>
      <c r="EJ11" s="10">
        <f t="shared" ref="EJ11" si="656">$B11/$B$31*$D11*EK$31</f>
        <v>0</v>
      </c>
      <c r="EK11" s="10">
        <f t="shared" si="123"/>
        <v>0</v>
      </c>
      <c r="EL11" s="10">
        <f t="shared" ref="EL11" si="657">$B11/$B$31*$D11*EM$31</f>
        <v>0</v>
      </c>
      <c r="EM11" s="10">
        <f t="shared" si="125"/>
        <v>0</v>
      </c>
      <c r="EN11" s="10">
        <f t="shared" ref="EN11" si="658">$B11/$B$31*$D11*EO$31</f>
        <v>0</v>
      </c>
      <c r="EO11" s="10">
        <f t="shared" si="127"/>
        <v>0</v>
      </c>
      <c r="EP11" s="10">
        <f t="shared" ref="EP11" si="659">$B11/$B$31*$D11*EQ$31</f>
        <v>0</v>
      </c>
      <c r="EQ11" s="10">
        <f t="shared" si="129"/>
        <v>0</v>
      </c>
      <c r="ER11" s="10">
        <f t="shared" ref="ER11" si="660">$B11/$B$31*$D11*ES$31</f>
        <v>0</v>
      </c>
      <c r="ES11" s="10">
        <f t="shared" si="131"/>
        <v>0</v>
      </c>
      <c r="ET11" s="10">
        <f t="shared" ref="ET11" si="661">$B11/$B$31*$D11*EU$31</f>
        <v>0</v>
      </c>
      <c r="EU11" s="10">
        <f t="shared" si="133"/>
        <v>0</v>
      </c>
      <c r="EV11" s="10">
        <f t="shared" ref="EV11" si="662">$B11/$B$31*$D11*EW$31</f>
        <v>0</v>
      </c>
      <c r="EW11" s="10">
        <f t="shared" si="133"/>
        <v>0</v>
      </c>
      <c r="EX11" s="10">
        <f t="shared" ref="EX11" si="663">$B11/$B$31*$D11*EY$31</f>
        <v>0</v>
      </c>
      <c r="EY11" s="10">
        <f t="shared" si="133"/>
        <v>0</v>
      </c>
      <c r="EZ11" s="10">
        <f t="shared" ref="EZ11" si="664">$B11/$B$31*$D11*FA$31</f>
        <v>0</v>
      </c>
      <c r="FA11" s="10">
        <f t="shared" si="133"/>
        <v>0</v>
      </c>
      <c r="FB11" s="10">
        <f t="shared" ref="FB11" si="665">$B11/$B$31*$D11*FC$31</f>
        <v>0</v>
      </c>
      <c r="FC11" s="10">
        <f t="shared" si="133"/>
        <v>0</v>
      </c>
      <c r="FD11" s="10">
        <f t="shared" ref="FD11" si="666">$B11/$B$31*$D11*FE$31</f>
        <v>0</v>
      </c>
      <c r="FE11" s="10">
        <f t="shared" si="133"/>
        <v>0</v>
      </c>
      <c r="FF11" s="10">
        <f t="shared" ref="FF11" si="667">$B11/$B$31*$D11*FG$31</f>
        <v>0</v>
      </c>
      <c r="FG11" s="10">
        <f t="shared" si="133"/>
        <v>0</v>
      </c>
      <c r="FH11" s="10">
        <f t="shared" ref="FH11" si="668">$B11/$B$31*$D11*FI$31</f>
        <v>0</v>
      </c>
      <c r="FI11" s="10">
        <f t="shared" si="133"/>
        <v>0</v>
      </c>
      <c r="FJ11" s="10">
        <f t="shared" ref="FJ11" si="669">$B11/$B$31*$D11*FK$31</f>
        <v>0</v>
      </c>
      <c r="FK11" s="10">
        <f t="shared" si="133"/>
        <v>0</v>
      </c>
      <c r="FL11" s="10">
        <f t="shared" ref="FL11" si="670">$B11/$B$31*$D11*FM$31</f>
        <v>0</v>
      </c>
      <c r="FM11" s="10">
        <f t="shared" si="133"/>
        <v>0</v>
      </c>
      <c r="FN11" s="10">
        <f t="shared" ref="FN11" si="671">$B11/$B$31*$D11*FO$31</f>
        <v>0</v>
      </c>
      <c r="FO11" s="10">
        <f t="shared" si="144"/>
        <v>0</v>
      </c>
      <c r="FP11" s="10">
        <f t="shared" ref="FP11" si="672">$B11/$B$31*$D11*FQ$31</f>
        <v>0</v>
      </c>
      <c r="FQ11" s="10">
        <f t="shared" si="146"/>
        <v>0</v>
      </c>
      <c r="FR11" s="10">
        <f t="shared" ref="FR11" si="673">$B11/$B$31*$D11*FS$31</f>
        <v>0</v>
      </c>
      <c r="FS11" s="10">
        <f t="shared" si="148"/>
        <v>0</v>
      </c>
      <c r="FT11" s="10">
        <f t="shared" ref="FT11" si="674">$B11/$B$31*$D11*FU$31</f>
        <v>0</v>
      </c>
      <c r="FU11" s="10">
        <f t="shared" si="150"/>
        <v>0</v>
      </c>
      <c r="FV11" s="10">
        <f t="shared" ref="FV11" si="675">$B11/$B$31*$D11*FW$31</f>
        <v>0</v>
      </c>
      <c r="FW11" s="10">
        <f t="shared" si="152"/>
        <v>0</v>
      </c>
      <c r="FX11" s="10">
        <f t="shared" ref="FX11" si="676">$B11/$B$31*$D11*FY$31</f>
        <v>0</v>
      </c>
      <c r="FY11" s="10">
        <f t="shared" si="154"/>
        <v>0</v>
      </c>
      <c r="FZ11" s="10">
        <f t="shared" ref="FZ11" si="677">$B11/$B$31*$D11*GA$31</f>
        <v>0</v>
      </c>
      <c r="GA11" s="10">
        <f t="shared" si="156"/>
        <v>0</v>
      </c>
      <c r="GB11" s="10">
        <f t="shared" ref="GB11" si="678">$B11/$B$31*$D11*GC$31</f>
        <v>0</v>
      </c>
      <c r="GC11" s="10">
        <f t="shared" si="158"/>
        <v>0</v>
      </c>
      <c r="GD11" s="10">
        <f t="shared" ref="GD11" si="679">$B11/$B$31*$D11*GE$31</f>
        <v>0</v>
      </c>
      <c r="GE11" s="10">
        <f t="shared" si="160"/>
        <v>0</v>
      </c>
      <c r="GF11" s="10">
        <f t="shared" ref="GF11" si="680">$B11/$B$31*$D11*GG$31</f>
        <v>0</v>
      </c>
      <c r="GG11" s="10">
        <f t="shared" si="162"/>
        <v>0</v>
      </c>
      <c r="GH11" s="10">
        <f t="shared" ref="GH11" si="681">$B11/$B$31*$D11*GI$31</f>
        <v>0</v>
      </c>
      <c r="GI11" s="10">
        <f t="shared" si="164"/>
        <v>0</v>
      </c>
      <c r="GJ11" s="10">
        <f t="shared" ref="GJ11" si="682">$B11/$B$31*$D11*GK$31</f>
        <v>0</v>
      </c>
      <c r="GK11" s="10">
        <f t="shared" si="166"/>
        <v>0</v>
      </c>
      <c r="GL11" s="10">
        <f t="shared" ref="GL11" si="683">$B11/$B$31*$D11*GM$31</f>
        <v>0</v>
      </c>
      <c r="GM11" s="10">
        <f t="shared" si="168"/>
        <v>0</v>
      </c>
      <c r="GN11" s="10">
        <f t="shared" ref="GN11" si="684">$B11/$B$31*$D11*GO$31</f>
        <v>0</v>
      </c>
      <c r="GO11" s="10">
        <f t="shared" si="170"/>
        <v>0</v>
      </c>
      <c r="GP11" s="10">
        <f t="shared" ref="GP11" si="685">$B11/$B$31*$D11*GQ$31</f>
        <v>0</v>
      </c>
      <c r="GQ11" s="10">
        <f t="shared" si="172"/>
        <v>0</v>
      </c>
      <c r="GR11" s="10">
        <f t="shared" ref="GR11" si="686">$B11/$B$31*$D11*GS$31</f>
        <v>0</v>
      </c>
      <c r="GS11" s="10">
        <f t="shared" si="174"/>
        <v>0</v>
      </c>
      <c r="GT11" s="10">
        <f t="shared" ref="GT11" si="687">$B11/$B$31*$D11*GU$31</f>
        <v>0</v>
      </c>
      <c r="GU11" s="10">
        <f t="shared" si="176"/>
        <v>0</v>
      </c>
      <c r="GV11" s="10">
        <f t="shared" ref="GV11" si="688">$B11/$B$31*$D11*GW$31</f>
        <v>0</v>
      </c>
      <c r="GW11" s="10">
        <f t="shared" si="178"/>
        <v>0</v>
      </c>
      <c r="GX11" s="10">
        <f t="shared" ref="GX11" si="689">$B11/$B$31*$D11*GY$31</f>
        <v>0</v>
      </c>
      <c r="GY11" s="10">
        <f t="shared" si="180"/>
        <v>0</v>
      </c>
      <c r="GZ11" s="10">
        <f t="shared" ref="GZ11" si="690">$B11/$B$31*$D11*HA$31</f>
        <v>0</v>
      </c>
      <c r="HA11" s="10">
        <f t="shared" si="182"/>
        <v>0</v>
      </c>
      <c r="HB11" s="10">
        <f t="shared" ref="HB11" si="691">$B11/$B$31*$D11*HC$31</f>
        <v>0</v>
      </c>
      <c r="HC11" s="10">
        <f t="shared" si="184"/>
        <v>0</v>
      </c>
      <c r="HD11" s="10">
        <f t="shared" ref="HD11" si="692">$B11/$B$31*$D11*HE$31</f>
        <v>0</v>
      </c>
      <c r="HE11" s="10">
        <f t="shared" si="186"/>
        <v>0</v>
      </c>
      <c r="HF11" s="10">
        <f t="shared" ref="HF11" si="693">$B11/$B$31*$D11*HG$31</f>
        <v>0</v>
      </c>
      <c r="HG11" s="10">
        <f t="shared" si="188"/>
        <v>0</v>
      </c>
      <c r="HH11" s="10">
        <f t="shared" ref="HH11" si="694">$B11/$B$31*$D11*HI$31</f>
        <v>0</v>
      </c>
      <c r="HI11" s="10">
        <f t="shared" si="190"/>
        <v>0</v>
      </c>
      <c r="HJ11" s="10">
        <f t="shared" ref="HJ11" si="695">$B11/$B$31*$D11*HK$31</f>
        <v>0</v>
      </c>
      <c r="HK11" s="10">
        <f t="shared" si="192"/>
        <v>0</v>
      </c>
      <c r="HL11" s="10">
        <f t="shared" ref="HL11" si="696">$B11/$B$31*$D11*HM$31</f>
        <v>0</v>
      </c>
      <c r="HM11" s="10">
        <f t="shared" si="194"/>
        <v>0</v>
      </c>
      <c r="HN11" s="10">
        <f t="shared" ref="HN11" si="697">$B11/$B$31*$D11*HO$31</f>
        <v>0</v>
      </c>
      <c r="HO11" s="10">
        <f t="shared" si="196"/>
        <v>0</v>
      </c>
      <c r="HP11" s="10">
        <f t="shared" ref="HP11" si="698">$B11/$B$31*$D11*HQ$31</f>
        <v>0</v>
      </c>
      <c r="HQ11" s="10">
        <f t="shared" si="198"/>
        <v>0</v>
      </c>
      <c r="HR11" s="10">
        <f t="shared" ref="HR11" si="699">$B11/$B$31*$D11*HS$31</f>
        <v>0</v>
      </c>
      <c r="HS11" s="10">
        <f t="shared" si="200"/>
        <v>0</v>
      </c>
      <c r="HT11" s="10">
        <f t="shared" ref="HT11" si="700">$B11/$B$31*$D11*HU$31</f>
        <v>0</v>
      </c>
      <c r="HU11" s="10">
        <f t="shared" si="202"/>
        <v>0</v>
      </c>
      <c r="HV11" s="10"/>
      <c r="HW11" s="10"/>
      <c r="HX11" s="10"/>
    </row>
    <row r="12" spans="1:232" x14ac:dyDescent="0.3">
      <c r="A12" s="18">
        <f>参数调整!A12</f>
        <v>9</v>
      </c>
      <c r="B12" s="170">
        <f>参数调整!B12</f>
        <v>3.2</v>
      </c>
      <c r="C12" s="10">
        <f>参数调整!F12</f>
        <v>1.3</v>
      </c>
      <c r="D12" s="10">
        <f>参数调整!G12</f>
        <v>1.6</v>
      </c>
      <c r="E12" s="15">
        <f>基本属性!B12</f>
        <v>90</v>
      </c>
      <c r="F12" s="15">
        <f>基本属性!C12</f>
        <v>2</v>
      </c>
      <c r="G12" s="271"/>
      <c r="H12" s="10">
        <f t="shared" si="45"/>
        <v>4669402644.778842</v>
      </c>
      <c r="I12" s="188">
        <f t="shared" si="0"/>
        <v>3793889648.8828092</v>
      </c>
      <c r="J12" s="10">
        <f t="shared" si="1"/>
        <v>193135.27369849701</v>
      </c>
      <c r="K12" s="10">
        <f t="shared" si="2"/>
        <v>156922.4098800288</v>
      </c>
      <c r="L12" s="10">
        <f t="shared" si="46"/>
        <v>2.5713696756179378</v>
      </c>
      <c r="M12" s="10">
        <f t="shared" si="47"/>
        <v>2.0892378614395741</v>
      </c>
      <c r="N12" s="10">
        <f t="shared" si="48"/>
        <v>18.705626994984041</v>
      </c>
      <c r="O12" s="10">
        <f t="shared" si="49"/>
        <v>15.198321933424532</v>
      </c>
      <c r="P12" s="10">
        <f t="shared" si="3"/>
        <v>360.32223742210067</v>
      </c>
      <c r="Q12" s="10">
        <f t="shared" si="4"/>
        <v>292.76181790545678</v>
      </c>
      <c r="R12" s="10">
        <f t="shared" si="5"/>
        <v>1.1393342453260376</v>
      </c>
      <c r="S12" s="10">
        <f t="shared" si="6"/>
        <v>0.92570907432740535</v>
      </c>
      <c r="T12" s="10">
        <f t="shared" si="7"/>
        <v>1.7013411061338961</v>
      </c>
      <c r="U12" s="10">
        <f t="shared" si="8"/>
        <v>1.3823396487337904</v>
      </c>
      <c r="V12" s="10">
        <f t="shared" si="9"/>
        <v>1.7013411061338961</v>
      </c>
      <c r="W12" s="10">
        <f t="shared" si="10"/>
        <v>1.3823396487337904</v>
      </c>
      <c r="X12" s="10">
        <f t="shared" si="11"/>
        <v>1.7013411061338961</v>
      </c>
      <c r="Y12" s="10">
        <f t="shared" si="12"/>
        <v>1.3823396487337904</v>
      </c>
      <c r="Z12" s="10">
        <f t="shared" si="13"/>
        <v>1.7013411061338961</v>
      </c>
      <c r="AA12" s="10">
        <f t="shared" si="14"/>
        <v>1.3823396487337904</v>
      </c>
      <c r="AB12" s="10">
        <f t="shared" si="15"/>
        <v>43.612220702234389</v>
      </c>
      <c r="AC12" s="10">
        <f t="shared" si="16"/>
        <v>35.434929320565438</v>
      </c>
      <c r="AD12" s="10">
        <f t="shared" si="17"/>
        <v>13.065132274018733</v>
      </c>
      <c r="AE12" s="10">
        <f t="shared" si="18"/>
        <v>10.61541997264022</v>
      </c>
      <c r="AF12" s="10">
        <f t="shared" si="19"/>
        <v>6.5325661370093666</v>
      </c>
      <c r="AG12" s="10">
        <f t="shared" si="20"/>
        <v>5.30770998632011</v>
      </c>
      <c r="AH12" s="10">
        <f t="shared" si="21"/>
        <v>1.3065132274018734</v>
      </c>
      <c r="AI12" s="10">
        <f t="shared" si="22"/>
        <v>1.0615419972640219</v>
      </c>
      <c r="AJ12" s="10">
        <f t="shared" si="23"/>
        <v>14.931101633539873</v>
      </c>
      <c r="AK12" s="10">
        <f t="shared" si="24"/>
        <v>12.131520077251146</v>
      </c>
      <c r="AL12" s="10">
        <f t="shared" si="25"/>
        <v>7.4655508167699365</v>
      </c>
      <c r="AM12" s="10">
        <f t="shared" si="26"/>
        <v>6.065760038625573</v>
      </c>
      <c r="AN12" s="10">
        <f t="shared" si="27"/>
        <v>1.4931101633539874</v>
      </c>
      <c r="AO12" s="10">
        <f t="shared" si="28"/>
        <v>1.2131520077251146</v>
      </c>
      <c r="AP12" s="10">
        <f t="shared" si="29"/>
        <v>0.70838891744532051</v>
      </c>
      <c r="AQ12" s="10">
        <f t="shared" si="30"/>
        <v>0.57556599542432285</v>
      </c>
      <c r="AR12" s="10">
        <f t="shared" si="31"/>
        <v>9.350435184065229E-3</v>
      </c>
      <c r="AS12" s="10">
        <f t="shared" si="32"/>
        <v>7.5972285870529975E-3</v>
      </c>
      <c r="AT12" s="10">
        <f t="shared" si="33"/>
        <v>9.350435184065229E-3</v>
      </c>
      <c r="AU12" s="10">
        <f t="shared" si="34"/>
        <v>7.5972285870529975E-3</v>
      </c>
      <c r="AV12" s="10">
        <f t="shared" si="35"/>
        <v>8.4153916656587044E-2</v>
      </c>
      <c r="AW12" s="10">
        <f t="shared" si="36"/>
        <v>6.8375057283476967E-2</v>
      </c>
      <c r="AX12" s="10">
        <f t="shared" si="37"/>
        <v>0.25713696756179377</v>
      </c>
      <c r="AY12" s="10">
        <f t="shared" si="38"/>
        <v>0.20892378614395743</v>
      </c>
      <c r="AZ12" s="10">
        <f t="shared" si="39"/>
        <v>2.3376087960163071E-2</v>
      </c>
      <c r="BA12" s="10">
        <f t="shared" si="40"/>
        <v>1.8993071467632492E-2</v>
      </c>
      <c r="BB12" s="10">
        <f t="shared" si="41"/>
        <v>2.3376087960163071E-2</v>
      </c>
      <c r="BC12" s="10">
        <f t="shared" si="42"/>
        <v>1.8993071467632492E-2</v>
      </c>
      <c r="BD12" s="10">
        <f t="shared" si="43"/>
        <v>9.3504351840652283E-2</v>
      </c>
      <c r="BE12" s="10">
        <f t="shared" si="44"/>
        <v>7.5972285870529968E-2</v>
      </c>
      <c r="BF12" s="10">
        <f t="shared" si="50"/>
        <v>0.11688043980081536</v>
      </c>
      <c r="BG12" s="10">
        <f t="shared" si="51"/>
        <v>9.496535733816247E-2</v>
      </c>
      <c r="BH12" s="10">
        <f t="shared" si="52"/>
        <v>0</v>
      </c>
      <c r="BI12" s="10">
        <f t="shared" si="53"/>
        <v>0</v>
      </c>
      <c r="BJ12" s="10">
        <f t="shared" si="52"/>
        <v>0</v>
      </c>
      <c r="BK12" s="10">
        <f t="shared" si="53"/>
        <v>0</v>
      </c>
      <c r="BL12" s="10">
        <f t="shared" ref="BL12" si="701">$B12/$B$31*$D12*BM$31</f>
        <v>0</v>
      </c>
      <c r="BM12" s="10">
        <f t="shared" si="53"/>
        <v>0</v>
      </c>
      <c r="BN12" s="10">
        <f t="shared" ref="BN12" si="702">$B12/$B$31*$D12*BO$31</f>
        <v>0</v>
      </c>
      <c r="BO12" s="10">
        <f t="shared" si="53"/>
        <v>0</v>
      </c>
      <c r="BP12" s="10">
        <f t="shared" ref="BP12" si="703">$B12/$B$31*$D12*BQ$31</f>
        <v>0</v>
      </c>
      <c r="BQ12" s="10">
        <f t="shared" si="53"/>
        <v>0</v>
      </c>
      <c r="BR12" s="10">
        <f t="shared" ref="BR12" si="704">$B12/$B$31*$D12*BS$31</f>
        <v>0</v>
      </c>
      <c r="BS12" s="10">
        <f t="shared" si="53"/>
        <v>0</v>
      </c>
      <c r="BT12" s="10">
        <f t="shared" ref="BT12" si="705">$B12/$B$31*$D12*BU$31</f>
        <v>0</v>
      </c>
      <c r="BU12" s="10">
        <f t="shared" si="53"/>
        <v>0</v>
      </c>
      <c r="BV12" s="10">
        <f t="shared" ref="BV12" si="706">$B12/$B$31*$D12*BW$31</f>
        <v>0</v>
      </c>
      <c r="BW12" s="10">
        <f t="shared" si="53"/>
        <v>0</v>
      </c>
      <c r="BX12" s="10">
        <f t="shared" ref="BX12" si="707">$B12/$B$31*$D12*BY$31</f>
        <v>0</v>
      </c>
      <c r="BY12" s="10">
        <f t="shared" si="53"/>
        <v>0</v>
      </c>
      <c r="BZ12" s="10">
        <f t="shared" ref="BZ12" si="708">$B12/$B$31*$D12*CA$31</f>
        <v>0</v>
      </c>
      <c r="CA12" s="10">
        <f t="shared" si="53"/>
        <v>0</v>
      </c>
      <c r="CB12" s="10">
        <f t="shared" ref="CB12" si="709">$B12/$B$31*$D12*CC$31</f>
        <v>0</v>
      </c>
      <c r="CC12" s="10">
        <f t="shared" si="63"/>
        <v>0</v>
      </c>
      <c r="CD12" s="10">
        <f t="shared" ref="CD12" si="710">$B12/$B$31*$D12*CE$31</f>
        <v>0</v>
      </c>
      <c r="CE12" s="10">
        <f t="shared" si="65"/>
        <v>0</v>
      </c>
      <c r="CF12" s="10">
        <f t="shared" ref="CF12" si="711">$B12/$B$31*$D12*CG$31</f>
        <v>0</v>
      </c>
      <c r="CG12" s="10">
        <f t="shared" si="67"/>
        <v>0</v>
      </c>
      <c r="CH12" s="10">
        <f t="shared" ref="CH12" si="712">$B12/$B$31*$D12*CI$31</f>
        <v>0</v>
      </c>
      <c r="CI12" s="10">
        <f t="shared" si="69"/>
        <v>0</v>
      </c>
      <c r="CJ12" s="10">
        <f t="shared" ref="CJ12" si="713">$B12/$B$31*$D12*CK$31</f>
        <v>0</v>
      </c>
      <c r="CK12" s="10">
        <f t="shared" si="71"/>
        <v>0</v>
      </c>
      <c r="CL12" s="10">
        <f t="shared" ref="CL12" si="714">$B12/$B$31*$D12*CM$31</f>
        <v>0</v>
      </c>
      <c r="CM12" s="10">
        <f t="shared" si="73"/>
        <v>0</v>
      </c>
      <c r="CN12" s="10">
        <f t="shared" ref="CN12" si="715">$B12/$B$31*$D12*CO$31</f>
        <v>0</v>
      </c>
      <c r="CO12" s="10">
        <f t="shared" si="75"/>
        <v>0</v>
      </c>
      <c r="CP12" s="10">
        <f t="shared" ref="CP12" si="716">$B12/$B$31*$D12*CQ$31</f>
        <v>0</v>
      </c>
      <c r="CQ12" s="10">
        <f t="shared" si="77"/>
        <v>0</v>
      </c>
      <c r="CR12" s="10">
        <f t="shared" ref="CR12" si="717">$B12/$B$31*$D12*CS$31</f>
        <v>0</v>
      </c>
      <c r="CS12" s="10">
        <f t="shared" si="79"/>
        <v>0</v>
      </c>
      <c r="CT12" s="10">
        <f t="shared" ref="CT12" si="718">$B12/$B$31*$D12*CU$31</f>
        <v>0</v>
      </c>
      <c r="CU12" s="10">
        <f t="shared" si="81"/>
        <v>0</v>
      </c>
      <c r="CV12" s="10">
        <f t="shared" ref="CV12" si="719">$B12/$B$31*$D12*CW$31</f>
        <v>0</v>
      </c>
      <c r="CW12" s="10">
        <f t="shared" si="83"/>
        <v>0</v>
      </c>
      <c r="CX12" s="10">
        <f t="shared" ref="CX12" si="720">$B12/$B$31*$D12*CY$31</f>
        <v>0</v>
      </c>
      <c r="CY12" s="10">
        <f t="shared" si="85"/>
        <v>0</v>
      </c>
      <c r="CZ12" s="10">
        <f t="shared" ref="CZ12" si="721">$B12/$B$31*$D12*DA$31</f>
        <v>0</v>
      </c>
      <c r="DA12" s="10">
        <f t="shared" si="87"/>
        <v>0</v>
      </c>
      <c r="DB12" s="10">
        <f t="shared" ref="DB12" si="722">$B12/$B$31*$D12*DC$31</f>
        <v>0</v>
      </c>
      <c r="DC12" s="10">
        <f t="shared" si="89"/>
        <v>0</v>
      </c>
      <c r="DD12" s="10">
        <f t="shared" ref="DD12" si="723">$B12/$B$31*$D12*DE$31</f>
        <v>0</v>
      </c>
      <c r="DE12" s="10">
        <f t="shared" si="91"/>
        <v>0</v>
      </c>
      <c r="DF12" s="10">
        <f t="shared" ref="DF12" si="724">$B12/$B$31*$D12*DG$31</f>
        <v>0</v>
      </c>
      <c r="DG12" s="10">
        <f t="shared" si="93"/>
        <v>0</v>
      </c>
      <c r="DH12" s="10">
        <f t="shared" ref="DH12" si="725">$B12/$B$31*$D12*DI$31</f>
        <v>0</v>
      </c>
      <c r="DI12" s="10">
        <f t="shared" si="95"/>
        <v>0</v>
      </c>
      <c r="DJ12" s="10">
        <f t="shared" ref="DJ12" si="726">$B12/$B$31*$D12*DK$31</f>
        <v>0</v>
      </c>
      <c r="DK12" s="10">
        <f t="shared" si="97"/>
        <v>0</v>
      </c>
      <c r="DL12" s="10">
        <f t="shared" ref="DL12" si="727">$B12/$B$31*$D12*DM$31</f>
        <v>0</v>
      </c>
      <c r="DM12" s="10">
        <f t="shared" si="99"/>
        <v>0</v>
      </c>
      <c r="DN12" s="10">
        <f t="shared" ref="DN12" si="728">$B12/$B$31*$D12*DO$31</f>
        <v>0</v>
      </c>
      <c r="DO12" s="10">
        <f t="shared" si="101"/>
        <v>0</v>
      </c>
      <c r="DP12" s="10">
        <f t="shared" ref="DP12" si="729">$B12/$B$31*$D12*DQ$31</f>
        <v>0</v>
      </c>
      <c r="DQ12" s="10">
        <f t="shared" si="103"/>
        <v>0</v>
      </c>
      <c r="DR12" s="10">
        <f t="shared" ref="DR12" si="730">$B12/$B$31*$D12*DS$31</f>
        <v>0</v>
      </c>
      <c r="DS12" s="10">
        <f t="shared" si="105"/>
        <v>0</v>
      </c>
      <c r="DT12" s="10">
        <f t="shared" ref="DT12" si="731">$B12/$B$31*$D12*DU$31</f>
        <v>0</v>
      </c>
      <c r="DU12" s="10">
        <f t="shared" si="107"/>
        <v>0</v>
      </c>
      <c r="DV12" s="10">
        <f t="shared" ref="DV12" si="732">$B12/$B$31*$D12*DW$31</f>
        <v>0</v>
      </c>
      <c r="DW12" s="10">
        <f t="shared" si="109"/>
        <v>0</v>
      </c>
      <c r="DX12" s="10">
        <f t="shared" ref="DX12" si="733">$B12/$B$31*$D12*DY$31</f>
        <v>0</v>
      </c>
      <c r="DY12" s="10">
        <f t="shared" si="111"/>
        <v>0</v>
      </c>
      <c r="DZ12" s="10">
        <f t="shared" ref="DZ12" si="734">$B12/$B$31*$D12*EA$31</f>
        <v>0</v>
      </c>
      <c r="EA12" s="10">
        <f t="shared" si="113"/>
        <v>0</v>
      </c>
      <c r="EB12" s="10">
        <f t="shared" ref="EB12" si="735">$B12/$B$31*$D12*EC$31</f>
        <v>0</v>
      </c>
      <c r="EC12" s="10">
        <f t="shared" si="115"/>
        <v>0</v>
      </c>
      <c r="ED12" s="10">
        <f t="shared" ref="ED12" si="736">$B12/$B$31*$D12*EE$31</f>
        <v>0</v>
      </c>
      <c r="EE12" s="10">
        <f t="shared" si="117"/>
        <v>0</v>
      </c>
      <c r="EF12" s="10">
        <f t="shared" ref="EF12" si="737">$B12/$B$31*$D12*EG$31</f>
        <v>0</v>
      </c>
      <c r="EG12" s="10">
        <f t="shared" si="119"/>
        <v>0</v>
      </c>
      <c r="EH12" s="10">
        <f t="shared" ref="EH12" si="738">$B12/$B$31*$D12*EI$31</f>
        <v>0</v>
      </c>
      <c r="EI12" s="10">
        <f t="shared" si="121"/>
        <v>0</v>
      </c>
      <c r="EJ12" s="10">
        <f t="shared" ref="EJ12" si="739">$B12/$B$31*$D12*EK$31</f>
        <v>0</v>
      </c>
      <c r="EK12" s="10">
        <f t="shared" si="123"/>
        <v>0</v>
      </c>
      <c r="EL12" s="10">
        <f t="shared" ref="EL12" si="740">$B12/$B$31*$D12*EM$31</f>
        <v>0</v>
      </c>
      <c r="EM12" s="10">
        <f t="shared" si="125"/>
        <v>0</v>
      </c>
      <c r="EN12" s="10">
        <f t="shared" ref="EN12" si="741">$B12/$B$31*$D12*EO$31</f>
        <v>0</v>
      </c>
      <c r="EO12" s="10">
        <f t="shared" si="127"/>
        <v>0</v>
      </c>
      <c r="EP12" s="10">
        <f t="shared" ref="EP12" si="742">$B12/$B$31*$D12*EQ$31</f>
        <v>0</v>
      </c>
      <c r="EQ12" s="10">
        <f t="shared" si="129"/>
        <v>0</v>
      </c>
      <c r="ER12" s="10">
        <f t="shared" ref="ER12" si="743">$B12/$B$31*$D12*ES$31</f>
        <v>0</v>
      </c>
      <c r="ES12" s="10">
        <f t="shared" si="131"/>
        <v>0</v>
      </c>
      <c r="ET12" s="10">
        <f t="shared" ref="ET12" si="744">$B12/$B$31*$D12*EU$31</f>
        <v>0</v>
      </c>
      <c r="EU12" s="10">
        <f t="shared" si="133"/>
        <v>0</v>
      </c>
      <c r="EV12" s="10">
        <f t="shared" ref="EV12" si="745">$B12/$B$31*$D12*EW$31</f>
        <v>0</v>
      </c>
      <c r="EW12" s="10">
        <f t="shared" si="133"/>
        <v>0</v>
      </c>
      <c r="EX12" s="10">
        <f t="shared" ref="EX12" si="746">$B12/$B$31*$D12*EY$31</f>
        <v>0</v>
      </c>
      <c r="EY12" s="10">
        <f t="shared" si="133"/>
        <v>0</v>
      </c>
      <c r="EZ12" s="10">
        <f t="shared" ref="EZ12" si="747">$B12/$B$31*$D12*FA$31</f>
        <v>0</v>
      </c>
      <c r="FA12" s="10">
        <f t="shared" si="133"/>
        <v>0</v>
      </c>
      <c r="FB12" s="10">
        <f t="shared" ref="FB12" si="748">$B12/$B$31*$D12*FC$31</f>
        <v>0</v>
      </c>
      <c r="FC12" s="10">
        <f t="shared" si="133"/>
        <v>0</v>
      </c>
      <c r="FD12" s="10">
        <f t="shared" ref="FD12" si="749">$B12/$B$31*$D12*FE$31</f>
        <v>0</v>
      </c>
      <c r="FE12" s="10">
        <f t="shared" si="133"/>
        <v>0</v>
      </c>
      <c r="FF12" s="10">
        <f t="shared" ref="FF12" si="750">$B12/$B$31*$D12*FG$31</f>
        <v>0</v>
      </c>
      <c r="FG12" s="10">
        <f t="shared" si="133"/>
        <v>0</v>
      </c>
      <c r="FH12" s="10">
        <f t="shared" ref="FH12" si="751">$B12/$B$31*$D12*FI$31</f>
        <v>0</v>
      </c>
      <c r="FI12" s="10">
        <f t="shared" si="133"/>
        <v>0</v>
      </c>
      <c r="FJ12" s="10">
        <f t="shared" ref="FJ12" si="752">$B12/$B$31*$D12*FK$31</f>
        <v>0</v>
      </c>
      <c r="FK12" s="10">
        <f t="shared" si="133"/>
        <v>0</v>
      </c>
      <c r="FL12" s="10">
        <f t="shared" ref="FL12" si="753">$B12/$B$31*$D12*FM$31</f>
        <v>0</v>
      </c>
      <c r="FM12" s="10">
        <f t="shared" si="133"/>
        <v>0</v>
      </c>
      <c r="FN12" s="10">
        <f t="shared" ref="FN12" si="754">$B12/$B$31*$D12*FO$31</f>
        <v>0</v>
      </c>
      <c r="FO12" s="10">
        <f t="shared" si="144"/>
        <v>0</v>
      </c>
      <c r="FP12" s="10">
        <f t="shared" ref="FP12" si="755">$B12/$B$31*$D12*FQ$31</f>
        <v>0</v>
      </c>
      <c r="FQ12" s="10">
        <f t="shared" si="146"/>
        <v>0</v>
      </c>
      <c r="FR12" s="10">
        <f t="shared" ref="FR12" si="756">$B12/$B$31*$D12*FS$31</f>
        <v>0</v>
      </c>
      <c r="FS12" s="10">
        <f t="shared" si="148"/>
        <v>0</v>
      </c>
      <c r="FT12" s="10">
        <f t="shared" ref="FT12" si="757">$B12/$B$31*$D12*FU$31</f>
        <v>0</v>
      </c>
      <c r="FU12" s="10">
        <f t="shared" si="150"/>
        <v>0</v>
      </c>
      <c r="FV12" s="10">
        <f t="shared" ref="FV12" si="758">$B12/$B$31*$D12*FW$31</f>
        <v>0</v>
      </c>
      <c r="FW12" s="10">
        <f t="shared" si="152"/>
        <v>0</v>
      </c>
      <c r="FX12" s="10">
        <f t="shared" ref="FX12" si="759">$B12/$B$31*$D12*FY$31</f>
        <v>0</v>
      </c>
      <c r="FY12" s="10">
        <f t="shared" si="154"/>
        <v>0</v>
      </c>
      <c r="FZ12" s="10">
        <f t="shared" ref="FZ12" si="760">$B12/$B$31*$D12*GA$31</f>
        <v>0</v>
      </c>
      <c r="GA12" s="10">
        <f t="shared" si="156"/>
        <v>0</v>
      </c>
      <c r="GB12" s="10">
        <f t="shared" ref="GB12" si="761">$B12/$B$31*$D12*GC$31</f>
        <v>0</v>
      </c>
      <c r="GC12" s="10">
        <f t="shared" si="158"/>
        <v>0</v>
      </c>
      <c r="GD12" s="10">
        <f t="shared" ref="GD12" si="762">$B12/$B$31*$D12*GE$31</f>
        <v>0</v>
      </c>
      <c r="GE12" s="10">
        <f t="shared" si="160"/>
        <v>0</v>
      </c>
      <c r="GF12" s="10">
        <f t="shared" ref="GF12" si="763">$B12/$B$31*$D12*GG$31</f>
        <v>0</v>
      </c>
      <c r="GG12" s="10">
        <f t="shared" si="162"/>
        <v>0</v>
      </c>
      <c r="GH12" s="10">
        <f t="shared" ref="GH12" si="764">$B12/$B$31*$D12*GI$31</f>
        <v>0</v>
      </c>
      <c r="GI12" s="10">
        <f t="shared" si="164"/>
        <v>0</v>
      </c>
      <c r="GJ12" s="10">
        <f t="shared" ref="GJ12" si="765">$B12/$B$31*$D12*GK$31</f>
        <v>0</v>
      </c>
      <c r="GK12" s="10">
        <f t="shared" si="166"/>
        <v>0</v>
      </c>
      <c r="GL12" s="10">
        <f t="shared" ref="GL12" si="766">$B12/$B$31*$D12*GM$31</f>
        <v>0</v>
      </c>
      <c r="GM12" s="10">
        <f t="shared" si="168"/>
        <v>0</v>
      </c>
      <c r="GN12" s="10">
        <f t="shared" ref="GN12" si="767">$B12/$B$31*$D12*GO$31</f>
        <v>0</v>
      </c>
      <c r="GO12" s="10">
        <f t="shared" si="170"/>
        <v>0</v>
      </c>
      <c r="GP12" s="10">
        <f t="shared" ref="GP12" si="768">$B12/$B$31*$D12*GQ$31</f>
        <v>0</v>
      </c>
      <c r="GQ12" s="10">
        <f t="shared" si="172"/>
        <v>0</v>
      </c>
      <c r="GR12" s="10">
        <f t="shared" ref="GR12" si="769">$B12/$B$31*$D12*GS$31</f>
        <v>0</v>
      </c>
      <c r="GS12" s="10">
        <f t="shared" si="174"/>
        <v>0</v>
      </c>
      <c r="GT12" s="10">
        <f t="shared" ref="GT12" si="770">$B12/$B$31*$D12*GU$31</f>
        <v>0</v>
      </c>
      <c r="GU12" s="10">
        <f t="shared" si="176"/>
        <v>0</v>
      </c>
      <c r="GV12" s="10">
        <f t="shared" ref="GV12" si="771">$B12/$B$31*$D12*GW$31</f>
        <v>0</v>
      </c>
      <c r="GW12" s="10">
        <f t="shared" si="178"/>
        <v>0</v>
      </c>
      <c r="GX12" s="10">
        <f t="shared" ref="GX12" si="772">$B12/$B$31*$D12*GY$31</f>
        <v>0</v>
      </c>
      <c r="GY12" s="10">
        <f t="shared" si="180"/>
        <v>0</v>
      </c>
      <c r="GZ12" s="10">
        <f t="shared" ref="GZ12" si="773">$B12/$B$31*$D12*HA$31</f>
        <v>0</v>
      </c>
      <c r="HA12" s="10">
        <f t="shared" si="182"/>
        <v>0</v>
      </c>
      <c r="HB12" s="10">
        <f t="shared" ref="HB12" si="774">$B12/$B$31*$D12*HC$31</f>
        <v>0</v>
      </c>
      <c r="HC12" s="10">
        <f t="shared" si="184"/>
        <v>0</v>
      </c>
      <c r="HD12" s="10">
        <f t="shared" ref="HD12" si="775">$B12/$B$31*$D12*HE$31</f>
        <v>0</v>
      </c>
      <c r="HE12" s="10">
        <f t="shared" si="186"/>
        <v>0</v>
      </c>
      <c r="HF12" s="10">
        <f t="shared" ref="HF12" si="776">$B12/$B$31*$D12*HG$31</f>
        <v>0</v>
      </c>
      <c r="HG12" s="10">
        <f t="shared" si="188"/>
        <v>0</v>
      </c>
      <c r="HH12" s="10">
        <f t="shared" ref="HH12" si="777">$B12/$B$31*$D12*HI$31</f>
        <v>0</v>
      </c>
      <c r="HI12" s="10">
        <f t="shared" si="190"/>
        <v>0</v>
      </c>
      <c r="HJ12" s="10">
        <f t="shared" ref="HJ12" si="778">$B12/$B$31*$D12*HK$31</f>
        <v>0</v>
      </c>
      <c r="HK12" s="10">
        <f t="shared" si="192"/>
        <v>0</v>
      </c>
      <c r="HL12" s="10">
        <f t="shared" ref="HL12" si="779">$B12/$B$31*$D12*HM$31</f>
        <v>0</v>
      </c>
      <c r="HM12" s="10">
        <f t="shared" si="194"/>
        <v>0</v>
      </c>
      <c r="HN12" s="10">
        <f t="shared" ref="HN12" si="780">$B12/$B$31*$D12*HO$31</f>
        <v>0</v>
      </c>
      <c r="HO12" s="10">
        <f t="shared" si="196"/>
        <v>0</v>
      </c>
      <c r="HP12" s="10">
        <f t="shared" ref="HP12" si="781">$B12/$B$31*$D12*HQ$31</f>
        <v>0</v>
      </c>
      <c r="HQ12" s="10">
        <f t="shared" si="198"/>
        <v>0</v>
      </c>
      <c r="HR12" s="10">
        <f t="shared" ref="HR12" si="782">$B12/$B$31*$D12*HS$31</f>
        <v>0</v>
      </c>
      <c r="HS12" s="10">
        <f t="shared" si="200"/>
        <v>0</v>
      </c>
      <c r="HT12" s="10">
        <f t="shared" ref="HT12" si="783">$B12/$B$31*$D12*HU$31</f>
        <v>0</v>
      </c>
      <c r="HU12" s="10">
        <f t="shared" si="202"/>
        <v>0</v>
      </c>
      <c r="HV12" s="10"/>
      <c r="HW12" s="10"/>
      <c r="HX12" s="10"/>
    </row>
    <row r="13" spans="1:232" x14ac:dyDescent="0.3">
      <c r="A13" s="18">
        <f>参数调整!A13</f>
        <v>10</v>
      </c>
      <c r="B13" s="170">
        <f>参数调整!B13</f>
        <v>3.5</v>
      </c>
      <c r="C13" s="10">
        <f>参数调整!F13</f>
        <v>1.5</v>
      </c>
      <c r="D13" s="10">
        <f>参数调整!G13</f>
        <v>1.8</v>
      </c>
      <c r="E13" s="15">
        <f>基本属性!B13</f>
        <v>100</v>
      </c>
      <c r="F13" s="15">
        <f>基本属性!C13</f>
        <v>3</v>
      </c>
      <c r="G13" s="271"/>
      <c r="H13" s="10">
        <f t="shared" si="45"/>
        <v>5745554035.5677156</v>
      </c>
      <c r="I13" s="188">
        <f t="shared" si="0"/>
        <v>4787961696.3064299</v>
      </c>
      <c r="J13" s="10">
        <f t="shared" si="1"/>
        <v>237646.91880869749</v>
      </c>
      <c r="K13" s="10">
        <f t="shared" si="2"/>
        <v>198039.09900724789</v>
      </c>
      <c r="L13" s="10">
        <f t="shared" si="46"/>
        <v>3.1639900305455093</v>
      </c>
      <c r="M13" s="10">
        <f t="shared" si="47"/>
        <v>2.636658358787924</v>
      </c>
      <c r="N13" s="10">
        <f>B13/B$31*D13*O$31</f>
        <v>23.016689466484269</v>
      </c>
      <c r="O13" s="10">
        <f t="shared" si="49"/>
        <v>19.180574555403556</v>
      </c>
      <c r="P13" s="10">
        <f t="shared" si="3"/>
        <v>443.36525307797541</v>
      </c>
      <c r="Q13" s="10">
        <f t="shared" si="4"/>
        <v>369.47104423164615</v>
      </c>
      <c r="R13" s="10">
        <f t="shared" si="5"/>
        <v>1.4019151846785227</v>
      </c>
      <c r="S13" s="10">
        <f t="shared" si="6"/>
        <v>1.1682626538987688</v>
      </c>
      <c r="T13" s="10">
        <f t="shared" si="7"/>
        <v>2.0934470641881924</v>
      </c>
      <c r="U13" s="10">
        <f t="shared" si="8"/>
        <v>1.7445392201568268</v>
      </c>
      <c r="V13" s="10">
        <f t="shared" si="9"/>
        <v>2.0934470641881924</v>
      </c>
      <c r="W13" s="10">
        <f t="shared" si="10"/>
        <v>1.7445392201568268</v>
      </c>
      <c r="X13" s="10">
        <f t="shared" si="11"/>
        <v>2.0934470641881924</v>
      </c>
      <c r="Y13" s="10">
        <f t="shared" si="12"/>
        <v>1.7445392201568268</v>
      </c>
      <c r="Z13" s="10">
        <f t="shared" si="13"/>
        <v>2.0934470641881924</v>
      </c>
      <c r="AA13" s="10">
        <f t="shared" si="14"/>
        <v>1.7445392201568268</v>
      </c>
      <c r="AB13" s="10">
        <f t="shared" si="15"/>
        <v>53.66347469220247</v>
      </c>
      <c r="AC13" s="10">
        <f t="shared" si="16"/>
        <v>44.719562243502054</v>
      </c>
      <c r="AD13" s="10">
        <f t="shared" si="17"/>
        <v>16.076236977796487</v>
      </c>
      <c r="AE13" s="10">
        <f t="shared" si="18"/>
        <v>13.396864148163738</v>
      </c>
      <c r="AF13" s="10">
        <f t="shared" si="19"/>
        <v>8.0381184888982435</v>
      </c>
      <c r="AG13" s="10">
        <f t="shared" si="20"/>
        <v>6.698432074081869</v>
      </c>
      <c r="AH13" s="10">
        <f t="shared" si="21"/>
        <v>1.6076236977796488</v>
      </c>
      <c r="AI13" s="10">
        <f t="shared" si="22"/>
        <v>1.3396864148163738</v>
      </c>
      <c r="AJ13" s="10">
        <f t="shared" si="23"/>
        <v>18.372253963144765</v>
      </c>
      <c r="AK13" s="10">
        <f t="shared" si="24"/>
        <v>15.310211635953969</v>
      </c>
      <c r="AL13" s="10">
        <f t="shared" si="25"/>
        <v>9.1861269815723823</v>
      </c>
      <c r="AM13" s="10">
        <f t="shared" si="26"/>
        <v>7.6551058179769846</v>
      </c>
      <c r="AN13" s="10">
        <f t="shared" si="27"/>
        <v>1.8372253963144767</v>
      </c>
      <c r="AO13" s="10">
        <f t="shared" si="28"/>
        <v>1.531021163595397</v>
      </c>
      <c r="AP13" s="10">
        <f t="shared" si="29"/>
        <v>0.87165042576279672</v>
      </c>
      <c r="AQ13" s="10">
        <f t="shared" si="30"/>
        <v>0.72637535480233051</v>
      </c>
      <c r="AR13" s="10">
        <f t="shared" si="31"/>
        <v>1.1505418292892762E-2</v>
      </c>
      <c r="AS13" s="10">
        <f t="shared" si="32"/>
        <v>9.5878485774106327E-3</v>
      </c>
      <c r="AT13" s="10">
        <f t="shared" si="33"/>
        <v>1.1505418292892762E-2</v>
      </c>
      <c r="AU13" s="10">
        <f t="shared" si="34"/>
        <v>9.5878485774106327E-3</v>
      </c>
      <c r="AV13" s="10">
        <f t="shared" si="35"/>
        <v>0.10354876463603484</v>
      </c>
      <c r="AW13" s="10">
        <f t="shared" si="36"/>
        <v>8.6290637196695691E-2</v>
      </c>
      <c r="AX13" s="10">
        <f t="shared" si="37"/>
        <v>0.31639900305455093</v>
      </c>
      <c r="AY13" s="10">
        <f t="shared" si="38"/>
        <v>0.26366583587879239</v>
      </c>
      <c r="AZ13" s="10">
        <f t="shared" si="39"/>
        <v>2.8763545732231902E-2</v>
      </c>
      <c r="BA13" s="10">
        <f t="shared" si="40"/>
        <v>2.3969621443526583E-2</v>
      </c>
      <c r="BB13" s="10">
        <f t="shared" si="41"/>
        <v>2.8763545732231902E-2</v>
      </c>
      <c r="BC13" s="10">
        <f t="shared" si="42"/>
        <v>2.3969621443526583E-2</v>
      </c>
      <c r="BD13" s="10">
        <f t="shared" si="43"/>
        <v>0.11505418292892761</v>
      </c>
      <c r="BE13" s="10">
        <f t="shared" si="44"/>
        <v>9.5878485774106334E-2</v>
      </c>
      <c r="BF13" s="10">
        <f t="shared" si="50"/>
        <v>0.14381772866115952</v>
      </c>
      <c r="BG13" s="10">
        <f t="shared" si="51"/>
        <v>0.11984810721763292</v>
      </c>
      <c r="BH13" s="10">
        <f t="shared" si="52"/>
        <v>0</v>
      </c>
      <c r="BI13" s="10">
        <f t="shared" si="53"/>
        <v>0</v>
      </c>
      <c r="BJ13" s="10">
        <f t="shared" si="52"/>
        <v>0</v>
      </c>
      <c r="BK13" s="10">
        <f t="shared" si="53"/>
        <v>0</v>
      </c>
      <c r="BL13" s="10">
        <f t="shared" ref="BL13" si="784">$B13/$B$31*$D13*BM$31</f>
        <v>0</v>
      </c>
      <c r="BM13" s="10">
        <f t="shared" si="53"/>
        <v>0</v>
      </c>
      <c r="BN13" s="10">
        <f t="shared" ref="BN13" si="785">$B13/$B$31*$D13*BO$31</f>
        <v>0</v>
      </c>
      <c r="BO13" s="10">
        <f t="shared" si="53"/>
        <v>0</v>
      </c>
      <c r="BP13" s="10">
        <f t="shared" ref="BP13" si="786">$B13/$B$31*$D13*BQ$31</f>
        <v>0</v>
      </c>
      <c r="BQ13" s="10">
        <f t="shared" si="53"/>
        <v>0</v>
      </c>
      <c r="BR13" s="10">
        <f t="shared" ref="BR13" si="787">$B13/$B$31*$D13*BS$31</f>
        <v>0</v>
      </c>
      <c r="BS13" s="10">
        <f t="shared" si="53"/>
        <v>0</v>
      </c>
      <c r="BT13" s="10">
        <f t="shared" ref="BT13" si="788">$B13/$B$31*$D13*BU$31</f>
        <v>0</v>
      </c>
      <c r="BU13" s="10">
        <f t="shared" si="53"/>
        <v>0</v>
      </c>
      <c r="BV13" s="10">
        <f t="shared" ref="BV13" si="789">$B13/$B$31*$D13*BW$31</f>
        <v>0</v>
      </c>
      <c r="BW13" s="10">
        <f t="shared" si="53"/>
        <v>0</v>
      </c>
      <c r="BX13" s="10">
        <f t="shared" ref="BX13" si="790">$B13/$B$31*$D13*BY$31</f>
        <v>0</v>
      </c>
      <c r="BY13" s="10">
        <f t="shared" si="53"/>
        <v>0</v>
      </c>
      <c r="BZ13" s="10">
        <f t="shared" ref="BZ13" si="791">$B13/$B$31*$D13*CA$31</f>
        <v>0</v>
      </c>
      <c r="CA13" s="10">
        <f t="shared" si="53"/>
        <v>0</v>
      </c>
      <c r="CB13" s="10">
        <f t="shared" ref="CB13" si="792">$B13/$B$31*$D13*CC$31</f>
        <v>0</v>
      </c>
      <c r="CC13" s="10">
        <f t="shared" si="63"/>
        <v>0</v>
      </c>
      <c r="CD13" s="10">
        <f t="shared" ref="CD13" si="793">$B13/$B$31*$D13*CE$31</f>
        <v>0</v>
      </c>
      <c r="CE13" s="10">
        <f t="shared" si="65"/>
        <v>0</v>
      </c>
      <c r="CF13" s="10">
        <f t="shared" ref="CF13" si="794">$B13/$B$31*$D13*CG$31</f>
        <v>0</v>
      </c>
      <c r="CG13" s="10">
        <f t="shared" si="67"/>
        <v>0</v>
      </c>
      <c r="CH13" s="10">
        <f t="shared" ref="CH13" si="795">$B13/$B$31*$D13*CI$31</f>
        <v>0</v>
      </c>
      <c r="CI13" s="10">
        <f t="shared" si="69"/>
        <v>0</v>
      </c>
      <c r="CJ13" s="10">
        <f t="shared" ref="CJ13" si="796">$B13/$B$31*$D13*CK$31</f>
        <v>0</v>
      </c>
      <c r="CK13" s="10">
        <f t="shared" si="71"/>
        <v>0</v>
      </c>
      <c r="CL13" s="10">
        <f t="shared" ref="CL13" si="797">$B13/$B$31*$D13*CM$31</f>
        <v>0</v>
      </c>
      <c r="CM13" s="10">
        <f t="shared" si="73"/>
        <v>0</v>
      </c>
      <c r="CN13" s="10">
        <f t="shared" ref="CN13" si="798">$B13/$B$31*$D13*CO$31</f>
        <v>0</v>
      </c>
      <c r="CO13" s="10">
        <f t="shared" si="75"/>
        <v>0</v>
      </c>
      <c r="CP13" s="10">
        <f t="shared" ref="CP13" si="799">$B13/$B$31*$D13*CQ$31</f>
        <v>0</v>
      </c>
      <c r="CQ13" s="10">
        <f t="shared" si="77"/>
        <v>0</v>
      </c>
      <c r="CR13" s="10">
        <f t="shared" ref="CR13" si="800">$B13/$B$31*$D13*CS$31</f>
        <v>0</v>
      </c>
      <c r="CS13" s="10">
        <f t="shared" si="79"/>
        <v>0</v>
      </c>
      <c r="CT13" s="10">
        <f t="shared" ref="CT13" si="801">$B13/$B$31*$D13*CU$31</f>
        <v>0</v>
      </c>
      <c r="CU13" s="10">
        <f t="shared" si="81"/>
        <v>0</v>
      </c>
      <c r="CV13" s="10">
        <f t="shared" ref="CV13" si="802">$B13/$B$31*$D13*CW$31</f>
        <v>0</v>
      </c>
      <c r="CW13" s="10">
        <f t="shared" si="83"/>
        <v>0</v>
      </c>
      <c r="CX13" s="10">
        <f t="shared" ref="CX13" si="803">$B13/$B$31*$D13*CY$31</f>
        <v>0</v>
      </c>
      <c r="CY13" s="10">
        <f t="shared" si="85"/>
        <v>0</v>
      </c>
      <c r="CZ13" s="10">
        <f t="shared" ref="CZ13" si="804">$B13/$B$31*$D13*DA$31</f>
        <v>0</v>
      </c>
      <c r="DA13" s="10">
        <f t="shared" si="87"/>
        <v>0</v>
      </c>
      <c r="DB13" s="10">
        <f t="shared" ref="DB13" si="805">$B13/$B$31*$D13*DC$31</f>
        <v>0</v>
      </c>
      <c r="DC13" s="10">
        <f t="shared" si="89"/>
        <v>0</v>
      </c>
      <c r="DD13" s="10">
        <f t="shared" ref="DD13" si="806">$B13/$B$31*$D13*DE$31</f>
        <v>0</v>
      </c>
      <c r="DE13" s="10">
        <f t="shared" si="91"/>
        <v>0</v>
      </c>
      <c r="DF13" s="10">
        <f t="shared" ref="DF13" si="807">$B13/$B$31*$D13*DG$31</f>
        <v>0</v>
      </c>
      <c r="DG13" s="10">
        <f t="shared" si="93"/>
        <v>0</v>
      </c>
      <c r="DH13" s="10">
        <f t="shared" ref="DH13" si="808">$B13/$B$31*$D13*DI$31</f>
        <v>0</v>
      </c>
      <c r="DI13" s="10">
        <f t="shared" si="95"/>
        <v>0</v>
      </c>
      <c r="DJ13" s="10">
        <f t="shared" ref="DJ13" si="809">$B13/$B$31*$D13*DK$31</f>
        <v>0</v>
      </c>
      <c r="DK13" s="10">
        <f t="shared" si="97"/>
        <v>0</v>
      </c>
      <c r="DL13" s="10">
        <f t="shared" ref="DL13" si="810">$B13/$B$31*$D13*DM$31</f>
        <v>0</v>
      </c>
      <c r="DM13" s="10">
        <f t="shared" si="99"/>
        <v>0</v>
      </c>
      <c r="DN13" s="10">
        <f t="shared" ref="DN13" si="811">$B13/$B$31*$D13*DO$31</f>
        <v>0</v>
      </c>
      <c r="DO13" s="10">
        <f t="shared" si="101"/>
        <v>0</v>
      </c>
      <c r="DP13" s="10">
        <f t="shared" ref="DP13" si="812">$B13/$B$31*$D13*DQ$31</f>
        <v>0</v>
      </c>
      <c r="DQ13" s="10">
        <f t="shared" si="103"/>
        <v>0</v>
      </c>
      <c r="DR13" s="10">
        <f t="shared" ref="DR13" si="813">$B13/$B$31*$D13*DS$31</f>
        <v>0</v>
      </c>
      <c r="DS13" s="10">
        <f t="shared" si="105"/>
        <v>0</v>
      </c>
      <c r="DT13" s="10">
        <f t="shared" ref="DT13" si="814">$B13/$B$31*$D13*DU$31</f>
        <v>0</v>
      </c>
      <c r="DU13" s="10">
        <f t="shared" si="107"/>
        <v>0</v>
      </c>
      <c r="DV13" s="10">
        <f t="shared" ref="DV13" si="815">$B13/$B$31*$D13*DW$31</f>
        <v>0</v>
      </c>
      <c r="DW13" s="10">
        <f t="shared" si="109"/>
        <v>0</v>
      </c>
      <c r="DX13" s="10">
        <f t="shared" ref="DX13" si="816">$B13/$B$31*$D13*DY$31</f>
        <v>0</v>
      </c>
      <c r="DY13" s="10">
        <f t="shared" si="111"/>
        <v>0</v>
      </c>
      <c r="DZ13" s="10">
        <f t="shared" ref="DZ13" si="817">$B13/$B$31*$D13*EA$31</f>
        <v>0</v>
      </c>
      <c r="EA13" s="10">
        <f t="shared" si="113"/>
        <v>0</v>
      </c>
      <c r="EB13" s="10">
        <f t="shared" ref="EB13" si="818">$B13/$B$31*$D13*EC$31</f>
        <v>0</v>
      </c>
      <c r="EC13" s="10">
        <f t="shared" si="115"/>
        <v>0</v>
      </c>
      <c r="ED13" s="10">
        <f t="shared" ref="ED13" si="819">$B13/$B$31*$D13*EE$31</f>
        <v>0</v>
      </c>
      <c r="EE13" s="10">
        <f t="shared" si="117"/>
        <v>0</v>
      </c>
      <c r="EF13" s="10">
        <f t="shared" ref="EF13" si="820">$B13/$B$31*$D13*EG$31</f>
        <v>0</v>
      </c>
      <c r="EG13" s="10">
        <f t="shared" si="119"/>
        <v>0</v>
      </c>
      <c r="EH13" s="10">
        <f t="shared" ref="EH13" si="821">$B13/$B$31*$D13*EI$31</f>
        <v>0</v>
      </c>
      <c r="EI13" s="10">
        <f t="shared" si="121"/>
        <v>0</v>
      </c>
      <c r="EJ13" s="10">
        <f t="shared" ref="EJ13" si="822">$B13/$B$31*$D13*EK$31</f>
        <v>0</v>
      </c>
      <c r="EK13" s="10">
        <f t="shared" si="123"/>
        <v>0</v>
      </c>
      <c r="EL13" s="10">
        <f t="shared" ref="EL13" si="823">$B13/$B$31*$D13*EM$31</f>
        <v>0</v>
      </c>
      <c r="EM13" s="10">
        <f t="shared" si="125"/>
        <v>0</v>
      </c>
      <c r="EN13" s="10">
        <f t="shared" ref="EN13" si="824">$B13/$B$31*$D13*EO$31</f>
        <v>0</v>
      </c>
      <c r="EO13" s="10">
        <f t="shared" si="127"/>
        <v>0</v>
      </c>
      <c r="EP13" s="10">
        <f t="shared" ref="EP13" si="825">$B13/$B$31*$D13*EQ$31</f>
        <v>0</v>
      </c>
      <c r="EQ13" s="10">
        <f t="shared" si="129"/>
        <v>0</v>
      </c>
      <c r="ER13" s="10">
        <f t="shared" ref="ER13" si="826">$B13/$B$31*$D13*ES$31</f>
        <v>0</v>
      </c>
      <c r="ES13" s="10">
        <f t="shared" si="131"/>
        <v>0</v>
      </c>
      <c r="ET13" s="10">
        <f t="shared" ref="ET13" si="827">$B13/$B$31*$D13*EU$31</f>
        <v>0</v>
      </c>
      <c r="EU13" s="10">
        <f t="shared" si="133"/>
        <v>0</v>
      </c>
      <c r="EV13" s="10">
        <f t="shared" ref="EV13" si="828">$B13/$B$31*$D13*EW$31</f>
        <v>0</v>
      </c>
      <c r="EW13" s="10">
        <f t="shared" si="133"/>
        <v>0</v>
      </c>
      <c r="EX13" s="10">
        <f t="shared" ref="EX13" si="829">$B13/$B$31*$D13*EY$31</f>
        <v>0</v>
      </c>
      <c r="EY13" s="10">
        <f t="shared" si="133"/>
        <v>0</v>
      </c>
      <c r="EZ13" s="10">
        <f t="shared" ref="EZ13" si="830">$B13/$B$31*$D13*FA$31</f>
        <v>0</v>
      </c>
      <c r="FA13" s="10">
        <f t="shared" si="133"/>
        <v>0</v>
      </c>
      <c r="FB13" s="10">
        <f t="shared" ref="FB13" si="831">$B13/$B$31*$D13*FC$31</f>
        <v>0</v>
      </c>
      <c r="FC13" s="10">
        <f t="shared" si="133"/>
        <v>0</v>
      </c>
      <c r="FD13" s="10">
        <f t="shared" ref="FD13" si="832">$B13/$B$31*$D13*FE$31</f>
        <v>0</v>
      </c>
      <c r="FE13" s="10">
        <f t="shared" si="133"/>
        <v>0</v>
      </c>
      <c r="FF13" s="10">
        <f t="shared" ref="FF13" si="833">$B13/$B$31*$D13*FG$31</f>
        <v>0</v>
      </c>
      <c r="FG13" s="10">
        <f t="shared" si="133"/>
        <v>0</v>
      </c>
      <c r="FH13" s="10">
        <f t="shared" ref="FH13" si="834">$B13/$B$31*$D13*FI$31</f>
        <v>0</v>
      </c>
      <c r="FI13" s="10">
        <f t="shared" si="133"/>
        <v>0</v>
      </c>
      <c r="FJ13" s="10">
        <f t="shared" ref="FJ13" si="835">$B13/$B$31*$D13*FK$31</f>
        <v>0</v>
      </c>
      <c r="FK13" s="10">
        <f t="shared" si="133"/>
        <v>0</v>
      </c>
      <c r="FL13" s="10">
        <f t="shared" ref="FL13" si="836">$B13/$B$31*$D13*FM$31</f>
        <v>0</v>
      </c>
      <c r="FM13" s="10">
        <f t="shared" si="133"/>
        <v>0</v>
      </c>
      <c r="FN13" s="10">
        <f t="shared" ref="FN13" si="837">$B13/$B$31*$D13*FO$31</f>
        <v>0</v>
      </c>
      <c r="FO13" s="10">
        <f t="shared" si="144"/>
        <v>0</v>
      </c>
      <c r="FP13" s="10">
        <f t="shared" ref="FP13" si="838">$B13/$B$31*$D13*FQ$31</f>
        <v>0</v>
      </c>
      <c r="FQ13" s="10">
        <f t="shared" si="146"/>
        <v>0</v>
      </c>
      <c r="FR13" s="10">
        <f t="shared" ref="FR13" si="839">$B13/$B$31*$D13*FS$31</f>
        <v>0</v>
      </c>
      <c r="FS13" s="10">
        <f t="shared" si="148"/>
        <v>0</v>
      </c>
      <c r="FT13" s="10">
        <f t="shared" ref="FT13" si="840">$B13/$B$31*$D13*FU$31</f>
        <v>0</v>
      </c>
      <c r="FU13" s="10">
        <f t="shared" si="150"/>
        <v>0</v>
      </c>
      <c r="FV13" s="10">
        <f t="shared" ref="FV13" si="841">$B13/$B$31*$D13*FW$31</f>
        <v>0</v>
      </c>
      <c r="FW13" s="10">
        <f t="shared" si="152"/>
        <v>0</v>
      </c>
      <c r="FX13" s="10">
        <f t="shared" ref="FX13" si="842">$B13/$B$31*$D13*FY$31</f>
        <v>0</v>
      </c>
      <c r="FY13" s="10">
        <f t="shared" si="154"/>
        <v>0</v>
      </c>
      <c r="FZ13" s="10">
        <f t="shared" ref="FZ13" si="843">$B13/$B$31*$D13*GA$31</f>
        <v>0</v>
      </c>
      <c r="GA13" s="10">
        <f t="shared" si="156"/>
        <v>0</v>
      </c>
      <c r="GB13" s="10">
        <f t="shared" ref="GB13" si="844">$B13/$B$31*$D13*GC$31</f>
        <v>0</v>
      </c>
      <c r="GC13" s="10">
        <f t="shared" si="158"/>
        <v>0</v>
      </c>
      <c r="GD13" s="10">
        <f t="shared" ref="GD13" si="845">$B13/$B$31*$D13*GE$31</f>
        <v>0</v>
      </c>
      <c r="GE13" s="10">
        <f t="shared" si="160"/>
        <v>0</v>
      </c>
      <c r="GF13" s="10">
        <f t="shared" ref="GF13" si="846">$B13/$B$31*$D13*GG$31</f>
        <v>0</v>
      </c>
      <c r="GG13" s="10">
        <f t="shared" si="162"/>
        <v>0</v>
      </c>
      <c r="GH13" s="10">
        <f t="shared" ref="GH13" si="847">$B13/$B$31*$D13*GI$31</f>
        <v>0</v>
      </c>
      <c r="GI13" s="10">
        <f t="shared" si="164"/>
        <v>0</v>
      </c>
      <c r="GJ13" s="10">
        <f t="shared" ref="GJ13" si="848">$B13/$B$31*$D13*GK$31</f>
        <v>0</v>
      </c>
      <c r="GK13" s="10">
        <f t="shared" si="166"/>
        <v>0</v>
      </c>
      <c r="GL13" s="10">
        <f t="shared" ref="GL13" si="849">$B13/$B$31*$D13*GM$31</f>
        <v>0</v>
      </c>
      <c r="GM13" s="10">
        <f t="shared" si="168"/>
        <v>0</v>
      </c>
      <c r="GN13" s="10">
        <f t="shared" ref="GN13" si="850">$B13/$B$31*$D13*GO$31</f>
        <v>0</v>
      </c>
      <c r="GO13" s="10">
        <f t="shared" si="170"/>
        <v>0</v>
      </c>
      <c r="GP13" s="10">
        <f t="shared" ref="GP13" si="851">$B13/$B$31*$D13*GQ$31</f>
        <v>0</v>
      </c>
      <c r="GQ13" s="10">
        <f t="shared" si="172"/>
        <v>0</v>
      </c>
      <c r="GR13" s="10">
        <f t="shared" ref="GR13" si="852">$B13/$B$31*$D13*GS$31</f>
        <v>0</v>
      </c>
      <c r="GS13" s="10">
        <f t="shared" si="174"/>
        <v>0</v>
      </c>
      <c r="GT13" s="10">
        <f t="shared" ref="GT13" si="853">$B13/$B$31*$D13*GU$31</f>
        <v>0</v>
      </c>
      <c r="GU13" s="10">
        <f t="shared" si="176"/>
        <v>0</v>
      </c>
      <c r="GV13" s="10">
        <f t="shared" ref="GV13" si="854">$B13/$B$31*$D13*GW$31</f>
        <v>0</v>
      </c>
      <c r="GW13" s="10">
        <f t="shared" si="178"/>
        <v>0</v>
      </c>
      <c r="GX13" s="10">
        <f t="shared" ref="GX13" si="855">$B13/$B$31*$D13*GY$31</f>
        <v>0</v>
      </c>
      <c r="GY13" s="10">
        <f t="shared" si="180"/>
        <v>0</v>
      </c>
      <c r="GZ13" s="10">
        <f t="shared" ref="GZ13" si="856">$B13/$B$31*$D13*HA$31</f>
        <v>0</v>
      </c>
      <c r="HA13" s="10">
        <f t="shared" si="182"/>
        <v>0</v>
      </c>
      <c r="HB13" s="10">
        <f t="shared" ref="HB13" si="857">$B13/$B$31*$D13*HC$31</f>
        <v>0</v>
      </c>
      <c r="HC13" s="10">
        <f t="shared" si="184"/>
        <v>0</v>
      </c>
      <c r="HD13" s="10">
        <f t="shared" ref="HD13" si="858">$B13/$B$31*$D13*HE$31</f>
        <v>0</v>
      </c>
      <c r="HE13" s="10">
        <f t="shared" si="186"/>
        <v>0</v>
      </c>
      <c r="HF13" s="10">
        <f t="shared" ref="HF13" si="859">$B13/$B$31*$D13*HG$31</f>
        <v>0</v>
      </c>
      <c r="HG13" s="10">
        <f t="shared" si="188"/>
        <v>0</v>
      </c>
      <c r="HH13" s="10">
        <f t="shared" ref="HH13" si="860">$B13/$B$31*$D13*HI$31</f>
        <v>0</v>
      </c>
      <c r="HI13" s="10">
        <f t="shared" si="190"/>
        <v>0</v>
      </c>
      <c r="HJ13" s="10">
        <f t="shared" ref="HJ13" si="861">$B13/$B$31*$D13*HK$31</f>
        <v>0</v>
      </c>
      <c r="HK13" s="10">
        <f t="shared" si="192"/>
        <v>0</v>
      </c>
      <c r="HL13" s="10">
        <f t="shared" ref="HL13" si="862">$B13/$B$31*$D13*HM$31</f>
        <v>0</v>
      </c>
      <c r="HM13" s="10">
        <f t="shared" si="194"/>
        <v>0</v>
      </c>
      <c r="HN13" s="10">
        <f t="shared" ref="HN13" si="863">$B13/$B$31*$D13*HO$31</f>
        <v>0</v>
      </c>
      <c r="HO13" s="10">
        <f t="shared" si="196"/>
        <v>0</v>
      </c>
      <c r="HP13" s="10">
        <f t="shared" ref="HP13" si="864">$B13/$B$31*$D13*HQ$31</f>
        <v>0</v>
      </c>
      <c r="HQ13" s="10">
        <f t="shared" si="198"/>
        <v>0</v>
      </c>
      <c r="HR13" s="10">
        <f t="shared" ref="HR13" si="865">$B13/$B$31*$D13*HS$31</f>
        <v>0</v>
      </c>
      <c r="HS13" s="10">
        <f t="shared" si="200"/>
        <v>0</v>
      </c>
      <c r="HT13" s="10">
        <f t="shared" ref="HT13" si="866">$B13/$B$31*$D13*HU$31</f>
        <v>0</v>
      </c>
      <c r="HU13" s="10">
        <f t="shared" si="202"/>
        <v>0</v>
      </c>
      <c r="HV13" s="10"/>
      <c r="HW13" s="10"/>
      <c r="HX13" s="10"/>
    </row>
    <row r="14" spans="1:232" x14ac:dyDescent="0.3">
      <c r="A14" s="18">
        <f>参数调整!A14</f>
        <v>11</v>
      </c>
      <c r="B14" s="170">
        <f>参数调整!B14</f>
        <v>5</v>
      </c>
      <c r="C14" s="10">
        <f>参数调整!F14</f>
        <v>1.8</v>
      </c>
      <c r="D14" s="10">
        <f>参数调整!G14</f>
        <v>2</v>
      </c>
      <c r="E14" s="15">
        <f>基本属性!B14</f>
        <v>105</v>
      </c>
      <c r="F14" s="15">
        <f>基本属性!C14</f>
        <v>4</v>
      </c>
      <c r="G14" s="271"/>
      <c r="H14" s="10">
        <f t="shared" si="45"/>
        <v>9119927040.5836754</v>
      </c>
      <c r="I14" s="188">
        <f t="shared" si="0"/>
        <v>8207934336.5253077</v>
      </c>
      <c r="J14" s="10">
        <f t="shared" si="1"/>
        <v>377217.33144237695</v>
      </c>
      <c r="K14" s="10">
        <f t="shared" si="2"/>
        <v>339495.59829813923</v>
      </c>
      <c r="L14" s="10">
        <f t="shared" si="46"/>
        <v>5.0222063976912841</v>
      </c>
      <c r="M14" s="10">
        <f t="shared" si="47"/>
        <v>4.5199857579221554</v>
      </c>
      <c r="N14" s="10">
        <f t="shared" si="48"/>
        <v>36.534427724578208</v>
      </c>
      <c r="O14" s="10">
        <f t="shared" si="49"/>
        <v>32.880984952120386</v>
      </c>
      <c r="P14" s="10">
        <f t="shared" si="3"/>
        <v>703.75436996504027</v>
      </c>
      <c r="Q14" s="10">
        <f t="shared" si="4"/>
        <v>633.37893296853622</v>
      </c>
      <c r="R14" s="10">
        <f t="shared" si="5"/>
        <v>2.225262197902417</v>
      </c>
      <c r="S14" s="10">
        <f t="shared" si="6"/>
        <v>2.0027359781121752</v>
      </c>
      <c r="T14" s="10">
        <f t="shared" si="7"/>
        <v>3.3229318479177654</v>
      </c>
      <c r="U14" s="10">
        <f t="shared" si="8"/>
        <v>2.9906386631259889</v>
      </c>
      <c r="V14" s="10">
        <f t="shared" si="9"/>
        <v>3.3229318479177654</v>
      </c>
      <c r="W14" s="10">
        <f t="shared" si="10"/>
        <v>2.9906386631259889</v>
      </c>
      <c r="X14" s="10">
        <f t="shared" si="11"/>
        <v>3.3229318479177654</v>
      </c>
      <c r="Y14" s="10">
        <f t="shared" si="12"/>
        <v>2.9906386631259889</v>
      </c>
      <c r="Z14" s="10">
        <f t="shared" si="13"/>
        <v>3.3229318479177654</v>
      </c>
      <c r="AA14" s="10">
        <f t="shared" si="14"/>
        <v>2.9906386631259889</v>
      </c>
      <c r="AB14" s="10">
        <f t="shared" si="15"/>
        <v>85.180118559051536</v>
      </c>
      <c r="AC14" s="10">
        <f t="shared" si="16"/>
        <v>76.662106703146378</v>
      </c>
      <c r="AD14" s="10">
        <f t="shared" si="17"/>
        <v>25.517836472692835</v>
      </c>
      <c r="AE14" s="10">
        <f t="shared" si="18"/>
        <v>22.966052825423553</v>
      </c>
      <c r="AF14" s="10">
        <f t="shared" si="19"/>
        <v>12.758918236346418</v>
      </c>
      <c r="AG14" s="10">
        <f t="shared" si="20"/>
        <v>11.483026412711776</v>
      </c>
      <c r="AH14" s="10">
        <f t="shared" si="21"/>
        <v>2.5517836472692834</v>
      </c>
      <c r="AI14" s="10">
        <f t="shared" si="22"/>
        <v>2.2966052825423553</v>
      </c>
      <c r="AJ14" s="10">
        <f t="shared" si="23"/>
        <v>29.162307878007564</v>
      </c>
      <c r="AK14" s="10">
        <f t="shared" si="24"/>
        <v>26.246077090206803</v>
      </c>
      <c r="AL14" s="10">
        <f t="shared" si="25"/>
        <v>14.581153939003782</v>
      </c>
      <c r="AM14" s="10">
        <f t="shared" si="26"/>
        <v>13.123038545103402</v>
      </c>
      <c r="AN14" s="10">
        <f t="shared" si="27"/>
        <v>2.9162307878007563</v>
      </c>
      <c r="AO14" s="10">
        <f t="shared" si="28"/>
        <v>2.6246077090206805</v>
      </c>
      <c r="AP14" s="10">
        <f t="shared" si="29"/>
        <v>1.3835721043853917</v>
      </c>
      <c r="AQ14" s="10">
        <f t="shared" si="30"/>
        <v>1.2452148939468524</v>
      </c>
      <c r="AR14" s="10">
        <f t="shared" si="31"/>
        <v>1.8262568718877398E-2</v>
      </c>
      <c r="AS14" s="10">
        <f t="shared" si="32"/>
        <v>1.6436311846989658E-2</v>
      </c>
      <c r="AT14" s="10">
        <f t="shared" si="33"/>
        <v>1.8262568718877398E-2</v>
      </c>
      <c r="AU14" s="10">
        <f t="shared" si="34"/>
        <v>1.6436311846989658E-2</v>
      </c>
      <c r="AV14" s="10">
        <f t="shared" si="35"/>
        <v>0.16436311846989657</v>
      </c>
      <c r="AW14" s="10">
        <f t="shared" si="36"/>
        <v>0.14792680662290689</v>
      </c>
      <c r="AX14" s="10">
        <f t="shared" si="37"/>
        <v>0.50222063976912845</v>
      </c>
      <c r="AY14" s="10">
        <f t="shared" si="38"/>
        <v>0.45199857579221558</v>
      </c>
      <c r="AZ14" s="10">
        <f t="shared" si="39"/>
        <v>4.5656421797193494E-2</v>
      </c>
      <c r="BA14" s="10">
        <f t="shared" si="40"/>
        <v>4.1090779617474142E-2</v>
      </c>
      <c r="BB14" s="10">
        <f t="shared" si="41"/>
        <v>4.5656421797193494E-2</v>
      </c>
      <c r="BC14" s="10">
        <f t="shared" si="42"/>
        <v>4.1090779617474142E-2</v>
      </c>
      <c r="BD14" s="10">
        <f t="shared" si="43"/>
        <v>0.18262568718877398</v>
      </c>
      <c r="BE14" s="10">
        <f t="shared" si="44"/>
        <v>0.16436311846989657</v>
      </c>
      <c r="BF14" s="10">
        <f t="shared" si="50"/>
        <v>0.22828210898596749</v>
      </c>
      <c r="BG14" s="10">
        <f t="shared" si="51"/>
        <v>0.20545389808737072</v>
      </c>
      <c r="BH14" s="10">
        <f t="shared" si="52"/>
        <v>0</v>
      </c>
      <c r="BI14" s="10">
        <f t="shared" si="53"/>
        <v>0</v>
      </c>
      <c r="BJ14" s="10">
        <f t="shared" si="52"/>
        <v>0</v>
      </c>
      <c r="BK14" s="10">
        <f t="shared" si="53"/>
        <v>0</v>
      </c>
      <c r="BL14" s="10">
        <f t="shared" ref="BL14" si="867">$B14/$B$31*$D14*BM$31</f>
        <v>0</v>
      </c>
      <c r="BM14" s="10">
        <f t="shared" si="53"/>
        <v>0</v>
      </c>
      <c r="BN14" s="10">
        <f t="shared" ref="BN14" si="868">$B14/$B$31*$D14*BO$31</f>
        <v>0</v>
      </c>
      <c r="BO14" s="10">
        <f t="shared" si="53"/>
        <v>0</v>
      </c>
      <c r="BP14" s="10">
        <f t="shared" ref="BP14" si="869">$B14/$B$31*$D14*BQ$31</f>
        <v>0</v>
      </c>
      <c r="BQ14" s="10">
        <f t="shared" si="53"/>
        <v>0</v>
      </c>
      <c r="BR14" s="10">
        <f t="shared" ref="BR14" si="870">$B14/$B$31*$D14*BS$31</f>
        <v>0</v>
      </c>
      <c r="BS14" s="10">
        <f t="shared" si="53"/>
        <v>0</v>
      </c>
      <c r="BT14" s="10">
        <f t="shared" ref="BT14" si="871">$B14/$B$31*$D14*BU$31</f>
        <v>0</v>
      </c>
      <c r="BU14" s="10">
        <f t="shared" si="53"/>
        <v>0</v>
      </c>
      <c r="BV14" s="10">
        <f t="shared" ref="BV14" si="872">$B14/$B$31*$D14*BW$31</f>
        <v>0</v>
      </c>
      <c r="BW14" s="10">
        <f t="shared" si="53"/>
        <v>0</v>
      </c>
      <c r="BX14" s="10">
        <f t="shared" ref="BX14" si="873">$B14/$B$31*$D14*BY$31</f>
        <v>0</v>
      </c>
      <c r="BY14" s="10">
        <f t="shared" si="53"/>
        <v>0</v>
      </c>
      <c r="BZ14" s="10">
        <f t="shared" ref="BZ14" si="874">$B14/$B$31*$D14*CA$31</f>
        <v>0</v>
      </c>
      <c r="CA14" s="10">
        <f t="shared" si="53"/>
        <v>0</v>
      </c>
      <c r="CB14" s="10">
        <f t="shared" ref="CB14" si="875">$B14/$B$31*$D14*CC$31</f>
        <v>0</v>
      </c>
      <c r="CC14" s="10">
        <f t="shared" si="63"/>
        <v>0</v>
      </c>
      <c r="CD14" s="10">
        <f t="shared" ref="CD14" si="876">$B14/$B$31*$D14*CE$31</f>
        <v>0</v>
      </c>
      <c r="CE14" s="10">
        <f t="shared" si="65"/>
        <v>0</v>
      </c>
      <c r="CF14" s="10">
        <f t="shared" ref="CF14" si="877">$B14/$B$31*$D14*CG$31</f>
        <v>0</v>
      </c>
      <c r="CG14" s="10">
        <f t="shared" si="67"/>
        <v>0</v>
      </c>
      <c r="CH14" s="10">
        <f t="shared" ref="CH14" si="878">$B14/$B$31*$D14*CI$31</f>
        <v>0</v>
      </c>
      <c r="CI14" s="10">
        <f t="shared" si="69"/>
        <v>0</v>
      </c>
      <c r="CJ14" s="10">
        <f t="shared" ref="CJ14" si="879">$B14/$B$31*$D14*CK$31</f>
        <v>0</v>
      </c>
      <c r="CK14" s="10">
        <f t="shared" si="71"/>
        <v>0</v>
      </c>
      <c r="CL14" s="10">
        <f t="shared" ref="CL14" si="880">$B14/$B$31*$D14*CM$31</f>
        <v>0</v>
      </c>
      <c r="CM14" s="10">
        <f t="shared" si="73"/>
        <v>0</v>
      </c>
      <c r="CN14" s="10">
        <f t="shared" ref="CN14" si="881">$B14/$B$31*$D14*CO$31</f>
        <v>0</v>
      </c>
      <c r="CO14" s="10">
        <f t="shared" si="75"/>
        <v>0</v>
      </c>
      <c r="CP14" s="10">
        <f t="shared" ref="CP14" si="882">$B14/$B$31*$D14*CQ$31</f>
        <v>0</v>
      </c>
      <c r="CQ14" s="10">
        <f t="shared" si="77"/>
        <v>0</v>
      </c>
      <c r="CR14" s="10">
        <f t="shared" ref="CR14" si="883">$B14/$B$31*$D14*CS$31</f>
        <v>0</v>
      </c>
      <c r="CS14" s="10">
        <f t="shared" si="79"/>
        <v>0</v>
      </c>
      <c r="CT14" s="10">
        <f t="shared" ref="CT14" si="884">$B14/$B$31*$D14*CU$31</f>
        <v>0</v>
      </c>
      <c r="CU14" s="10">
        <f t="shared" si="81"/>
        <v>0</v>
      </c>
      <c r="CV14" s="10">
        <f t="shared" ref="CV14" si="885">$B14/$B$31*$D14*CW$31</f>
        <v>0</v>
      </c>
      <c r="CW14" s="10">
        <f t="shared" si="83"/>
        <v>0</v>
      </c>
      <c r="CX14" s="10">
        <f t="shared" ref="CX14" si="886">$B14/$B$31*$D14*CY$31</f>
        <v>0</v>
      </c>
      <c r="CY14" s="10">
        <f t="shared" si="85"/>
        <v>0</v>
      </c>
      <c r="CZ14" s="10">
        <f t="shared" ref="CZ14" si="887">$B14/$B$31*$D14*DA$31</f>
        <v>0</v>
      </c>
      <c r="DA14" s="10">
        <f t="shared" si="87"/>
        <v>0</v>
      </c>
      <c r="DB14" s="10">
        <f t="shared" ref="DB14" si="888">$B14/$B$31*$D14*DC$31</f>
        <v>0</v>
      </c>
      <c r="DC14" s="10">
        <f t="shared" si="89"/>
        <v>0</v>
      </c>
      <c r="DD14" s="10">
        <f t="shared" ref="DD14" si="889">$B14/$B$31*$D14*DE$31</f>
        <v>0</v>
      </c>
      <c r="DE14" s="10">
        <f t="shared" si="91"/>
        <v>0</v>
      </c>
      <c r="DF14" s="10">
        <f t="shared" ref="DF14" si="890">$B14/$B$31*$D14*DG$31</f>
        <v>0</v>
      </c>
      <c r="DG14" s="10">
        <f t="shared" si="93"/>
        <v>0</v>
      </c>
      <c r="DH14" s="10">
        <f t="shared" ref="DH14" si="891">$B14/$B$31*$D14*DI$31</f>
        <v>0</v>
      </c>
      <c r="DI14" s="10">
        <f t="shared" si="95"/>
        <v>0</v>
      </c>
      <c r="DJ14" s="10">
        <f t="shared" ref="DJ14" si="892">$B14/$B$31*$D14*DK$31</f>
        <v>0</v>
      </c>
      <c r="DK14" s="10">
        <f t="shared" si="97"/>
        <v>0</v>
      </c>
      <c r="DL14" s="10">
        <f t="shared" ref="DL14" si="893">$B14/$B$31*$D14*DM$31</f>
        <v>0</v>
      </c>
      <c r="DM14" s="10">
        <f t="shared" si="99"/>
        <v>0</v>
      </c>
      <c r="DN14" s="10">
        <f t="shared" ref="DN14" si="894">$B14/$B$31*$D14*DO$31</f>
        <v>0</v>
      </c>
      <c r="DO14" s="10">
        <f t="shared" si="101"/>
        <v>0</v>
      </c>
      <c r="DP14" s="10">
        <f t="shared" ref="DP14" si="895">$B14/$B$31*$D14*DQ$31</f>
        <v>0</v>
      </c>
      <c r="DQ14" s="10">
        <f t="shared" si="103"/>
        <v>0</v>
      </c>
      <c r="DR14" s="10">
        <f t="shared" ref="DR14" si="896">$B14/$B$31*$D14*DS$31</f>
        <v>0</v>
      </c>
      <c r="DS14" s="10">
        <f t="shared" si="105"/>
        <v>0</v>
      </c>
      <c r="DT14" s="10">
        <f t="shared" ref="DT14" si="897">$B14/$B$31*$D14*DU$31</f>
        <v>0</v>
      </c>
      <c r="DU14" s="10">
        <f t="shared" si="107"/>
        <v>0</v>
      </c>
      <c r="DV14" s="10">
        <f t="shared" ref="DV14" si="898">$B14/$B$31*$D14*DW$31</f>
        <v>0</v>
      </c>
      <c r="DW14" s="10">
        <f t="shared" si="109"/>
        <v>0</v>
      </c>
      <c r="DX14" s="10">
        <f t="shared" ref="DX14" si="899">$B14/$B$31*$D14*DY$31</f>
        <v>0</v>
      </c>
      <c r="DY14" s="10">
        <f t="shared" si="111"/>
        <v>0</v>
      </c>
      <c r="DZ14" s="10">
        <f t="shared" ref="DZ14" si="900">$B14/$B$31*$D14*EA$31</f>
        <v>0</v>
      </c>
      <c r="EA14" s="10">
        <f t="shared" si="113"/>
        <v>0</v>
      </c>
      <c r="EB14" s="10">
        <f t="shared" ref="EB14" si="901">$B14/$B$31*$D14*EC$31</f>
        <v>0</v>
      </c>
      <c r="EC14" s="10">
        <f t="shared" si="115"/>
        <v>0</v>
      </c>
      <c r="ED14" s="10">
        <f t="shared" ref="ED14" si="902">$B14/$B$31*$D14*EE$31</f>
        <v>0</v>
      </c>
      <c r="EE14" s="10">
        <f t="shared" si="117"/>
        <v>0</v>
      </c>
      <c r="EF14" s="10">
        <f t="shared" ref="EF14" si="903">$B14/$B$31*$D14*EG$31</f>
        <v>0</v>
      </c>
      <c r="EG14" s="10">
        <f t="shared" si="119"/>
        <v>0</v>
      </c>
      <c r="EH14" s="10">
        <f t="shared" ref="EH14" si="904">$B14/$B$31*$D14*EI$31</f>
        <v>0</v>
      </c>
      <c r="EI14" s="10">
        <f t="shared" si="121"/>
        <v>0</v>
      </c>
      <c r="EJ14" s="10">
        <f t="shared" ref="EJ14" si="905">$B14/$B$31*$D14*EK$31</f>
        <v>0</v>
      </c>
      <c r="EK14" s="10">
        <f t="shared" si="123"/>
        <v>0</v>
      </c>
      <c r="EL14" s="10">
        <f t="shared" ref="EL14" si="906">$B14/$B$31*$D14*EM$31</f>
        <v>0</v>
      </c>
      <c r="EM14" s="10">
        <f t="shared" si="125"/>
        <v>0</v>
      </c>
      <c r="EN14" s="10">
        <f t="shared" ref="EN14" si="907">$B14/$B$31*$D14*EO$31</f>
        <v>0</v>
      </c>
      <c r="EO14" s="10">
        <f t="shared" si="127"/>
        <v>0</v>
      </c>
      <c r="EP14" s="10">
        <f t="shared" ref="EP14" si="908">$B14/$B$31*$D14*EQ$31</f>
        <v>0</v>
      </c>
      <c r="EQ14" s="10">
        <f t="shared" si="129"/>
        <v>0</v>
      </c>
      <c r="ER14" s="10">
        <f t="shared" ref="ER14" si="909">$B14/$B$31*$D14*ES$31</f>
        <v>0</v>
      </c>
      <c r="ES14" s="10">
        <f t="shared" si="131"/>
        <v>0</v>
      </c>
      <c r="ET14" s="10">
        <f t="shared" ref="ET14" si="910">$B14/$B$31*$D14*EU$31</f>
        <v>0</v>
      </c>
      <c r="EU14" s="10">
        <f t="shared" si="133"/>
        <v>0</v>
      </c>
      <c r="EV14" s="10">
        <f t="shared" ref="EV14" si="911">$B14/$B$31*$D14*EW$31</f>
        <v>0</v>
      </c>
      <c r="EW14" s="10">
        <f t="shared" si="133"/>
        <v>0</v>
      </c>
      <c r="EX14" s="10">
        <f t="shared" ref="EX14" si="912">$B14/$B$31*$D14*EY$31</f>
        <v>0</v>
      </c>
      <c r="EY14" s="10">
        <f t="shared" si="133"/>
        <v>0</v>
      </c>
      <c r="EZ14" s="10">
        <f t="shared" ref="EZ14" si="913">$B14/$B$31*$D14*FA$31</f>
        <v>0</v>
      </c>
      <c r="FA14" s="10">
        <f t="shared" si="133"/>
        <v>0</v>
      </c>
      <c r="FB14" s="10">
        <f t="shared" ref="FB14" si="914">$B14/$B$31*$D14*FC$31</f>
        <v>0</v>
      </c>
      <c r="FC14" s="10">
        <f t="shared" si="133"/>
        <v>0</v>
      </c>
      <c r="FD14" s="10">
        <f t="shared" ref="FD14" si="915">$B14/$B$31*$D14*FE$31</f>
        <v>0</v>
      </c>
      <c r="FE14" s="10">
        <f t="shared" si="133"/>
        <v>0</v>
      </c>
      <c r="FF14" s="10">
        <f t="shared" ref="FF14" si="916">$B14/$B$31*$D14*FG$31</f>
        <v>0</v>
      </c>
      <c r="FG14" s="10">
        <f t="shared" si="133"/>
        <v>0</v>
      </c>
      <c r="FH14" s="10">
        <f t="shared" ref="FH14" si="917">$B14/$B$31*$D14*FI$31</f>
        <v>0</v>
      </c>
      <c r="FI14" s="10">
        <f t="shared" si="133"/>
        <v>0</v>
      </c>
      <c r="FJ14" s="10">
        <f t="shared" ref="FJ14" si="918">$B14/$B$31*$D14*FK$31</f>
        <v>0</v>
      </c>
      <c r="FK14" s="10">
        <f t="shared" si="133"/>
        <v>0</v>
      </c>
      <c r="FL14" s="10">
        <f t="shared" ref="FL14" si="919">$B14/$B$31*$D14*FM$31</f>
        <v>0</v>
      </c>
      <c r="FM14" s="10">
        <f t="shared" si="133"/>
        <v>0</v>
      </c>
      <c r="FN14" s="10">
        <f t="shared" ref="FN14" si="920">$B14/$B$31*$D14*FO$31</f>
        <v>0</v>
      </c>
      <c r="FO14" s="10">
        <f t="shared" si="144"/>
        <v>0</v>
      </c>
      <c r="FP14" s="10">
        <f t="shared" ref="FP14" si="921">$B14/$B$31*$D14*FQ$31</f>
        <v>0</v>
      </c>
      <c r="FQ14" s="10">
        <f t="shared" si="146"/>
        <v>0</v>
      </c>
      <c r="FR14" s="10">
        <f t="shared" ref="FR14" si="922">$B14/$B$31*$D14*FS$31</f>
        <v>0</v>
      </c>
      <c r="FS14" s="10">
        <f t="shared" si="148"/>
        <v>0</v>
      </c>
      <c r="FT14" s="10">
        <f t="shared" ref="FT14" si="923">$B14/$B$31*$D14*FU$31</f>
        <v>0</v>
      </c>
      <c r="FU14" s="10">
        <f t="shared" si="150"/>
        <v>0</v>
      </c>
      <c r="FV14" s="10">
        <f t="shared" ref="FV14" si="924">$B14/$B$31*$D14*FW$31</f>
        <v>0</v>
      </c>
      <c r="FW14" s="10">
        <f t="shared" si="152"/>
        <v>0</v>
      </c>
      <c r="FX14" s="10">
        <f t="shared" ref="FX14" si="925">$B14/$B$31*$D14*FY$31</f>
        <v>0</v>
      </c>
      <c r="FY14" s="10">
        <f t="shared" si="154"/>
        <v>0</v>
      </c>
      <c r="FZ14" s="10">
        <f t="shared" ref="FZ14" si="926">$B14/$B$31*$D14*GA$31</f>
        <v>0</v>
      </c>
      <c r="GA14" s="10">
        <f t="shared" si="156"/>
        <v>0</v>
      </c>
      <c r="GB14" s="10">
        <f t="shared" ref="GB14" si="927">$B14/$B$31*$D14*GC$31</f>
        <v>0</v>
      </c>
      <c r="GC14" s="10">
        <f t="shared" si="158"/>
        <v>0</v>
      </c>
      <c r="GD14" s="10">
        <f t="shared" ref="GD14" si="928">$B14/$B$31*$D14*GE$31</f>
        <v>0</v>
      </c>
      <c r="GE14" s="10">
        <f t="shared" si="160"/>
        <v>0</v>
      </c>
      <c r="GF14" s="10">
        <f t="shared" ref="GF14" si="929">$B14/$B$31*$D14*GG$31</f>
        <v>0</v>
      </c>
      <c r="GG14" s="10">
        <f t="shared" si="162"/>
        <v>0</v>
      </c>
      <c r="GH14" s="10">
        <f t="shared" ref="GH14" si="930">$B14/$B$31*$D14*GI$31</f>
        <v>0</v>
      </c>
      <c r="GI14" s="10">
        <f t="shared" si="164"/>
        <v>0</v>
      </c>
      <c r="GJ14" s="10">
        <f t="shared" ref="GJ14" si="931">$B14/$B$31*$D14*GK$31</f>
        <v>0</v>
      </c>
      <c r="GK14" s="10">
        <f t="shared" si="166"/>
        <v>0</v>
      </c>
      <c r="GL14" s="10">
        <f t="shared" ref="GL14" si="932">$B14/$B$31*$D14*GM$31</f>
        <v>0</v>
      </c>
      <c r="GM14" s="10">
        <f t="shared" si="168"/>
        <v>0</v>
      </c>
      <c r="GN14" s="10">
        <f t="shared" ref="GN14" si="933">$B14/$B$31*$D14*GO$31</f>
        <v>0</v>
      </c>
      <c r="GO14" s="10">
        <f t="shared" si="170"/>
        <v>0</v>
      </c>
      <c r="GP14" s="10">
        <f t="shared" ref="GP14" si="934">$B14/$B$31*$D14*GQ$31</f>
        <v>0</v>
      </c>
      <c r="GQ14" s="10">
        <f t="shared" si="172"/>
        <v>0</v>
      </c>
      <c r="GR14" s="10">
        <f t="shared" ref="GR14" si="935">$B14/$B$31*$D14*GS$31</f>
        <v>0</v>
      </c>
      <c r="GS14" s="10">
        <f t="shared" si="174"/>
        <v>0</v>
      </c>
      <c r="GT14" s="10">
        <f t="shared" ref="GT14" si="936">$B14/$B$31*$D14*GU$31</f>
        <v>0</v>
      </c>
      <c r="GU14" s="10">
        <f t="shared" si="176"/>
        <v>0</v>
      </c>
      <c r="GV14" s="10">
        <f t="shared" ref="GV14" si="937">$B14/$B$31*$D14*GW$31</f>
        <v>0</v>
      </c>
      <c r="GW14" s="10">
        <f t="shared" si="178"/>
        <v>0</v>
      </c>
      <c r="GX14" s="10">
        <f t="shared" ref="GX14" si="938">$B14/$B$31*$D14*GY$31</f>
        <v>0</v>
      </c>
      <c r="GY14" s="10">
        <f t="shared" si="180"/>
        <v>0</v>
      </c>
      <c r="GZ14" s="10">
        <f t="shared" ref="GZ14" si="939">$B14/$B$31*$D14*HA$31</f>
        <v>0</v>
      </c>
      <c r="HA14" s="10">
        <f t="shared" si="182"/>
        <v>0</v>
      </c>
      <c r="HB14" s="10">
        <f t="shared" ref="HB14" si="940">$B14/$B$31*$D14*HC$31</f>
        <v>0</v>
      </c>
      <c r="HC14" s="10">
        <f t="shared" si="184"/>
        <v>0</v>
      </c>
      <c r="HD14" s="10">
        <f t="shared" ref="HD14" si="941">$B14/$B$31*$D14*HE$31</f>
        <v>0</v>
      </c>
      <c r="HE14" s="10">
        <f t="shared" si="186"/>
        <v>0</v>
      </c>
      <c r="HF14" s="10">
        <f t="shared" ref="HF14" si="942">$B14/$B$31*$D14*HG$31</f>
        <v>0</v>
      </c>
      <c r="HG14" s="10">
        <f t="shared" si="188"/>
        <v>0</v>
      </c>
      <c r="HH14" s="10">
        <f t="shared" ref="HH14" si="943">$B14/$B$31*$D14*HI$31</f>
        <v>0</v>
      </c>
      <c r="HI14" s="10">
        <f t="shared" si="190"/>
        <v>0</v>
      </c>
      <c r="HJ14" s="10">
        <f t="shared" ref="HJ14" si="944">$B14/$B$31*$D14*HK$31</f>
        <v>0</v>
      </c>
      <c r="HK14" s="10">
        <f t="shared" si="192"/>
        <v>0</v>
      </c>
      <c r="HL14" s="10">
        <f t="shared" ref="HL14" si="945">$B14/$B$31*$D14*HM$31</f>
        <v>0</v>
      </c>
      <c r="HM14" s="10">
        <f t="shared" si="194"/>
        <v>0</v>
      </c>
      <c r="HN14" s="10">
        <f t="shared" ref="HN14" si="946">$B14/$B$31*$D14*HO$31</f>
        <v>0</v>
      </c>
      <c r="HO14" s="10">
        <f t="shared" si="196"/>
        <v>0</v>
      </c>
      <c r="HP14" s="10">
        <f t="shared" ref="HP14" si="947">$B14/$B$31*$D14*HQ$31</f>
        <v>0</v>
      </c>
      <c r="HQ14" s="10">
        <f t="shared" si="198"/>
        <v>0</v>
      </c>
      <c r="HR14" s="10">
        <f t="shared" ref="HR14" si="948">$B14/$B$31*$D14*HS$31</f>
        <v>0</v>
      </c>
      <c r="HS14" s="10">
        <f t="shared" si="200"/>
        <v>0</v>
      </c>
      <c r="HT14" s="10">
        <f t="shared" ref="HT14" si="949">$B14/$B$31*$D14*HU$31</f>
        <v>0</v>
      </c>
      <c r="HU14" s="10">
        <f t="shared" si="202"/>
        <v>0</v>
      </c>
      <c r="HV14" s="10"/>
      <c r="HW14" s="10"/>
      <c r="HX14" s="10"/>
    </row>
    <row r="15" spans="1:232" x14ac:dyDescent="0.3">
      <c r="A15" s="18">
        <f>参数调整!A15</f>
        <v>12</v>
      </c>
      <c r="B15" s="170">
        <f>参数调整!B15</f>
        <v>20</v>
      </c>
      <c r="C15" s="10">
        <f>参数调整!F15</f>
        <v>2.1</v>
      </c>
      <c r="D15" s="10">
        <f>参数调整!G15</f>
        <v>2.2000000000000002</v>
      </c>
      <c r="E15" s="15">
        <f>基本属性!B15</f>
        <v>110</v>
      </c>
      <c r="F15" s="15">
        <f>基本属性!C15</f>
        <v>5</v>
      </c>
      <c r="G15" s="271"/>
      <c r="H15" s="10">
        <f t="shared" si="45"/>
        <v>40127678978.568176</v>
      </c>
      <c r="I15" s="188">
        <f t="shared" si="0"/>
        <v>38303693570.451439</v>
      </c>
      <c r="J15" s="10">
        <f t="shared" si="1"/>
        <v>1659756.2583464587</v>
      </c>
      <c r="K15" s="10">
        <f t="shared" si="2"/>
        <v>1584312.7920579833</v>
      </c>
      <c r="L15" s="10">
        <f t="shared" si="46"/>
        <v>22.097708149841651</v>
      </c>
      <c r="M15" s="10">
        <f t="shared" si="47"/>
        <v>21.093266870303395</v>
      </c>
      <c r="N15" s="10">
        <f>B15/B$31*D15*O$31</f>
        <v>160.75148198814409</v>
      </c>
      <c r="O15" s="10">
        <f t="shared" si="49"/>
        <v>153.44459644322848</v>
      </c>
      <c r="P15" s="10">
        <f t="shared" si="3"/>
        <v>3096.5192278461773</v>
      </c>
      <c r="Q15" s="10">
        <f t="shared" si="4"/>
        <v>2955.7683538531696</v>
      </c>
      <c r="R15" s="10">
        <f t="shared" si="5"/>
        <v>9.791153670770635</v>
      </c>
      <c r="S15" s="10">
        <f t="shared" si="6"/>
        <v>9.3461012311901523</v>
      </c>
      <c r="T15" s="10">
        <f t="shared" si="7"/>
        <v>14.620900130838169</v>
      </c>
      <c r="U15" s="10">
        <f t="shared" si="8"/>
        <v>13.956313761254616</v>
      </c>
      <c r="V15" s="10">
        <f t="shared" si="9"/>
        <v>14.620900130838169</v>
      </c>
      <c r="W15" s="10">
        <f t="shared" si="10"/>
        <v>13.956313761254616</v>
      </c>
      <c r="X15" s="10">
        <f t="shared" si="11"/>
        <v>14.620900130838169</v>
      </c>
      <c r="Y15" s="10">
        <f t="shared" si="12"/>
        <v>13.956313761254616</v>
      </c>
      <c r="Z15" s="10">
        <f t="shared" si="13"/>
        <v>14.620900130838169</v>
      </c>
      <c r="AA15" s="10">
        <f t="shared" si="14"/>
        <v>13.956313761254616</v>
      </c>
      <c r="AB15" s="10">
        <f t="shared" si="15"/>
        <v>374.79252165982678</v>
      </c>
      <c r="AC15" s="10">
        <f t="shared" si="16"/>
        <v>357.75649794801643</v>
      </c>
      <c r="AD15" s="10">
        <f t="shared" si="17"/>
        <v>112.27848047984848</v>
      </c>
      <c r="AE15" s="10">
        <f t="shared" si="18"/>
        <v>107.17491318530992</v>
      </c>
      <c r="AF15" s="10">
        <f t="shared" si="19"/>
        <v>56.139240239924241</v>
      </c>
      <c r="AG15" s="10">
        <f t="shared" si="20"/>
        <v>53.587456592654959</v>
      </c>
      <c r="AH15" s="10">
        <f t="shared" si="21"/>
        <v>11.227848047984848</v>
      </c>
      <c r="AI15" s="10">
        <f t="shared" si="22"/>
        <v>10.717491318530993</v>
      </c>
      <c r="AJ15" s="10">
        <f t="shared" si="23"/>
        <v>128.31415466323327</v>
      </c>
      <c r="AK15" s="10">
        <f t="shared" si="24"/>
        <v>122.48169308763177</v>
      </c>
      <c r="AL15" s="10">
        <f t="shared" si="25"/>
        <v>64.157077331616634</v>
      </c>
      <c r="AM15" s="10">
        <f t="shared" si="26"/>
        <v>61.240846543815884</v>
      </c>
      <c r="AN15" s="10">
        <f t="shared" si="27"/>
        <v>12.831415466323328</v>
      </c>
      <c r="AO15" s="10">
        <f t="shared" si="28"/>
        <v>12.248169308763178</v>
      </c>
      <c r="AP15" s="10">
        <f t="shared" si="29"/>
        <v>6.0877172592957232</v>
      </c>
      <c r="AQ15" s="10">
        <f t="shared" si="30"/>
        <v>5.811002838418645</v>
      </c>
      <c r="AR15" s="10">
        <f t="shared" si="31"/>
        <v>8.0355302363060557E-2</v>
      </c>
      <c r="AS15" s="10">
        <f t="shared" si="32"/>
        <v>7.6702788619285076E-2</v>
      </c>
      <c r="AT15" s="10">
        <f t="shared" si="33"/>
        <v>8.0355302363060557E-2</v>
      </c>
      <c r="AU15" s="10">
        <f t="shared" si="34"/>
        <v>7.6702788619285076E-2</v>
      </c>
      <c r="AV15" s="10">
        <f t="shared" si="35"/>
        <v>0.72319772126754489</v>
      </c>
      <c r="AW15" s="10">
        <f t="shared" si="36"/>
        <v>0.69032509757356564</v>
      </c>
      <c r="AX15" s="10">
        <f t="shared" si="37"/>
        <v>2.2097708149841653</v>
      </c>
      <c r="AY15" s="10">
        <f t="shared" si="38"/>
        <v>2.1093266870303395</v>
      </c>
      <c r="AZ15" s="10">
        <f t="shared" si="39"/>
        <v>0.20088825590765139</v>
      </c>
      <c r="BA15" s="10">
        <f t="shared" si="40"/>
        <v>0.1917569715482127</v>
      </c>
      <c r="BB15" s="10">
        <f t="shared" si="41"/>
        <v>0.20088825590765139</v>
      </c>
      <c r="BC15" s="10">
        <f t="shared" si="42"/>
        <v>0.1917569715482127</v>
      </c>
      <c r="BD15" s="10">
        <f t="shared" si="43"/>
        <v>0.80355302363060555</v>
      </c>
      <c r="BE15" s="10">
        <f t="shared" si="44"/>
        <v>0.76702788619285078</v>
      </c>
      <c r="BF15" s="10">
        <f t="shared" si="50"/>
        <v>1.0044412795382569</v>
      </c>
      <c r="BG15" s="10">
        <f t="shared" si="51"/>
        <v>0.95878485774106348</v>
      </c>
      <c r="BH15" s="10">
        <f t="shared" si="52"/>
        <v>0</v>
      </c>
      <c r="BI15" s="10">
        <f t="shared" si="53"/>
        <v>0</v>
      </c>
      <c r="BJ15" s="10">
        <f t="shared" si="52"/>
        <v>0</v>
      </c>
      <c r="BK15" s="10">
        <f t="shared" si="53"/>
        <v>0</v>
      </c>
      <c r="BL15" s="10">
        <f t="shared" ref="BL15" si="950">$B15/$B$31*$D15*BM$31</f>
        <v>0</v>
      </c>
      <c r="BM15" s="10">
        <f t="shared" si="53"/>
        <v>0</v>
      </c>
      <c r="BN15" s="10">
        <f t="shared" ref="BN15" si="951">$B15/$B$31*$D15*BO$31</f>
        <v>0</v>
      </c>
      <c r="BO15" s="10">
        <f t="shared" si="53"/>
        <v>0</v>
      </c>
      <c r="BP15" s="10">
        <f t="shared" ref="BP15" si="952">$B15/$B$31*$D15*BQ$31</f>
        <v>0</v>
      </c>
      <c r="BQ15" s="10">
        <f t="shared" si="53"/>
        <v>0</v>
      </c>
      <c r="BR15" s="10">
        <f t="shared" ref="BR15" si="953">$B15/$B$31*$D15*BS$31</f>
        <v>0</v>
      </c>
      <c r="BS15" s="10">
        <f t="shared" si="53"/>
        <v>0</v>
      </c>
      <c r="BT15" s="10">
        <f t="shared" ref="BT15" si="954">$B15/$B$31*$D15*BU$31</f>
        <v>0</v>
      </c>
      <c r="BU15" s="10">
        <f t="shared" si="53"/>
        <v>0</v>
      </c>
      <c r="BV15" s="10">
        <f t="shared" ref="BV15" si="955">$B15/$B$31*$D15*BW$31</f>
        <v>0</v>
      </c>
      <c r="BW15" s="10">
        <f t="shared" si="53"/>
        <v>0</v>
      </c>
      <c r="BX15" s="10">
        <f t="shared" ref="BX15" si="956">$B15/$B$31*$D15*BY$31</f>
        <v>0</v>
      </c>
      <c r="BY15" s="10">
        <f t="shared" si="53"/>
        <v>0</v>
      </c>
      <c r="BZ15" s="10">
        <f t="shared" ref="BZ15" si="957">$B15/$B$31*$D15*CA$31</f>
        <v>0</v>
      </c>
      <c r="CA15" s="10">
        <f t="shared" si="53"/>
        <v>0</v>
      </c>
      <c r="CB15" s="10">
        <f t="shared" ref="CB15" si="958">$B15/$B$31*$D15*CC$31</f>
        <v>0</v>
      </c>
      <c r="CC15" s="10">
        <f t="shared" si="63"/>
        <v>0</v>
      </c>
      <c r="CD15" s="10">
        <f t="shared" ref="CD15" si="959">$B15/$B$31*$D15*CE$31</f>
        <v>0</v>
      </c>
      <c r="CE15" s="10">
        <f t="shared" si="65"/>
        <v>0</v>
      </c>
      <c r="CF15" s="10">
        <f t="shared" ref="CF15" si="960">$B15/$B$31*$D15*CG$31</f>
        <v>0</v>
      </c>
      <c r="CG15" s="10">
        <f t="shared" si="67"/>
        <v>0</v>
      </c>
      <c r="CH15" s="10">
        <f t="shared" ref="CH15" si="961">$B15/$B$31*$D15*CI$31</f>
        <v>0</v>
      </c>
      <c r="CI15" s="10">
        <f t="shared" si="69"/>
        <v>0</v>
      </c>
      <c r="CJ15" s="10">
        <f t="shared" ref="CJ15" si="962">$B15/$B$31*$D15*CK$31</f>
        <v>0</v>
      </c>
      <c r="CK15" s="10">
        <f t="shared" si="71"/>
        <v>0</v>
      </c>
      <c r="CL15" s="10">
        <f t="shared" ref="CL15" si="963">$B15/$B$31*$D15*CM$31</f>
        <v>0</v>
      </c>
      <c r="CM15" s="10">
        <f t="shared" si="73"/>
        <v>0</v>
      </c>
      <c r="CN15" s="10">
        <f t="shared" ref="CN15" si="964">$B15/$B$31*$D15*CO$31</f>
        <v>0</v>
      </c>
      <c r="CO15" s="10">
        <f t="shared" si="75"/>
        <v>0</v>
      </c>
      <c r="CP15" s="10">
        <f t="shared" ref="CP15" si="965">$B15/$B$31*$D15*CQ$31</f>
        <v>0</v>
      </c>
      <c r="CQ15" s="10">
        <f t="shared" si="77"/>
        <v>0</v>
      </c>
      <c r="CR15" s="10">
        <f t="shared" ref="CR15" si="966">$B15/$B$31*$D15*CS$31</f>
        <v>0</v>
      </c>
      <c r="CS15" s="10">
        <f t="shared" si="79"/>
        <v>0</v>
      </c>
      <c r="CT15" s="10">
        <f t="shared" ref="CT15" si="967">$B15/$B$31*$D15*CU$31</f>
        <v>0</v>
      </c>
      <c r="CU15" s="10">
        <f t="shared" si="81"/>
        <v>0</v>
      </c>
      <c r="CV15" s="10">
        <f t="shared" ref="CV15" si="968">$B15/$B$31*$D15*CW$31</f>
        <v>0</v>
      </c>
      <c r="CW15" s="10">
        <f t="shared" si="83"/>
        <v>0</v>
      </c>
      <c r="CX15" s="10">
        <f t="shared" ref="CX15" si="969">$B15/$B$31*$D15*CY$31</f>
        <v>0</v>
      </c>
      <c r="CY15" s="10">
        <f t="shared" si="85"/>
        <v>0</v>
      </c>
      <c r="CZ15" s="10">
        <f t="shared" ref="CZ15" si="970">$B15/$B$31*$D15*DA$31</f>
        <v>0</v>
      </c>
      <c r="DA15" s="10">
        <f t="shared" si="87"/>
        <v>0</v>
      </c>
      <c r="DB15" s="10">
        <f t="shared" ref="DB15" si="971">$B15/$B$31*$D15*DC$31</f>
        <v>0</v>
      </c>
      <c r="DC15" s="10">
        <f t="shared" si="89"/>
        <v>0</v>
      </c>
      <c r="DD15" s="10">
        <f t="shared" ref="DD15" si="972">$B15/$B$31*$D15*DE$31</f>
        <v>0</v>
      </c>
      <c r="DE15" s="10">
        <f t="shared" si="91"/>
        <v>0</v>
      </c>
      <c r="DF15" s="10">
        <f t="shared" ref="DF15" si="973">$B15/$B$31*$D15*DG$31</f>
        <v>0</v>
      </c>
      <c r="DG15" s="10">
        <f t="shared" si="93"/>
        <v>0</v>
      </c>
      <c r="DH15" s="10">
        <f t="shared" ref="DH15" si="974">$B15/$B$31*$D15*DI$31</f>
        <v>0</v>
      </c>
      <c r="DI15" s="10">
        <f t="shared" si="95"/>
        <v>0</v>
      </c>
      <c r="DJ15" s="10">
        <f t="shared" ref="DJ15" si="975">$B15/$B$31*$D15*DK$31</f>
        <v>0</v>
      </c>
      <c r="DK15" s="10">
        <f t="shared" si="97"/>
        <v>0</v>
      </c>
      <c r="DL15" s="10">
        <f t="shared" ref="DL15" si="976">$B15/$B$31*$D15*DM$31</f>
        <v>0</v>
      </c>
      <c r="DM15" s="10">
        <f t="shared" si="99"/>
        <v>0</v>
      </c>
      <c r="DN15" s="10">
        <f t="shared" ref="DN15" si="977">$B15/$B$31*$D15*DO$31</f>
        <v>0</v>
      </c>
      <c r="DO15" s="10">
        <f t="shared" si="101"/>
        <v>0</v>
      </c>
      <c r="DP15" s="10">
        <f t="shared" ref="DP15" si="978">$B15/$B$31*$D15*DQ$31</f>
        <v>0</v>
      </c>
      <c r="DQ15" s="10">
        <f t="shared" si="103"/>
        <v>0</v>
      </c>
      <c r="DR15" s="10">
        <f t="shared" ref="DR15" si="979">$B15/$B$31*$D15*DS$31</f>
        <v>0</v>
      </c>
      <c r="DS15" s="10">
        <f t="shared" si="105"/>
        <v>0</v>
      </c>
      <c r="DT15" s="10">
        <f t="shared" ref="DT15" si="980">$B15/$B$31*$D15*DU$31</f>
        <v>0</v>
      </c>
      <c r="DU15" s="10">
        <f t="shared" si="107"/>
        <v>0</v>
      </c>
      <c r="DV15" s="10">
        <f t="shared" ref="DV15" si="981">$B15/$B$31*$D15*DW$31</f>
        <v>0</v>
      </c>
      <c r="DW15" s="10">
        <f t="shared" si="109"/>
        <v>0</v>
      </c>
      <c r="DX15" s="10">
        <f t="shared" ref="DX15" si="982">$B15/$B$31*$D15*DY$31</f>
        <v>0</v>
      </c>
      <c r="DY15" s="10">
        <f t="shared" si="111"/>
        <v>0</v>
      </c>
      <c r="DZ15" s="10">
        <f t="shared" ref="DZ15" si="983">$B15/$B$31*$D15*EA$31</f>
        <v>0</v>
      </c>
      <c r="EA15" s="10">
        <f t="shared" si="113"/>
        <v>0</v>
      </c>
      <c r="EB15" s="10">
        <f t="shared" ref="EB15" si="984">$B15/$B$31*$D15*EC$31</f>
        <v>0</v>
      </c>
      <c r="EC15" s="10">
        <f t="shared" si="115"/>
        <v>0</v>
      </c>
      <c r="ED15" s="10">
        <f t="shared" ref="ED15" si="985">$B15/$B$31*$D15*EE$31</f>
        <v>0</v>
      </c>
      <c r="EE15" s="10">
        <f t="shared" si="117"/>
        <v>0</v>
      </c>
      <c r="EF15" s="10">
        <f t="shared" ref="EF15" si="986">$B15/$B$31*$D15*EG$31</f>
        <v>0</v>
      </c>
      <c r="EG15" s="10">
        <f t="shared" si="119"/>
        <v>0</v>
      </c>
      <c r="EH15" s="10">
        <f t="shared" ref="EH15" si="987">$B15/$B$31*$D15*EI$31</f>
        <v>0</v>
      </c>
      <c r="EI15" s="10">
        <f t="shared" si="121"/>
        <v>0</v>
      </c>
      <c r="EJ15" s="10">
        <f t="shared" ref="EJ15" si="988">$B15/$B$31*$D15*EK$31</f>
        <v>0</v>
      </c>
      <c r="EK15" s="10">
        <f t="shared" si="123"/>
        <v>0</v>
      </c>
      <c r="EL15" s="10">
        <f t="shared" ref="EL15" si="989">$B15/$B$31*$D15*EM$31</f>
        <v>0</v>
      </c>
      <c r="EM15" s="10">
        <f t="shared" si="125"/>
        <v>0</v>
      </c>
      <c r="EN15" s="10">
        <f t="shared" ref="EN15" si="990">$B15/$B$31*$D15*EO$31</f>
        <v>0</v>
      </c>
      <c r="EO15" s="10">
        <f t="shared" si="127"/>
        <v>0</v>
      </c>
      <c r="EP15" s="10">
        <f t="shared" ref="EP15" si="991">$B15/$B$31*$D15*EQ$31</f>
        <v>0</v>
      </c>
      <c r="EQ15" s="10">
        <f t="shared" si="129"/>
        <v>0</v>
      </c>
      <c r="ER15" s="10">
        <f t="shared" ref="ER15" si="992">$B15/$B$31*$D15*ES$31</f>
        <v>0</v>
      </c>
      <c r="ES15" s="10">
        <f t="shared" si="131"/>
        <v>0</v>
      </c>
      <c r="ET15" s="10">
        <f t="shared" ref="ET15" si="993">$B15/$B$31*$D15*EU$31</f>
        <v>0</v>
      </c>
      <c r="EU15" s="10">
        <f t="shared" si="133"/>
        <v>0</v>
      </c>
      <c r="EV15" s="10">
        <f t="shared" ref="EV15" si="994">$B15/$B$31*$D15*EW$31</f>
        <v>0</v>
      </c>
      <c r="EW15" s="10">
        <f t="shared" si="133"/>
        <v>0</v>
      </c>
      <c r="EX15" s="10">
        <f t="shared" ref="EX15" si="995">$B15/$B$31*$D15*EY$31</f>
        <v>0</v>
      </c>
      <c r="EY15" s="10">
        <f t="shared" si="133"/>
        <v>0</v>
      </c>
      <c r="EZ15" s="10">
        <f t="shared" ref="EZ15" si="996">$B15/$B$31*$D15*FA$31</f>
        <v>0</v>
      </c>
      <c r="FA15" s="10">
        <f t="shared" si="133"/>
        <v>0</v>
      </c>
      <c r="FB15" s="10">
        <f t="shared" ref="FB15" si="997">$B15/$B$31*$D15*FC$31</f>
        <v>0</v>
      </c>
      <c r="FC15" s="10">
        <f t="shared" si="133"/>
        <v>0</v>
      </c>
      <c r="FD15" s="10">
        <f t="shared" ref="FD15" si="998">$B15/$B$31*$D15*FE$31</f>
        <v>0</v>
      </c>
      <c r="FE15" s="10">
        <f t="shared" si="133"/>
        <v>0</v>
      </c>
      <c r="FF15" s="10">
        <f t="shared" ref="FF15" si="999">$B15/$B$31*$D15*FG$31</f>
        <v>0</v>
      </c>
      <c r="FG15" s="10">
        <f t="shared" si="133"/>
        <v>0</v>
      </c>
      <c r="FH15" s="10">
        <f t="shared" ref="FH15" si="1000">$B15/$B$31*$D15*FI$31</f>
        <v>0</v>
      </c>
      <c r="FI15" s="10">
        <f t="shared" si="133"/>
        <v>0</v>
      </c>
      <c r="FJ15" s="10">
        <f t="shared" ref="FJ15" si="1001">$B15/$B$31*$D15*FK$31</f>
        <v>0</v>
      </c>
      <c r="FK15" s="10">
        <f t="shared" si="133"/>
        <v>0</v>
      </c>
      <c r="FL15" s="10">
        <f t="shared" ref="FL15" si="1002">$B15/$B$31*$D15*FM$31</f>
        <v>0</v>
      </c>
      <c r="FM15" s="10">
        <f t="shared" si="133"/>
        <v>0</v>
      </c>
      <c r="FN15" s="10">
        <f t="shared" ref="FN15" si="1003">$B15/$B$31*$D15*FO$31</f>
        <v>0</v>
      </c>
      <c r="FO15" s="10">
        <f t="shared" si="144"/>
        <v>0</v>
      </c>
      <c r="FP15" s="10">
        <f t="shared" ref="FP15" si="1004">$B15/$B$31*$D15*FQ$31</f>
        <v>0</v>
      </c>
      <c r="FQ15" s="10">
        <f t="shared" si="146"/>
        <v>0</v>
      </c>
      <c r="FR15" s="10">
        <f t="shared" ref="FR15" si="1005">$B15/$B$31*$D15*FS$31</f>
        <v>0</v>
      </c>
      <c r="FS15" s="10">
        <f t="shared" si="148"/>
        <v>0</v>
      </c>
      <c r="FT15" s="10">
        <f t="shared" ref="FT15" si="1006">$B15/$B$31*$D15*FU$31</f>
        <v>0</v>
      </c>
      <c r="FU15" s="10">
        <f t="shared" si="150"/>
        <v>0</v>
      </c>
      <c r="FV15" s="10">
        <f t="shared" ref="FV15" si="1007">$B15/$B$31*$D15*FW$31</f>
        <v>0</v>
      </c>
      <c r="FW15" s="10">
        <f t="shared" si="152"/>
        <v>0</v>
      </c>
      <c r="FX15" s="10">
        <f t="shared" ref="FX15" si="1008">$B15/$B$31*$D15*FY$31</f>
        <v>0</v>
      </c>
      <c r="FY15" s="10">
        <f t="shared" si="154"/>
        <v>0</v>
      </c>
      <c r="FZ15" s="10">
        <f t="shared" ref="FZ15" si="1009">$B15/$B$31*$D15*GA$31</f>
        <v>0</v>
      </c>
      <c r="GA15" s="10">
        <f t="shared" si="156"/>
        <v>0</v>
      </c>
      <c r="GB15" s="10">
        <f t="shared" ref="GB15" si="1010">$B15/$B$31*$D15*GC$31</f>
        <v>0</v>
      </c>
      <c r="GC15" s="10">
        <f t="shared" si="158"/>
        <v>0</v>
      </c>
      <c r="GD15" s="10">
        <f t="shared" ref="GD15" si="1011">$B15/$B$31*$D15*GE$31</f>
        <v>0</v>
      </c>
      <c r="GE15" s="10">
        <f t="shared" si="160"/>
        <v>0</v>
      </c>
      <c r="GF15" s="10">
        <f t="shared" ref="GF15" si="1012">$B15/$B$31*$D15*GG$31</f>
        <v>0</v>
      </c>
      <c r="GG15" s="10">
        <f t="shared" si="162"/>
        <v>0</v>
      </c>
      <c r="GH15" s="10">
        <f t="shared" ref="GH15" si="1013">$B15/$B$31*$D15*GI$31</f>
        <v>0</v>
      </c>
      <c r="GI15" s="10">
        <f t="shared" si="164"/>
        <v>0</v>
      </c>
      <c r="GJ15" s="10">
        <f t="shared" ref="GJ15" si="1014">$B15/$B$31*$D15*GK$31</f>
        <v>0</v>
      </c>
      <c r="GK15" s="10">
        <f t="shared" si="166"/>
        <v>0</v>
      </c>
      <c r="GL15" s="10">
        <f t="shared" ref="GL15" si="1015">$B15/$B$31*$D15*GM$31</f>
        <v>0</v>
      </c>
      <c r="GM15" s="10">
        <f t="shared" si="168"/>
        <v>0</v>
      </c>
      <c r="GN15" s="10">
        <f t="shared" ref="GN15" si="1016">$B15/$B$31*$D15*GO$31</f>
        <v>0</v>
      </c>
      <c r="GO15" s="10">
        <f t="shared" si="170"/>
        <v>0</v>
      </c>
      <c r="GP15" s="10">
        <f t="shared" ref="GP15" si="1017">$B15/$B$31*$D15*GQ$31</f>
        <v>0</v>
      </c>
      <c r="GQ15" s="10">
        <f t="shared" si="172"/>
        <v>0</v>
      </c>
      <c r="GR15" s="10">
        <f t="shared" ref="GR15" si="1018">$B15/$B$31*$D15*GS$31</f>
        <v>0</v>
      </c>
      <c r="GS15" s="10">
        <f t="shared" si="174"/>
        <v>0</v>
      </c>
      <c r="GT15" s="10">
        <f t="shared" ref="GT15" si="1019">$B15/$B$31*$D15*GU$31</f>
        <v>0</v>
      </c>
      <c r="GU15" s="10">
        <f t="shared" si="176"/>
        <v>0</v>
      </c>
      <c r="GV15" s="10">
        <f t="shared" ref="GV15" si="1020">$B15/$B$31*$D15*GW$31</f>
        <v>0</v>
      </c>
      <c r="GW15" s="10">
        <f t="shared" si="178"/>
        <v>0</v>
      </c>
      <c r="GX15" s="10">
        <f t="shared" ref="GX15" si="1021">$B15/$B$31*$D15*GY$31</f>
        <v>0</v>
      </c>
      <c r="GY15" s="10">
        <f t="shared" si="180"/>
        <v>0</v>
      </c>
      <c r="GZ15" s="10">
        <f t="shared" ref="GZ15" si="1022">$B15/$B$31*$D15*HA$31</f>
        <v>0</v>
      </c>
      <c r="HA15" s="10">
        <f t="shared" si="182"/>
        <v>0</v>
      </c>
      <c r="HB15" s="10">
        <f t="shared" ref="HB15" si="1023">$B15/$B$31*$D15*HC$31</f>
        <v>0</v>
      </c>
      <c r="HC15" s="10">
        <f t="shared" si="184"/>
        <v>0</v>
      </c>
      <c r="HD15" s="10">
        <f t="shared" ref="HD15" si="1024">$B15/$B$31*$D15*HE$31</f>
        <v>0</v>
      </c>
      <c r="HE15" s="10">
        <f t="shared" si="186"/>
        <v>0</v>
      </c>
      <c r="HF15" s="10">
        <f t="shared" ref="HF15" si="1025">$B15/$B$31*$D15*HG$31</f>
        <v>0</v>
      </c>
      <c r="HG15" s="10">
        <f t="shared" si="188"/>
        <v>0</v>
      </c>
      <c r="HH15" s="10">
        <f t="shared" ref="HH15" si="1026">$B15/$B$31*$D15*HI$31</f>
        <v>0</v>
      </c>
      <c r="HI15" s="10">
        <f t="shared" si="190"/>
        <v>0</v>
      </c>
      <c r="HJ15" s="10">
        <f t="shared" ref="HJ15" si="1027">$B15/$B$31*$D15*HK$31</f>
        <v>0</v>
      </c>
      <c r="HK15" s="10">
        <f t="shared" si="192"/>
        <v>0</v>
      </c>
      <c r="HL15" s="10">
        <f t="shared" ref="HL15" si="1028">$B15/$B$31*$D15*HM$31</f>
        <v>0</v>
      </c>
      <c r="HM15" s="10">
        <f t="shared" si="194"/>
        <v>0</v>
      </c>
      <c r="HN15" s="10">
        <f t="shared" ref="HN15" si="1029">$B15/$B$31*$D15*HO$31</f>
        <v>0</v>
      </c>
      <c r="HO15" s="10">
        <f t="shared" si="196"/>
        <v>0</v>
      </c>
      <c r="HP15" s="10">
        <f t="shared" ref="HP15" si="1030">$B15/$B$31*$D15*HQ$31</f>
        <v>0</v>
      </c>
      <c r="HQ15" s="10">
        <f t="shared" si="198"/>
        <v>0</v>
      </c>
      <c r="HR15" s="10">
        <f t="shared" ref="HR15" si="1031">$B15/$B$31*$D15*HS$31</f>
        <v>0</v>
      </c>
      <c r="HS15" s="10">
        <f t="shared" si="200"/>
        <v>0</v>
      </c>
      <c r="HT15" s="10">
        <f t="shared" ref="HT15" si="1032">$B15/$B$31*$D15*HU$31</f>
        <v>0</v>
      </c>
      <c r="HU15" s="10">
        <f t="shared" si="202"/>
        <v>0</v>
      </c>
      <c r="HV15" s="10"/>
      <c r="HW15" s="10"/>
      <c r="HX15" s="10"/>
    </row>
    <row r="16" spans="1:232" x14ac:dyDescent="0.3">
      <c r="A16" s="18">
        <f>参数调整!A16</f>
        <v>13</v>
      </c>
      <c r="B16" s="170">
        <f>参数调整!B16</f>
        <v>20</v>
      </c>
      <c r="C16" s="10">
        <f>参数调整!F16</f>
        <v>2.5</v>
      </c>
      <c r="D16" s="10">
        <f>参数调整!G16</f>
        <v>2.5</v>
      </c>
      <c r="E16" s="15">
        <f>基本属性!B16</f>
        <v>120</v>
      </c>
      <c r="F16" s="15">
        <f>基本属性!C16</f>
        <v>6</v>
      </c>
      <c r="G16" s="271"/>
      <c r="H16" s="10">
        <f t="shared" si="45"/>
        <v>45599635202.918381</v>
      </c>
      <c r="I16" s="188">
        <f t="shared" si="0"/>
        <v>45599635202.918381</v>
      </c>
      <c r="J16" s="10">
        <f t="shared" si="1"/>
        <v>1886086.6572118846</v>
      </c>
      <c r="K16" s="10">
        <f t="shared" si="2"/>
        <v>1886086.6572118846</v>
      </c>
      <c r="L16" s="10">
        <f t="shared" si="46"/>
        <v>25.111031988456421</v>
      </c>
      <c r="M16" s="10">
        <f t="shared" si="47"/>
        <v>25.111031988456421</v>
      </c>
      <c r="N16" s="10">
        <f t="shared" si="48"/>
        <v>182.67213862289103</v>
      </c>
      <c r="O16" s="10">
        <f t="shared" si="49"/>
        <v>182.67213862289103</v>
      </c>
      <c r="P16" s="10">
        <f t="shared" si="3"/>
        <v>3518.7718498252016</v>
      </c>
      <c r="Q16" s="10">
        <f t="shared" si="4"/>
        <v>3518.7718498252016</v>
      </c>
      <c r="R16" s="10">
        <f t="shared" si="5"/>
        <v>11.126310989512085</v>
      </c>
      <c r="S16" s="10">
        <f t="shared" si="6"/>
        <v>11.126310989512085</v>
      </c>
      <c r="T16" s="10">
        <f t="shared" si="7"/>
        <v>16.614659239588828</v>
      </c>
      <c r="U16" s="10">
        <f t="shared" si="8"/>
        <v>16.614659239588828</v>
      </c>
      <c r="V16" s="10">
        <f t="shared" si="9"/>
        <v>16.614659239588828</v>
      </c>
      <c r="W16" s="10">
        <f t="shared" si="10"/>
        <v>16.614659239588828</v>
      </c>
      <c r="X16" s="10">
        <f t="shared" si="11"/>
        <v>16.614659239588828</v>
      </c>
      <c r="Y16" s="10">
        <f t="shared" si="12"/>
        <v>16.614659239588828</v>
      </c>
      <c r="Z16" s="10">
        <f t="shared" si="13"/>
        <v>16.614659239588828</v>
      </c>
      <c r="AA16" s="10">
        <f t="shared" si="14"/>
        <v>16.614659239588828</v>
      </c>
      <c r="AB16" s="10">
        <f t="shared" si="15"/>
        <v>425.90059279525764</v>
      </c>
      <c r="AC16" s="10">
        <f t="shared" si="16"/>
        <v>425.90059279525764</v>
      </c>
      <c r="AD16" s="10">
        <f t="shared" si="17"/>
        <v>127.58918236346419</v>
      </c>
      <c r="AE16" s="10">
        <f t="shared" si="18"/>
        <v>127.58918236346419</v>
      </c>
      <c r="AF16" s="10">
        <f t="shared" si="19"/>
        <v>63.794591181732095</v>
      </c>
      <c r="AG16" s="10">
        <f t="shared" si="20"/>
        <v>63.794591181732095</v>
      </c>
      <c r="AH16" s="10">
        <f t="shared" si="21"/>
        <v>12.758918236346419</v>
      </c>
      <c r="AI16" s="10">
        <f t="shared" si="22"/>
        <v>12.758918236346419</v>
      </c>
      <c r="AJ16" s="10">
        <f t="shared" si="23"/>
        <v>145.81153939003781</v>
      </c>
      <c r="AK16" s="10">
        <f t="shared" si="24"/>
        <v>145.81153939003781</v>
      </c>
      <c r="AL16" s="10">
        <f t="shared" si="25"/>
        <v>72.905769695018904</v>
      </c>
      <c r="AM16" s="10">
        <f t="shared" si="26"/>
        <v>72.905769695018904</v>
      </c>
      <c r="AN16" s="10">
        <f t="shared" si="27"/>
        <v>14.581153939003782</v>
      </c>
      <c r="AO16" s="10">
        <f t="shared" si="28"/>
        <v>14.581153939003782</v>
      </c>
      <c r="AP16" s="10">
        <f t="shared" si="29"/>
        <v>6.9178605219269578</v>
      </c>
      <c r="AQ16" s="10">
        <f t="shared" si="30"/>
        <v>6.9178605219269578</v>
      </c>
      <c r="AR16" s="10">
        <f t="shared" si="31"/>
        <v>9.1312843594386989E-2</v>
      </c>
      <c r="AS16" s="10">
        <f t="shared" si="32"/>
        <v>9.1312843594386989E-2</v>
      </c>
      <c r="AT16" s="10">
        <f t="shared" si="33"/>
        <v>9.1312843594386989E-2</v>
      </c>
      <c r="AU16" s="10">
        <f t="shared" si="34"/>
        <v>9.1312843594386989E-2</v>
      </c>
      <c r="AV16" s="10">
        <f t="shared" si="35"/>
        <v>0.82181559234948276</v>
      </c>
      <c r="AW16" s="10">
        <f t="shared" si="36"/>
        <v>0.82181559234948276</v>
      </c>
      <c r="AX16" s="10">
        <f t="shared" si="37"/>
        <v>2.511103198845642</v>
      </c>
      <c r="AY16" s="10">
        <f t="shared" si="38"/>
        <v>2.511103198845642</v>
      </c>
      <c r="AZ16" s="10">
        <f t="shared" si="39"/>
        <v>0.22828210898596749</v>
      </c>
      <c r="BA16" s="10">
        <f t="shared" si="40"/>
        <v>0.22828210898596749</v>
      </c>
      <c r="BB16" s="10">
        <f t="shared" si="41"/>
        <v>0.22828210898596749</v>
      </c>
      <c r="BC16" s="10">
        <f t="shared" si="42"/>
        <v>0.22828210898596749</v>
      </c>
      <c r="BD16" s="10">
        <f t="shared" si="43"/>
        <v>0.91312843594386994</v>
      </c>
      <c r="BE16" s="10">
        <f t="shared" si="44"/>
        <v>0.91312843594386994</v>
      </c>
      <c r="BF16" s="10">
        <f t="shared" si="50"/>
        <v>1.1414105449298373</v>
      </c>
      <c r="BG16" s="10">
        <f t="shared" si="51"/>
        <v>1.1414105449298373</v>
      </c>
      <c r="BH16" s="10">
        <f t="shared" si="52"/>
        <v>0</v>
      </c>
      <c r="BI16" s="10">
        <f t="shared" si="53"/>
        <v>0</v>
      </c>
      <c r="BJ16" s="10">
        <f t="shared" si="52"/>
        <v>0</v>
      </c>
      <c r="BK16" s="10">
        <f t="shared" si="53"/>
        <v>0</v>
      </c>
      <c r="BL16" s="10">
        <f t="shared" ref="BL16" si="1033">$B16/$B$31*$D16*BM$31</f>
        <v>0</v>
      </c>
      <c r="BM16" s="10">
        <f t="shared" si="53"/>
        <v>0</v>
      </c>
      <c r="BN16" s="10">
        <f t="shared" ref="BN16" si="1034">$B16/$B$31*$D16*BO$31</f>
        <v>0</v>
      </c>
      <c r="BO16" s="10">
        <f t="shared" si="53"/>
        <v>0</v>
      </c>
      <c r="BP16" s="10">
        <f t="shared" ref="BP16" si="1035">$B16/$B$31*$D16*BQ$31</f>
        <v>0</v>
      </c>
      <c r="BQ16" s="10">
        <f t="shared" si="53"/>
        <v>0</v>
      </c>
      <c r="BR16" s="10">
        <f t="shared" ref="BR16" si="1036">$B16/$B$31*$D16*BS$31</f>
        <v>0</v>
      </c>
      <c r="BS16" s="10">
        <f t="shared" si="53"/>
        <v>0</v>
      </c>
      <c r="BT16" s="10">
        <f t="shared" ref="BT16" si="1037">$B16/$B$31*$D16*BU$31</f>
        <v>0</v>
      </c>
      <c r="BU16" s="10">
        <f t="shared" si="53"/>
        <v>0</v>
      </c>
      <c r="BV16" s="10">
        <f t="shared" ref="BV16" si="1038">$B16/$B$31*$D16*BW$31</f>
        <v>0</v>
      </c>
      <c r="BW16" s="10">
        <f t="shared" si="53"/>
        <v>0</v>
      </c>
      <c r="BX16" s="10">
        <f t="shared" ref="BX16" si="1039">$B16/$B$31*$D16*BY$31</f>
        <v>0</v>
      </c>
      <c r="BY16" s="10">
        <f t="shared" si="53"/>
        <v>0</v>
      </c>
      <c r="BZ16" s="10">
        <f t="shared" ref="BZ16" si="1040">$B16/$B$31*$D16*CA$31</f>
        <v>0</v>
      </c>
      <c r="CA16" s="10">
        <f t="shared" si="53"/>
        <v>0</v>
      </c>
      <c r="CB16" s="10">
        <f t="shared" ref="CB16" si="1041">$B16/$B$31*$D16*CC$31</f>
        <v>0</v>
      </c>
      <c r="CC16" s="10">
        <f t="shared" si="63"/>
        <v>0</v>
      </c>
      <c r="CD16" s="10">
        <f t="shared" ref="CD16" si="1042">$B16/$B$31*$D16*CE$31</f>
        <v>0</v>
      </c>
      <c r="CE16" s="10">
        <f t="shared" si="65"/>
        <v>0</v>
      </c>
      <c r="CF16" s="10">
        <f t="shared" ref="CF16" si="1043">$B16/$B$31*$D16*CG$31</f>
        <v>0</v>
      </c>
      <c r="CG16" s="10">
        <f t="shared" si="67"/>
        <v>0</v>
      </c>
      <c r="CH16" s="10">
        <f t="shared" ref="CH16" si="1044">$B16/$B$31*$D16*CI$31</f>
        <v>0</v>
      </c>
      <c r="CI16" s="10">
        <f t="shared" si="69"/>
        <v>0</v>
      </c>
      <c r="CJ16" s="10">
        <f t="shared" ref="CJ16" si="1045">$B16/$B$31*$D16*CK$31</f>
        <v>0</v>
      </c>
      <c r="CK16" s="10">
        <f t="shared" si="71"/>
        <v>0</v>
      </c>
      <c r="CL16" s="10">
        <f t="shared" ref="CL16" si="1046">$B16/$B$31*$D16*CM$31</f>
        <v>0</v>
      </c>
      <c r="CM16" s="10">
        <f t="shared" si="73"/>
        <v>0</v>
      </c>
      <c r="CN16" s="10">
        <f t="shared" ref="CN16" si="1047">$B16/$B$31*$D16*CO$31</f>
        <v>0</v>
      </c>
      <c r="CO16" s="10">
        <f t="shared" si="75"/>
        <v>0</v>
      </c>
      <c r="CP16" s="10">
        <f t="shared" ref="CP16" si="1048">$B16/$B$31*$D16*CQ$31</f>
        <v>0</v>
      </c>
      <c r="CQ16" s="10">
        <f t="shared" si="77"/>
        <v>0</v>
      </c>
      <c r="CR16" s="10">
        <f t="shared" ref="CR16" si="1049">$B16/$B$31*$D16*CS$31</f>
        <v>0</v>
      </c>
      <c r="CS16" s="10">
        <f t="shared" si="79"/>
        <v>0</v>
      </c>
      <c r="CT16" s="10">
        <f t="shared" ref="CT16" si="1050">$B16/$B$31*$D16*CU$31</f>
        <v>0</v>
      </c>
      <c r="CU16" s="10">
        <f t="shared" si="81"/>
        <v>0</v>
      </c>
      <c r="CV16" s="10">
        <f t="shared" ref="CV16" si="1051">$B16/$B$31*$D16*CW$31</f>
        <v>0</v>
      </c>
      <c r="CW16" s="10">
        <f t="shared" si="83"/>
        <v>0</v>
      </c>
      <c r="CX16" s="10">
        <f t="shared" ref="CX16" si="1052">$B16/$B$31*$D16*CY$31</f>
        <v>0</v>
      </c>
      <c r="CY16" s="10">
        <f t="shared" si="85"/>
        <v>0</v>
      </c>
      <c r="CZ16" s="10">
        <f t="shared" ref="CZ16" si="1053">$B16/$B$31*$D16*DA$31</f>
        <v>0</v>
      </c>
      <c r="DA16" s="10">
        <f t="shared" si="87"/>
        <v>0</v>
      </c>
      <c r="DB16" s="10">
        <f t="shared" ref="DB16" si="1054">$B16/$B$31*$D16*DC$31</f>
        <v>0</v>
      </c>
      <c r="DC16" s="10">
        <f t="shared" si="89"/>
        <v>0</v>
      </c>
      <c r="DD16" s="10">
        <f t="shared" ref="DD16" si="1055">$B16/$B$31*$D16*DE$31</f>
        <v>0</v>
      </c>
      <c r="DE16" s="10">
        <f t="shared" si="91"/>
        <v>0</v>
      </c>
      <c r="DF16" s="10">
        <f t="shared" ref="DF16" si="1056">$B16/$B$31*$D16*DG$31</f>
        <v>0</v>
      </c>
      <c r="DG16" s="10">
        <f t="shared" si="93"/>
        <v>0</v>
      </c>
      <c r="DH16" s="10">
        <f t="shared" ref="DH16" si="1057">$B16/$B$31*$D16*DI$31</f>
        <v>0</v>
      </c>
      <c r="DI16" s="10">
        <f t="shared" si="95"/>
        <v>0</v>
      </c>
      <c r="DJ16" s="10">
        <f t="shared" ref="DJ16" si="1058">$B16/$B$31*$D16*DK$31</f>
        <v>0</v>
      </c>
      <c r="DK16" s="10">
        <f t="shared" si="97"/>
        <v>0</v>
      </c>
      <c r="DL16" s="10">
        <f t="shared" ref="DL16" si="1059">$B16/$B$31*$D16*DM$31</f>
        <v>0</v>
      </c>
      <c r="DM16" s="10">
        <f t="shared" si="99"/>
        <v>0</v>
      </c>
      <c r="DN16" s="10">
        <f t="shared" ref="DN16" si="1060">$B16/$B$31*$D16*DO$31</f>
        <v>0</v>
      </c>
      <c r="DO16" s="10">
        <f t="shared" si="101"/>
        <v>0</v>
      </c>
      <c r="DP16" s="10">
        <f t="shared" ref="DP16" si="1061">$B16/$B$31*$D16*DQ$31</f>
        <v>0</v>
      </c>
      <c r="DQ16" s="10">
        <f t="shared" si="103"/>
        <v>0</v>
      </c>
      <c r="DR16" s="10">
        <f t="shared" ref="DR16" si="1062">$B16/$B$31*$D16*DS$31</f>
        <v>0</v>
      </c>
      <c r="DS16" s="10">
        <f t="shared" si="105"/>
        <v>0</v>
      </c>
      <c r="DT16" s="10">
        <f t="shared" ref="DT16" si="1063">$B16/$B$31*$D16*DU$31</f>
        <v>0</v>
      </c>
      <c r="DU16" s="10">
        <f t="shared" si="107"/>
        <v>0</v>
      </c>
      <c r="DV16" s="10">
        <f t="shared" ref="DV16" si="1064">$B16/$B$31*$D16*DW$31</f>
        <v>0</v>
      </c>
      <c r="DW16" s="10">
        <f t="shared" si="109"/>
        <v>0</v>
      </c>
      <c r="DX16" s="10">
        <f t="shared" ref="DX16" si="1065">$B16/$B$31*$D16*DY$31</f>
        <v>0</v>
      </c>
      <c r="DY16" s="10">
        <f t="shared" si="111"/>
        <v>0</v>
      </c>
      <c r="DZ16" s="10">
        <f t="shared" ref="DZ16" si="1066">$B16/$B$31*$D16*EA$31</f>
        <v>0</v>
      </c>
      <c r="EA16" s="10">
        <f t="shared" si="113"/>
        <v>0</v>
      </c>
      <c r="EB16" s="10">
        <f t="shared" ref="EB16" si="1067">$B16/$B$31*$D16*EC$31</f>
        <v>0</v>
      </c>
      <c r="EC16" s="10">
        <f t="shared" si="115"/>
        <v>0</v>
      </c>
      <c r="ED16" s="10">
        <f t="shared" ref="ED16" si="1068">$B16/$B$31*$D16*EE$31</f>
        <v>0</v>
      </c>
      <c r="EE16" s="10">
        <f t="shared" si="117"/>
        <v>0</v>
      </c>
      <c r="EF16" s="10">
        <f t="shared" ref="EF16" si="1069">$B16/$B$31*$D16*EG$31</f>
        <v>0</v>
      </c>
      <c r="EG16" s="10">
        <f t="shared" si="119"/>
        <v>0</v>
      </c>
      <c r="EH16" s="10">
        <f t="shared" ref="EH16" si="1070">$B16/$B$31*$D16*EI$31</f>
        <v>0</v>
      </c>
      <c r="EI16" s="10">
        <f t="shared" si="121"/>
        <v>0</v>
      </c>
      <c r="EJ16" s="10">
        <f t="shared" ref="EJ16" si="1071">$B16/$B$31*$D16*EK$31</f>
        <v>0</v>
      </c>
      <c r="EK16" s="10">
        <f t="shared" si="123"/>
        <v>0</v>
      </c>
      <c r="EL16" s="10">
        <f t="shared" ref="EL16" si="1072">$B16/$B$31*$D16*EM$31</f>
        <v>0</v>
      </c>
      <c r="EM16" s="10">
        <f t="shared" si="125"/>
        <v>0</v>
      </c>
      <c r="EN16" s="10">
        <f t="shared" ref="EN16" si="1073">$B16/$B$31*$D16*EO$31</f>
        <v>0</v>
      </c>
      <c r="EO16" s="10">
        <f t="shared" si="127"/>
        <v>0</v>
      </c>
      <c r="EP16" s="10">
        <f t="shared" ref="EP16" si="1074">$B16/$B$31*$D16*EQ$31</f>
        <v>0</v>
      </c>
      <c r="EQ16" s="10">
        <f t="shared" si="129"/>
        <v>0</v>
      </c>
      <c r="ER16" s="10">
        <f t="shared" ref="ER16" si="1075">$B16/$B$31*$D16*ES$31</f>
        <v>0</v>
      </c>
      <c r="ES16" s="10">
        <f t="shared" si="131"/>
        <v>0</v>
      </c>
      <c r="ET16" s="10">
        <f t="shared" ref="ET16" si="1076">$B16/$B$31*$D16*EU$31</f>
        <v>0</v>
      </c>
      <c r="EU16" s="10">
        <f t="shared" si="133"/>
        <v>0</v>
      </c>
      <c r="EV16" s="10">
        <f t="shared" ref="EV16" si="1077">$B16/$B$31*$D16*EW$31</f>
        <v>0</v>
      </c>
      <c r="EW16" s="10">
        <f t="shared" si="133"/>
        <v>0</v>
      </c>
      <c r="EX16" s="10">
        <f t="shared" ref="EX16" si="1078">$B16/$B$31*$D16*EY$31</f>
        <v>0</v>
      </c>
      <c r="EY16" s="10">
        <f t="shared" si="133"/>
        <v>0</v>
      </c>
      <c r="EZ16" s="10">
        <f t="shared" ref="EZ16" si="1079">$B16/$B$31*$D16*FA$31</f>
        <v>0</v>
      </c>
      <c r="FA16" s="10">
        <f t="shared" si="133"/>
        <v>0</v>
      </c>
      <c r="FB16" s="10">
        <f t="shared" ref="FB16" si="1080">$B16/$B$31*$D16*FC$31</f>
        <v>0</v>
      </c>
      <c r="FC16" s="10">
        <f t="shared" si="133"/>
        <v>0</v>
      </c>
      <c r="FD16" s="10">
        <f t="shared" ref="FD16" si="1081">$B16/$B$31*$D16*FE$31</f>
        <v>0</v>
      </c>
      <c r="FE16" s="10">
        <f t="shared" si="133"/>
        <v>0</v>
      </c>
      <c r="FF16" s="10">
        <f t="shared" ref="FF16" si="1082">$B16/$B$31*$D16*FG$31</f>
        <v>0</v>
      </c>
      <c r="FG16" s="10">
        <f t="shared" si="133"/>
        <v>0</v>
      </c>
      <c r="FH16" s="10">
        <f t="shared" ref="FH16" si="1083">$B16/$B$31*$D16*FI$31</f>
        <v>0</v>
      </c>
      <c r="FI16" s="10">
        <f t="shared" si="133"/>
        <v>0</v>
      </c>
      <c r="FJ16" s="10">
        <f t="shared" ref="FJ16" si="1084">$B16/$B$31*$D16*FK$31</f>
        <v>0</v>
      </c>
      <c r="FK16" s="10">
        <f t="shared" si="133"/>
        <v>0</v>
      </c>
      <c r="FL16" s="10">
        <f t="shared" ref="FL16" si="1085">$B16/$B$31*$D16*FM$31</f>
        <v>0</v>
      </c>
      <c r="FM16" s="10">
        <f t="shared" si="133"/>
        <v>0</v>
      </c>
      <c r="FN16" s="10">
        <f t="shared" ref="FN16" si="1086">$B16/$B$31*$D16*FO$31</f>
        <v>0</v>
      </c>
      <c r="FO16" s="10">
        <f t="shared" si="144"/>
        <v>0</v>
      </c>
      <c r="FP16" s="10">
        <f t="shared" ref="FP16" si="1087">$B16/$B$31*$D16*FQ$31</f>
        <v>0</v>
      </c>
      <c r="FQ16" s="10">
        <f t="shared" si="146"/>
        <v>0</v>
      </c>
      <c r="FR16" s="10">
        <f t="shared" ref="FR16" si="1088">$B16/$B$31*$D16*FS$31</f>
        <v>0</v>
      </c>
      <c r="FS16" s="10">
        <f t="shared" si="148"/>
        <v>0</v>
      </c>
      <c r="FT16" s="10">
        <f t="shared" ref="FT16" si="1089">$B16/$B$31*$D16*FU$31</f>
        <v>0</v>
      </c>
      <c r="FU16" s="10">
        <f t="shared" si="150"/>
        <v>0</v>
      </c>
      <c r="FV16" s="10">
        <f t="shared" ref="FV16" si="1090">$B16/$B$31*$D16*FW$31</f>
        <v>0</v>
      </c>
      <c r="FW16" s="10">
        <f t="shared" si="152"/>
        <v>0</v>
      </c>
      <c r="FX16" s="10">
        <f t="shared" ref="FX16" si="1091">$B16/$B$31*$D16*FY$31</f>
        <v>0</v>
      </c>
      <c r="FY16" s="10">
        <f t="shared" si="154"/>
        <v>0</v>
      </c>
      <c r="FZ16" s="10">
        <f t="shared" ref="FZ16" si="1092">$B16/$B$31*$D16*GA$31</f>
        <v>0</v>
      </c>
      <c r="GA16" s="10">
        <f t="shared" si="156"/>
        <v>0</v>
      </c>
      <c r="GB16" s="10">
        <f t="shared" ref="GB16" si="1093">$B16/$B$31*$D16*GC$31</f>
        <v>0</v>
      </c>
      <c r="GC16" s="10">
        <f t="shared" si="158"/>
        <v>0</v>
      </c>
      <c r="GD16" s="10">
        <f t="shared" ref="GD16" si="1094">$B16/$B$31*$D16*GE$31</f>
        <v>0</v>
      </c>
      <c r="GE16" s="10">
        <f t="shared" si="160"/>
        <v>0</v>
      </c>
      <c r="GF16" s="10">
        <f t="shared" ref="GF16" si="1095">$B16/$B$31*$D16*GG$31</f>
        <v>0</v>
      </c>
      <c r="GG16" s="10">
        <f t="shared" si="162"/>
        <v>0</v>
      </c>
      <c r="GH16" s="10">
        <f t="shared" ref="GH16" si="1096">$B16/$B$31*$D16*GI$31</f>
        <v>0</v>
      </c>
      <c r="GI16" s="10">
        <f t="shared" si="164"/>
        <v>0</v>
      </c>
      <c r="GJ16" s="10">
        <f t="shared" ref="GJ16" si="1097">$B16/$B$31*$D16*GK$31</f>
        <v>0</v>
      </c>
      <c r="GK16" s="10">
        <f t="shared" si="166"/>
        <v>0</v>
      </c>
      <c r="GL16" s="10">
        <f t="shared" ref="GL16" si="1098">$B16/$B$31*$D16*GM$31</f>
        <v>0</v>
      </c>
      <c r="GM16" s="10">
        <f t="shared" si="168"/>
        <v>0</v>
      </c>
      <c r="GN16" s="10">
        <f t="shared" ref="GN16" si="1099">$B16/$B$31*$D16*GO$31</f>
        <v>0</v>
      </c>
      <c r="GO16" s="10">
        <f t="shared" si="170"/>
        <v>0</v>
      </c>
      <c r="GP16" s="10">
        <f t="shared" ref="GP16" si="1100">$B16/$B$31*$D16*GQ$31</f>
        <v>0</v>
      </c>
      <c r="GQ16" s="10">
        <f t="shared" si="172"/>
        <v>0</v>
      </c>
      <c r="GR16" s="10">
        <f t="shared" ref="GR16" si="1101">$B16/$B$31*$D16*GS$31</f>
        <v>0</v>
      </c>
      <c r="GS16" s="10">
        <f t="shared" si="174"/>
        <v>0</v>
      </c>
      <c r="GT16" s="10">
        <f t="shared" ref="GT16" si="1102">$B16/$B$31*$D16*GU$31</f>
        <v>0</v>
      </c>
      <c r="GU16" s="10">
        <f t="shared" si="176"/>
        <v>0</v>
      </c>
      <c r="GV16" s="10">
        <f t="shared" ref="GV16" si="1103">$B16/$B$31*$D16*GW$31</f>
        <v>0</v>
      </c>
      <c r="GW16" s="10">
        <f t="shared" si="178"/>
        <v>0</v>
      </c>
      <c r="GX16" s="10">
        <f t="shared" ref="GX16" si="1104">$B16/$B$31*$D16*GY$31</f>
        <v>0</v>
      </c>
      <c r="GY16" s="10">
        <f t="shared" si="180"/>
        <v>0</v>
      </c>
      <c r="GZ16" s="10">
        <f t="shared" ref="GZ16" si="1105">$B16/$B$31*$D16*HA$31</f>
        <v>0</v>
      </c>
      <c r="HA16" s="10">
        <f t="shared" si="182"/>
        <v>0</v>
      </c>
      <c r="HB16" s="10">
        <f t="shared" ref="HB16" si="1106">$B16/$B$31*$D16*HC$31</f>
        <v>0</v>
      </c>
      <c r="HC16" s="10">
        <f t="shared" si="184"/>
        <v>0</v>
      </c>
      <c r="HD16" s="10">
        <f t="shared" ref="HD16" si="1107">$B16/$B$31*$D16*HE$31</f>
        <v>0</v>
      </c>
      <c r="HE16" s="10">
        <f t="shared" si="186"/>
        <v>0</v>
      </c>
      <c r="HF16" s="10">
        <f t="shared" ref="HF16" si="1108">$B16/$B$31*$D16*HG$31</f>
        <v>0</v>
      </c>
      <c r="HG16" s="10">
        <f t="shared" si="188"/>
        <v>0</v>
      </c>
      <c r="HH16" s="10">
        <f t="shared" ref="HH16" si="1109">$B16/$B$31*$D16*HI$31</f>
        <v>0</v>
      </c>
      <c r="HI16" s="10">
        <f t="shared" si="190"/>
        <v>0</v>
      </c>
      <c r="HJ16" s="10">
        <f t="shared" ref="HJ16" si="1110">$B16/$B$31*$D16*HK$31</f>
        <v>0</v>
      </c>
      <c r="HK16" s="10">
        <f t="shared" si="192"/>
        <v>0</v>
      </c>
      <c r="HL16" s="10">
        <f t="shared" ref="HL16" si="1111">$B16/$B$31*$D16*HM$31</f>
        <v>0</v>
      </c>
      <c r="HM16" s="10">
        <f t="shared" si="194"/>
        <v>0</v>
      </c>
      <c r="HN16" s="10">
        <f t="shared" ref="HN16" si="1112">$B16/$B$31*$D16*HO$31</f>
        <v>0</v>
      </c>
      <c r="HO16" s="10">
        <f t="shared" si="196"/>
        <v>0</v>
      </c>
      <c r="HP16" s="10">
        <f t="shared" ref="HP16" si="1113">$B16/$B$31*$D16*HQ$31</f>
        <v>0</v>
      </c>
      <c r="HQ16" s="10">
        <f t="shared" si="198"/>
        <v>0</v>
      </c>
      <c r="HR16" s="10">
        <f t="shared" ref="HR16" si="1114">$B16/$B$31*$D16*HS$31</f>
        <v>0</v>
      </c>
      <c r="HS16" s="10">
        <f t="shared" si="200"/>
        <v>0</v>
      </c>
      <c r="HT16" s="10">
        <f t="shared" ref="HT16" si="1115">$B16/$B$31*$D16*HU$31</f>
        <v>0</v>
      </c>
      <c r="HU16" s="10">
        <f t="shared" si="202"/>
        <v>0</v>
      </c>
      <c r="HV16" s="10"/>
      <c r="HW16" s="10"/>
      <c r="HX16" s="10"/>
    </row>
    <row r="17" spans="1:232" x14ac:dyDescent="0.3">
      <c r="A17" s="18">
        <f>参数调整!A17</f>
        <v>14</v>
      </c>
      <c r="B17" s="170">
        <f>参数调整!B17</f>
        <v>20</v>
      </c>
      <c r="C17" s="10">
        <f>参数调整!F17</f>
        <v>3</v>
      </c>
      <c r="D17" s="10">
        <f>参数调整!G17</f>
        <v>3</v>
      </c>
      <c r="E17" s="15">
        <f>基本属性!B17</f>
        <v>135</v>
      </c>
      <c r="F17" s="15">
        <f>基本属性!C17</f>
        <v>7</v>
      </c>
      <c r="G17" s="271"/>
      <c r="H17" s="10">
        <f t="shared" si="45"/>
        <v>54719562243.502052</v>
      </c>
      <c r="I17" s="188">
        <f t="shared" si="0"/>
        <v>54719562243.502052</v>
      </c>
      <c r="J17" s="10">
        <f t="shared" si="1"/>
        <v>2263303.9886542615</v>
      </c>
      <c r="K17" s="10">
        <f t="shared" si="2"/>
        <v>2263303.9886542615</v>
      </c>
      <c r="L17" s="10">
        <f t="shared" si="46"/>
        <v>30.133238386147703</v>
      </c>
      <c r="M17" s="10">
        <f t="shared" si="47"/>
        <v>30.133238386147703</v>
      </c>
      <c r="N17" s="10">
        <f t="shared" si="48"/>
        <v>219.20656634746922</v>
      </c>
      <c r="O17" s="10">
        <f t="shared" si="49"/>
        <v>219.20656634746922</v>
      </c>
      <c r="P17" s="10">
        <f t="shared" si="3"/>
        <v>4222.5262197902421</v>
      </c>
      <c r="Q17" s="10">
        <f t="shared" si="4"/>
        <v>4222.5262197902421</v>
      </c>
      <c r="R17" s="10">
        <f t="shared" si="5"/>
        <v>13.3515731874145</v>
      </c>
      <c r="S17" s="10">
        <f t="shared" si="6"/>
        <v>13.3515731874145</v>
      </c>
      <c r="T17" s="10">
        <f t="shared" si="7"/>
        <v>19.937591087506593</v>
      </c>
      <c r="U17" s="10">
        <f t="shared" si="8"/>
        <v>19.937591087506593</v>
      </c>
      <c r="V17" s="10">
        <f t="shared" si="9"/>
        <v>19.937591087506593</v>
      </c>
      <c r="W17" s="10">
        <f t="shared" si="10"/>
        <v>19.937591087506593</v>
      </c>
      <c r="X17" s="10">
        <f t="shared" si="11"/>
        <v>19.937591087506593</v>
      </c>
      <c r="Y17" s="10">
        <f t="shared" si="12"/>
        <v>19.937591087506593</v>
      </c>
      <c r="Z17" s="10">
        <f t="shared" si="13"/>
        <v>19.937591087506593</v>
      </c>
      <c r="AA17" s="10">
        <f t="shared" si="14"/>
        <v>19.937591087506593</v>
      </c>
      <c r="AB17" s="10">
        <f t="shared" si="15"/>
        <v>511.08071135430913</v>
      </c>
      <c r="AC17" s="10">
        <f t="shared" si="16"/>
        <v>511.08071135430913</v>
      </c>
      <c r="AD17" s="10">
        <f t="shared" si="17"/>
        <v>153.10701883615701</v>
      </c>
      <c r="AE17" s="10">
        <f t="shared" si="18"/>
        <v>153.10701883615701</v>
      </c>
      <c r="AF17" s="10">
        <f t="shared" si="19"/>
        <v>76.553509418078505</v>
      </c>
      <c r="AG17" s="10">
        <f t="shared" si="20"/>
        <v>76.553509418078505</v>
      </c>
      <c r="AH17" s="10">
        <f t="shared" si="21"/>
        <v>15.310701883615701</v>
      </c>
      <c r="AI17" s="10">
        <f t="shared" si="22"/>
        <v>15.310701883615701</v>
      </c>
      <c r="AJ17" s="10">
        <f t="shared" si="23"/>
        <v>174.97384726804538</v>
      </c>
      <c r="AK17" s="10">
        <f t="shared" si="24"/>
        <v>174.97384726804538</v>
      </c>
      <c r="AL17" s="10">
        <f t="shared" si="25"/>
        <v>87.486923634022688</v>
      </c>
      <c r="AM17" s="10">
        <f t="shared" si="26"/>
        <v>87.486923634022688</v>
      </c>
      <c r="AN17" s="10">
        <f t="shared" si="27"/>
        <v>17.497384726804537</v>
      </c>
      <c r="AO17" s="10">
        <f t="shared" si="28"/>
        <v>17.497384726804537</v>
      </c>
      <c r="AP17" s="10">
        <f t="shared" si="29"/>
        <v>8.3014326263123497</v>
      </c>
      <c r="AQ17" s="10">
        <f t="shared" si="30"/>
        <v>8.3014326263123497</v>
      </c>
      <c r="AR17" s="10">
        <f t="shared" si="31"/>
        <v>0.10957541231326438</v>
      </c>
      <c r="AS17" s="10">
        <f t="shared" si="32"/>
        <v>0.10957541231326438</v>
      </c>
      <c r="AT17" s="10">
        <f t="shared" si="33"/>
        <v>0.10957541231326438</v>
      </c>
      <c r="AU17" s="10">
        <f t="shared" si="34"/>
        <v>0.10957541231326438</v>
      </c>
      <c r="AV17" s="10">
        <f t="shared" si="35"/>
        <v>0.98617871081937925</v>
      </c>
      <c r="AW17" s="10">
        <f t="shared" si="36"/>
        <v>0.98617871081937925</v>
      </c>
      <c r="AX17" s="10">
        <f t="shared" si="37"/>
        <v>3.0133238386147703</v>
      </c>
      <c r="AY17" s="10">
        <f t="shared" si="38"/>
        <v>3.0133238386147703</v>
      </c>
      <c r="AZ17" s="10">
        <f t="shared" si="39"/>
        <v>0.27393853078316094</v>
      </c>
      <c r="BA17" s="10">
        <f t="shared" si="40"/>
        <v>0.27393853078316094</v>
      </c>
      <c r="BB17" s="10">
        <f t="shared" si="41"/>
        <v>0.27393853078316094</v>
      </c>
      <c r="BC17" s="10">
        <f t="shared" si="42"/>
        <v>0.27393853078316094</v>
      </c>
      <c r="BD17" s="10">
        <f t="shared" si="43"/>
        <v>1.0957541231326438</v>
      </c>
      <c r="BE17" s="10">
        <f t="shared" si="44"/>
        <v>1.0957541231326438</v>
      </c>
      <c r="BF17" s="10">
        <f t="shared" si="50"/>
        <v>1.3696926539158047</v>
      </c>
      <c r="BG17" s="10">
        <f t="shared" si="51"/>
        <v>1.3696926539158047</v>
      </c>
      <c r="BH17" s="10">
        <f t="shared" si="52"/>
        <v>0</v>
      </c>
      <c r="BI17" s="10">
        <f t="shared" si="53"/>
        <v>0</v>
      </c>
      <c r="BJ17" s="10">
        <f t="shared" si="52"/>
        <v>0</v>
      </c>
      <c r="BK17" s="10">
        <f t="shared" si="53"/>
        <v>0</v>
      </c>
      <c r="BL17" s="10">
        <f t="shared" ref="BL17" si="1116">$B17/$B$31*$D17*BM$31</f>
        <v>0</v>
      </c>
      <c r="BM17" s="10">
        <f t="shared" si="53"/>
        <v>0</v>
      </c>
      <c r="BN17" s="10">
        <f t="shared" ref="BN17" si="1117">$B17/$B$31*$D17*BO$31</f>
        <v>0</v>
      </c>
      <c r="BO17" s="10">
        <f t="shared" si="53"/>
        <v>0</v>
      </c>
      <c r="BP17" s="10">
        <f t="shared" ref="BP17" si="1118">$B17/$B$31*$D17*BQ$31</f>
        <v>0</v>
      </c>
      <c r="BQ17" s="10">
        <f t="shared" si="53"/>
        <v>0</v>
      </c>
      <c r="BR17" s="10">
        <f t="shared" ref="BR17" si="1119">$B17/$B$31*$D17*BS$31</f>
        <v>0</v>
      </c>
      <c r="BS17" s="10">
        <f t="shared" si="53"/>
        <v>0</v>
      </c>
      <c r="BT17" s="10">
        <f t="shared" ref="BT17" si="1120">$B17/$B$31*$D17*BU$31</f>
        <v>0</v>
      </c>
      <c r="BU17" s="10">
        <f t="shared" si="53"/>
        <v>0</v>
      </c>
      <c r="BV17" s="10">
        <f t="shared" ref="BV17" si="1121">$B17/$B$31*$D17*BW$31</f>
        <v>0</v>
      </c>
      <c r="BW17" s="10">
        <f t="shared" si="53"/>
        <v>0</v>
      </c>
      <c r="BX17" s="10">
        <f t="shared" ref="BX17" si="1122">$B17/$B$31*$D17*BY$31</f>
        <v>0</v>
      </c>
      <c r="BY17" s="10">
        <f t="shared" si="53"/>
        <v>0</v>
      </c>
      <c r="BZ17" s="10">
        <f t="shared" ref="BZ17" si="1123">$B17/$B$31*$D17*CA$31</f>
        <v>0</v>
      </c>
      <c r="CA17" s="10">
        <f t="shared" si="53"/>
        <v>0</v>
      </c>
      <c r="CB17" s="10">
        <f t="shared" ref="CB17" si="1124">$B17/$B$31*$D17*CC$31</f>
        <v>0</v>
      </c>
      <c r="CC17" s="10">
        <f t="shared" si="63"/>
        <v>0</v>
      </c>
      <c r="CD17" s="10">
        <f t="shared" ref="CD17" si="1125">$B17/$B$31*$D17*CE$31</f>
        <v>0</v>
      </c>
      <c r="CE17" s="10">
        <f t="shared" si="65"/>
        <v>0</v>
      </c>
      <c r="CF17" s="10">
        <f t="shared" ref="CF17" si="1126">$B17/$B$31*$D17*CG$31</f>
        <v>0</v>
      </c>
      <c r="CG17" s="10">
        <f t="shared" si="67"/>
        <v>0</v>
      </c>
      <c r="CH17" s="10">
        <f t="shared" ref="CH17" si="1127">$B17/$B$31*$D17*CI$31</f>
        <v>0</v>
      </c>
      <c r="CI17" s="10">
        <f t="shared" si="69"/>
        <v>0</v>
      </c>
      <c r="CJ17" s="10">
        <f t="shared" ref="CJ17" si="1128">$B17/$B$31*$D17*CK$31</f>
        <v>0</v>
      </c>
      <c r="CK17" s="10">
        <f t="shared" si="71"/>
        <v>0</v>
      </c>
      <c r="CL17" s="10">
        <f t="shared" ref="CL17" si="1129">$B17/$B$31*$D17*CM$31</f>
        <v>0</v>
      </c>
      <c r="CM17" s="10">
        <f t="shared" si="73"/>
        <v>0</v>
      </c>
      <c r="CN17" s="10">
        <f t="shared" ref="CN17" si="1130">$B17/$B$31*$D17*CO$31</f>
        <v>0</v>
      </c>
      <c r="CO17" s="10">
        <f t="shared" si="75"/>
        <v>0</v>
      </c>
      <c r="CP17" s="10">
        <f t="shared" ref="CP17" si="1131">$B17/$B$31*$D17*CQ$31</f>
        <v>0</v>
      </c>
      <c r="CQ17" s="10">
        <f t="shared" si="77"/>
        <v>0</v>
      </c>
      <c r="CR17" s="10">
        <f t="shared" ref="CR17" si="1132">$B17/$B$31*$D17*CS$31</f>
        <v>0</v>
      </c>
      <c r="CS17" s="10">
        <f t="shared" si="79"/>
        <v>0</v>
      </c>
      <c r="CT17" s="10">
        <f t="shared" ref="CT17" si="1133">$B17/$B$31*$D17*CU$31</f>
        <v>0</v>
      </c>
      <c r="CU17" s="10">
        <f t="shared" si="81"/>
        <v>0</v>
      </c>
      <c r="CV17" s="10">
        <f t="shared" ref="CV17" si="1134">$B17/$B$31*$D17*CW$31</f>
        <v>0</v>
      </c>
      <c r="CW17" s="10">
        <f t="shared" si="83"/>
        <v>0</v>
      </c>
      <c r="CX17" s="10">
        <f t="shared" ref="CX17" si="1135">$B17/$B$31*$D17*CY$31</f>
        <v>0</v>
      </c>
      <c r="CY17" s="10">
        <f t="shared" si="85"/>
        <v>0</v>
      </c>
      <c r="CZ17" s="10">
        <f t="shared" ref="CZ17" si="1136">$B17/$B$31*$D17*DA$31</f>
        <v>0</v>
      </c>
      <c r="DA17" s="10">
        <f t="shared" si="87"/>
        <v>0</v>
      </c>
      <c r="DB17" s="10">
        <f t="shared" ref="DB17" si="1137">$B17/$B$31*$D17*DC$31</f>
        <v>0</v>
      </c>
      <c r="DC17" s="10">
        <f t="shared" si="89"/>
        <v>0</v>
      </c>
      <c r="DD17" s="10">
        <f t="shared" ref="DD17" si="1138">$B17/$B$31*$D17*DE$31</f>
        <v>0</v>
      </c>
      <c r="DE17" s="10">
        <f t="shared" si="91"/>
        <v>0</v>
      </c>
      <c r="DF17" s="10">
        <f t="shared" ref="DF17" si="1139">$B17/$B$31*$D17*DG$31</f>
        <v>0</v>
      </c>
      <c r="DG17" s="10">
        <f t="shared" si="93"/>
        <v>0</v>
      </c>
      <c r="DH17" s="10">
        <f t="shared" ref="DH17" si="1140">$B17/$B$31*$D17*DI$31</f>
        <v>0</v>
      </c>
      <c r="DI17" s="10">
        <f t="shared" si="95"/>
        <v>0</v>
      </c>
      <c r="DJ17" s="10">
        <f t="shared" ref="DJ17" si="1141">$B17/$B$31*$D17*DK$31</f>
        <v>0</v>
      </c>
      <c r="DK17" s="10">
        <f t="shared" si="97"/>
        <v>0</v>
      </c>
      <c r="DL17" s="10">
        <f t="shared" ref="DL17" si="1142">$B17/$B$31*$D17*DM$31</f>
        <v>0</v>
      </c>
      <c r="DM17" s="10">
        <f t="shared" si="99"/>
        <v>0</v>
      </c>
      <c r="DN17" s="10">
        <f t="shared" ref="DN17" si="1143">$B17/$B$31*$D17*DO$31</f>
        <v>0</v>
      </c>
      <c r="DO17" s="10">
        <f t="shared" si="101"/>
        <v>0</v>
      </c>
      <c r="DP17" s="10">
        <f t="shared" ref="DP17" si="1144">$B17/$B$31*$D17*DQ$31</f>
        <v>0</v>
      </c>
      <c r="DQ17" s="10">
        <f t="shared" si="103"/>
        <v>0</v>
      </c>
      <c r="DR17" s="10">
        <f t="shared" ref="DR17" si="1145">$B17/$B$31*$D17*DS$31</f>
        <v>0</v>
      </c>
      <c r="DS17" s="10">
        <f t="shared" si="105"/>
        <v>0</v>
      </c>
      <c r="DT17" s="10">
        <f t="shared" ref="DT17" si="1146">$B17/$B$31*$D17*DU$31</f>
        <v>0</v>
      </c>
      <c r="DU17" s="10">
        <f t="shared" si="107"/>
        <v>0</v>
      </c>
      <c r="DV17" s="10">
        <f t="shared" ref="DV17" si="1147">$B17/$B$31*$D17*DW$31</f>
        <v>0</v>
      </c>
      <c r="DW17" s="10">
        <f t="shared" si="109"/>
        <v>0</v>
      </c>
      <c r="DX17" s="10">
        <f t="shared" ref="DX17" si="1148">$B17/$B$31*$D17*DY$31</f>
        <v>0</v>
      </c>
      <c r="DY17" s="10">
        <f t="shared" si="111"/>
        <v>0</v>
      </c>
      <c r="DZ17" s="10">
        <f t="shared" ref="DZ17" si="1149">$B17/$B$31*$D17*EA$31</f>
        <v>0</v>
      </c>
      <c r="EA17" s="10">
        <f t="shared" si="113"/>
        <v>0</v>
      </c>
      <c r="EB17" s="10">
        <f t="shared" ref="EB17" si="1150">$B17/$B$31*$D17*EC$31</f>
        <v>0</v>
      </c>
      <c r="EC17" s="10">
        <f t="shared" si="115"/>
        <v>0</v>
      </c>
      <c r="ED17" s="10">
        <f t="shared" ref="ED17" si="1151">$B17/$B$31*$D17*EE$31</f>
        <v>0</v>
      </c>
      <c r="EE17" s="10">
        <f t="shared" si="117"/>
        <v>0</v>
      </c>
      <c r="EF17" s="10">
        <f t="shared" ref="EF17" si="1152">$B17/$B$31*$D17*EG$31</f>
        <v>0</v>
      </c>
      <c r="EG17" s="10">
        <f t="shared" si="119"/>
        <v>0</v>
      </c>
      <c r="EH17" s="10">
        <f t="shared" ref="EH17" si="1153">$B17/$B$31*$D17*EI$31</f>
        <v>0</v>
      </c>
      <c r="EI17" s="10">
        <f t="shared" si="121"/>
        <v>0</v>
      </c>
      <c r="EJ17" s="10">
        <f t="shared" ref="EJ17" si="1154">$B17/$B$31*$D17*EK$31</f>
        <v>0</v>
      </c>
      <c r="EK17" s="10">
        <f t="shared" si="123"/>
        <v>0</v>
      </c>
      <c r="EL17" s="10">
        <f t="shared" ref="EL17" si="1155">$B17/$B$31*$D17*EM$31</f>
        <v>0</v>
      </c>
      <c r="EM17" s="10">
        <f t="shared" si="125"/>
        <v>0</v>
      </c>
      <c r="EN17" s="10">
        <f t="shared" ref="EN17" si="1156">$B17/$B$31*$D17*EO$31</f>
        <v>0</v>
      </c>
      <c r="EO17" s="10">
        <f t="shared" si="127"/>
        <v>0</v>
      </c>
      <c r="EP17" s="10">
        <f t="shared" ref="EP17" si="1157">$B17/$B$31*$D17*EQ$31</f>
        <v>0</v>
      </c>
      <c r="EQ17" s="10">
        <f t="shared" si="129"/>
        <v>0</v>
      </c>
      <c r="ER17" s="10">
        <f t="shared" ref="ER17" si="1158">$B17/$B$31*$D17*ES$31</f>
        <v>0</v>
      </c>
      <c r="ES17" s="10">
        <f t="shared" si="131"/>
        <v>0</v>
      </c>
      <c r="ET17" s="10">
        <f t="shared" ref="ET17" si="1159">$B17/$B$31*$D17*EU$31</f>
        <v>0</v>
      </c>
      <c r="EU17" s="10">
        <f t="shared" si="133"/>
        <v>0</v>
      </c>
      <c r="EV17" s="10">
        <f t="shared" ref="EV17" si="1160">$B17/$B$31*$D17*EW$31</f>
        <v>0</v>
      </c>
      <c r="EW17" s="10">
        <f t="shared" si="133"/>
        <v>0</v>
      </c>
      <c r="EX17" s="10">
        <f t="shared" ref="EX17" si="1161">$B17/$B$31*$D17*EY$31</f>
        <v>0</v>
      </c>
      <c r="EY17" s="10">
        <f t="shared" si="133"/>
        <v>0</v>
      </c>
      <c r="EZ17" s="10">
        <f t="shared" ref="EZ17" si="1162">$B17/$B$31*$D17*FA$31</f>
        <v>0</v>
      </c>
      <c r="FA17" s="10">
        <f t="shared" si="133"/>
        <v>0</v>
      </c>
      <c r="FB17" s="10">
        <f t="shared" ref="FB17" si="1163">$B17/$B$31*$D17*FC$31</f>
        <v>0</v>
      </c>
      <c r="FC17" s="10">
        <f t="shared" si="133"/>
        <v>0</v>
      </c>
      <c r="FD17" s="10">
        <f t="shared" ref="FD17" si="1164">$B17/$B$31*$D17*FE$31</f>
        <v>0</v>
      </c>
      <c r="FE17" s="10">
        <f t="shared" si="133"/>
        <v>0</v>
      </c>
      <c r="FF17" s="10">
        <f t="shared" ref="FF17" si="1165">$B17/$B$31*$D17*FG$31</f>
        <v>0</v>
      </c>
      <c r="FG17" s="10">
        <f t="shared" si="133"/>
        <v>0</v>
      </c>
      <c r="FH17" s="10">
        <f t="shared" ref="FH17" si="1166">$B17/$B$31*$D17*FI$31</f>
        <v>0</v>
      </c>
      <c r="FI17" s="10">
        <f t="shared" si="133"/>
        <v>0</v>
      </c>
      <c r="FJ17" s="10">
        <f t="shared" ref="FJ17" si="1167">$B17/$B$31*$D17*FK$31</f>
        <v>0</v>
      </c>
      <c r="FK17" s="10">
        <f t="shared" si="133"/>
        <v>0</v>
      </c>
      <c r="FL17" s="10">
        <f t="shared" ref="FL17" si="1168">$B17/$B$31*$D17*FM$31</f>
        <v>0</v>
      </c>
      <c r="FM17" s="10">
        <f t="shared" si="133"/>
        <v>0</v>
      </c>
      <c r="FN17" s="10">
        <f t="shared" ref="FN17" si="1169">$B17/$B$31*$D17*FO$31</f>
        <v>0</v>
      </c>
      <c r="FO17" s="10">
        <f t="shared" si="144"/>
        <v>0</v>
      </c>
      <c r="FP17" s="10">
        <f t="shared" ref="FP17" si="1170">$B17/$B$31*$D17*FQ$31</f>
        <v>0</v>
      </c>
      <c r="FQ17" s="10">
        <f t="shared" si="146"/>
        <v>0</v>
      </c>
      <c r="FR17" s="10">
        <f t="shared" ref="FR17" si="1171">$B17/$B$31*$D17*FS$31</f>
        <v>0</v>
      </c>
      <c r="FS17" s="10">
        <f t="shared" si="148"/>
        <v>0</v>
      </c>
      <c r="FT17" s="10">
        <f t="shared" ref="FT17" si="1172">$B17/$B$31*$D17*FU$31</f>
        <v>0</v>
      </c>
      <c r="FU17" s="10">
        <f t="shared" si="150"/>
        <v>0</v>
      </c>
      <c r="FV17" s="10">
        <f t="shared" ref="FV17" si="1173">$B17/$B$31*$D17*FW$31</f>
        <v>0</v>
      </c>
      <c r="FW17" s="10">
        <f t="shared" si="152"/>
        <v>0</v>
      </c>
      <c r="FX17" s="10">
        <f t="shared" ref="FX17" si="1174">$B17/$B$31*$D17*FY$31</f>
        <v>0</v>
      </c>
      <c r="FY17" s="10">
        <f t="shared" si="154"/>
        <v>0</v>
      </c>
      <c r="FZ17" s="10">
        <f t="shared" ref="FZ17" si="1175">$B17/$B$31*$D17*GA$31</f>
        <v>0</v>
      </c>
      <c r="GA17" s="10">
        <f t="shared" si="156"/>
        <v>0</v>
      </c>
      <c r="GB17" s="10">
        <f t="shared" ref="GB17" si="1176">$B17/$B$31*$D17*GC$31</f>
        <v>0</v>
      </c>
      <c r="GC17" s="10">
        <f t="shared" si="158"/>
        <v>0</v>
      </c>
      <c r="GD17" s="10">
        <f t="shared" ref="GD17" si="1177">$B17/$B$31*$D17*GE$31</f>
        <v>0</v>
      </c>
      <c r="GE17" s="10">
        <f t="shared" si="160"/>
        <v>0</v>
      </c>
      <c r="GF17" s="10">
        <f t="shared" ref="GF17" si="1178">$B17/$B$31*$D17*GG$31</f>
        <v>0</v>
      </c>
      <c r="GG17" s="10">
        <f t="shared" si="162"/>
        <v>0</v>
      </c>
      <c r="GH17" s="10">
        <f t="shared" ref="GH17" si="1179">$B17/$B$31*$D17*GI$31</f>
        <v>0</v>
      </c>
      <c r="GI17" s="10">
        <f t="shared" si="164"/>
        <v>0</v>
      </c>
      <c r="GJ17" s="10">
        <f t="shared" ref="GJ17" si="1180">$B17/$B$31*$D17*GK$31</f>
        <v>0</v>
      </c>
      <c r="GK17" s="10">
        <f t="shared" si="166"/>
        <v>0</v>
      </c>
      <c r="GL17" s="10">
        <f t="shared" ref="GL17" si="1181">$B17/$B$31*$D17*GM$31</f>
        <v>0</v>
      </c>
      <c r="GM17" s="10">
        <f t="shared" si="168"/>
        <v>0</v>
      </c>
      <c r="GN17" s="10">
        <f t="shared" ref="GN17" si="1182">$B17/$B$31*$D17*GO$31</f>
        <v>0</v>
      </c>
      <c r="GO17" s="10">
        <f t="shared" si="170"/>
        <v>0</v>
      </c>
      <c r="GP17" s="10">
        <f t="shared" ref="GP17" si="1183">$B17/$B$31*$D17*GQ$31</f>
        <v>0</v>
      </c>
      <c r="GQ17" s="10">
        <f t="shared" si="172"/>
        <v>0</v>
      </c>
      <c r="GR17" s="10">
        <f t="shared" ref="GR17" si="1184">$B17/$B$31*$D17*GS$31</f>
        <v>0</v>
      </c>
      <c r="GS17" s="10">
        <f t="shared" si="174"/>
        <v>0</v>
      </c>
      <c r="GT17" s="10">
        <f t="shared" ref="GT17" si="1185">$B17/$B$31*$D17*GU$31</f>
        <v>0</v>
      </c>
      <c r="GU17" s="10">
        <f t="shared" si="176"/>
        <v>0</v>
      </c>
      <c r="GV17" s="10">
        <f t="shared" ref="GV17" si="1186">$B17/$B$31*$D17*GW$31</f>
        <v>0</v>
      </c>
      <c r="GW17" s="10">
        <f t="shared" si="178"/>
        <v>0</v>
      </c>
      <c r="GX17" s="10">
        <f t="shared" ref="GX17" si="1187">$B17/$B$31*$D17*GY$31</f>
        <v>0</v>
      </c>
      <c r="GY17" s="10">
        <f t="shared" si="180"/>
        <v>0</v>
      </c>
      <c r="GZ17" s="10">
        <f t="shared" ref="GZ17" si="1188">$B17/$B$31*$D17*HA$31</f>
        <v>0</v>
      </c>
      <c r="HA17" s="10">
        <f t="shared" si="182"/>
        <v>0</v>
      </c>
      <c r="HB17" s="10">
        <f t="shared" ref="HB17" si="1189">$B17/$B$31*$D17*HC$31</f>
        <v>0</v>
      </c>
      <c r="HC17" s="10">
        <f t="shared" si="184"/>
        <v>0</v>
      </c>
      <c r="HD17" s="10">
        <f t="shared" ref="HD17" si="1190">$B17/$B$31*$D17*HE$31</f>
        <v>0</v>
      </c>
      <c r="HE17" s="10">
        <f t="shared" si="186"/>
        <v>0</v>
      </c>
      <c r="HF17" s="10">
        <f t="shared" ref="HF17" si="1191">$B17/$B$31*$D17*HG$31</f>
        <v>0</v>
      </c>
      <c r="HG17" s="10">
        <f t="shared" si="188"/>
        <v>0</v>
      </c>
      <c r="HH17" s="10">
        <f t="shared" ref="HH17" si="1192">$B17/$B$31*$D17*HI$31</f>
        <v>0</v>
      </c>
      <c r="HI17" s="10">
        <f t="shared" si="190"/>
        <v>0</v>
      </c>
      <c r="HJ17" s="10">
        <f t="shared" ref="HJ17" si="1193">$B17/$B$31*$D17*HK$31</f>
        <v>0</v>
      </c>
      <c r="HK17" s="10">
        <f t="shared" si="192"/>
        <v>0</v>
      </c>
      <c r="HL17" s="10">
        <f t="shared" ref="HL17" si="1194">$B17/$B$31*$D17*HM$31</f>
        <v>0</v>
      </c>
      <c r="HM17" s="10">
        <f t="shared" si="194"/>
        <v>0</v>
      </c>
      <c r="HN17" s="10">
        <f t="shared" ref="HN17" si="1195">$B17/$B$31*$D17*HO$31</f>
        <v>0</v>
      </c>
      <c r="HO17" s="10">
        <f t="shared" si="196"/>
        <v>0</v>
      </c>
      <c r="HP17" s="10">
        <f t="shared" ref="HP17" si="1196">$B17/$B$31*$D17*HQ$31</f>
        <v>0</v>
      </c>
      <c r="HQ17" s="10">
        <f t="shared" si="198"/>
        <v>0</v>
      </c>
      <c r="HR17" s="10">
        <f t="shared" ref="HR17" si="1197">$B17/$B$31*$D17*HS$31</f>
        <v>0</v>
      </c>
      <c r="HS17" s="10">
        <f t="shared" si="200"/>
        <v>0</v>
      </c>
      <c r="HT17" s="10">
        <f t="shared" ref="HT17" si="1198">$B17/$B$31*$D17*HU$31</f>
        <v>0</v>
      </c>
      <c r="HU17" s="10">
        <f t="shared" si="202"/>
        <v>0</v>
      </c>
      <c r="HV17" s="10"/>
      <c r="HW17" s="10"/>
      <c r="HX17" s="10"/>
    </row>
    <row r="18" spans="1:232" x14ac:dyDescent="0.3">
      <c r="A18" s="18">
        <f>参数调整!A18</f>
        <v>15</v>
      </c>
      <c r="B18" s="170">
        <f>参数调整!B18</f>
        <v>20</v>
      </c>
      <c r="C18" s="10">
        <f>参数调整!F18</f>
        <v>3.5</v>
      </c>
      <c r="D18" s="10">
        <f>参数调整!G18</f>
        <v>3.5</v>
      </c>
      <c r="E18" s="15">
        <f>基本属性!B18</f>
        <v>155</v>
      </c>
      <c r="F18" s="15">
        <f>基本属性!C18</f>
        <v>8</v>
      </c>
      <c r="G18" s="271"/>
      <c r="H18" s="10">
        <f t="shared" si="45"/>
        <v>63839489284.085732</v>
      </c>
      <c r="I18" s="188">
        <f t="shared" si="0"/>
        <v>63839489284.085732</v>
      </c>
      <c r="J18" s="10">
        <f t="shared" si="1"/>
        <v>2640521.3200966385</v>
      </c>
      <c r="K18" s="10">
        <f t="shared" si="2"/>
        <v>2640521.3200966385</v>
      </c>
      <c r="L18" s="10">
        <f t="shared" si="46"/>
        <v>35.155444783838988</v>
      </c>
      <c r="M18" s="10">
        <f t="shared" si="47"/>
        <v>35.155444783838988</v>
      </c>
      <c r="N18" s="10">
        <f t="shared" si="48"/>
        <v>255.74099407204744</v>
      </c>
      <c r="O18" s="10">
        <f t="shared" si="49"/>
        <v>255.74099407204744</v>
      </c>
      <c r="P18" s="10">
        <f t="shared" si="3"/>
        <v>4926.2805897552826</v>
      </c>
      <c r="Q18" s="10">
        <f t="shared" si="4"/>
        <v>4926.2805897552826</v>
      </c>
      <c r="R18" s="10">
        <f t="shared" si="5"/>
        <v>15.576835385316919</v>
      </c>
      <c r="S18" s="10">
        <f t="shared" si="6"/>
        <v>15.576835385316919</v>
      </c>
      <c r="T18" s="10">
        <f t="shared" si="7"/>
        <v>23.260522935424362</v>
      </c>
      <c r="U18" s="10">
        <f t="shared" si="8"/>
        <v>23.260522935424362</v>
      </c>
      <c r="V18" s="10">
        <f t="shared" si="9"/>
        <v>23.260522935424362</v>
      </c>
      <c r="W18" s="10">
        <f t="shared" si="10"/>
        <v>23.260522935424362</v>
      </c>
      <c r="X18" s="10">
        <f t="shared" si="11"/>
        <v>23.260522935424362</v>
      </c>
      <c r="Y18" s="10">
        <f t="shared" si="12"/>
        <v>23.260522935424362</v>
      </c>
      <c r="Z18" s="10">
        <f t="shared" si="13"/>
        <v>23.260522935424362</v>
      </c>
      <c r="AA18" s="10">
        <f t="shared" si="14"/>
        <v>23.260522935424362</v>
      </c>
      <c r="AB18" s="10">
        <f t="shared" si="15"/>
        <v>596.26082991336079</v>
      </c>
      <c r="AC18" s="10">
        <f t="shared" si="16"/>
        <v>596.26082991336079</v>
      </c>
      <c r="AD18" s="10">
        <f t="shared" si="17"/>
        <v>178.62485530884987</v>
      </c>
      <c r="AE18" s="10">
        <f t="shared" si="18"/>
        <v>178.62485530884987</v>
      </c>
      <c r="AF18" s="10">
        <f t="shared" si="19"/>
        <v>89.312427654424937</v>
      </c>
      <c r="AG18" s="10">
        <f t="shared" si="20"/>
        <v>89.312427654424937</v>
      </c>
      <c r="AH18" s="10">
        <f t="shared" si="21"/>
        <v>17.862485530884985</v>
      </c>
      <c r="AI18" s="10">
        <f t="shared" si="22"/>
        <v>17.862485530884985</v>
      </c>
      <c r="AJ18" s="10">
        <f t="shared" si="23"/>
        <v>204.13615514605294</v>
      </c>
      <c r="AK18" s="10">
        <f t="shared" si="24"/>
        <v>204.13615514605294</v>
      </c>
      <c r="AL18" s="10">
        <f t="shared" si="25"/>
        <v>102.06807757302647</v>
      </c>
      <c r="AM18" s="10">
        <f t="shared" si="26"/>
        <v>102.06807757302647</v>
      </c>
      <c r="AN18" s="10">
        <f t="shared" si="27"/>
        <v>20.413615514605297</v>
      </c>
      <c r="AO18" s="10">
        <f t="shared" si="28"/>
        <v>20.413615514605297</v>
      </c>
      <c r="AP18" s="10">
        <f t="shared" si="29"/>
        <v>9.6850047306977416</v>
      </c>
      <c r="AQ18" s="10">
        <f t="shared" si="30"/>
        <v>9.6850047306977416</v>
      </c>
      <c r="AR18" s="10">
        <f t="shared" si="31"/>
        <v>0.12783798103214181</v>
      </c>
      <c r="AS18" s="10">
        <f t="shared" si="32"/>
        <v>0.12783798103214181</v>
      </c>
      <c r="AT18" s="10">
        <f t="shared" si="33"/>
        <v>0.12783798103214181</v>
      </c>
      <c r="AU18" s="10">
        <f t="shared" si="34"/>
        <v>0.12783798103214181</v>
      </c>
      <c r="AV18" s="10">
        <f t="shared" si="35"/>
        <v>1.150541829289276</v>
      </c>
      <c r="AW18" s="10">
        <f t="shared" si="36"/>
        <v>1.150541829289276</v>
      </c>
      <c r="AX18" s="10">
        <f t="shared" si="37"/>
        <v>3.5155444783838994</v>
      </c>
      <c r="AY18" s="10">
        <f t="shared" si="38"/>
        <v>3.5155444783838994</v>
      </c>
      <c r="AZ18" s="10">
        <f t="shared" si="39"/>
        <v>0.31959495258035447</v>
      </c>
      <c r="BA18" s="10">
        <f t="shared" si="40"/>
        <v>0.31959495258035447</v>
      </c>
      <c r="BB18" s="10">
        <f t="shared" si="41"/>
        <v>0.31959495258035447</v>
      </c>
      <c r="BC18" s="10">
        <f t="shared" si="42"/>
        <v>0.31959495258035447</v>
      </c>
      <c r="BD18" s="10">
        <f t="shared" si="43"/>
        <v>1.2783798103214179</v>
      </c>
      <c r="BE18" s="10">
        <f t="shared" si="44"/>
        <v>1.2783798103214179</v>
      </c>
      <c r="BF18" s="10">
        <f t="shared" si="50"/>
        <v>1.5979747629017724</v>
      </c>
      <c r="BG18" s="10">
        <f t="shared" si="51"/>
        <v>1.5979747629017724</v>
      </c>
      <c r="BH18" s="10">
        <f t="shared" si="52"/>
        <v>0</v>
      </c>
      <c r="BI18" s="10">
        <f t="shared" si="53"/>
        <v>0</v>
      </c>
      <c r="BJ18" s="10">
        <f t="shared" si="52"/>
        <v>0</v>
      </c>
      <c r="BK18" s="10">
        <f t="shared" si="53"/>
        <v>0</v>
      </c>
      <c r="BL18" s="10">
        <f t="shared" ref="BL18" si="1199">$B18/$B$31*$D18*BM$31</f>
        <v>0</v>
      </c>
      <c r="BM18" s="10">
        <f t="shared" si="53"/>
        <v>0</v>
      </c>
      <c r="BN18" s="10">
        <f t="shared" ref="BN18" si="1200">$B18/$B$31*$D18*BO$31</f>
        <v>0</v>
      </c>
      <c r="BO18" s="10">
        <f t="shared" si="53"/>
        <v>0</v>
      </c>
      <c r="BP18" s="10">
        <f t="shared" ref="BP18" si="1201">$B18/$B$31*$D18*BQ$31</f>
        <v>0</v>
      </c>
      <c r="BQ18" s="10">
        <f t="shared" si="53"/>
        <v>0</v>
      </c>
      <c r="BR18" s="10">
        <f t="shared" ref="BR18" si="1202">$B18/$B$31*$D18*BS$31</f>
        <v>0</v>
      </c>
      <c r="BS18" s="10">
        <f t="shared" si="53"/>
        <v>0</v>
      </c>
      <c r="BT18" s="10">
        <f t="shared" ref="BT18" si="1203">$B18/$B$31*$D18*BU$31</f>
        <v>0</v>
      </c>
      <c r="BU18" s="10">
        <f t="shared" si="53"/>
        <v>0</v>
      </c>
      <c r="BV18" s="10">
        <f t="shared" ref="BV18" si="1204">$B18/$B$31*$D18*BW$31</f>
        <v>0</v>
      </c>
      <c r="BW18" s="10">
        <f t="shared" si="53"/>
        <v>0</v>
      </c>
      <c r="BX18" s="10">
        <f t="shared" ref="BX18" si="1205">$B18/$B$31*$D18*BY$31</f>
        <v>0</v>
      </c>
      <c r="BY18" s="10">
        <f t="shared" si="53"/>
        <v>0</v>
      </c>
      <c r="BZ18" s="10">
        <f t="shared" ref="BZ18" si="1206">$B18/$B$31*$D18*CA$31</f>
        <v>0</v>
      </c>
      <c r="CA18" s="10">
        <f t="shared" si="53"/>
        <v>0</v>
      </c>
      <c r="CB18" s="10">
        <f t="shared" ref="CB18" si="1207">$B18/$B$31*$D18*CC$31</f>
        <v>0</v>
      </c>
      <c r="CC18" s="10">
        <f t="shared" si="63"/>
        <v>0</v>
      </c>
      <c r="CD18" s="10">
        <f t="shared" ref="CD18" si="1208">$B18/$B$31*$D18*CE$31</f>
        <v>0</v>
      </c>
      <c r="CE18" s="10">
        <f t="shared" si="65"/>
        <v>0</v>
      </c>
      <c r="CF18" s="10">
        <f t="shared" ref="CF18" si="1209">$B18/$B$31*$D18*CG$31</f>
        <v>0</v>
      </c>
      <c r="CG18" s="10">
        <f t="shared" si="67"/>
        <v>0</v>
      </c>
      <c r="CH18" s="10">
        <f t="shared" ref="CH18" si="1210">$B18/$B$31*$D18*CI$31</f>
        <v>0</v>
      </c>
      <c r="CI18" s="10">
        <f t="shared" si="69"/>
        <v>0</v>
      </c>
      <c r="CJ18" s="10">
        <f t="shared" ref="CJ18" si="1211">$B18/$B$31*$D18*CK$31</f>
        <v>0</v>
      </c>
      <c r="CK18" s="10">
        <f t="shared" si="71"/>
        <v>0</v>
      </c>
      <c r="CL18" s="10">
        <f t="shared" ref="CL18" si="1212">$B18/$B$31*$D18*CM$31</f>
        <v>0</v>
      </c>
      <c r="CM18" s="10">
        <f t="shared" si="73"/>
        <v>0</v>
      </c>
      <c r="CN18" s="10">
        <f t="shared" ref="CN18" si="1213">$B18/$B$31*$D18*CO$31</f>
        <v>0</v>
      </c>
      <c r="CO18" s="10">
        <f t="shared" si="75"/>
        <v>0</v>
      </c>
      <c r="CP18" s="10">
        <f t="shared" ref="CP18" si="1214">$B18/$B$31*$D18*CQ$31</f>
        <v>0</v>
      </c>
      <c r="CQ18" s="10">
        <f t="shared" si="77"/>
        <v>0</v>
      </c>
      <c r="CR18" s="10">
        <f t="shared" ref="CR18" si="1215">$B18/$B$31*$D18*CS$31</f>
        <v>0</v>
      </c>
      <c r="CS18" s="10">
        <f t="shared" si="79"/>
        <v>0</v>
      </c>
      <c r="CT18" s="10">
        <f t="shared" ref="CT18" si="1216">$B18/$B$31*$D18*CU$31</f>
        <v>0</v>
      </c>
      <c r="CU18" s="10">
        <f t="shared" si="81"/>
        <v>0</v>
      </c>
      <c r="CV18" s="10">
        <f t="shared" ref="CV18" si="1217">$B18/$B$31*$D18*CW$31</f>
        <v>0</v>
      </c>
      <c r="CW18" s="10">
        <f t="shared" si="83"/>
        <v>0</v>
      </c>
      <c r="CX18" s="10">
        <f t="shared" ref="CX18" si="1218">$B18/$B$31*$D18*CY$31</f>
        <v>0</v>
      </c>
      <c r="CY18" s="10">
        <f t="shared" si="85"/>
        <v>0</v>
      </c>
      <c r="CZ18" s="10">
        <f t="shared" ref="CZ18" si="1219">$B18/$B$31*$D18*DA$31</f>
        <v>0</v>
      </c>
      <c r="DA18" s="10">
        <f t="shared" si="87"/>
        <v>0</v>
      </c>
      <c r="DB18" s="10">
        <f t="shared" ref="DB18" si="1220">$B18/$B$31*$D18*DC$31</f>
        <v>0</v>
      </c>
      <c r="DC18" s="10">
        <f t="shared" si="89"/>
        <v>0</v>
      </c>
      <c r="DD18" s="10">
        <f t="shared" ref="DD18" si="1221">$B18/$B$31*$D18*DE$31</f>
        <v>0</v>
      </c>
      <c r="DE18" s="10">
        <f t="shared" si="91"/>
        <v>0</v>
      </c>
      <c r="DF18" s="10">
        <f t="shared" ref="DF18" si="1222">$B18/$B$31*$D18*DG$31</f>
        <v>0</v>
      </c>
      <c r="DG18" s="10">
        <f t="shared" si="93"/>
        <v>0</v>
      </c>
      <c r="DH18" s="10">
        <f t="shared" ref="DH18" si="1223">$B18/$B$31*$D18*DI$31</f>
        <v>0</v>
      </c>
      <c r="DI18" s="10">
        <f t="shared" si="95"/>
        <v>0</v>
      </c>
      <c r="DJ18" s="10">
        <f t="shared" ref="DJ18" si="1224">$B18/$B$31*$D18*DK$31</f>
        <v>0</v>
      </c>
      <c r="DK18" s="10">
        <f t="shared" si="97"/>
        <v>0</v>
      </c>
      <c r="DL18" s="10">
        <f t="shared" ref="DL18" si="1225">$B18/$B$31*$D18*DM$31</f>
        <v>0</v>
      </c>
      <c r="DM18" s="10">
        <f t="shared" si="99"/>
        <v>0</v>
      </c>
      <c r="DN18" s="10">
        <f t="shared" ref="DN18" si="1226">$B18/$B$31*$D18*DO$31</f>
        <v>0</v>
      </c>
      <c r="DO18" s="10">
        <f t="shared" si="101"/>
        <v>0</v>
      </c>
      <c r="DP18" s="10">
        <f t="shared" ref="DP18" si="1227">$B18/$B$31*$D18*DQ$31</f>
        <v>0</v>
      </c>
      <c r="DQ18" s="10">
        <f t="shared" si="103"/>
        <v>0</v>
      </c>
      <c r="DR18" s="10">
        <f t="shared" ref="DR18" si="1228">$B18/$B$31*$D18*DS$31</f>
        <v>0</v>
      </c>
      <c r="DS18" s="10">
        <f t="shared" si="105"/>
        <v>0</v>
      </c>
      <c r="DT18" s="10">
        <f t="shared" ref="DT18" si="1229">$B18/$B$31*$D18*DU$31</f>
        <v>0</v>
      </c>
      <c r="DU18" s="10">
        <f t="shared" si="107"/>
        <v>0</v>
      </c>
      <c r="DV18" s="10">
        <f t="shared" ref="DV18" si="1230">$B18/$B$31*$D18*DW$31</f>
        <v>0</v>
      </c>
      <c r="DW18" s="10">
        <f t="shared" si="109"/>
        <v>0</v>
      </c>
      <c r="DX18" s="10">
        <f t="shared" ref="DX18" si="1231">$B18/$B$31*$D18*DY$31</f>
        <v>0</v>
      </c>
      <c r="DY18" s="10">
        <f t="shared" si="111"/>
        <v>0</v>
      </c>
      <c r="DZ18" s="10">
        <f t="shared" ref="DZ18" si="1232">$B18/$B$31*$D18*EA$31</f>
        <v>0</v>
      </c>
      <c r="EA18" s="10">
        <f t="shared" si="113"/>
        <v>0</v>
      </c>
      <c r="EB18" s="10">
        <f t="shared" ref="EB18" si="1233">$B18/$B$31*$D18*EC$31</f>
        <v>0</v>
      </c>
      <c r="EC18" s="10">
        <f t="shared" si="115"/>
        <v>0</v>
      </c>
      <c r="ED18" s="10">
        <f t="shared" ref="ED18" si="1234">$B18/$B$31*$D18*EE$31</f>
        <v>0</v>
      </c>
      <c r="EE18" s="10">
        <f t="shared" si="117"/>
        <v>0</v>
      </c>
      <c r="EF18" s="10">
        <f t="shared" ref="EF18" si="1235">$B18/$B$31*$D18*EG$31</f>
        <v>0</v>
      </c>
      <c r="EG18" s="10">
        <f t="shared" si="119"/>
        <v>0</v>
      </c>
      <c r="EH18" s="10">
        <f t="shared" ref="EH18" si="1236">$B18/$B$31*$D18*EI$31</f>
        <v>0</v>
      </c>
      <c r="EI18" s="10">
        <f t="shared" si="121"/>
        <v>0</v>
      </c>
      <c r="EJ18" s="10">
        <f t="shared" ref="EJ18" si="1237">$B18/$B$31*$D18*EK$31</f>
        <v>0</v>
      </c>
      <c r="EK18" s="10">
        <f t="shared" si="123"/>
        <v>0</v>
      </c>
      <c r="EL18" s="10">
        <f t="shared" ref="EL18" si="1238">$B18/$B$31*$D18*EM$31</f>
        <v>0</v>
      </c>
      <c r="EM18" s="10">
        <f t="shared" si="125"/>
        <v>0</v>
      </c>
      <c r="EN18" s="10">
        <f t="shared" ref="EN18" si="1239">$B18/$B$31*$D18*EO$31</f>
        <v>0</v>
      </c>
      <c r="EO18" s="10">
        <f t="shared" si="127"/>
        <v>0</v>
      </c>
      <c r="EP18" s="10">
        <f t="shared" ref="EP18" si="1240">$B18/$B$31*$D18*EQ$31</f>
        <v>0</v>
      </c>
      <c r="EQ18" s="10">
        <f t="shared" si="129"/>
        <v>0</v>
      </c>
      <c r="ER18" s="10">
        <f t="shared" ref="ER18" si="1241">$B18/$B$31*$D18*ES$31</f>
        <v>0</v>
      </c>
      <c r="ES18" s="10">
        <f t="shared" si="131"/>
        <v>0</v>
      </c>
      <c r="ET18" s="10">
        <f t="shared" ref="ET18" si="1242">$B18/$B$31*$D18*EU$31</f>
        <v>0</v>
      </c>
      <c r="EU18" s="10">
        <f t="shared" si="133"/>
        <v>0</v>
      </c>
      <c r="EV18" s="10">
        <f t="shared" ref="EV18" si="1243">$B18/$B$31*$D18*EW$31</f>
        <v>0</v>
      </c>
      <c r="EW18" s="10">
        <f t="shared" si="133"/>
        <v>0</v>
      </c>
      <c r="EX18" s="10">
        <f t="shared" ref="EX18" si="1244">$B18/$B$31*$D18*EY$31</f>
        <v>0</v>
      </c>
      <c r="EY18" s="10">
        <f t="shared" si="133"/>
        <v>0</v>
      </c>
      <c r="EZ18" s="10">
        <f t="shared" ref="EZ18" si="1245">$B18/$B$31*$D18*FA$31</f>
        <v>0</v>
      </c>
      <c r="FA18" s="10">
        <f t="shared" si="133"/>
        <v>0</v>
      </c>
      <c r="FB18" s="10">
        <f t="shared" ref="FB18" si="1246">$B18/$B$31*$D18*FC$31</f>
        <v>0</v>
      </c>
      <c r="FC18" s="10">
        <f t="shared" si="133"/>
        <v>0</v>
      </c>
      <c r="FD18" s="10">
        <f t="shared" ref="FD18" si="1247">$B18/$B$31*$D18*FE$31</f>
        <v>0</v>
      </c>
      <c r="FE18" s="10">
        <f t="shared" si="133"/>
        <v>0</v>
      </c>
      <c r="FF18" s="10">
        <f t="shared" ref="FF18" si="1248">$B18/$B$31*$D18*FG$31</f>
        <v>0</v>
      </c>
      <c r="FG18" s="10">
        <f t="shared" si="133"/>
        <v>0</v>
      </c>
      <c r="FH18" s="10">
        <f t="shared" ref="FH18" si="1249">$B18/$B$31*$D18*FI$31</f>
        <v>0</v>
      </c>
      <c r="FI18" s="10">
        <f t="shared" si="133"/>
        <v>0</v>
      </c>
      <c r="FJ18" s="10">
        <f t="shared" ref="FJ18" si="1250">$B18/$B$31*$D18*FK$31</f>
        <v>0</v>
      </c>
      <c r="FK18" s="10">
        <f t="shared" si="133"/>
        <v>0</v>
      </c>
      <c r="FL18" s="10">
        <f t="shared" ref="FL18" si="1251">$B18/$B$31*$D18*FM$31</f>
        <v>0</v>
      </c>
      <c r="FM18" s="10">
        <f t="shared" si="133"/>
        <v>0</v>
      </c>
      <c r="FN18" s="10">
        <f t="shared" ref="FN18" si="1252">$B18/$B$31*$D18*FO$31</f>
        <v>0</v>
      </c>
      <c r="FO18" s="10">
        <f t="shared" si="144"/>
        <v>0</v>
      </c>
      <c r="FP18" s="10">
        <f t="shared" ref="FP18" si="1253">$B18/$B$31*$D18*FQ$31</f>
        <v>0</v>
      </c>
      <c r="FQ18" s="10">
        <f t="shared" si="146"/>
        <v>0</v>
      </c>
      <c r="FR18" s="10">
        <f t="shared" ref="FR18" si="1254">$B18/$B$31*$D18*FS$31</f>
        <v>0</v>
      </c>
      <c r="FS18" s="10">
        <f t="shared" si="148"/>
        <v>0</v>
      </c>
      <c r="FT18" s="10">
        <f t="shared" ref="FT18" si="1255">$B18/$B$31*$D18*FU$31</f>
        <v>0</v>
      </c>
      <c r="FU18" s="10">
        <f t="shared" si="150"/>
        <v>0</v>
      </c>
      <c r="FV18" s="10">
        <f t="shared" ref="FV18" si="1256">$B18/$B$31*$D18*FW$31</f>
        <v>0</v>
      </c>
      <c r="FW18" s="10">
        <f t="shared" si="152"/>
        <v>0</v>
      </c>
      <c r="FX18" s="10">
        <f t="shared" ref="FX18" si="1257">$B18/$B$31*$D18*FY$31</f>
        <v>0</v>
      </c>
      <c r="FY18" s="10">
        <f t="shared" si="154"/>
        <v>0</v>
      </c>
      <c r="FZ18" s="10">
        <f t="shared" ref="FZ18" si="1258">$B18/$B$31*$D18*GA$31</f>
        <v>0</v>
      </c>
      <c r="GA18" s="10">
        <f t="shared" si="156"/>
        <v>0</v>
      </c>
      <c r="GB18" s="10">
        <f t="shared" ref="GB18" si="1259">$B18/$B$31*$D18*GC$31</f>
        <v>0</v>
      </c>
      <c r="GC18" s="10">
        <f t="shared" si="158"/>
        <v>0</v>
      </c>
      <c r="GD18" s="10">
        <f t="shared" ref="GD18" si="1260">$B18/$B$31*$D18*GE$31</f>
        <v>0</v>
      </c>
      <c r="GE18" s="10">
        <f t="shared" si="160"/>
        <v>0</v>
      </c>
      <c r="GF18" s="10">
        <f t="shared" ref="GF18" si="1261">$B18/$B$31*$D18*GG$31</f>
        <v>0</v>
      </c>
      <c r="GG18" s="10">
        <f t="shared" si="162"/>
        <v>0</v>
      </c>
      <c r="GH18" s="10">
        <f t="shared" ref="GH18" si="1262">$B18/$B$31*$D18*GI$31</f>
        <v>0</v>
      </c>
      <c r="GI18" s="10">
        <f t="shared" si="164"/>
        <v>0</v>
      </c>
      <c r="GJ18" s="10">
        <f t="shared" ref="GJ18" si="1263">$B18/$B$31*$D18*GK$31</f>
        <v>0</v>
      </c>
      <c r="GK18" s="10">
        <f t="shared" si="166"/>
        <v>0</v>
      </c>
      <c r="GL18" s="10">
        <f t="shared" ref="GL18" si="1264">$B18/$B$31*$D18*GM$31</f>
        <v>0</v>
      </c>
      <c r="GM18" s="10">
        <f t="shared" si="168"/>
        <v>0</v>
      </c>
      <c r="GN18" s="10">
        <f t="shared" ref="GN18" si="1265">$B18/$B$31*$D18*GO$31</f>
        <v>0</v>
      </c>
      <c r="GO18" s="10">
        <f t="shared" si="170"/>
        <v>0</v>
      </c>
      <c r="GP18" s="10">
        <f t="shared" ref="GP18" si="1266">$B18/$B$31*$D18*GQ$31</f>
        <v>0</v>
      </c>
      <c r="GQ18" s="10">
        <f t="shared" si="172"/>
        <v>0</v>
      </c>
      <c r="GR18" s="10">
        <f t="shared" ref="GR18" si="1267">$B18/$B$31*$D18*GS$31</f>
        <v>0</v>
      </c>
      <c r="GS18" s="10">
        <f t="shared" si="174"/>
        <v>0</v>
      </c>
      <c r="GT18" s="10">
        <f t="shared" ref="GT18" si="1268">$B18/$B$31*$D18*GU$31</f>
        <v>0</v>
      </c>
      <c r="GU18" s="10">
        <f t="shared" si="176"/>
        <v>0</v>
      </c>
      <c r="GV18" s="10">
        <f t="shared" ref="GV18" si="1269">$B18/$B$31*$D18*GW$31</f>
        <v>0</v>
      </c>
      <c r="GW18" s="10">
        <f t="shared" si="178"/>
        <v>0</v>
      </c>
      <c r="GX18" s="10">
        <f t="shared" ref="GX18" si="1270">$B18/$B$31*$D18*GY$31</f>
        <v>0</v>
      </c>
      <c r="GY18" s="10">
        <f t="shared" si="180"/>
        <v>0</v>
      </c>
      <c r="GZ18" s="10">
        <f t="shared" ref="GZ18" si="1271">$B18/$B$31*$D18*HA$31</f>
        <v>0</v>
      </c>
      <c r="HA18" s="10">
        <f t="shared" si="182"/>
        <v>0</v>
      </c>
      <c r="HB18" s="10">
        <f t="shared" ref="HB18" si="1272">$B18/$B$31*$D18*HC$31</f>
        <v>0</v>
      </c>
      <c r="HC18" s="10">
        <f t="shared" si="184"/>
        <v>0</v>
      </c>
      <c r="HD18" s="10">
        <f t="shared" ref="HD18" si="1273">$B18/$B$31*$D18*HE$31</f>
        <v>0</v>
      </c>
      <c r="HE18" s="10">
        <f t="shared" si="186"/>
        <v>0</v>
      </c>
      <c r="HF18" s="10">
        <f t="shared" ref="HF18" si="1274">$B18/$B$31*$D18*HG$31</f>
        <v>0</v>
      </c>
      <c r="HG18" s="10">
        <f t="shared" si="188"/>
        <v>0</v>
      </c>
      <c r="HH18" s="10">
        <f t="shared" ref="HH18" si="1275">$B18/$B$31*$D18*HI$31</f>
        <v>0</v>
      </c>
      <c r="HI18" s="10">
        <f t="shared" si="190"/>
        <v>0</v>
      </c>
      <c r="HJ18" s="10">
        <f t="shared" ref="HJ18" si="1276">$B18/$B$31*$D18*HK$31</f>
        <v>0</v>
      </c>
      <c r="HK18" s="10">
        <f t="shared" si="192"/>
        <v>0</v>
      </c>
      <c r="HL18" s="10">
        <f t="shared" ref="HL18" si="1277">$B18/$B$31*$D18*HM$31</f>
        <v>0</v>
      </c>
      <c r="HM18" s="10">
        <f t="shared" si="194"/>
        <v>0</v>
      </c>
      <c r="HN18" s="10">
        <f t="shared" ref="HN18" si="1278">$B18/$B$31*$D18*HO$31</f>
        <v>0</v>
      </c>
      <c r="HO18" s="10">
        <f t="shared" si="196"/>
        <v>0</v>
      </c>
      <c r="HP18" s="10">
        <f t="shared" ref="HP18" si="1279">$B18/$B$31*$D18*HQ$31</f>
        <v>0</v>
      </c>
      <c r="HQ18" s="10">
        <f t="shared" si="198"/>
        <v>0</v>
      </c>
      <c r="HR18" s="10">
        <f t="shared" ref="HR18" si="1280">$B18/$B$31*$D18*HS$31</f>
        <v>0</v>
      </c>
      <c r="HS18" s="10">
        <f t="shared" si="200"/>
        <v>0</v>
      </c>
      <c r="HT18" s="10">
        <f t="shared" ref="HT18" si="1281">$B18/$B$31*$D18*HU$31</f>
        <v>0</v>
      </c>
      <c r="HU18" s="10">
        <f t="shared" si="202"/>
        <v>0</v>
      </c>
      <c r="HV18" s="10"/>
      <c r="HW18" s="10"/>
      <c r="HX18" s="10"/>
    </row>
    <row r="19" spans="1:232" x14ac:dyDescent="0.3">
      <c r="A19" s="18">
        <f>参数调整!A19</f>
        <v>16</v>
      </c>
      <c r="B19" s="170">
        <f>参数调整!B19</f>
        <v>20</v>
      </c>
      <c r="C19" s="10">
        <f>参数调整!F19</f>
        <v>3.7</v>
      </c>
      <c r="D19" s="10">
        <f>参数调整!G19</f>
        <v>3.7</v>
      </c>
      <c r="E19" s="15">
        <f>基本属性!B19</f>
        <v>190</v>
      </c>
      <c r="F19" s="15">
        <f>基本属性!C19</f>
        <v>9</v>
      </c>
      <c r="G19" s="271"/>
      <c r="H19" s="10">
        <f t="shared" si="45"/>
        <v>67487460100.319199</v>
      </c>
      <c r="I19" s="188">
        <f t="shared" si="0"/>
        <v>67487460100.319199</v>
      </c>
      <c r="J19" s="10">
        <f t="shared" si="1"/>
        <v>2791408.2526735892</v>
      </c>
      <c r="K19" s="10">
        <f t="shared" si="2"/>
        <v>2791408.2526735892</v>
      </c>
      <c r="L19" s="10">
        <f t="shared" si="46"/>
        <v>37.164327342915499</v>
      </c>
      <c r="M19" s="10">
        <f t="shared" si="47"/>
        <v>37.164327342915499</v>
      </c>
      <c r="N19" s="10">
        <f t="shared" si="48"/>
        <v>270.35476516187873</v>
      </c>
      <c r="O19" s="10">
        <f t="shared" si="49"/>
        <v>270.35476516187873</v>
      </c>
      <c r="P19" s="10">
        <f t="shared" si="3"/>
        <v>5207.7823377412979</v>
      </c>
      <c r="Q19" s="10">
        <f t="shared" si="4"/>
        <v>5207.7823377412979</v>
      </c>
      <c r="R19" s="10">
        <f t="shared" si="5"/>
        <v>16.466940264477884</v>
      </c>
      <c r="S19" s="10">
        <f t="shared" si="6"/>
        <v>16.466940264477884</v>
      </c>
      <c r="T19" s="10">
        <f t="shared" si="7"/>
        <v>24.589695674591464</v>
      </c>
      <c r="U19" s="10">
        <f t="shared" si="8"/>
        <v>24.589695674591464</v>
      </c>
      <c r="V19" s="10">
        <f t="shared" si="9"/>
        <v>24.589695674591464</v>
      </c>
      <c r="W19" s="10">
        <f t="shared" si="10"/>
        <v>24.589695674591464</v>
      </c>
      <c r="X19" s="10">
        <f t="shared" si="11"/>
        <v>24.589695674591464</v>
      </c>
      <c r="Y19" s="10">
        <f t="shared" si="12"/>
        <v>24.589695674591464</v>
      </c>
      <c r="Z19" s="10">
        <f t="shared" si="13"/>
        <v>24.589695674591464</v>
      </c>
      <c r="AA19" s="10">
        <f t="shared" si="14"/>
        <v>24.589695674591464</v>
      </c>
      <c r="AB19" s="10">
        <f t="shared" si="15"/>
        <v>630.33287733698137</v>
      </c>
      <c r="AC19" s="10">
        <f t="shared" si="16"/>
        <v>630.33287733698137</v>
      </c>
      <c r="AD19" s="10">
        <f t="shared" si="17"/>
        <v>188.831989897927</v>
      </c>
      <c r="AE19" s="10">
        <f t="shared" si="18"/>
        <v>188.831989897927</v>
      </c>
      <c r="AF19" s="10">
        <f t="shared" si="19"/>
        <v>94.415994948963501</v>
      </c>
      <c r="AG19" s="10">
        <f t="shared" si="20"/>
        <v>94.415994948963501</v>
      </c>
      <c r="AH19" s="10">
        <f t="shared" si="21"/>
        <v>18.8831989897927</v>
      </c>
      <c r="AI19" s="10">
        <f t="shared" si="22"/>
        <v>18.8831989897927</v>
      </c>
      <c r="AJ19" s="10">
        <f t="shared" si="23"/>
        <v>215.80107829725597</v>
      </c>
      <c r="AK19" s="10">
        <f t="shared" si="24"/>
        <v>215.80107829725597</v>
      </c>
      <c r="AL19" s="10">
        <f t="shared" si="25"/>
        <v>107.90053914862798</v>
      </c>
      <c r="AM19" s="10">
        <f t="shared" si="26"/>
        <v>107.90053914862798</v>
      </c>
      <c r="AN19" s="10">
        <f t="shared" si="27"/>
        <v>21.580107829725598</v>
      </c>
      <c r="AO19" s="10">
        <f t="shared" si="28"/>
        <v>21.580107829725598</v>
      </c>
      <c r="AP19" s="10">
        <f t="shared" si="29"/>
        <v>10.238433572451898</v>
      </c>
      <c r="AQ19" s="10">
        <f t="shared" si="30"/>
        <v>10.238433572451898</v>
      </c>
      <c r="AR19" s="10">
        <f t="shared" si="31"/>
        <v>0.13514300851969274</v>
      </c>
      <c r="AS19" s="10">
        <f t="shared" si="32"/>
        <v>0.13514300851969274</v>
      </c>
      <c r="AT19" s="10">
        <f t="shared" si="33"/>
        <v>0.13514300851969274</v>
      </c>
      <c r="AU19" s="10">
        <f t="shared" si="34"/>
        <v>0.13514300851969274</v>
      </c>
      <c r="AV19" s="10">
        <f t="shared" si="35"/>
        <v>1.2162870766772345</v>
      </c>
      <c r="AW19" s="10">
        <f t="shared" si="36"/>
        <v>1.2162870766772345</v>
      </c>
      <c r="AX19" s="10">
        <f t="shared" si="37"/>
        <v>3.7164327342915504</v>
      </c>
      <c r="AY19" s="10">
        <f t="shared" si="38"/>
        <v>3.7164327342915504</v>
      </c>
      <c r="AZ19" s="10">
        <f t="shared" si="39"/>
        <v>0.33785752129923186</v>
      </c>
      <c r="BA19" s="10">
        <f t="shared" si="40"/>
        <v>0.33785752129923186</v>
      </c>
      <c r="BB19" s="10">
        <f t="shared" si="41"/>
        <v>0.33785752129923186</v>
      </c>
      <c r="BC19" s="10">
        <f t="shared" si="42"/>
        <v>0.33785752129923186</v>
      </c>
      <c r="BD19" s="10">
        <f t="shared" si="43"/>
        <v>1.3514300851969274</v>
      </c>
      <c r="BE19" s="10">
        <f t="shared" si="44"/>
        <v>1.3514300851969274</v>
      </c>
      <c r="BF19" s="10">
        <f t="shared" si="50"/>
        <v>1.6892876064961593</v>
      </c>
      <c r="BG19" s="10">
        <f t="shared" si="51"/>
        <v>1.6892876064961593</v>
      </c>
      <c r="BH19" s="10">
        <f t="shared" si="52"/>
        <v>0</v>
      </c>
      <c r="BI19" s="10">
        <f t="shared" si="53"/>
        <v>0</v>
      </c>
      <c r="BJ19" s="10">
        <f t="shared" si="52"/>
        <v>0</v>
      </c>
      <c r="BK19" s="10">
        <f t="shared" si="53"/>
        <v>0</v>
      </c>
      <c r="BL19" s="10">
        <f t="shared" ref="BL19" si="1282">$B19/$B$31*$D19*BM$31</f>
        <v>0</v>
      </c>
      <c r="BM19" s="10">
        <f t="shared" si="53"/>
        <v>0</v>
      </c>
      <c r="BN19" s="10">
        <f t="shared" ref="BN19" si="1283">$B19/$B$31*$D19*BO$31</f>
        <v>0</v>
      </c>
      <c r="BO19" s="10">
        <f t="shared" si="53"/>
        <v>0</v>
      </c>
      <c r="BP19" s="10">
        <f t="shared" ref="BP19" si="1284">$B19/$B$31*$D19*BQ$31</f>
        <v>0</v>
      </c>
      <c r="BQ19" s="10">
        <f t="shared" si="53"/>
        <v>0</v>
      </c>
      <c r="BR19" s="10">
        <f t="shared" ref="BR19" si="1285">$B19/$B$31*$D19*BS$31</f>
        <v>0</v>
      </c>
      <c r="BS19" s="10">
        <f t="shared" si="53"/>
        <v>0</v>
      </c>
      <c r="BT19" s="10">
        <f t="shared" ref="BT19" si="1286">$B19/$B$31*$D19*BU$31</f>
        <v>0</v>
      </c>
      <c r="BU19" s="10">
        <f t="shared" si="53"/>
        <v>0</v>
      </c>
      <c r="BV19" s="10">
        <f t="shared" ref="BV19" si="1287">$B19/$B$31*$D19*BW$31</f>
        <v>0</v>
      </c>
      <c r="BW19" s="10">
        <f t="shared" si="53"/>
        <v>0</v>
      </c>
      <c r="BX19" s="10">
        <f t="shared" ref="BX19" si="1288">$B19/$B$31*$D19*BY$31</f>
        <v>0</v>
      </c>
      <c r="BY19" s="10">
        <f t="shared" si="53"/>
        <v>0</v>
      </c>
      <c r="BZ19" s="10">
        <f t="shared" ref="BZ19" si="1289">$B19/$B$31*$D19*CA$31</f>
        <v>0</v>
      </c>
      <c r="CA19" s="10">
        <f t="shared" si="53"/>
        <v>0</v>
      </c>
      <c r="CB19" s="10">
        <f t="shared" ref="CB19" si="1290">$B19/$B$31*$D19*CC$31</f>
        <v>0</v>
      </c>
      <c r="CC19" s="10">
        <f t="shared" si="63"/>
        <v>0</v>
      </c>
      <c r="CD19" s="10">
        <f t="shared" ref="CD19" si="1291">$B19/$B$31*$D19*CE$31</f>
        <v>0</v>
      </c>
      <c r="CE19" s="10">
        <f t="shared" si="65"/>
        <v>0</v>
      </c>
      <c r="CF19" s="10">
        <f t="shared" ref="CF19" si="1292">$B19/$B$31*$D19*CG$31</f>
        <v>0</v>
      </c>
      <c r="CG19" s="10">
        <f t="shared" si="67"/>
        <v>0</v>
      </c>
      <c r="CH19" s="10">
        <f t="shared" ref="CH19" si="1293">$B19/$B$31*$D19*CI$31</f>
        <v>0</v>
      </c>
      <c r="CI19" s="10">
        <f t="shared" si="69"/>
        <v>0</v>
      </c>
      <c r="CJ19" s="10">
        <f t="shared" ref="CJ19" si="1294">$B19/$B$31*$D19*CK$31</f>
        <v>0</v>
      </c>
      <c r="CK19" s="10">
        <f t="shared" si="71"/>
        <v>0</v>
      </c>
      <c r="CL19" s="10">
        <f t="shared" ref="CL19" si="1295">$B19/$B$31*$D19*CM$31</f>
        <v>0</v>
      </c>
      <c r="CM19" s="10">
        <f t="shared" si="73"/>
        <v>0</v>
      </c>
      <c r="CN19" s="10">
        <f t="shared" ref="CN19" si="1296">$B19/$B$31*$D19*CO$31</f>
        <v>0</v>
      </c>
      <c r="CO19" s="10">
        <f t="shared" si="75"/>
        <v>0</v>
      </c>
      <c r="CP19" s="10">
        <f t="shared" ref="CP19" si="1297">$B19/$B$31*$D19*CQ$31</f>
        <v>0</v>
      </c>
      <c r="CQ19" s="10">
        <f t="shared" si="77"/>
        <v>0</v>
      </c>
      <c r="CR19" s="10">
        <f t="shared" ref="CR19" si="1298">$B19/$B$31*$D19*CS$31</f>
        <v>0</v>
      </c>
      <c r="CS19" s="10">
        <f t="shared" si="79"/>
        <v>0</v>
      </c>
      <c r="CT19" s="10">
        <f t="shared" ref="CT19" si="1299">$B19/$B$31*$D19*CU$31</f>
        <v>0</v>
      </c>
      <c r="CU19" s="10">
        <f t="shared" si="81"/>
        <v>0</v>
      </c>
      <c r="CV19" s="10">
        <f t="shared" ref="CV19" si="1300">$B19/$B$31*$D19*CW$31</f>
        <v>0</v>
      </c>
      <c r="CW19" s="10">
        <f t="shared" si="83"/>
        <v>0</v>
      </c>
      <c r="CX19" s="10">
        <f t="shared" ref="CX19" si="1301">$B19/$B$31*$D19*CY$31</f>
        <v>0</v>
      </c>
      <c r="CY19" s="10">
        <f t="shared" si="85"/>
        <v>0</v>
      </c>
      <c r="CZ19" s="10">
        <f t="shared" ref="CZ19" si="1302">$B19/$B$31*$D19*DA$31</f>
        <v>0</v>
      </c>
      <c r="DA19" s="10">
        <f t="shared" si="87"/>
        <v>0</v>
      </c>
      <c r="DB19" s="10">
        <f t="shared" ref="DB19" si="1303">$B19/$B$31*$D19*DC$31</f>
        <v>0</v>
      </c>
      <c r="DC19" s="10">
        <f t="shared" si="89"/>
        <v>0</v>
      </c>
      <c r="DD19" s="10">
        <f t="shared" ref="DD19" si="1304">$B19/$B$31*$D19*DE$31</f>
        <v>0</v>
      </c>
      <c r="DE19" s="10">
        <f t="shared" si="91"/>
        <v>0</v>
      </c>
      <c r="DF19" s="10">
        <f t="shared" ref="DF19" si="1305">$B19/$B$31*$D19*DG$31</f>
        <v>0</v>
      </c>
      <c r="DG19" s="10">
        <f t="shared" si="93"/>
        <v>0</v>
      </c>
      <c r="DH19" s="10">
        <f t="shared" ref="DH19" si="1306">$B19/$B$31*$D19*DI$31</f>
        <v>0</v>
      </c>
      <c r="DI19" s="10">
        <f t="shared" si="95"/>
        <v>0</v>
      </c>
      <c r="DJ19" s="10">
        <f t="shared" ref="DJ19" si="1307">$B19/$B$31*$D19*DK$31</f>
        <v>0</v>
      </c>
      <c r="DK19" s="10">
        <f t="shared" si="97"/>
        <v>0</v>
      </c>
      <c r="DL19" s="10">
        <f t="shared" ref="DL19" si="1308">$B19/$B$31*$D19*DM$31</f>
        <v>0</v>
      </c>
      <c r="DM19" s="10">
        <f t="shared" si="99"/>
        <v>0</v>
      </c>
      <c r="DN19" s="10">
        <f t="shared" ref="DN19" si="1309">$B19/$B$31*$D19*DO$31</f>
        <v>0</v>
      </c>
      <c r="DO19" s="10">
        <f t="shared" si="101"/>
        <v>0</v>
      </c>
      <c r="DP19" s="10">
        <f t="shared" ref="DP19" si="1310">$B19/$B$31*$D19*DQ$31</f>
        <v>0</v>
      </c>
      <c r="DQ19" s="10">
        <f t="shared" si="103"/>
        <v>0</v>
      </c>
      <c r="DR19" s="10">
        <f t="shared" ref="DR19" si="1311">$B19/$B$31*$D19*DS$31</f>
        <v>0</v>
      </c>
      <c r="DS19" s="10">
        <f t="shared" si="105"/>
        <v>0</v>
      </c>
      <c r="DT19" s="10">
        <f t="shared" ref="DT19" si="1312">$B19/$B$31*$D19*DU$31</f>
        <v>0</v>
      </c>
      <c r="DU19" s="10">
        <f t="shared" si="107"/>
        <v>0</v>
      </c>
      <c r="DV19" s="10">
        <f t="shared" ref="DV19" si="1313">$B19/$B$31*$D19*DW$31</f>
        <v>0</v>
      </c>
      <c r="DW19" s="10">
        <f t="shared" si="109"/>
        <v>0</v>
      </c>
      <c r="DX19" s="10">
        <f t="shared" ref="DX19" si="1314">$B19/$B$31*$D19*DY$31</f>
        <v>0</v>
      </c>
      <c r="DY19" s="10">
        <f t="shared" si="111"/>
        <v>0</v>
      </c>
      <c r="DZ19" s="10">
        <f t="shared" ref="DZ19" si="1315">$B19/$B$31*$D19*EA$31</f>
        <v>0</v>
      </c>
      <c r="EA19" s="10">
        <f t="shared" si="113"/>
        <v>0</v>
      </c>
      <c r="EB19" s="10">
        <f t="shared" ref="EB19" si="1316">$B19/$B$31*$D19*EC$31</f>
        <v>0</v>
      </c>
      <c r="EC19" s="10">
        <f t="shared" si="115"/>
        <v>0</v>
      </c>
      <c r="ED19" s="10">
        <f t="shared" ref="ED19" si="1317">$B19/$B$31*$D19*EE$31</f>
        <v>0</v>
      </c>
      <c r="EE19" s="10">
        <f t="shared" si="117"/>
        <v>0</v>
      </c>
      <c r="EF19" s="10">
        <f t="shared" ref="EF19" si="1318">$B19/$B$31*$D19*EG$31</f>
        <v>0</v>
      </c>
      <c r="EG19" s="10">
        <f t="shared" si="119"/>
        <v>0</v>
      </c>
      <c r="EH19" s="10">
        <f t="shared" ref="EH19" si="1319">$B19/$B$31*$D19*EI$31</f>
        <v>0</v>
      </c>
      <c r="EI19" s="10">
        <f t="shared" si="121"/>
        <v>0</v>
      </c>
      <c r="EJ19" s="10">
        <f t="shared" ref="EJ19" si="1320">$B19/$B$31*$D19*EK$31</f>
        <v>0</v>
      </c>
      <c r="EK19" s="10">
        <f t="shared" si="123"/>
        <v>0</v>
      </c>
      <c r="EL19" s="10">
        <f t="shared" ref="EL19" si="1321">$B19/$B$31*$D19*EM$31</f>
        <v>0</v>
      </c>
      <c r="EM19" s="10">
        <f t="shared" si="125"/>
        <v>0</v>
      </c>
      <c r="EN19" s="10">
        <f t="shared" ref="EN19" si="1322">$B19/$B$31*$D19*EO$31</f>
        <v>0</v>
      </c>
      <c r="EO19" s="10">
        <f t="shared" si="127"/>
        <v>0</v>
      </c>
      <c r="EP19" s="10">
        <f t="shared" ref="EP19" si="1323">$B19/$B$31*$D19*EQ$31</f>
        <v>0</v>
      </c>
      <c r="EQ19" s="10">
        <f t="shared" si="129"/>
        <v>0</v>
      </c>
      <c r="ER19" s="10">
        <f t="shared" ref="ER19" si="1324">$B19/$B$31*$D19*ES$31</f>
        <v>0</v>
      </c>
      <c r="ES19" s="10">
        <f t="shared" si="131"/>
        <v>0</v>
      </c>
      <c r="ET19" s="10">
        <f t="shared" ref="ET19" si="1325">$B19/$B$31*$D19*EU$31</f>
        <v>0</v>
      </c>
      <c r="EU19" s="10">
        <f t="shared" si="133"/>
        <v>0</v>
      </c>
      <c r="EV19" s="10">
        <f t="shared" ref="EV19" si="1326">$B19/$B$31*$D19*EW$31</f>
        <v>0</v>
      </c>
      <c r="EW19" s="10">
        <f t="shared" si="133"/>
        <v>0</v>
      </c>
      <c r="EX19" s="10">
        <f t="shared" ref="EX19" si="1327">$B19/$B$31*$D19*EY$31</f>
        <v>0</v>
      </c>
      <c r="EY19" s="10">
        <f t="shared" si="133"/>
        <v>0</v>
      </c>
      <c r="EZ19" s="10">
        <f t="shared" ref="EZ19" si="1328">$B19/$B$31*$D19*FA$31</f>
        <v>0</v>
      </c>
      <c r="FA19" s="10">
        <f t="shared" si="133"/>
        <v>0</v>
      </c>
      <c r="FB19" s="10">
        <f t="shared" ref="FB19" si="1329">$B19/$B$31*$D19*FC$31</f>
        <v>0</v>
      </c>
      <c r="FC19" s="10">
        <f t="shared" si="133"/>
        <v>0</v>
      </c>
      <c r="FD19" s="10">
        <f t="shared" ref="FD19" si="1330">$B19/$B$31*$D19*FE$31</f>
        <v>0</v>
      </c>
      <c r="FE19" s="10">
        <f t="shared" si="133"/>
        <v>0</v>
      </c>
      <c r="FF19" s="10">
        <f t="shared" ref="FF19" si="1331">$B19/$B$31*$D19*FG$31</f>
        <v>0</v>
      </c>
      <c r="FG19" s="10">
        <f t="shared" si="133"/>
        <v>0</v>
      </c>
      <c r="FH19" s="10">
        <f t="shared" ref="FH19" si="1332">$B19/$B$31*$D19*FI$31</f>
        <v>0</v>
      </c>
      <c r="FI19" s="10">
        <f t="shared" si="133"/>
        <v>0</v>
      </c>
      <c r="FJ19" s="10">
        <f t="shared" ref="FJ19" si="1333">$B19/$B$31*$D19*FK$31</f>
        <v>0</v>
      </c>
      <c r="FK19" s="10">
        <f t="shared" si="133"/>
        <v>0</v>
      </c>
      <c r="FL19" s="10">
        <f t="shared" ref="FL19" si="1334">$B19/$B$31*$D19*FM$31</f>
        <v>0</v>
      </c>
      <c r="FM19" s="10">
        <f t="shared" si="133"/>
        <v>0</v>
      </c>
      <c r="FN19" s="10">
        <f t="shared" ref="FN19" si="1335">$B19/$B$31*$D19*FO$31</f>
        <v>0</v>
      </c>
      <c r="FO19" s="10">
        <f t="shared" si="144"/>
        <v>0</v>
      </c>
      <c r="FP19" s="10">
        <f t="shared" ref="FP19" si="1336">$B19/$B$31*$D19*FQ$31</f>
        <v>0</v>
      </c>
      <c r="FQ19" s="10">
        <f t="shared" si="146"/>
        <v>0</v>
      </c>
      <c r="FR19" s="10">
        <f t="shared" ref="FR19" si="1337">$B19/$B$31*$D19*FS$31</f>
        <v>0</v>
      </c>
      <c r="FS19" s="10">
        <f t="shared" si="148"/>
        <v>0</v>
      </c>
      <c r="FT19" s="10">
        <f t="shared" ref="FT19" si="1338">$B19/$B$31*$D19*FU$31</f>
        <v>0</v>
      </c>
      <c r="FU19" s="10">
        <f t="shared" si="150"/>
        <v>0</v>
      </c>
      <c r="FV19" s="10">
        <f t="shared" ref="FV19" si="1339">$B19/$B$31*$D19*FW$31</f>
        <v>0</v>
      </c>
      <c r="FW19" s="10">
        <f t="shared" si="152"/>
        <v>0</v>
      </c>
      <c r="FX19" s="10">
        <f t="shared" ref="FX19" si="1340">$B19/$B$31*$D19*FY$31</f>
        <v>0</v>
      </c>
      <c r="FY19" s="10">
        <f t="shared" si="154"/>
        <v>0</v>
      </c>
      <c r="FZ19" s="10">
        <f t="shared" ref="FZ19" si="1341">$B19/$B$31*$D19*GA$31</f>
        <v>0</v>
      </c>
      <c r="GA19" s="10">
        <f t="shared" si="156"/>
        <v>0</v>
      </c>
      <c r="GB19" s="10">
        <f t="shared" ref="GB19" si="1342">$B19/$B$31*$D19*GC$31</f>
        <v>0</v>
      </c>
      <c r="GC19" s="10">
        <f t="shared" si="158"/>
        <v>0</v>
      </c>
      <c r="GD19" s="10">
        <f t="shared" ref="GD19" si="1343">$B19/$B$31*$D19*GE$31</f>
        <v>0</v>
      </c>
      <c r="GE19" s="10">
        <f t="shared" si="160"/>
        <v>0</v>
      </c>
      <c r="GF19" s="10">
        <f t="shared" ref="GF19" si="1344">$B19/$B$31*$D19*GG$31</f>
        <v>0</v>
      </c>
      <c r="GG19" s="10">
        <f t="shared" si="162"/>
        <v>0</v>
      </c>
      <c r="GH19" s="10">
        <f t="shared" ref="GH19" si="1345">$B19/$B$31*$D19*GI$31</f>
        <v>0</v>
      </c>
      <c r="GI19" s="10">
        <f t="shared" si="164"/>
        <v>0</v>
      </c>
      <c r="GJ19" s="10">
        <f t="shared" ref="GJ19" si="1346">$B19/$B$31*$D19*GK$31</f>
        <v>0</v>
      </c>
      <c r="GK19" s="10">
        <f t="shared" si="166"/>
        <v>0</v>
      </c>
      <c r="GL19" s="10">
        <f t="shared" ref="GL19" si="1347">$B19/$B$31*$D19*GM$31</f>
        <v>0</v>
      </c>
      <c r="GM19" s="10">
        <f t="shared" si="168"/>
        <v>0</v>
      </c>
      <c r="GN19" s="10">
        <f t="shared" ref="GN19" si="1348">$B19/$B$31*$D19*GO$31</f>
        <v>0</v>
      </c>
      <c r="GO19" s="10">
        <f t="shared" si="170"/>
        <v>0</v>
      </c>
      <c r="GP19" s="10">
        <f t="shared" ref="GP19" si="1349">$B19/$B$31*$D19*GQ$31</f>
        <v>0</v>
      </c>
      <c r="GQ19" s="10">
        <f t="shared" si="172"/>
        <v>0</v>
      </c>
      <c r="GR19" s="10">
        <f t="shared" ref="GR19" si="1350">$B19/$B$31*$D19*GS$31</f>
        <v>0</v>
      </c>
      <c r="GS19" s="10">
        <f t="shared" si="174"/>
        <v>0</v>
      </c>
      <c r="GT19" s="10">
        <f t="shared" ref="GT19" si="1351">$B19/$B$31*$D19*GU$31</f>
        <v>0</v>
      </c>
      <c r="GU19" s="10">
        <f t="shared" si="176"/>
        <v>0</v>
      </c>
      <c r="GV19" s="10">
        <f t="shared" ref="GV19" si="1352">$B19/$B$31*$D19*GW$31</f>
        <v>0</v>
      </c>
      <c r="GW19" s="10">
        <f t="shared" si="178"/>
        <v>0</v>
      </c>
      <c r="GX19" s="10">
        <f t="shared" ref="GX19" si="1353">$B19/$B$31*$D19*GY$31</f>
        <v>0</v>
      </c>
      <c r="GY19" s="10">
        <f t="shared" si="180"/>
        <v>0</v>
      </c>
      <c r="GZ19" s="10">
        <f t="shared" ref="GZ19" si="1354">$B19/$B$31*$D19*HA$31</f>
        <v>0</v>
      </c>
      <c r="HA19" s="10">
        <f t="shared" si="182"/>
        <v>0</v>
      </c>
      <c r="HB19" s="10">
        <f t="shared" ref="HB19" si="1355">$B19/$B$31*$D19*HC$31</f>
        <v>0</v>
      </c>
      <c r="HC19" s="10">
        <f t="shared" si="184"/>
        <v>0</v>
      </c>
      <c r="HD19" s="10">
        <f t="shared" ref="HD19" si="1356">$B19/$B$31*$D19*HE$31</f>
        <v>0</v>
      </c>
      <c r="HE19" s="10">
        <f t="shared" si="186"/>
        <v>0</v>
      </c>
      <c r="HF19" s="10">
        <f t="shared" ref="HF19" si="1357">$B19/$B$31*$D19*HG$31</f>
        <v>0</v>
      </c>
      <c r="HG19" s="10">
        <f t="shared" si="188"/>
        <v>0</v>
      </c>
      <c r="HH19" s="10">
        <f t="shared" ref="HH19" si="1358">$B19/$B$31*$D19*HI$31</f>
        <v>0</v>
      </c>
      <c r="HI19" s="10">
        <f t="shared" si="190"/>
        <v>0</v>
      </c>
      <c r="HJ19" s="10">
        <f t="shared" ref="HJ19" si="1359">$B19/$B$31*$D19*HK$31</f>
        <v>0</v>
      </c>
      <c r="HK19" s="10">
        <f t="shared" si="192"/>
        <v>0</v>
      </c>
      <c r="HL19" s="10">
        <f t="shared" ref="HL19" si="1360">$B19/$B$31*$D19*HM$31</f>
        <v>0</v>
      </c>
      <c r="HM19" s="10">
        <f t="shared" si="194"/>
        <v>0</v>
      </c>
      <c r="HN19" s="10">
        <f t="shared" ref="HN19" si="1361">$B19/$B$31*$D19*HO$31</f>
        <v>0</v>
      </c>
      <c r="HO19" s="10">
        <f t="shared" si="196"/>
        <v>0</v>
      </c>
      <c r="HP19" s="10">
        <f t="shared" ref="HP19" si="1362">$B19/$B$31*$D19*HQ$31</f>
        <v>0</v>
      </c>
      <c r="HQ19" s="10">
        <f t="shared" si="198"/>
        <v>0</v>
      </c>
      <c r="HR19" s="10">
        <f t="shared" ref="HR19" si="1363">$B19/$B$31*$D19*HS$31</f>
        <v>0</v>
      </c>
      <c r="HS19" s="10">
        <f t="shared" si="200"/>
        <v>0</v>
      </c>
      <c r="HT19" s="10">
        <f t="shared" ref="HT19" si="1364">$B19/$B$31*$D19*HU$31</f>
        <v>0</v>
      </c>
      <c r="HU19" s="10">
        <f t="shared" si="202"/>
        <v>0</v>
      </c>
      <c r="HV19" s="10"/>
      <c r="HW19" s="10"/>
      <c r="HX19" s="10"/>
    </row>
    <row r="20" spans="1:232" x14ac:dyDescent="0.3">
      <c r="A20" s="18">
        <f>参数调整!A20</f>
        <v>17</v>
      </c>
      <c r="B20" s="170">
        <f>参数调整!B20</f>
        <v>20</v>
      </c>
      <c r="C20" s="10">
        <f>参数调整!F20</f>
        <v>4</v>
      </c>
      <c r="D20" s="10">
        <f>参数调整!G20</f>
        <v>4</v>
      </c>
      <c r="E20" s="15">
        <f>基本属性!B20</f>
        <v>200</v>
      </c>
      <c r="F20" s="15">
        <f>基本属性!C20</f>
        <v>10</v>
      </c>
      <c r="G20" s="271"/>
      <c r="H20" s="188">
        <f t="shared" si="45"/>
        <v>72959416324.669403</v>
      </c>
      <c r="I20" s="188">
        <f t="shared" si="0"/>
        <v>72959416324.669403</v>
      </c>
      <c r="J20" s="10">
        <f t="shared" si="1"/>
        <v>3017738.6515390156</v>
      </c>
      <c r="K20" s="10">
        <f t="shared" si="2"/>
        <v>3017738.6515390156</v>
      </c>
      <c r="L20" s="10">
        <f t="shared" si="46"/>
        <v>40.177651181530273</v>
      </c>
      <c r="M20" s="10">
        <f t="shared" si="47"/>
        <v>40.177651181530273</v>
      </c>
      <c r="N20" s="10">
        <f t="shared" si="48"/>
        <v>292.27542179662566</v>
      </c>
      <c r="O20" s="10">
        <f t="shared" si="49"/>
        <v>292.27542179662566</v>
      </c>
      <c r="P20" s="10">
        <f t="shared" si="3"/>
        <v>5630.0349597203221</v>
      </c>
      <c r="Q20" s="10">
        <f t="shared" si="4"/>
        <v>5630.0349597203221</v>
      </c>
      <c r="R20" s="10">
        <f t="shared" si="5"/>
        <v>17.802097583219336</v>
      </c>
      <c r="S20" s="10">
        <f t="shared" si="6"/>
        <v>17.802097583219336</v>
      </c>
      <c r="T20" s="10">
        <f t="shared" si="7"/>
        <v>26.583454783342123</v>
      </c>
      <c r="U20" s="10">
        <f t="shared" si="8"/>
        <v>26.583454783342123</v>
      </c>
      <c r="V20" s="10">
        <f t="shared" si="9"/>
        <v>26.583454783342123</v>
      </c>
      <c r="W20" s="10">
        <f t="shared" si="10"/>
        <v>26.583454783342123</v>
      </c>
      <c r="X20" s="10">
        <f t="shared" si="11"/>
        <v>26.583454783342123</v>
      </c>
      <c r="Y20" s="10">
        <f t="shared" si="12"/>
        <v>26.583454783342123</v>
      </c>
      <c r="Z20" s="10">
        <f t="shared" si="13"/>
        <v>26.583454783342123</v>
      </c>
      <c r="AA20" s="10">
        <f t="shared" si="14"/>
        <v>26.583454783342123</v>
      </c>
      <c r="AB20" s="10">
        <f t="shared" si="15"/>
        <v>681.44094847241229</v>
      </c>
      <c r="AC20" s="10">
        <f t="shared" si="16"/>
        <v>681.44094847241229</v>
      </c>
      <c r="AD20" s="10">
        <f t="shared" si="17"/>
        <v>204.14269178154268</v>
      </c>
      <c r="AE20" s="10">
        <f t="shared" si="18"/>
        <v>204.14269178154268</v>
      </c>
      <c r="AF20" s="10">
        <f t="shared" si="19"/>
        <v>102.07134589077134</v>
      </c>
      <c r="AG20" s="10">
        <f t="shared" si="20"/>
        <v>102.07134589077134</v>
      </c>
      <c r="AH20" s="10">
        <f t="shared" si="21"/>
        <v>20.414269178154267</v>
      </c>
      <c r="AI20" s="10">
        <f t="shared" si="22"/>
        <v>20.414269178154267</v>
      </c>
      <c r="AJ20" s="10">
        <f t="shared" si="23"/>
        <v>233.29846302406051</v>
      </c>
      <c r="AK20" s="10">
        <f t="shared" si="24"/>
        <v>233.29846302406051</v>
      </c>
      <c r="AL20" s="10">
        <f t="shared" si="25"/>
        <v>116.64923151203025</v>
      </c>
      <c r="AM20" s="10">
        <f t="shared" si="26"/>
        <v>116.64923151203025</v>
      </c>
      <c r="AN20" s="10">
        <f t="shared" si="27"/>
        <v>23.32984630240605</v>
      </c>
      <c r="AO20" s="10">
        <f t="shared" si="28"/>
        <v>23.32984630240605</v>
      </c>
      <c r="AP20" s="10">
        <f t="shared" si="29"/>
        <v>11.068576835083134</v>
      </c>
      <c r="AQ20" s="10">
        <f t="shared" si="30"/>
        <v>11.068576835083134</v>
      </c>
      <c r="AR20" s="10">
        <f t="shared" si="31"/>
        <v>0.14610054975101919</v>
      </c>
      <c r="AS20" s="10">
        <f t="shared" si="32"/>
        <v>0.14610054975101919</v>
      </c>
      <c r="AT20" s="10">
        <f t="shared" si="33"/>
        <v>0.14610054975101919</v>
      </c>
      <c r="AU20" s="10">
        <f t="shared" si="34"/>
        <v>0.14610054975101919</v>
      </c>
      <c r="AV20" s="10">
        <f t="shared" si="35"/>
        <v>1.3149049477591725</v>
      </c>
      <c r="AW20" s="10">
        <f t="shared" si="36"/>
        <v>1.3149049477591725</v>
      </c>
      <c r="AX20" s="10">
        <f t="shared" si="37"/>
        <v>4.0177651181530276</v>
      </c>
      <c r="AY20" s="10">
        <f t="shared" si="38"/>
        <v>4.0177651181530276</v>
      </c>
      <c r="AZ20" s="10">
        <f t="shared" si="39"/>
        <v>0.36525137437754795</v>
      </c>
      <c r="BA20" s="10">
        <f t="shared" si="40"/>
        <v>0.36525137437754795</v>
      </c>
      <c r="BB20" s="10">
        <f t="shared" si="41"/>
        <v>0.36525137437754795</v>
      </c>
      <c r="BC20" s="10">
        <f t="shared" si="42"/>
        <v>0.36525137437754795</v>
      </c>
      <c r="BD20" s="10">
        <f t="shared" si="43"/>
        <v>1.4610054975101918</v>
      </c>
      <c r="BE20" s="10">
        <f t="shared" si="44"/>
        <v>1.4610054975101918</v>
      </c>
      <c r="BF20" s="10">
        <f t="shared" si="50"/>
        <v>1.8262568718877399</v>
      </c>
      <c r="BG20" s="10">
        <f t="shared" si="51"/>
        <v>1.8262568718877399</v>
      </c>
      <c r="BH20" s="10">
        <f t="shared" si="52"/>
        <v>0</v>
      </c>
      <c r="BI20" s="10">
        <f t="shared" si="53"/>
        <v>0</v>
      </c>
      <c r="BJ20" s="10">
        <f t="shared" si="52"/>
        <v>0</v>
      </c>
      <c r="BK20" s="10">
        <f t="shared" si="53"/>
        <v>0</v>
      </c>
      <c r="BL20" s="10">
        <f t="shared" ref="BL20" si="1365">$B20/$B$31*$D20*BM$31</f>
        <v>0</v>
      </c>
      <c r="BM20" s="10">
        <f t="shared" si="53"/>
        <v>0</v>
      </c>
      <c r="BN20" s="10">
        <f t="shared" ref="BN20" si="1366">$B20/$B$31*$D20*BO$31</f>
        <v>0</v>
      </c>
      <c r="BO20" s="10">
        <f t="shared" si="53"/>
        <v>0</v>
      </c>
      <c r="BP20" s="10">
        <f t="shared" ref="BP20" si="1367">$B20/$B$31*$D20*BQ$31</f>
        <v>0</v>
      </c>
      <c r="BQ20" s="10">
        <f t="shared" si="53"/>
        <v>0</v>
      </c>
      <c r="BR20" s="10">
        <f t="shared" ref="BR20" si="1368">$B20/$B$31*$D20*BS$31</f>
        <v>0</v>
      </c>
      <c r="BS20" s="10">
        <f t="shared" si="53"/>
        <v>0</v>
      </c>
      <c r="BT20" s="10">
        <f t="shared" ref="BT20" si="1369">$B20/$B$31*$D20*BU$31</f>
        <v>0</v>
      </c>
      <c r="BU20" s="10">
        <f t="shared" si="53"/>
        <v>0</v>
      </c>
      <c r="BV20" s="10">
        <f t="shared" ref="BV20" si="1370">$B20/$B$31*$D20*BW$31</f>
        <v>0</v>
      </c>
      <c r="BW20" s="10">
        <f t="shared" si="53"/>
        <v>0</v>
      </c>
      <c r="BX20" s="10">
        <f t="shared" ref="BX20" si="1371">$B20/$B$31*$D20*BY$31</f>
        <v>0</v>
      </c>
      <c r="BY20" s="10">
        <f t="shared" si="53"/>
        <v>0</v>
      </c>
      <c r="BZ20" s="10">
        <f t="shared" ref="BZ20" si="1372">$B20/$B$31*$D20*CA$31</f>
        <v>0</v>
      </c>
      <c r="CA20" s="10">
        <f t="shared" si="53"/>
        <v>0</v>
      </c>
      <c r="CB20" s="10">
        <f t="shared" ref="CB20" si="1373">$B20/$B$31*$D20*CC$31</f>
        <v>0</v>
      </c>
      <c r="CC20" s="10">
        <f t="shared" si="63"/>
        <v>0</v>
      </c>
      <c r="CD20" s="10">
        <f t="shared" ref="CD20" si="1374">$B20/$B$31*$D20*CE$31</f>
        <v>0</v>
      </c>
      <c r="CE20" s="10">
        <f t="shared" si="65"/>
        <v>0</v>
      </c>
      <c r="CF20" s="10">
        <f t="shared" ref="CF20" si="1375">$B20/$B$31*$D20*CG$31</f>
        <v>0</v>
      </c>
      <c r="CG20" s="10">
        <f t="shared" si="67"/>
        <v>0</v>
      </c>
      <c r="CH20" s="10">
        <f t="shared" ref="CH20" si="1376">$B20/$B$31*$D20*CI$31</f>
        <v>0</v>
      </c>
      <c r="CI20" s="10">
        <f t="shared" si="69"/>
        <v>0</v>
      </c>
      <c r="CJ20" s="10">
        <f t="shared" ref="CJ20" si="1377">$B20/$B$31*$D20*CK$31</f>
        <v>0</v>
      </c>
      <c r="CK20" s="10">
        <f t="shared" si="71"/>
        <v>0</v>
      </c>
      <c r="CL20" s="10">
        <f t="shared" ref="CL20" si="1378">$B20/$B$31*$D20*CM$31</f>
        <v>0</v>
      </c>
      <c r="CM20" s="10">
        <f t="shared" si="73"/>
        <v>0</v>
      </c>
      <c r="CN20" s="10">
        <f t="shared" ref="CN20" si="1379">$B20/$B$31*$D20*CO$31</f>
        <v>0</v>
      </c>
      <c r="CO20" s="10">
        <f t="shared" si="75"/>
        <v>0</v>
      </c>
      <c r="CP20" s="10">
        <f t="shared" ref="CP20" si="1380">$B20/$B$31*$D20*CQ$31</f>
        <v>0</v>
      </c>
      <c r="CQ20" s="10">
        <f t="shared" si="77"/>
        <v>0</v>
      </c>
      <c r="CR20" s="10">
        <f t="shared" ref="CR20" si="1381">$B20/$B$31*$D20*CS$31</f>
        <v>0</v>
      </c>
      <c r="CS20" s="10">
        <f t="shared" si="79"/>
        <v>0</v>
      </c>
      <c r="CT20" s="10">
        <f t="shared" ref="CT20" si="1382">$B20/$B$31*$D20*CU$31</f>
        <v>0</v>
      </c>
      <c r="CU20" s="10">
        <f t="shared" si="81"/>
        <v>0</v>
      </c>
      <c r="CV20" s="10">
        <f t="shared" ref="CV20" si="1383">$B20/$B$31*$D20*CW$31</f>
        <v>0</v>
      </c>
      <c r="CW20" s="10">
        <f t="shared" si="83"/>
        <v>0</v>
      </c>
      <c r="CX20" s="10">
        <f t="shared" ref="CX20" si="1384">$B20/$B$31*$D20*CY$31</f>
        <v>0</v>
      </c>
      <c r="CY20" s="10">
        <f t="shared" si="85"/>
        <v>0</v>
      </c>
      <c r="CZ20" s="10">
        <f t="shared" ref="CZ20" si="1385">$B20/$B$31*$D20*DA$31</f>
        <v>0</v>
      </c>
      <c r="DA20" s="10">
        <f t="shared" si="87"/>
        <v>0</v>
      </c>
      <c r="DB20" s="10">
        <f t="shared" ref="DB20" si="1386">$B20/$B$31*$D20*DC$31</f>
        <v>0</v>
      </c>
      <c r="DC20" s="10">
        <f t="shared" si="89"/>
        <v>0</v>
      </c>
      <c r="DD20" s="10">
        <f t="shared" ref="DD20" si="1387">$B20/$B$31*$D20*DE$31</f>
        <v>0</v>
      </c>
      <c r="DE20" s="10">
        <f t="shared" si="91"/>
        <v>0</v>
      </c>
      <c r="DF20" s="10">
        <f t="shared" ref="DF20" si="1388">$B20/$B$31*$D20*DG$31</f>
        <v>0</v>
      </c>
      <c r="DG20" s="10">
        <f t="shared" si="93"/>
        <v>0</v>
      </c>
      <c r="DH20" s="10">
        <f t="shared" ref="DH20" si="1389">$B20/$B$31*$D20*DI$31</f>
        <v>0</v>
      </c>
      <c r="DI20" s="10">
        <f t="shared" si="95"/>
        <v>0</v>
      </c>
      <c r="DJ20" s="10">
        <f t="shared" ref="DJ20" si="1390">$B20/$B$31*$D20*DK$31</f>
        <v>0</v>
      </c>
      <c r="DK20" s="10">
        <f t="shared" si="97"/>
        <v>0</v>
      </c>
      <c r="DL20" s="10">
        <f t="shared" ref="DL20" si="1391">$B20/$B$31*$D20*DM$31</f>
        <v>0</v>
      </c>
      <c r="DM20" s="10">
        <f t="shared" si="99"/>
        <v>0</v>
      </c>
      <c r="DN20" s="10">
        <f t="shared" ref="DN20" si="1392">$B20/$B$31*$D20*DO$31</f>
        <v>0</v>
      </c>
      <c r="DO20" s="10">
        <f t="shared" si="101"/>
        <v>0</v>
      </c>
      <c r="DP20" s="10">
        <f t="shared" ref="DP20" si="1393">$B20/$B$31*$D20*DQ$31</f>
        <v>0</v>
      </c>
      <c r="DQ20" s="10">
        <f t="shared" si="103"/>
        <v>0</v>
      </c>
      <c r="DR20" s="10">
        <f t="shared" ref="DR20" si="1394">$B20/$B$31*$D20*DS$31</f>
        <v>0</v>
      </c>
      <c r="DS20" s="10">
        <f t="shared" si="105"/>
        <v>0</v>
      </c>
      <c r="DT20" s="10">
        <f t="shared" ref="DT20" si="1395">$B20/$B$31*$D20*DU$31</f>
        <v>0</v>
      </c>
      <c r="DU20" s="10">
        <f t="shared" si="107"/>
        <v>0</v>
      </c>
      <c r="DV20" s="10">
        <f t="shared" ref="DV20" si="1396">$B20/$B$31*$D20*DW$31</f>
        <v>0</v>
      </c>
      <c r="DW20" s="10">
        <f t="shared" si="109"/>
        <v>0</v>
      </c>
      <c r="DX20" s="10">
        <f t="shared" ref="DX20" si="1397">$B20/$B$31*$D20*DY$31</f>
        <v>0</v>
      </c>
      <c r="DY20" s="10">
        <f t="shared" si="111"/>
        <v>0</v>
      </c>
      <c r="DZ20" s="10">
        <f t="shared" ref="DZ20" si="1398">$B20/$B$31*$D20*EA$31</f>
        <v>0</v>
      </c>
      <c r="EA20" s="10">
        <f t="shared" si="113"/>
        <v>0</v>
      </c>
      <c r="EB20" s="10">
        <f t="shared" ref="EB20" si="1399">$B20/$B$31*$D20*EC$31</f>
        <v>0</v>
      </c>
      <c r="EC20" s="10">
        <f t="shared" si="115"/>
        <v>0</v>
      </c>
      <c r="ED20" s="10">
        <f t="shared" ref="ED20" si="1400">$B20/$B$31*$D20*EE$31</f>
        <v>0</v>
      </c>
      <c r="EE20" s="10">
        <f t="shared" si="117"/>
        <v>0</v>
      </c>
      <c r="EF20" s="10">
        <f t="shared" ref="EF20" si="1401">$B20/$B$31*$D20*EG$31</f>
        <v>0</v>
      </c>
      <c r="EG20" s="10">
        <f t="shared" si="119"/>
        <v>0</v>
      </c>
      <c r="EH20" s="10">
        <f t="shared" ref="EH20" si="1402">$B20/$B$31*$D20*EI$31</f>
        <v>0</v>
      </c>
      <c r="EI20" s="10">
        <f t="shared" si="121"/>
        <v>0</v>
      </c>
      <c r="EJ20" s="10">
        <f t="shared" ref="EJ20" si="1403">$B20/$B$31*$D20*EK$31</f>
        <v>0</v>
      </c>
      <c r="EK20" s="10">
        <f t="shared" si="123"/>
        <v>0</v>
      </c>
      <c r="EL20" s="10">
        <f t="shared" ref="EL20" si="1404">$B20/$B$31*$D20*EM$31</f>
        <v>0</v>
      </c>
      <c r="EM20" s="10">
        <f t="shared" si="125"/>
        <v>0</v>
      </c>
      <c r="EN20" s="10">
        <f t="shared" ref="EN20" si="1405">$B20/$B$31*$D20*EO$31</f>
        <v>0</v>
      </c>
      <c r="EO20" s="10">
        <f t="shared" si="127"/>
        <v>0</v>
      </c>
      <c r="EP20" s="10">
        <f t="shared" ref="EP20" si="1406">$B20/$B$31*$D20*EQ$31</f>
        <v>0</v>
      </c>
      <c r="EQ20" s="10">
        <f t="shared" si="129"/>
        <v>0</v>
      </c>
      <c r="ER20" s="10">
        <f t="shared" ref="ER20" si="1407">$B20/$B$31*$D20*ES$31</f>
        <v>0</v>
      </c>
      <c r="ES20" s="10">
        <f t="shared" si="131"/>
        <v>0</v>
      </c>
      <c r="ET20" s="10">
        <f t="shared" ref="ET20" si="1408">$B20/$B$31*$D20*EU$31</f>
        <v>0</v>
      </c>
      <c r="EU20" s="10">
        <f t="shared" si="133"/>
        <v>0</v>
      </c>
      <c r="EV20" s="10">
        <f t="shared" ref="EV20" si="1409">$B20/$B$31*$D20*EW$31</f>
        <v>0</v>
      </c>
      <c r="EW20" s="10">
        <f t="shared" si="133"/>
        <v>0</v>
      </c>
      <c r="EX20" s="10">
        <f t="shared" ref="EX20" si="1410">$B20/$B$31*$D20*EY$31</f>
        <v>0</v>
      </c>
      <c r="EY20" s="10">
        <f t="shared" si="133"/>
        <v>0</v>
      </c>
      <c r="EZ20" s="10">
        <f t="shared" ref="EZ20" si="1411">$B20/$B$31*$D20*FA$31</f>
        <v>0</v>
      </c>
      <c r="FA20" s="10">
        <f t="shared" si="133"/>
        <v>0</v>
      </c>
      <c r="FB20" s="10">
        <f t="shared" ref="FB20" si="1412">$B20/$B$31*$D20*FC$31</f>
        <v>0</v>
      </c>
      <c r="FC20" s="10">
        <f t="shared" si="133"/>
        <v>0</v>
      </c>
      <c r="FD20" s="10">
        <f t="shared" ref="FD20" si="1413">$B20/$B$31*$D20*FE$31</f>
        <v>0</v>
      </c>
      <c r="FE20" s="10">
        <f t="shared" si="133"/>
        <v>0</v>
      </c>
      <c r="FF20" s="10">
        <f t="shared" ref="FF20" si="1414">$B20/$B$31*$D20*FG$31</f>
        <v>0</v>
      </c>
      <c r="FG20" s="10">
        <f t="shared" si="133"/>
        <v>0</v>
      </c>
      <c r="FH20" s="10">
        <f t="shared" ref="FH20" si="1415">$B20/$B$31*$D20*FI$31</f>
        <v>0</v>
      </c>
      <c r="FI20" s="10">
        <f t="shared" si="133"/>
        <v>0</v>
      </c>
      <c r="FJ20" s="10">
        <f t="shared" ref="FJ20" si="1416">$B20/$B$31*$D20*FK$31</f>
        <v>0</v>
      </c>
      <c r="FK20" s="10">
        <f t="shared" si="133"/>
        <v>0</v>
      </c>
      <c r="FL20" s="10">
        <f t="shared" ref="FL20" si="1417">$B20/$B$31*$D20*FM$31</f>
        <v>0</v>
      </c>
      <c r="FM20" s="10">
        <f t="shared" si="133"/>
        <v>0</v>
      </c>
      <c r="FN20" s="10">
        <f t="shared" ref="FN20" si="1418">$B20/$B$31*$D20*FO$31</f>
        <v>0</v>
      </c>
      <c r="FO20" s="10">
        <f t="shared" si="144"/>
        <v>0</v>
      </c>
      <c r="FP20" s="10">
        <f t="shared" ref="FP20" si="1419">$B20/$B$31*$D20*FQ$31</f>
        <v>0</v>
      </c>
      <c r="FQ20" s="10">
        <f t="shared" si="146"/>
        <v>0</v>
      </c>
      <c r="FR20" s="10">
        <f t="shared" ref="FR20" si="1420">$B20/$B$31*$D20*FS$31</f>
        <v>0</v>
      </c>
      <c r="FS20" s="10">
        <f t="shared" si="148"/>
        <v>0</v>
      </c>
      <c r="FT20" s="10">
        <f t="shared" ref="FT20" si="1421">$B20/$B$31*$D20*FU$31</f>
        <v>0</v>
      </c>
      <c r="FU20" s="10">
        <f t="shared" si="150"/>
        <v>0</v>
      </c>
      <c r="FV20" s="10">
        <f t="shared" ref="FV20" si="1422">$B20/$B$31*$D20*FW$31</f>
        <v>0</v>
      </c>
      <c r="FW20" s="10">
        <f t="shared" si="152"/>
        <v>0</v>
      </c>
      <c r="FX20" s="10">
        <f t="shared" ref="FX20" si="1423">$B20/$B$31*$D20*FY$31</f>
        <v>0</v>
      </c>
      <c r="FY20" s="10">
        <f t="shared" si="154"/>
        <v>0</v>
      </c>
      <c r="FZ20" s="10">
        <f t="shared" ref="FZ20" si="1424">$B20/$B$31*$D20*GA$31</f>
        <v>0</v>
      </c>
      <c r="GA20" s="10">
        <f t="shared" si="156"/>
        <v>0</v>
      </c>
      <c r="GB20" s="10">
        <f t="shared" ref="GB20" si="1425">$B20/$B$31*$D20*GC$31</f>
        <v>0</v>
      </c>
      <c r="GC20" s="10">
        <f t="shared" si="158"/>
        <v>0</v>
      </c>
      <c r="GD20" s="10">
        <f t="shared" ref="GD20" si="1426">$B20/$B$31*$D20*GE$31</f>
        <v>0</v>
      </c>
      <c r="GE20" s="10">
        <f t="shared" si="160"/>
        <v>0</v>
      </c>
      <c r="GF20" s="10">
        <f t="shared" ref="GF20" si="1427">$B20/$B$31*$D20*GG$31</f>
        <v>0</v>
      </c>
      <c r="GG20" s="10">
        <f t="shared" si="162"/>
        <v>0</v>
      </c>
      <c r="GH20" s="10">
        <f t="shared" ref="GH20" si="1428">$B20/$B$31*$D20*GI$31</f>
        <v>0</v>
      </c>
      <c r="GI20" s="10">
        <f t="shared" si="164"/>
        <v>0</v>
      </c>
      <c r="GJ20" s="10">
        <f t="shared" ref="GJ20" si="1429">$B20/$B$31*$D20*GK$31</f>
        <v>0</v>
      </c>
      <c r="GK20" s="10">
        <f t="shared" si="166"/>
        <v>0</v>
      </c>
      <c r="GL20" s="10">
        <f t="shared" ref="GL20" si="1430">$B20/$B$31*$D20*GM$31</f>
        <v>0</v>
      </c>
      <c r="GM20" s="10">
        <f t="shared" si="168"/>
        <v>0</v>
      </c>
      <c r="GN20" s="10">
        <f t="shared" ref="GN20" si="1431">$B20/$B$31*$D20*GO$31</f>
        <v>0</v>
      </c>
      <c r="GO20" s="10">
        <f t="shared" si="170"/>
        <v>0</v>
      </c>
      <c r="GP20" s="10">
        <f t="shared" ref="GP20" si="1432">$B20/$B$31*$D20*GQ$31</f>
        <v>0</v>
      </c>
      <c r="GQ20" s="10">
        <f t="shared" si="172"/>
        <v>0</v>
      </c>
      <c r="GR20" s="10">
        <f t="shared" ref="GR20" si="1433">$B20/$B$31*$D20*GS$31</f>
        <v>0</v>
      </c>
      <c r="GS20" s="10">
        <f t="shared" si="174"/>
        <v>0</v>
      </c>
      <c r="GT20" s="10">
        <f t="shared" ref="GT20" si="1434">$B20/$B$31*$D20*GU$31</f>
        <v>0</v>
      </c>
      <c r="GU20" s="10">
        <f t="shared" si="176"/>
        <v>0</v>
      </c>
      <c r="GV20" s="10">
        <f t="shared" ref="GV20" si="1435">$B20/$B$31*$D20*GW$31</f>
        <v>0</v>
      </c>
      <c r="GW20" s="10">
        <f t="shared" si="178"/>
        <v>0</v>
      </c>
      <c r="GX20" s="10">
        <f t="shared" ref="GX20" si="1436">$B20/$B$31*$D20*GY$31</f>
        <v>0</v>
      </c>
      <c r="GY20" s="10">
        <f t="shared" si="180"/>
        <v>0</v>
      </c>
      <c r="GZ20" s="10">
        <f t="shared" ref="GZ20" si="1437">$B20/$B$31*$D20*HA$31</f>
        <v>0</v>
      </c>
      <c r="HA20" s="10">
        <f t="shared" si="182"/>
        <v>0</v>
      </c>
      <c r="HB20" s="10">
        <f t="shared" ref="HB20" si="1438">$B20/$B$31*$D20*HC$31</f>
        <v>0</v>
      </c>
      <c r="HC20" s="10">
        <f t="shared" si="184"/>
        <v>0</v>
      </c>
      <c r="HD20" s="10">
        <f t="shared" ref="HD20" si="1439">$B20/$B$31*$D20*HE$31</f>
        <v>0</v>
      </c>
      <c r="HE20" s="10">
        <f t="shared" si="186"/>
        <v>0</v>
      </c>
      <c r="HF20" s="10">
        <f t="shared" ref="HF20" si="1440">$B20/$B$31*$D20*HG$31</f>
        <v>0</v>
      </c>
      <c r="HG20" s="10">
        <f t="shared" si="188"/>
        <v>0</v>
      </c>
      <c r="HH20" s="10">
        <f t="shared" ref="HH20" si="1441">$B20/$B$31*$D20*HI$31</f>
        <v>0</v>
      </c>
      <c r="HI20" s="10">
        <f t="shared" si="190"/>
        <v>0</v>
      </c>
      <c r="HJ20" s="10">
        <f t="shared" ref="HJ20" si="1442">$B20/$B$31*$D20*HK$31</f>
        <v>0</v>
      </c>
      <c r="HK20" s="10">
        <f t="shared" si="192"/>
        <v>0</v>
      </c>
      <c r="HL20" s="10">
        <f t="shared" ref="HL20" si="1443">$B20/$B$31*$D20*HM$31</f>
        <v>0</v>
      </c>
      <c r="HM20" s="10">
        <f t="shared" si="194"/>
        <v>0</v>
      </c>
      <c r="HN20" s="10">
        <f t="shared" ref="HN20" si="1444">$B20/$B$31*$D20*HO$31</f>
        <v>0</v>
      </c>
      <c r="HO20" s="10">
        <f t="shared" si="196"/>
        <v>0</v>
      </c>
      <c r="HP20" s="10">
        <f t="shared" ref="HP20" si="1445">$B20/$B$31*$D20*HQ$31</f>
        <v>0</v>
      </c>
      <c r="HQ20" s="10">
        <f t="shared" si="198"/>
        <v>0</v>
      </c>
      <c r="HR20" s="10">
        <f t="shared" ref="HR20" si="1446">$B20/$B$31*$D20*HS$31</f>
        <v>0</v>
      </c>
      <c r="HS20" s="10">
        <f t="shared" si="200"/>
        <v>0</v>
      </c>
      <c r="HT20" s="10">
        <f t="shared" ref="HT20" si="1447">$B20/$B$31*$D20*HU$31</f>
        <v>0</v>
      </c>
      <c r="HU20" s="10">
        <f t="shared" si="202"/>
        <v>0</v>
      </c>
      <c r="HV20" s="10"/>
      <c r="HW20" s="10"/>
      <c r="HX20" s="10"/>
    </row>
    <row r="21" spans="1:232" x14ac:dyDescent="0.3">
      <c r="A21" s="18">
        <f>参数调整!A21</f>
        <v>18</v>
      </c>
      <c r="B21" s="170">
        <f>参数调整!B21</f>
        <v>100</v>
      </c>
      <c r="C21" s="10">
        <f>参数调整!F21</f>
        <v>4.3</v>
      </c>
      <c r="D21" s="10">
        <f>参数调整!G21</f>
        <v>4.3</v>
      </c>
      <c r="E21" s="15">
        <f>基本属性!B21</f>
        <v>200</v>
      </c>
      <c r="F21" s="15">
        <f>基本属性!C21</f>
        <v>11</v>
      </c>
      <c r="G21" s="271"/>
      <c r="H21" s="10">
        <f t="shared" si="45"/>
        <v>392156862745.09796</v>
      </c>
      <c r="I21" s="188">
        <f t="shared" si="0"/>
        <v>392156862745.09796</v>
      </c>
      <c r="J21" s="10">
        <f t="shared" si="1"/>
        <v>16220345.252022205</v>
      </c>
      <c r="K21" s="10">
        <f t="shared" si="2"/>
        <v>16220345.252022205</v>
      </c>
      <c r="L21" s="10">
        <f t="shared" si="46"/>
        <v>215.95487510072516</v>
      </c>
      <c r="M21" s="10">
        <f t="shared" si="47"/>
        <v>215.95487510072516</v>
      </c>
      <c r="N21" s="10">
        <f t="shared" si="48"/>
        <v>1570.9803921568625</v>
      </c>
      <c r="O21" s="10">
        <f t="shared" si="49"/>
        <v>1570.9803921568625</v>
      </c>
      <c r="P21" s="10">
        <f t="shared" si="3"/>
        <v>30261.437908496726</v>
      </c>
      <c r="Q21" s="10">
        <f t="shared" si="4"/>
        <v>30261.437908496726</v>
      </c>
      <c r="R21" s="10">
        <f t="shared" si="5"/>
        <v>95.686274509803908</v>
      </c>
      <c r="S21" s="10">
        <f t="shared" si="6"/>
        <v>95.686274509803908</v>
      </c>
      <c r="T21" s="10">
        <f t="shared" si="7"/>
        <v>142.88606946046389</v>
      </c>
      <c r="U21" s="10">
        <f t="shared" si="8"/>
        <v>142.88606946046389</v>
      </c>
      <c r="V21" s="10">
        <f t="shared" si="9"/>
        <v>142.88606946046389</v>
      </c>
      <c r="W21" s="10">
        <f t="shared" si="10"/>
        <v>142.88606946046389</v>
      </c>
      <c r="X21" s="10">
        <f t="shared" si="11"/>
        <v>142.88606946046389</v>
      </c>
      <c r="Y21" s="10">
        <f t="shared" si="12"/>
        <v>142.88606946046389</v>
      </c>
      <c r="Z21" s="10">
        <f t="shared" si="13"/>
        <v>142.88606946046389</v>
      </c>
      <c r="AA21" s="10">
        <f t="shared" si="14"/>
        <v>142.88606946046389</v>
      </c>
      <c r="AB21" s="10">
        <f t="shared" si="15"/>
        <v>3662.745098039215</v>
      </c>
      <c r="AC21" s="10">
        <f t="shared" si="16"/>
        <v>3662.745098039215</v>
      </c>
      <c r="AD21" s="10">
        <f t="shared" si="17"/>
        <v>1097.2669683257918</v>
      </c>
      <c r="AE21" s="10">
        <f t="shared" si="18"/>
        <v>1097.2669683257918</v>
      </c>
      <c r="AF21" s="10">
        <f t="shared" si="19"/>
        <v>548.63348416289591</v>
      </c>
      <c r="AG21" s="10">
        <f t="shared" si="20"/>
        <v>548.63348416289591</v>
      </c>
      <c r="AH21" s="10">
        <f t="shared" si="21"/>
        <v>109.72669683257918</v>
      </c>
      <c r="AI21" s="10">
        <f t="shared" si="22"/>
        <v>109.72669683257918</v>
      </c>
      <c r="AJ21" s="10">
        <f t="shared" si="23"/>
        <v>1253.979238754325</v>
      </c>
      <c r="AK21" s="10">
        <f t="shared" si="24"/>
        <v>1253.979238754325</v>
      </c>
      <c r="AL21" s="10">
        <f t="shared" si="25"/>
        <v>626.98961937716251</v>
      </c>
      <c r="AM21" s="10">
        <f t="shared" si="26"/>
        <v>626.98961937716251</v>
      </c>
      <c r="AN21" s="10">
        <f t="shared" si="27"/>
        <v>125.3979238754325</v>
      </c>
      <c r="AO21" s="10">
        <f t="shared" si="28"/>
        <v>125.3979238754325</v>
      </c>
      <c r="AP21" s="10">
        <f t="shared" si="29"/>
        <v>59.493600488571829</v>
      </c>
      <c r="AQ21" s="10">
        <f t="shared" si="30"/>
        <v>59.493600488571829</v>
      </c>
      <c r="AR21" s="10">
        <f t="shared" si="31"/>
        <v>0.785290454911728</v>
      </c>
      <c r="AS21" s="10">
        <f t="shared" si="32"/>
        <v>0.785290454911728</v>
      </c>
      <c r="AT21" s="10">
        <f t="shared" si="33"/>
        <v>0.785290454911728</v>
      </c>
      <c r="AU21" s="10">
        <f t="shared" si="34"/>
        <v>0.785290454911728</v>
      </c>
      <c r="AV21" s="10">
        <f t="shared" si="35"/>
        <v>7.0676140942055508</v>
      </c>
      <c r="AW21" s="10">
        <f t="shared" si="36"/>
        <v>7.0676140942055508</v>
      </c>
      <c r="AX21" s="10">
        <f t="shared" si="37"/>
        <v>21.59548751007252</v>
      </c>
      <c r="AY21" s="10">
        <f t="shared" si="38"/>
        <v>21.59548751007252</v>
      </c>
      <c r="AZ21" s="10">
        <f t="shared" si="39"/>
        <v>1.9632261372793198</v>
      </c>
      <c r="BA21" s="10">
        <f t="shared" si="40"/>
        <v>1.9632261372793198</v>
      </c>
      <c r="BB21" s="10">
        <f t="shared" si="41"/>
        <v>1.9632261372793198</v>
      </c>
      <c r="BC21" s="10">
        <f t="shared" si="42"/>
        <v>1.9632261372793198</v>
      </c>
      <c r="BD21" s="10">
        <f t="shared" si="43"/>
        <v>7.8529045491172793</v>
      </c>
      <c r="BE21" s="10">
        <f t="shared" si="44"/>
        <v>7.8529045491172793</v>
      </c>
      <c r="BF21" s="10">
        <f t="shared" si="50"/>
        <v>9.8161306863965994</v>
      </c>
      <c r="BG21" s="10">
        <f t="shared" si="51"/>
        <v>9.8161306863965994</v>
      </c>
      <c r="BH21" s="10">
        <f t="shared" si="52"/>
        <v>0</v>
      </c>
      <c r="BI21" s="10">
        <f t="shared" si="53"/>
        <v>0</v>
      </c>
      <c r="BJ21" s="10">
        <f t="shared" si="52"/>
        <v>0</v>
      </c>
      <c r="BK21" s="10">
        <f t="shared" si="53"/>
        <v>0</v>
      </c>
      <c r="BL21" s="10">
        <f t="shared" ref="BL21" si="1448">$B21/$B$31*$D21*BM$31</f>
        <v>0</v>
      </c>
      <c r="BM21" s="10">
        <f t="shared" si="53"/>
        <v>0</v>
      </c>
      <c r="BN21" s="10">
        <f t="shared" ref="BN21" si="1449">$B21/$B$31*$D21*BO$31</f>
        <v>0</v>
      </c>
      <c r="BO21" s="10">
        <f t="shared" si="53"/>
        <v>0</v>
      </c>
      <c r="BP21" s="10">
        <f t="shared" ref="BP21" si="1450">$B21/$B$31*$D21*BQ$31</f>
        <v>0</v>
      </c>
      <c r="BQ21" s="10">
        <f t="shared" si="53"/>
        <v>0</v>
      </c>
      <c r="BR21" s="10">
        <f t="shared" ref="BR21" si="1451">$B21/$B$31*$D21*BS$31</f>
        <v>0</v>
      </c>
      <c r="BS21" s="10">
        <f t="shared" si="53"/>
        <v>0</v>
      </c>
      <c r="BT21" s="10">
        <f t="shared" ref="BT21" si="1452">$B21/$B$31*$D21*BU$31</f>
        <v>0</v>
      </c>
      <c r="BU21" s="10">
        <f t="shared" si="53"/>
        <v>0</v>
      </c>
      <c r="BV21" s="10">
        <f t="shared" ref="BV21" si="1453">$B21/$B$31*$D21*BW$31</f>
        <v>0</v>
      </c>
      <c r="BW21" s="10">
        <f t="shared" si="53"/>
        <v>0</v>
      </c>
      <c r="BX21" s="10">
        <f t="shared" ref="BX21" si="1454">$B21/$B$31*$D21*BY$31</f>
        <v>0</v>
      </c>
      <c r="BY21" s="10">
        <f t="shared" si="53"/>
        <v>0</v>
      </c>
      <c r="BZ21" s="10">
        <f t="shared" ref="BZ21" si="1455">$B21/$B$31*$D21*CA$31</f>
        <v>0</v>
      </c>
      <c r="CA21" s="10">
        <f t="shared" si="53"/>
        <v>0</v>
      </c>
      <c r="CB21" s="10">
        <f t="shared" ref="CB21" si="1456">$B21/$B$31*$D21*CC$31</f>
        <v>0</v>
      </c>
      <c r="CC21" s="10">
        <f t="shared" si="63"/>
        <v>0</v>
      </c>
      <c r="CD21" s="10">
        <f t="shared" ref="CD21" si="1457">$B21/$B$31*$D21*CE$31</f>
        <v>0</v>
      </c>
      <c r="CE21" s="10">
        <f t="shared" si="65"/>
        <v>0</v>
      </c>
      <c r="CF21" s="10">
        <f t="shared" ref="CF21" si="1458">$B21/$B$31*$D21*CG$31</f>
        <v>0</v>
      </c>
      <c r="CG21" s="10">
        <f t="shared" si="67"/>
        <v>0</v>
      </c>
      <c r="CH21" s="10">
        <f t="shared" ref="CH21" si="1459">$B21/$B$31*$D21*CI$31</f>
        <v>0</v>
      </c>
      <c r="CI21" s="10">
        <f t="shared" si="69"/>
        <v>0</v>
      </c>
      <c r="CJ21" s="10">
        <f t="shared" ref="CJ21" si="1460">$B21/$B$31*$D21*CK$31</f>
        <v>0</v>
      </c>
      <c r="CK21" s="10">
        <f t="shared" si="71"/>
        <v>0</v>
      </c>
      <c r="CL21" s="10">
        <f t="shared" ref="CL21" si="1461">$B21/$B$31*$D21*CM$31</f>
        <v>0</v>
      </c>
      <c r="CM21" s="10">
        <f t="shared" si="73"/>
        <v>0</v>
      </c>
      <c r="CN21" s="10">
        <f t="shared" ref="CN21" si="1462">$B21/$B$31*$D21*CO$31</f>
        <v>0</v>
      </c>
      <c r="CO21" s="10">
        <f t="shared" si="75"/>
        <v>0</v>
      </c>
      <c r="CP21" s="10">
        <f t="shared" ref="CP21" si="1463">$B21/$B$31*$D21*CQ$31</f>
        <v>0</v>
      </c>
      <c r="CQ21" s="10">
        <f t="shared" si="77"/>
        <v>0</v>
      </c>
      <c r="CR21" s="10">
        <f t="shared" ref="CR21" si="1464">$B21/$B$31*$D21*CS$31</f>
        <v>0</v>
      </c>
      <c r="CS21" s="10">
        <f t="shared" si="79"/>
        <v>0</v>
      </c>
      <c r="CT21" s="10">
        <f t="shared" ref="CT21" si="1465">$B21/$B$31*$D21*CU$31</f>
        <v>0</v>
      </c>
      <c r="CU21" s="10">
        <f t="shared" si="81"/>
        <v>0</v>
      </c>
      <c r="CV21" s="10">
        <f t="shared" ref="CV21" si="1466">$B21/$B$31*$D21*CW$31</f>
        <v>0</v>
      </c>
      <c r="CW21" s="10">
        <f t="shared" si="83"/>
        <v>0</v>
      </c>
      <c r="CX21" s="10">
        <f t="shared" ref="CX21" si="1467">$B21/$B$31*$D21*CY$31</f>
        <v>0</v>
      </c>
      <c r="CY21" s="10">
        <f t="shared" si="85"/>
        <v>0</v>
      </c>
      <c r="CZ21" s="10">
        <f t="shared" ref="CZ21" si="1468">$B21/$B$31*$D21*DA$31</f>
        <v>0</v>
      </c>
      <c r="DA21" s="10">
        <f t="shared" si="87"/>
        <v>0</v>
      </c>
      <c r="DB21" s="10">
        <f t="shared" ref="DB21" si="1469">$B21/$B$31*$D21*DC$31</f>
        <v>0</v>
      </c>
      <c r="DC21" s="10">
        <f t="shared" si="89"/>
        <v>0</v>
      </c>
      <c r="DD21" s="10">
        <f t="shared" ref="DD21" si="1470">$B21/$B$31*$D21*DE$31</f>
        <v>0</v>
      </c>
      <c r="DE21" s="10">
        <f t="shared" si="91"/>
        <v>0</v>
      </c>
      <c r="DF21" s="10">
        <f t="shared" ref="DF21" si="1471">$B21/$B$31*$D21*DG$31</f>
        <v>0</v>
      </c>
      <c r="DG21" s="10">
        <f t="shared" si="93"/>
        <v>0</v>
      </c>
      <c r="DH21" s="10">
        <f t="shared" ref="DH21" si="1472">$B21/$B$31*$D21*DI$31</f>
        <v>0</v>
      </c>
      <c r="DI21" s="10">
        <f t="shared" si="95"/>
        <v>0</v>
      </c>
      <c r="DJ21" s="10">
        <f t="shared" ref="DJ21" si="1473">$B21/$B$31*$D21*DK$31</f>
        <v>0</v>
      </c>
      <c r="DK21" s="10">
        <f t="shared" si="97"/>
        <v>0</v>
      </c>
      <c r="DL21" s="10">
        <f t="shared" ref="DL21" si="1474">$B21/$B$31*$D21*DM$31</f>
        <v>0</v>
      </c>
      <c r="DM21" s="10">
        <f t="shared" si="99"/>
        <v>0</v>
      </c>
      <c r="DN21" s="10">
        <f t="shared" ref="DN21" si="1475">$B21/$B$31*$D21*DO$31</f>
        <v>0</v>
      </c>
      <c r="DO21" s="10">
        <f t="shared" si="101"/>
        <v>0</v>
      </c>
      <c r="DP21" s="10">
        <f t="shared" ref="DP21" si="1476">$B21/$B$31*$D21*DQ$31</f>
        <v>0</v>
      </c>
      <c r="DQ21" s="10">
        <f t="shared" si="103"/>
        <v>0</v>
      </c>
      <c r="DR21" s="10">
        <f t="shared" ref="DR21" si="1477">$B21/$B$31*$D21*DS$31</f>
        <v>0</v>
      </c>
      <c r="DS21" s="10">
        <f t="shared" si="105"/>
        <v>0</v>
      </c>
      <c r="DT21" s="10">
        <f t="shared" ref="DT21" si="1478">$B21/$B$31*$D21*DU$31</f>
        <v>0</v>
      </c>
      <c r="DU21" s="10">
        <f t="shared" si="107"/>
        <v>0</v>
      </c>
      <c r="DV21" s="10">
        <f t="shared" ref="DV21" si="1479">$B21/$B$31*$D21*DW$31</f>
        <v>0</v>
      </c>
      <c r="DW21" s="10">
        <f t="shared" si="109"/>
        <v>0</v>
      </c>
      <c r="DX21" s="10">
        <f t="shared" ref="DX21" si="1480">$B21/$B$31*$D21*DY$31</f>
        <v>0</v>
      </c>
      <c r="DY21" s="10">
        <f t="shared" si="111"/>
        <v>0</v>
      </c>
      <c r="DZ21" s="10">
        <f t="shared" ref="DZ21" si="1481">$B21/$B$31*$D21*EA$31</f>
        <v>0</v>
      </c>
      <c r="EA21" s="10">
        <f t="shared" si="113"/>
        <v>0</v>
      </c>
      <c r="EB21" s="10">
        <f t="shared" ref="EB21" si="1482">$B21/$B$31*$D21*EC$31</f>
        <v>0</v>
      </c>
      <c r="EC21" s="10">
        <f t="shared" si="115"/>
        <v>0</v>
      </c>
      <c r="ED21" s="10">
        <f t="shared" ref="ED21" si="1483">$B21/$B$31*$D21*EE$31</f>
        <v>0</v>
      </c>
      <c r="EE21" s="10">
        <f t="shared" si="117"/>
        <v>0</v>
      </c>
      <c r="EF21" s="10">
        <f t="shared" ref="EF21" si="1484">$B21/$B$31*$D21*EG$31</f>
        <v>0</v>
      </c>
      <c r="EG21" s="10">
        <f t="shared" si="119"/>
        <v>0</v>
      </c>
      <c r="EH21" s="10">
        <f t="shared" ref="EH21" si="1485">$B21/$B$31*$D21*EI$31</f>
        <v>0</v>
      </c>
      <c r="EI21" s="10">
        <f t="shared" si="121"/>
        <v>0</v>
      </c>
      <c r="EJ21" s="10">
        <f t="shared" ref="EJ21" si="1486">$B21/$B$31*$D21*EK$31</f>
        <v>0</v>
      </c>
      <c r="EK21" s="10">
        <f t="shared" si="123"/>
        <v>0</v>
      </c>
      <c r="EL21" s="10">
        <f t="shared" ref="EL21" si="1487">$B21/$B$31*$D21*EM$31</f>
        <v>0</v>
      </c>
      <c r="EM21" s="10">
        <f t="shared" si="125"/>
        <v>0</v>
      </c>
      <c r="EN21" s="10">
        <f t="shared" ref="EN21" si="1488">$B21/$B$31*$D21*EO$31</f>
        <v>0</v>
      </c>
      <c r="EO21" s="10">
        <f t="shared" si="127"/>
        <v>0</v>
      </c>
      <c r="EP21" s="10">
        <f t="shared" ref="EP21" si="1489">$B21/$B$31*$D21*EQ$31</f>
        <v>0</v>
      </c>
      <c r="EQ21" s="10">
        <f t="shared" si="129"/>
        <v>0</v>
      </c>
      <c r="ER21" s="10">
        <f t="shared" ref="ER21" si="1490">$B21/$B$31*$D21*ES$31</f>
        <v>0</v>
      </c>
      <c r="ES21" s="10">
        <f t="shared" si="131"/>
        <v>0</v>
      </c>
      <c r="ET21" s="10">
        <f t="shared" ref="ET21" si="1491">$B21/$B$31*$D21*EU$31</f>
        <v>0</v>
      </c>
      <c r="EU21" s="10">
        <f t="shared" si="133"/>
        <v>0</v>
      </c>
      <c r="EV21" s="10">
        <f t="shared" ref="EV21" si="1492">$B21/$B$31*$D21*EW$31</f>
        <v>0</v>
      </c>
      <c r="EW21" s="10">
        <f t="shared" si="133"/>
        <v>0</v>
      </c>
      <c r="EX21" s="10">
        <f t="shared" ref="EX21" si="1493">$B21/$B$31*$D21*EY$31</f>
        <v>0</v>
      </c>
      <c r="EY21" s="10">
        <f t="shared" si="133"/>
        <v>0</v>
      </c>
      <c r="EZ21" s="10">
        <f t="shared" ref="EZ21" si="1494">$B21/$B$31*$D21*FA$31</f>
        <v>0</v>
      </c>
      <c r="FA21" s="10">
        <f t="shared" si="133"/>
        <v>0</v>
      </c>
      <c r="FB21" s="10">
        <f t="shared" ref="FB21" si="1495">$B21/$B$31*$D21*FC$31</f>
        <v>0</v>
      </c>
      <c r="FC21" s="10">
        <f t="shared" si="133"/>
        <v>0</v>
      </c>
      <c r="FD21" s="10">
        <f t="shared" ref="FD21" si="1496">$B21/$B$31*$D21*FE$31</f>
        <v>0</v>
      </c>
      <c r="FE21" s="10">
        <f t="shared" si="133"/>
        <v>0</v>
      </c>
      <c r="FF21" s="10">
        <f t="shared" ref="FF21" si="1497">$B21/$B$31*$D21*FG$31</f>
        <v>0</v>
      </c>
      <c r="FG21" s="10">
        <f t="shared" si="133"/>
        <v>0</v>
      </c>
      <c r="FH21" s="10">
        <f t="shared" ref="FH21" si="1498">$B21/$B$31*$D21*FI$31</f>
        <v>0</v>
      </c>
      <c r="FI21" s="10">
        <f t="shared" si="133"/>
        <v>0</v>
      </c>
      <c r="FJ21" s="10">
        <f t="shared" ref="FJ21" si="1499">$B21/$B$31*$D21*FK$31</f>
        <v>0</v>
      </c>
      <c r="FK21" s="10">
        <f t="shared" si="133"/>
        <v>0</v>
      </c>
      <c r="FL21" s="10">
        <f t="shared" ref="FL21" si="1500">$B21/$B$31*$D21*FM$31</f>
        <v>0</v>
      </c>
      <c r="FM21" s="10">
        <f t="shared" si="133"/>
        <v>0</v>
      </c>
      <c r="FN21" s="10">
        <f t="shared" ref="FN21" si="1501">$B21/$B$31*$D21*FO$31</f>
        <v>0</v>
      </c>
      <c r="FO21" s="10">
        <f t="shared" si="144"/>
        <v>0</v>
      </c>
      <c r="FP21" s="10">
        <f t="shared" ref="FP21" si="1502">$B21/$B$31*$D21*FQ$31</f>
        <v>0</v>
      </c>
      <c r="FQ21" s="10">
        <f t="shared" si="146"/>
        <v>0</v>
      </c>
      <c r="FR21" s="10">
        <f t="shared" ref="FR21" si="1503">$B21/$B$31*$D21*FS$31</f>
        <v>0</v>
      </c>
      <c r="FS21" s="10">
        <f t="shared" si="148"/>
        <v>0</v>
      </c>
      <c r="FT21" s="10">
        <f t="shared" ref="FT21" si="1504">$B21/$B$31*$D21*FU$31</f>
        <v>0</v>
      </c>
      <c r="FU21" s="10">
        <f t="shared" si="150"/>
        <v>0</v>
      </c>
      <c r="FV21" s="10">
        <f t="shared" ref="FV21" si="1505">$B21/$B$31*$D21*FW$31</f>
        <v>0</v>
      </c>
      <c r="FW21" s="10">
        <f t="shared" si="152"/>
        <v>0</v>
      </c>
      <c r="FX21" s="10">
        <f t="shared" ref="FX21" si="1506">$B21/$B$31*$D21*FY$31</f>
        <v>0</v>
      </c>
      <c r="FY21" s="10">
        <f t="shared" si="154"/>
        <v>0</v>
      </c>
      <c r="FZ21" s="10">
        <f t="shared" ref="FZ21" si="1507">$B21/$B$31*$D21*GA$31</f>
        <v>0</v>
      </c>
      <c r="GA21" s="10">
        <f t="shared" si="156"/>
        <v>0</v>
      </c>
      <c r="GB21" s="10">
        <f t="shared" ref="GB21" si="1508">$B21/$B$31*$D21*GC$31</f>
        <v>0</v>
      </c>
      <c r="GC21" s="10">
        <f t="shared" si="158"/>
        <v>0</v>
      </c>
      <c r="GD21" s="10">
        <f t="shared" ref="GD21" si="1509">$B21/$B$31*$D21*GE$31</f>
        <v>0</v>
      </c>
      <c r="GE21" s="10">
        <f t="shared" si="160"/>
        <v>0</v>
      </c>
      <c r="GF21" s="10">
        <f t="shared" ref="GF21" si="1510">$B21/$B$31*$D21*GG$31</f>
        <v>0</v>
      </c>
      <c r="GG21" s="10">
        <f t="shared" si="162"/>
        <v>0</v>
      </c>
      <c r="GH21" s="10">
        <f t="shared" ref="GH21" si="1511">$B21/$B$31*$D21*GI$31</f>
        <v>0</v>
      </c>
      <c r="GI21" s="10">
        <f t="shared" si="164"/>
        <v>0</v>
      </c>
      <c r="GJ21" s="10">
        <f t="shared" ref="GJ21" si="1512">$B21/$B$31*$D21*GK$31</f>
        <v>0</v>
      </c>
      <c r="GK21" s="10">
        <f t="shared" si="166"/>
        <v>0</v>
      </c>
      <c r="GL21" s="10">
        <f t="shared" ref="GL21" si="1513">$B21/$B$31*$D21*GM$31</f>
        <v>0</v>
      </c>
      <c r="GM21" s="10">
        <f t="shared" si="168"/>
        <v>0</v>
      </c>
      <c r="GN21" s="10">
        <f t="shared" ref="GN21" si="1514">$B21/$B$31*$D21*GO$31</f>
        <v>0</v>
      </c>
      <c r="GO21" s="10">
        <f t="shared" si="170"/>
        <v>0</v>
      </c>
      <c r="GP21" s="10">
        <f t="shared" ref="GP21" si="1515">$B21/$B$31*$D21*GQ$31</f>
        <v>0</v>
      </c>
      <c r="GQ21" s="10">
        <f t="shared" si="172"/>
        <v>0</v>
      </c>
      <c r="GR21" s="10">
        <f t="shared" ref="GR21" si="1516">$B21/$B$31*$D21*GS$31</f>
        <v>0</v>
      </c>
      <c r="GS21" s="10">
        <f t="shared" si="174"/>
        <v>0</v>
      </c>
      <c r="GT21" s="10">
        <f t="shared" ref="GT21" si="1517">$B21/$B$31*$D21*GU$31</f>
        <v>0</v>
      </c>
      <c r="GU21" s="10">
        <f t="shared" si="176"/>
        <v>0</v>
      </c>
      <c r="GV21" s="10">
        <f t="shared" ref="GV21" si="1518">$B21/$B$31*$D21*GW$31</f>
        <v>0</v>
      </c>
      <c r="GW21" s="10">
        <f t="shared" si="178"/>
        <v>0</v>
      </c>
      <c r="GX21" s="10">
        <f t="shared" ref="GX21" si="1519">$B21/$B$31*$D21*GY$31</f>
        <v>0</v>
      </c>
      <c r="GY21" s="10">
        <f t="shared" si="180"/>
        <v>0</v>
      </c>
      <c r="GZ21" s="10">
        <f t="shared" ref="GZ21" si="1520">$B21/$B$31*$D21*HA$31</f>
        <v>0</v>
      </c>
      <c r="HA21" s="10">
        <f t="shared" si="182"/>
        <v>0</v>
      </c>
      <c r="HB21" s="10">
        <f t="shared" ref="HB21" si="1521">$B21/$B$31*$D21*HC$31</f>
        <v>0</v>
      </c>
      <c r="HC21" s="10">
        <f t="shared" si="184"/>
        <v>0</v>
      </c>
      <c r="HD21" s="10">
        <f t="shared" ref="HD21" si="1522">$B21/$B$31*$D21*HE$31</f>
        <v>0</v>
      </c>
      <c r="HE21" s="10">
        <f t="shared" si="186"/>
        <v>0</v>
      </c>
      <c r="HF21" s="10">
        <f t="shared" ref="HF21" si="1523">$B21/$B$31*$D21*HG$31</f>
        <v>0</v>
      </c>
      <c r="HG21" s="10">
        <f t="shared" si="188"/>
        <v>0</v>
      </c>
      <c r="HH21" s="10">
        <f t="shared" ref="HH21" si="1524">$B21/$B$31*$D21*HI$31</f>
        <v>0</v>
      </c>
      <c r="HI21" s="10">
        <f t="shared" si="190"/>
        <v>0</v>
      </c>
      <c r="HJ21" s="10">
        <f t="shared" ref="HJ21" si="1525">$B21/$B$31*$D21*HK$31</f>
        <v>0</v>
      </c>
      <c r="HK21" s="10">
        <f t="shared" si="192"/>
        <v>0</v>
      </c>
      <c r="HL21" s="10">
        <f t="shared" ref="HL21" si="1526">$B21/$B$31*$D21*HM$31</f>
        <v>0</v>
      </c>
      <c r="HM21" s="10">
        <f t="shared" si="194"/>
        <v>0</v>
      </c>
      <c r="HN21" s="10">
        <f t="shared" ref="HN21" si="1527">$B21/$B$31*$D21*HO$31</f>
        <v>0</v>
      </c>
      <c r="HO21" s="10">
        <f t="shared" si="196"/>
        <v>0</v>
      </c>
      <c r="HP21" s="10">
        <f t="shared" ref="HP21" si="1528">$B21/$B$31*$D21*HQ$31</f>
        <v>0</v>
      </c>
      <c r="HQ21" s="10">
        <f t="shared" si="198"/>
        <v>0</v>
      </c>
      <c r="HR21" s="10">
        <f t="shared" ref="HR21" si="1529">$B21/$B$31*$D21*HS$31</f>
        <v>0</v>
      </c>
      <c r="HS21" s="10">
        <f t="shared" si="200"/>
        <v>0</v>
      </c>
      <c r="HT21" s="10">
        <f t="shared" ref="HT21" si="1530">$B21/$B$31*$D21*HU$31</f>
        <v>0</v>
      </c>
      <c r="HU21" s="10">
        <f t="shared" si="202"/>
        <v>0</v>
      </c>
      <c r="HV21" s="10"/>
      <c r="HW21" s="10"/>
      <c r="HX21" s="10"/>
    </row>
    <row r="22" spans="1:232" x14ac:dyDescent="0.3">
      <c r="A22" s="18">
        <f>参数调整!A22</f>
        <v>19</v>
      </c>
      <c r="B22" s="170">
        <f>参数调整!B22</f>
        <v>100</v>
      </c>
      <c r="C22" s="10">
        <f>参数调整!F22</f>
        <v>4.5999999999999996</v>
      </c>
      <c r="D22" s="10">
        <f>参数调整!G22</f>
        <v>4.5999999999999996</v>
      </c>
      <c r="E22" s="15">
        <f>基本属性!B22</f>
        <v>210</v>
      </c>
      <c r="F22" s="15">
        <f>基本属性!C22</f>
        <v>12</v>
      </c>
      <c r="G22" s="271"/>
      <c r="H22" s="10">
        <f t="shared" si="45"/>
        <v>419516643866.849</v>
      </c>
      <c r="I22" s="188">
        <f t="shared" si="0"/>
        <v>419516643866.849</v>
      </c>
      <c r="J22" s="10">
        <f t="shared" si="1"/>
        <v>17351997.246349335</v>
      </c>
      <c r="K22" s="10">
        <f t="shared" si="2"/>
        <v>17351997.246349335</v>
      </c>
      <c r="L22" s="10">
        <f t="shared" si="46"/>
        <v>231.02149429379904</v>
      </c>
      <c r="M22" s="10">
        <f t="shared" si="47"/>
        <v>231.02149429379904</v>
      </c>
      <c r="N22" s="10">
        <f t="shared" si="48"/>
        <v>1680.5836753305971</v>
      </c>
      <c r="O22" s="10">
        <f t="shared" si="49"/>
        <v>1680.5836753305971</v>
      </c>
      <c r="P22" s="10">
        <f t="shared" si="3"/>
        <v>32372.701018391846</v>
      </c>
      <c r="Q22" s="10">
        <f t="shared" si="4"/>
        <v>32372.701018391846</v>
      </c>
      <c r="R22" s="10">
        <f t="shared" si="5"/>
        <v>102.36206110351115</v>
      </c>
      <c r="S22" s="10">
        <f t="shared" si="6"/>
        <v>102.36206110351115</v>
      </c>
      <c r="T22" s="10">
        <f t="shared" si="7"/>
        <v>152.8548650042172</v>
      </c>
      <c r="U22" s="10">
        <f t="shared" si="8"/>
        <v>152.8548650042172</v>
      </c>
      <c r="V22" s="10">
        <f t="shared" si="9"/>
        <v>152.8548650042172</v>
      </c>
      <c r="W22" s="10">
        <f t="shared" si="10"/>
        <v>152.8548650042172</v>
      </c>
      <c r="X22" s="10">
        <f t="shared" si="11"/>
        <v>152.8548650042172</v>
      </c>
      <c r="Y22" s="10">
        <f t="shared" si="12"/>
        <v>152.8548650042172</v>
      </c>
      <c r="Z22" s="10">
        <f t="shared" si="13"/>
        <v>152.8548650042172</v>
      </c>
      <c r="AA22" s="10">
        <f t="shared" si="14"/>
        <v>152.8548650042172</v>
      </c>
      <c r="AB22" s="10">
        <f t="shared" si="15"/>
        <v>3918.2854537163698</v>
      </c>
      <c r="AC22" s="10">
        <f t="shared" si="16"/>
        <v>3918.2854537163698</v>
      </c>
      <c r="AD22" s="10">
        <f t="shared" si="17"/>
        <v>1173.8204777438702</v>
      </c>
      <c r="AE22" s="10">
        <f t="shared" si="18"/>
        <v>1173.8204777438702</v>
      </c>
      <c r="AF22" s="10">
        <f t="shared" si="19"/>
        <v>586.91023887193512</v>
      </c>
      <c r="AG22" s="10">
        <f t="shared" si="20"/>
        <v>586.91023887193512</v>
      </c>
      <c r="AH22" s="10">
        <f t="shared" si="21"/>
        <v>117.38204777438702</v>
      </c>
      <c r="AI22" s="10">
        <f t="shared" si="22"/>
        <v>117.38204777438702</v>
      </c>
      <c r="AJ22" s="10">
        <f t="shared" si="23"/>
        <v>1341.4661623883476</v>
      </c>
      <c r="AK22" s="10">
        <f t="shared" si="24"/>
        <v>1341.4661623883476</v>
      </c>
      <c r="AL22" s="10">
        <f t="shared" si="25"/>
        <v>670.73308119417379</v>
      </c>
      <c r="AM22" s="10">
        <f t="shared" si="26"/>
        <v>670.73308119417379</v>
      </c>
      <c r="AN22" s="10">
        <f t="shared" si="27"/>
        <v>134.14661623883478</v>
      </c>
      <c r="AO22" s="10">
        <f t="shared" si="28"/>
        <v>134.14661623883478</v>
      </c>
      <c r="AP22" s="10">
        <f t="shared" si="29"/>
        <v>63.644316801728003</v>
      </c>
      <c r="AQ22" s="10">
        <f t="shared" si="30"/>
        <v>63.644316801728003</v>
      </c>
      <c r="AR22" s="10">
        <f t="shared" si="31"/>
        <v>0.8400781610683602</v>
      </c>
      <c r="AS22" s="10">
        <f t="shared" si="32"/>
        <v>0.8400781610683602</v>
      </c>
      <c r="AT22" s="10">
        <f t="shared" si="33"/>
        <v>0.8400781610683602</v>
      </c>
      <c r="AU22" s="10">
        <f t="shared" si="34"/>
        <v>0.8400781610683602</v>
      </c>
      <c r="AV22" s="10">
        <f t="shared" si="35"/>
        <v>7.5607034496152403</v>
      </c>
      <c r="AW22" s="10">
        <f t="shared" si="36"/>
        <v>7.5607034496152403</v>
      </c>
      <c r="AX22" s="10">
        <f t="shared" si="37"/>
        <v>23.102149429379903</v>
      </c>
      <c r="AY22" s="10">
        <f t="shared" si="38"/>
        <v>23.102149429379903</v>
      </c>
      <c r="AZ22" s="10">
        <f t="shared" si="39"/>
        <v>2.1001954026709004</v>
      </c>
      <c r="BA22" s="10">
        <f t="shared" si="40"/>
        <v>2.1001954026709004</v>
      </c>
      <c r="BB22" s="10">
        <f t="shared" si="41"/>
        <v>2.1001954026709004</v>
      </c>
      <c r="BC22" s="10">
        <f t="shared" si="42"/>
        <v>2.1001954026709004</v>
      </c>
      <c r="BD22" s="10">
        <f t="shared" si="43"/>
        <v>8.4007816106836017</v>
      </c>
      <c r="BE22" s="10">
        <f t="shared" si="44"/>
        <v>8.4007816106836017</v>
      </c>
      <c r="BF22" s="10">
        <f t="shared" si="50"/>
        <v>10.500977013354502</v>
      </c>
      <c r="BG22" s="10">
        <f t="shared" si="51"/>
        <v>10.500977013354502</v>
      </c>
      <c r="BH22" s="10">
        <f t="shared" si="52"/>
        <v>0</v>
      </c>
      <c r="BI22" s="10">
        <f t="shared" si="53"/>
        <v>0</v>
      </c>
      <c r="BJ22" s="10">
        <f t="shared" si="52"/>
        <v>0</v>
      </c>
      <c r="BK22" s="10">
        <f t="shared" si="53"/>
        <v>0</v>
      </c>
      <c r="BL22" s="10">
        <f t="shared" ref="BL22" si="1531">$B22/$B$31*$D22*BM$31</f>
        <v>0</v>
      </c>
      <c r="BM22" s="10">
        <f t="shared" si="53"/>
        <v>0</v>
      </c>
      <c r="BN22" s="10">
        <f t="shared" ref="BN22" si="1532">$B22/$B$31*$D22*BO$31</f>
        <v>0</v>
      </c>
      <c r="BO22" s="10">
        <f t="shared" si="53"/>
        <v>0</v>
      </c>
      <c r="BP22" s="10">
        <f t="shared" ref="BP22" si="1533">$B22/$B$31*$D22*BQ$31</f>
        <v>0</v>
      </c>
      <c r="BQ22" s="10">
        <f t="shared" si="53"/>
        <v>0</v>
      </c>
      <c r="BR22" s="10">
        <f t="shared" ref="BR22" si="1534">$B22/$B$31*$D22*BS$31</f>
        <v>0</v>
      </c>
      <c r="BS22" s="10">
        <f t="shared" si="53"/>
        <v>0</v>
      </c>
      <c r="BT22" s="10">
        <f t="shared" ref="BT22" si="1535">$B22/$B$31*$D22*BU$31</f>
        <v>0</v>
      </c>
      <c r="BU22" s="10">
        <f t="shared" si="53"/>
        <v>0</v>
      </c>
      <c r="BV22" s="10">
        <f t="shared" ref="BV22" si="1536">$B22/$B$31*$D22*BW$31</f>
        <v>0</v>
      </c>
      <c r="BW22" s="10">
        <f t="shared" si="53"/>
        <v>0</v>
      </c>
      <c r="BX22" s="10">
        <f t="shared" ref="BX22" si="1537">$B22/$B$31*$D22*BY$31</f>
        <v>0</v>
      </c>
      <c r="BY22" s="10">
        <f t="shared" si="53"/>
        <v>0</v>
      </c>
      <c r="BZ22" s="10">
        <f t="shared" ref="BZ22" si="1538">$B22/$B$31*$D22*CA$31</f>
        <v>0</v>
      </c>
      <c r="CA22" s="10">
        <f t="shared" si="53"/>
        <v>0</v>
      </c>
      <c r="CB22" s="10">
        <f t="shared" ref="CB22" si="1539">$B22/$B$31*$D22*CC$31</f>
        <v>0</v>
      </c>
      <c r="CC22" s="10">
        <f t="shared" si="63"/>
        <v>0</v>
      </c>
      <c r="CD22" s="10">
        <f t="shared" ref="CD22" si="1540">$B22/$B$31*$D22*CE$31</f>
        <v>0</v>
      </c>
      <c r="CE22" s="10">
        <f t="shared" si="65"/>
        <v>0</v>
      </c>
      <c r="CF22" s="10">
        <f t="shared" ref="CF22" si="1541">$B22/$B$31*$D22*CG$31</f>
        <v>0</v>
      </c>
      <c r="CG22" s="10">
        <f t="shared" si="67"/>
        <v>0</v>
      </c>
      <c r="CH22" s="10">
        <f t="shared" ref="CH22" si="1542">$B22/$B$31*$D22*CI$31</f>
        <v>0</v>
      </c>
      <c r="CI22" s="10">
        <f t="shared" si="69"/>
        <v>0</v>
      </c>
      <c r="CJ22" s="10">
        <f t="shared" ref="CJ22" si="1543">$B22/$B$31*$D22*CK$31</f>
        <v>0</v>
      </c>
      <c r="CK22" s="10">
        <f t="shared" si="71"/>
        <v>0</v>
      </c>
      <c r="CL22" s="10">
        <f t="shared" ref="CL22" si="1544">$B22/$B$31*$D22*CM$31</f>
        <v>0</v>
      </c>
      <c r="CM22" s="10">
        <f t="shared" si="73"/>
        <v>0</v>
      </c>
      <c r="CN22" s="10">
        <f t="shared" ref="CN22" si="1545">$B22/$B$31*$D22*CO$31</f>
        <v>0</v>
      </c>
      <c r="CO22" s="10">
        <f t="shared" si="75"/>
        <v>0</v>
      </c>
      <c r="CP22" s="10">
        <f t="shared" ref="CP22" si="1546">$B22/$B$31*$D22*CQ$31</f>
        <v>0</v>
      </c>
      <c r="CQ22" s="10">
        <f t="shared" si="77"/>
        <v>0</v>
      </c>
      <c r="CR22" s="10">
        <f t="shared" ref="CR22" si="1547">$B22/$B$31*$D22*CS$31</f>
        <v>0</v>
      </c>
      <c r="CS22" s="10">
        <f t="shared" si="79"/>
        <v>0</v>
      </c>
      <c r="CT22" s="10">
        <f t="shared" ref="CT22" si="1548">$B22/$B$31*$D22*CU$31</f>
        <v>0</v>
      </c>
      <c r="CU22" s="10">
        <f t="shared" si="81"/>
        <v>0</v>
      </c>
      <c r="CV22" s="10">
        <f t="shared" ref="CV22" si="1549">$B22/$B$31*$D22*CW$31</f>
        <v>0</v>
      </c>
      <c r="CW22" s="10">
        <f t="shared" si="83"/>
        <v>0</v>
      </c>
      <c r="CX22" s="10">
        <f t="shared" ref="CX22" si="1550">$B22/$B$31*$D22*CY$31</f>
        <v>0</v>
      </c>
      <c r="CY22" s="10">
        <f t="shared" si="85"/>
        <v>0</v>
      </c>
      <c r="CZ22" s="10">
        <f t="shared" ref="CZ22" si="1551">$B22/$B$31*$D22*DA$31</f>
        <v>0</v>
      </c>
      <c r="DA22" s="10">
        <f t="shared" si="87"/>
        <v>0</v>
      </c>
      <c r="DB22" s="10">
        <f t="shared" ref="DB22" si="1552">$B22/$B$31*$D22*DC$31</f>
        <v>0</v>
      </c>
      <c r="DC22" s="10">
        <f t="shared" si="89"/>
        <v>0</v>
      </c>
      <c r="DD22" s="10">
        <f t="shared" ref="DD22" si="1553">$B22/$B$31*$D22*DE$31</f>
        <v>0</v>
      </c>
      <c r="DE22" s="10">
        <f t="shared" si="91"/>
        <v>0</v>
      </c>
      <c r="DF22" s="10">
        <f t="shared" ref="DF22" si="1554">$B22/$B$31*$D22*DG$31</f>
        <v>0</v>
      </c>
      <c r="DG22" s="10">
        <f t="shared" si="93"/>
        <v>0</v>
      </c>
      <c r="DH22" s="10">
        <f t="shared" ref="DH22" si="1555">$B22/$B$31*$D22*DI$31</f>
        <v>0</v>
      </c>
      <c r="DI22" s="10">
        <f t="shared" si="95"/>
        <v>0</v>
      </c>
      <c r="DJ22" s="10">
        <f t="shared" ref="DJ22" si="1556">$B22/$B$31*$D22*DK$31</f>
        <v>0</v>
      </c>
      <c r="DK22" s="10">
        <f t="shared" si="97"/>
        <v>0</v>
      </c>
      <c r="DL22" s="10">
        <f t="shared" ref="DL22" si="1557">$B22/$B$31*$D22*DM$31</f>
        <v>0</v>
      </c>
      <c r="DM22" s="10">
        <f t="shared" si="99"/>
        <v>0</v>
      </c>
      <c r="DN22" s="10">
        <f t="shared" ref="DN22" si="1558">$B22/$B$31*$D22*DO$31</f>
        <v>0</v>
      </c>
      <c r="DO22" s="10">
        <f t="shared" si="101"/>
        <v>0</v>
      </c>
      <c r="DP22" s="10">
        <f t="shared" ref="DP22" si="1559">$B22/$B$31*$D22*DQ$31</f>
        <v>0</v>
      </c>
      <c r="DQ22" s="10">
        <f t="shared" si="103"/>
        <v>0</v>
      </c>
      <c r="DR22" s="10">
        <f t="shared" ref="DR22" si="1560">$B22/$B$31*$D22*DS$31</f>
        <v>0</v>
      </c>
      <c r="DS22" s="10">
        <f t="shared" si="105"/>
        <v>0</v>
      </c>
      <c r="DT22" s="10">
        <f t="shared" ref="DT22" si="1561">$B22/$B$31*$D22*DU$31</f>
        <v>0</v>
      </c>
      <c r="DU22" s="10">
        <f t="shared" si="107"/>
        <v>0</v>
      </c>
      <c r="DV22" s="10">
        <f t="shared" ref="DV22" si="1562">$B22/$B$31*$D22*DW$31</f>
        <v>0</v>
      </c>
      <c r="DW22" s="10">
        <f t="shared" si="109"/>
        <v>0</v>
      </c>
      <c r="DX22" s="10">
        <f t="shared" ref="DX22" si="1563">$B22/$B$31*$D22*DY$31</f>
        <v>0</v>
      </c>
      <c r="DY22" s="10">
        <f t="shared" si="111"/>
        <v>0</v>
      </c>
      <c r="DZ22" s="10">
        <f t="shared" ref="DZ22" si="1564">$B22/$B$31*$D22*EA$31</f>
        <v>0</v>
      </c>
      <c r="EA22" s="10">
        <f t="shared" si="113"/>
        <v>0</v>
      </c>
      <c r="EB22" s="10">
        <f t="shared" ref="EB22" si="1565">$B22/$B$31*$D22*EC$31</f>
        <v>0</v>
      </c>
      <c r="EC22" s="10">
        <f t="shared" si="115"/>
        <v>0</v>
      </c>
      <c r="ED22" s="10">
        <f t="shared" ref="ED22" si="1566">$B22/$B$31*$D22*EE$31</f>
        <v>0</v>
      </c>
      <c r="EE22" s="10">
        <f t="shared" si="117"/>
        <v>0</v>
      </c>
      <c r="EF22" s="10">
        <f t="shared" ref="EF22" si="1567">$B22/$B$31*$D22*EG$31</f>
        <v>0</v>
      </c>
      <c r="EG22" s="10">
        <f t="shared" si="119"/>
        <v>0</v>
      </c>
      <c r="EH22" s="10">
        <f t="shared" ref="EH22" si="1568">$B22/$B$31*$D22*EI$31</f>
        <v>0</v>
      </c>
      <c r="EI22" s="10">
        <f t="shared" si="121"/>
        <v>0</v>
      </c>
      <c r="EJ22" s="10">
        <f t="shared" ref="EJ22" si="1569">$B22/$B$31*$D22*EK$31</f>
        <v>0</v>
      </c>
      <c r="EK22" s="10">
        <f t="shared" si="123"/>
        <v>0</v>
      </c>
      <c r="EL22" s="10">
        <f t="shared" ref="EL22" si="1570">$B22/$B$31*$D22*EM$31</f>
        <v>0</v>
      </c>
      <c r="EM22" s="10">
        <f t="shared" si="125"/>
        <v>0</v>
      </c>
      <c r="EN22" s="10">
        <f t="shared" ref="EN22" si="1571">$B22/$B$31*$D22*EO$31</f>
        <v>0</v>
      </c>
      <c r="EO22" s="10">
        <f t="shared" si="127"/>
        <v>0</v>
      </c>
      <c r="EP22" s="10">
        <f t="shared" ref="EP22" si="1572">$B22/$B$31*$D22*EQ$31</f>
        <v>0</v>
      </c>
      <c r="EQ22" s="10">
        <f t="shared" si="129"/>
        <v>0</v>
      </c>
      <c r="ER22" s="10">
        <f t="shared" ref="ER22" si="1573">$B22/$B$31*$D22*ES$31</f>
        <v>0</v>
      </c>
      <c r="ES22" s="10">
        <f t="shared" si="131"/>
        <v>0</v>
      </c>
      <c r="ET22" s="10">
        <f t="shared" ref="ET22" si="1574">$B22/$B$31*$D22*EU$31</f>
        <v>0</v>
      </c>
      <c r="EU22" s="10">
        <f t="shared" si="133"/>
        <v>0</v>
      </c>
      <c r="EV22" s="10">
        <f t="shared" ref="EV22" si="1575">$B22/$B$31*$D22*EW$31</f>
        <v>0</v>
      </c>
      <c r="EW22" s="10">
        <f t="shared" si="133"/>
        <v>0</v>
      </c>
      <c r="EX22" s="10">
        <f t="shared" ref="EX22" si="1576">$B22/$B$31*$D22*EY$31</f>
        <v>0</v>
      </c>
      <c r="EY22" s="10">
        <f t="shared" si="133"/>
        <v>0</v>
      </c>
      <c r="EZ22" s="10">
        <f t="shared" ref="EZ22" si="1577">$B22/$B$31*$D22*FA$31</f>
        <v>0</v>
      </c>
      <c r="FA22" s="10">
        <f t="shared" si="133"/>
        <v>0</v>
      </c>
      <c r="FB22" s="10">
        <f t="shared" ref="FB22" si="1578">$B22/$B$31*$D22*FC$31</f>
        <v>0</v>
      </c>
      <c r="FC22" s="10">
        <f t="shared" si="133"/>
        <v>0</v>
      </c>
      <c r="FD22" s="10">
        <f t="shared" ref="FD22" si="1579">$B22/$B$31*$D22*FE$31</f>
        <v>0</v>
      </c>
      <c r="FE22" s="10">
        <f t="shared" si="133"/>
        <v>0</v>
      </c>
      <c r="FF22" s="10">
        <f t="shared" ref="FF22" si="1580">$B22/$B$31*$D22*FG$31</f>
        <v>0</v>
      </c>
      <c r="FG22" s="10">
        <f t="shared" si="133"/>
        <v>0</v>
      </c>
      <c r="FH22" s="10">
        <f t="shared" ref="FH22" si="1581">$B22/$B$31*$D22*FI$31</f>
        <v>0</v>
      </c>
      <c r="FI22" s="10">
        <f t="shared" si="133"/>
        <v>0</v>
      </c>
      <c r="FJ22" s="10">
        <f t="shared" ref="FJ22" si="1582">$B22/$B$31*$D22*FK$31</f>
        <v>0</v>
      </c>
      <c r="FK22" s="10">
        <f t="shared" si="133"/>
        <v>0</v>
      </c>
      <c r="FL22" s="10">
        <f t="shared" ref="FL22" si="1583">$B22/$B$31*$D22*FM$31</f>
        <v>0</v>
      </c>
      <c r="FM22" s="10">
        <f t="shared" si="133"/>
        <v>0</v>
      </c>
      <c r="FN22" s="10">
        <f t="shared" ref="FN22" si="1584">$B22/$B$31*$D22*FO$31</f>
        <v>0</v>
      </c>
      <c r="FO22" s="10">
        <f t="shared" si="144"/>
        <v>0</v>
      </c>
      <c r="FP22" s="10">
        <f t="shared" ref="FP22" si="1585">$B22/$B$31*$D22*FQ$31</f>
        <v>0</v>
      </c>
      <c r="FQ22" s="10">
        <f t="shared" si="146"/>
        <v>0</v>
      </c>
      <c r="FR22" s="10">
        <f t="shared" ref="FR22" si="1586">$B22/$B$31*$D22*FS$31</f>
        <v>0</v>
      </c>
      <c r="FS22" s="10">
        <f t="shared" si="148"/>
        <v>0</v>
      </c>
      <c r="FT22" s="10">
        <f t="shared" ref="FT22" si="1587">$B22/$B$31*$D22*FU$31</f>
        <v>0</v>
      </c>
      <c r="FU22" s="10">
        <f t="shared" si="150"/>
        <v>0</v>
      </c>
      <c r="FV22" s="10">
        <f t="shared" ref="FV22" si="1588">$B22/$B$31*$D22*FW$31</f>
        <v>0</v>
      </c>
      <c r="FW22" s="10">
        <f t="shared" si="152"/>
        <v>0</v>
      </c>
      <c r="FX22" s="10">
        <f t="shared" ref="FX22" si="1589">$B22/$B$31*$D22*FY$31</f>
        <v>0</v>
      </c>
      <c r="FY22" s="10">
        <f t="shared" si="154"/>
        <v>0</v>
      </c>
      <c r="FZ22" s="10">
        <f t="shared" ref="FZ22" si="1590">$B22/$B$31*$D22*GA$31</f>
        <v>0</v>
      </c>
      <c r="GA22" s="10">
        <f t="shared" si="156"/>
        <v>0</v>
      </c>
      <c r="GB22" s="10">
        <f t="shared" ref="GB22" si="1591">$B22/$B$31*$D22*GC$31</f>
        <v>0</v>
      </c>
      <c r="GC22" s="10">
        <f t="shared" si="158"/>
        <v>0</v>
      </c>
      <c r="GD22" s="10">
        <f t="shared" ref="GD22" si="1592">$B22/$B$31*$D22*GE$31</f>
        <v>0</v>
      </c>
      <c r="GE22" s="10">
        <f t="shared" si="160"/>
        <v>0</v>
      </c>
      <c r="GF22" s="10">
        <f t="shared" ref="GF22" si="1593">$B22/$B$31*$D22*GG$31</f>
        <v>0</v>
      </c>
      <c r="GG22" s="10">
        <f t="shared" si="162"/>
        <v>0</v>
      </c>
      <c r="GH22" s="10">
        <f t="shared" ref="GH22" si="1594">$B22/$B$31*$D22*GI$31</f>
        <v>0</v>
      </c>
      <c r="GI22" s="10">
        <f t="shared" si="164"/>
        <v>0</v>
      </c>
      <c r="GJ22" s="10">
        <f t="shared" ref="GJ22" si="1595">$B22/$B$31*$D22*GK$31</f>
        <v>0</v>
      </c>
      <c r="GK22" s="10">
        <f t="shared" si="166"/>
        <v>0</v>
      </c>
      <c r="GL22" s="10">
        <f t="shared" ref="GL22" si="1596">$B22/$B$31*$D22*GM$31</f>
        <v>0</v>
      </c>
      <c r="GM22" s="10">
        <f t="shared" si="168"/>
        <v>0</v>
      </c>
      <c r="GN22" s="10">
        <f t="shared" ref="GN22" si="1597">$B22/$B$31*$D22*GO$31</f>
        <v>0</v>
      </c>
      <c r="GO22" s="10">
        <f t="shared" si="170"/>
        <v>0</v>
      </c>
      <c r="GP22" s="10">
        <f t="shared" ref="GP22" si="1598">$B22/$B$31*$D22*GQ$31</f>
        <v>0</v>
      </c>
      <c r="GQ22" s="10">
        <f t="shared" si="172"/>
        <v>0</v>
      </c>
      <c r="GR22" s="10">
        <f t="shared" ref="GR22" si="1599">$B22/$B$31*$D22*GS$31</f>
        <v>0</v>
      </c>
      <c r="GS22" s="10">
        <f t="shared" si="174"/>
        <v>0</v>
      </c>
      <c r="GT22" s="10">
        <f t="shared" ref="GT22" si="1600">$B22/$B$31*$D22*GU$31</f>
        <v>0</v>
      </c>
      <c r="GU22" s="10">
        <f t="shared" si="176"/>
        <v>0</v>
      </c>
      <c r="GV22" s="10">
        <f t="shared" ref="GV22" si="1601">$B22/$B$31*$D22*GW$31</f>
        <v>0</v>
      </c>
      <c r="GW22" s="10">
        <f t="shared" si="178"/>
        <v>0</v>
      </c>
      <c r="GX22" s="10">
        <f t="shared" ref="GX22" si="1602">$B22/$B$31*$D22*GY$31</f>
        <v>0</v>
      </c>
      <c r="GY22" s="10">
        <f t="shared" si="180"/>
        <v>0</v>
      </c>
      <c r="GZ22" s="10">
        <f t="shared" ref="GZ22" si="1603">$B22/$B$31*$D22*HA$31</f>
        <v>0</v>
      </c>
      <c r="HA22" s="10">
        <f t="shared" si="182"/>
        <v>0</v>
      </c>
      <c r="HB22" s="10">
        <f t="shared" ref="HB22" si="1604">$B22/$B$31*$D22*HC$31</f>
        <v>0</v>
      </c>
      <c r="HC22" s="10">
        <f t="shared" si="184"/>
        <v>0</v>
      </c>
      <c r="HD22" s="10">
        <f t="shared" ref="HD22" si="1605">$B22/$B$31*$D22*HE$31</f>
        <v>0</v>
      </c>
      <c r="HE22" s="10">
        <f t="shared" si="186"/>
        <v>0</v>
      </c>
      <c r="HF22" s="10">
        <f t="shared" ref="HF22" si="1606">$B22/$B$31*$D22*HG$31</f>
        <v>0</v>
      </c>
      <c r="HG22" s="10">
        <f t="shared" si="188"/>
        <v>0</v>
      </c>
      <c r="HH22" s="10">
        <f t="shared" ref="HH22" si="1607">$B22/$B$31*$D22*HI$31</f>
        <v>0</v>
      </c>
      <c r="HI22" s="10">
        <f t="shared" si="190"/>
        <v>0</v>
      </c>
      <c r="HJ22" s="10">
        <f t="shared" ref="HJ22" si="1608">$B22/$B$31*$D22*HK$31</f>
        <v>0</v>
      </c>
      <c r="HK22" s="10">
        <f t="shared" si="192"/>
        <v>0</v>
      </c>
      <c r="HL22" s="10">
        <f t="shared" ref="HL22" si="1609">$B22/$B$31*$D22*HM$31</f>
        <v>0</v>
      </c>
      <c r="HM22" s="10">
        <f t="shared" si="194"/>
        <v>0</v>
      </c>
      <c r="HN22" s="10">
        <f t="shared" ref="HN22" si="1610">$B22/$B$31*$D22*HO$31</f>
        <v>0</v>
      </c>
      <c r="HO22" s="10">
        <f t="shared" si="196"/>
        <v>0</v>
      </c>
      <c r="HP22" s="10">
        <f t="shared" ref="HP22" si="1611">$B22/$B$31*$D22*HQ$31</f>
        <v>0</v>
      </c>
      <c r="HQ22" s="10">
        <f t="shared" si="198"/>
        <v>0</v>
      </c>
      <c r="HR22" s="10">
        <f t="shared" ref="HR22" si="1612">$B22/$B$31*$D22*HS$31</f>
        <v>0</v>
      </c>
      <c r="HS22" s="10">
        <f t="shared" si="200"/>
        <v>0</v>
      </c>
      <c r="HT22" s="10">
        <f t="shared" ref="HT22" si="1613">$B22/$B$31*$D22*HU$31</f>
        <v>0</v>
      </c>
      <c r="HU22" s="10">
        <f t="shared" si="202"/>
        <v>0</v>
      </c>
      <c r="HV22" s="10"/>
      <c r="HW22" s="10"/>
      <c r="HX22" s="10"/>
    </row>
    <row r="23" spans="1:232" x14ac:dyDescent="0.3">
      <c r="A23" s="18">
        <f>参数调整!A23</f>
        <v>20</v>
      </c>
      <c r="B23" s="170">
        <f>参数调整!B23</f>
        <v>100</v>
      </c>
      <c r="C23" s="10">
        <f>参数调整!F23</f>
        <v>4.9000000000000004</v>
      </c>
      <c r="D23" s="10">
        <f>参数调整!G23</f>
        <v>4.9000000000000004</v>
      </c>
      <c r="E23" s="15">
        <f>基本属性!B23</f>
        <v>210</v>
      </c>
      <c r="F23" s="15">
        <f>基本属性!C23</f>
        <v>13</v>
      </c>
      <c r="G23" s="271"/>
      <c r="H23" s="10">
        <f t="shared" si="45"/>
        <v>446876424988.6001</v>
      </c>
      <c r="I23" s="188">
        <f t="shared" si="0"/>
        <v>446876424988.6001</v>
      </c>
      <c r="J23" s="10">
        <f t="shared" si="1"/>
        <v>18483649.24067647</v>
      </c>
      <c r="K23" s="10">
        <f t="shared" si="2"/>
        <v>18483649.24067647</v>
      </c>
      <c r="L23" s="10">
        <f t="shared" si="46"/>
        <v>246.08811348687291</v>
      </c>
      <c r="M23" s="10">
        <f t="shared" si="47"/>
        <v>246.08811348687291</v>
      </c>
      <c r="N23" s="10">
        <f t="shared" si="48"/>
        <v>1790.1869585043321</v>
      </c>
      <c r="O23" s="10">
        <f t="shared" si="49"/>
        <v>1790.1869585043321</v>
      </c>
      <c r="P23" s="10">
        <f t="shared" si="3"/>
        <v>34483.964128286978</v>
      </c>
      <c r="Q23" s="10">
        <f t="shared" si="4"/>
        <v>34483.964128286978</v>
      </c>
      <c r="R23" s="10">
        <f t="shared" si="5"/>
        <v>109.03784769721842</v>
      </c>
      <c r="S23" s="10">
        <f t="shared" si="6"/>
        <v>109.03784769721842</v>
      </c>
      <c r="T23" s="10">
        <f t="shared" si="7"/>
        <v>162.82366054797052</v>
      </c>
      <c r="U23" s="10">
        <f t="shared" si="8"/>
        <v>162.82366054797052</v>
      </c>
      <c r="V23" s="10">
        <f t="shared" si="9"/>
        <v>162.82366054797052</v>
      </c>
      <c r="W23" s="10">
        <f t="shared" si="10"/>
        <v>162.82366054797052</v>
      </c>
      <c r="X23" s="10">
        <f t="shared" si="11"/>
        <v>162.82366054797052</v>
      </c>
      <c r="Y23" s="10">
        <f t="shared" si="12"/>
        <v>162.82366054797052</v>
      </c>
      <c r="Z23" s="10">
        <f t="shared" si="13"/>
        <v>162.82366054797052</v>
      </c>
      <c r="AA23" s="10">
        <f t="shared" si="14"/>
        <v>162.82366054797052</v>
      </c>
      <c r="AB23" s="10">
        <f t="shared" si="15"/>
        <v>4173.8258093935247</v>
      </c>
      <c r="AC23" s="10">
        <f t="shared" si="16"/>
        <v>4173.8258093935247</v>
      </c>
      <c r="AD23" s="10">
        <f t="shared" si="17"/>
        <v>1250.3739871619489</v>
      </c>
      <c r="AE23" s="10">
        <f t="shared" si="18"/>
        <v>1250.3739871619489</v>
      </c>
      <c r="AF23" s="10">
        <f t="shared" si="19"/>
        <v>625.18699358097444</v>
      </c>
      <c r="AG23" s="10">
        <f t="shared" si="20"/>
        <v>625.18699358097444</v>
      </c>
      <c r="AH23" s="10">
        <f t="shared" si="21"/>
        <v>125.0373987161949</v>
      </c>
      <c r="AI23" s="10">
        <f t="shared" si="22"/>
        <v>125.0373987161949</v>
      </c>
      <c r="AJ23" s="10">
        <f t="shared" si="23"/>
        <v>1428.9530860223706</v>
      </c>
      <c r="AK23" s="10">
        <f t="shared" si="24"/>
        <v>1428.9530860223706</v>
      </c>
      <c r="AL23" s="10">
        <f t="shared" si="25"/>
        <v>714.4765430111853</v>
      </c>
      <c r="AM23" s="10">
        <f t="shared" si="26"/>
        <v>714.4765430111853</v>
      </c>
      <c r="AN23" s="10">
        <f t="shared" si="27"/>
        <v>142.89530860223707</v>
      </c>
      <c r="AO23" s="10">
        <f t="shared" si="28"/>
        <v>142.89530860223707</v>
      </c>
      <c r="AP23" s="10">
        <f t="shared" si="29"/>
        <v>67.795033114884191</v>
      </c>
      <c r="AQ23" s="10">
        <f t="shared" si="30"/>
        <v>67.795033114884191</v>
      </c>
      <c r="AR23" s="10">
        <f t="shared" si="31"/>
        <v>0.89486586722499251</v>
      </c>
      <c r="AS23" s="10">
        <f t="shared" si="32"/>
        <v>0.89486586722499251</v>
      </c>
      <c r="AT23" s="10">
        <f t="shared" si="33"/>
        <v>0.89486586722499251</v>
      </c>
      <c r="AU23" s="10">
        <f t="shared" si="34"/>
        <v>0.89486586722499251</v>
      </c>
      <c r="AV23" s="10">
        <f t="shared" si="35"/>
        <v>8.0537928050249317</v>
      </c>
      <c r="AW23" s="10">
        <f t="shared" si="36"/>
        <v>8.0537928050249317</v>
      </c>
      <c r="AX23" s="10">
        <f t="shared" si="37"/>
        <v>24.608811348687293</v>
      </c>
      <c r="AY23" s="10">
        <f t="shared" si="38"/>
        <v>24.608811348687293</v>
      </c>
      <c r="AZ23" s="10">
        <f t="shared" si="39"/>
        <v>2.2371646680624813</v>
      </c>
      <c r="BA23" s="10">
        <f t="shared" si="40"/>
        <v>2.2371646680624813</v>
      </c>
      <c r="BB23" s="10">
        <f t="shared" si="41"/>
        <v>2.2371646680624813</v>
      </c>
      <c r="BC23" s="10">
        <f t="shared" si="42"/>
        <v>2.2371646680624813</v>
      </c>
      <c r="BD23" s="10">
        <f t="shared" si="43"/>
        <v>8.9486586722499251</v>
      </c>
      <c r="BE23" s="10">
        <f t="shared" si="44"/>
        <v>8.9486586722499251</v>
      </c>
      <c r="BF23" s="10">
        <f t="shared" si="50"/>
        <v>11.185823340312407</v>
      </c>
      <c r="BG23" s="10">
        <f t="shared" si="51"/>
        <v>11.185823340312407</v>
      </c>
      <c r="BH23" s="10">
        <f t="shared" si="52"/>
        <v>0</v>
      </c>
      <c r="BI23" s="10">
        <f t="shared" si="53"/>
        <v>0</v>
      </c>
      <c r="BJ23" s="10">
        <f t="shared" si="52"/>
        <v>0</v>
      </c>
      <c r="BK23" s="10">
        <f t="shared" si="53"/>
        <v>0</v>
      </c>
      <c r="BL23" s="10">
        <f t="shared" ref="BL23" si="1614">$B23/$B$31*$D23*BM$31</f>
        <v>0</v>
      </c>
      <c r="BM23" s="10">
        <f t="shared" si="53"/>
        <v>0</v>
      </c>
      <c r="BN23" s="10">
        <f t="shared" ref="BN23" si="1615">$B23/$B$31*$D23*BO$31</f>
        <v>0</v>
      </c>
      <c r="BO23" s="10">
        <f t="shared" si="53"/>
        <v>0</v>
      </c>
      <c r="BP23" s="10">
        <f t="shared" ref="BP23" si="1616">$B23/$B$31*$D23*BQ$31</f>
        <v>0</v>
      </c>
      <c r="BQ23" s="10">
        <f t="shared" si="53"/>
        <v>0</v>
      </c>
      <c r="BR23" s="10">
        <f t="shared" ref="BR23" si="1617">$B23/$B$31*$D23*BS$31</f>
        <v>0</v>
      </c>
      <c r="BS23" s="10">
        <f t="shared" si="53"/>
        <v>0</v>
      </c>
      <c r="BT23" s="10">
        <f t="shared" ref="BT23" si="1618">$B23/$B$31*$D23*BU$31</f>
        <v>0</v>
      </c>
      <c r="BU23" s="10">
        <f t="shared" si="53"/>
        <v>0</v>
      </c>
      <c r="BV23" s="10">
        <f t="shared" ref="BV23" si="1619">$B23/$B$31*$D23*BW$31</f>
        <v>0</v>
      </c>
      <c r="BW23" s="10">
        <f t="shared" si="53"/>
        <v>0</v>
      </c>
      <c r="BX23" s="10">
        <f t="shared" ref="BX23" si="1620">$B23/$B$31*$D23*BY$31</f>
        <v>0</v>
      </c>
      <c r="BY23" s="10">
        <f t="shared" si="53"/>
        <v>0</v>
      </c>
      <c r="BZ23" s="10">
        <f t="shared" ref="BZ23" si="1621">$B23/$B$31*$D23*CA$31</f>
        <v>0</v>
      </c>
      <c r="CA23" s="10">
        <f t="shared" si="53"/>
        <v>0</v>
      </c>
      <c r="CB23" s="10">
        <f t="shared" ref="CB23" si="1622">$B23/$B$31*$D23*CC$31</f>
        <v>0</v>
      </c>
      <c r="CC23" s="10">
        <f t="shared" si="63"/>
        <v>0</v>
      </c>
      <c r="CD23" s="10">
        <f t="shared" ref="CD23" si="1623">$B23/$B$31*$D23*CE$31</f>
        <v>0</v>
      </c>
      <c r="CE23" s="10">
        <f t="shared" si="65"/>
        <v>0</v>
      </c>
      <c r="CF23" s="10">
        <f t="shared" ref="CF23" si="1624">$B23/$B$31*$D23*CG$31</f>
        <v>0</v>
      </c>
      <c r="CG23" s="10">
        <f t="shared" si="67"/>
        <v>0</v>
      </c>
      <c r="CH23" s="10">
        <f t="shared" ref="CH23" si="1625">$B23/$B$31*$D23*CI$31</f>
        <v>0</v>
      </c>
      <c r="CI23" s="10">
        <f t="shared" si="69"/>
        <v>0</v>
      </c>
      <c r="CJ23" s="10">
        <f t="shared" ref="CJ23" si="1626">$B23/$B$31*$D23*CK$31</f>
        <v>0</v>
      </c>
      <c r="CK23" s="10">
        <f t="shared" si="71"/>
        <v>0</v>
      </c>
      <c r="CL23" s="10">
        <f t="shared" ref="CL23" si="1627">$B23/$B$31*$D23*CM$31</f>
        <v>0</v>
      </c>
      <c r="CM23" s="10">
        <f t="shared" si="73"/>
        <v>0</v>
      </c>
      <c r="CN23" s="10">
        <f t="shared" ref="CN23" si="1628">$B23/$B$31*$D23*CO$31</f>
        <v>0</v>
      </c>
      <c r="CO23" s="10">
        <f t="shared" si="75"/>
        <v>0</v>
      </c>
      <c r="CP23" s="10">
        <f t="shared" ref="CP23" si="1629">$B23/$B$31*$D23*CQ$31</f>
        <v>0</v>
      </c>
      <c r="CQ23" s="10">
        <f t="shared" si="77"/>
        <v>0</v>
      </c>
      <c r="CR23" s="10">
        <f t="shared" ref="CR23" si="1630">$B23/$B$31*$D23*CS$31</f>
        <v>0</v>
      </c>
      <c r="CS23" s="10">
        <f t="shared" si="79"/>
        <v>0</v>
      </c>
      <c r="CT23" s="10">
        <f t="shared" ref="CT23" si="1631">$B23/$B$31*$D23*CU$31</f>
        <v>0</v>
      </c>
      <c r="CU23" s="10">
        <f t="shared" si="81"/>
        <v>0</v>
      </c>
      <c r="CV23" s="10">
        <f t="shared" ref="CV23" si="1632">$B23/$B$31*$D23*CW$31</f>
        <v>0</v>
      </c>
      <c r="CW23" s="10">
        <f t="shared" si="83"/>
        <v>0</v>
      </c>
      <c r="CX23" s="10">
        <f t="shared" ref="CX23" si="1633">$B23/$B$31*$D23*CY$31</f>
        <v>0</v>
      </c>
      <c r="CY23" s="10">
        <f t="shared" si="85"/>
        <v>0</v>
      </c>
      <c r="CZ23" s="10">
        <f t="shared" ref="CZ23" si="1634">$B23/$B$31*$D23*DA$31</f>
        <v>0</v>
      </c>
      <c r="DA23" s="10">
        <f t="shared" si="87"/>
        <v>0</v>
      </c>
      <c r="DB23" s="10">
        <f t="shared" ref="DB23" si="1635">$B23/$B$31*$D23*DC$31</f>
        <v>0</v>
      </c>
      <c r="DC23" s="10">
        <f t="shared" si="89"/>
        <v>0</v>
      </c>
      <c r="DD23" s="10">
        <f t="shared" ref="DD23" si="1636">$B23/$B$31*$D23*DE$31</f>
        <v>0</v>
      </c>
      <c r="DE23" s="10">
        <f t="shared" si="91"/>
        <v>0</v>
      </c>
      <c r="DF23" s="10">
        <f t="shared" ref="DF23" si="1637">$B23/$B$31*$D23*DG$31</f>
        <v>0</v>
      </c>
      <c r="DG23" s="10">
        <f t="shared" si="93"/>
        <v>0</v>
      </c>
      <c r="DH23" s="10">
        <f t="shared" ref="DH23" si="1638">$B23/$B$31*$D23*DI$31</f>
        <v>0</v>
      </c>
      <c r="DI23" s="10">
        <f t="shared" si="95"/>
        <v>0</v>
      </c>
      <c r="DJ23" s="10">
        <f t="shared" ref="DJ23" si="1639">$B23/$B$31*$D23*DK$31</f>
        <v>0</v>
      </c>
      <c r="DK23" s="10">
        <f t="shared" si="97"/>
        <v>0</v>
      </c>
      <c r="DL23" s="10">
        <f t="shared" ref="DL23" si="1640">$B23/$B$31*$D23*DM$31</f>
        <v>0</v>
      </c>
      <c r="DM23" s="10">
        <f t="shared" si="99"/>
        <v>0</v>
      </c>
      <c r="DN23" s="10">
        <f t="shared" ref="DN23" si="1641">$B23/$B$31*$D23*DO$31</f>
        <v>0</v>
      </c>
      <c r="DO23" s="10">
        <f t="shared" si="101"/>
        <v>0</v>
      </c>
      <c r="DP23" s="10">
        <f t="shared" ref="DP23" si="1642">$B23/$B$31*$D23*DQ$31</f>
        <v>0</v>
      </c>
      <c r="DQ23" s="10">
        <f t="shared" si="103"/>
        <v>0</v>
      </c>
      <c r="DR23" s="10">
        <f t="shared" ref="DR23" si="1643">$B23/$B$31*$D23*DS$31</f>
        <v>0</v>
      </c>
      <c r="DS23" s="10">
        <f t="shared" si="105"/>
        <v>0</v>
      </c>
      <c r="DT23" s="10">
        <f t="shared" ref="DT23" si="1644">$B23/$B$31*$D23*DU$31</f>
        <v>0</v>
      </c>
      <c r="DU23" s="10">
        <f t="shared" si="107"/>
        <v>0</v>
      </c>
      <c r="DV23" s="10">
        <f t="shared" ref="DV23" si="1645">$B23/$B$31*$D23*DW$31</f>
        <v>0</v>
      </c>
      <c r="DW23" s="10">
        <f t="shared" si="109"/>
        <v>0</v>
      </c>
      <c r="DX23" s="10">
        <f t="shared" ref="DX23" si="1646">$B23/$B$31*$D23*DY$31</f>
        <v>0</v>
      </c>
      <c r="DY23" s="10">
        <f t="shared" si="111"/>
        <v>0</v>
      </c>
      <c r="DZ23" s="10">
        <f t="shared" ref="DZ23" si="1647">$B23/$B$31*$D23*EA$31</f>
        <v>0</v>
      </c>
      <c r="EA23" s="10">
        <f t="shared" si="113"/>
        <v>0</v>
      </c>
      <c r="EB23" s="10">
        <f t="shared" ref="EB23" si="1648">$B23/$B$31*$D23*EC$31</f>
        <v>0</v>
      </c>
      <c r="EC23" s="10">
        <f t="shared" si="115"/>
        <v>0</v>
      </c>
      <c r="ED23" s="10">
        <f t="shared" ref="ED23" si="1649">$B23/$B$31*$D23*EE$31</f>
        <v>0</v>
      </c>
      <c r="EE23" s="10">
        <f t="shared" si="117"/>
        <v>0</v>
      </c>
      <c r="EF23" s="10">
        <f t="shared" ref="EF23" si="1650">$B23/$B$31*$D23*EG$31</f>
        <v>0</v>
      </c>
      <c r="EG23" s="10">
        <f t="shared" si="119"/>
        <v>0</v>
      </c>
      <c r="EH23" s="10">
        <f t="shared" ref="EH23" si="1651">$B23/$B$31*$D23*EI$31</f>
        <v>0</v>
      </c>
      <c r="EI23" s="10">
        <f t="shared" si="121"/>
        <v>0</v>
      </c>
      <c r="EJ23" s="10">
        <f t="shared" ref="EJ23" si="1652">$B23/$B$31*$D23*EK$31</f>
        <v>0</v>
      </c>
      <c r="EK23" s="10">
        <f t="shared" si="123"/>
        <v>0</v>
      </c>
      <c r="EL23" s="10">
        <f t="shared" ref="EL23" si="1653">$B23/$B$31*$D23*EM$31</f>
        <v>0</v>
      </c>
      <c r="EM23" s="10">
        <f t="shared" si="125"/>
        <v>0</v>
      </c>
      <c r="EN23" s="10">
        <f t="shared" ref="EN23" si="1654">$B23/$B$31*$D23*EO$31</f>
        <v>0</v>
      </c>
      <c r="EO23" s="10">
        <f t="shared" si="127"/>
        <v>0</v>
      </c>
      <c r="EP23" s="10">
        <f t="shared" ref="EP23" si="1655">$B23/$B$31*$D23*EQ$31</f>
        <v>0</v>
      </c>
      <c r="EQ23" s="10">
        <f t="shared" si="129"/>
        <v>0</v>
      </c>
      <c r="ER23" s="10">
        <f t="shared" ref="ER23" si="1656">$B23/$B$31*$D23*ES$31</f>
        <v>0</v>
      </c>
      <c r="ES23" s="10">
        <f t="shared" si="131"/>
        <v>0</v>
      </c>
      <c r="ET23" s="10">
        <f t="shared" ref="ET23" si="1657">$B23/$B$31*$D23*EU$31</f>
        <v>0</v>
      </c>
      <c r="EU23" s="10">
        <f t="shared" si="133"/>
        <v>0</v>
      </c>
      <c r="EV23" s="10">
        <f t="shared" ref="EV23" si="1658">$B23/$B$31*$D23*EW$31</f>
        <v>0</v>
      </c>
      <c r="EW23" s="10">
        <f t="shared" si="133"/>
        <v>0</v>
      </c>
      <c r="EX23" s="10">
        <f t="shared" ref="EX23" si="1659">$B23/$B$31*$D23*EY$31</f>
        <v>0</v>
      </c>
      <c r="EY23" s="10">
        <f t="shared" si="133"/>
        <v>0</v>
      </c>
      <c r="EZ23" s="10">
        <f t="shared" ref="EZ23" si="1660">$B23/$B$31*$D23*FA$31</f>
        <v>0</v>
      </c>
      <c r="FA23" s="10">
        <f t="shared" si="133"/>
        <v>0</v>
      </c>
      <c r="FB23" s="10">
        <f t="shared" ref="FB23" si="1661">$B23/$B$31*$D23*FC$31</f>
        <v>0</v>
      </c>
      <c r="FC23" s="10">
        <f t="shared" si="133"/>
        <v>0</v>
      </c>
      <c r="FD23" s="10">
        <f t="shared" ref="FD23" si="1662">$B23/$B$31*$D23*FE$31</f>
        <v>0</v>
      </c>
      <c r="FE23" s="10">
        <f t="shared" si="133"/>
        <v>0</v>
      </c>
      <c r="FF23" s="10">
        <f t="shared" ref="FF23" si="1663">$B23/$B$31*$D23*FG$31</f>
        <v>0</v>
      </c>
      <c r="FG23" s="10">
        <f t="shared" si="133"/>
        <v>0</v>
      </c>
      <c r="FH23" s="10">
        <f t="shared" ref="FH23" si="1664">$B23/$B$31*$D23*FI$31</f>
        <v>0</v>
      </c>
      <c r="FI23" s="10">
        <f t="shared" si="133"/>
        <v>0</v>
      </c>
      <c r="FJ23" s="10">
        <f t="shared" ref="FJ23" si="1665">$B23/$B$31*$D23*FK$31</f>
        <v>0</v>
      </c>
      <c r="FK23" s="10">
        <f t="shared" si="133"/>
        <v>0</v>
      </c>
      <c r="FL23" s="10">
        <f t="shared" ref="FL23" si="1666">$B23/$B$31*$D23*FM$31</f>
        <v>0</v>
      </c>
      <c r="FM23" s="10">
        <f t="shared" si="133"/>
        <v>0</v>
      </c>
      <c r="FN23" s="10">
        <f t="shared" ref="FN23" si="1667">$B23/$B$31*$D23*FO$31</f>
        <v>0</v>
      </c>
      <c r="FO23" s="10">
        <f t="shared" si="144"/>
        <v>0</v>
      </c>
      <c r="FP23" s="10">
        <f t="shared" ref="FP23" si="1668">$B23/$B$31*$D23*FQ$31</f>
        <v>0</v>
      </c>
      <c r="FQ23" s="10">
        <f t="shared" si="146"/>
        <v>0</v>
      </c>
      <c r="FR23" s="10">
        <f t="shared" ref="FR23" si="1669">$B23/$B$31*$D23*FS$31</f>
        <v>0</v>
      </c>
      <c r="FS23" s="10">
        <f t="shared" si="148"/>
        <v>0</v>
      </c>
      <c r="FT23" s="10">
        <f t="shared" ref="FT23" si="1670">$B23/$B$31*$D23*FU$31</f>
        <v>0</v>
      </c>
      <c r="FU23" s="10">
        <f t="shared" si="150"/>
        <v>0</v>
      </c>
      <c r="FV23" s="10">
        <f t="shared" ref="FV23" si="1671">$B23/$B$31*$D23*FW$31</f>
        <v>0</v>
      </c>
      <c r="FW23" s="10">
        <f t="shared" si="152"/>
        <v>0</v>
      </c>
      <c r="FX23" s="10">
        <f t="shared" ref="FX23" si="1672">$B23/$B$31*$D23*FY$31</f>
        <v>0</v>
      </c>
      <c r="FY23" s="10">
        <f t="shared" si="154"/>
        <v>0</v>
      </c>
      <c r="FZ23" s="10">
        <f t="shared" ref="FZ23" si="1673">$B23/$B$31*$D23*GA$31</f>
        <v>0</v>
      </c>
      <c r="GA23" s="10">
        <f t="shared" si="156"/>
        <v>0</v>
      </c>
      <c r="GB23" s="10">
        <f t="shared" ref="GB23" si="1674">$B23/$B$31*$D23*GC$31</f>
        <v>0</v>
      </c>
      <c r="GC23" s="10">
        <f t="shared" si="158"/>
        <v>0</v>
      </c>
      <c r="GD23" s="10">
        <f t="shared" ref="GD23" si="1675">$B23/$B$31*$D23*GE$31</f>
        <v>0</v>
      </c>
      <c r="GE23" s="10">
        <f t="shared" si="160"/>
        <v>0</v>
      </c>
      <c r="GF23" s="10">
        <f t="shared" ref="GF23" si="1676">$B23/$B$31*$D23*GG$31</f>
        <v>0</v>
      </c>
      <c r="GG23" s="10">
        <f t="shared" si="162"/>
        <v>0</v>
      </c>
      <c r="GH23" s="10">
        <f t="shared" ref="GH23" si="1677">$B23/$B$31*$D23*GI$31</f>
        <v>0</v>
      </c>
      <c r="GI23" s="10">
        <f t="shared" si="164"/>
        <v>0</v>
      </c>
      <c r="GJ23" s="10">
        <f t="shared" ref="GJ23" si="1678">$B23/$B$31*$D23*GK$31</f>
        <v>0</v>
      </c>
      <c r="GK23" s="10">
        <f t="shared" si="166"/>
        <v>0</v>
      </c>
      <c r="GL23" s="10">
        <f t="shared" ref="GL23" si="1679">$B23/$B$31*$D23*GM$31</f>
        <v>0</v>
      </c>
      <c r="GM23" s="10">
        <f t="shared" si="168"/>
        <v>0</v>
      </c>
      <c r="GN23" s="10">
        <f t="shared" ref="GN23" si="1680">$B23/$B$31*$D23*GO$31</f>
        <v>0</v>
      </c>
      <c r="GO23" s="10">
        <f t="shared" si="170"/>
        <v>0</v>
      </c>
      <c r="GP23" s="10">
        <f t="shared" ref="GP23" si="1681">$B23/$B$31*$D23*GQ$31</f>
        <v>0</v>
      </c>
      <c r="GQ23" s="10">
        <f t="shared" si="172"/>
        <v>0</v>
      </c>
      <c r="GR23" s="10">
        <f t="shared" ref="GR23" si="1682">$B23/$B$31*$D23*GS$31</f>
        <v>0</v>
      </c>
      <c r="GS23" s="10">
        <f t="shared" si="174"/>
        <v>0</v>
      </c>
      <c r="GT23" s="10">
        <f t="shared" ref="GT23" si="1683">$B23/$B$31*$D23*GU$31</f>
        <v>0</v>
      </c>
      <c r="GU23" s="10">
        <f t="shared" si="176"/>
        <v>0</v>
      </c>
      <c r="GV23" s="10">
        <f t="shared" ref="GV23" si="1684">$B23/$B$31*$D23*GW$31</f>
        <v>0</v>
      </c>
      <c r="GW23" s="10">
        <f t="shared" si="178"/>
        <v>0</v>
      </c>
      <c r="GX23" s="10">
        <f t="shared" ref="GX23" si="1685">$B23/$B$31*$D23*GY$31</f>
        <v>0</v>
      </c>
      <c r="GY23" s="10">
        <f t="shared" si="180"/>
        <v>0</v>
      </c>
      <c r="GZ23" s="10">
        <f t="shared" ref="GZ23" si="1686">$B23/$B$31*$D23*HA$31</f>
        <v>0</v>
      </c>
      <c r="HA23" s="10">
        <f t="shared" si="182"/>
        <v>0</v>
      </c>
      <c r="HB23" s="10">
        <f t="shared" ref="HB23" si="1687">$B23/$B$31*$D23*HC$31</f>
        <v>0</v>
      </c>
      <c r="HC23" s="10">
        <f t="shared" si="184"/>
        <v>0</v>
      </c>
      <c r="HD23" s="10">
        <f t="shared" ref="HD23" si="1688">$B23/$B$31*$D23*HE$31</f>
        <v>0</v>
      </c>
      <c r="HE23" s="10">
        <f t="shared" si="186"/>
        <v>0</v>
      </c>
      <c r="HF23" s="10">
        <f t="shared" ref="HF23" si="1689">$B23/$B$31*$D23*HG$31</f>
        <v>0</v>
      </c>
      <c r="HG23" s="10">
        <f t="shared" si="188"/>
        <v>0</v>
      </c>
      <c r="HH23" s="10">
        <f t="shared" ref="HH23" si="1690">$B23/$B$31*$D23*HI$31</f>
        <v>0</v>
      </c>
      <c r="HI23" s="10">
        <f t="shared" si="190"/>
        <v>0</v>
      </c>
      <c r="HJ23" s="10">
        <f t="shared" ref="HJ23" si="1691">$B23/$B$31*$D23*HK$31</f>
        <v>0</v>
      </c>
      <c r="HK23" s="10">
        <f t="shared" si="192"/>
        <v>0</v>
      </c>
      <c r="HL23" s="10">
        <f t="shared" ref="HL23" si="1692">$B23/$B$31*$D23*HM$31</f>
        <v>0</v>
      </c>
      <c r="HM23" s="10">
        <f t="shared" si="194"/>
        <v>0</v>
      </c>
      <c r="HN23" s="10">
        <f t="shared" ref="HN23" si="1693">$B23/$B$31*$D23*HO$31</f>
        <v>0</v>
      </c>
      <c r="HO23" s="10">
        <f t="shared" si="196"/>
        <v>0</v>
      </c>
      <c r="HP23" s="10">
        <f t="shared" ref="HP23" si="1694">$B23/$B$31*$D23*HQ$31</f>
        <v>0</v>
      </c>
      <c r="HQ23" s="10">
        <f t="shared" si="198"/>
        <v>0</v>
      </c>
      <c r="HR23" s="10">
        <f t="shared" ref="HR23" si="1695">$B23/$B$31*$D23*HS$31</f>
        <v>0</v>
      </c>
      <c r="HS23" s="10">
        <f t="shared" si="200"/>
        <v>0</v>
      </c>
      <c r="HT23" s="10">
        <f t="shared" ref="HT23" si="1696">$B23/$B$31*$D23*HU$31</f>
        <v>0</v>
      </c>
      <c r="HU23" s="10">
        <f t="shared" si="202"/>
        <v>0</v>
      </c>
      <c r="HV23" s="10"/>
      <c r="HW23" s="10"/>
      <c r="HX23" s="10"/>
    </row>
    <row r="24" spans="1:232" x14ac:dyDescent="0.3">
      <c r="A24" s="18">
        <f>参数调整!A24</f>
        <v>21</v>
      </c>
      <c r="B24" s="170">
        <f>参数调整!B24</f>
        <v>100</v>
      </c>
      <c r="C24" s="10">
        <f>参数调整!F24</f>
        <v>5.2</v>
      </c>
      <c r="D24" s="10">
        <f>参数调整!G24</f>
        <v>5.2</v>
      </c>
      <c r="E24" s="15">
        <f>基本属性!B24</f>
        <v>220</v>
      </c>
      <c r="F24" s="15">
        <f>基本属性!C24</f>
        <v>14</v>
      </c>
      <c r="G24" s="271"/>
      <c r="H24" s="10">
        <f t="shared" si="45"/>
        <v>474236206110.35114</v>
      </c>
      <c r="I24" s="188">
        <f t="shared" si="0"/>
        <v>474236206110.35114</v>
      </c>
      <c r="J24" s="10">
        <f t="shared" si="1"/>
        <v>19615301.235003602</v>
      </c>
      <c r="K24" s="10">
        <f t="shared" si="2"/>
        <v>19615301.235003602</v>
      </c>
      <c r="L24" s="10">
        <f t="shared" si="46"/>
        <v>261.15473267994679</v>
      </c>
      <c r="M24" s="10">
        <f t="shared" si="47"/>
        <v>261.15473267994679</v>
      </c>
      <c r="N24" s="10">
        <f t="shared" si="48"/>
        <v>1899.7902416780666</v>
      </c>
      <c r="O24" s="10">
        <f t="shared" si="49"/>
        <v>1899.7902416780666</v>
      </c>
      <c r="P24" s="10">
        <f t="shared" si="3"/>
        <v>36595.227238182095</v>
      </c>
      <c r="Q24" s="10">
        <f t="shared" si="4"/>
        <v>36595.227238182095</v>
      </c>
      <c r="R24" s="10">
        <f t="shared" si="5"/>
        <v>115.71363429092568</v>
      </c>
      <c r="S24" s="10">
        <f t="shared" si="6"/>
        <v>115.71363429092568</v>
      </c>
      <c r="T24" s="10">
        <f t="shared" si="7"/>
        <v>172.79245609172381</v>
      </c>
      <c r="U24" s="10">
        <f t="shared" si="8"/>
        <v>172.79245609172381</v>
      </c>
      <c r="V24" s="10">
        <f t="shared" si="9"/>
        <v>172.79245609172381</v>
      </c>
      <c r="W24" s="10">
        <f t="shared" si="10"/>
        <v>172.79245609172381</v>
      </c>
      <c r="X24" s="10">
        <f t="shared" si="11"/>
        <v>172.79245609172381</v>
      </c>
      <c r="Y24" s="10">
        <f t="shared" si="12"/>
        <v>172.79245609172381</v>
      </c>
      <c r="Z24" s="10">
        <f t="shared" si="13"/>
        <v>172.79245609172381</v>
      </c>
      <c r="AA24" s="10">
        <f t="shared" si="14"/>
        <v>172.79245609172381</v>
      </c>
      <c r="AB24" s="10">
        <f t="shared" si="15"/>
        <v>4429.3661650706799</v>
      </c>
      <c r="AC24" s="10">
        <f t="shared" si="16"/>
        <v>4429.3661650706799</v>
      </c>
      <c r="AD24" s="10">
        <f t="shared" si="17"/>
        <v>1326.9274965800275</v>
      </c>
      <c r="AE24" s="10">
        <f t="shared" si="18"/>
        <v>1326.9274965800275</v>
      </c>
      <c r="AF24" s="10">
        <f t="shared" si="19"/>
        <v>663.46374829001377</v>
      </c>
      <c r="AG24" s="10">
        <f t="shared" si="20"/>
        <v>663.46374829001377</v>
      </c>
      <c r="AH24" s="10">
        <f t="shared" si="21"/>
        <v>132.69274965800275</v>
      </c>
      <c r="AI24" s="10">
        <f t="shared" si="22"/>
        <v>132.69274965800275</v>
      </c>
      <c r="AJ24" s="10">
        <f t="shared" si="23"/>
        <v>1516.4400096563932</v>
      </c>
      <c r="AK24" s="10">
        <f t="shared" si="24"/>
        <v>1516.4400096563932</v>
      </c>
      <c r="AL24" s="10">
        <f t="shared" si="25"/>
        <v>758.22000482819658</v>
      </c>
      <c r="AM24" s="10">
        <f t="shared" si="26"/>
        <v>758.22000482819658</v>
      </c>
      <c r="AN24" s="10">
        <f t="shared" si="27"/>
        <v>151.64400096563932</v>
      </c>
      <c r="AO24" s="10">
        <f t="shared" si="28"/>
        <v>151.64400096563932</v>
      </c>
      <c r="AP24" s="10">
        <f t="shared" si="29"/>
        <v>71.945749428040358</v>
      </c>
      <c r="AQ24" s="10">
        <f t="shared" si="30"/>
        <v>71.945749428040358</v>
      </c>
      <c r="AR24" s="10">
        <f t="shared" si="31"/>
        <v>0.9496535733816247</v>
      </c>
      <c r="AS24" s="10">
        <f t="shared" si="32"/>
        <v>0.9496535733816247</v>
      </c>
      <c r="AT24" s="10">
        <f t="shared" si="33"/>
        <v>0.9496535733816247</v>
      </c>
      <c r="AU24" s="10">
        <f t="shared" si="34"/>
        <v>0.9496535733816247</v>
      </c>
      <c r="AV24" s="10">
        <f t="shared" si="35"/>
        <v>8.5468821604346203</v>
      </c>
      <c r="AW24" s="10">
        <f t="shared" si="36"/>
        <v>8.5468821604346203</v>
      </c>
      <c r="AX24" s="10">
        <f t="shared" si="37"/>
        <v>26.115473267994677</v>
      </c>
      <c r="AY24" s="10">
        <f t="shared" si="38"/>
        <v>26.115473267994677</v>
      </c>
      <c r="AZ24" s="10">
        <f t="shared" si="39"/>
        <v>2.3741339334540617</v>
      </c>
      <c r="BA24" s="10">
        <f t="shared" si="40"/>
        <v>2.3741339334540617</v>
      </c>
      <c r="BB24" s="10">
        <f t="shared" si="41"/>
        <v>2.3741339334540617</v>
      </c>
      <c r="BC24" s="10">
        <f t="shared" si="42"/>
        <v>2.3741339334540617</v>
      </c>
      <c r="BD24" s="10">
        <f t="shared" si="43"/>
        <v>9.4965357338162466</v>
      </c>
      <c r="BE24" s="10">
        <f t="shared" si="44"/>
        <v>9.4965357338162466</v>
      </c>
      <c r="BF24" s="10">
        <f t="shared" si="50"/>
        <v>11.870669667270308</v>
      </c>
      <c r="BG24" s="10">
        <f t="shared" si="51"/>
        <v>11.870669667270308</v>
      </c>
      <c r="BH24" s="10">
        <f t="shared" si="52"/>
        <v>0</v>
      </c>
      <c r="BI24" s="10">
        <f t="shared" si="53"/>
        <v>0</v>
      </c>
      <c r="BJ24" s="10">
        <f t="shared" si="52"/>
        <v>0</v>
      </c>
      <c r="BK24" s="10">
        <f t="shared" si="53"/>
        <v>0</v>
      </c>
      <c r="BL24" s="10">
        <f t="shared" ref="BL24" si="1697">$B24/$B$31*$D24*BM$31</f>
        <v>0</v>
      </c>
      <c r="BM24" s="10">
        <f t="shared" si="53"/>
        <v>0</v>
      </c>
      <c r="BN24" s="10">
        <f t="shared" ref="BN24" si="1698">$B24/$B$31*$D24*BO$31</f>
        <v>0</v>
      </c>
      <c r="BO24" s="10">
        <f t="shared" si="53"/>
        <v>0</v>
      </c>
      <c r="BP24" s="10">
        <f t="shared" ref="BP24" si="1699">$B24/$B$31*$D24*BQ$31</f>
        <v>0</v>
      </c>
      <c r="BQ24" s="10">
        <f t="shared" si="53"/>
        <v>0</v>
      </c>
      <c r="BR24" s="10">
        <f t="shared" ref="BR24" si="1700">$B24/$B$31*$D24*BS$31</f>
        <v>0</v>
      </c>
      <c r="BS24" s="10">
        <f t="shared" si="53"/>
        <v>0</v>
      </c>
      <c r="BT24" s="10">
        <f t="shared" ref="BT24" si="1701">$B24/$B$31*$D24*BU$31</f>
        <v>0</v>
      </c>
      <c r="BU24" s="10">
        <f t="shared" si="53"/>
        <v>0</v>
      </c>
      <c r="BV24" s="10">
        <f t="shared" ref="BV24" si="1702">$B24/$B$31*$D24*BW$31</f>
        <v>0</v>
      </c>
      <c r="BW24" s="10">
        <f t="shared" si="53"/>
        <v>0</v>
      </c>
      <c r="BX24" s="10">
        <f t="shared" ref="BX24" si="1703">$B24/$B$31*$D24*BY$31</f>
        <v>0</v>
      </c>
      <c r="BY24" s="10">
        <f t="shared" si="53"/>
        <v>0</v>
      </c>
      <c r="BZ24" s="10">
        <f t="shared" ref="BZ24" si="1704">$B24/$B$31*$D24*CA$31</f>
        <v>0</v>
      </c>
      <c r="CA24" s="10">
        <f t="shared" si="53"/>
        <v>0</v>
      </c>
      <c r="CB24" s="10">
        <f t="shared" ref="CB24" si="1705">$B24/$B$31*$D24*CC$31</f>
        <v>0</v>
      </c>
      <c r="CC24" s="10">
        <f t="shared" si="63"/>
        <v>0</v>
      </c>
      <c r="CD24" s="10">
        <f t="shared" ref="CD24" si="1706">$B24/$B$31*$D24*CE$31</f>
        <v>0</v>
      </c>
      <c r="CE24" s="10">
        <f t="shared" si="65"/>
        <v>0</v>
      </c>
      <c r="CF24" s="10">
        <f t="shared" ref="CF24" si="1707">$B24/$B$31*$D24*CG$31</f>
        <v>0</v>
      </c>
      <c r="CG24" s="10">
        <f t="shared" si="67"/>
        <v>0</v>
      </c>
      <c r="CH24" s="10">
        <f t="shared" ref="CH24" si="1708">$B24/$B$31*$D24*CI$31</f>
        <v>0</v>
      </c>
      <c r="CI24" s="10">
        <f t="shared" si="69"/>
        <v>0</v>
      </c>
      <c r="CJ24" s="10">
        <f t="shared" ref="CJ24" si="1709">$B24/$B$31*$D24*CK$31</f>
        <v>0</v>
      </c>
      <c r="CK24" s="10">
        <f t="shared" si="71"/>
        <v>0</v>
      </c>
      <c r="CL24" s="10">
        <f t="shared" ref="CL24" si="1710">$B24/$B$31*$D24*CM$31</f>
        <v>0</v>
      </c>
      <c r="CM24" s="10">
        <f t="shared" si="73"/>
        <v>0</v>
      </c>
      <c r="CN24" s="10">
        <f t="shared" ref="CN24" si="1711">$B24/$B$31*$D24*CO$31</f>
        <v>0</v>
      </c>
      <c r="CO24" s="10">
        <f t="shared" si="75"/>
        <v>0</v>
      </c>
      <c r="CP24" s="10">
        <f t="shared" ref="CP24" si="1712">$B24/$B$31*$D24*CQ$31</f>
        <v>0</v>
      </c>
      <c r="CQ24" s="10">
        <f t="shared" si="77"/>
        <v>0</v>
      </c>
      <c r="CR24" s="10">
        <f t="shared" ref="CR24" si="1713">$B24/$B$31*$D24*CS$31</f>
        <v>0</v>
      </c>
      <c r="CS24" s="10">
        <f t="shared" si="79"/>
        <v>0</v>
      </c>
      <c r="CT24" s="10">
        <f t="shared" ref="CT24" si="1714">$B24/$B$31*$D24*CU$31</f>
        <v>0</v>
      </c>
      <c r="CU24" s="10">
        <f t="shared" si="81"/>
        <v>0</v>
      </c>
      <c r="CV24" s="10">
        <f t="shared" ref="CV24" si="1715">$B24/$B$31*$D24*CW$31</f>
        <v>0</v>
      </c>
      <c r="CW24" s="10">
        <f t="shared" si="83"/>
        <v>0</v>
      </c>
      <c r="CX24" s="10">
        <f t="shared" ref="CX24" si="1716">$B24/$B$31*$D24*CY$31</f>
        <v>0</v>
      </c>
      <c r="CY24" s="10">
        <f t="shared" si="85"/>
        <v>0</v>
      </c>
      <c r="CZ24" s="10">
        <f t="shared" ref="CZ24" si="1717">$B24/$B$31*$D24*DA$31</f>
        <v>0</v>
      </c>
      <c r="DA24" s="10">
        <f t="shared" si="87"/>
        <v>0</v>
      </c>
      <c r="DB24" s="10">
        <f t="shared" ref="DB24" si="1718">$B24/$B$31*$D24*DC$31</f>
        <v>0</v>
      </c>
      <c r="DC24" s="10">
        <f t="shared" si="89"/>
        <v>0</v>
      </c>
      <c r="DD24" s="10">
        <f t="shared" ref="DD24" si="1719">$B24/$B$31*$D24*DE$31</f>
        <v>0</v>
      </c>
      <c r="DE24" s="10">
        <f t="shared" si="91"/>
        <v>0</v>
      </c>
      <c r="DF24" s="10">
        <f t="shared" ref="DF24" si="1720">$B24/$B$31*$D24*DG$31</f>
        <v>0</v>
      </c>
      <c r="DG24" s="10">
        <f t="shared" si="93"/>
        <v>0</v>
      </c>
      <c r="DH24" s="10">
        <f t="shared" ref="DH24" si="1721">$B24/$B$31*$D24*DI$31</f>
        <v>0</v>
      </c>
      <c r="DI24" s="10">
        <f t="shared" si="95"/>
        <v>0</v>
      </c>
      <c r="DJ24" s="10">
        <f t="shared" ref="DJ24" si="1722">$B24/$B$31*$D24*DK$31</f>
        <v>0</v>
      </c>
      <c r="DK24" s="10">
        <f t="shared" si="97"/>
        <v>0</v>
      </c>
      <c r="DL24" s="10">
        <f t="shared" ref="DL24" si="1723">$B24/$B$31*$D24*DM$31</f>
        <v>0</v>
      </c>
      <c r="DM24" s="10">
        <f t="shared" si="99"/>
        <v>0</v>
      </c>
      <c r="DN24" s="10">
        <f t="shared" ref="DN24" si="1724">$B24/$B$31*$D24*DO$31</f>
        <v>0</v>
      </c>
      <c r="DO24" s="10">
        <f t="shared" si="101"/>
        <v>0</v>
      </c>
      <c r="DP24" s="10">
        <f t="shared" ref="DP24" si="1725">$B24/$B$31*$D24*DQ$31</f>
        <v>0</v>
      </c>
      <c r="DQ24" s="10">
        <f t="shared" si="103"/>
        <v>0</v>
      </c>
      <c r="DR24" s="10">
        <f t="shared" ref="DR24" si="1726">$B24/$B$31*$D24*DS$31</f>
        <v>0</v>
      </c>
      <c r="DS24" s="10">
        <f t="shared" si="105"/>
        <v>0</v>
      </c>
      <c r="DT24" s="10">
        <f t="shared" ref="DT24" si="1727">$B24/$B$31*$D24*DU$31</f>
        <v>0</v>
      </c>
      <c r="DU24" s="10">
        <f t="shared" si="107"/>
        <v>0</v>
      </c>
      <c r="DV24" s="10">
        <f t="shared" ref="DV24" si="1728">$B24/$B$31*$D24*DW$31</f>
        <v>0</v>
      </c>
      <c r="DW24" s="10">
        <f t="shared" si="109"/>
        <v>0</v>
      </c>
      <c r="DX24" s="10">
        <f t="shared" ref="DX24" si="1729">$B24/$B$31*$D24*DY$31</f>
        <v>0</v>
      </c>
      <c r="DY24" s="10">
        <f t="shared" si="111"/>
        <v>0</v>
      </c>
      <c r="DZ24" s="10">
        <f t="shared" ref="DZ24" si="1730">$B24/$B$31*$D24*EA$31</f>
        <v>0</v>
      </c>
      <c r="EA24" s="10">
        <f t="shared" si="113"/>
        <v>0</v>
      </c>
      <c r="EB24" s="10">
        <f t="shared" ref="EB24" si="1731">$B24/$B$31*$D24*EC$31</f>
        <v>0</v>
      </c>
      <c r="EC24" s="10">
        <f t="shared" si="115"/>
        <v>0</v>
      </c>
      <c r="ED24" s="10">
        <f t="shared" ref="ED24" si="1732">$B24/$B$31*$D24*EE$31</f>
        <v>0</v>
      </c>
      <c r="EE24" s="10">
        <f t="shared" si="117"/>
        <v>0</v>
      </c>
      <c r="EF24" s="10">
        <f t="shared" ref="EF24" si="1733">$B24/$B$31*$D24*EG$31</f>
        <v>0</v>
      </c>
      <c r="EG24" s="10">
        <f t="shared" si="119"/>
        <v>0</v>
      </c>
      <c r="EH24" s="10">
        <f t="shared" ref="EH24" si="1734">$B24/$B$31*$D24*EI$31</f>
        <v>0</v>
      </c>
      <c r="EI24" s="10">
        <f t="shared" si="121"/>
        <v>0</v>
      </c>
      <c r="EJ24" s="10">
        <f t="shared" ref="EJ24" si="1735">$B24/$B$31*$D24*EK$31</f>
        <v>0</v>
      </c>
      <c r="EK24" s="10">
        <f t="shared" si="123"/>
        <v>0</v>
      </c>
      <c r="EL24" s="10">
        <f t="shared" ref="EL24" si="1736">$B24/$B$31*$D24*EM$31</f>
        <v>0</v>
      </c>
      <c r="EM24" s="10">
        <f t="shared" si="125"/>
        <v>0</v>
      </c>
      <c r="EN24" s="10">
        <f t="shared" ref="EN24" si="1737">$B24/$B$31*$D24*EO$31</f>
        <v>0</v>
      </c>
      <c r="EO24" s="10">
        <f t="shared" si="127"/>
        <v>0</v>
      </c>
      <c r="EP24" s="10">
        <f t="shared" ref="EP24" si="1738">$B24/$B$31*$D24*EQ$31</f>
        <v>0</v>
      </c>
      <c r="EQ24" s="10">
        <f t="shared" si="129"/>
        <v>0</v>
      </c>
      <c r="ER24" s="10">
        <f t="shared" ref="ER24" si="1739">$B24/$B$31*$D24*ES$31</f>
        <v>0</v>
      </c>
      <c r="ES24" s="10">
        <f t="shared" si="131"/>
        <v>0</v>
      </c>
      <c r="ET24" s="10">
        <f t="shared" ref="ET24" si="1740">$B24/$B$31*$D24*EU$31</f>
        <v>0</v>
      </c>
      <c r="EU24" s="10">
        <f t="shared" si="133"/>
        <v>0</v>
      </c>
      <c r="EV24" s="10">
        <f t="shared" ref="EV24" si="1741">$B24/$B$31*$D24*EW$31</f>
        <v>0</v>
      </c>
      <c r="EW24" s="10">
        <f t="shared" si="133"/>
        <v>0</v>
      </c>
      <c r="EX24" s="10">
        <f t="shared" ref="EX24" si="1742">$B24/$B$31*$D24*EY$31</f>
        <v>0</v>
      </c>
      <c r="EY24" s="10">
        <f t="shared" si="133"/>
        <v>0</v>
      </c>
      <c r="EZ24" s="10">
        <f t="shared" ref="EZ24" si="1743">$B24/$B$31*$D24*FA$31</f>
        <v>0</v>
      </c>
      <c r="FA24" s="10">
        <f t="shared" si="133"/>
        <v>0</v>
      </c>
      <c r="FB24" s="10">
        <f t="shared" ref="FB24" si="1744">$B24/$B$31*$D24*FC$31</f>
        <v>0</v>
      </c>
      <c r="FC24" s="10">
        <f t="shared" si="133"/>
        <v>0</v>
      </c>
      <c r="FD24" s="10">
        <f t="shared" ref="FD24" si="1745">$B24/$B$31*$D24*FE$31</f>
        <v>0</v>
      </c>
      <c r="FE24" s="10">
        <f t="shared" si="133"/>
        <v>0</v>
      </c>
      <c r="FF24" s="10">
        <f t="shared" ref="FF24" si="1746">$B24/$B$31*$D24*FG$31</f>
        <v>0</v>
      </c>
      <c r="FG24" s="10">
        <f t="shared" si="133"/>
        <v>0</v>
      </c>
      <c r="FH24" s="10">
        <f t="shared" ref="FH24" si="1747">$B24/$B$31*$D24*FI$31</f>
        <v>0</v>
      </c>
      <c r="FI24" s="10">
        <f t="shared" si="133"/>
        <v>0</v>
      </c>
      <c r="FJ24" s="10">
        <f t="shared" ref="FJ24" si="1748">$B24/$B$31*$D24*FK$31</f>
        <v>0</v>
      </c>
      <c r="FK24" s="10">
        <f t="shared" si="133"/>
        <v>0</v>
      </c>
      <c r="FL24" s="10">
        <f t="shared" ref="FL24" si="1749">$B24/$B$31*$D24*FM$31</f>
        <v>0</v>
      </c>
      <c r="FM24" s="10">
        <f t="shared" si="133"/>
        <v>0</v>
      </c>
      <c r="FN24" s="10">
        <f t="shared" ref="FN24" si="1750">$B24/$B$31*$D24*FO$31</f>
        <v>0</v>
      </c>
      <c r="FO24" s="10">
        <f t="shared" si="144"/>
        <v>0</v>
      </c>
      <c r="FP24" s="10">
        <f t="shared" ref="FP24" si="1751">$B24/$B$31*$D24*FQ$31</f>
        <v>0</v>
      </c>
      <c r="FQ24" s="10">
        <f t="shared" si="146"/>
        <v>0</v>
      </c>
      <c r="FR24" s="10">
        <f t="shared" ref="FR24" si="1752">$B24/$B$31*$D24*FS$31</f>
        <v>0</v>
      </c>
      <c r="FS24" s="10">
        <f t="shared" si="148"/>
        <v>0</v>
      </c>
      <c r="FT24" s="10">
        <f t="shared" ref="FT24" si="1753">$B24/$B$31*$D24*FU$31</f>
        <v>0</v>
      </c>
      <c r="FU24" s="10">
        <f t="shared" si="150"/>
        <v>0</v>
      </c>
      <c r="FV24" s="10">
        <f t="shared" ref="FV24" si="1754">$B24/$B$31*$D24*FW$31</f>
        <v>0</v>
      </c>
      <c r="FW24" s="10">
        <f t="shared" si="152"/>
        <v>0</v>
      </c>
      <c r="FX24" s="10">
        <f t="shared" ref="FX24" si="1755">$B24/$B$31*$D24*FY$31</f>
        <v>0</v>
      </c>
      <c r="FY24" s="10">
        <f t="shared" si="154"/>
        <v>0</v>
      </c>
      <c r="FZ24" s="10">
        <f t="shared" ref="FZ24" si="1756">$B24/$B$31*$D24*GA$31</f>
        <v>0</v>
      </c>
      <c r="GA24" s="10">
        <f t="shared" si="156"/>
        <v>0</v>
      </c>
      <c r="GB24" s="10">
        <f t="shared" ref="GB24" si="1757">$B24/$B$31*$D24*GC$31</f>
        <v>0</v>
      </c>
      <c r="GC24" s="10">
        <f t="shared" si="158"/>
        <v>0</v>
      </c>
      <c r="GD24" s="10">
        <f t="shared" ref="GD24" si="1758">$B24/$B$31*$D24*GE$31</f>
        <v>0</v>
      </c>
      <c r="GE24" s="10">
        <f t="shared" si="160"/>
        <v>0</v>
      </c>
      <c r="GF24" s="10">
        <f t="shared" ref="GF24" si="1759">$B24/$B$31*$D24*GG$31</f>
        <v>0</v>
      </c>
      <c r="GG24" s="10">
        <f t="shared" si="162"/>
        <v>0</v>
      </c>
      <c r="GH24" s="10">
        <f t="shared" ref="GH24" si="1760">$B24/$B$31*$D24*GI$31</f>
        <v>0</v>
      </c>
      <c r="GI24" s="10">
        <f t="shared" si="164"/>
        <v>0</v>
      </c>
      <c r="GJ24" s="10">
        <f t="shared" ref="GJ24" si="1761">$B24/$B$31*$D24*GK$31</f>
        <v>0</v>
      </c>
      <c r="GK24" s="10">
        <f t="shared" si="166"/>
        <v>0</v>
      </c>
      <c r="GL24" s="10">
        <f t="shared" ref="GL24" si="1762">$B24/$B$31*$D24*GM$31</f>
        <v>0</v>
      </c>
      <c r="GM24" s="10">
        <f t="shared" si="168"/>
        <v>0</v>
      </c>
      <c r="GN24" s="10">
        <f t="shared" ref="GN24" si="1763">$B24/$B$31*$D24*GO$31</f>
        <v>0</v>
      </c>
      <c r="GO24" s="10">
        <f t="shared" si="170"/>
        <v>0</v>
      </c>
      <c r="GP24" s="10">
        <f t="shared" ref="GP24" si="1764">$B24/$B$31*$D24*GQ$31</f>
        <v>0</v>
      </c>
      <c r="GQ24" s="10">
        <f t="shared" si="172"/>
        <v>0</v>
      </c>
      <c r="GR24" s="10">
        <f t="shared" ref="GR24" si="1765">$B24/$B$31*$D24*GS$31</f>
        <v>0</v>
      </c>
      <c r="GS24" s="10">
        <f t="shared" si="174"/>
        <v>0</v>
      </c>
      <c r="GT24" s="10">
        <f t="shared" ref="GT24" si="1766">$B24/$B$31*$D24*GU$31</f>
        <v>0</v>
      </c>
      <c r="GU24" s="10">
        <f t="shared" si="176"/>
        <v>0</v>
      </c>
      <c r="GV24" s="10">
        <f t="shared" ref="GV24" si="1767">$B24/$B$31*$D24*GW$31</f>
        <v>0</v>
      </c>
      <c r="GW24" s="10">
        <f t="shared" si="178"/>
        <v>0</v>
      </c>
      <c r="GX24" s="10">
        <f t="shared" ref="GX24" si="1768">$B24/$B$31*$D24*GY$31</f>
        <v>0</v>
      </c>
      <c r="GY24" s="10">
        <f t="shared" si="180"/>
        <v>0</v>
      </c>
      <c r="GZ24" s="10">
        <f t="shared" ref="GZ24" si="1769">$B24/$B$31*$D24*HA$31</f>
        <v>0</v>
      </c>
      <c r="HA24" s="10">
        <f t="shared" si="182"/>
        <v>0</v>
      </c>
      <c r="HB24" s="10">
        <f t="shared" ref="HB24" si="1770">$B24/$B$31*$D24*HC$31</f>
        <v>0</v>
      </c>
      <c r="HC24" s="10">
        <f t="shared" si="184"/>
        <v>0</v>
      </c>
      <c r="HD24" s="10">
        <f t="shared" ref="HD24" si="1771">$B24/$B$31*$D24*HE$31</f>
        <v>0</v>
      </c>
      <c r="HE24" s="10">
        <f t="shared" si="186"/>
        <v>0</v>
      </c>
      <c r="HF24" s="10">
        <f t="shared" ref="HF24" si="1772">$B24/$B$31*$D24*HG$31</f>
        <v>0</v>
      </c>
      <c r="HG24" s="10">
        <f t="shared" si="188"/>
        <v>0</v>
      </c>
      <c r="HH24" s="10">
        <f t="shared" ref="HH24" si="1773">$B24/$B$31*$D24*HI$31</f>
        <v>0</v>
      </c>
      <c r="HI24" s="10">
        <f t="shared" si="190"/>
        <v>0</v>
      </c>
      <c r="HJ24" s="10">
        <f t="shared" ref="HJ24" si="1774">$B24/$B$31*$D24*HK$31</f>
        <v>0</v>
      </c>
      <c r="HK24" s="10">
        <f t="shared" si="192"/>
        <v>0</v>
      </c>
      <c r="HL24" s="10">
        <f t="shared" ref="HL24" si="1775">$B24/$B$31*$D24*HM$31</f>
        <v>0</v>
      </c>
      <c r="HM24" s="10">
        <f t="shared" si="194"/>
        <v>0</v>
      </c>
      <c r="HN24" s="10">
        <f t="shared" ref="HN24" si="1776">$B24/$B$31*$D24*HO$31</f>
        <v>0</v>
      </c>
      <c r="HO24" s="10">
        <f t="shared" si="196"/>
        <v>0</v>
      </c>
      <c r="HP24" s="10">
        <f t="shared" ref="HP24" si="1777">$B24/$B$31*$D24*HQ$31</f>
        <v>0</v>
      </c>
      <c r="HQ24" s="10">
        <f t="shared" si="198"/>
        <v>0</v>
      </c>
      <c r="HR24" s="10">
        <f t="shared" ref="HR24" si="1778">$B24/$B$31*$D24*HS$31</f>
        <v>0</v>
      </c>
      <c r="HS24" s="10">
        <f t="shared" si="200"/>
        <v>0</v>
      </c>
      <c r="HT24" s="10">
        <f t="shared" ref="HT24" si="1779">$B24/$B$31*$D24*HU$31</f>
        <v>0</v>
      </c>
      <c r="HU24" s="10">
        <f t="shared" si="202"/>
        <v>0</v>
      </c>
      <c r="HV24" s="10"/>
      <c r="HW24" s="10"/>
      <c r="HX24" s="10"/>
    </row>
    <row r="25" spans="1:232" x14ac:dyDescent="0.3">
      <c r="A25" s="18">
        <f>参数调整!A25</f>
        <v>22</v>
      </c>
      <c r="B25" s="170">
        <f>参数调整!B25</f>
        <v>100</v>
      </c>
      <c r="C25" s="10">
        <f>参数调整!F25</f>
        <v>5.5</v>
      </c>
      <c r="D25" s="10">
        <f>参数调整!G25</f>
        <v>5.5</v>
      </c>
      <c r="E25" s="15">
        <f>基本属性!B25</f>
        <v>220</v>
      </c>
      <c r="F25" s="15">
        <f>基本属性!C25</f>
        <v>15</v>
      </c>
      <c r="G25" s="271"/>
      <c r="H25" s="10">
        <f t="shared" si="45"/>
        <v>501595987232.10205</v>
      </c>
      <c r="I25" s="188">
        <f t="shared" si="0"/>
        <v>501595987232.10205</v>
      </c>
      <c r="J25" s="10">
        <f t="shared" si="1"/>
        <v>20746953.22933073</v>
      </c>
      <c r="K25" s="10">
        <f t="shared" si="2"/>
        <v>20746953.22933073</v>
      </c>
      <c r="L25" s="10">
        <f t="shared" si="46"/>
        <v>276.22135187302058</v>
      </c>
      <c r="M25" s="10">
        <f t="shared" si="47"/>
        <v>276.22135187302058</v>
      </c>
      <c r="N25" s="10">
        <f t="shared" si="48"/>
        <v>2009.393524851801</v>
      </c>
      <c r="O25" s="10">
        <f t="shared" si="49"/>
        <v>2009.393524851801</v>
      </c>
      <c r="P25" s="10">
        <f t="shared" si="3"/>
        <v>38706.490348077212</v>
      </c>
      <c r="Q25" s="10">
        <f t="shared" si="4"/>
        <v>38706.490348077212</v>
      </c>
      <c r="R25" s="10">
        <f t="shared" si="5"/>
        <v>122.38942088463291</v>
      </c>
      <c r="S25" s="10">
        <f t="shared" si="6"/>
        <v>122.38942088463291</v>
      </c>
      <c r="T25" s="10">
        <f t="shared" si="7"/>
        <v>182.76125163547707</v>
      </c>
      <c r="U25" s="10">
        <f t="shared" si="8"/>
        <v>182.76125163547707</v>
      </c>
      <c r="V25" s="10">
        <f t="shared" si="9"/>
        <v>182.76125163547707</v>
      </c>
      <c r="W25" s="10">
        <f t="shared" si="10"/>
        <v>182.76125163547707</v>
      </c>
      <c r="X25" s="10">
        <f t="shared" si="11"/>
        <v>182.76125163547707</v>
      </c>
      <c r="Y25" s="10">
        <f t="shared" si="12"/>
        <v>182.76125163547707</v>
      </c>
      <c r="Z25" s="10">
        <f t="shared" si="13"/>
        <v>182.76125163547707</v>
      </c>
      <c r="AA25" s="10">
        <f t="shared" si="14"/>
        <v>182.76125163547707</v>
      </c>
      <c r="AB25" s="10">
        <f t="shared" si="15"/>
        <v>4684.9065207478334</v>
      </c>
      <c r="AC25" s="10">
        <f t="shared" si="16"/>
        <v>4684.9065207478334</v>
      </c>
      <c r="AD25" s="10">
        <f t="shared" si="17"/>
        <v>1403.4810059981057</v>
      </c>
      <c r="AE25" s="10">
        <f t="shared" si="18"/>
        <v>1403.4810059981057</v>
      </c>
      <c r="AF25" s="10">
        <f t="shared" si="19"/>
        <v>701.74050299905286</v>
      </c>
      <c r="AG25" s="10">
        <f t="shared" si="20"/>
        <v>701.74050299905286</v>
      </c>
      <c r="AH25" s="10">
        <f t="shared" si="21"/>
        <v>140.34810059981058</v>
      </c>
      <c r="AI25" s="10">
        <f t="shared" si="22"/>
        <v>140.34810059981058</v>
      </c>
      <c r="AJ25" s="10">
        <f t="shared" si="23"/>
        <v>1603.9269332904157</v>
      </c>
      <c r="AK25" s="10">
        <f t="shared" si="24"/>
        <v>1603.9269332904157</v>
      </c>
      <c r="AL25" s="10">
        <f t="shared" si="25"/>
        <v>801.96346664520786</v>
      </c>
      <c r="AM25" s="10">
        <f t="shared" si="26"/>
        <v>801.96346664520786</v>
      </c>
      <c r="AN25" s="10">
        <f t="shared" si="27"/>
        <v>160.39269332904158</v>
      </c>
      <c r="AO25" s="10">
        <f t="shared" si="28"/>
        <v>160.39269332904158</v>
      </c>
      <c r="AP25" s="10">
        <f t="shared" si="29"/>
        <v>76.096465741196525</v>
      </c>
      <c r="AQ25" s="10">
        <f t="shared" si="30"/>
        <v>76.096465741196525</v>
      </c>
      <c r="AR25" s="10">
        <f t="shared" si="31"/>
        <v>1.0044412795382567</v>
      </c>
      <c r="AS25" s="10">
        <f t="shared" si="32"/>
        <v>1.0044412795382567</v>
      </c>
      <c r="AT25" s="10">
        <f t="shared" si="33"/>
        <v>1.0044412795382567</v>
      </c>
      <c r="AU25" s="10">
        <f t="shared" si="34"/>
        <v>1.0044412795382567</v>
      </c>
      <c r="AV25" s="10">
        <f t="shared" si="35"/>
        <v>9.039971515844309</v>
      </c>
      <c r="AW25" s="10">
        <f t="shared" si="36"/>
        <v>9.039971515844309</v>
      </c>
      <c r="AX25" s="10">
        <f t="shared" si="37"/>
        <v>27.62213518730206</v>
      </c>
      <c r="AY25" s="10">
        <f t="shared" si="38"/>
        <v>27.62213518730206</v>
      </c>
      <c r="AZ25" s="10">
        <f t="shared" si="39"/>
        <v>2.5111031988456416</v>
      </c>
      <c r="BA25" s="10">
        <f t="shared" si="40"/>
        <v>2.5111031988456416</v>
      </c>
      <c r="BB25" s="10">
        <f t="shared" si="41"/>
        <v>2.5111031988456416</v>
      </c>
      <c r="BC25" s="10">
        <f t="shared" si="42"/>
        <v>2.5111031988456416</v>
      </c>
      <c r="BD25" s="10">
        <f t="shared" si="43"/>
        <v>10.044412795382566</v>
      </c>
      <c r="BE25" s="10">
        <f t="shared" si="44"/>
        <v>10.044412795382566</v>
      </c>
      <c r="BF25" s="10">
        <f t="shared" si="50"/>
        <v>12.555515994228209</v>
      </c>
      <c r="BG25" s="10">
        <f t="shared" si="51"/>
        <v>12.555515994228209</v>
      </c>
      <c r="BH25" s="10">
        <f t="shared" si="52"/>
        <v>0</v>
      </c>
      <c r="BI25" s="10">
        <f t="shared" si="53"/>
        <v>0</v>
      </c>
      <c r="BJ25" s="10">
        <f t="shared" si="52"/>
        <v>0</v>
      </c>
      <c r="BK25" s="10">
        <f t="shared" si="53"/>
        <v>0</v>
      </c>
      <c r="BL25" s="10">
        <f t="shared" ref="BL25" si="1780">$B25/$B$31*$D25*BM$31</f>
        <v>0</v>
      </c>
      <c r="BM25" s="10">
        <f t="shared" si="53"/>
        <v>0</v>
      </c>
      <c r="BN25" s="10">
        <f t="shared" ref="BN25" si="1781">$B25/$B$31*$D25*BO$31</f>
        <v>0</v>
      </c>
      <c r="BO25" s="10">
        <f t="shared" si="53"/>
        <v>0</v>
      </c>
      <c r="BP25" s="10">
        <f t="shared" ref="BP25" si="1782">$B25/$B$31*$D25*BQ$31</f>
        <v>0</v>
      </c>
      <c r="BQ25" s="10">
        <f t="shared" si="53"/>
        <v>0</v>
      </c>
      <c r="BR25" s="10">
        <f t="shared" ref="BR25" si="1783">$B25/$B$31*$D25*BS$31</f>
        <v>0</v>
      </c>
      <c r="BS25" s="10">
        <f t="shared" si="53"/>
        <v>0</v>
      </c>
      <c r="BT25" s="10">
        <f t="shared" ref="BT25" si="1784">$B25/$B$31*$D25*BU$31</f>
        <v>0</v>
      </c>
      <c r="BU25" s="10">
        <f t="shared" si="53"/>
        <v>0</v>
      </c>
      <c r="BV25" s="10">
        <f t="shared" ref="BV25" si="1785">$B25/$B$31*$D25*BW$31</f>
        <v>0</v>
      </c>
      <c r="BW25" s="10">
        <f t="shared" si="53"/>
        <v>0</v>
      </c>
      <c r="BX25" s="10">
        <f t="shared" ref="BX25" si="1786">$B25/$B$31*$D25*BY$31</f>
        <v>0</v>
      </c>
      <c r="BY25" s="10">
        <f t="shared" si="53"/>
        <v>0</v>
      </c>
      <c r="BZ25" s="10">
        <f t="shared" ref="BZ25" si="1787">$B25/$B$31*$D25*CA$31</f>
        <v>0</v>
      </c>
      <c r="CA25" s="10">
        <f t="shared" si="53"/>
        <v>0</v>
      </c>
      <c r="CB25" s="10">
        <f t="shared" ref="CB25" si="1788">$B25/$B$31*$D25*CC$31</f>
        <v>0</v>
      </c>
      <c r="CC25" s="10">
        <f t="shared" si="63"/>
        <v>0</v>
      </c>
      <c r="CD25" s="10">
        <f t="shared" ref="CD25" si="1789">$B25/$B$31*$D25*CE$31</f>
        <v>0</v>
      </c>
      <c r="CE25" s="10">
        <f t="shared" si="65"/>
        <v>0</v>
      </c>
      <c r="CF25" s="10">
        <f t="shared" ref="CF25" si="1790">$B25/$B$31*$D25*CG$31</f>
        <v>0</v>
      </c>
      <c r="CG25" s="10">
        <f t="shared" si="67"/>
        <v>0</v>
      </c>
      <c r="CH25" s="10">
        <f t="shared" ref="CH25" si="1791">$B25/$B$31*$D25*CI$31</f>
        <v>0</v>
      </c>
      <c r="CI25" s="10">
        <f t="shared" si="69"/>
        <v>0</v>
      </c>
      <c r="CJ25" s="10">
        <f t="shared" ref="CJ25" si="1792">$B25/$B$31*$D25*CK$31</f>
        <v>0</v>
      </c>
      <c r="CK25" s="10">
        <f t="shared" si="71"/>
        <v>0</v>
      </c>
      <c r="CL25" s="10">
        <f t="shared" ref="CL25" si="1793">$B25/$B$31*$D25*CM$31</f>
        <v>0</v>
      </c>
      <c r="CM25" s="10">
        <f t="shared" si="73"/>
        <v>0</v>
      </c>
      <c r="CN25" s="10">
        <f t="shared" ref="CN25" si="1794">$B25/$B$31*$D25*CO$31</f>
        <v>0</v>
      </c>
      <c r="CO25" s="10">
        <f t="shared" si="75"/>
        <v>0</v>
      </c>
      <c r="CP25" s="10">
        <f t="shared" ref="CP25" si="1795">$B25/$B$31*$D25*CQ$31</f>
        <v>0</v>
      </c>
      <c r="CQ25" s="10">
        <f t="shared" si="77"/>
        <v>0</v>
      </c>
      <c r="CR25" s="10">
        <f t="shared" ref="CR25" si="1796">$B25/$B$31*$D25*CS$31</f>
        <v>0</v>
      </c>
      <c r="CS25" s="10">
        <f t="shared" si="79"/>
        <v>0</v>
      </c>
      <c r="CT25" s="10">
        <f t="shared" ref="CT25" si="1797">$B25/$B$31*$D25*CU$31</f>
        <v>0</v>
      </c>
      <c r="CU25" s="10">
        <f t="shared" si="81"/>
        <v>0</v>
      </c>
      <c r="CV25" s="10">
        <f t="shared" ref="CV25" si="1798">$B25/$B$31*$D25*CW$31</f>
        <v>0</v>
      </c>
      <c r="CW25" s="10">
        <f t="shared" si="83"/>
        <v>0</v>
      </c>
      <c r="CX25" s="10">
        <f t="shared" ref="CX25" si="1799">$B25/$B$31*$D25*CY$31</f>
        <v>0</v>
      </c>
      <c r="CY25" s="10">
        <f t="shared" si="85"/>
        <v>0</v>
      </c>
      <c r="CZ25" s="10">
        <f t="shared" ref="CZ25" si="1800">$B25/$B$31*$D25*DA$31</f>
        <v>0</v>
      </c>
      <c r="DA25" s="10">
        <f t="shared" si="87"/>
        <v>0</v>
      </c>
      <c r="DB25" s="10">
        <f t="shared" ref="DB25" si="1801">$B25/$B$31*$D25*DC$31</f>
        <v>0</v>
      </c>
      <c r="DC25" s="10">
        <f t="shared" si="89"/>
        <v>0</v>
      </c>
      <c r="DD25" s="10">
        <f t="shared" ref="DD25" si="1802">$B25/$B$31*$D25*DE$31</f>
        <v>0</v>
      </c>
      <c r="DE25" s="10">
        <f t="shared" si="91"/>
        <v>0</v>
      </c>
      <c r="DF25" s="10">
        <f t="shared" ref="DF25" si="1803">$B25/$B$31*$D25*DG$31</f>
        <v>0</v>
      </c>
      <c r="DG25" s="10">
        <f t="shared" si="93"/>
        <v>0</v>
      </c>
      <c r="DH25" s="10">
        <f t="shared" ref="DH25" si="1804">$B25/$B$31*$D25*DI$31</f>
        <v>0</v>
      </c>
      <c r="DI25" s="10">
        <f t="shared" si="95"/>
        <v>0</v>
      </c>
      <c r="DJ25" s="10">
        <f t="shared" ref="DJ25" si="1805">$B25/$B$31*$D25*DK$31</f>
        <v>0</v>
      </c>
      <c r="DK25" s="10">
        <f t="shared" si="97"/>
        <v>0</v>
      </c>
      <c r="DL25" s="10">
        <f t="shared" ref="DL25" si="1806">$B25/$B$31*$D25*DM$31</f>
        <v>0</v>
      </c>
      <c r="DM25" s="10">
        <f t="shared" si="99"/>
        <v>0</v>
      </c>
      <c r="DN25" s="10">
        <f t="shared" ref="DN25" si="1807">$B25/$B$31*$D25*DO$31</f>
        <v>0</v>
      </c>
      <c r="DO25" s="10">
        <f t="shared" si="101"/>
        <v>0</v>
      </c>
      <c r="DP25" s="10">
        <f t="shared" ref="DP25" si="1808">$B25/$B$31*$D25*DQ$31</f>
        <v>0</v>
      </c>
      <c r="DQ25" s="10">
        <f t="shared" si="103"/>
        <v>0</v>
      </c>
      <c r="DR25" s="10">
        <f t="shared" ref="DR25" si="1809">$B25/$B$31*$D25*DS$31</f>
        <v>0</v>
      </c>
      <c r="DS25" s="10">
        <f t="shared" si="105"/>
        <v>0</v>
      </c>
      <c r="DT25" s="10">
        <f t="shared" ref="DT25" si="1810">$B25/$B$31*$D25*DU$31</f>
        <v>0</v>
      </c>
      <c r="DU25" s="10">
        <f t="shared" si="107"/>
        <v>0</v>
      </c>
      <c r="DV25" s="10">
        <f t="shared" ref="DV25" si="1811">$B25/$B$31*$D25*DW$31</f>
        <v>0</v>
      </c>
      <c r="DW25" s="10">
        <f t="shared" si="109"/>
        <v>0</v>
      </c>
      <c r="DX25" s="10">
        <f t="shared" ref="DX25" si="1812">$B25/$B$31*$D25*DY$31</f>
        <v>0</v>
      </c>
      <c r="DY25" s="10">
        <f t="shared" si="111"/>
        <v>0</v>
      </c>
      <c r="DZ25" s="10">
        <f t="shared" ref="DZ25" si="1813">$B25/$B$31*$D25*EA$31</f>
        <v>0</v>
      </c>
      <c r="EA25" s="10">
        <f t="shared" si="113"/>
        <v>0</v>
      </c>
      <c r="EB25" s="10">
        <f t="shared" ref="EB25" si="1814">$B25/$B$31*$D25*EC$31</f>
        <v>0</v>
      </c>
      <c r="EC25" s="10">
        <f t="shared" si="115"/>
        <v>0</v>
      </c>
      <c r="ED25" s="10">
        <f t="shared" ref="ED25" si="1815">$B25/$B$31*$D25*EE$31</f>
        <v>0</v>
      </c>
      <c r="EE25" s="10">
        <f t="shared" si="117"/>
        <v>0</v>
      </c>
      <c r="EF25" s="10">
        <f t="shared" ref="EF25" si="1816">$B25/$B$31*$D25*EG$31</f>
        <v>0</v>
      </c>
      <c r="EG25" s="10">
        <f t="shared" si="119"/>
        <v>0</v>
      </c>
      <c r="EH25" s="10">
        <f t="shared" ref="EH25" si="1817">$B25/$B$31*$D25*EI$31</f>
        <v>0</v>
      </c>
      <c r="EI25" s="10">
        <f t="shared" si="121"/>
        <v>0</v>
      </c>
      <c r="EJ25" s="10">
        <f t="shared" ref="EJ25" si="1818">$B25/$B$31*$D25*EK$31</f>
        <v>0</v>
      </c>
      <c r="EK25" s="10">
        <f t="shared" si="123"/>
        <v>0</v>
      </c>
      <c r="EL25" s="10">
        <f t="shared" ref="EL25" si="1819">$B25/$B$31*$D25*EM$31</f>
        <v>0</v>
      </c>
      <c r="EM25" s="10">
        <f t="shared" si="125"/>
        <v>0</v>
      </c>
      <c r="EN25" s="10">
        <f t="shared" ref="EN25" si="1820">$B25/$B$31*$D25*EO$31</f>
        <v>0</v>
      </c>
      <c r="EO25" s="10">
        <f t="shared" si="127"/>
        <v>0</v>
      </c>
      <c r="EP25" s="10">
        <f t="shared" ref="EP25" si="1821">$B25/$B$31*$D25*EQ$31</f>
        <v>0</v>
      </c>
      <c r="EQ25" s="10">
        <f t="shared" si="129"/>
        <v>0</v>
      </c>
      <c r="ER25" s="10">
        <f t="shared" ref="ER25" si="1822">$B25/$B$31*$D25*ES$31</f>
        <v>0</v>
      </c>
      <c r="ES25" s="10">
        <f t="shared" si="131"/>
        <v>0</v>
      </c>
      <c r="ET25" s="10">
        <f t="shared" ref="ET25" si="1823">$B25/$B$31*$D25*EU$31</f>
        <v>0</v>
      </c>
      <c r="EU25" s="10">
        <f t="shared" si="133"/>
        <v>0</v>
      </c>
      <c r="EV25" s="10">
        <f t="shared" ref="EV25" si="1824">$B25/$B$31*$D25*EW$31</f>
        <v>0</v>
      </c>
      <c r="EW25" s="10">
        <f t="shared" si="133"/>
        <v>0</v>
      </c>
      <c r="EX25" s="10">
        <f t="shared" ref="EX25" si="1825">$B25/$B$31*$D25*EY$31</f>
        <v>0</v>
      </c>
      <c r="EY25" s="10">
        <f t="shared" si="133"/>
        <v>0</v>
      </c>
      <c r="EZ25" s="10">
        <f t="shared" ref="EZ25" si="1826">$B25/$B$31*$D25*FA$31</f>
        <v>0</v>
      </c>
      <c r="FA25" s="10">
        <f t="shared" si="133"/>
        <v>0</v>
      </c>
      <c r="FB25" s="10">
        <f t="shared" ref="FB25" si="1827">$B25/$B$31*$D25*FC$31</f>
        <v>0</v>
      </c>
      <c r="FC25" s="10">
        <f t="shared" si="133"/>
        <v>0</v>
      </c>
      <c r="FD25" s="10">
        <f t="shared" ref="FD25" si="1828">$B25/$B$31*$D25*FE$31</f>
        <v>0</v>
      </c>
      <c r="FE25" s="10">
        <f t="shared" si="133"/>
        <v>0</v>
      </c>
      <c r="FF25" s="10">
        <f t="shared" ref="FF25" si="1829">$B25/$B$31*$D25*FG$31</f>
        <v>0</v>
      </c>
      <c r="FG25" s="10">
        <f t="shared" si="133"/>
        <v>0</v>
      </c>
      <c r="FH25" s="10">
        <f t="shared" ref="FH25" si="1830">$B25/$B$31*$D25*FI$31</f>
        <v>0</v>
      </c>
      <c r="FI25" s="10">
        <f t="shared" si="133"/>
        <v>0</v>
      </c>
      <c r="FJ25" s="10">
        <f t="shared" ref="FJ25" si="1831">$B25/$B$31*$D25*FK$31</f>
        <v>0</v>
      </c>
      <c r="FK25" s="10">
        <f t="shared" si="133"/>
        <v>0</v>
      </c>
      <c r="FL25" s="10">
        <f t="shared" ref="FL25" si="1832">$B25/$B$31*$D25*FM$31</f>
        <v>0</v>
      </c>
      <c r="FM25" s="10">
        <f t="shared" si="133"/>
        <v>0</v>
      </c>
      <c r="FN25" s="10">
        <f t="shared" ref="FN25" si="1833">$B25/$B$31*$D25*FO$31</f>
        <v>0</v>
      </c>
      <c r="FO25" s="10">
        <f t="shared" si="144"/>
        <v>0</v>
      </c>
      <c r="FP25" s="10">
        <f t="shared" ref="FP25" si="1834">$B25/$B$31*$D25*FQ$31</f>
        <v>0</v>
      </c>
      <c r="FQ25" s="10">
        <f t="shared" si="146"/>
        <v>0</v>
      </c>
      <c r="FR25" s="10">
        <f t="shared" ref="FR25" si="1835">$B25/$B$31*$D25*FS$31</f>
        <v>0</v>
      </c>
      <c r="FS25" s="10">
        <f t="shared" si="148"/>
        <v>0</v>
      </c>
      <c r="FT25" s="10">
        <f t="shared" ref="FT25" si="1836">$B25/$B$31*$D25*FU$31</f>
        <v>0</v>
      </c>
      <c r="FU25" s="10">
        <f t="shared" si="150"/>
        <v>0</v>
      </c>
      <c r="FV25" s="10">
        <f t="shared" ref="FV25" si="1837">$B25/$B$31*$D25*FW$31</f>
        <v>0</v>
      </c>
      <c r="FW25" s="10">
        <f t="shared" si="152"/>
        <v>0</v>
      </c>
      <c r="FX25" s="10">
        <f t="shared" ref="FX25" si="1838">$B25/$B$31*$D25*FY$31</f>
        <v>0</v>
      </c>
      <c r="FY25" s="10">
        <f t="shared" si="154"/>
        <v>0</v>
      </c>
      <c r="FZ25" s="10">
        <f t="shared" ref="FZ25" si="1839">$B25/$B$31*$D25*GA$31</f>
        <v>0</v>
      </c>
      <c r="GA25" s="10">
        <f t="shared" si="156"/>
        <v>0</v>
      </c>
      <c r="GB25" s="10">
        <f t="shared" ref="GB25" si="1840">$B25/$B$31*$D25*GC$31</f>
        <v>0</v>
      </c>
      <c r="GC25" s="10">
        <f t="shared" si="158"/>
        <v>0</v>
      </c>
      <c r="GD25" s="10">
        <f t="shared" ref="GD25" si="1841">$B25/$B$31*$D25*GE$31</f>
        <v>0</v>
      </c>
      <c r="GE25" s="10">
        <f t="shared" si="160"/>
        <v>0</v>
      </c>
      <c r="GF25" s="10">
        <f t="shared" ref="GF25" si="1842">$B25/$B$31*$D25*GG$31</f>
        <v>0</v>
      </c>
      <c r="GG25" s="10">
        <f t="shared" si="162"/>
        <v>0</v>
      </c>
      <c r="GH25" s="10">
        <f t="shared" ref="GH25" si="1843">$B25/$B$31*$D25*GI$31</f>
        <v>0</v>
      </c>
      <c r="GI25" s="10">
        <f t="shared" si="164"/>
        <v>0</v>
      </c>
      <c r="GJ25" s="10">
        <f t="shared" ref="GJ25" si="1844">$B25/$B$31*$D25*GK$31</f>
        <v>0</v>
      </c>
      <c r="GK25" s="10">
        <f t="shared" si="166"/>
        <v>0</v>
      </c>
      <c r="GL25" s="10">
        <f t="shared" ref="GL25" si="1845">$B25/$B$31*$D25*GM$31</f>
        <v>0</v>
      </c>
      <c r="GM25" s="10">
        <f t="shared" si="168"/>
        <v>0</v>
      </c>
      <c r="GN25" s="10">
        <f t="shared" ref="GN25" si="1846">$B25/$B$31*$D25*GO$31</f>
        <v>0</v>
      </c>
      <c r="GO25" s="10">
        <f t="shared" si="170"/>
        <v>0</v>
      </c>
      <c r="GP25" s="10">
        <f t="shared" ref="GP25" si="1847">$B25/$B$31*$D25*GQ$31</f>
        <v>0</v>
      </c>
      <c r="GQ25" s="10">
        <f t="shared" si="172"/>
        <v>0</v>
      </c>
      <c r="GR25" s="10">
        <f t="shared" ref="GR25" si="1848">$B25/$B$31*$D25*GS$31</f>
        <v>0</v>
      </c>
      <c r="GS25" s="10">
        <f t="shared" si="174"/>
        <v>0</v>
      </c>
      <c r="GT25" s="10">
        <f t="shared" ref="GT25" si="1849">$B25/$B$31*$D25*GU$31</f>
        <v>0</v>
      </c>
      <c r="GU25" s="10">
        <f t="shared" si="176"/>
        <v>0</v>
      </c>
      <c r="GV25" s="10">
        <f t="shared" ref="GV25" si="1850">$B25/$B$31*$D25*GW$31</f>
        <v>0</v>
      </c>
      <c r="GW25" s="10">
        <f t="shared" si="178"/>
        <v>0</v>
      </c>
      <c r="GX25" s="10">
        <f t="shared" ref="GX25" si="1851">$B25/$B$31*$D25*GY$31</f>
        <v>0</v>
      </c>
      <c r="GY25" s="10">
        <f t="shared" si="180"/>
        <v>0</v>
      </c>
      <c r="GZ25" s="10">
        <f t="shared" ref="GZ25" si="1852">$B25/$B$31*$D25*HA$31</f>
        <v>0</v>
      </c>
      <c r="HA25" s="10">
        <f t="shared" si="182"/>
        <v>0</v>
      </c>
      <c r="HB25" s="10">
        <f t="shared" ref="HB25" si="1853">$B25/$B$31*$D25*HC$31</f>
        <v>0</v>
      </c>
      <c r="HC25" s="10">
        <f t="shared" si="184"/>
        <v>0</v>
      </c>
      <c r="HD25" s="10">
        <f t="shared" ref="HD25" si="1854">$B25/$B$31*$D25*HE$31</f>
        <v>0</v>
      </c>
      <c r="HE25" s="10">
        <f t="shared" si="186"/>
        <v>0</v>
      </c>
      <c r="HF25" s="10">
        <f t="shared" ref="HF25" si="1855">$B25/$B$31*$D25*HG$31</f>
        <v>0</v>
      </c>
      <c r="HG25" s="10">
        <f t="shared" si="188"/>
        <v>0</v>
      </c>
      <c r="HH25" s="10">
        <f t="shared" ref="HH25" si="1856">$B25/$B$31*$D25*HI$31</f>
        <v>0</v>
      </c>
      <c r="HI25" s="10">
        <f t="shared" si="190"/>
        <v>0</v>
      </c>
      <c r="HJ25" s="10">
        <f t="shared" ref="HJ25" si="1857">$B25/$B$31*$D25*HK$31</f>
        <v>0</v>
      </c>
      <c r="HK25" s="10">
        <f t="shared" si="192"/>
        <v>0</v>
      </c>
      <c r="HL25" s="10">
        <f t="shared" ref="HL25" si="1858">$B25/$B$31*$D25*HM$31</f>
        <v>0</v>
      </c>
      <c r="HM25" s="10">
        <f t="shared" si="194"/>
        <v>0</v>
      </c>
      <c r="HN25" s="10">
        <f t="shared" ref="HN25" si="1859">$B25/$B$31*$D25*HO$31</f>
        <v>0</v>
      </c>
      <c r="HO25" s="10">
        <f t="shared" si="196"/>
        <v>0</v>
      </c>
      <c r="HP25" s="10">
        <f t="shared" ref="HP25" si="1860">$B25/$B$31*$D25*HQ$31</f>
        <v>0</v>
      </c>
      <c r="HQ25" s="10">
        <f t="shared" si="198"/>
        <v>0</v>
      </c>
      <c r="HR25" s="10">
        <f t="shared" ref="HR25" si="1861">$B25/$B$31*$D25*HS$31</f>
        <v>0</v>
      </c>
      <c r="HS25" s="10">
        <f t="shared" si="200"/>
        <v>0</v>
      </c>
      <c r="HT25" s="10">
        <f t="shared" ref="HT25" si="1862">$B25/$B$31*$D25*HU$31</f>
        <v>0</v>
      </c>
      <c r="HU25" s="10">
        <f t="shared" si="202"/>
        <v>0</v>
      </c>
      <c r="HV25" s="10"/>
      <c r="HW25" s="10"/>
      <c r="HX25" s="10"/>
    </row>
    <row r="26" spans="1:232" x14ac:dyDescent="0.3">
      <c r="A26" s="18">
        <f>参数调整!A26</f>
        <v>23</v>
      </c>
      <c r="B26" s="170">
        <f>参数调整!B26</f>
        <v>200</v>
      </c>
      <c r="C26" s="10">
        <f>参数调整!F26</f>
        <v>5.8</v>
      </c>
      <c r="D26" s="10">
        <f>参数调整!G26</f>
        <v>5.8</v>
      </c>
      <c r="E26" s="15">
        <f>基本属性!B26</f>
        <v>230</v>
      </c>
      <c r="F26" s="15">
        <f>基本属性!C26</f>
        <v>16</v>
      </c>
      <c r="G26" s="271"/>
      <c r="H26" s="10">
        <f t="shared" si="45"/>
        <v>1057911536707.7062</v>
      </c>
      <c r="I26" s="188">
        <f t="shared" si="0"/>
        <v>1057911536707.7062</v>
      </c>
      <c r="J26" s="10">
        <f t="shared" si="1"/>
        <v>43757210.447315715</v>
      </c>
      <c r="K26" s="10">
        <f t="shared" si="2"/>
        <v>43757210.447315715</v>
      </c>
      <c r="L26" s="10">
        <f t="shared" si="46"/>
        <v>582.57594213218886</v>
      </c>
      <c r="M26" s="10">
        <f t="shared" si="47"/>
        <v>582.57594213218886</v>
      </c>
      <c r="N26" s="10">
        <f t="shared" si="48"/>
        <v>4237.9936160510715</v>
      </c>
      <c r="O26" s="10">
        <f t="shared" si="49"/>
        <v>4237.9936160510715</v>
      </c>
      <c r="P26" s="10">
        <f t="shared" si="3"/>
        <v>81635.506915944658</v>
      </c>
      <c r="Q26" s="10">
        <f t="shared" si="4"/>
        <v>81635.506915944658</v>
      </c>
      <c r="R26" s="10">
        <f t="shared" si="5"/>
        <v>258.13041495668034</v>
      </c>
      <c r="S26" s="10">
        <f t="shared" si="6"/>
        <v>258.13041495668034</v>
      </c>
      <c r="T26" s="10">
        <f t="shared" si="7"/>
        <v>385.46009435846076</v>
      </c>
      <c r="U26" s="10">
        <f t="shared" si="8"/>
        <v>385.46009435846076</v>
      </c>
      <c r="V26" s="10">
        <f t="shared" si="9"/>
        <v>385.46009435846076</v>
      </c>
      <c r="W26" s="10">
        <f t="shared" si="10"/>
        <v>385.46009435846076</v>
      </c>
      <c r="X26" s="10">
        <f t="shared" si="11"/>
        <v>385.46009435846076</v>
      </c>
      <c r="Y26" s="10">
        <f t="shared" si="12"/>
        <v>385.46009435846076</v>
      </c>
      <c r="Z26" s="10">
        <f t="shared" si="13"/>
        <v>385.46009435846076</v>
      </c>
      <c r="AA26" s="10">
        <f t="shared" si="14"/>
        <v>385.46009435846076</v>
      </c>
      <c r="AB26" s="10">
        <f t="shared" si="15"/>
        <v>9880.8937528499755</v>
      </c>
      <c r="AC26" s="10">
        <f t="shared" si="16"/>
        <v>9880.8937528499755</v>
      </c>
      <c r="AD26" s="10">
        <f t="shared" si="17"/>
        <v>2960.0690308323688</v>
      </c>
      <c r="AE26" s="10">
        <f t="shared" si="18"/>
        <v>2960.0690308323688</v>
      </c>
      <c r="AF26" s="10">
        <f t="shared" si="19"/>
        <v>1480.0345154161844</v>
      </c>
      <c r="AG26" s="10">
        <f t="shared" si="20"/>
        <v>1480.0345154161844</v>
      </c>
      <c r="AH26" s="10">
        <f t="shared" si="21"/>
        <v>296.00690308323686</v>
      </c>
      <c r="AI26" s="10">
        <f t="shared" si="22"/>
        <v>296.00690308323686</v>
      </c>
      <c r="AJ26" s="10">
        <f t="shared" si="23"/>
        <v>3382.8277138488766</v>
      </c>
      <c r="AK26" s="10">
        <f t="shared" si="24"/>
        <v>3382.8277138488766</v>
      </c>
      <c r="AL26" s="10">
        <f t="shared" si="25"/>
        <v>1691.4138569244383</v>
      </c>
      <c r="AM26" s="10">
        <f t="shared" si="26"/>
        <v>1691.4138569244383</v>
      </c>
      <c r="AN26" s="10">
        <f t="shared" si="27"/>
        <v>338.28277138488767</v>
      </c>
      <c r="AO26" s="10">
        <f t="shared" si="28"/>
        <v>338.28277138488767</v>
      </c>
      <c r="AP26" s="10">
        <f t="shared" si="29"/>
        <v>160.49436410870541</v>
      </c>
      <c r="AQ26" s="10">
        <f t="shared" si="30"/>
        <v>160.49436410870541</v>
      </c>
      <c r="AR26" s="10">
        <f t="shared" si="31"/>
        <v>2.1184579713897778</v>
      </c>
      <c r="AS26" s="10">
        <f t="shared" si="32"/>
        <v>2.1184579713897778</v>
      </c>
      <c r="AT26" s="10">
        <f t="shared" si="33"/>
        <v>2.1184579713897778</v>
      </c>
      <c r="AU26" s="10">
        <f t="shared" si="34"/>
        <v>2.1184579713897778</v>
      </c>
      <c r="AV26" s="10">
        <f t="shared" si="35"/>
        <v>19.066121742507999</v>
      </c>
      <c r="AW26" s="10">
        <f t="shared" si="36"/>
        <v>19.066121742507999</v>
      </c>
      <c r="AX26" s="10">
        <f t="shared" si="37"/>
        <v>58.257594213218887</v>
      </c>
      <c r="AY26" s="10">
        <f t="shared" si="38"/>
        <v>58.257594213218887</v>
      </c>
      <c r="AZ26" s="10">
        <f t="shared" si="39"/>
        <v>5.2961449284744448</v>
      </c>
      <c r="BA26" s="10">
        <f t="shared" si="40"/>
        <v>5.2961449284744448</v>
      </c>
      <c r="BB26" s="10">
        <f t="shared" si="41"/>
        <v>5.2961449284744448</v>
      </c>
      <c r="BC26" s="10">
        <f t="shared" si="42"/>
        <v>5.2961449284744448</v>
      </c>
      <c r="BD26" s="10">
        <f t="shared" si="43"/>
        <v>21.184579713897779</v>
      </c>
      <c r="BE26" s="10">
        <f t="shared" si="44"/>
        <v>21.184579713897779</v>
      </c>
      <c r="BF26" s="10">
        <f t="shared" si="50"/>
        <v>26.480724642372223</v>
      </c>
      <c r="BG26" s="10">
        <f t="shared" si="51"/>
        <v>26.480724642372223</v>
      </c>
      <c r="BH26" s="10">
        <f t="shared" si="52"/>
        <v>0</v>
      </c>
      <c r="BI26" s="10">
        <f t="shared" si="53"/>
        <v>0</v>
      </c>
      <c r="BJ26" s="10">
        <f t="shared" si="52"/>
        <v>0</v>
      </c>
      <c r="BK26" s="10">
        <f t="shared" si="53"/>
        <v>0</v>
      </c>
      <c r="BL26" s="10">
        <f t="shared" ref="BL26" si="1863">$B26/$B$31*$D26*BM$31</f>
        <v>0</v>
      </c>
      <c r="BM26" s="10">
        <f t="shared" si="53"/>
        <v>0</v>
      </c>
      <c r="BN26" s="10">
        <f t="shared" ref="BN26" si="1864">$B26/$B$31*$D26*BO$31</f>
        <v>0</v>
      </c>
      <c r="BO26" s="10">
        <f t="shared" si="53"/>
        <v>0</v>
      </c>
      <c r="BP26" s="10">
        <f t="shared" ref="BP26" si="1865">$B26/$B$31*$D26*BQ$31</f>
        <v>0</v>
      </c>
      <c r="BQ26" s="10">
        <f t="shared" si="53"/>
        <v>0</v>
      </c>
      <c r="BR26" s="10">
        <f t="shared" ref="BR26" si="1866">$B26/$B$31*$D26*BS$31</f>
        <v>0</v>
      </c>
      <c r="BS26" s="10">
        <f t="shared" si="53"/>
        <v>0</v>
      </c>
      <c r="BT26" s="10">
        <f t="shared" ref="BT26" si="1867">$B26/$B$31*$D26*BU$31</f>
        <v>0</v>
      </c>
      <c r="BU26" s="10">
        <f t="shared" si="53"/>
        <v>0</v>
      </c>
      <c r="BV26" s="10">
        <f t="shared" ref="BV26" si="1868">$B26/$B$31*$D26*BW$31</f>
        <v>0</v>
      </c>
      <c r="BW26" s="10">
        <f t="shared" si="53"/>
        <v>0</v>
      </c>
      <c r="BX26" s="10">
        <f t="shared" ref="BX26" si="1869">$B26/$B$31*$D26*BY$31</f>
        <v>0</v>
      </c>
      <c r="BY26" s="10">
        <f t="shared" si="53"/>
        <v>0</v>
      </c>
      <c r="BZ26" s="10">
        <f t="shared" ref="BZ26" si="1870">$B26/$B$31*$D26*CA$31</f>
        <v>0</v>
      </c>
      <c r="CA26" s="10">
        <f t="shared" ref="CA26:CA30" si="1871">$B26/$B$31*$C26*CA$31</f>
        <v>0</v>
      </c>
      <c r="CB26" s="10">
        <f t="shared" ref="CB26" si="1872">$B26/$B$31*$D26*CC$31</f>
        <v>0</v>
      </c>
      <c r="CC26" s="10">
        <f t="shared" si="63"/>
        <v>0</v>
      </c>
      <c r="CD26" s="10">
        <f t="shared" ref="CD26" si="1873">$B26/$B$31*$D26*CE$31</f>
        <v>0</v>
      </c>
      <c r="CE26" s="10">
        <f t="shared" si="65"/>
        <v>0</v>
      </c>
      <c r="CF26" s="10">
        <f t="shared" ref="CF26" si="1874">$B26/$B$31*$D26*CG$31</f>
        <v>0</v>
      </c>
      <c r="CG26" s="10">
        <f t="shared" si="67"/>
        <v>0</v>
      </c>
      <c r="CH26" s="10">
        <f t="shared" ref="CH26" si="1875">$B26/$B$31*$D26*CI$31</f>
        <v>0</v>
      </c>
      <c r="CI26" s="10">
        <f t="shared" si="69"/>
        <v>0</v>
      </c>
      <c r="CJ26" s="10">
        <f t="shared" ref="CJ26" si="1876">$B26/$B$31*$D26*CK$31</f>
        <v>0</v>
      </c>
      <c r="CK26" s="10">
        <f t="shared" si="71"/>
        <v>0</v>
      </c>
      <c r="CL26" s="10">
        <f t="shared" ref="CL26" si="1877">$B26/$B$31*$D26*CM$31</f>
        <v>0</v>
      </c>
      <c r="CM26" s="10">
        <f t="shared" si="73"/>
        <v>0</v>
      </c>
      <c r="CN26" s="10">
        <f t="shared" ref="CN26" si="1878">$B26/$B$31*$D26*CO$31</f>
        <v>0</v>
      </c>
      <c r="CO26" s="10">
        <f t="shared" si="75"/>
        <v>0</v>
      </c>
      <c r="CP26" s="10">
        <f t="shared" ref="CP26" si="1879">$B26/$B$31*$D26*CQ$31</f>
        <v>0</v>
      </c>
      <c r="CQ26" s="10">
        <f t="shared" si="77"/>
        <v>0</v>
      </c>
      <c r="CR26" s="10">
        <f t="shared" ref="CR26" si="1880">$B26/$B$31*$D26*CS$31</f>
        <v>0</v>
      </c>
      <c r="CS26" s="10">
        <f t="shared" si="79"/>
        <v>0</v>
      </c>
      <c r="CT26" s="10">
        <f t="shared" ref="CT26" si="1881">$B26/$B$31*$D26*CU$31</f>
        <v>0</v>
      </c>
      <c r="CU26" s="10">
        <f t="shared" si="81"/>
        <v>0</v>
      </c>
      <c r="CV26" s="10">
        <f t="shared" ref="CV26" si="1882">$B26/$B$31*$D26*CW$31</f>
        <v>0</v>
      </c>
      <c r="CW26" s="10">
        <f t="shared" si="83"/>
        <v>0</v>
      </c>
      <c r="CX26" s="10">
        <f t="shared" ref="CX26" si="1883">$B26/$B$31*$D26*CY$31</f>
        <v>0</v>
      </c>
      <c r="CY26" s="10">
        <f t="shared" si="85"/>
        <v>0</v>
      </c>
      <c r="CZ26" s="10">
        <f t="shared" ref="CZ26" si="1884">$B26/$B$31*$D26*DA$31</f>
        <v>0</v>
      </c>
      <c r="DA26" s="10">
        <f t="shared" si="87"/>
        <v>0</v>
      </c>
      <c r="DB26" s="10">
        <f t="shared" ref="DB26" si="1885">$B26/$B$31*$D26*DC$31</f>
        <v>0</v>
      </c>
      <c r="DC26" s="10">
        <f t="shared" si="89"/>
        <v>0</v>
      </c>
      <c r="DD26" s="10">
        <f t="shared" ref="DD26" si="1886">$B26/$B$31*$D26*DE$31</f>
        <v>0</v>
      </c>
      <c r="DE26" s="10">
        <f t="shared" si="91"/>
        <v>0</v>
      </c>
      <c r="DF26" s="10">
        <f t="shared" ref="DF26" si="1887">$B26/$B$31*$D26*DG$31</f>
        <v>0</v>
      </c>
      <c r="DG26" s="10">
        <f t="shared" si="93"/>
        <v>0</v>
      </c>
      <c r="DH26" s="10">
        <f t="shared" ref="DH26" si="1888">$B26/$B$31*$D26*DI$31</f>
        <v>0</v>
      </c>
      <c r="DI26" s="10">
        <f t="shared" si="95"/>
        <v>0</v>
      </c>
      <c r="DJ26" s="10">
        <f t="shared" ref="DJ26" si="1889">$B26/$B$31*$D26*DK$31</f>
        <v>0</v>
      </c>
      <c r="DK26" s="10">
        <f t="shared" si="97"/>
        <v>0</v>
      </c>
      <c r="DL26" s="10">
        <f t="shared" ref="DL26" si="1890">$B26/$B$31*$D26*DM$31</f>
        <v>0</v>
      </c>
      <c r="DM26" s="10">
        <f t="shared" si="99"/>
        <v>0</v>
      </c>
      <c r="DN26" s="10">
        <f t="shared" ref="DN26" si="1891">$B26/$B$31*$D26*DO$31</f>
        <v>0</v>
      </c>
      <c r="DO26" s="10">
        <f t="shared" si="101"/>
        <v>0</v>
      </c>
      <c r="DP26" s="10">
        <f t="shared" ref="DP26" si="1892">$B26/$B$31*$D26*DQ$31</f>
        <v>0</v>
      </c>
      <c r="DQ26" s="10">
        <f t="shared" si="103"/>
        <v>0</v>
      </c>
      <c r="DR26" s="10">
        <f t="shared" ref="DR26" si="1893">$B26/$B$31*$D26*DS$31</f>
        <v>0</v>
      </c>
      <c r="DS26" s="10">
        <f t="shared" si="105"/>
        <v>0</v>
      </c>
      <c r="DT26" s="10">
        <f t="shared" ref="DT26" si="1894">$B26/$B$31*$D26*DU$31</f>
        <v>0</v>
      </c>
      <c r="DU26" s="10">
        <f t="shared" si="107"/>
        <v>0</v>
      </c>
      <c r="DV26" s="10">
        <f t="shared" ref="DV26" si="1895">$B26/$B$31*$D26*DW$31</f>
        <v>0</v>
      </c>
      <c r="DW26" s="10">
        <f t="shared" si="109"/>
        <v>0</v>
      </c>
      <c r="DX26" s="10">
        <f t="shared" ref="DX26" si="1896">$B26/$B$31*$D26*DY$31</f>
        <v>0</v>
      </c>
      <c r="DY26" s="10">
        <f t="shared" si="111"/>
        <v>0</v>
      </c>
      <c r="DZ26" s="10">
        <f t="shared" ref="DZ26" si="1897">$B26/$B$31*$D26*EA$31</f>
        <v>0</v>
      </c>
      <c r="EA26" s="10">
        <f t="shared" si="113"/>
        <v>0</v>
      </c>
      <c r="EB26" s="10">
        <f t="shared" ref="EB26" si="1898">$B26/$B$31*$D26*EC$31</f>
        <v>0</v>
      </c>
      <c r="EC26" s="10">
        <f t="shared" si="115"/>
        <v>0</v>
      </c>
      <c r="ED26" s="10">
        <f t="shared" ref="ED26" si="1899">$B26/$B$31*$D26*EE$31</f>
        <v>0</v>
      </c>
      <c r="EE26" s="10">
        <f t="shared" si="117"/>
        <v>0</v>
      </c>
      <c r="EF26" s="10">
        <f t="shared" ref="EF26" si="1900">$B26/$B$31*$D26*EG$31</f>
        <v>0</v>
      </c>
      <c r="EG26" s="10">
        <f t="shared" si="119"/>
        <v>0</v>
      </c>
      <c r="EH26" s="10">
        <f t="shared" ref="EH26" si="1901">$B26/$B$31*$D26*EI$31</f>
        <v>0</v>
      </c>
      <c r="EI26" s="10">
        <f t="shared" si="121"/>
        <v>0</v>
      </c>
      <c r="EJ26" s="10">
        <f t="shared" ref="EJ26" si="1902">$B26/$B$31*$D26*EK$31</f>
        <v>0</v>
      </c>
      <c r="EK26" s="10">
        <f t="shared" si="123"/>
        <v>0</v>
      </c>
      <c r="EL26" s="10">
        <f t="shared" ref="EL26" si="1903">$B26/$B$31*$D26*EM$31</f>
        <v>0</v>
      </c>
      <c r="EM26" s="10">
        <f t="shared" si="125"/>
        <v>0</v>
      </c>
      <c r="EN26" s="10">
        <f t="shared" ref="EN26" si="1904">$B26/$B$31*$D26*EO$31</f>
        <v>0</v>
      </c>
      <c r="EO26" s="10">
        <f t="shared" si="127"/>
        <v>0</v>
      </c>
      <c r="EP26" s="10">
        <f t="shared" ref="EP26" si="1905">$B26/$B$31*$D26*EQ$31</f>
        <v>0</v>
      </c>
      <c r="EQ26" s="10">
        <f t="shared" si="129"/>
        <v>0</v>
      </c>
      <c r="ER26" s="10">
        <f t="shared" ref="ER26" si="1906">$B26/$B$31*$D26*ES$31</f>
        <v>0</v>
      </c>
      <c r="ES26" s="10">
        <f t="shared" si="131"/>
        <v>0</v>
      </c>
      <c r="ET26" s="10">
        <f t="shared" ref="ET26" si="1907">$B26/$B$31*$D26*EU$31</f>
        <v>0</v>
      </c>
      <c r="EU26" s="10">
        <f t="shared" si="133"/>
        <v>0</v>
      </c>
      <c r="EV26" s="10">
        <f t="shared" ref="EV26" si="1908">$B26/$B$31*$D26*EW$31</f>
        <v>0</v>
      </c>
      <c r="EW26" s="10">
        <f t="shared" si="133"/>
        <v>0</v>
      </c>
      <c r="EX26" s="10">
        <f t="shared" ref="EX26" si="1909">$B26/$B$31*$D26*EY$31</f>
        <v>0</v>
      </c>
      <c r="EY26" s="10">
        <f t="shared" si="133"/>
        <v>0</v>
      </c>
      <c r="EZ26" s="10">
        <f t="shared" ref="EZ26" si="1910">$B26/$B$31*$D26*FA$31</f>
        <v>0</v>
      </c>
      <c r="FA26" s="10">
        <f t="shared" si="133"/>
        <v>0</v>
      </c>
      <c r="FB26" s="10">
        <f t="shared" ref="FB26" si="1911">$B26/$B$31*$D26*FC$31</f>
        <v>0</v>
      </c>
      <c r="FC26" s="10">
        <f t="shared" si="133"/>
        <v>0</v>
      </c>
      <c r="FD26" s="10">
        <f t="shared" ref="FD26" si="1912">$B26/$B$31*$D26*FE$31</f>
        <v>0</v>
      </c>
      <c r="FE26" s="10">
        <f t="shared" si="133"/>
        <v>0</v>
      </c>
      <c r="FF26" s="10">
        <f t="shared" ref="FF26" si="1913">$B26/$B$31*$D26*FG$31</f>
        <v>0</v>
      </c>
      <c r="FG26" s="10">
        <f t="shared" si="133"/>
        <v>0</v>
      </c>
      <c r="FH26" s="10">
        <f t="shared" ref="FH26" si="1914">$B26/$B$31*$D26*FI$31</f>
        <v>0</v>
      </c>
      <c r="FI26" s="10">
        <f t="shared" si="133"/>
        <v>0</v>
      </c>
      <c r="FJ26" s="10">
        <f t="shared" ref="FJ26" si="1915">$B26/$B$31*$D26*FK$31</f>
        <v>0</v>
      </c>
      <c r="FK26" s="10">
        <f t="shared" si="133"/>
        <v>0</v>
      </c>
      <c r="FL26" s="10">
        <f t="shared" ref="FL26" si="1916">$B26/$B$31*$D26*FM$31</f>
        <v>0</v>
      </c>
      <c r="FM26" s="10">
        <f t="shared" ref="FM26:FM30" si="1917">$B26/$B$31*$C26*FM$31</f>
        <v>0</v>
      </c>
      <c r="FN26" s="10">
        <f t="shared" ref="FN26" si="1918">$B26/$B$31*$D26*FO$31</f>
        <v>0</v>
      </c>
      <c r="FO26" s="10">
        <f t="shared" si="144"/>
        <v>0</v>
      </c>
      <c r="FP26" s="10">
        <f t="shared" ref="FP26" si="1919">$B26/$B$31*$D26*FQ$31</f>
        <v>0</v>
      </c>
      <c r="FQ26" s="10">
        <f t="shared" si="146"/>
        <v>0</v>
      </c>
      <c r="FR26" s="10">
        <f t="shared" ref="FR26" si="1920">$B26/$B$31*$D26*FS$31</f>
        <v>0</v>
      </c>
      <c r="FS26" s="10">
        <f t="shared" si="148"/>
        <v>0</v>
      </c>
      <c r="FT26" s="10">
        <f t="shared" ref="FT26" si="1921">$B26/$B$31*$D26*FU$31</f>
        <v>0</v>
      </c>
      <c r="FU26" s="10">
        <f t="shared" si="150"/>
        <v>0</v>
      </c>
      <c r="FV26" s="10">
        <f t="shared" ref="FV26" si="1922">$B26/$B$31*$D26*FW$31</f>
        <v>0</v>
      </c>
      <c r="FW26" s="10">
        <f t="shared" si="152"/>
        <v>0</v>
      </c>
      <c r="FX26" s="10">
        <f t="shared" ref="FX26" si="1923">$B26/$B$31*$D26*FY$31</f>
        <v>0</v>
      </c>
      <c r="FY26" s="10">
        <f t="shared" si="154"/>
        <v>0</v>
      </c>
      <c r="FZ26" s="10">
        <f t="shared" ref="FZ26" si="1924">$B26/$B$31*$D26*GA$31</f>
        <v>0</v>
      </c>
      <c r="GA26" s="10">
        <f t="shared" si="156"/>
        <v>0</v>
      </c>
      <c r="GB26" s="10">
        <f t="shared" ref="GB26" si="1925">$B26/$B$31*$D26*GC$31</f>
        <v>0</v>
      </c>
      <c r="GC26" s="10">
        <f t="shared" si="158"/>
        <v>0</v>
      </c>
      <c r="GD26" s="10">
        <f t="shared" ref="GD26" si="1926">$B26/$B$31*$D26*GE$31</f>
        <v>0</v>
      </c>
      <c r="GE26" s="10">
        <f t="shared" si="160"/>
        <v>0</v>
      </c>
      <c r="GF26" s="10">
        <f t="shared" ref="GF26" si="1927">$B26/$B$31*$D26*GG$31</f>
        <v>0</v>
      </c>
      <c r="GG26" s="10">
        <f t="shared" si="162"/>
        <v>0</v>
      </c>
      <c r="GH26" s="10">
        <f t="shared" ref="GH26" si="1928">$B26/$B$31*$D26*GI$31</f>
        <v>0</v>
      </c>
      <c r="GI26" s="10">
        <f t="shared" si="164"/>
        <v>0</v>
      </c>
      <c r="GJ26" s="10">
        <f t="shared" ref="GJ26" si="1929">$B26/$B$31*$D26*GK$31</f>
        <v>0</v>
      </c>
      <c r="GK26" s="10">
        <f t="shared" si="166"/>
        <v>0</v>
      </c>
      <c r="GL26" s="10">
        <f t="shared" ref="GL26" si="1930">$B26/$B$31*$D26*GM$31</f>
        <v>0</v>
      </c>
      <c r="GM26" s="10">
        <f t="shared" si="168"/>
        <v>0</v>
      </c>
      <c r="GN26" s="10">
        <f t="shared" ref="GN26" si="1931">$B26/$B$31*$D26*GO$31</f>
        <v>0</v>
      </c>
      <c r="GO26" s="10">
        <f t="shared" si="170"/>
        <v>0</v>
      </c>
      <c r="GP26" s="10">
        <f t="shared" ref="GP26" si="1932">$B26/$B$31*$D26*GQ$31</f>
        <v>0</v>
      </c>
      <c r="GQ26" s="10">
        <f t="shared" si="172"/>
        <v>0</v>
      </c>
      <c r="GR26" s="10">
        <f t="shared" ref="GR26" si="1933">$B26/$B$31*$D26*GS$31</f>
        <v>0</v>
      </c>
      <c r="GS26" s="10">
        <f t="shared" si="174"/>
        <v>0</v>
      </c>
      <c r="GT26" s="10">
        <f t="shared" ref="GT26" si="1934">$B26/$B$31*$D26*GU$31</f>
        <v>0</v>
      </c>
      <c r="GU26" s="10">
        <f t="shared" si="176"/>
        <v>0</v>
      </c>
      <c r="GV26" s="10">
        <f t="shared" ref="GV26" si="1935">$B26/$B$31*$D26*GW$31</f>
        <v>0</v>
      </c>
      <c r="GW26" s="10">
        <f t="shared" si="178"/>
        <v>0</v>
      </c>
      <c r="GX26" s="10">
        <f t="shared" ref="GX26" si="1936">$B26/$B$31*$D26*GY$31</f>
        <v>0</v>
      </c>
      <c r="GY26" s="10">
        <f t="shared" si="180"/>
        <v>0</v>
      </c>
      <c r="GZ26" s="10">
        <f t="shared" ref="GZ26" si="1937">$B26/$B$31*$D26*HA$31</f>
        <v>0</v>
      </c>
      <c r="HA26" s="10">
        <f t="shared" si="182"/>
        <v>0</v>
      </c>
      <c r="HB26" s="10">
        <f t="shared" ref="HB26" si="1938">$B26/$B$31*$D26*HC$31</f>
        <v>0</v>
      </c>
      <c r="HC26" s="10">
        <f t="shared" si="184"/>
        <v>0</v>
      </c>
      <c r="HD26" s="10">
        <f t="shared" ref="HD26" si="1939">$B26/$B$31*$D26*HE$31</f>
        <v>0</v>
      </c>
      <c r="HE26" s="10">
        <f t="shared" si="186"/>
        <v>0</v>
      </c>
      <c r="HF26" s="10">
        <f t="shared" ref="HF26" si="1940">$B26/$B$31*$D26*HG$31</f>
        <v>0</v>
      </c>
      <c r="HG26" s="10">
        <f t="shared" si="188"/>
        <v>0</v>
      </c>
      <c r="HH26" s="10">
        <f t="shared" ref="HH26" si="1941">$B26/$B$31*$D26*HI$31</f>
        <v>0</v>
      </c>
      <c r="HI26" s="10">
        <f t="shared" si="190"/>
        <v>0</v>
      </c>
      <c r="HJ26" s="10">
        <f t="shared" ref="HJ26" si="1942">$B26/$B$31*$D26*HK$31</f>
        <v>0</v>
      </c>
      <c r="HK26" s="10">
        <f t="shared" si="192"/>
        <v>0</v>
      </c>
      <c r="HL26" s="10">
        <f t="shared" ref="HL26" si="1943">$B26/$B$31*$D26*HM$31</f>
        <v>0</v>
      </c>
      <c r="HM26" s="10">
        <f t="shared" si="194"/>
        <v>0</v>
      </c>
      <c r="HN26" s="10">
        <f t="shared" ref="HN26" si="1944">$B26/$B$31*$D26*HO$31</f>
        <v>0</v>
      </c>
      <c r="HO26" s="10">
        <f t="shared" si="196"/>
        <v>0</v>
      </c>
      <c r="HP26" s="10">
        <f t="shared" ref="HP26" si="1945">$B26/$B$31*$D26*HQ$31</f>
        <v>0</v>
      </c>
      <c r="HQ26" s="10">
        <f t="shared" si="198"/>
        <v>0</v>
      </c>
      <c r="HR26" s="10">
        <f t="shared" ref="HR26" si="1946">$B26/$B$31*$D26*HS$31</f>
        <v>0</v>
      </c>
      <c r="HS26" s="10">
        <f t="shared" si="200"/>
        <v>0</v>
      </c>
      <c r="HT26" s="10">
        <f t="shared" ref="HT26" si="1947">$B26/$B$31*$D26*HU$31</f>
        <v>0</v>
      </c>
      <c r="HU26" s="10">
        <f t="shared" si="202"/>
        <v>0</v>
      </c>
      <c r="HV26" s="10"/>
      <c r="HW26" s="10"/>
      <c r="HX26" s="10"/>
    </row>
    <row r="27" spans="1:232" x14ac:dyDescent="0.3">
      <c r="A27" s="18">
        <f>参数调整!A27</f>
        <v>24</v>
      </c>
      <c r="B27" s="170">
        <f>参数调整!B27</f>
        <v>200</v>
      </c>
      <c r="C27" s="10">
        <f>参数调整!F27</f>
        <v>6.1</v>
      </c>
      <c r="D27" s="10">
        <f>参数调整!G27</f>
        <v>6.1</v>
      </c>
      <c r="E27" s="15">
        <f>基本属性!B27</f>
        <v>230</v>
      </c>
      <c r="F27" s="15">
        <f>基本属性!C27</f>
        <v>17</v>
      </c>
      <c r="G27" s="271"/>
      <c r="H27" s="10">
        <f t="shared" si="45"/>
        <v>1112631098951.2083</v>
      </c>
      <c r="I27" s="188">
        <f t="shared" si="0"/>
        <v>1112631098951.2083</v>
      </c>
      <c r="J27" s="10">
        <f t="shared" si="1"/>
        <v>46020514.435969979</v>
      </c>
      <c r="K27" s="10">
        <f t="shared" si="2"/>
        <v>46020514.435969979</v>
      </c>
      <c r="L27" s="10">
        <f t="shared" si="46"/>
        <v>612.70918051833655</v>
      </c>
      <c r="M27" s="10">
        <f t="shared" si="47"/>
        <v>612.70918051833655</v>
      </c>
      <c r="N27" s="10">
        <f t="shared" si="48"/>
        <v>4457.2001823985402</v>
      </c>
      <c r="O27" s="10">
        <f t="shared" si="49"/>
        <v>4457.2001823985402</v>
      </c>
      <c r="P27" s="10">
        <f t="shared" si="3"/>
        <v>85858.033135734906</v>
      </c>
      <c r="Q27" s="10">
        <f t="shared" si="4"/>
        <v>85858.033135734906</v>
      </c>
      <c r="R27" s="10">
        <f t="shared" si="5"/>
        <v>271.48198814409483</v>
      </c>
      <c r="S27" s="10">
        <f t="shared" si="6"/>
        <v>271.48198814409483</v>
      </c>
      <c r="T27" s="10">
        <f t="shared" si="7"/>
        <v>405.39768544596734</v>
      </c>
      <c r="U27" s="10">
        <f t="shared" si="8"/>
        <v>405.39768544596734</v>
      </c>
      <c r="V27" s="10">
        <f t="shared" si="9"/>
        <v>405.39768544596734</v>
      </c>
      <c r="W27" s="10">
        <f t="shared" si="10"/>
        <v>405.39768544596734</v>
      </c>
      <c r="X27" s="10">
        <f t="shared" si="11"/>
        <v>405.39768544596734</v>
      </c>
      <c r="Y27" s="10">
        <f t="shared" si="12"/>
        <v>405.39768544596734</v>
      </c>
      <c r="Z27" s="10">
        <f t="shared" si="13"/>
        <v>405.39768544596734</v>
      </c>
      <c r="AA27" s="10">
        <f t="shared" si="14"/>
        <v>405.39768544596734</v>
      </c>
      <c r="AB27" s="10">
        <f t="shared" si="15"/>
        <v>10391.974464204286</v>
      </c>
      <c r="AC27" s="10">
        <f t="shared" si="16"/>
        <v>10391.974464204286</v>
      </c>
      <c r="AD27" s="10">
        <f t="shared" si="17"/>
        <v>3113.1760496685256</v>
      </c>
      <c r="AE27" s="10">
        <f t="shared" si="18"/>
        <v>3113.1760496685256</v>
      </c>
      <c r="AF27" s="10">
        <f t="shared" si="19"/>
        <v>1556.5880248342628</v>
      </c>
      <c r="AG27" s="10">
        <f t="shared" si="20"/>
        <v>1556.5880248342628</v>
      </c>
      <c r="AH27" s="10">
        <f t="shared" si="21"/>
        <v>311.31760496685257</v>
      </c>
      <c r="AI27" s="10">
        <f t="shared" si="22"/>
        <v>311.31760496685257</v>
      </c>
      <c r="AJ27" s="10">
        <f t="shared" si="23"/>
        <v>3557.8015611169221</v>
      </c>
      <c r="AK27" s="10">
        <f t="shared" si="24"/>
        <v>3557.8015611169221</v>
      </c>
      <c r="AL27" s="10">
        <f t="shared" si="25"/>
        <v>1778.9007805584611</v>
      </c>
      <c r="AM27" s="10">
        <f t="shared" si="26"/>
        <v>1778.9007805584611</v>
      </c>
      <c r="AN27" s="10">
        <f t="shared" si="27"/>
        <v>355.78015611169224</v>
      </c>
      <c r="AO27" s="10">
        <f t="shared" si="28"/>
        <v>355.78015611169224</v>
      </c>
      <c r="AP27" s="10">
        <f t="shared" si="29"/>
        <v>168.79579673501775</v>
      </c>
      <c r="AQ27" s="10">
        <f t="shared" si="30"/>
        <v>168.79579673501775</v>
      </c>
      <c r="AR27" s="10">
        <f t="shared" si="31"/>
        <v>2.2280333837030422</v>
      </c>
      <c r="AS27" s="10">
        <f t="shared" si="32"/>
        <v>2.2280333837030422</v>
      </c>
      <c r="AT27" s="10">
        <f t="shared" si="33"/>
        <v>2.2280333837030422</v>
      </c>
      <c r="AU27" s="10">
        <f t="shared" si="34"/>
        <v>2.2280333837030422</v>
      </c>
      <c r="AV27" s="10">
        <f t="shared" si="35"/>
        <v>20.052300453327376</v>
      </c>
      <c r="AW27" s="10">
        <f t="shared" si="36"/>
        <v>20.052300453327376</v>
      </c>
      <c r="AX27" s="10">
        <f t="shared" si="37"/>
        <v>61.270918051833661</v>
      </c>
      <c r="AY27" s="10">
        <f t="shared" si="38"/>
        <v>61.270918051833661</v>
      </c>
      <c r="AZ27" s="10">
        <f t="shared" si="39"/>
        <v>5.5700834592576056</v>
      </c>
      <c r="BA27" s="10">
        <f t="shared" si="40"/>
        <v>5.5700834592576056</v>
      </c>
      <c r="BB27" s="10">
        <f t="shared" si="41"/>
        <v>5.5700834592576056</v>
      </c>
      <c r="BC27" s="10">
        <f t="shared" si="42"/>
        <v>5.5700834592576056</v>
      </c>
      <c r="BD27" s="10">
        <f t="shared" si="43"/>
        <v>22.280333837030422</v>
      </c>
      <c r="BE27" s="10">
        <f t="shared" si="44"/>
        <v>22.280333837030422</v>
      </c>
      <c r="BF27" s="10">
        <f t="shared" si="50"/>
        <v>27.850417296288029</v>
      </c>
      <c r="BG27" s="10">
        <f t="shared" si="51"/>
        <v>27.850417296288029</v>
      </c>
      <c r="BH27" s="10">
        <f t="shared" si="52"/>
        <v>0</v>
      </c>
      <c r="BI27" s="10">
        <f t="shared" si="53"/>
        <v>0</v>
      </c>
      <c r="BJ27" s="10">
        <f t="shared" si="52"/>
        <v>0</v>
      </c>
      <c r="BK27" s="10">
        <f t="shared" si="53"/>
        <v>0</v>
      </c>
      <c r="BL27" s="10">
        <f t="shared" ref="BL27" si="1948">$B27/$B$31*$D27*BM$31</f>
        <v>0</v>
      </c>
      <c r="BM27" s="10">
        <f t="shared" si="53"/>
        <v>0</v>
      </c>
      <c r="BN27" s="10">
        <f t="shared" ref="BN27" si="1949">$B27/$B$31*$D27*BO$31</f>
        <v>0</v>
      </c>
      <c r="BO27" s="10">
        <f t="shared" si="53"/>
        <v>0</v>
      </c>
      <c r="BP27" s="10">
        <f t="shared" ref="BP27" si="1950">$B27/$B$31*$D27*BQ$31</f>
        <v>0</v>
      </c>
      <c r="BQ27" s="10">
        <f t="shared" si="53"/>
        <v>0</v>
      </c>
      <c r="BR27" s="10">
        <f t="shared" ref="BR27" si="1951">$B27/$B$31*$D27*BS$31</f>
        <v>0</v>
      </c>
      <c r="BS27" s="10">
        <f t="shared" si="53"/>
        <v>0</v>
      </c>
      <c r="BT27" s="10">
        <f t="shared" ref="BT27" si="1952">$B27/$B$31*$D27*BU$31</f>
        <v>0</v>
      </c>
      <c r="BU27" s="10">
        <f t="shared" si="53"/>
        <v>0</v>
      </c>
      <c r="BV27" s="10">
        <f t="shared" ref="BV27" si="1953">$B27/$B$31*$D27*BW$31</f>
        <v>0</v>
      </c>
      <c r="BW27" s="10">
        <f t="shared" si="53"/>
        <v>0</v>
      </c>
      <c r="BX27" s="10">
        <f t="shared" ref="BX27" si="1954">$B27/$B$31*$D27*BY$31</f>
        <v>0</v>
      </c>
      <c r="BY27" s="10">
        <f t="shared" si="53"/>
        <v>0</v>
      </c>
      <c r="BZ27" s="10">
        <f t="shared" ref="BZ27" si="1955">$B27/$B$31*$D27*CA$31</f>
        <v>0</v>
      </c>
      <c r="CA27" s="10">
        <f t="shared" si="1871"/>
        <v>0</v>
      </c>
      <c r="CB27" s="10">
        <f t="shared" ref="CB27" si="1956">$B27/$B$31*$D27*CC$31</f>
        <v>0</v>
      </c>
      <c r="CC27" s="10">
        <f t="shared" si="63"/>
        <v>0</v>
      </c>
      <c r="CD27" s="10">
        <f t="shared" ref="CD27" si="1957">$B27/$B$31*$D27*CE$31</f>
        <v>0</v>
      </c>
      <c r="CE27" s="10">
        <f t="shared" si="65"/>
        <v>0</v>
      </c>
      <c r="CF27" s="10">
        <f t="shared" ref="CF27" si="1958">$B27/$B$31*$D27*CG$31</f>
        <v>0</v>
      </c>
      <c r="CG27" s="10">
        <f t="shared" si="67"/>
        <v>0</v>
      </c>
      <c r="CH27" s="10">
        <f t="shared" ref="CH27" si="1959">$B27/$B$31*$D27*CI$31</f>
        <v>0</v>
      </c>
      <c r="CI27" s="10">
        <f t="shared" si="69"/>
        <v>0</v>
      </c>
      <c r="CJ27" s="10">
        <f t="shared" ref="CJ27" si="1960">$B27/$B$31*$D27*CK$31</f>
        <v>0</v>
      </c>
      <c r="CK27" s="10">
        <f t="shared" si="71"/>
        <v>0</v>
      </c>
      <c r="CL27" s="10">
        <f t="shared" ref="CL27" si="1961">$B27/$B$31*$D27*CM$31</f>
        <v>0</v>
      </c>
      <c r="CM27" s="10">
        <f t="shared" si="73"/>
        <v>0</v>
      </c>
      <c r="CN27" s="10">
        <f t="shared" ref="CN27" si="1962">$B27/$B$31*$D27*CO$31</f>
        <v>0</v>
      </c>
      <c r="CO27" s="10">
        <f t="shared" si="75"/>
        <v>0</v>
      </c>
      <c r="CP27" s="10">
        <f t="shared" ref="CP27" si="1963">$B27/$B$31*$D27*CQ$31</f>
        <v>0</v>
      </c>
      <c r="CQ27" s="10">
        <f t="shared" si="77"/>
        <v>0</v>
      </c>
      <c r="CR27" s="10">
        <f t="shared" ref="CR27" si="1964">$B27/$B$31*$D27*CS$31</f>
        <v>0</v>
      </c>
      <c r="CS27" s="10">
        <f t="shared" si="79"/>
        <v>0</v>
      </c>
      <c r="CT27" s="10">
        <f t="shared" ref="CT27" si="1965">$B27/$B$31*$D27*CU$31</f>
        <v>0</v>
      </c>
      <c r="CU27" s="10">
        <f t="shared" si="81"/>
        <v>0</v>
      </c>
      <c r="CV27" s="10">
        <f t="shared" ref="CV27" si="1966">$B27/$B$31*$D27*CW$31</f>
        <v>0</v>
      </c>
      <c r="CW27" s="10">
        <f t="shared" si="83"/>
        <v>0</v>
      </c>
      <c r="CX27" s="10">
        <f t="shared" ref="CX27" si="1967">$B27/$B$31*$D27*CY$31</f>
        <v>0</v>
      </c>
      <c r="CY27" s="10">
        <f t="shared" si="85"/>
        <v>0</v>
      </c>
      <c r="CZ27" s="10">
        <f t="shared" ref="CZ27" si="1968">$B27/$B$31*$D27*DA$31</f>
        <v>0</v>
      </c>
      <c r="DA27" s="10">
        <f t="shared" si="87"/>
        <v>0</v>
      </c>
      <c r="DB27" s="10">
        <f t="shared" ref="DB27" si="1969">$B27/$B$31*$D27*DC$31</f>
        <v>0</v>
      </c>
      <c r="DC27" s="10">
        <f t="shared" si="89"/>
        <v>0</v>
      </c>
      <c r="DD27" s="10">
        <f t="shared" ref="DD27" si="1970">$B27/$B$31*$D27*DE$31</f>
        <v>0</v>
      </c>
      <c r="DE27" s="10">
        <f t="shared" si="91"/>
        <v>0</v>
      </c>
      <c r="DF27" s="10">
        <f t="shared" ref="DF27" si="1971">$B27/$B$31*$D27*DG$31</f>
        <v>0</v>
      </c>
      <c r="DG27" s="10">
        <f t="shared" si="93"/>
        <v>0</v>
      </c>
      <c r="DH27" s="10">
        <f t="shared" ref="DH27" si="1972">$B27/$B$31*$D27*DI$31</f>
        <v>0</v>
      </c>
      <c r="DI27" s="10">
        <f t="shared" si="95"/>
        <v>0</v>
      </c>
      <c r="DJ27" s="10">
        <f t="shared" ref="DJ27" si="1973">$B27/$B$31*$D27*DK$31</f>
        <v>0</v>
      </c>
      <c r="DK27" s="10">
        <f t="shared" si="97"/>
        <v>0</v>
      </c>
      <c r="DL27" s="10">
        <f t="shared" ref="DL27" si="1974">$B27/$B$31*$D27*DM$31</f>
        <v>0</v>
      </c>
      <c r="DM27" s="10">
        <f t="shared" si="99"/>
        <v>0</v>
      </c>
      <c r="DN27" s="10">
        <f t="shared" ref="DN27" si="1975">$B27/$B$31*$D27*DO$31</f>
        <v>0</v>
      </c>
      <c r="DO27" s="10">
        <f t="shared" si="101"/>
        <v>0</v>
      </c>
      <c r="DP27" s="10">
        <f t="shared" ref="DP27" si="1976">$B27/$B$31*$D27*DQ$31</f>
        <v>0</v>
      </c>
      <c r="DQ27" s="10">
        <f t="shared" si="103"/>
        <v>0</v>
      </c>
      <c r="DR27" s="10">
        <f t="shared" ref="DR27" si="1977">$B27/$B$31*$D27*DS$31</f>
        <v>0</v>
      </c>
      <c r="DS27" s="10">
        <f t="shared" si="105"/>
        <v>0</v>
      </c>
      <c r="DT27" s="10">
        <f t="shared" ref="DT27" si="1978">$B27/$B$31*$D27*DU$31</f>
        <v>0</v>
      </c>
      <c r="DU27" s="10">
        <f t="shared" si="107"/>
        <v>0</v>
      </c>
      <c r="DV27" s="10">
        <f t="shared" ref="DV27" si="1979">$B27/$B$31*$D27*DW$31</f>
        <v>0</v>
      </c>
      <c r="DW27" s="10">
        <f t="shared" si="109"/>
        <v>0</v>
      </c>
      <c r="DX27" s="10">
        <f t="shared" ref="DX27" si="1980">$B27/$B$31*$D27*DY$31</f>
        <v>0</v>
      </c>
      <c r="DY27" s="10">
        <f t="shared" si="111"/>
        <v>0</v>
      </c>
      <c r="DZ27" s="10">
        <f t="shared" ref="DZ27" si="1981">$B27/$B$31*$D27*EA$31</f>
        <v>0</v>
      </c>
      <c r="EA27" s="10">
        <f t="shared" si="113"/>
        <v>0</v>
      </c>
      <c r="EB27" s="10">
        <f t="shared" ref="EB27" si="1982">$B27/$B$31*$D27*EC$31</f>
        <v>0</v>
      </c>
      <c r="EC27" s="10">
        <f t="shared" si="115"/>
        <v>0</v>
      </c>
      <c r="ED27" s="10">
        <f t="shared" ref="ED27" si="1983">$B27/$B$31*$D27*EE$31</f>
        <v>0</v>
      </c>
      <c r="EE27" s="10">
        <f t="shared" si="117"/>
        <v>0</v>
      </c>
      <c r="EF27" s="10">
        <f t="shared" ref="EF27" si="1984">$B27/$B$31*$D27*EG$31</f>
        <v>0</v>
      </c>
      <c r="EG27" s="10">
        <f t="shared" si="119"/>
        <v>0</v>
      </c>
      <c r="EH27" s="10">
        <f t="shared" ref="EH27" si="1985">$B27/$B$31*$D27*EI$31</f>
        <v>0</v>
      </c>
      <c r="EI27" s="10">
        <f t="shared" si="121"/>
        <v>0</v>
      </c>
      <c r="EJ27" s="10">
        <f t="shared" ref="EJ27" si="1986">$B27/$B$31*$D27*EK$31</f>
        <v>0</v>
      </c>
      <c r="EK27" s="10">
        <f t="shared" si="123"/>
        <v>0</v>
      </c>
      <c r="EL27" s="10">
        <f t="shared" ref="EL27" si="1987">$B27/$B$31*$D27*EM$31</f>
        <v>0</v>
      </c>
      <c r="EM27" s="10">
        <f t="shared" si="125"/>
        <v>0</v>
      </c>
      <c r="EN27" s="10">
        <f t="shared" ref="EN27" si="1988">$B27/$B$31*$D27*EO$31</f>
        <v>0</v>
      </c>
      <c r="EO27" s="10">
        <f t="shared" si="127"/>
        <v>0</v>
      </c>
      <c r="EP27" s="10">
        <f t="shared" ref="EP27" si="1989">$B27/$B$31*$D27*EQ$31</f>
        <v>0</v>
      </c>
      <c r="EQ27" s="10">
        <f t="shared" si="129"/>
        <v>0</v>
      </c>
      <c r="ER27" s="10">
        <f t="shared" ref="ER27" si="1990">$B27/$B$31*$D27*ES$31</f>
        <v>0</v>
      </c>
      <c r="ES27" s="10">
        <f t="shared" si="131"/>
        <v>0</v>
      </c>
      <c r="ET27" s="10">
        <f t="shared" ref="ET27" si="1991">$B27/$B$31*$D27*EU$31</f>
        <v>0</v>
      </c>
      <c r="EU27" s="10">
        <f t="shared" si="133"/>
        <v>0</v>
      </c>
      <c r="EV27" s="10">
        <f t="shared" ref="EV27" si="1992">$B27/$B$31*$D27*EW$31</f>
        <v>0</v>
      </c>
      <c r="EW27" s="10">
        <f t="shared" si="133"/>
        <v>0</v>
      </c>
      <c r="EX27" s="10">
        <f t="shared" ref="EX27" si="1993">$B27/$B$31*$D27*EY$31</f>
        <v>0</v>
      </c>
      <c r="EY27" s="10">
        <f t="shared" si="133"/>
        <v>0</v>
      </c>
      <c r="EZ27" s="10">
        <f t="shared" ref="EZ27" si="1994">$B27/$B$31*$D27*FA$31</f>
        <v>0</v>
      </c>
      <c r="FA27" s="10">
        <f t="shared" si="133"/>
        <v>0</v>
      </c>
      <c r="FB27" s="10">
        <f t="shared" ref="FB27" si="1995">$B27/$B$31*$D27*FC$31</f>
        <v>0</v>
      </c>
      <c r="FC27" s="10">
        <f t="shared" si="133"/>
        <v>0</v>
      </c>
      <c r="FD27" s="10">
        <f t="shared" ref="FD27" si="1996">$B27/$B$31*$D27*FE$31</f>
        <v>0</v>
      </c>
      <c r="FE27" s="10">
        <f t="shared" si="133"/>
        <v>0</v>
      </c>
      <c r="FF27" s="10">
        <f t="shared" ref="FF27" si="1997">$B27/$B$31*$D27*FG$31</f>
        <v>0</v>
      </c>
      <c r="FG27" s="10">
        <f t="shared" si="133"/>
        <v>0</v>
      </c>
      <c r="FH27" s="10">
        <f t="shared" ref="FH27" si="1998">$B27/$B$31*$D27*FI$31</f>
        <v>0</v>
      </c>
      <c r="FI27" s="10">
        <f t="shared" si="133"/>
        <v>0</v>
      </c>
      <c r="FJ27" s="10">
        <f t="shared" ref="FJ27" si="1999">$B27/$B$31*$D27*FK$31</f>
        <v>0</v>
      </c>
      <c r="FK27" s="10">
        <f t="shared" si="133"/>
        <v>0</v>
      </c>
      <c r="FL27" s="10">
        <f t="shared" ref="FL27" si="2000">$B27/$B$31*$D27*FM$31</f>
        <v>0</v>
      </c>
      <c r="FM27" s="10">
        <f t="shared" si="1917"/>
        <v>0</v>
      </c>
      <c r="FN27" s="10">
        <f t="shared" ref="FN27" si="2001">$B27/$B$31*$D27*FO$31</f>
        <v>0</v>
      </c>
      <c r="FO27" s="10">
        <f t="shared" si="144"/>
        <v>0</v>
      </c>
      <c r="FP27" s="10">
        <f t="shared" ref="FP27" si="2002">$B27/$B$31*$D27*FQ$31</f>
        <v>0</v>
      </c>
      <c r="FQ27" s="10">
        <f t="shared" si="146"/>
        <v>0</v>
      </c>
      <c r="FR27" s="10">
        <f t="shared" ref="FR27" si="2003">$B27/$B$31*$D27*FS$31</f>
        <v>0</v>
      </c>
      <c r="FS27" s="10">
        <f t="shared" si="148"/>
        <v>0</v>
      </c>
      <c r="FT27" s="10">
        <f t="shared" ref="FT27" si="2004">$B27/$B$31*$D27*FU$31</f>
        <v>0</v>
      </c>
      <c r="FU27" s="10">
        <f t="shared" si="150"/>
        <v>0</v>
      </c>
      <c r="FV27" s="10">
        <f t="shared" ref="FV27" si="2005">$B27/$B$31*$D27*FW$31</f>
        <v>0</v>
      </c>
      <c r="FW27" s="10">
        <f t="shared" si="152"/>
        <v>0</v>
      </c>
      <c r="FX27" s="10">
        <f t="shared" ref="FX27" si="2006">$B27/$B$31*$D27*FY$31</f>
        <v>0</v>
      </c>
      <c r="FY27" s="10">
        <f t="shared" si="154"/>
        <v>0</v>
      </c>
      <c r="FZ27" s="10">
        <f t="shared" ref="FZ27" si="2007">$B27/$B$31*$D27*GA$31</f>
        <v>0</v>
      </c>
      <c r="GA27" s="10">
        <f t="shared" si="156"/>
        <v>0</v>
      </c>
      <c r="GB27" s="10">
        <f t="shared" ref="GB27" si="2008">$B27/$B$31*$D27*GC$31</f>
        <v>0</v>
      </c>
      <c r="GC27" s="10">
        <f t="shared" si="158"/>
        <v>0</v>
      </c>
      <c r="GD27" s="10">
        <f t="shared" ref="GD27" si="2009">$B27/$B$31*$D27*GE$31</f>
        <v>0</v>
      </c>
      <c r="GE27" s="10">
        <f t="shared" si="160"/>
        <v>0</v>
      </c>
      <c r="GF27" s="10">
        <f t="shared" ref="GF27" si="2010">$B27/$B$31*$D27*GG$31</f>
        <v>0</v>
      </c>
      <c r="GG27" s="10">
        <f t="shared" si="162"/>
        <v>0</v>
      </c>
      <c r="GH27" s="10">
        <f t="shared" ref="GH27" si="2011">$B27/$B$31*$D27*GI$31</f>
        <v>0</v>
      </c>
      <c r="GI27" s="10">
        <f t="shared" si="164"/>
        <v>0</v>
      </c>
      <c r="GJ27" s="10">
        <f t="shared" ref="GJ27" si="2012">$B27/$B$31*$D27*GK$31</f>
        <v>0</v>
      </c>
      <c r="GK27" s="10">
        <f t="shared" si="166"/>
        <v>0</v>
      </c>
      <c r="GL27" s="10">
        <f t="shared" ref="GL27" si="2013">$B27/$B$31*$D27*GM$31</f>
        <v>0</v>
      </c>
      <c r="GM27" s="10">
        <f t="shared" si="168"/>
        <v>0</v>
      </c>
      <c r="GN27" s="10">
        <f t="shared" ref="GN27" si="2014">$B27/$B$31*$D27*GO$31</f>
        <v>0</v>
      </c>
      <c r="GO27" s="10">
        <f t="shared" si="170"/>
        <v>0</v>
      </c>
      <c r="GP27" s="10">
        <f t="shared" ref="GP27" si="2015">$B27/$B$31*$D27*GQ$31</f>
        <v>0</v>
      </c>
      <c r="GQ27" s="10">
        <f t="shared" si="172"/>
        <v>0</v>
      </c>
      <c r="GR27" s="10">
        <f t="shared" ref="GR27" si="2016">$B27/$B$31*$D27*GS$31</f>
        <v>0</v>
      </c>
      <c r="GS27" s="10">
        <f t="shared" si="174"/>
        <v>0</v>
      </c>
      <c r="GT27" s="10">
        <f t="shared" ref="GT27" si="2017">$B27/$B$31*$D27*GU$31</f>
        <v>0</v>
      </c>
      <c r="GU27" s="10">
        <f t="shared" si="176"/>
        <v>0</v>
      </c>
      <c r="GV27" s="10">
        <f t="shared" ref="GV27" si="2018">$B27/$B$31*$D27*GW$31</f>
        <v>0</v>
      </c>
      <c r="GW27" s="10">
        <f t="shared" si="178"/>
        <v>0</v>
      </c>
      <c r="GX27" s="10">
        <f t="shared" ref="GX27" si="2019">$B27/$B$31*$D27*GY$31</f>
        <v>0</v>
      </c>
      <c r="GY27" s="10">
        <f t="shared" si="180"/>
        <v>0</v>
      </c>
      <c r="GZ27" s="10">
        <f t="shared" ref="GZ27" si="2020">$B27/$B$31*$D27*HA$31</f>
        <v>0</v>
      </c>
      <c r="HA27" s="10">
        <f t="shared" si="182"/>
        <v>0</v>
      </c>
      <c r="HB27" s="10">
        <f t="shared" ref="HB27" si="2021">$B27/$B$31*$D27*HC$31</f>
        <v>0</v>
      </c>
      <c r="HC27" s="10">
        <f t="shared" si="184"/>
        <v>0</v>
      </c>
      <c r="HD27" s="10">
        <f t="shared" ref="HD27" si="2022">$B27/$B$31*$D27*HE$31</f>
        <v>0</v>
      </c>
      <c r="HE27" s="10">
        <f t="shared" si="186"/>
        <v>0</v>
      </c>
      <c r="HF27" s="10">
        <f t="shared" ref="HF27" si="2023">$B27/$B$31*$D27*HG$31</f>
        <v>0</v>
      </c>
      <c r="HG27" s="10">
        <f t="shared" si="188"/>
        <v>0</v>
      </c>
      <c r="HH27" s="10">
        <f t="shared" ref="HH27" si="2024">$B27/$B$31*$D27*HI$31</f>
        <v>0</v>
      </c>
      <c r="HI27" s="10">
        <f t="shared" si="190"/>
        <v>0</v>
      </c>
      <c r="HJ27" s="10">
        <f t="shared" ref="HJ27" si="2025">$B27/$B$31*$D27*HK$31</f>
        <v>0</v>
      </c>
      <c r="HK27" s="10">
        <f t="shared" si="192"/>
        <v>0</v>
      </c>
      <c r="HL27" s="10">
        <f t="shared" ref="HL27" si="2026">$B27/$B$31*$D27*HM$31</f>
        <v>0</v>
      </c>
      <c r="HM27" s="10">
        <f t="shared" si="194"/>
        <v>0</v>
      </c>
      <c r="HN27" s="10">
        <f t="shared" ref="HN27" si="2027">$B27/$B$31*$D27*HO$31</f>
        <v>0</v>
      </c>
      <c r="HO27" s="10">
        <f t="shared" si="196"/>
        <v>0</v>
      </c>
      <c r="HP27" s="10">
        <f t="shared" ref="HP27" si="2028">$B27/$B$31*$D27*HQ$31</f>
        <v>0</v>
      </c>
      <c r="HQ27" s="10">
        <f t="shared" si="198"/>
        <v>0</v>
      </c>
      <c r="HR27" s="10">
        <f t="shared" ref="HR27" si="2029">$B27/$B$31*$D27*HS$31</f>
        <v>0</v>
      </c>
      <c r="HS27" s="10">
        <f t="shared" si="200"/>
        <v>0</v>
      </c>
      <c r="HT27" s="10">
        <f t="shared" ref="HT27" si="2030">$B27/$B$31*$D27*HU$31</f>
        <v>0</v>
      </c>
      <c r="HU27" s="10">
        <f t="shared" si="202"/>
        <v>0</v>
      </c>
      <c r="HV27" s="10"/>
      <c r="HW27" s="10"/>
      <c r="HX27" s="10"/>
    </row>
    <row r="28" spans="1:232" x14ac:dyDescent="0.3">
      <c r="A28" s="18">
        <f>参数调整!A28</f>
        <v>25</v>
      </c>
      <c r="B28" s="170">
        <f>参数调整!B28</f>
        <v>200</v>
      </c>
      <c r="C28" s="10">
        <f>参数调整!F28</f>
        <v>6.4</v>
      </c>
      <c r="D28" s="10">
        <f>参数调整!G28</f>
        <v>6.4</v>
      </c>
      <c r="E28" s="15">
        <f>基本属性!B28</f>
        <v>240</v>
      </c>
      <c r="F28" s="15">
        <f>基本属性!C28</f>
        <v>18</v>
      </c>
      <c r="G28" s="271"/>
      <c r="H28" s="10">
        <f t="shared" si="45"/>
        <v>1167350661194.7104</v>
      </c>
      <c r="I28" s="188">
        <f t="shared" si="0"/>
        <v>1167350661194.7104</v>
      </c>
      <c r="J28" s="10">
        <f t="shared" si="1"/>
        <v>48283818.424624249</v>
      </c>
      <c r="K28" s="10">
        <f t="shared" si="2"/>
        <v>48283818.424624249</v>
      </c>
      <c r="L28" s="10">
        <f t="shared" si="46"/>
        <v>642.84241890448436</v>
      </c>
      <c r="M28" s="10">
        <f t="shared" si="47"/>
        <v>642.84241890448436</v>
      </c>
      <c r="N28" s="10">
        <f t="shared" si="48"/>
        <v>4676.4067487460106</v>
      </c>
      <c r="O28" s="10">
        <f t="shared" si="49"/>
        <v>4676.4067487460106</v>
      </c>
      <c r="P28" s="10">
        <f t="shared" si="3"/>
        <v>90080.559355525154</v>
      </c>
      <c r="Q28" s="10">
        <f t="shared" si="4"/>
        <v>90080.559355525154</v>
      </c>
      <c r="R28" s="10">
        <f t="shared" si="5"/>
        <v>284.83356133150937</v>
      </c>
      <c r="S28" s="10">
        <f t="shared" si="6"/>
        <v>284.83356133150937</v>
      </c>
      <c r="T28" s="10">
        <f t="shared" si="7"/>
        <v>425.33527653347397</v>
      </c>
      <c r="U28" s="10">
        <f t="shared" si="8"/>
        <v>425.33527653347397</v>
      </c>
      <c r="V28" s="10">
        <f t="shared" si="9"/>
        <v>425.33527653347397</v>
      </c>
      <c r="W28" s="10">
        <f t="shared" si="10"/>
        <v>425.33527653347397</v>
      </c>
      <c r="X28" s="10">
        <f t="shared" si="11"/>
        <v>425.33527653347397</v>
      </c>
      <c r="Y28" s="10">
        <f t="shared" si="12"/>
        <v>425.33527653347397</v>
      </c>
      <c r="Z28" s="10">
        <f t="shared" si="13"/>
        <v>425.33527653347397</v>
      </c>
      <c r="AA28" s="10">
        <f t="shared" si="14"/>
        <v>425.33527653347397</v>
      </c>
      <c r="AB28" s="10">
        <f t="shared" si="15"/>
        <v>10903.055175558597</v>
      </c>
      <c r="AC28" s="10">
        <f t="shared" si="16"/>
        <v>10903.055175558597</v>
      </c>
      <c r="AD28" s="10">
        <f t="shared" si="17"/>
        <v>3266.2830685046829</v>
      </c>
      <c r="AE28" s="10">
        <f t="shared" si="18"/>
        <v>3266.2830685046829</v>
      </c>
      <c r="AF28" s="10">
        <f t="shared" si="19"/>
        <v>1633.1415342523414</v>
      </c>
      <c r="AG28" s="10">
        <f t="shared" si="20"/>
        <v>1633.1415342523414</v>
      </c>
      <c r="AH28" s="10">
        <f t="shared" si="21"/>
        <v>326.62830685046828</v>
      </c>
      <c r="AI28" s="10">
        <f t="shared" si="22"/>
        <v>326.62830685046828</v>
      </c>
      <c r="AJ28" s="10">
        <f t="shared" si="23"/>
        <v>3732.7754083849682</v>
      </c>
      <c r="AK28" s="10">
        <f t="shared" si="24"/>
        <v>3732.7754083849682</v>
      </c>
      <c r="AL28" s="10">
        <f t="shared" si="25"/>
        <v>1866.3877041924841</v>
      </c>
      <c r="AM28" s="10">
        <f t="shared" si="26"/>
        <v>1866.3877041924841</v>
      </c>
      <c r="AN28" s="10">
        <f t="shared" si="27"/>
        <v>373.2775408384968</v>
      </c>
      <c r="AO28" s="10">
        <f t="shared" si="28"/>
        <v>373.2775408384968</v>
      </c>
      <c r="AP28" s="10">
        <f t="shared" si="29"/>
        <v>177.09722936133014</v>
      </c>
      <c r="AQ28" s="10">
        <f t="shared" si="30"/>
        <v>177.09722936133014</v>
      </c>
      <c r="AR28" s="10">
        <f t="shared" si="31"/>
        <v>2.337608796016307</v>
      </c>
      <c r="AS28" s="10">
        <f t="shared" si="32"/>
        <v>2.337608796016307</v>
      </c>
      <c r="AT28" s="10">
        <f t="shared" si="33"/>
        <v>2.337608796016307</v>
      </c>
      <c r="AU28" s="10">
        <f t="shared" si="34"/>
        <v>2.337608796016307</v>
      </c>
      <c r="AV28" s="10">
        <f t="shared" si="35"/>
        <v>21.038479164146761</v>
      </c>
      <c r="AW28" s="10">
        <f t="shared" si="36"/>
        <v>21.038479164146761</v>
      </c>
      <c r="AX28" s="10">
        <f t="shared" si="37"/>
        <v>64.284241890448442</v>
      </c>
      <c r="AY28" s="10">
        <f t="shared" si="38"/>
        <v>64.284241890448442</v>
      </c>
      <c r="AZ28" s="10">
        <f t="shared" si="39"/>
        <v>5.8440219900407673</v>
      </c>
      <c r="BA28" s="10">
        <f t="shared" si="40"/>
        <v>5.8440219900407673</v>
      </c>
      <c r="BB28" s="10">
        <f t="shared" si="41"/>
        <v>5.8440219900407673</v>
      </c>
      <c r="BC28" s="10">
        <f t="shared" si="42"/>
        <v>5.8440219900407673</v>
      </c>
      <c r="BD28" s="10">
        <f t="shared" si="43"/>
        <v>23.376087960163069</v>
      </c>
      <c r="BE28" s="10">
        <f t="shared" si="44"/>
        <v>23.376087960163069</v>
      </c>
      <c r="BF28" s="10">
        <f t="shared" si="50"/>
        <v>29.220109950203838</v>
      </c>
      <c r="BG28" s="10">
        <f t="shared" si="51"/>
        <v>29.220109950203838</v>
      </c>
      <c r="BH28" s="10">
        <f t="shared" si="52"/>
        <v>0</v>
      </c>
      <c r="BI28" s="10">
        <f t="shared" si="53"/>
        <v>0</v>
      </c>
      <c r="BJ28" s="10">
        <f t="shared" si="52"/>
        <v>0</v>
      </c>
      <c r="BK28" s="10">
        <f t="shared" si="53"/>
        <v>0</v>
      </c>
      <c r="BL28" s="10">
        <f t="shared" ref="BL28" si="2031">$B28/$B$31*$D28*BM$31</f>
        <v>0</v>
      </c>
      <c r="BM28" s="10">
        <f t="shared" si="53"/>
        <v>0</v>
      </c>
      <c r="BN28" s="10">
        <f t="shared" ref="BN28" si="2032">$B28/$B$31*$D28*BO$31</f>
        <v>0</v>
      </c>
      <c r="BO28" s="10">
        <f t="shared" si="53"/>
        <v>0</v>
      </c>
      <c r="BP28" s="10">
        <f t="shared" ref="BP28" si="2033">$B28/$B$31*$D28*BQ$31</f>
        <v>0</v>
      </c>
      <c r="BQ28" s="10">
        <f t="shared" si="53"/>
        <v>0</v>
      </c>
      <c r="BR28" s="10">
        <f t="shared" ref="BR28" si="2034">$B28/$B$31*$D28*BS$31</f>
        <v>0</v>
      </c>
      <c r="BS28" s="10">
        <f t="shared" si="53"/>
        <v>0</v>
      </c>
      <c r="BT28" s="10">
        <f t="shared" ref="BT28" si="2035">$B28/$B$31*$D28*BU$31</f>
        <v>0</v>
      </c>
      <c r="BU28" s="10">
        <f t="shared" si="53"/>
        <v>0</v>
      </c>
      <c r="BV28" s="10">
        <f t="shared" ref="BV28" si="2036">$B28/$B$31*$D28*BW$31</f>
        <v>0</v>
      </c>
      <c r="BW28" s="10">
        <f t="shared" si="53"/>
        <v>0</v>
      </c>
      <c r="BX28" s="10">
        <f t="shared" ref="BX28" si="2037">$B28/$B$31*$D28*BY$31</f>
        <v>0</v>
      </c>
      <c r="BY28" s="10">
        <f t="shared" si="53"/>
        <v>0</v>
      </c>
      <c r="BZ28" s="10">
        <f t="shared" ref="BZ28" si="2038">$B28/$B$31*$D28*CA$31</f>
        <v>0</v>
      </c>
      <c r="CA28" s="10">
        <f t="shared" si="1871"/>
        <v>0</v>
      </c>
      <c r="CB28" s="10">
        <f t="shared" ref="CB28" si="2039">$B28/$B$31*$D28*CC$31</f>
        <v>0</v>
      </c>
      <c r="CC28" s="10">
        <f t="shared" si="63"/>
        <v>0</v>
      </c>
      <c r="CD28" s="10">
        <f t="shared" ref="CD28" si="2040">$B28/$B$31*$D28*CE$31</f>
        <v>0</v>
      </c>
      <c r="CE28" s="10">
        <f t="shared" si="65"/>
        <v>0</v>
      </c>
      <c r="CF28" s="10">
        <f t="shared" ref="CF28" si="2041">$B28/$B$31*$D28*CG$31</f>
        <v>0</v>
      </c>
      <c r="CG28" s="10">
        <f t="shared" si="67"/>
        <v>0</v>
      </c>
      <c r="CH28" s="10">
        <f t="shared" ref="CH28" si="2042">$B28/$B$31*$D28*CI$31</f>
        <v>0</v>
      </c>
      <c r="CI28" s="10">
        <f t="shared" si="69"/>
        <v>0</v>
      </c>
      <c r="CJ28" s="10">
        <f t="shared" ref="CJ28" si="2043">$B28/$B$31*$D28*CK$31</f>
        <v>0</v>
      </c>
      <c r="CK28" s="10">
        <f t="shared" si="71"/>
        <v>0</v>
      </c>
      <c r="CL28" s="10">
        <f t="shared" ref="CL28" si="2044">$B28/$B$31*$D28*CM$31</f>
        <v>0</v>
      </c>
      <c r="CM28" s="10">
        <f t="shared" si="73"/>
        <v>0</v>
      </c>
      <c r="CN28" s="10">
        <f t="shared" ref="CN28" si="2045">$B28/$B$31*$D28*CO$31</f>
        <v>0</v>
      </c>
      <c r="CO28" s="10">
        <f t="shared" si="75"/>
        <v>0</v>
      </c>
      <c r="CP28" s="10">
        <f t="shared" ref="CP28" si="2046">$B28/$B$31*$D28*CQ$31</f>
        <v>0</v>
      </c>
      <c r="CQ28" s="10">
        <f t="shared" si="77"/>
        <v>0</v>
      </c>
      <c r="CR28" s="10">
        <f t="shared" ref="CR28" si="2047">$B28/$B$31*$D28*CS$31</f>
        <v>0</v>
      </c>
      <c r="CS28" s="10">
        <f t="shared" si="79"/>
        <v>0</v>
      </c>
      <c r="CT28" s="10">
        <f t="shared" ref="CT28" si="2048">$B28/$B$31*$D28*CU$31</f>
        <v>0</v>
      </c>
      <c r="CU28" s="10">
        <f t="shared" si="81"/>
        <v>0</v>
      </c>
      <c r="CV28" s="10">
        <f t="shared" ref="CV28" si="2049">$B28/$B$31*$D28*CW$31</f>
        <v>0</v>
      </c>
      <c r="CW28" s="10">
        <f t="shared" si="83"/>
        <v>0</v>
      </c>
      <c r="CX28" s="10">
        <f t="shared" ref="CX28" si="2050">$B28/$B$31*$D28*CY$31</f>
        <v>0</v>
      </c>
      <c r="CY28" s="10">
        <f t="shared" si="85"/>
        <v>0</v>
      </c>
      <c r="CZ28" s="10">
        <f t="shared" ref="CZ28" si="2051">$B28/$B$31*$D28*DA$31</f>
        <v>0</v>
      </c>
      <c r="DA28" s="10">
        <f t="shared" si="87"/>
        <v>0</v>
      </c>
      <c r="DB28" s="10">
        <f t="shared" ref="DB28" si="2052">$B28/$B$31*$D28*DC$31</f>
        <v>0</v>
      </c>
      <c r="DC28" s="10">
        <f t="shared" si="89"/>
        <v>0</v>
      </c>
      <c r="DD28" s="10">
        <f t="shared" ref="DD28" si="2053">$B28/$B$31*$D28*DE$31</f>
        <v>0</v>
      </c>
      <c r="DE28" s="10">
        <f t="shared" si="91"/>
        <v>0</v>
      </c>
      <c r="DF28" s="10">
        <f t="shared" ref="DF28" si="2054">$B28/$B$31*$D28*DG$31</f>
        <v>0</v>
      </c>
      <c r="DG28" s="10">
        <f t="shared" si="93"/>
        <v>0</v>
      </c>
      <c r="DH28" s="10">
        <f t="shared" ref="DH28" si="2055">$B28/$B$31*$D28*DI$31</f>
        <v>0</v>
      </c>
      <c r="DI28" s="10">
        <f t="shared" si="95"/>
        <v>0</v>
      </c>
      <c r="DJ28" s="10">
        <f t="shared" ref="DJ28" si="2056">$B28/$B$31*$D28*DK$31</f>
        <v>0</v>
      </c>
      <c r="DK28" s="10">
        <f t="shared" si="97"/>
        <v>0</v>
      </c>
      <c r="DL28" s="10">
        <f t="shared" ref="DL28" si="2057">$B28/$B$31*$D28*DM$31</f>
        <v>0</v>
      </c>
      <c r="DM28" s="10">
        <f t="shared" si="99"/>
        <v>0</v>
      </c>
      <c r="DN28" s="10">
        <f t="shared" ref="DN28" si="2058">$B28/$B$31*$D28*DO$31</f>
        <v>0</v>
      </c>
      <c r="DO28" s="10">
        <f t="shared" si="101"/>
        <v>0</v>
      </c>
      <c r="DP28" s="10">
        <f t="shared" ref="DP28" si="2059">$B28/$B$31*$D28*DQ$31</f>
        <v>0</v>
      </c>
      <c r="DQ28" s="10">
        <f t="shared" si="103"/>
        <v>0</v>
      </c>
      <c r="DR28" s="10">
        <f t="shared" ref="DR28" si="2060">$B28/$B$31*$D28*DS$31</f>
        <v>0</v>
      </c>
      <c r="DS28" s="10">
        <f t="shared" si="105"/>
        <v>0</v>
      </c>
      <c r="DT28" s="10">
        <f t="shared" ref="DT28" si="2061">$B28/$B$31*$D28*DU$31</f>
        <v>0</v>
      </c>
      <c r="DU28" s="10">
        <f t="shared" si="107"/>
        <v>0</v>
      </c>
      <c r="DV28" s="10">
        <f t="shared" ref="DV28" si="2062">$B28/$B$31*$D28*DW$31</f>
        <v>0</v>
      </c>
      <c r="DW28" s="10">
        <f t="shared" si="109"/>
        <v>0</v>
      </c>
      <c r="DX28" s="10">
        <f t="shared" ref="DX28" si="2063">$B28/$B$31*$D28*DY$31</f>
        <v>0</v>
      </c>
      <c r="DY28" s="10">
        <f t="shared" si="111"/>
        <v>0</v>
      </c>
      <c r="DZ28" s="10">
        <f t="shared" ref="DZ28" si="2064">$B28/$B$31*$D28*EA$31</f>
        <v>0</v>
      </c>
      <c r="EA28" s="10">
        <f t="shared" si="113"/>
        <v>0</v>
      </c>
      <c r="EB28" s="10">
        <f t="shared" ref="EB28" si="2065">$B28/$B$31*$D28*EC$31</f>
        <v>0</v>
      </c>
      <c r="EC28" s="10">
        <f t="shared" si="115"/>
        <v>0</v>
      </c>
      <c r="ED28" s="10">
        <f t="shared" ref="ED28" si="2066">$B28/$B$31*$D28*EE$31</f>
        <v>0</v>
      </c>
      <c r="EE28" s="10">
        <f t="shared" si="117"/>
        <v>0</v>
      </c>
      <c r="EF28" s="10">
        <f t="shared" ref="EF28" si="2067">$B28/$B$31*$D28*EG$31</f>
        <v>0</v>
      </c>
      <c r="EG28" s="10">
        <f t="shared" si="119"/>
        <v>0</v>
      </c>
      <c r="EH28" s="10">
        <f t="shared" ref="EH28" si="2068">$B28/$B$31*$D28*EI$31</f>
        <v>0</v>
      </c>
      <c r="EI28" s="10">
        <f t="shared" si="121"/>
        <v>0</v>
      </c>
      <c r="EJ28" s="10">
        <f t="shared" ref="EJ28" si="2069">$B28/$B$31*$D28*EK$31</f>
        <v>0</v>
      </c>
      <c r="EK28" s="10">
        <f t="shared" si="123"/>
        <v>0</v>
      </c>
      <c r="EL28" s="10">
        <f t="shared" ref="EL28" si="2070">$B28/$B$31*$D28*EM$31</f>
        <v>0</v>
      </c>
      <c r="EM28" s="10">
        <f t="shared" si="125"/>
        <v>0</v>
      </c>
      <c r="EN28" s="10">
        <f t="shared" ref="EN28" si="2071">$B28/$B$31*$D28*EO$31</f>
        <v>0</v>
      </c>
      <c r="EO28" s="10">
        <f t="shared" si="127"/>
        <v>0</v>
      </c>
      <c r="EP28" s="10">
        <f t="shared" ref="EP28" si="2072">$B28/$B$31*$D28*EQ$31</f>
        <v>0</v>
      </c>
      <c r="EQ28" s="10">
        <f t="shared" si="129"/>
        <v>0</v>
      </c>
      <c r="ER28" s="10">
        <f t="shared" ref="ER28" si="2073">$B28/$B$31*$D28*ES$31</f>
        <v>0</v>
      </c>
      <c r="ES28" s="10">
        <f t="shared" si="131"/>
        <v>0</v>
      </c>
      <c r="ET28" s="10">
        <f t="shared" ref="ET28" si="2074">$B28/$B$31*$D28*EU$31</f>
        <v>0</v>
      </c>
      <c r="EU28" s="10">
        <f t="shared" si="133"/>
        <v>0</v>
      </c>
      <c r="EV28" s="10">
        <f t="shared" ref="EV28" si="2075">$B28/$B$31*$D28*EW$31</f>
        <v>0</v>
      </c>
      <c r="EW28" s="10">
        <f t="shared" si="133"/>
        <v>0</v>
      </c>
      <c r="EX28" s="10">
        <f t="shared" ref="EX28" si="2076">$B28/$B$31*$D28*EY$31</f>
        <v>0</v>
      </c>
      <c r="EY28" s="10">
        <f t="shared" si="133"/>
        <v>0</v>
      </c>
      <c r="EZ28" s="10">
        <f t="shared" ref="EZ28" si="2077">$B28/$B$31*$D28*FA$31</f>
        <v>0</v>
      </c>
      <c r="FA28" s="10">
        <f t="shared" si="133"/>
        <v>0</v>
      </c>
      <c r="FB28" s="10">
        <f t="shared" ref="FB28" si="2078">$B28/$B$31*$D28*FC$31</f>
        <v>0</v>
      </c>
      <c r="FC28" s="10">
        <f t="shared" si="133"/>
        <v>0</v>
      </c>
      <c r="FD28" s="10">
        <f t="shared" ref="FD28" si="2079">$B28/$B$31*$D28*FE$31</f>
        <v>0</v>
      </c>
      <c r="FE28" s="10">
        <f t="shared" si="133"/>
        <v>0</v>
      </c>
      <c r="FF28" s="10">
        <f t="shared" ref="FF28" si="2080">$B28/$B$31*$D28*FG$31</f>
        <v>0</v>
      </c>
      <c r="FG28" s="10">
        <f t="shared" si="133"/>
        <v>0</v>
      </c>
      <c r="FH28" s="10">
        <f t="shared" ref="FH28" si="2081">$B28/$B$31*$D28*FI$31</f>
        <v>0</v>
      </c>
      <c r="FI28" s="10">
        <f t="shared" si="133"/>
        <v>0</v>
      </c>
      <c r="FJ28" s="10">
        <f t="shared" ref="FJ28" si="2082">$B28/$B$31*$D28*FK$31</f>
        <v>0</v>
      </c>
      <c r="FK28" s="10">
        <f t="shared" si="133"/>
        <v>0</v>
      </c>
      <c r="FL28" s="10">
        <f t="shared" ref="FL28" si="2083">$B28/$B$31*$D28*FM$31</f>
        <v>0</v>
      </c>
      <c r="FM28" s="10">
        <f t="shared" si="1917"/>
        <v>0</v>
      </c>
      <c r="FN28" s="10">
        <f t="shared" ref="FN28" si="2084">$B28/$B$31*$D28*FO$31</f>
        <v>0</v>
      </c>
      <c r="FO28" s="10">
        <f t="shared" si="144"/>
        <v>0</v>
      </c>
      <c r="FP28" s="10">
        <f t="shared" ref="FP28" si="2085">$B28/$B$31*$D28*FQ$31</f>
        <v>0</v>
      </c>
      <c r="FQ28" s="10">
        <f t="shared" si="146"/>
        <v>0</v>
      </c>
      <c r="FR28" s="10">
        <f t="shared" ref="FR28" si="2086">$B28/$B$31*$D28*FS$31</f>
        <v>0</v>
      </c>
      <c r="FS28" s="10">
        <f t="shared" si="148"/>
        <v>0</v>
      </c>
      <c r="FT28" s="10">
        <f t="shared" ref="FT28" si="2087">$B28/$B$31*$D28*FU$31</f>
        <v>0</v>
      </c>
      <c r="FU28" s="10">
        <f t="shared" si="150"/>
        <v>0</v>
      </c>
      <c r="FV28" s="10">
        <f t="shared" ref="FV28" si="2088">$B28/$B$31*$D28*FW$31</f>
        <v>0</v>
      </c>
      <c r="FW28" s="10">
        <f t="shared" si="152"/>
        <v>0</v>
      </c>
      <c r="FX28" s="10">
        <f t="shared" ref="FX28" si="2089">$B28/$B$31*$D28*FY$31</f>
        <v>0</v>
      </c>
      <c r="FY28" s="10">
        <f t="shared" si="154"/>
        <v>0</v>
      </c>
      <c r="FZ28" s="10">
        <f t="shared" ref="FZ28" si="2090">$B28/$B$31*$D28*GA$31</f>
        <v>0</v>
      </c>
      <c r="GA28" s="10">
        <f t="shared" si="156"/>
        <v>0</v>
      </c>
      <c r="GB28" s="10">
        <f t="shared" ref="GB28" si="2091">$B28/$B$31*$D28*GC$31</f>
        <v>0</v>
      </c>
      <c r="GC28" s="10">
        <f t="shared" si="158"/>
        <v>0</v>
      </c>
      <c r="GD28" s="10">
        <f t="shared" ref="GD28" si="2092">$B28/$B$31*$D28*GE$31</f>
        <v>0</v>
      </c>
      <c r="GE28" s="10">
        <f t="shared" si="160"/>
        <v>0</v>
      </c>
      <c r="GF28" s="10">
        <f t="shared" ref="GF28" si="2093">$B28/$B$31*$D28*GG$31</f>
        <v>0</v>
      </c>
      <c r="GG28" s="10">
        <f t="shared" si="162"/>
        <v>0</v>
      </c>
      <c r="GH28" s="10">
        <f t="shared" ref="GH28" si="2094">$B28/$B$31*$D28*GI$31</f>
        <v>0</v>
      </c>
      <c r="GI28" s="10">
        <f t="shared" si="164"/>
        <v>0</v>
      </c>
      <c r="GJ28" s="10">
        <f t="shared" ref="GJ28" si="2095">$B28/$B$31*$D28*GK$31</f>
        <v>0</v>
      </c>
      <c r="GK28" s="10">
        <f t="shared" si="166"/>
        <v>0</v>
      </c>
      <c r="GL28" s="10">
        <f t="shared" ref="GL28" si="2096">$B28/$B$31*$D28*GM$31</f>
        <v>0</v>
      </c>
      <c r="GM28" s="10">
        <f t="shared" si="168"/>
        <v>0</v>
      </c>
      <c r="GN28" s="10">
        <f t="shared" ref="GN28" si="2097">$B28/$B$31*$D28*GO$31</f>
        <v>0</v>
      </c>
      <c r="GO28" s="10">
        <f t="shared" si="170"/>
        <v>0</v>
      </c>
      <c r="GP28" s="10">
        <f t="shared" ref="GP28" si="2098">$B28/$B$31*$D28*GQ$31</f>
        <v>0</v>
      </c>
      <c r="GQ28" s="10">
        <f t="shared" si="172"/>
        <v>0</v>
      </c>
      <c r="GR28" s="10">
        <f t="shared" ref="GR28" si="2099">$B28/$B$31*$D28*GS$31</f>
        <v>0</v>
      </c>
      <c r="GS28" s="10">
        <f t="shared" si="174"/>
        <v>0</v>
      </c>
      <c r="GT28" s="10">
        <f t="shared" ref="GT28" si="2100">$B28/$B$31*$D28*GU$31</f>
        <v>0</v>
      </c>
      <c r="GU28" s="10">
        <f t="shared" si="176"/>
        <v>0</v>
      </c>
      <c r="GV28" s="10">
        <f t="shared" ref="GV28" si="2101">$B28/$B$31*$D28*GW$31</f>
        <v>0</v>
      </c>
      <c r="GW28" s="10">
        <f t="shared" si="178"/>
        <v>0</v>
      </c>
      <c r="GX28" s="10">
        <f t="shared" ref="GX28" si="2102">$B28/$B$31*$D28*GY$31</f>
        <v>0</v>
      </c>
      <c r="GY28" s="10">
        <f t="shared" si="180"/>
        <v>0</v>
      </c>
      <c r="GZ28" s="10">
        <f t="shared" ref="GZ28" si="2103">$B28/$B$31*$D28*HA$31</f>
        <v>0</v>
      </c>
      <c r="HA28" s="10">
        <f t="shared" si="182"/>
        <v>0</v>
      </c>
      <c r="HB28" s="10">
        <f t="shared" ref="HB28" si="2104">$B28/$B$31*$D28*HC$31</f>
        <v>0</v>
      </c>
      <c r="HC28" s="10">
        <f t="shared" si="184"/>
        <v>0</v>
      </c>
      <c r="HD28" s="10">
        <f t="shared" ref="HD28" si="2105">$B28/$B$31*$D28*HE$31</f>
        <v>0</v>
      </c>
      <c r="HE28" s="10">
        <f t="shared" si="186"/>
        <v>0</v>
      </c>
      <c r="HF28" s="10">
        <f t="shared" ref="HF28" si="2106">$B28/$B$31*$D28*HG$31</f>
        <v>0</v>
      </c>
      <c r="HG28" s="10">
        <f t="shared" si="188"/>
        <v>0</v>
      </c>
      <c r="HH28" s="10">
        <f t="shared" ref="HH28" si="2107">$B28/$B$31*$D28*HI$31</f>
        <v>0</v>
      </c>
      <c r="HI28" s="10">
        <f t="shared" si="190"/>
        <v>0</v>
      </c>
      <c r="HJ28" s="10">
        <f t="shared" ref="HJ28" si="2108">$B28/$B$31*$D28*HK$31</f>
        <v>0</v>
      </c>
      <c r="HK28" s="10">
        <f t="shared" si="192"/>
        <v>0</v>
      </c>
      <c r="HL28" s="10">
        <f t="shared" ref="HL28" si="2109">$B28/$B$31*$D28*HM$31</f>
        <v>0</v>
      </c>
      <c r="HM28" s="10">
        <f t="shared" si="194"/>
        <v>0</v>
      </c>
      <c r="HN28" s="10">
        <f t="shared" ref="HN28" si="2110">$B28/$B$31*$D28*HO$31</f>
        <v>0</v>
      </c>
      <c r="HO28" s="10">
        <f t="shared" si="196"/>
        <v>0</v>
      </c>
      <c r="HP28" s="10">
        <f t="shared" ref="HP28" si="2111">$B28/$B$31*$D28*HQ$31</f>
        <v>0</v>
      </c>
      <c r="HQ28" s="10">
        <f t="shared" si="198"/>
        <v>0</v>
      </c>
      <c r="HR28" s="10">
        <f t="shared" ref="HR28" si="2112">$B28/$B$31*$D28*HS$31</f>
        <v>0</v>
      </c>
      <c r="HS28" s="10">
        <f t="shared" si="200"/>
        <v>0</v>
      </c>
      <c r="HT28" s="10">
        <f t="shared" ref="HT28" si="2113">$B28/$B$31*$D28*HU$31</f>
        <v>0</v>
      </c>
      <c r="HU28" s="10">
        <f t="shared" si="202"/>
        <v>0</v>
      </c>
      <c r="HV28" s="10"/>
      <c r="HW28" s="10"/>
      <c r="HX28" s="10"/>
    </row>
    <row r="29" spans="1:232" x14ac:dyDescent="0.3">
      <c r="A29" s="18">
        <f>参数调整!A29</f>
        <v>26</v>
      </c>
      <c r="B29" s="170">
        <f>参数调整!B29</f>
        <v>200</v>
      </c>
      <c r="C29" s="10">
        <f>参数调整!F29</f>
        <v>6.7</v>
      </c>
      <c r="D29" s="10">
        <f>参数调整!G29</f>
        <v>6.7</v>
      </c>
      <c r="E29" s="15">
        <f>基本属性!B29</f>
        <v>240</v>
      </c>
      <c r="F29" s="15">
        <f>基本属性!C29</f>
        <v>19</v>
      </c>
      <c r="G29" s="271"/>
      <c r="H29" s="10">
        <f t="shared" si="45"/>
        <v>1222070223438.2126</v>
      </c>
      <c r="I29" s="188">
        <f t="shared" si="0"/>
        <v>1222070223438.2126</v>
      </c>
      <c r="J29" s="10">
        <f t="shared" si="1"/>
        <v>50547122.413278505</v>
      </c>
      <c r="K29" s="10">
        <f t="shared" si="2"/>
        <v>50547122.413278505</v>
      </c>
      <c r="L29" s="10">
        <f t="shared" si="46"/>
        <v>672.97565729063206</v>
      </c>
      <c r="M29" s="10">
        <f t="shared" si="47"/>
        <v>672.97565729063206</v>
      </c>
      <c r="N29" s="10">
        <f t="shared" si="48"/>
        <v>4895.6133150934793</v>
      </c>
      <c r="O29" s="10">
        <f t="shared" si="49"/>
        <v>4895.6133150934793</v>
      </c>
      <c r="P29" s="10">
        <f t="shared" si="3"/>
        <v>94303.085575315403</v>
      </c>
      <c r="Q29" s="10">
        <f t="shared" si="4"/>
        <v>94303.085575315403</v>
      </c>
      <c r="R29" s="10">
        <f t="shared" si="5"/>
        <v>298.18513451892386</v>
      </c>
      <c r="S29" s="10">
        <f t="shared" si="6"/>
        <v>298.18513451892386</v>
      </c>
      <c r="T29" s="10">
        <f t="shared" si="7"/>
        <v>445.27286762098061</v>
      </c>
      <c r="U29" s="10">
        <f t="shared" si="8"/>
        <v>445.27286762098061</v>
      </c>
      <c r="V29" s="10">
        <f t="shared" si="9"/>
        <v>445.27286762098061</v>
      </c>
      <c r="W29" s="10">
        <f t="shared" si="10"/>
        <v>445.27286762098061</v>
      </c>
      <c r="X29" s="10">
        <f t="shared" si="11"/>
        <v>445.27286762098061</v>
      </c>
      <c r="Y29" s="10">
        <f t="shared" si="12"/>
        <v>445.27286762098061</v>
      </c>
      <c r="Z29" s="10">
        <f t="shared" si="13"/>
        <v>445.27286762098061</v>
      </c>
      <c r="AA29" s="10">
        <f t="shared" si="14"/>
        <v>445.27286762098061</v>
      </c>
      <c r="AB29" s="10">
        <f t="shared" si="15"/>
        <v>11414.135886912905</v>
      </c>
      <c r="AC29" s="10">
        <f t="shared" si="16"/>
        <v>11414.135886912905</v>
      </c>
      <c r="AD29" s="10">
        <f t="shared" si="17"/>
        <v>3419.3900873408402</v>
      </c>
      <c r="AE29" s="10">
        <f t="shared" si="18"/>
        <v>3419.3900873408402</v>
      </c>
      <c r="AF29" s="10">
        <f t="shared" si="19"/>
        <v>1709.6950436704201</v>
      </c>
      <c r="AG29" s="10">
        <f t="shared" si="20"/>
        <v>1709.6950436704201</v>
      </c>
      <c r="AH29" s="10">
        <f t="shared" si="21"/>
        <v>341.93900873408398</v>
      </c>
      <c r="AI29" s="10">
        <f t="shared" si="22"/>
        <v>341.93900873408398</v>
      </c>
      <c r="AJ29" s="10">
        <f t="shared" si="23"/>
        <v>3907.7492556530133</v>
      </c>
      <c r="AK29" s="10">
        <f t="shared" si="24"/>
        <v>3907.7492556530133</v>
      </c>
      <c r="AL29" s="10">
        <f t="shared" si="25"/>
        <v>1953.8746278265066</v>
      </c>
      <c r="AM29" s="10">
        <f t="shared" si="26"/>
        <v>1953.8746278265066</v>
      </c>
      <c r="AN29" s="10">
        <f t="shared" si="27"/>
        <v>390.77492556530137</v>
      </c>
      <c r="AO29" s="10">
        <f t="shared" si="28"/>
        <v>390.77492556530137</v>
      </c>
      <c r="AP29" s="10">
        <f t="shared" si="29"/>
        <v>185.39866198764247</v>
      </c>
      <c r="AQ29" s="10">
        <f t="shared" si="30"/>
        <v>185.39866198764247</v>
      </c>
      <c r="AR29" s="10">
        <f t="shared" si="31"/>
        <v>2.4471842083295714</v>
      </c>
      <c r="AS29" s="10">
        <f t="shared" si="32"/>
        <v>2.4471842083295714</v>
      </c>
      <c r="AT29" s="10">
        <f t="shared" si="33"/>
        <v>2.4471842083295714</v>
      </c>
      <c r="AU29" s="10">
        <f t="shared" si="34"/>
        <v>2.4471842083295714</v>
      </c>
      <c r="AV29" s="10">
        <f t="shared" si="35"/>
        <v>22.024657874966138</v>
      </c>
      <c r="AW29" s="10">
        <f t="shared" si="36"/>
        <v>22.024657874966138</v>
      </c>
      <c r="AX29" s="10">
        <f t="shared" si="37"/>
        <v>67.297565729063209</v>
      </c>
      <c r="AY29" s="10">
        <f t="shared" si="38"/>
        <v>67.297565729063209</v>
      </c>
      <c r="AZ29" s="10">
        <f t="shared" si="39"/>
        <v>6.1179605208239281</v>
      </c>
      <c r="BA29" s="10">
        <f t="shared" si="40"/>
        <v>6.1179605208239281</v>
      </c>
      <c r="BB29" s="10">
        <f t="shared" si="41"/>
        <v>6.1179605208239281</v>
      </c>
      <c r="BC29" s="10">
        <f t="shared" si="42"/>
        <v>6.1179605208239281</v>
      </c>
      <c r="BD29" s="10">
        <f t="shared" si="43"/>
        <v>24.471842083295712</v>
      </c>
      <c r="BE29" s="10">
        <f t="shared" si="44"/>
        <v>24.471842083295712</v>
      </c>
      <c r="BF29" s="10">
        <f t="shared" si="50"/>
        <v>30.58980260411964</v>
      </c>
      <c r="BG29" s="10">
        <f t="shared" si="51"/>
        <v>30.58980260411964</v>
      </c>
      <c r="BH29" s="10">
        <f t="shared" si="52"/>
        <v>0</v>
      </c>
      <c r="BI29" s="10">
        <f t="shared" si="53"/>
        <v>0</v>
      </c>
      <c r="BJ29" s="10">
        <f t="shared" si="52"/>
        <v>0</v>
      </c>
      <c r="BK29" s="10">
        <f t="shared" si="53"/>
        <v>0</v>
      </c>
      <c r="BL29" s="10">
        <f t="shared" ref="BL29" si="2114">$B29/$B$31*$D29*BM$31</f>
        <v>0</v>
      </c>
      <c r="BM29" s="10">
        <f t="shared" si="53"/>
        <v>0</v>
      </c>
      <c r="BN29" s="10">
        <f t="shared" ref="BN29" si="2115">$B29/$B$31*$D29*BO$31</f>
        <v>0</v>
      </c>
      <c r="BO29" s="10">
        <f t="shared" si="53"/>
        <v>0</v>
      </c>
      <c r="BP29" s="10">
        <f t="shared" ref="BP29" si="2116">$B29/$B$31*$D29*BQ$31</f>
        <v>0</v>
      </c>
      <c r="BQ29" s="10">
        <f t="shared" si="53"/>
        <v>0</v>
      </c>
      <c r="BR29" s="10">
        <f t="shared" ref="BR29" si="2117">$B29/$B$31*$D29*BS$31</f>
        <v>0</v>
      </c>
      <c r="BS29" s="10">
        <f t="shared" si="53"/>
        <v>0</v>
      </c>
      <c r="BT29" s="10">
        <f t="shared" ref="BT29" si="2118">$B29/$B$31*$D29*BU$31</f>
        <v>0</v>
      </c>
      <c r="BU29" s="10">
        <f t="shared" si="53"/>
        <v>0</v>
      </c>
      <c r="BV29" s="10">
        <f t="shared" ref="BV29" si="2119">$B29/$B$31*$D29*BW$31</f>
        <v>0</v>
      </c>
      <c r="BW29" s="10">
        <f t="shared" si="53"/>
        <v>0</v>
      </c>
      <c r="BX29" s="10">
        <f t="shared" ref="BX29" si="2120">$B29/$B$31*$D29*BY$31</f>
        <v>0</v>
      </c>
      <c r="BY29" s="10">
        <f t="shared" si="53"/>
        <v>0</v>
      </c>
      <c r="BZ29" s="10">
        <f t="shared" ref="BZ29" si="2121">$B29/$B$31*$D29*CA$31</f>
        <v>0</v>
      </c>
      <c r="CA29" s="10">
        <f t="shared" si="1871"/>
        <v>0</v>
      </c>
      <c r="CB29" s="10">
        <f t="shared" ref="CB29" si="2122">$B29/$B$31*$D29*CC$31</f>
        <v>0</v>
      </c>
      <c r="CC29" s="10">
        <f t="shared" si="63"/>
        <v>0</v>
      </c>
      <c r="CD29" s="10">
        <f t="shared" ref="CD29" si="2123">$B29/$B$31*$D29*CE$31</f>
        <v>0</v>
      </c>
      <c r="CE29" s="10">
        <f t="shared" si="65"/>
        <v>0</v>
      </c>
      <c r="CF29" s="10">
        <f t="shared" ref="CF29" si="2124">$B29/$B$31*$D29*CG$31</f>
        <v>0</v>
      </c>
      <c r="CG29" s="10">
        <f t="shared" si="67"/>
        <v>0</v>
      </c>
      <c r="CH29" s="10">
        <f t="shared" ref="CH29" si="2125">$B29/$B$31*$D29*CI$31</f>
        <v>0</v>
      </c>
      <c r="CI29" s="10">
        <f t="shared" si="69"/>
        <v>0</v>
      </c>
      <c r="CJ29" s="10">
        <f t="shared" ref="CJ29" si="2126">$B29/$B$31*$D29*CK$31</f>
        <v>0</v>
      </c>
      <c r="CK29" s="10">
        <f t="shared" si="71"/>
        <v>0</v>
      </c>
      <c r="CL29" s="10">
        <f t="shared" ref="CL29" si="2127">$B29/$B$31*$D29*CM$31</f>
        <v>0</v>
      </c>
      <c r="CM29" s="10">
        <f t="shared" si="73"/>
        <v>0</v>
      </c>
      <c r="CN29" s="10">
        <f t="shared" ref="CN29" si="2128">$B29/$B$31*$D29*CO$31</f>
        <v>0</v>
      </c>
      <c r="CO29" s="10">
        <f t="shared" si="75"/>
        <v>0</v>
      </c>
      <c r="CP29" s="10">
        <f t="shared" ref="CP29" si="2129">$B29/$B$31*$D29*CQ$31</f>
        <v>0</v>
      </c>
      <c r="CQ29" s="10">
        <f t="shared" si="77"/>
        <v>0</v>
      </c>
      <c r="CR29" s="10">
        <f t="shared" ref="CR29" si="2130">$B29/$B$31*$D29*CS$31</f>
        <v>0</v>
      </c>
      <c r="CS29" s="10">
        <f t="shared" si="79"/>
        <v>0</v>
      </c>
      <c r="CT29" s="10">
        <f t="shared" ref="CT29" si="2131">$B29/$B$31*$D29*CU$31</f>
        <v>0</v>
      </c>
      <c r="CU29" s="10">
        <f t="shared" si="81"/>
        <v>0</v>
      </c>
      <c r="CV29" s="10">
        <f t="shared" ref="CV29" si="2132">$B29/$B$31*$D29*CW$31</f>
        <v>0</v>
      </c>
      <c r="CW29" s="10">
        <f t="shared" si="83"/>
        <v>0</v>
      </c>
      <c r="CX29" s="10">
        <f t="shared" ref="CX29" si="2133">$B29/$B$31*$D29*CY$31</f>
        <v>0</v>
      </c>
      <c r="CY29" s="10">
        <f t="shared" si="85"/>
        <v>0</v>
      </c>
      <c r="CZ29" s="10">
        <f t="shared" ref="CZ29" si="2134">$B29/$B$31*$D29*DA$31</f>
        <v>0</v>
      </c>
      <c r="DA29" s="10">
        <f t="shared" si="87"/>
        <v>0</v>
      </c>
      <c r="DB29" s="10">
        <f t="shared" ref="DB29" si="2135">$B29/$B$31*$D29*DC$31</f>
        <v>0</v>
      </c>
      <c r="DC29" s="10">
        <f t="shared" si="89"/>
        <v>0</v>
      </c>
      <c r="DD29" s="10">
        <f t="shared" ref="DD29" si="2136">$B29/$B$31*$D29*DE$31</f>
        <v>0</v>
      </c>
      <c r="DE29" s="10">
        <f t="shared" si="91"/>
        <v>0</v>
      </c>
      <c r="DF29" s="10">
        <f t="shared" ref="DF29" si="2137">$B29/$B$31*$D29*DG$31</f>
        <v>0</v>
      </c>
      <c r="DG29" s="10">
        <f t="shared" si="93"/>
        <v>0</v>
      </c>
      <c r="DH29" s="10">
        <f t="shared" ref="DH29" si="2138">$B29/$B$31*$D29*DI$31</f>
        <v>0</v>
      </c>
      <c r="DI29" s="10">
        <f t="shared" si="95"/>
        <v>0</v>
      </c>
      <c r="DJ29" s="10">
        <f t="shared" ref="DJ29" si="2139">$B29/$B$31*$D29*DK$31</f>
        <v>0</v>
      </c>
      <c r="DK29" s="10">
        <f t="shared" si="97"/>
        <v>0</v>
      </c>
      <c r="DL29" s="10">
        <f t="shared" ref="DL29" si="2140">$B29/$B$31*$D29*DM$31</f>
        <v>0</v>
      </c>
      <c r="DM29" s="10">
        <f t="shared" si="99"/>
        <v>0</v>
      </c>
      <c r="DN29" s="10">
        <f t="shared" ref="DN29" si="2141">$B29/$B$31*$D29*DO$31</f>
        <v>0</v>
      </c>
      <c r="DO29" s="10">
        <f t="shared" si="101"/>
        <v>0</v>
      </c>
      <c r="DP29" s="10">
        <f t="shared" ref="DP29" si="2142">$B29/$B$31*$D29*DQ$31</f>
        <v>0</v>
      </c>
      <c r="DQ29" s="10">
        <f t="shared" si="103"/>
        <v>0</v>
      </c>
      <c r="DR29" s="10">
        <f t="shared" ref="DR29" si="2143">$B29/$B$31*$D29*DS$31</f>
        <v>0</v>
      </c>
      <c r="DS29" s="10">
        <f t="shared" si="105"/>
        <v>0</v>
      </c>
      <c r="DT29" s="10">
        <f t="shared" ref="DT29" si="2144">$B29/$B$31*$D29*DU$31</f>
        <v>0</v>
      </c>
      <c r="DU29" s="10">
        <f t="shared" si="107"/>
        <v>0</v>
      </c>
      <c r="DV29" s="10">
        <f t="shared" ref="DV29" si="2145">$B29/$B$31*$D29*DW$31</f>
        <v>0</v>
      </c>
      <c r="DW29" s="10">
        <f t="shared" si="109"/>
        <v>0</v>
      </c>
      <c r="DX29" s="10">
        <f t="shared" ref="DX29" si="2146">$B29/$B$31*$D29*DY$31</f>
        <v>0</v>
      </c>
      <c r="DY29" s="10">
        <f t="shared" si="111"/>
        <v>0</v>
      </c>
      <c r="DZ29" s="10">
        <f t="shared" ref="DZ29" si="2147">$B29/$B$31*$D29*EA$31</f>
        <v>0</v>
      </c>
      <c r="EA29" s="10">
        <f t="shared" si="113"/>
        <v>0</v>
      </c>
      <c r="EB29" s="10">
        <f t="shared" ref="EB29" si="2148">$B29/$B$31*$D29*EC$31</f>
        <v>0</v>
      </c>
      <c r="EC29" s="10">
        <f t="shared" si="115"/>
        <v>0</v>
      </c>
      <c r="ED29" s="10">
        <f t="shared" ref="ED29" si="2149">$B29/$B$31*$D29*EE$31</f>
        <v>0</v>
      </c>
      <c r="EE29" s="10">
        <f t="shared" si="117"/>
        <v>0</v>
      </c>
      <c r="EF29" s="10">
        <f t="shared" ref="EF29" si="2150">$B29/$B$31*$D29*EG$31</f>
        <v>0</v>
      </c>
      <c r="EG29" s="10">
        <f t="shared" si="119"/>
        <v>0</v>
      </c>
      <c r="EH29" s="10">
        <f t="shared" ref="EH29" si="2151">$B29/$B$31*$D29*EI$31</f>
        <v>0</v>
      </c>
      <c r="EI29" s="10">
        <f t="shared" si="121"/>
        <v>0</v>
      </c>
      <c r="EJ29" s="10">
        <f t="shared" ref="EJ29" si="2152">$B29/$B$31*$D29*EK$31</f>
        <v>0</v>
      </c>
      <c r="EK29" s="10">
        <f t="shared" si="123"/>
        <v>0</v>
      </c>
      <c r="EL29" s="10">
        <f t="shared" ref="EL29" si="2153">$B29/$B$31*$D29*EM$31</f>
        <v>0</v>
      </c>
      <c r="EM29" s="10">
        <f t="shared" si="125"/>
        <v>0</v>
      </c>
      <c r="EN29" s="10">
        <f t="shared" ref="EN29" si="2154">$B29/$B$31*$D29*EO$31</f>
        <v>0</v>
      </c>
      <c r="EO29" s="10">
        <f t="shared" si="127"/>
        <v>0</v>
      </c>
      <c r="EP29" s="10">
        <f t="shared" ref="EP29" si="2155">$B29/$B$31*$D29*EQ$31</f>
        <v>0</v>
      </c>
      <c r="EQ29" s="10">
        <f t="shared" si="129"/>
        <v>0</v>
      </c>
      <c r="ER29" s="10">
        <f t="shared" ref="ER29" si="2156">$B29/$B$31*$D29*ES$31</f>
        <v>0</v>
      </c>
      <c r="ES29" s="10">
        <f t="shared" si="131"/>
        <v>0</v>
      </c>
      <c r="ET29" s="10">
        <f t="shared" ref="ET29" si="2157">$B29/$B$31*$D29*EU$31</f>
        <v>0</v>
      </c>
      <c r="EU29" s="10">
        <f t="shared" si="133"/>
        <v>0</v>
      </c>
      <c r="EV29" s="10">
        <f t="shared" ref="EV29" si="2158">$B29/$B$31*$D29*EW$31</f>
        <v>0</v>
      </c>
      <c r="EW29" s="10">
        <f t="shared" si="133"/>
        <v>0</v>
      </c>
      <c r="EX29" s="10">
        <f t="shared" ref="EX29" si="2159">$B29/$B$31*$D29*EY$31</f>
        <v>0</v>
      </c>
      <c r="EY29" s="10">
        <f t="shared" si="133"/>
        <v>0</v>
      </c>
      <c r="EZ29" s="10">
        <f t="shared" ref="EZ29" si="2160">$B29/$B$31*$D29*FA$31</f>
        <v>0</v>
      </c>
      <c r="FA29" s="10">
        <f t="shared" si="133"/>
        <v>0</v>
      </c>
      <c r="FB29" s="10">
        <f t="shared" ref="FB29" si="2161">$B29/$B$31*$D29*FC$31</f>
        <v>0</v>
      </c>
      <c r="FC29" s="10">
        <f t="shared" si="133"/>
        <v>0</v>
      </c>
      <c r="FD29" s="10">
        <f t="shared" ref="FD29" si="2162">$B29/$B$31*$D29*FE$31</f>
        <v>0</v>
      </c>
      <c r="FE29" s="10">
        <f t="shared" si="133"/>
        <v>0</v>
      </c>
      <c r="FF29" s="10">
        <f t="shared" ref="FF29" si="2163">$B29/$B$31*$D29*FG$31</f>
        <v>0</v>
      </c>
      <c r="FG29" s="10">
        <f t="shared" si="133"/>
        <v>0</v>
      </c>
      <c r="FH29" s="10">
        <f t="shared" ref="FH29" si="2164">$B29/$B$31*$D29*FI$31</f>
        <v>0</v>
      </c>
      <c r="FI29" s="10">
        <f t="shared" si="133"/>
        <v>0</v>
      </c>
      <c r="FJ29" s="10">
        <f t="shared" ref="FJ29" si="2165">$B29/$B$31*$D29*FK$31</f>
        <v>0</v>
      </c>
      <c r="FK29" s="10">
        <f t="shared" si="133"/>
        <v>0</v>
      </c>
      <c r="FL29" s="10">
        <f t="shared" ref="FL29" si="2166">$B29/$B$31*$D29*FM$31</f>
        <v>0</v>
      </c>
      <c r="FM29" s="10">
        <f t="shared" si="1917"/>
        <v>0</v>
      </c>
      <c r="FN29" s="10">
        <f t="shared" ref="FN29" si="2167">$B29/$B$31*$D29*FO$31</f>
        <v>0</v>
      </c>
      <c r="FO29" s="10">
        <f t="shared" si="144"/>
        <v>0</v>
      </c>
      <c r="FP29" s="10">
        <f t="shared" ref="FP29" si="2168">$B29/$B$31*$D29*FQ$31</f>
        <v>0</v>
      </c>
      <c r="FQ29" s="10">
        <f t="shared" si="146"/>
        <v>0</v>
      </c>
      <c r="FR29" s="10">
        <f t="shared" ref="FR29" si="2169">$B29/$B$31*$D29*FS$31</f>
        <v>0</v>
      </c>
      <c r="FS29" s="10">
        <f t="shared" si="148"/>
        <v>0</v>
      </c>
      <c r="FT29" s="10">
        <f t="shared" ref="FT29" si="2170">$B29/$B$31*$D29*FU$31</f>
        <v>0</v>
      </c>
      <c r="FU29" s="10">
        <f t="shared" si="150"/>
        <v>0</v>
      </c>
      <c r="FV29" s="10">
        <f t="shared" ref="FV29" si="2171">$B29/$B$31*$D29*FW$31</f>
        <v>0</v>
      </c>
      <c r="FW29" s="10">
        <f t="shared" si="152"/>
        <v>0</v>
      </c>
      <c r="FX29" s="10">
        <f t="shared" ref="FX29" si="2172">$B29/$B$31*$D29*FY$31</f>
        <v>0</v>
      </c>
      <c r="FY29" s="10">
        <f t="shared" si="154"/>
        <v>0</v>
      </c>
      <c r="FZ29" s="10">
        <f t="shared" ref="FZ29" si="2173">$B29/$B$31*$D29*GA$31</f>
        <v>0</v>
      </c>
      <c r="GA29" s="10">
        <f t="shared" si="156"/>
        <v>0</v>
      </c>
      <c r="GB29" s="10">
        <f t="shared" ref="GB29" si="2174">$B29/$B$31*$D29*GC$31</f>
        <v>0</v>
      </c>
      <c r="GC29" s="10">
        <f t="shared" si="158"/>
        <v>0</v>
      </c>
      <c r="GD29" s="10">
        <f t="shared" ref="GD29" si="2175">$B29/$B$31*$D29*GE$31</f>
        <v>0</v>
      </c>
      <c r="GE29" s="10">
        <f t="shared" si="160"/>
        <v>0</v>
      </c>
      <c r="GF29" s="10">
        <f t="shared" ref="GF29" si="2176">$B29/$B$31*$D29*GG$31</f>
        <v>0</v>
      </c>
      <c r="GG29" s="10">
        <f t="shared" si="162"/>
        <v>0</v>
      </c>
      <c r="GH29" s="10">
        <f t="shared" ref="GH29" si="2177">$B29/$B$31*$D29*GI$31</f>
        <v>0</v>
      </c>
      <c r="GI29" s="10">
        <f t="shared" si="164"/>
        <v>0</v>
      </c>
      <c r="GJ29" s="10">
        <f t="shared" ref="GJ29" si="2178">$B29/$B$31*$D29*GK$31</f>
        <v>0</v>
      </c>
      <c r="GK29" s="10">
        <f t="shared" si="166"/>
        <v>0</v>
      </c>
      <c r="GL29" s="10">
        <f t="shared" ref="GL29" si="2179">$B29/$B$31*$D29*GM$31</f>
        <v>0</v>
      </c>
      <c r="GM29" s="10">
        <f t="shared" si="168"/>
        <v>0</v>
      </c>
      <c r="GN29" s="10">
        <f t="shared" ref="GN29" si="2180">$B29/$B$31*$D29*GO$31</f>
        <v>0</v>
      </c>
      <c r="GO29" s="10">
        <f t="shared" si="170"/>
        <v>0</v>
      </c>
      <c r="GP29" s="10">
        <f t="shared" ref="GP29" si="2181">$B29/$B$31*$D29*GQ$31</f>
        <v>0</v>
      </c>
      <c r="GQ29" s="10">
        <f t="shared" si="172"/>
        <v>0</v>
      </c>
      <c r="GR29" s="10">
        <f t="shared" ref="GR29" si="2182">$B29/$B$31*$D29*GS$31</f>
        <v>0</v>
      </c>
      <c r="GS29" s="10">
        <f t="shared" si="174"/>
        <v>0</v>
      </c>
      <c r="GT29" s="10">
        <f t="shared" ref="GT29" si="2183">$B29/$B$31*$D29*GU$31</f>
        <v>0</v>
      </c>
      <c r="GU29" s="10">
        <f t="shared" si="176"/>
        <v>0</v>
      </c>
      <c r="GV29" s="10">
        <f t="shared" ref="GV29" si="2184">$B29/$B$31*$D29*GW$31</f>
        <v>0</v>
      </c>
      <c r="GW29" s="10">
        <f t="shared" si="178"/>
        <v>0</v>
      </c>
      <c r="GX29" s="10">
        <f t="shared" ref="GX29" si="2185">$B29/$B$31*$D29*GY$31</f>
        <v>0</v>
      </c>
      <c r="GY29" s="10">
        <f t="shared" si="180"/>
        <v>0</v>
      </c>
      <c r="GZ29" s="10">
        <f t="shared" ref="GZ29" si="2186">$B29/$B$31*$D29*HA$31</f>
        <v>0</v>
      </c>
      <c r="HA29" s="10">
        <f t="shared" si="182"/>
        <v>0</v>
      </c>
      <c r="HB29" s="10">
        <f t="shared" ref="HB29" si="2187">$B29/$B$31*$D29*HC$31</f>
        <v>0</v>
      </c>
      <c r="HC29" s="10">
        <f t="shared" si="184"/>
        <v>0</v>
      </c>
      <c r="HD29" s="10">
        <f t="shared" ref="HD29" si="2188">$B29/$B$31*$D29*HE$31</f>
        <v>0</v>
      </c>
      <c r="HE29" s="10">
        <f t="shared" si="186"/>
        <v>0</v>
      </c>
      <c r="HF29" s="10">
        <f t="shared" ref="HF29" si="2189">$B29/$B$31*$D29*HG$31</f>
        <v>0</v>
      </c>
      <c r="HG29" s="10">
        <f t="shared" si="188"/>
        <v>0</v>
      </c>
      <c r="HH29" s="10">
        <f t="shared" ref="HH29" si="2190">$B29/$B$31*$D29*HI$31</f>
        <v>0</v>
      </c>
      <c r="HI29" s="10">
        <f t="shared" si="190"/>
        <v>0</v>
      </c>
      <c r="HJ29" s="10">
        <f t="shared" ref="HJ29" si="2191">$B29/$B$31*$D29*HK$31</f>
        <v>0</v>
      </c>
      <c r="HK29" s="10">
        <f t="shared" si="192"/>
        <v>0</v>
      </c>
      <c r="HL29" s="10">
        <f t="shared" ref="HL29" si="2192">$B29/$B$31*$D29*HM$31</f>
        <v>0</v>
      </c>
      <c r="HM29" s="10">
        <f t="shared" si="194"/>
        <v>0</v>
      </c>
      <c r="HN29" s="10">
        <f t="shared" ref="HN29" si="2193">$B29/$B$31*$D29*HO$31</f>
        <v>0</v>
      </c>
      <c r="HO29" s="10">
        <f t="shared" si="196"/>
        <v>0</v>
      </c>
      <c r="HP29" s="10">
        <f t="shared" ref="HP29" si="2194">$B29/$B$31*$D29*HQ$31</f>
        <v>0</v>
      </c>
      <c r="HQ29" s="10">
        <f t="shared" si="198"/>
        <v>0</v>
      </c>
      <c r="HR29" s="10">
        <f t="shared" ref="HR29" si="2195">$B29/$B$31*$D29*HS$31</f>
        <v>0</v>
      </c>
      <c r="HS29" s="10">
        <f t="shared" si="200"/>
        <v>0</v>
      </c>
      <c r="HT29" s="10">
        <f t="shared" ref="HT29" si="2196">$B29/$B$31*$D29*HU$31</f>
        <v>0</v>
      </c>
      <c r="HU29" s="10">
        <f t="shared" si="202"/>
        <v>0</v>
      </c>
      <c r="HV29" s="10"/>
      <c r="HW29" s="10"/>
      <c r="HX29" s="10"/>
    </row>
    <row r="30" spans="1:232" x14ac:dyDescent="0.3">
      <c r="A30" s="18">
        <f>参数调整!A30</f>
        <v>27</v>
      </c>
      <c r="B30" s="170">
        <f>参数调整!B30</f>
        <v>200</v>
      </c>
      <c r="C30" s="10">
        <f>参数调整!F30</f>
        <v>7</v>
      </c>
      <c r="D30" s="10">
        <f>参数调整!G30</f>
        <v>7</v>
      </c>
      <c r="E30" s="15">
        <f>基本属性!B30</f>
        <v>250</v>
      </c>
      <c r="F30" s="15">
        <f>基本属性!C30</f>
        <v>20</v>
      </c>
      <c r="G30" s="272"/>
      <c r="H30" s="10">
        <f t="shared" si="45"/>
        <v>1276789785681.7144</v>
      </c>
      <c r="I30" s="188">
        <f>B30/B$31*C30*I$31</f>
        <v>1276789785681.7144</v>
      </c>
      <c r="J30" s="10">
        <f>B30/B$31*D30*K$31</f>
        <v>52810426.401932761</v>
      </c>
      <c r="K30" s="10">
        <f>B30/B$31*C30*K$31</f>
        <v>52810426.401932761</v>
      </c>
      <c r="L30" s="10">
        <f>B30/B$31*D30*M$31</f>
        <v>703.10889567677964</v>
      </c>
      <c r="M30" s="10">
        <f>B30/B$31*C30*M$31</f>
        <v>703.10889567677964</v>
      </c>
      <c r="N30" s="10">
        <f>B30/B$31*D30*O$31</f>
        <v>5114.8198814409479</v>
      </c>
      <c r="O30" s="10">
        <f>B30/B$31*C30*O$31</f>
        <v>5114.8198814409479</v>
      </c>
      <c r="P30" s="10">
        <f>B30/B$31*D30*Q$31</f>
        <v>98525.611795105622</v>
      </c>
      <c r="Q30" s="10">
        <f>B30/B$31*C30*Q$31</f>
        <v>98525.611795105622</v>
      </c>
      <c r="R30" s="10">
        <f>B30/B$31*D30*S$31</f>
        <v>311.53670770633829</v>
      </c>
      <c r="S30" s="10">
        <f>B30/B$31*C30*S$31</f>
        <v>311.53670770633829</v>
      </c>
      <c r="T30" s="10">
        <f>B30/B$31*D30*U$31</f>
        <v>465.21045870848712</v>
      </c>
      <c r="U30" s="10">
        <f>B30/B$31*C30*U$31</f>
        <v>465.21045870848712</v>
      </c>
      <c r="V30" s="10">
        <f>B30/B$31*D30*W$31</f>
        <v>465.21045870848712</v>
      </c>
      <c r="W30" s="10">
        <f>B30/B$31*C30*W$31</f>
        <v>465.21045870848712</v>
      </c>
      <c r="X30" s="10">
        <f>B30/B$31*D30*Y$31</f>
        <v>465.21045870848712</v>
      </c>
      <c r="Y30" s="10">
        <f>B30/B$31*C30*Y$31</f>
        <v>465.21045870848712</v>
      </c>
      <c r="Z30" s="10">
        <f>B30/B$31*D30*AA$31</f>
        <v>465.21045870848712</v>
      </c>
      <c r="AA30" s="10">
        <f>B30/B$31*C30*AA$31</f>
        <v>465.21045870848712</v>
      </c>
      <c r="AB30" s="10">
        <f>B30/B$31*D30*AC$31</f>
        <v>11925.216598267212</v>
      </c>
      <c r="AC30" s="10">
        <f>B30/B$31*C30*AC$31</f>
        <v>11925.216598267212</v>
      </c>
      <c r="AD30" s="10">
        <f>B30/B$31*D30*AE$31</f>
        <v>3572.4971061769966</v>
      </c>
      <c r="AE30" s="10">
        <f>B30/B$31*C30*AE$31</f>
        <v>3572.4971061769966</v>
      </c>
      <c r="AF30" s="10">
        <f>B30/B$31*D30*AG$31</f>
        <v>1786.2485530884983</v>
      </c>
      <c r="AG30" s="10">
        <f>B30/B$31*C30*AG$31</f>
        <v>1786.2485530884983</v>
      </c>
      <c r="AH30" s="10">
        <f>B30/B$31*D30*AI$31</f>
        <v>357.24971061769963</v>
      </c>
      <c r="AI30" s="10">
        <f>B30/B$31*C30*AI$31</f>
        <v>357.24971061769963</v>
      </c>
      <c r="AJ30" s="10">
        <f>B30/B$31*D30*AK$31</f>
        <v>4082.7231029210584</v>
      </c>
      <c r="AK30" s="10">
        <f>B30/B$31*C30*AK$31</f>
        <v>4082.7231029210584</v>
      </c>
      <c r="AL30" s="10">
        <f>B30/B$31*D30*AM$31</f>
        <v>2041.3615514605292</v>
      </c>
      <c r="AM30" s="10">
        <f>B30/B$31*C30*AM$31</f>
        <v>2041.3615514605292</v>
      </c>
      <c r="AN30" s="10">
        <f>B30/B$31*D30*AO$31</f>
        <v>408.27231029210583</v>
      </c>
      <c r="AO30" s="10">
        <f>B30/B$31*C30*AO$31</f>
        <v>408.27231029210583</v>
      </c>
      <c r="AP30" s="10">
        <f>B30/B$31*D30*AQ$31</f>
        <v>193.7000946139548</v>
      </c>
      <c r="AQ30" s="10">
        <f>B30/B$31*C30*AQ$31</f>
        <v>193.7000946139548</v>
      </c>
      <c r="AR30" s="10">
        <f>B30/B$31*D30*AS$31</f>
        <v>2.5567596206428354</v>
      </c>
      <c r="AS30" s="10">
        <f>B30/B$31*C30*AS$31</f>
        <v>2.5567596206428354</v>
      </c>
      <c r="AT30" s="10">
        <f>B30/B$31*D30*AU$31</f>
        <v>2.5567596206428354</v>
      </c>
      <c r="AU30" s="10">
        <f>B30/B$31*C30*AU$31</f>
        <v>2.5567596206428354</v>
      </c>
      <c r="AV30" s="10">
        <f>B30/B$31*D30*AW$31</f>
        <v>23.010836585785515</v>
      </c>
      <c r="AW30" s="10">
        <f>B30/B$31*C30*AW$31</f>
        <v>23.010836585785515</v>
      </c>
      <c r="AX30" s="10">
        <f>B30/B$31*D30*AY$31</f>
        <v>70.310889567677975</v>
      </c>
      <c r="AY30" s="10">
        <f>B30/B$31*C30*AY$31</f>
        <v>70.310889567677975</v>
      </c>
      <c r="AZ30" s="10">
        <f>B30/B$31*D30*BA$31</f>
        <v>6.3918990516070879</v>
      </c>
      <c r="BA30" s="10">
        <f>B30/B$31*C30*BA$31</f>
        <v>6.3918990516070879</v>
      </c>
      <c r="BB30" s="10">
        <f>B30/B$31*D30*BC$31</f>
        <v>6.3918990516070879</v>
      </c>
      <c r="BC30" s="10">
        <f>B30/B$31*C30*BC$31</f>
        <v>6.3918990516070879</v>
      </c>
      <c r="BD30" s="10">
        <f>B30/B$31*D30*BE$31</f>
        <v>25.567596206428352</v>
      </c>
      <c r="BE30" s="10">
        <f>B30/B$31*C30*BE$31</f>
        <v>25.567596206428352</v>
      </c>
      <c r="BF30" s="10">
        <f>B30/B$31*D30*BG$31</f>
        <v>31.959495258035442</v>
      </c>
      <c r="BG30" s="10">
        <f t="shared" si="51"/>
        <v>31.959495258035442</v>
      </c>
      <c r="BH30" s="10">
        <f t="shared" si="52"/>
        <v>0</v>
      </c>
      <c r="BI30" s="10">
        <f t="shared" si="53"/>
        <v>0</v>
      </c>
      <c r="BJ30" s="10">
        <f t="shared" si="52"/>
        <v>0</v>
      </c>
      <c r="BK30" s="10">
        <f t="shared" si="53"/>
        <v>0</v>
      </c>
      <c r="BL30" s="10">
        <f t="shared" ref="BL30" si="2197">$B30/$B$31*$D30*BM$31</f>
        <v>0</v>
      </c>
      <c r="BM30" s="10">
        <f t="shared" si="53"/>
        <v>0</v>
      </c>
      <c r="BN30" s="10">
        <f t="shared" ref="BN30" si="2198">$B30/$B$31*$D30*BO$31</f>
        <v>0</v>
      </c>
      <c r="BO30" s="10">
        <f t="shared" si="53"/>
        <v>0</v>
      </c>
      <c r="BP30" s="10">
        <f t="shared" ref="BP30" si="2199">$B30/$B$31*$D30*BQ$31</f>
        <v>0</v>
      </c>
      <c r="BQ30" s="10">
        <f t="shared" si="53"/>
        <v>0</v>
      </c>
      <c r="BR30" s="10">
        <f t="shared" ref="BR30" si="2200">$B30/$B$31*$D30*BS$31</f>
        <v>0</v>
      </c>
      <c r="BS30" s="10">
        <f t="shared" si="53"/>
        <v>0</v>
      </c>
      <c r="BT30" s="10">
        <f t="shared" ref="BT30" si="2201">$B30/$B$31*$D30*BU$31</f>
        <v>0</v>
      </c>
      <c r="BU30" s="10">
        <f t="shared" si="53"/>
        <v>0</v>
      </c>
      <c r="BV30" s="10">
        <f t="shared" ref="BV30" si="2202">$B30/$B$31*$D30*BW$31</f>
        <v>0</v>
      </c>
      <c r="BW30" s="10">
        <f t="shared" si="53"/>
        <v>0</v>
      </c>
      <c r="BX30" s="10">
        <f t="shared" ref="BX30" si="2203">$B30/$B$31*$D30*BY$31</f>
        <v>0</v>
      </c>
      <c r="BY30" s="10">
        <f t="shared" si="53"/>
        <v>0</v>
      </c>
      <c r="BZ30" s="10">
        <f t="shared" ref="BZ30" si="2204">$B30/$B$31*$D30*CA$31</f>
        <v>0</v>
      </c>
      <c r="CA30" s="10">
        <f t="shared" si="1871"/>
        <v>0</v>
      </c>
      <c r="CB30" s="10">
        <f t="shared" ref="CB30" si="2205">$B30/$B$31*$D30*CC$31</f>
        <v>0</v>
      </c>
      <c r="CC30" s="10">
        <f t="shared" si="63"/>
        <v>0</v>
      </c>
      <c r="CD30" s="10">
        <f t="shared" ref="CD30" si="2206">$B30/$B$31*$D30*CE$31</f>
        <v>0</v>
      </c>
      <c r="CE30" s="10">
        <f t="shared" si="65"/>
        <v>0</v>
      </c>
      <c r="CF30" s="10">
        <f t="shared" ref="CF30" si="2207">$B30/$B$31*$D30*CG$31</f>
        <v>0</v>
      </c>
      <c r="CG30" s="10">
        <f t="shared" si="67"/>
        <v>0</v>
      </c>
      <c r="CH30" s="10">
        <f t="shared" ref="CH30" si="2208">$B30/$B$31*$D30*CI$31</f>
        <v>0</v>
      </c>
      <c r="CI30" s="10">
        <f t="shared" si="69"/>
        <v>0</v>
      </c>
      <c r="CJ30" s="10">
        <f t="shared" ref="CJ30" si="2209">$B30/$B$31*$D30*CK$31</f>
        <v>0</v>
      </c>
      <c r="CK30" s="10">
        <f t="shared" si="71"/>
        <v>0</v>
      </c>
      <c r="CL30" s="10">
        <f t="shared" ref="CL30" si="2210">$B30/$B$31*$D30*CM$31</f>
        <v>0</v>
      </c>
      <c r="CM30" s="10">
        <f t="shared" si="73"/>
        <v>0</v>
      </c>
      <c r="CN30" s="10">
        <f t="shared" ref="CN30" si="2211">$B30/$B$31*$D30*CO$31</f>
        <v>0</v>
      </c>
      <c r="CO30" s="10">
        <f t="shared" si="75"/>
        <v>0</v>
      </c>
      <c r="CP30" s="10">
        <f t="shared" ref="CP30" si="2212">$B30/$B$31*$D30*CQ$31</f>
        <v>0</v>
      </c>
      <c r="CQ30" s="10">
        <f t="shared" si="77"/>
        <v>0</v>
      </c>
      <c r="CR30" s="10">
        <f t="shared" ref="CR30" si="2213">$B30/$B$31*$D30*CS$31</f>
        <v>0</v>
      </c>
      <c r="CS30" s="10">
        <f t="shared" si="79"/>
        <v>0</v>
      </c>
      <c r="CT30" s="10">
        <f t="shared" ref="CT30" si="2214">$B30/$B$31*$D30*CU$31</f>
        <v>0</v>
      </c>
      <c r="CU30" s="10">
        <f t="shared" si="81"/>
        <v>0</v>
      </c>
      <c r="CV30" s="10">
        <f t="shared" ref="CV30" si="2215">$B30/$B$31*$D30*CW$31</f>
        <v>0</v>
      </c>
      <c r="CW30" s="10">
        <f t="shared" si="83"/>
        <v>0</v>
      </c>
      <c r="CX30" s="10">
        <f t="shared" ref="CX30" si="2216">$B30/$B$31*$D30*CY$31</f>
        <v>0</v>
      </c>
      <c r="CY30" s="10">
        <f t="shared" si="85"/>
        <v>0</v>
      </c>
      <c r="CZ30" s="10">
        <f t="shared" ref="CZ30" si="2217">$B30/$B$31*$D30*DA$31</f>
        <v>0</v>
      </c>
      <c r="DA30" s="10">
        <f t="shared" si="87"/>
        <v>0</v>
      </c>
      <c r="DB30" s="10">
        <f t="shared" ref="DB30" si="2218">$B30/$B$31*$D30*DC$31</f>
        <v>0</v>
      </c>
      <c r="DC30" s="10">
        <f t="shared" si="89"/>
        <v>0</v>
      </c>
      <c r="DD30" s="10">
        <f t="shared" ref="DD30" si="2219">$B30/$B$31*$D30*DE$31</f>
        <v>0</v>
      </c>
      <c r="DE30" s="10">
        <f t="shared" si="91"/>
        <v>0</v>
      </c>
      <c r="DF30" s="10">
        <f t="shared" ref="DF30" si="2220">$B30/$B$31*$D30*DG$31</f>
        <v>0</v>
      </c>
      <c r="DG30" s="10">
        <f t="shared" si="93"/>
        <v>0</v>
      </c>
      <c r="DH30" s="10">
        <f t="shared" ref="DH30" si="2221">$B30/$B$31*$D30*DI$31</f>
        <v>0</v>
      </c>
      <c r="DI30" s="10">
        <f t="shared" si="95"/>
        <v>0</v>
      </c>
      <c r="DJ30" s="10">
        <f t="shared" ref="DJ30" si="2222">$B30/$B$31*$D30*DK$31</f>
        <v>0</v>
      </c>
      <c r="DK30" s="10">
        <f t="shared" si="97"/>
        <v>0</v>
      </c>
      <c r="DL30" s="10">
        <f t="shared" ref="DL30" si="2223">$B30/$B$31*$D30*DM$31</f>
        <v>0</v>
      </c>
      <c r="DM30" s="10">
        <f t="shared" si="99"/>
        <v>0</v>
      </c>
      <c r="DN30" s="10">
        <f t="shared" ref="DN30" si="2224">$B30/$B$31*$D30*DO$31</f>
        <v>0</v>
      </c>
      <c r="DO30" s="10">
        <f t="shared" si="101"/>
        <v>0</v>
      </c>
      <c r="DP30" s="10">
        <f t="shared" ref="DP30" si="2225">$B30/$B$31*$D30*DQ$31</f>
        <v>0</v>
      </c>
      <c r="DQ30" s="10">
        <f t="shared" si="103"/>
        <v>0</v>
      </c>
      <c r="DR30" s="10">
        <f t="shared" ref="DR30" si="2226">$B30/$B$31*$D30*DS$31</f>
        <v>0</v>
      </c>
      <c r="DS30" s="10">
        <f t="shared" si="105"/>
        <v>0</v>
      </c>
      <c r="DT30" s="10">
        <f t="shared" ref="DT30" si="2227">$B30/$B$31*$D30*DU$31</f>
        <v>0</v>
      </c>
      <c r="DU30" s="10">
        <f t="shared" si="107"/>
        <v>0</v>
      </c>
      <c r="DV30" s="10">
        <f t="shared" ref="DV30" si="2228">$B30/$B$31*$D30*DW$31</f>
        <v>0</v>
      </c>
      <c r="DW30" s="10">
        <f t="shared" si="109"/>
        <v>0</v>
      </c>
      <c r="DX30" s="10">
        <f t="shared" ref="DX30" si="2229">$B30/$B$31*$D30*DY$31</f>
        <v>0</v>
      </c>
      <c r="DY30" s="10">
        <f t="shared" si="111"/>
        <v>0</v>
      </c>
      <c r="DZ30" s="10">
        <f t="shared" ref="DZ30" si="2230">$B30/$B$31*$D30*EA$31</f>
        <v>0</v>
      </c>
      <c r="EA30" s="10">
        <f t="shared" si="113"/>
        <v>0</v>
      </c>
      <c r="EB30" s="10">
        <f t="shared" ref="EB30" si="2231">$B30/$B$31*$D30*EC$31</f>
        <v>0</v>
      </c>
      <c r="EC30" s="10">
        <f t="shared" si="115"/>
        <v>0</v>
      </c>
      <c r="ED30" s="10">
        <f t="shared" ref="ED30" si="2232">$B30/$B$31*$D30*EE$31</f>
        <v>0</v>
      </c>
      <c r="EE30" s="10">
        <f t="shared" si="117"/>
        <v>0</v>
      </c>
      <c r="EF30" s="10">
        <f t="shared" ref="EF30" si="2233">$B30/$B$31*$D30*EG$31</f>
        <v>0</v>
      </c>
      <c r="EG30" s="10">
        <f t="shared" si="119"/>
        <v>0</v>
      </c>
      <c r="EH30" s="10">
        <f t="shared" ref="EH30" si="2234">$B30/$B$31*$D30*EI$31</f>
        <v>0</v>
      </c>
      <c r="EI30" s="10">
        <f t="shared" si="121"/>
        <v>0</v>
      </c>
      <c r="EJ30" s="10">
        <f t="shared" ref="EJ30" si="2235">$B30/$B$31*$D30*EK$31</f>
        <v>0</v>
      </c>
      <c r="EK30" s="10">
        <f t="shared" si="123"/>
        <v>0</v>
      </c>
      <c r="EL30" s="10">
        <f t="shared" ref="EL30" si="2236">$B30/$B$31*$D30*EM$31</f>
        <v>0</v>
      </c>
      <c r="EM30" s="10">
        <f t="shared" si="125"/>
        <v>0</v>
      </c>
      <c r="EN30" s="10">
        <f t="shared" ref="EN30" si="2237">$B30/$B$31*$D30*EO$31</f>
        <v>0</v>
      </c>
      <c r="EO30" s="10">
        <f t="shared" si="127"/>
        <v>0</v>
      </c>
      <c r="EP30" s="10">
        <f t="shared" ref="EP30" si="2238">$B30/$B$31*$D30*EQ$31</f>
        <v>0</v>
      </c>
      <c r="EQ30" s="10">
        <f t="shared" si="129"/>
        <v>0</v>
      </c>
      <c r="ER30" s="10">
        <f t="shared" ref="ER30" si="2239">$B30/$B$31*$D30*ES$31</f>
        <v>0</v>
      </c>
      <c r="ES30" s="10">
        <f t="shared" si="131"/>
        <v>0</v>
      </c>
      <c r="ET30" s="10">
        <f t="shared" ref="ET30" si="2240">$B30/$B$31*$D30*EU$31</f>
        <v>0</v>
      </c>
      <c r="EU30" s="10">
        <f t="shared" si="133"/>
        <v>0</v>
      </c>
      <c r="EV30" s="10">
        <f t="shared" ref="EV30" si="2241">$B30/$B$31*$D30*EW$31</f>
        <v>0</v>
      </c>
      <c r="EW30" s="10">
        <f t="shared" si="133"/>
        <v>0</v>
      </c>
      <c r="EX30" s="10">
        <f t="shared" ref="EX30" si="2242">$B30/$B$31*$D30*EY$31</f>
        <v>0</v>
      </c>
      <c r="EY30" s="10">
        <f t="shared" si="133"/>
        <v>0</v>
      </c>
      <c r="EZ30" s="10">
        <f t="shared" ref="EZ30" si="2243">$B30/$B$31*$D30*FA$31</f>
        <v>0</v>
      </c>
      <c r="FA30" s="10">
        <f t="shared" si="133"/>
        <v>0</v>
      </c>
      <c r="FB30" s="10">
        <f t="shared" ref="FB30" si="2244">$B30/$B$31*$D30*FC$31</f>
        <v>0</v>
      </c>
      <c r="FC30" s="10">
        <f t="shared" si="133"/>
        <v>0</v>
      </c>
      <c r="FD30" s="10">
        <f t="shared" ref="FD30" si="2245">$B30/$B$31*$D30*FE$31</f>
        <v>0</v>
      </c>
      <c r="FE30" s="10">
        <f t="shared" si="133"/>
        <v>0</v>
      </c>
      <c r="FF30" s="10">
        <f t="shared" ref="FF30" si="2246">$B30/$B$31*$D30*FG$31</f>
        <v>0</v>
      </c>
      <c r="FG30" s="10">
        <f t="shared" si="133"/>
        <v>0</v>
      </c>
      <c r="FH30" s="10">
        <f t="shared" ref="FH30" si="2247">$B30/$B$31*$D30*FI$31</f>
        <v>0</v>
      </c>
      <c r="FI30" s="10">
        <f t="shared" si="133"/>
        <v>0</v>
      </c>
      <c r="FJ30" s="10">
        <f t="shared" ref="FJ30" si="2248">$B30/$B$31*$D30*FK$31</f>
        <v>0</v>
      </c>
      <c r="FK30" s="10">
        <f t="shared" si="133"/>
        <v>0</v>
      </c>
      <c r="FL30" s="10">
        <f t="shared" ref="FL30" si="2249">$B30/$B$31*$D30*FM$31</f>
        <v>0</v>
      </c>
      <c r="FM30" s="10">
        <f t="shared" si="1917"/>
        <v>0</v>
      </c>
      <c r="FN30" s="10">
        <f t="shared" ref="FN30" si="2250">$B30/$B$31*$D30*FO$31</f>
        <v>0</v>
      </c>
      <c r="FO30" s="10">
        <f t="shared" si="144"/>
        <v>0</v>
      </c>
      <c r="FP30" s="10">
        <f t="shared" ref="FP30" si="2251">$B30/$B$31*$D30*FQ$31</f>
        <v>0</v>
      </c>
      <c r="FQ30" s="10">
        <f t="shared" si="146"/>
        <v>0</v>
      </c>
      <c r="FR30" s="10">
        <f t="shared" ref="FR30" si="2252">$B30/$B$31*$D30*FS$31</f>
        <v>0</v>
      </c>
      <c r="FS30" s="10">
        <f t="shared" si="148"/>
        <v>0</v>
      </c>
      <c r="FT30" s="10">
        <f t="shared" ref="FT30" si="2253">$B30/$B$31*$D30*FU$31</f>
        <v>0</v>
      </c>
      <c r="FU30" s="10">
        <f t="shared" si="150"/>
        <v>0</v>
      </c>
      <c r="FV30" s="10">
        <f t="shared" ref="FV30" si="2254">$B30/$B$31*$D30*FW$31</f>
        <v>0</v>
      </c>
      <c r="FW30" s="10">
        <f t="shared" si="152"/>
        <v>0</v>
      </c>
      <c r="FX30" s="10">
        <f t="shared" ref="FX30" si="2255">$B30/$B$31*$D30*FY$31</f>
        <v>0</v>
      </c>
      <c r="FY30" s="10">
        <f t="shared" si="154"/>
        <v>0</v>
      </c>
      <c r="FZ30" s="10">
        <f t="shared" ref="FZ30" si="2256">$B30/$B$31*$D30*GA$31</f>
        <v>0</v>
      </c>
      <c r="GA30" s="10">
        <f t="shared" si="156"/>
        <v>0</v>
      </c>
      <c r="GB30" s="10">
        <f t="shared" ref="GB30" si="2257">$B30/$B$31*$D30*GC$31</f>
        <v>0</v>
      </c>
      <c r="GC30" s="10">
        <f t="shared" si="158"/>
        <v>0</v>
      </c>
      <c r="GD30" s="10">
        <f t="shared" ref="GD30" si="2258">$B30/$B$31*$D30*GE$31</f>
        <v>0</v>
      </c>
      <c r="GE30" s="10">
        <f t="shared" si="160"/>
        <v>0</v>
      </c>
      <c r="GF30" s="10">
        <f t="shared" ref="GF30" si="2259">$B30/$B$31*$D30*GG$31</f>
        <v>0</v>
      </c>
      <c r="GG30" s="10">
        <f t="shared" si="162"/>
        <v>0</v>
      </c>
      <c r="GH30" s="10">
        <f t="shared" ref="GH30" si="2260">$B30/$B$31*$D30*GI$31</f>
        <v>0</v>
      </c>
      <c r="GI30" s="10">
        <f t="shared" si="164"/>
        <v>0</v>
      </c>
      <c r="GJ30" s="10">
        <f t="shared" ref="GJ30" si="2261">$B30/$B$31*$D30*GK$31</f>
        <v>0</v>
      </c>
      <c r="GK30" s="10">
        <f t="shared" si="166"/>
        <v>0</v>
      </c>
      <c r="GL30" s="10">
        <f t="shared" ref="GL30" si="2262">$B30/$B$31*$D30*GM$31</f>
        <v>0</v>
      </c>
      <c r="GM30" s="10">
        <f t="shared" si="168"/>
        <v>0</v>
      </c>
      <c r="GN30" s="10">
        <f t="shared" ref="GN30" si="2263">$B30/$B$31*$D30*GO$31</f>
        <v>0</v>
      </c>
      <c r="GO30" s="10">
        <f t="shared" si="170"/>
        <v>0</v>
      </c>
      <c r="GP30" s="10">
        <f t="shared" ref="GP30" si="2264">$B30/$B$31*$D30*GQ$31</f>
        <v>0</v>
      </c>
      <c r="GQ30" s="10">
        <f t="shared" si="172"/>
        <v>0</v>
      </c>
      <c r="GR30" s="10">
        <f t="shared" ref="GR30" si="2265">$B30/$B$31*$D30*GS$31</f>
        <v>0</v>
      </c>
      <c r="GS30" s="10">
        <f t="shared" si="174"/>
        <v>0</v>
      </c>
      <c r="GT30" s="10">
        <f t="shared" ref="GT30" si="2266">$B30/$B$31*$D30*GU$31</f>
        <v>0</v>
      </c>
      <c r="GU30" s="10">
        <f t="shared" si="176"/>
        <v>0</v>
      </c>
      <c r="GV30" s="10">
        <f t="shared" ref="GV30" si="2267">$B30/$B$31*$D30*GW$31</f>
        <v>0</v>
      </c>
      <c r="GW30" s="10">
        <f t="shared" si="178"/>
        <v>0</v>
      </c>
      <c r="GX30" s="10">
        <f t="shared" ref="GX30" si="2268">$B30/$B$31*$D30*GY$31</f>
        <v>0</v>
      </c>
      <c r="GY30" s="10">
        <f t="shared" si="180"/>
        <v>0</v>
      </c>
      <c r="GZ30" s="10">
        <f t="shared" ref="GZ30" si="2269">$B30/$B$31*$D30*HA$31</f>
        <v>0</v>
      </c>
      <c r="HA30" s="10">
        <f t="shared" si="182"/>
        <v>0</v>
      </c>
      <c r="HB30" s="10">
        <f t="shared" ref="HB30" si="2270">$B30/$B$31*$D30*HC$31</f>
        <v>0</v>
      </c>
      <c r="HC30" s="10">
        <f t="shared" si="184"/>
        <v>0</v>
      </c>
      <c r="HD30" s="10">
        <f t="shared" ref="HD30" si="2271">$B30/$B$31*$D30*HE$31</f>
        <v>0</v>
      </c>
      <c r="HE30" s="10">
        <f t="shared" si="186"/>
        <v>0</v>
      </c>
      <c r="HF30" s="10">
        <f t="shared" ref="HF30" si="2272">$B30/$B$31*$D30*HG$31</f>
        <v>0</v>
      </c>
      <c r="HG30" s="10">
        <f t="shared" si="188"/>
        <v>0</v>
      </c>
      <c r="HH30" s="10">
        <f t="shared" ref="HH30" si="2273">$B30/$B$31*$D30*HI$31</f>
        <v>0</v>
      </c>
      <c r="HI30" s="10">
        <f t="shared" si="190"/>
        <v>0</v>
      </c>
      <c r="HJ30" s="10">
        <f t="shared" ref="HJ30" si="2274">$B30/$B$31*$D30*HK$31</f>
        <v>0</v>
      </c>
      <c r="HK30" s="10">
        <f t="shared" si="192"/>
        <v>0</v>
      </c>
      <c r="HL30" s="10">
        <f t="shared" ref="HL30" si="2275">$B30/$B$31*$D30*HM$31</f>
        <v>0</v>
      </c>
      <c r="HM30" s="10">
        <f t="shared" si="194"/>
        <v>0</v>
      </c>
      <c r="HN30" s="10">
        <f t="shared" ref="HN30" si="2276">$B30/$B$31*$D30*HO$31</f>
        <v>0</v>
      </c>
      <c r="HO30" s="10">
        <f t="shared" si="196"/>
        <v>0</v>
      </c>
      <c r="HP30" s="10">
        <f t="shared" ref="HP30" si="2277">$B30/$B$31*$D30*HQ$31</f>
        <v>0</v>
      </c>
      <c r="HQ30" s="10">
        <f t="shared" si="198"/>
        <v>0</v>
      </c>
      <c r="HR30" s="10">
        <f t="shared" ref="HR30" si="2278">$B30/$B$31*$D30*HS$31</f>
        <v>0</v>
      </c>
      <c r="HS30" s="10">
        <f t="shared" si="200"/>
        <v>0</v>
      </c>
      <c r="HT30" s="10">
        <f t="shared" ref="HT30" si="2279">$B30/$B$31*$D30*HU$31</f>
        <v>0</v>
      </c>
      <c r="HU30" s="10">
        <f t="shared" si="202"/>
        <v>0</v>
      </c>
      <c r="HV30" s="10"/>
      <c r="HW30" s="10"/>
      <c r="HX30" s="10"/>
    </row>
    <row r="31" spans="1:232" x14ac:dyDescent="0.3">
      <c r="A31" s="18" t="s">
        <v>3426</v>
      </c>
      <c r="B31" s="170">
        <f>SUM(B4:B30)</f>
        <v>1644.75</v>
      </c>
      <c r="C31" s="10"/>
      <c r="D31" s="10"/>
      <c r="E31" s="171"/>
      <c r="F31" s="171"/>
      <c r="G31" s="189" t="s">
        <v>3467</v>
      </c>
      <c r="H31" s="172"/>
      <c r="I31" s="187" t="s">
        <v>3427</v>
      </c>
      <c r="J31" s="15"/>
      <c r="K31" s="10">
        <f>官职!AC16+官印!AA105+转生!Z23+龙魂炼体!N53+附件合成!AA103+装备强化!W39+装备注灵!AF48+火龙元神!Q12</f>
        <v>62042820.588984944</v>
      </c>
      <c r="L31" s="10"/>
      <c r="M31" s="10">
        <f>天尊洗炼!Y12</f>
        <v>826.02739726027391</v>
      </c>
      <c r="N31" s="10"/>
      <c r="O31" s="10">
        <f>官职!AD16+转生!AA23</f>
        <v>6009</v>
      </c>
      <c r="P31" s="10"/>
      <c r="Q31" s="10">
        <f>官印!AB105</f>
        <v>115750</v>
      </c>
      <c r="R31" s="10"/>
      <c r="S31" s="10">
        <f>转生!AB23</f>
        <v>366</v>
      </c>
      <c r="T31" s="10"/>
      <c r="U31" s="10">
        <f>龙魂炼体!M53/4</f>
        <v>546.53921568627447</v>
      </c>
      <c r="V31" s="10"/>
      <c r="W31" s="10">
        <f>龙魂炼体!M53/4</f>
        <v>546.53921568627447</v>
      </c>
      <c r="X31" s="10"/>
      <c r="Y31" s="10">
        <f>龙魂炼体!M53/4</f>
        <v>546.53921568627447</v>
      </c>
      <c r="Z31" s="10"/>
      <c r="AA31" s="10">
        <f>龙魂炼体!M53/4</f>
        <v>546.53921568627447</v>
      </c>
      <c r="AB31" s="10"/>
      <c r="AC31" s="10">
        <f>附件合成!Z103</f>
        <v>14010</v>
      </c>
      <c r="AD31" s="10"/>
      <c r="AE31" s="10">
        <f>装备强化!V39</f>
        <v>4197.0461538461541</v>
      </c>
      <c r="AF31" s="10"/>
      <c r="AG31" s="10">
        <f>AE31/2</f>
        <v>2098.523076923077</v>
      </c>
      <c r="AH31" s="10"/>
      <c r="AI31" s="10">
        <f>AE31/10</f>
        <v>419.70461538461541</v>
      </c>
      <c r="AJ31" s="10"/>
      <c r="AK31" s="10">
        <f>装备注灵!AE48</f>
        <v>4796.4705882352937</v>
      </c>
      <c r="AL31" s="10"/>
      <c r="AM31" s="10">
        <f>AK31/2</f>
        <v>2398.2352941176468</v>
      </c>
      <c r="AN31" s="10"/>
      <c r="AO31" s="10">
        <f>AK31/10</f>
        <v>479.64705882352939</v>
      </c>
      <c r="AP31" s="10"/>
      <c r="AQ31" s="10">
        <f>火龙元神!P12</f>
        <v>227.56302186878727</v>
      </c>
      <c r="AR31" s="10"/>
      <c r="AS31" s="10">
        <f>天尊洗炼!V12*1/11</f>
        <v>3.0037359900373599</v>
      </c>
      <c r="AT31" s="10"/>
      <c r="AU31" s="10">
        <f>天尊洗炼!V12*1/11</f>
        <v>3.0037359900373599</v>
      </c>
      <c r="AV31" s="10"/>
      <c r="AW31" s="10">
        <f>天尊洗炼!V12*9/11</f>
        <v>27.033623910336235</v>
      </c>
      <c r="AX31" s="10"/>
      <c r="AY31" s="10">
        <f>天尊洗炼!X12</f>
        <v>82.602739726027394</v>
      </c>
      <c r="AZ31" s="10"/>
      <c r="BA31" s="10">
        <f>天尊洗炼!W12*1/11</f>
        <v>7.5093399750933996</v>
      </c>
      <c r="BB31" s="10"/>
      <c r="BC31" s="10">
        <f>天尊洗炼!W12*1/11</f>
        <v>7.5093399750933996</v>
      </c>
      <c r="BD31" s="10"/>
      <c r="BE31" s="10">
        <f>天尊洗炼!W12*4/11</f>
        <v>30.037359900373598</v>
      </c>
      <c r="BF31" s="10"/>
      <c r="BG31" s="10">
        <f>天尊洗炼!W12*5/11</f>
        <v>37.546699875466999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</row>
  </sheetData>
  <mergeCells count="116">
    <mergeCell ref="HL2:HM2"/>
    <mergeCell ref="HN2:HO2"/>
    <mergeCell ref="HP2:HQ2"/>
    <mergeCell ref="HR2:HS2"/>
    <mergeCell ref="HT2:HU2"/>
    <mergeCell ref="HB2:HC2"/>
    <mergeCell ref="HD2:HE2"/>
    <mergeCell ref="HF2:HG2"/>
    <mergeCell ref="HH2:HI2"/>
    <mergeCell ref="HJ2:HK2"/>
    <mergeCell ref="GR2:GS2"/>
    <mergeCell ref="GT2:GU2"/>
    <mergeCell ref="GV2:GW2"/>
    <mergeCell ref="GX2:GY2"/>
    <mergeCell ref="GZ2:HA2"/>
    <mergeCell ref="GH2:GI2"/>
    <mergeCell ref="GJ2:GK2"/>
    <mergeCell ref="GL2:GM2"/>
    <mergeCell ref="GN2:GO2"/>
    <mergeCell ref="GP2:GQ2"/>
    <mergeCell ref="FX2:FY2"/>
    <mergeCell ref="FZ2:GA2"/>
    <mergeCell ref="GB2:GC2"/>
    <mergeCell ref="GD2:GE2"/>
    <mergeCell ref="GF2:GG2"/>
    <mergeCell ref="FN2:FO2"/>
    <mergeCell ref="FP2:FQ2"/>
    <mergeCell ref="FR2:FS2"/>
    <mergeCell ref="FT2:FU2"/>
    <mergeCell ref="FV2:FW2"/>
    <mergeCell ref="FD2:FE2"/>
    <mergeCell ref="FF2:FG2"/>
    <mergeCell ref="FH2:FI2"/>
    <mergeCell ref="FJ2:FK2"/>
    <mergeCell ref="FL2:FM2"/>
    <mergeCell ref="ET2:EU2"/>
    <mergeCell ref="EV2:EW2"/>
    <mergeCell ref="EX2:EY2"/>
    <mergeCell ref="EZ2:FA2"/>
    <mergeCell ref="FB2:FC2"/>
    <mergeCell ref="EJ2:EK2"/>
    <mergeCell ref="EL2:EM2"/>
    <mergeCell ref="EN2:EO2"/>
    <mergeCell ref="EP2:EQ2"/>
    <mergeCell ref="ER2:ES2"/>
    <mergeCell ref="DZ2:EA2"/>
    <mergeCell ref="EB2:EC2"/>
    <mergeCell ref="ED2:EE2"/>
    <mergeCell ref="EF2:EG2"/>
    <mergeCell ref="EH2:EI2"/>
    <mergeCell ref="DP2:DQ2"/>
    <mergeCell ref="DR2:DS2"/>
    <mergeCell ref="DT2:DU2"/>
    <mergeCell ref="DV2:DW2"/>
    <mergeCell ref="DX2:DY2"/>
    <mergeCell ref="DF2:DG2"/>
    <mergeCell ref="DH2:DI2"/>
    <mergeCell ref="DJ2:DK2"/>
    <mergeCell ref="DL2:DM2"/>
    <mergeCell ref="DN2:DO2"/>
    <mergeCell ref="CV2:CW2"/>
    <mergeCell ref="CX2:CY2"/>
    <mergeCell ref="CZ2:DA2"/>
    <mergeCell ref="DB2:DC2"/>
    <mergeCell ref="DD2:DE2"/>
    <mergeCell ref="CL2:CM2"/>
    <mergeCell ref="CN2:CO2"/>
    <mergeCell ref="CP2:CQ2"/>
    <mergeCell ref="CR2:CS2"/>
    <mergeCell ref="CT2:CU2"/>
    <mergeCell ref="CB2:CC2"/>
    <mergeCell ref="CD2:CE2"/>
    <mergeCell ref="CF2:CG2"/>
    <mergeCell ref="CH2:CI2"/>
    <mergeCell ref="CJ2:CK2"/>
    <mergeCell ref="BR2:BS2"/>
    <mergeCell ref="BT2:BU2"/>
    <mergeCell ref="BV2:BW2"/>
    <mergeCell ref="BX2:BY2"/>
    <mergeCell ref="BZ2:CA2"/>
    <mergeCell ref="BH2:BI2"/>
    <mergeCell ref="BJ2:BK2"/>
    <mergeCell ref="BN2:BO2"/>
    <mergeCell ref="BL2:BM2"/>
    <mergeCell ref="BP2:BQ2"/>
    <mergeCell ref="BD2:BE2"/>
    <mergeCell ref="BF2:BG2"/>
    <mergeCell ref="AV2:AW2"/>
    <mergeCell ref="AT2:AU2"/>
    <mergeCell ref="AX2:AY2"/>
    <mergeCell ref="AZ2:BA2"/>
    <mergeCell ref="BB2:BC2"/>
    <mergeCell ref="E1:F1"/>
    <mergeCell ref="E2:F2"/>
    <mergeCell ref="B1:D2"/>
    <mergeCell ref="A1:A3"/>
    <mergeCell ref="J2:K2"/>
    <mergeCell ref="G1:G30"/>
    <mergeCell ref="H2:I2"/>
    <mergeCell ref="AP2:AQ2"/>
    <mergeCell ref="AR2:AS2"/>
    <mergeCell ref="L2:M2"/>
    <mergeCell ref="N2:O2"/>
    <mergeCell ref="P2:Q2"/>
    <mergeCell ref="R2:S2"/>
    <mergeCell ref="T2:U2"/>
    <mergeCell ref="AF2:AG2"/>
    <mergeCell ref="AH2:AI2"/>
    <mergeCell ref="AJ2:AK2"/>
    <mergeCell ref="AL2:AM2"/>
    <mergeCell ref="AN2:AO2"/>
    <mergeCell ref="V2:W2"/>
    <mergeCell ref="X2:Y2"/>
    <mergeCell ref="Z2:AA2"/>
    <mergeCell ref="AB2:AC2"/>
    <mergeCell ref="AD2:AE2"/>
  </mergeCells>
  <phoneticPr fontId="1" type="noConversion"/>
  <pageMargins left="0.7" right="0.7" top="0.75" bottom="0.75" header="0.3" footer="0.3"/>
  <ignoredErrors>
    <ignoredError sqref="BG4" formula="1"/>
  </ignoredError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35939937-49BB-4EDE-8CC7-05AED29E7C6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材料产出!C4:C30</xm:f>
              <xm:sqref>C31</xm:sqref>
            </x14:sparkline>
          </x14:sparklines>
        </x14:sparklineGroup>
        <x14:sparklineGroup displayEmptyCellsAs="gap" xr2:uid="{F2E9E546-0E46-4873-A786-5E3A12914A9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材料产出!D4:D30</xm:f>
              <xm:sqref>D31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DC85-6A59-4D60-ADFC-ABA1489D956C}">
  <dimension ref="B3:Z38"/>
  <sheetViews>
    <sheetView topLeftCell="A4" workbookViewId="0">
      <selection activeCell="J29" sqref="J29"/>
    </sheetView>
  </sheetViews>
  <sheetFormatPr defaultRowHeight="14.25" x14ac:dyDescent="0.2"/>
  <cols>
    <col min="2" max="9" width="10.375" customWidth="1"/>
    <col min="12" max="12" width="15.375" customWidth="1"/>
    <col min="13" max="13" width="12.375" customWidth="1"/>
  </cols>
  <sheetData>
    <row r="3" spans="2:26" ht="21" x14ac:dyDescent="0.2">
      <c r="B3" s="273" t="s">
        <v>83</v>
      </c>
      <c r="C3" s="273"/>
      <c r="D3" s="178"/>
      <c r="E3" s="274" t="s">
        <v>85</v>
      </c>
      <c r="F3" s="274"/>
      <c r="G3" s="179"/>
      <c r="H3" s="275" t="s">
        <v>87</v>
      </c>
      <c r="I3" s="275"/>
      <c r="K3" s="275" t="s">
        <v>3429</v>
      </c>
      <c r="L3" s="275"/>
    </row>
    <row r="4" spans="2:26" ht="18" x14ac:dyDescent="0.2">
      <c r="B4" s="173" t="s">
        <v>3430</v>
      </c>
      <c r="C4" s="173" t="s">
        <v>3431</v>
      </c>
      <c r="D4" s="180"/>
      <c r="E4" s="173" t="s">
        <v>3430</v>
      </c>
      <c r="F4" s="173" t="s">
        <v>3431</v>
      </c>
      <c r="G4" s="180"/>
      <c r="H4" s="173" t="s">
        <v>3430</v>
      </c>
      <c r="I4" s="173" t="s">
        <v>3431</v>
      </c>
    </row>
    <row r="5" spans="2:26" ht="16.5" x14ac:dyDescent="0.2">
      <c r="B5" s="10" t="s">
        <v>36</v>
      </c>
      <c r="C5" s="10">
        <v>4.68</v>
      </c>
      <c r="D5" s="13"/>
      <c r="E5" s="10" t="s">
        <v>36</v>
      </c>
      <c r="F5" s="10">
        <v>1.4039999999999999</v>
      </c>
      <c r="G5" s="13"/>
      <c r="H5" s="10" t="s">
        <v>36</v>
      </c>
      <c r="I5" s="10">
        <v>4.68</v>
      </c>
      <c r="M5" t="s">
        <v>3432</v>
      </c>
      <c r="N5" t="s">
        <v>3433</v>
      </c>
      <c r="O5" t="s">
        <v>3434</v>
      </c>
    </row>
    <row r="6" spans="2:26" ht="16.5" x14ac:dyDescent="0.2">
      <c r="B6" s="10" t="s">
        <v>38</v>
      </c>
      <c r="C6" s="10">
        <v>1.1639999999999999</v>
      </c>
      <c r="D6" s="13"/>
      <c r="E6" s="10" t="s">
        <v>38</v>
      </c>
      <c r="F6" s="10">
        <v>2.34</v>
      </c>
      <c r="G6" s="13"/>
      <c r="H6" s="10" t="s">
        <v>38</v>
      </c>
      <c r="I6" s="10">
        <v>2.34</v>
      </c>
      <c r="M6" t="s">
        <v>3432</v>
      </c>
      <c r="N6" t="s">
        <v>3435</v>
      </c>
      <c r="O6" t="s">
        <v>3436</v>
      </c>
    </row>
    <row r="7" spans="2:26" ht="16.5" x14ac:dyDescent="0.2">
      <c r="B7" s="10" t="s">
        <v>2272</v>
      </c>
      <c r="C7" s="10">
        <v>43.2</v>
      </c>
      <c r="D7" s="13"/>
      <c r="E7" s="10" t="s">
        <v>2272</v>
      </c>
      <c r="F7" s="10">
        <v>43.2</v>
      </c>
      <c r="G7" s="13"/>
      <c r="H7" s="10" t="s">
        <v>2272</v>
      </c>
      <c r="I7" s="10">
        <v>43.2</v>
      </c>
    </row>
    <row r="8" spans="2:26" ht="16.5" x14ac:dyDescent="0.2">
      <c r="B8" s="10" t="s">
        <v>2273</v>
      </c>
      <c r="C8" s="10">
        <v>43.2</v>
      </c>
      <c r="D8" s="13"/>
      <c r="E8" s="10" t="s">
        <v>2273</v>
      </c>
      <c r="F8" s="10">
        <v>43.2</v>
      </c>
      <c r="G8" s="13"/>
      <c r="H8" s="10" t="s">
        <v>2273</v>
      </c>
      <c r="I8" s="10">
        <v>43.2</v>
      </c>
    </row>
    <row r="9" spans="2:26" ht="16.5" x14ac:dyDescent="0.2">
      <c r="B9" s="10" t="s">
        <v>2276</v>
      </c>
      <c r="C9" s="10">
        <v>13.2</v>
      </c>
      <c r="D9" s="13"/>
      <c r="E9" s="10" t="s">
        <v>2276</v>
      </c>
      <c r="F9" s="10">
        <v>14.4</v>
      </c>
      <c r="G9" s="13"/>
      <c r="H9" s="10" t="s">
        <v>2276</v>
      </c>
      <c r="I9" s="10">
        <v>13.2</v>
      </c>
    </row>
    <row r="10" spans="2:26" ht="16.5" x14ac:dyDescent="0.2">
      <c r="B10" s="10" t="s">
        <v>2277</v>
      </c>
      <c r="C10" s="10">
        <v>19.2</v>
      </c>
      <c r="D10" s="13"/>
      <c r="E10" s="10" t="s">
        <v>2277</v>
      </c>
      <c r="F10" s="10">
        <v>21.6</v>
      </c>
      <c r="G10" s="13"/>
      <c r="H10" s="10" t="s">
        <v>2277</v>
      </c>
      <c r="I10" s="10">
        <v>19.2</v>
      </c>
    </row>
    <row r="11" spans="2:26" ht="16.5" x14ac:dyDescent="0.2">
      <c r="B11" s="10" t="s">
        <v>75</v>
      </c>
      <c r="C11" s="10">
        <v>14.4</v>
      </c>
      <c r="D11" s="13"/>
      <c r="E11" s="10" t="s">
        <v>75</v>
      </c>
      <c r="F11" s="10">
        <v>14.4</v>
      </c>
      <c r="G11" s="13"/>
      <c r="H11" s="10" t="s">
        <v>75</v>
      </c>
      <c r="I11" s="10">
        <v>14.4</v>
      </c>
      <c r="T11">
        <v>1</v>
      </c>
    </row>
    <row r="12" spans="2:26" ht="16.5" x14ac:dyDescent="0.2">
      <c r="B12" s="10" t="s">
        <v>76</v>
      </c>
      <c r="C12" s="10">
        <v>21.6</v>
      </c>
      <c r="D12" s="13"/>
      <c r="E12" s="10" t="s">
        <v>76</v>
      </c>
      <c r="F12" s="10">
        <v>21.6</v>
      </c>
      <c r="G12" s="13"/>
      <c r="H12" s="10" t="s">
        <v>76</v>
      </c>
      <c r="I12" s="10">
        <v>21.6</v>
      </c>
    </row>
    <row r="13" spans="2:26" ht="16.5" x14ac:dyDescent="0.2">
      <c r="B13" s="181" t="s">
        <v>1919</v>
      </c>
      <c r="C13" s="181">
        <v>20</v>
      </c>
      <c r="D13" s="182"/>
      <c r="E13" s="181" t="s">
        <v>1919</v>
      </c>
      <c r="F13" s="181">
        <v>20</v>
      </c>
      <c r="G13" s="182"/>
      <c r="H13" s="181" t="s">
        <v>1919</v>
      </c>
      <c r="I13" s="181">
        <v>20</v>
      </c>
    </row>
    <row r="14" spans="2:26" ht="16.5" x14ac:dyDescent="0.2">
      <c r="B14" s="181" t="s">
        <v>3314</v>
      </c>
      <c r="C14" s="181">
        <v>20</v>
      </c>
      <c r="D14" s="182"/>
      <c r="E14" s="181" t="s">
        <v>3314</v>
      </c>
      <c r="F14" s="181">
        <v>20</v>
      </c>
      <c r="G14" s="182"/>
      <c r="H14" s="181" t="s">
        <v>3314</v>
      </c>
      <c r="I14" s="181">
        <v>20</v>
      </c>
      <c r="Y14">
        <v>2</v>
      </c>
      <c r="Z14">
        <v>10</v>
      </c>
    </row>
    <row r="15" spans="2:26" ht="16.5" x14ac:dyDescent="0.2">
      <c r="B15" s="181" t="s">
        <v>1922</v>
      </c>
      <c r="C15" s="181">
        <v>159.6</v>
      </c>
      <c r="D15" s="182"/>
      <c r="E15" s="181" t="s">
        <v>1922</v>
      </c>
      <c r="F15" s="181">
        <v>159.6</v>
      </c>
      <c r="G15" s="182"/>
      <c r="H15" s="181" t="s">
        <v>1922</v>
      </c>
      <c r="I15" s="181">
        <v>159.6</v>
      </c>
    </row>
    <row r="16" spans="2:26" ht="16.5" x14ac:dyDescent="0.2">
      <c r="B16" s="181" t="s">
        <v>3305</v>
      </c>
      <c r="C16" s="181">
        <v>79.8</v>
      </c>
      <c r="D16" s="182"/>
      <c r="E16" s="181" t="s">
        <v>3305</v>
      </c>
      <c r="F16" s="181">
        <v>79.8</v>
      </c>
      <c r="G16" s="182"/>
      <c r="H16" s="181" t="s">
        <v>3305</v>
      </c>
      <c r="I16" s="181">
        <v>79.8</v>
      </c>
    </row>
    <row r="17" spans="2:9" ht="16.5" x14ac:dyDescent="0.2">
      <c r="B17" s="181" t="s">
        <v>3437</v>
      </c>
      <c r="C17" s="181">
        <v>159.6</v>
      </c>
      <c r="D17" s="182"/>
      <c r="E17" s="181" t="s">
        <v>3437</v>
      </c>
      <c r="F17" s="181">
        <v>159.6</v>
      </c>
      <c r="G17" s="182"/>
      <c r="H17" s="181" t="s">
        <v>3437</v>
      </c>
      <c r="I17" s="181">
        <v>159.6</v>
      </c>
    </row>
    <row r="18" spans="2:9" ht="16.5" x14ac:dyDescent="0.2">
      <c r="B18" s="181" t="s">
        <v>3438</v>
      </c>
      <c r="C18" s="181">
        <v>63.6</v>
      </c>
      <c r="D18" s="182"/>
      <c r="E18" s="181" t="s">
        <v>3438</v>
      </c>
      <c r="F18" s="181">
        <v>63.6</v>
      </c>
      <c r="G18" s="182"/>
      <c r="H18" s="181" t="s">
        <v>3438</v>
      </c>
      <c r="I18" s="181">
        <v>63.6</v>
      </c>
    </row>
    <row r="19" spans="2:9" ht="16.5" x14ac:dyDescent="0.2">
      <c r="B19" s="181" t="s">
        <v>1921</v>
      </c>
      <c r="C19" s="181">
        <v>259.2</v>
      </c>
      <c r="D19" s="182"/>
      <c r="E19" s="181" t="s">
        <v>1921</v>
      </c>
      <c r="F19" s="181">
        <v>259.2</v>
      </c>
      <c r="G19" s="182"/>
      <c r="H19" s="181" t="s">
        <v>1921</v>
      </c>
      <c r="I19" s="181">
        <v>259.2</v>
      </c>
    </row>
    <row r="20" spans="2:9" ht="16.5" x14ac:dyDescent="0.2">
      <c r="B20" s="181" t="s">
        <v>1923</v>
      </c>
      <c r="C20" s="181">
        <v>259.2</v>
      </c>
      <c r="D20" s="182"/>
      <c r="E20" s="181" t="s">
        <v>1923</v>
      </c>
      <c r="F20" s="181">
        <v>259.2</v>
      </c>
      <c r="G20" s="182"/>
      <c r="H20" s="181" t="s">
        <v>1923</v>
      </c>
      <c r="I20" s="181">
        <v>259.2</v>
      </c>
    </row>
    <row r="21" spans="2:9" ht="16.5" x14ac:dyDescent="0.2">
      <c r="B21" s="181" t="s">
        <v>1924</v>
      </c>
      <c r="C21" s="181">
        <v>259.2</v>
      </c>
      <c r="D21" s="182"/>
      <c r="E21" s="181" t="s">
        <v>1924</v>
      </c>
      <c r="F21" s="181">
        <v>259.2</v>
      </c>
      <c r="G21" s="182"/>
      <c r="H21" s="181" t="s">
        <v>1924</v>
      </c>
      <c r="I21" s="181">
        <v>259.2</v>
      </c>
    </row>
    <row r="22" spans="2:9" ht="16.5" x14ac:dyDescent="0.2">
      <c r="B22" s="181" t="s">
        <v>2264</v>
      </c>
      <c r="C22" s="181">
        <v>0.51839999999999997</v>
      </c>
      <c r="D22" s="182"/>
      <c r="E22" s="181" t="s">
        <v>2264</v>
      </c>
      <c r="F22" s="181">
        <v>0.51839999999999997</v>
      </c>
      <c r="G22" s="182"/>
      <c r="H22" s="181" t="s">
        <v>2264</v>
      </c>
      <c r="I22" s="181">
        <v>0.51839999999999997</v>
      </c>
    </row>
    <row r="23" spans="2:9" ht="16.5" x14ac:dyDescent="0.2">
      <c r="B23" s="181" t="s">
        <v>3319</v>
      </c>
      <c r="C23" s="181">
        <v>0.51839999999999997</v>
      </c>
      <c r="D23" s="182"/>
      <c r="E23" s="181" t="s">
        <v>3319</v>
      </c>
      <c r="F23" s="181">
        <v>0.51839999999999997</v>
      </c>
      <c r="G23" s="182"/>
      <c r="H23" s="181" t="s">
        <v>3319</v>
      </c>
      <c r="I23" s="181">
        <v>0.51839999999999997</v>
      </c>
    </row>
    <row r="24" spans="2:9" ht="16.5" x14ac:dyDescent="0.2">
      <c r="B24" s="181" t="s">
        <v>3312</v>
      </c>
      <c r="C24" s="181">
        <v>259.2</v>
      </c>
      <c r="D24" s="182"/>
      <c r="E24" s="181" t="s">
        <v>3312</v>
      </c>
      <c r="F24" s="181">
        <v>259.2</v>
      </c>
      <c r="G24" s="182"/>
      <c r="H24" s="181" t="s">
        <v>3312</v>
      </c>
      <c r="I24" s="181">
        <v>259.2</v>
      </c>
    </row>
    <row r="25" spans="2:9" ht="16.5" x14ac:dyDescent="0.2">
      <c r="B25" s="181" t="s">
        <v>2265</v>
      </c>
      <c r="C25" s="181">
        <v>2.5920000000000001</v>
      </c>
      <c r="D25" s="182"/>
      <c r="E25" s="181" t="s">
        <v>2265</v>
      </c>
      <c r="F25" s="181">
        <v>2.5920000000000001</v>
      </c>
      <c r="G25" s="182"/>
      <c r="H25" s="181" t="s">
        <v>2265</v>
      </c>
      <c r="I25" s="181">
        <v>2.5920000000000001</v>
      </c>
    </row>
    <row r="26" spans="2:9" ht="16.5" x14ac:dyDescent="0.2">
      <c r="B26" s="181" t="s">
        <v>2688</v>
      </c>
      <c r="C26" s="181">
        <v>64.8</v>
      </c>
      <c r="D26" s="182"/>
      <c r="E26" s="181" t="s">
        <v>2688</v>
      </c>
      <c r="F26" s="181">
        <v>64.8</v>
      </c>
      <c r="G26" s="182"/>
      <c r="H26" s="181" t="s">
        <v>2688</v>
      </c>
      <c r="I26" s="181">
        <v>64.8</v>
      </c>
    </row>
    <row r="27" spans="2:9" ht="16.5" x14ac:dyDescent="0.2">
      <c r="B27" s="181" t="s">
        <v>2690</v>
      </c>
      <c r="C27" s="181">
        <v>259.2</v>
      </c>
      <c r="D27" s="182"/>
      <c r="E27" s="181" t="s">
        <v>2690</v>
      </c>
      <c r="F27" s="181">
        <v>259.2</v>
      </c>
      <c r="G27" s="182"/>
      <c r="H27" s="181" t="s">
        <v>2690</v>
      </c>
      <c r="I27" s="181">
        <v>259.2</v>
      </c>
    </row>
    <row r="28" spans="2:9" ht="16.5" x14ac:dyDescent="0.2">
      <c r="B28" s="181" t="s">
        <v>3317</v>
      </c>
      <c r="C28" s="181">
        <v>81</v>
      </c>
      <c r="D28" s="182"/>
      <c r="E28" s="181" t="s">
        <v>3317</v>
      </c>
      <c r="F28" s="181">
        <v>81</v>
      </c>
      <c r="G28" s="182"/>
      <c r="H28" s="181" t="s">
        <v>3317</v>
      </c>
      <c r="I28" s="181">
        <v>81</v>
      </c>
    </row>
    <row r="29" spans="2:9" ht="16.5" x14ac:dyDescent="0.2">
      <c r="B29" s="181" t="s">
        <v>3318</v>
      </c>
      <c r="C29" s="181">
        <v>81</v>
      </c>
      <c r="D29" s="182"/>
      <c r="E29" s="181" t="s">
        <v>3318</v>
      </c>
      <c r="F29" s="181">
        <v>81</v>
      </c>
      <c r="G29" s="182"/>
      <c r="H29" s="181" t="s">
        <v>3318</v>
      </c>
      <c r="I29" s="181">
        <v>81</v>
      </c>
    </row>
    <row r="30" spans="2:9" ht="16.5" x14ac:dyDescent="0.2">
      <c r="B30" s="181" t="s">
        <v>3439</v>
      </c>
      <c r="C30" s="181">
        <v>2.5920000000000001</v>
      </c>
      <c r="D30" s="182"/>
      <c r="E30" s="181" t="s">
        <v>3439</v>
      </c>
      <c r="F30" s="181">
        <v>2.5920000000000001</v>
      </c>
      <c r="G30" s="182"/>
      <c r="H30" s="181" t="s">
        <v>3439</v>
      </c>
      <c r="I30" s="181">
        <v>2.5920000000000001</v>
      </c>
    </row>
    <row r="31" spans="2:9" ht="16.5" x14ac:dyDescent="0.2">
      <c r="B31" s="181" t="s">
        <v>2996</v>
      </c>
      <c r="C31" s="181">
        <v>259.2</v>
      </c>
      <c r="D31" s="182"/>
      <c r="E31" s="181" t="s">
        <v>2996</v>
      </c>
      <c r="F31" s="181">
        <v>259.2</v>
      </c>
      <c r="G31" s="182"/>
      <c r="H31" s="181" t="s">
        <v>2996</v>
      </c>
      <c r="I31" s="181">
        <v>259.2</v>
      </c>
    </row>
    <row r="32" spans="2:9" ht="16.5" x14ac:dyDescent="0.2">
      <c r="B32" s="181" t="s">
        <v>3003</v>
      </c>
      <c r="C32" s="181">
        <v>259.2</v>
      </c>
      <c r="D32" s="182"/>
      <c r="E32" s="181" t="s">
        <v>3003</v>
      </c>
      <c r="F32" s="181">
        <v>259.2</v>
      </c>
      <c r="G32" s="182"/>
      <c r="H32" s="181" t="s">
        <v>3003</v>
      </c>
      <c r="I32" s="181">
        <v>259.2</v>
      </c>
    </row>
    <row r="33" spans="2:9" ht="16.5" x14ac:dyDescent="0.2">
      <c r="B33" s="181" t="s">
        <v>3315</v>
      </c>
      <c r="C33" s="181">
        <v>18.579999999999998</v>
      </c>
      <c r="D33" s="182"/>
      <c r="E33" s="181" t="s">
        <v>3315</v>
      </c>
      <c r="F33" s="181">
        <v>57.29</v>
      </c>
      <c r="G33" s="182"/>
      <c r="H33" s="181" t="s">
        <v>3315</v>
      </c>
      <c r="I33" s="181">
        <v>18.579999999999998</v>
      </c>
    </row>
    <row r="34" spans="2:9" ht="16.5" x14ac:dyDescent="0.2">
      <c r="B34" s="181" t="s">
        <v>3316</v>
      </c>
      <c r="C34" s="181">
        <v>46.22</v>
      </c>
      <c r="D34" s="182"/>
      <c r="E34" s="181" t="s">
        <v>3316</v>
      </c>
      <c r="F34" s="181">
        <v>7.5010000000000003</v>
      </c>
      <c r="G34" s="182"/>
      <c r="H34" s="181" t="s">
        <v>3316</v>
      </c>
      <c r="I34" s="181">
        <v>46.22</v>
      </c>
    </row>
    <row r="35" spans="2:9" ht="16.5" x14ac:dyDescent="0.2">
      <c r="B35" s="181" t="s">
        <v>3440</v>
      </c>
      <c r="C35" s="181">
        <v>950.4</v>
      </c>
      <c r="D35" s="182"/>
      <c r="E35" s="181" t="s">
        <v>3440</v>
      </c>
      <c r="F35" s="181">
        <v>950.4</v>
      </c>
      <c r="G35" s="182"/>
      <c r="H35" s="181" t="s">
        <v>3440</v>
      </c>
      <c r="I35" s="181">
        <v>950.4</v>
      </c>
    </row>
    <row r="36" spans="2:9" ht="16.5" x14ac:dyDescent="0.2">
      <c r="B36" s="181" t="s">
        <v>1920</v>
      </c>
      <c r="C36" s="181">
        <v>2592</v>
      </c>
      <c r="D36" s="182"/>
      <c r="E36" s="181" t="s">
        <v>1920</v>
      </c>
      <c r="F36" s="181">
        <v>2592</v>
      </c>
      <c r="G36" s="182"/>
      <c r="H36" s="181" t="s">
        <v>1920</v>
      </c>
      <c r="I36" s="181">
        <v>2592</v>
      </c>
    </row>
    <row r="37" spans="2:9" ht="16.5" x14ac:dyDescent="0.2">
      <c r="B37" s="181" t="s">
        <v>3444</v>
      </c>
      <c r="C37" s="181">
        <v>23.4</v>
      </c>
      <c r="E37" s="181" t="s">
        <v>3444</v>
      </c>
      <c r="F37" s="181">
        <v>23.4</v>
      </c>
      <c r="H37" s="181" t="s">
        <v>3444</v>
      </c>
      <c r="I37" s="181">
        <v>23.4</v>
      </c>
    </row>
    <row r="38" spans="2:9" ht="16.5" x14ac:dyDescent="0.2">
      <c r="B38" s="181" t="s">
        <v>3445</v>
      </c>
      <c r="C38" s="181">
        <v>5.82</v>
      </c>
      <c r="E38" s="181" t="s">
        <v>3445</v>
      </c>
      <c r="F38" s="181">
        <v>5.82</v>
      </c>
      <c r="H38" s="181" t="s">
        <v>3445</v>
      </c>
      <c r="I38" s="181">
        <v>5.82</v>
      </c>
    </row>
  </sheetData>
  <mergeCells count="4">
    <mergeCell ref="B3:C3"/>
    <mergeCell ref="E3:F3"/>
    <mergeCell ref="H3:I3"/>
    <mergeCell ref="K3:L3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C24E-B976-4968-94F3-63B4B1027689}">
  <sheetPr>
    <tabColor theme="5" tint="0.59999389629810485"/>
  </sheetPr>
  <dimension ref="A1:Q26"/>
  <sheetViews>
    <sheetView workbookViewId="0">
      <selection activeCell="K23" sqref="K23"/>
    </sheetView>
  </sheetViews>
  <sheetFormatPr defaultRowHeight="16.5" x14ac:dyDescent="0.3"/>
  <cols>
    <col min="1" max="3" width="9" style="12"/>
    <col min="4" max="4" width="11.25" style="12" bestFit="1" customWidth="1"/>
    <col min="5" max="6" width="10.75" style="12" customWidth="1"/>
    <col min="7" max="7" width="9" style="12"/>
    <col min="8" max="8" width="15.75" style="12" customWidth="1"/>
    <col min="9" max="9" width="9" style="12"/>
    <col min="10" max="10" width="11.125" style="12" customWidth="1"/>
    <col min="11" max="11" width="9" style="12"/>
    <col min="12" max="12" width="10.875" style="12" bestFit="1" customWidth="1"/>
    <col min="13" max="22" width="14.25" style="12" customWidth="1"/>
    <col min="23" max="16384" width="9" style="12"/>
  </cols>
  <sheetData>
    <row r="1" spans="1:17" ht="22.5" x14ac:dyDescent="0.4">
      <c r="A1" s="230" t="s">
        <v>3748</v>
      </c>
    </row>
    <row r="2" spans="1:17" x14ac:dyDescent="0.3">
      <c r="A2" s="231" t="s">
        <v>2272</v>
      </c>
      <c r="B2" s="231" t="s">
        <v>2273</v>
      </c>
      <c r="C2" s="231" t="s">
        <v>3440</v>
      </c>
      <c r="D2" s="231" t="s">
        <v>3749</v>
      </c>
      <c r="E2" s="231" t="s">
        <v>3750</v>
      </c>
      <c r="F2" s="231" t="s">
        <v>3751</v>
      </c>
      <c r="G2" s="231" t="s">
        <v>2267</v>
      </c>
      <c r="H2" s="231" t="s">
        <v>3789</v>
      </c>
      <c r="I2" s="231" t="s">
        <v>3002</v>
      </c>
      <c r="J2" s="231" t="s">
        <v>2268</v>
      </c>
      <c r="K2" s="231" t="s">
        <v>3752</v>
      </c>
      <c r="L2" s="231" t="s">
        <v>3753</v>
      </c>
      <c r="M2" s="8" t="s">
        <v>3754</v>
      </c>
      <c r="N2" s="8" t="s">
        <v>3755</v>
      </c>
      <c r="O2" s="8" t="s">
        <v>3756</v>
      </c>
      <c r="P2" s="8" t="s">
        <v>3757</v>
      </c>
    </row>
    <row r="3" spans="1:17" x14ac:dyDescent="0.3">
      <c r="A3" s="231">
        <v>100</v>
      </c>
      <c r="B3" s="231">
        <v>200</v>
      </c>
      <c r="C3" s="231">
        <v>8</v>
      </c>
      <c r="D3" s="231">
        <v>25</v>
      </c>
      <c r="E3" s="231">
        <v>50</v>
      </c>
      <c r="F3" s="231">
        <v>5</v>
      </c>
      <c r="G3" s="231">
        <v>10</v>
      </c>
      <c r="H3" s="231">
        <v>5</v>
      </c>
      <c r="I3" s="231">
        <v>10</v>
      </c>
      <c r="J3" s="231">
        <v>10</v>
      </c>
      <c r="K3" s="231">
        <v>5</v>
      </c>
      <c r="L3" s="231">
        <v>80</v>
      </c>
      <c r="M3" s="8">
        <f>A3</f>
        <v>100</v>
      </c>
      <c r="N3" s="8">
        <f>B3</f>
        <v>200</v>
      </c>
      <c r="O3" s="8">
        <f>A3-E3</f>
        <v>50</v>
      </c>
      <c r="P3" s="8">
        <f>B3-D3</f>
        <v>175</v>
      </c>
    </row>
    <row r="4" spans="1:17" x14ac:dyDescent="0.3">
      <c r="M4" s="8" t="s">
        <v>3758</v>
      </c>
      <c r="N4" s="8" t="s">
        <v>3759</v>
      </c>
      <c r="O4" s="8" t="s">
        <v>3760</v>
      </c>
      <c r="P4" s="8" t="s">
        <v>3761</v>
      </c>
    </row>
    <row r="5" spans="1:17" x14ac:dyDescent="0.3">
      <c r="M5" s="8">
        <f>O3</f>
        <v>50</v>
      </c>
      <c r="N5" s="8">
        <f>N3</f>
        <v>200</v>
      </c>
      <c r="O5" s="8">
        <f>O3*(2+J3/100)</f>
        <v>105</v>
      </c>
      <c r="P5" s="8">
        <f>N3*(2+J3/100)</f>
        <v>420</v>
      </c>
    </row>
    <row r="6" spans="1:17" x14ac:dyDescent="0.3">
      <c r="O6" s="97" t="s">
        <v>3762</v>
      </c>
      <c r="P6" s="97" t="s">
        <v>3763</v>
      </c>
    </row>
    <row r="7" spans="1:17" x14ac:dyDescent="0.3">
      <c r="O7" s="232">
        <f>M5*(1+G3/100)*(1-H3/100)</f>
        <v>52.250000000000007</v>
      </c>
      <c r="P7" s="232">
        <f>P5*(1+G3/100)*(1-H3/100)</f>
        <v>438.90000000000003</v>
      </c>
      <c r="Q7" s="12" t="s">
        <v>3764</v>
      </c>
    </row>
    <row r="8" spans="1:17" x14ac:dyDescent="0.3">
      <c r="M8" s="276" t="s">
        <v>3783</v>
      </c>
      <c r="N8" s="276"/>
      <c r="O8" s="276"/>
      <c r="P8" s="276"/>
    </row>
    <row r="9" spans="1:17" x14ac:dyDescent="0.3">
      <c r="M9" s="8" t="s">
        <v>3784</v>
      </c>
      <c r="N9" s="8" t="s">
        <v>3785</v>
      </c>
      <c r="O9" s="8" t="s">
        <v>3786</v>
      </c>
      <c r="P9" s="97" t="s">
        <v>3787</v>
      </c>
    </row>
    <row r="10" spans="1:17" x14ac:dyDescent="0.3">
      <c r="M10" s="8">
        <f>(A3+C3/9*(B3-A3))-(D3+F3/9*(E3-D3))*(1-L3/100)</f>
        <v>181.11111111111111</v>
      </c>
      <c r="N10" s="8">
        <f>M10+M10*I3/100*(2+J3/100)</f>
        <v>219.14444444444445</v>
      </c>
      <c r="O10" s="8">
        <f>N10*(1+G3/100)*(1-H3/100)</f>
        <v>229.00594444444445</v>
      </c>
      <c r="P10" s="97">
        <f>O10</f>
        <v>229.00594444444445</v>
      </c>
      <c r="Q10" s="12" t="s">
        <v>3788</v>
      </c>
    </row>
    <row r="11" spans="1:17" x14ac:dyDescent="0.3">
      <c r="G11" s="12" t="s">
        <v>3790</v>
      </c>
    </row>
    <row r="12" spans="1:17" x14ac:dyDescent="0.3">
      <c r="A12" s="12" t="s">
        <v>3765</v>
      </c>
    </row>
    <row r="13" spans="1:17" x14ac:dyDescent="0.3">
      <c r="A13" s="12" t="s">
        <v>3432</v>
      </c>
    </row>
    <row r="16" spans="1:17" x14ac:dyDescent="0.3">
      <c r="A16" s="12" t="s">
        <v>3766</v>
      </c>
    </row>
    <row r="17" spans="1:9" x14ac:dyDescent="0.3">
      <c r="A17" s="12" t="s">
        <v>3767</v>
      </c>
      <c r="C17" s="12" t="s">
        <v>3768</v>
      </c>
      <c r="I17" s="12" t="s">
        <v>3769</v>
      </c>
    </row>
    <row r="18" spans="1:9" x14ac:dyDescent="0.3">
      <c r="A18" s="12" t="s">
        <v>3312</v>
      </c>
      <c r="C18" s="12" t="s">
        <v>3770</v>
      </c>
      <c r="I18" s="12" t="s">
        <v>3771</v>
      </c>
    </row>
    <row r="20" spans="1:9" x14ac:dyDescent="0.3">
      <c r="A20" s="12" t="s">
        <v>3772</v>
      </c>
    </row>
    <row r="21" spans="1:9" x14ac:dyDescent="0.3">
      <c r="A21" s="12" t="s">
        <v>3773</v>
      </c>
      <c r="C21" s="12" t="s">
        <v>3774</v>
      </c>
      <c r="I21" s="12" t="s">
        <v>3775</v>
      </c>
    </row>
    <row r="22" spans="1:9" x14ac:dyDescent="0.3">
      <c r="A22" s="12" t="s">
        <v>3776</v>
      </c>
      <c r="C22" s="12" t="s">
        <v>3777</v>
      </c>
      <c r="I22" s="12" t="s">
        <v>3778</v>
      </c>
    </row>
    <row r="24" spans="1:9" x14ac:dyDescent="0.3">
      <c r="A24" s="12" t="s">
        <v>3779</v>
      </c>
    </row>
    <row r="25" spans="1:9" x14ac:dyDescent="0.3">
      <c r="A25" s="12" t="s">
        <v>3791</v>
      </c>
    </row>
    <row r="26" spans="1:9" x14ac:dyDescent="0.3">
      <c r="A26" s="12" t="s">
        <v>3780</v>
      </c>
      <c r="C26" s="12" t="s">
        <v>3781</v>
      </c>
      <c r="I26" s="12" t="s">
        <v>3782</v>
      </c>
    </row>
  </sheetData>
  <mergeCells count="1">
    <mergeCell ref="M8:P8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5228-C982-4168-886A-1FA08322D2C7}">
  <dimension ref="A1:X501"/>
  <sheetViews>
    <sheetView topLeftCell="H1" workbookViewId="0">
      <pane ySplit="1" topLeftCell="A185" activePane="bottomLeft" state="frozen"/>
      <selection activeCell="F1" sqref="F1"/>
      <selection pane="bottomLeft" activeCell="I201" sqref="I201"/>
    </sheetView>
  </sheetViews>
  <sheetFormatPr defaultRowHeight="16.5" x14ac:dyDescent="0.3"/>
  <cols>
    <col min="1" max="1" width="37.375" customWidth="1"/>
    <col min="4" max="6" width="19.125" customWidth="1"/>
    <col min="7" max="7" width="45.625" customWidth="1"/>
    <col min="8" max="8" width="9" customWidth="1"/>
    <col min="9" max="9" width="29.375" customWidth="1"/>
    <col min="10" max="10" width="12.75" customWidth="1"/>
    <col min="11" max="14" width="10.5" style="183" customWidth="1"/>
    <col min="15" max="22" width="9" style="183"/>
    <col min="23" max="23" width="11.875" style="12" bestFit="1" customWidth="1"/>
  </cols>
  <sheetData>
    <row r="1" spans="1:24" ht="18" x14ac:dyDescent="0.2">
      <c r="B1" s="21" t="s">
        <v>50</v>
      </c>
      <c r="C1" s="21" t="s">
        <v>0</v>
      </c>
      <c r="D1" s="21" t="s">
        <v>64</v>
      </c>
      <c r="E1" s="21" t="s">
        <v>65</v>
      </c>
      <c r="F1" s="21" t="s">
        <v>66</v>
      </c>
      <c r="G1" s="21" t="s">
        <v>1961</v>
      </c>
      <c r="H1" s="21" t="s">
        <v>61</v>
      </c>
      <c r="I1" s="21" t="s">
        <v>62</v>
      </c>
      <c r="J1" s="196" t="s">
        <v>55</v>
      </c>
      <c r="K1" s="93" t="s">
        <v>37</v>
      </c>
      <c r="L1" s="93" t="s">
        <v>38</v>
      </c>
      <c r="M1" s="93" t="s">
        <v>68</v>
      </c>
      <c r="N1" s="93" t="s">
        <v>69</v>
      </c>
      <c r="O1" s="93" t="s">
        <v>70</v>
      </c>
      <c r="P1" s="93" t="s">
        <v>71</v>
      </c>
      <c r="Q1" s="93" t="s">
        <v>67</v>
      </c>
      <c r="R1" s="93" t="s">
        <v>72</v>
      </c>
      <c r="S1" s="93" t="s">
        <v>73</v>
      </c>
      <c r="T1" s="93" t="s">
        <v>74</v>
      </c>
      <c r="U1" s="93" t="s">
        <v>75</v>
      </c>
      <c r="V1" s="93" t="s">
        <v>76</v>
      </c>
      <c r="W1" s="93" t="s">
        <v>3428</v>
      </c>
      <c r="X1" s="93" t="s">
        <v>3452</v>
      </c>
    </row>
    <row r="2" spans="1:24" ht="18" customHeight="1" x14ac:dyDescent="0.3">
      <c r="A2" s="277" t="s">
        <v>1962</v>
      </c>
      <c r="B2" s="22" t="s">
        <v>0</v>
      </c>
      <c r="C2" s="24">
        <v>1</v>
      </c>
      <c r="D2" s="27" t="str">
        <f t="shared" ref="D2:D65" si="0">"0#1#"&amp;INT(K2)&amp;"|"&amp;"0#2#"&amp;INT(0.02*L2)&amp;"|"&amp;"0#3#"&amp;INT(M2)&amp;"|"&amp;"0#4#"&amp;INT(N2)&amp;"|"&amp;"0#9#"&amp;INT(S2)&amp;"|"&amp;"0#10#"&amp;INT(T2)&amp;"|"&amp;"0#11#"&amp;INT(U2)&amp;"|"&amp;"0#12#"&amp;INT(V2)</f>
        <v>0#1#140|0#2#4|0#3#1|0#4#2|0#9#1|0#10#2|0#11#1|0#12#2</v>
      </c>
      <c r="E2" s="27" t="str">
        <f t="shared" ref="E2:E65" si="1">"1#1#"&amp;INT(1/6*K2)&amp;"|"&amp;"1#2#"&amp;INT(L2)&amp;"|"&amp;"1#3#"&amp;INT(O2)&amp;"|"&amp;"1#4#"&amp;INT(P2)&amp;"|"&amp;"1#9#"&amp;INT(S2)&amp;"|"&amp;"1#10#"&amp;INT(T2)&amp;"|"&amp;"1#11#"&amp;INT(U2)&amp;"|"&amp;"1#12#"&amp;INT(V2)</f>
        <v>1#1#23|1#2#240|1#3#1|1#4#2|1#9#1|1#10#2|1#11#1|1#12#2</v>
      </c>
      <c r="F2" s="27" t="str">
        <f t="shared" ref="F2:F65" si="2">"2#1#"&amp;INT(1/2*K2)&amp;"|"&amp;"2#2#"&amp;INT(1/2*L2)&amp;"|"&amp;"2#3#"&amp;INT(Q2)&amp;"|"&amp;"2#4#"&amp;INT(R2)&amp;"|"&amp;"2#9#"&amp;INT(S2)&amp;"|"&amp;"2#10#"&amp;INT(T2)&amp;"|"&amp;"2#11#"&amp;INT(U2)&amp;"|"&amp;"2#12#"&amp;INT(V2)</f>
        <v>2#1#70|2#2#120|2#3#1|2#4#2|2#9#1|2#10#2|2#11#1|2#12#2</v>
      </c>
      <c r="G2" s="27" t="str">
        <f>D2&amp;"|"&amp;E2&amp;"|"&amp;F2</f>
        <v>0#1#140|0#2#4|0#3#1|0#4#2|0#9#1|0#10#2|0#11#1|0#12#2|1#1#23|1#2#240|1#3#1|1#4#2|1#9#1|1#10#2|1#11#1|1#12#2|2#1#70|2#2#120|2#3#1|2#4#2|2#9#1|2#10#2|2#11#1|2#12#2</v>
      </c>
      <c r="H2" s="22"/>
      <c r="I2" s="25">
        <v>2000</v>
      </c>
      <c r="J2" s="197">
        <v>1</v>
      </c>
      <c r="K2" s="183">
        <f t="shared" ref="K2:K65" si="3">INT(J2/250*K$251)</f>
        <v>140</v>
      </c>
      <c r="L2" s="183">
        <f t="shared" ref="L2:L65" si="4">INT(J2/250*L$251)</f>
        <v>240</v>
      </c>
      <c r="M2" s="183">
        <f t="shared" ref="M2:M65" si="5">INT(J2/250*M$251)</f>
        <v>1</v>
      </c>
      <c r="N2" s="183">
        <f t="shared" ref="N2:N65" si="6">INT(J2/250*N$251)</f>
        <v>2</v>
      </c>
      <c r="O2" s="183">
        <v>1</v>
      </c>
      <c r="P2" s="183">
        <v>2</v>
      </c>
      <c r="Q2" s="183">
        <v>1</v>
      </c>
      <c r="R2" s="183">
        <v>2</v>
      </c>
      <c r="S2" s="183">
        <v>1</v>
      </c>
      <c r="T2" s="183">
        <v>2</v>
      </c>
      <c r="U2" s="183">
        <v>1</v>
      </c>
      <c r="V2" s="183">
        <v>2</v>
      </c>
    </row>
    <row r="3" spans="1:24" x14ac:dyDescent="0.3">
      <c r="A3" s="278"/>
      <c r="B3" s="22"/>
      <c r="C3" s="27">
        <v>2</v>
      </c>
      <c r="D3" s="27" t="str">
        <f t="shared" si="0"/>
        <v>0#1#280|0#2#9|0#3#2|0#4#4|0#9#2|0#10#4|0#11#2|0#12#4</v>
      </c>
      <c r="E3" s="27" t="str">
        <f t="shared" si="1"/>
        <v>1#1#46|1#2#480|1#3#2|1#4#4|1#9#2|1#10#4|1#11#2|1#12#4</v>
      </c>
      <c r="F3" s="27" t="str">
        <f t="shared" si="2"/>
        <v>2#1#140|2#2#240|2#3#2|2#4#4|2#9#2|2#10#4|2#11#2|2#12#4</v>
      </c>
      <c r="G3" s="27" t="str">
        <f t="shared" ref="G3:G66" si="7">D3&amp;"|"&amp;E3&amp;"|"&amp;F3</f>
        <v>0#1#280|0#2#9|0#3#2|0#4#4|0#9#2|0#10#4|0#11#2|0#12#4|1#1#46|1#2#480|1#3#2|1#4#4|1#9#2|1#10#4|1#11#2|1#12#4|2#1#140|2#2#240|2#3#2|2#4#4|2#9#2|2#10#4|2#11#2|2#12#4</v>
      </c>
      <c r="H3" s="22"/>
      <c r="I3" s="28">
        <v>2000</v>
      </c>
      <c r="J3" s="198">
        <v>2</v>
      </c>
      <c r="K3" s="183">
        <f t="shared" si="3"/>
        <v>280</v>
      </c>
      <c r="L3" s="183">
        <f t="shared" si="4"/>
        <v>480</v>
      </c>
      <c r="M3" s="183">
        <f t="shared" si="5"/>
        <v>2</v>
      </c>
      <c r="N3" s="183">
        <f t="shared" si="6"/>
        <v>4</v>
      </c>
      <c r="O3" s="183">
        <f t="shared" ref="O3:O66" si="8">INT(J3/250*O$251)</f>
        <v>2</v>
      </c>
      <c r="P3" s="183">
        <f t="shared" ref="P3:P66" si="9">INT(J3/250*P$251)</f>
        <v>4</v>
      </c>
      <c r="Q3" s="183">
        <f t="shared" ref="Q3:Q66" si="10">INT(J3/250*Q$251)</f>
        <v>2</v>
      </c>
      <c r="R3" s="183">
        <f t="shared" ref="R3:R66" si="11">INT(J3/250*R$251)</f>
        <v>4</v>
      </c>
      <c r="S3" s="183">
        <f t="shared" ref="S3:S66" si="12">INT(J3/250*S$251)</f>
        <v>2</v>
      </c>
      <c r="T3" s="183">
        <f t="shared" ref="T3:T66" si="13">INT(J3/250*T$251)</f>
        <v>4</v>
      </c>
      <c r="U3" s="183">
        <f t="shared" ref="U3:U66" si="14">INT(J3/250*U$251)</f>
        <v>2</v>
      </c>
      <c r="V3" s="183">
        <f t="shared" ref="V3:V66" si="15">INT(J3/250*V$251)</f>
        <v>4</v>
      </c>
    </row>
    <row r="4" spans="1:24" x14ac:dyDescent="0.3">
      <c r="A4" s="278"/>
      <c r="B4" s="22"/>
      <c r="C4" s="24">
        <v>3</v>
      </c>
      <c r="D4" s="27" t="str">
        <f t="shared" si="0"/>
        <v>0#1#420|0#2#14|0#3#3|0#4#6|0#9#3|0#10#6|0#11#3|0#12#6</v>
      </c>
      <c r="E4" s="27" t="str">
        <f t="shared" si="1"/>
        <v>1#1#70|1#2#720|1#3#3|1#4#6|1#9#3|1#10#6|1#11#3|1#12#6</v>
      </c>
      <c r="F4" s="27" t="str">
        <f t="shared" si="2"/>
        <v>2#1#210|2#2#360|2#3#3|2#4#6|2#9#3|2#10#6|2#11#3|2#12#6</v>
      </c>
      <c r="G4" s="27" t="str">
        <f t="shared" si="7"/>
        <v>0#1#420|0#2#14|0#3#3|0#4#6|0#9#3|0#10#6|0#11#3|0#12#6|1#1#70|1#2#720|1#3#3|1#4#6|1#9#3|1#10#6|1#11#3|1#12#6|2#1#210|2#2#360|2#3#3|2#4#6|2#9#3|2#10#6|2#11#3|2#12#6</v>
      </c>
      <c r="H4" s="22"/>
      <c r="I4" s="25">
        <v>2000</v>
      </c>
      <c r="J4" s="197">
        <v>3</v>
      </c>
      <c r="K4" s="183">
        <f t="shared" si="3"/>
        <v>420</v>
      </c>
      <c r="L4" s="183">
        <f t="shared" si="4"/>
        <v>720</v>
      </c>
      <c r="M4" s="183">
        <f t="shared" si="5"/>
        <v>3</v>
      </c>
      <c r="N4" s="183">
        <f t="shared" si="6"/>
        <v>6</v>
      </c>
      <c r="O4" s="183">
        <f t="shared" si="8"/>
        <v>3</v>
      </c>
      <c r="P4" s="183">
        <f t="shared" si="9"/>
        <v>6</v>
      </c>
      <c r="Q4" s="183">
        <f t="shared" si="10"/>
        <v>3</v>
      </c>
      <c r="R4" s="183">
        <f t="shared" si="11"/>
        <v>6</v>
      </c>
      <c r="S4" s="183">
        <f t="shared" si="12"/>
        <v>3</v>
      </c>
      <c r="T4" s="183">
        <f t="shared" si="13"/>
        <v>6</v>
      </c>
      <c r="U4" s="183">
        <f t="shared" si="14"/>
        <v>3</v>
      </c>
      <c r="V4" s="183">
        <f t="shared" si="15"/>
        <v>6</v>
      </c>
    </row>
    <row r="5" spans="1:24" x14ac:dyDescent="0.3">
      <c r="A5" s="278"/>
      <c r="B5" s="22"/>
      <c r="C5" s="27">
        <v>4</v>
      </c>
      <c r="D5" s="27" t="str">
        <f t="shared" si="0"/>
        <v>0#1#560|0#2#19|0#3#4|0#4#8|0#9#4|0#10#8|0#11#4|0#12#8</v>
      </c>
      <c r="E5" s="27" t="str">
        <f t="shared" si="1"/>
        <v>1#1#93|1#2#960|1#3#4|1#4#8|1#9#4|1#10#8|1#11#4|1#12#8</v>
      </c>
      <c r="F5" s="27" t="str">
        <f t="shared" si="2"/>
        <v>2#1#280|2#2#480|2#3#4|2#4#8|2#9#4|2#10#8|2#11#4|2#12#8</v>
      </c>
      <c r="G5" s="27" t="str">
        <f t="shared" si="7"/>
        <v>0#1#560|0#2#19|0#3#4|0#4#8|0#9#4|0#10#8|0#11#4|0#12#8|1#1#93|1#2#960|1#3#4|1#4#8|1#9#4|1#10#8|1#11#4|1#12#8|2#1#280|2#2#480|2#3#4|2#4#8|2#9#4|2#10#8|2#11#4|2#12#8</v>
      </c>
      <c r="H5" s="22"/>
      <c r="I5" s="28">
        <v>2000</v>
      </c>
      <c r="J5" s="198">
        <v>4</v>
      </c>
      <c r="K5" s="183">
        <f t="shared" si="3"/>
        <v>560</v>
      </c>
      <c r="L5" s="183">
        <f t="shared" si="4"/>
        <v>960</v>
      </c>
      <c r="M5" s="183">
        <f t="shared" si="5"/>
        <v>4</v>
      </c>
      <c r="N5" s="183">
        <f t="shared" si="6"/>
        <v>8</v>
      </c>
      <c r="O5" s="183">
        <f t="shared" si="8"/>
        <v>4</v>
      </c>
      <c r="P5" s="183">
        <f t="shared" si="9"/>
        <v>8</v>
      </c>
      <c r="Q5" s="183">
        <f t="shared" si="10"/>
        <v>4</v>
      </c>
      <c r="R5" s="183">
        <f t="shared" si="11"/>
        <v>8</v>
      </c>
      <c r="S5" s="183">
        <f t="shared" si="12"/>
        <v>4</v>
      </c>
      <c r="T5" s="183">
        <f t="shared" si="13"/>
        <v>8</v>
      </c>
      <c r="U5" s="183">
        <f t="shared" si="14"/>
        <v>4</v>
      </c>
      <c r="V5" s="183">
        <f t="shared" si="15"/>
        <v>8</v>
      </c>
      <c r="W5" s="12">
        <f>K5*属性价值参考!C$5+升级!L5*属性价值参考!C$6+升级!M5*属性价值参考!C$7+升级!N5*属性价值参考!C$8+升级!S5*属性价值参考!C$9+升级!T5*属性价值参考!C$10+升级!U5*属性价值参考!C$11+升级!V5*属性价值参考!C$12</f>
        <v>4693.4400000000014</v>
      </c>
    </row>
    <row r="6" spans="1:24" x14ac:dyDescent="0.3">
      <c r="A6" s="278"/>
      <c r="B6" s="22"/>
      <c r="C6" s="24">
        <v>5</v>
      </c>
      <c r="D6" s="27" t="str">
        <f t="shared" si="0"/>
        <v>0#1#700|0#2#24|0#3#5|0#4#10|0#9#5|0#10#10|0#11#5|0#12#10</v>
      </c>
      <c r="E6" s="27" t="str">
        <f t="shared" si="1"/>
        <v>1#1#116|1#2#1200|1#3#5|1#4#10|1#9#5|1#10#10|1#11#5|1#12#10</v>
      </c>
      <c r="F6" s="27" t="str">
        <f t="shared" si="2"/>
        <v>2#1#350|2#2#600|2#3#5|2#4#10|2#9#5|2#10#10|2#11#5|2#12#10</v>
      </c>
      <c r="G6" s="27" t="str">
        <f t="shared" si="7"/>
        <v>0#1#700|0#2#24|0#3#5|0#4#10|0#9#5|0#10#10|0#11#5|0#12#10|1#1#116|1#2#1200|1#3#5|1#4#10|1#9#5|1#10#10|1#11#5|1#12#10|2#1#350|2#2#600|2#3#5|2#4#10|2#9#5|2#10#10|2#11#5|2#12#10</v>
      </c>
      <c r="H6" s="22"/>
      <c r="I6" s="25">
        <v>2000</v>
      </c>
      <c r="J6" s="197">
        <v>5</v>
      </c>
      <c r="K6" s="183">
        <f t="shared" si="3"/>
        <v>700</v>
      </c>
      <c r="L6" s="183">
        <f t="shared" si="4"/>
        <v>1200</v>
      </c>
      <c r="M6" s="183">
        <f t="shared" si="5"/>
        <v>5</v>
      </c>
      <c r="N6" s="183">
        <f t="shared" si="6"/>
        <v>10</v>
      </c>
      <c r="O6" s="183">
        <f t="shared" si="8"/>
        <v>5</v>
      </c>
      <c r="P6" s="183">
        <f t="shared" si="9"/>
        <v>10</v>
      </c>
      <c r="Q6" s="183">
        <f t="shared" si="10"/>
        <v>5</v>
      </c>
      <c r="R6" s="183">
        <f t="shared" si="11"/>
        <v>10</v>
      </c>
      <c r="S6" s="183">
        <f t="shared" si="12"/>
        <v>5</v>
      </c>
      <c r="T6" s="183">
        <f t="shared" si="13"/>
        <v>10</v>
      </c>
      <c r="U6" s="183">
        <f t="shared" si="14"/>
        <v>5</v>
      </c>
      <c r="V6" s="183">
        <f t="shared" si="15"/>
        <v>10</v>
      </c>
      <c r="W6" s="12">
        <f>K6*属性价值参考!C$5+升级!L6*属性价值参考!C$6+升级!M6*属性价值参考!C$7+升级!N6*属性价值参考!C$8+升级!S6*属性价值参考!C$9+升级!T6*属性价值参考!C$10+升级!U6*属性价值参考!C$11+升级!V6*属性价值参考!C$12</f>
        <v>5866.8</v>
      </c>
    </row>
    <row r="7" spans="1:24" x14ac:dyDescent="0.3">
      <c r="A7" s="279"/>
      <c r="B7" s="22"/>
      <c r="C7" s="27">
        <v>6</v>
      </c>
      <c r="D7" s="27" t="str">
        <f t="shared" si="0"/>
        <v>0#1#840|0#2#28|0#3#6|0#4#12|0#9#6|0#10#12|0#11#6|0#12#12</v>
      </c>
      <c r="E7" s="27" t="str">
        <f t="shared" si="1"/>
        <v>1#1#140|1#2#1440|1#3#6|1#4#12|1#9#6|1#10#12|1#11#6|1#12#12</v>
      </c>
      <c r="F7" s="27" t="str">
        <f t="shared" si="2"/>
        <v>2#1#420|2#2#720|2#3#6|2#4#12|2#9#6|2#10#12|2#11#6|2#12#12</v>
      </c>
      <c r="G7" s="27" t="str">
        <f t="shared" si="7"/>
        <v>0#1#840|0#2#28|0#3#6|0#4#12|0#9#6|0#10#12|0#11#6|0#12#12|1#1#140|1#2#1440|1#3#6|1#4#12|1#9#6|1#10#12|1#11#6|1#12#12|2#1#420|2#2#720|2#3#6|2#4#12|2#9#6|2#10#12|2#11#6|2#12#12</v>
      </c>
      <c r="H7" s="22"/>
      <c r="I7" s="28">
        <v>2000</v>
      </c>
      <c r="J7" s="198">
        <v>6</v>
      </c>
      <c r="K7" s="183">
        <f t="shared" si="3"/>
        <v>840</v>
      </c>
      <c r="L7" s="183">
        <f t="shared" si="4"/>
        <v>1440</v>
      </c>
      <c r="M7" s="183">
        <f t="shared" si="5"/>
        <v>6</v>
      </c>
      <c r="N7" s="183">
        <f t="shared" si="6"/>
        <v>12</v>
      </c>
      <c r="O7" s="183">
        <f t="shared" si="8"/>
        <v>6</v>
      </c>
      <c r="P7" s="183">
        <f t="shared" si="9"/>
        <v>12</v>
      </c>
      <c r="Q7" s="183">
        <f t="shared" si="10"/>
        <v>6</v>
      </c>
      <c r="R7" s="183">
        <f t="shared" si="11"/>
        <v>12</v>
      </c>
      <c r="S7" s="183">
        <f t="shared" si="12"/>
        <v>6</v>
      </c>
      <c r="T7" s="183">
        <f t="shared" si="13"/>
        <v>12</v>
      </c>
      <c r="U7" s="183">
        <f t="shared" si="14"/>
        <v>6</v>
      </c>
      <c r="V7" s="183">
        <f t="shared" si="15"/>
        <v>12</v>
      </c>
      <c r="W7" s="12">
        <f>K7*属性价值参考!C$5+升级!L7*属性价值参考!C$6+升级!M7*属性价值参考!C$7+升级!N7*属性价值参考!C$8+升级!S7*属性价值参考!C$9+升级!T7*属性价值参考!C$10+升级!U7*属性价值参考!C$11+升级!V7*属性价值参考!C$12</f>
        <v>7040.159999999998</v>
      </c>
    </row>
    <row r="8" spans="1:24" x14ac:dyDescent="0.3">
      <c r="A8" s="22"/>
      <c r="B8" s="22"/>
      <c r="C8" s="24">
        <v>7</v>
      </c>
      <c r="D8" s="27" t="str">
        <f t="shared" si="0"/>
        <v>0#1#980|0#2#33|0#3#7|0#4#14|0#9#7|0#10#14|0#11#7|0#12#14</v>
      </c>
      <c r="E8" s="27" t="str">
        <f t="shared" si="1"/>
        <v>1#1#163|1#2#1680|1#3#7|1#4#14|1#9#7|1#10#14|1#11#7|1#12#14</v>
      </c>
      <c r="F8" s="27" t="str">
        <f t="shared" si="2"/>
        <v>2#1#490|2#2#840|2#3#7|2#4#14|2#9#7|2#10#14|2#11#7|2#12#14</v>
      </c>
      <c r="G8" s="27" t="str">
        <f t="shared" si="7"/>
        <v>0#1#980|0#2#33|0#3#7|0#4#14|0#9#7|0#10#14|0#11#7|0#12#14|1#1#163|1#2#1680|1#3#7|1#4#14|1#9#7|1#10#14|1#11#7|1#12#14|2#1#490|2#2#840|2#3#7|2#4#14|2#9#7|2#10#14|2#11#7|2#12#14</v>
      </c>
      <c r="H8" s="22"/>
      <c r="I8" s="25">
        <v>2000</v>
      </c>
      <c r="J8" s="197">
        <v>7</v>
      </c>
      <c r="K8" s="183">
        <f t="shared" si="3"/>
        <v>980</v>
      </c>
      <c r="L8" s="183">
        <f t="shared" si="4"/>
        <v>1680</v>
      </c>
      <c r="M8" s="183">
        <f t="shared" si="5"/>
        <v>7</v>
      </c>
      <c r="N8" s="183">
        <f t="shared" si="6"/>
        <v>14</v>
      </c>
      <c r="O8" s="183">
        <f t="shared" si="8"/>
        <v>7</v>
      </c>
      <c r="P8" s="183">
        <f t="shared" si="9"/>
        <v>14</v>
      </c>
      <c r="Q8" s="183">
        <f t="shared" si="10"/>
        <v>7</v>
      </c>
      <c r="R8" s="183">
        <f t="shared" si="11"/>
        <v>14</v>
      </c>
      <c r="S8" s="183">
        <f t="shared" si="12"/>
        <v>7</v>
      </c>
      <c r="T8" s="183">
        <f t="shared" si="13"/>
        <v>14</v>
      </c>
      <c r="U8" s="183">
        <f t="shared" si="14"/>
        <v>7</v>
      </c>
      <c r="V8" s="183">
        <f t="shared" si="15"/>
        <v>14</v>
      </c>
      <c r="W8" s="12">
        <f>K8*属性价值参考!C$5+升级!L8*属性价值参考!C$6+升级!M8*属性价值参考!C$7+升级!N8*属性价值参考!C$8+升级!S8*属性价值参考!C$9+升级!T8*属性价值参考!C$10+升级!U8*属性价值参考!C$11+升级!V8*属性价值参考!C$12</f>
        <v>8213.52</v>
      </c>
    </row>
    <row r="9" spans="1:24" x14ac:dyDescent="0.3">
      <c r="A9" s="22"/>
      <c r="B9" s="22"/>
      <c r="C9" s="27">
        <v>8</v>
      </c>
      <c r="D9" s="27" t="str">
        <f t="shared" si="0"/>
        <v>0#1#1120|0#2#38|0#3#8|0#4#16|0#9#8|0#10#16|0#11#8|0#12#16</v>
      </c>
      <c r="E9" s="27" t="str">
        <f t="shared" si="1"/>
        <v>1#1#186|1#2#1920|1#3#8|1#4#16|1#9#8|1#10#16|1#11#8|1#12#16</v>
      </c>
      <c r="F9" s="27" t="str">
        <f t="shared" si="2"/>
        <v>2#1#560|2#2#960|2#3#8|2#4#16|2#9#8|2#10#16|2#11#8|2#12#16</v>
      </c>
      <c r="G9" s="27" t="str">
        <f t="shared" si="7"/>
        <v>0#1#1120|0#2#38|0#3#8|0#4#16|0#9#8|0#10#16|0#11#8|0#12#16|1#1#186|1#2#1920|1#3#8|1#4#16|1#9#8|1#10#16|1#11#8|1#12#16|2#1#560|2#2#960|2#3#8|2#4#16|2#9#8|2#10#16|2#11#8|2#12#16</v>
      </c>
      <c r="H9" s="22"/>
      <c r="I9" s="28">
        <v>2000</v>
      </c>
      <c r="J9" s="198">
        <v>8</v>
      </c>
      <c r="K9" s="183">
        <f t="shared" si="3"/>
        <v>1120</v>
      </c>
      <c r="L9" s="183">
        <f t="shared" si="4"/>
        <v>1920</v>
      </c>
      <c r="M9" s="183">
        <f t="shared" si="5"/>
        <v>8</v>
      </c>
      <c r="N9" s="183">
        <f t="shared" si="6"/>
        <v>16</v>
      </c>
      <c r="O9" s="183">
        <f t="shared" si="8"/>
        <v>8</v>
      </c>
      <c r="P9" s="183">
        <f t="shared" si="9"/>
        <v>16</v>
      </c>
      <c r="Q9" s="183">
        <f t="shared" si="10"/>
        <v>8</v>
      </c>
      <c r="R9" s="183">
        <f t="shared" si="11"/>
        <v>16</v>
      </c>
      <c r="S9" s="183">
        <f t="shared" si="12"/>
        <v>8</v>
      </c>
      <c r="T9" s="183">
        <f t="shared" si="13"/>
        <v>16</v>
      </c>
      <c r="U9" s="183">
        <f t="shared" si="14"/>
        <v>8</v>
      </c>
      <c r="V9" s="183">
        <f t="shared" si="15"/>
        <v>16</v>
      </c>
      <c r="W9" s="12">
        <f>K9*属性价值参考!C$5+升级!L9*属性价值参考!C$6+升级!M9*属性价值参考!C$7+升级!N9*属性价值参考!C$8+升级!S9*属性价值参考!C$9+升级!T9*属性价值参考!C$10+升级!U9*属性价值参考!C$11+升级!V9*属性价值参考!C$12</f>
        <v>9386.8800000000028</v>
      </c>
    </row>
    <row r="10" spans="1:24" x14ac:dyDescent="0.3">
      <c r="A10" s="22"/>
      <c r="B10" s="22"/>
      <c r="C10" s="24">
        <v>9</v>
      </c>
      <c r="D10" s="27" t="str">
        <f t="shared" si="0"/>
        <v>0#1#1260|0#2#43|0#3#9|0#4#18|0#9#9|0#10#18|0#11#9|0#12#18</v>
      </c>
      <c r="E10" s="27" t="str">
        <f t="shared" si="1"/>
        <v>1#1#210|1#2#2160|1#3#9|1#4#18|1#9#9|1#10#18|1#11#9|1#12#18</v>
      </c>
      <c r="F10" s="27" t="str">
        <f t="shared" si="2"/>
        <v>2#1#630|2#2#1080|2#3#9|2#4#18|2#9#9|2#10#18|2#11#9|2#12#18</v>
      </c>
      <c r="G10" s="27" t="str">
        <f t="shared" si="7"/>
        <v>0#1#1260|0#2#43|0#3#9|0#4#18|0#9#9|0#10#18|0#11#9|0#12#18|1#1#210|1#2#2160|1#3#9|1#4#18|1#9#9|1#10#18|1#11#9|1#12#18|2#1#630|2#2#1080|2#3#9|2#4#18|2#9#9|2#10#18|2#11#9|2#12#18</v>
      </c>
      <c r="H10" s="22"/>
      <c r="I10" s="25">
        <v>2000</v>
      </c>
      <c r="J10" s="197">
        <v>9</v>
      </c>
      <c r="K10" s="183">
        <f t="shared" si="3"/>
        <v>1260</v>
      </c>
      <c r="L10" s="183">
        <f t="shared" si="4"/>
        <v>2160</v>
      </c>
      <c r="M10" s="183">
        <f t="shared" si="5"/>
        <v>9</v>
      </c>
      <c r="N10" s="183">
        <f t="shared" si="6"/>
        <v>18</v>
      </c>
      <c r="O10" s="183">
        <f t="shared" si="8"/>
        <v>9</v>
      </c>
      <c r="P10" s="183">
        <f t="shared" si="9"/>
        <v>18</v>
      </c>
      <c r="Q10" s="183">
        <f t="shared" si="10"/>
        <v>9</v>
      </c>
      <c r="R10" s="183">
        <f t="shared" si="11"/>
        <v>18</v>
      </c>
      <c r="S10" s="183">
        <f t="shared" si="12"/>
        <v>9</v>
      </c>
      <c r="T10" s="183">
        <f t="shared" si="13"/>
        <v>18</v>
      </c>
      <c r="U10" s="183">
        <f t="shared" si="14"/>
        <v>9</v>
      </c>
      <c r="V10" s="183">
        <f t="shared" si="15"/>
        <v>18</v>
      </c>
      <c r="W10" s="12">
        <f>K10*属性价值参考!C$5+升级!L10*属性价值参考!C$6+升级!M10*属性价值参考!C$7+升级!N10*属性价值参考!C$8+升级!S10*属性价值参考!C$9+升级!T10*属性价值参考!C$10+升级!U10*属性价值参考!C$11+升级!V10*属性价值参考!C$12</f>
        <v>10560.239999999998</v>
      </c>
    </row>
    <row r="11" spans="1:24" x14ac:dyDescent="0.3">
      <c r="A11" s="22"/>
      <c r="B11" s="22"/>
      <c r="C11" s="27">
        <v>10</v>
      </c>
      <c r="D11" s="27" t="str">
        <f t="shared" si="0"/>
        <v>0#1#1400|0#2#48|0#3#10|0#4#20|0#9#10|0#10#20|0#11#10|0#12#20</v>
      </c>
      <c r="E11" s="27" t="str">
        <f t="shared" si="1"/>
        <v>1#1#233|1#2#2400|1#3#10|1#4#20|1#9#10|1#10#20|1#11#10|1#12#20</v>
      </c>
      <c r="F11" s="27" t="str">
        <f t="shared" si="2"/>
        <v>2#1#700|2#2#1200|2#3#10|2#4#20|2#9#10|2#10#20|2#11#10|2#12#20</v>
      </c>
      <c r="G11" s="27" t="str">
        <f t="shared" si="7"/>
        <v>0#1#1400|0#2#48|0#3#10|0#4#20|0#9#10|0#10#20|0#11#10|0#12#20|1#1#233|1#2#2400|1#3#10|1#4#20|1#9#10|1#10#20|1#11#10|1#12#20|2#1#700|2#2#1200|2#3#10|2#4#20|2#9#10|2#10#20|2#11#10|2#12#20</v>
      </c>
      <c r="H11" s="22"/>
      <c r="I11" s="28">
        <v>2000</v>
      </c>
      <c r="J11" s="198">
        <v>10</v>
      </c>
      <c r="K11" s="183">
        <f t="shared" si="3"/>
        <v>1400</v>
      </c>
      <c r="L11" s="183">
        <f t="shared" si="4"/>
        <v>2400</v>
      </c>
      <c r="M11" s="183">
        <f t="shared" si="5"/>
        <v>10</v>
      </c>
      <c r="N11" s="183">
        <f t="shared" si="6"/>
        <v>20</v>
      </c>
      <c r="O11" s="183">
        <f t="shared" si="8"/>
        <v>10</v>
      </c>
      <c r="P11" s="183">
        <f t="shared" si="9"/>
        <v>20</v>
      </c>
      <c r="Q11" s="183">
        <f t="shared" si="10"/>
        <v>10</v>
      </c>
      <c r="R11" s="183">
        <f t="shared" si="11"/>
        <v>20</v>
      </c>
      <c r="S11" s="183">
        <f t="shared" si="12"/>
        <v>10</v>
      </c>
      <c r="T11" s="183">
        <f t="shared" si="13"/>
        <v>20</v>
      </c>
      <c r="U11" s="183">
        <f t="shared" si="14"/>
        <v>10</v>
      </c>
      <c r="V11" s="183">
        <f t="shared" si="15"/>
        <v>20</v>
      </c>
      <c r="W11" s="12">
        <f>K11*属性价值参考!C$5+升级!L11*属性价值参考!C$6+升级!M11*属性价值参考!C$7+升级!N11*属性价值参考!C$8+升级!S11*属性价值参考!C$9+升级!T11*属性价值参考!C$10+升级!U11*属性价值参考!C$11+升级!V11*属性价值参考!C$12</f>
        <v>11733.6</v>
      </c>
    </row>
    <row r="12" spans="1:24" x14ac:dyDescent="0.3">
      <c r="A12" s="22"/>
      <c r="B12" s="22"/>
      <c r="C12" s="24">
        <v>11</v>
      </c>
      <c r="D12" s="27" t="str">
        <f t="shared" si="0"/>
        <v>0#1#1540|0#2#52|0#3#11|0#4#22|0#9#11|0#10#22|0#11#11|0#12#22</v>
      </c>
      <c r="E12" s="27" t="str">
        <f t="shared" si="1"/>
        <v>1#1#256|1#2#2640|1#3#11|1#4#22|1#9#11|1#10#22|1#11#11|1#12#22</v>
      </c>
      <c r="F12" s="27" t="str">
        <f t="shared" si="2"/>
        <v>2#1#770|2#2#1320|2#3#11|2#4#22|2#9#11|2#10#22|2#11#11|2#12#22</v>
      </c>
      <c r="G12" s="27" t="str">
        <f t="shared" si="7"/>
        <v>0#1#1540|0#2#52|0#3#11|0#4#22|0#9#11|0#10#22|0#11#11|0#12#22|1#1#256|1#2#2640|1#3#11|1#4#22|1#9#11|1#10#22|1#11#11|1#12#22|2#1#770|2#2#1320|2#3#11|2#4#22|2#9#11|2#10#22|2#11#11|2#12#22</v>
      </c>
      <c r="H12" s="22"/>
      <c r="I12" s="25">
        <v>2000</v>
      </c>
      <c r="J12" s="197">
        <v>11</v>
      </c>
      <c r="K12" s="183">
        <f t="shared" si="3"/>
        <v>1540</v>
      </c>
      <c r="L12" s="183">
        <f t="shared" si="4"/>
        <v>2640</v>
      </c>
      <c r="M12" s="183">
        <f t="shared" si="5"/>
        <v>11</v>
      </c>
      <c r="N12" s="183">
        <f t="shared" si="6"/>
        <v>22</v>
      </c>
      <c r="O12" s="183">
        <f t="shared" si="8"/>
        <v>11</v>
      </c>
      <c r="P12" s="183">
        <f t="shared" si="9"/>
        <v>22</v>
      </c>
      <c r="Q12" s="183">
        <f t="shared" si="10"/>
        <v>11</v>
      </c>
      <c r="R12" s="183">
        <f t="shared" si="11"/>
        <v>22</v>
      </c>
      <c r="S12" s="183">
        <f t="shared" si="12"/>
        <v>11</v>
      </c>
      <c r="T12" s="183">
        <f t="shared" si="13"/>
        <v>22</v>
      </c>
      <c r="U12" s="183">
        <f t="shared" si="14"/>
        <v>11</v>
      </c>
      <c r="V12" s="183">
        <f t="shared" si="15"/>
        <v>22</v>
      </c>
      <c r="W12" s="12">
        <f>K12*属性价值参考!C$5+升级!L12*属性价值参考!C$6+升级!M12*属性价值参考!C$7+升级!N12*属性价值参考!C$8+升级!S12*属性价值参考!C$9+升级!T12*属性价值参考!C$10+升级!U12*属性价值参考!C$11+升级!V12*属性价值参考!C$12</f>
        <v>12906.960000000001</v>
      </c>
    </row>
    <row r="13" spans="1:24" x14ac:dyDescent="0.3">
      <c r="A13" s="22"/>
      <c r="B13" s="22"/>
      <c r="C13" s="27">
        <v>12</v>
      </c>
      <c r="D13" s="27" t="str">
        <f t="shared" si="0"/>
        <v>0#1#1680|0#2#57|0#3#12|0#4#24|0#9#12|0#10#24|0#11#12|0#12#24</v>
      </c>
      <c r="E13" s="27" t="str">
        <f t="shared" si="1"/>
        <v>1#1#280|1#2#2880|1#3#12|1#4#24|1#9#12|1#10#24|1#11#12|1#12#24</v>
      </c>
      <c r="F13" s="27" t="str">
        <f t="shared" si="2"/>
        <v>2#1#840|2#2#1440|2#3#12|2#4#24|2#9#12|2#10#24|2#11#12|2#12#24</v>
      </c>
      <c r="G13" s="27" t="str">
        <f t="shared" si="7"/>
        <v>0#1#1680|0#2#57|0#3#12|0#4#24|0#9#12|0#10#24|0#11#12|0#12#24|1#1#280|1#2#2880|1#3#12|1#4#24|1#9#12|1#10#24|1#11#12|1#12#24|2#1#840|2#2#1440|2#3#12|2#4#24|2#9#12|2#10#24|2#11#12|2#12#24</v>
      </c>
      <c r="H13" s="22"/>
      <c r="I13" s="28">
        <v>2000</v>
      </c>
      <c r="J13" s="198">
        <v>12</v>
      </c>
      <c r="K13" s="183">
        <f t="shared" si="3"/>
        <v>1680</v>
      </c>
      <c r="L13" s="183">
        <f t="shared" si="4"/>
        <v>2880</v>
      </c>
      <c r="M13" s="183">
        <f t="shared" si="5"/>
        <v>12</v>
      </c>
      <c r="N13" s="183">
        <f t="shared" si="6"/>
        <v>24</v>
      </c>
      <c r="O13" s="183">
        <f t="shared" si="8"/>
        <v>12</v>
      </c>
      <c r="P13" s="183">
        <f t="shared" si="9"/>
        <v>24</v>
      </c>
      <c r="Q13" s="183">
        <f t="shared" si="10"/>
        <v>12</v>
      </c>
      <c r="R13" s="183">
        <f t="shared" si="11"/>
        <v>24</v>
      </c>
      <c r="S13" s="183">
        <f t="shared" si="12"/>
        <v>12</v>
      </c>
      <c r="T13" s="183">
        <f t="shared" si="13"/>
        <v>24</v>
      </c>
      <c r="U13" s="183">
        <f t="shared" si="14"/>
        <v>12</v>
      </c>
      <c r="V13" s="183">
        <f t="shared" si="15"/>
        <v>24</v>
      </c>
      <c r="W13" s="12">
        <f>K13*属性价值参考!C$5+升级!L13*属性价值参考!C$6+升级!M13*属性价值参考!C$7+升级!N13*属性价值参考!C$8+升级!S13*属性价值参考!C$9+升级!T13*属性价值参考!C$10+升级!U13*属性价值参考!C$11+升级!V13*属性价值参考!C$12</f>
        <v>14080.319999999996</v>
      </c>
    </row>
    <row r="14" spans="1:24" x14ac:dyDescent="0.3">
      <c r="A14" s="22"/>
      <c r="B14" s="22"/>
      <c r="C14" s="24">
        <v>13</v>
      </c>
      <c r="D14" s="27" t="str">
        <f t="shared" si="0"/>
        <v>0#1#1820|0#2#62|0#3#13|0#4#26|0#9#13|0#10#26|0#11#13|0#12#26</v>
      </c>
      <c r="E14" s="27" t="str">
        <f t="shared" si="1"/>
        <v>1#1#303|1#2#3120|1#3#13|1#4#26|1#9#13|1#10#26|1#11#13|1#12#26</v>
      </c>
      <c r="F14" s="27" t="str">
        <f t="shared" si="2"/>
        <v>2#1#910|2#2#1560|2#3#13|2#4#26|2#9#13|2#10#26|2#11#13|2#12#26</v>
      </c>
      <c r="G14" s="27" t="str">
        <f t="shared" si="7"/>
        <v>0#1#1820|0#2#62|0#3#13|0#4#26|0#9#13|0#10#26|0#11#13|0#12#26|1#1#303|1#2#3120|1#3#13|1#4#26|1#9#13|1#10#26|1#11#13|1#12#26|2#1#910|2#2#1560|2#3#13|2#4#26|2#9#13|2#10#26|2#11#13|2#12#26</v>
      </c>
      <c r="H14" s="22"/>
      <c r="I14" s="25">
        <v>2000</v>
      </c>
      <c r="J14" s="197">
        <v>13</v>
      </c>
      <c r="K14" s="183">
        <f t="shared" si="3"/>
        <v>1820</v>
      </c>
      <c r="L14" s="183">
        <f t="shared" si="4"/>
        <v>3120</v>
      </c>
      <c r="M14" s="183">
        <f t="shared" si="5"/>
        <v>13</v>
      </c>
      <c r="N14" s="183">
        <f t="shared" si="6"/>
        <v>26</v>
      </c>
      <c r="O14" s="183">
        <f t="shared" si="8"/>
        <v>13</v>
      </c>
      <c r="P14" s="183">
        <f t="shared" si="9"/>
        <v>26</v>
      </c>
      <c r="Q14" s="183">
        <f t="shared" si="10"/>
        <v>13</v>
      </c>
      <c r="R14" s="183">
        <f t="shared" si="11"/>
        <v>26</v>
      </c>
      <c r="S14" s="183">
        <f t="shared" si="12"/>
        <v>13</v>
      </c>
      <c r="T14" s="183">
        <f t="shared" si="13"/>
        <v>26</v>
      </c>
      <c r="U14" s="183">
        <f t="shared" si="14"/>
        <v>13</v>
      </c>
      <c r="V14" s="183">
        <f t="shared" si="15"/>
        <v>26</v>
      </c>
      <c r="W14" s="12">
        <f>K14*属性价值参考!C$5+升级!L14*属性价值参考!C$6+升级!M14*属性价值参考!C$7+升级!N14*属性价值参考!C$8+升级!S14*属性价值参考!C$9+升级!T14*属性价值参考!C$10+升级!U14*属性价值参考!C$11+升级!V14*属性价值参考!C$12</f>
        <v>15253.680000000004</v>
      </c>
    </row>
    <row r="15" spans="1:24" x14ac:dyDescent="0.3">
      <c r="A15" s="22"/>
      <c r="B15" s="22"/>
      <c r="C15" s="27">
        <v>14</v>
      </c>
      <c r="D15" s="27" t="str">
        <f t="shared" si="0"/>
        <v>0#1#1960|0#2#67|0#3#14|0#4#28|0#9#14|0#10#28|0#11#14|0#12#28</v>
      </c>
      <c r="E15" s="27" t="str">
        <f t="shared" si="1"/>
        <v>1#1#326|1#2#3360|1#3#14|1#4#28|1#9#14|1#10#28|1#11#14|1#12#28</v>
      </c>
      <c r="F15" s="27" t="str">
        <f t="shared" si="2"/>
        <v>2#1#980|2#2#1680|2#3#14|2#4#28|2#9#14|2#10#28|2#11#14|2#12#28</v>
      </c>
      <c r="G15" s="27" t="str">
        <f t="shared" si="7"/>
        <v>0#1#1960|0#2#67|0#3#14|0#4#28|0#9#14|0#10#28|0#11#14|0#12#28|1#1#326|1#2#3360|1#3#14|1#4#28|1#9#14|1#10#28|1#11#14|1#12#28|2#1#980|2#2#1680|2#3#14|2#4#28|2#9#14|2#10#28|2#11#14|2#12#28</v>
      </c>
      <c r="H15" s="22"/>
      <c r="I15" s="28">
        <v>2000</v>
      </c>
      <c r="J15" s="198">
        <v>14</v>
      </c>
      <c r="K15" s="183">
        <f t="shared" si="3"/>
        <v>1960</v>
      </c>
      <c r="L15" s="183">
        <f t="shared" si="4"/>
        <v>3360</v>
      </c>
      <c r="M15" s="183">
        <f t="shared" si="5"/>
        <v>14</v>
      </c>
      <c r="N15" s="183">
        <f t="shared" si="6"/>
        <v>28</v>
      </c>
      <c r="O15" s="183">
        <f t="shared" si="8"/>
        <v>14</v>
      </c>
      <c r="P15" s="183">
        <f t="shared" si="9"/>
        <v>28</v>
      </c>
      <c r="Q15" s="183">
        <f t="shared" si="10"/>
        <v>14</v>
      </c>
      <c r="R15" s="183">
        <f t="shared" si="11"/>
        <v>28</v>
      </c>
      <c r="S15" s="183">
        <f t="shared" si="12"/>
        <v>14</v>
      </c>
      <c r="T15" s="183">
        <f t="shared" si="13"/>
        <v>28</v>
      </c>
      <c r="U15" s="183">
        <f t="shared" si="14"/>
        <v>14</v>
      </c>
      <c r="V15" s="183">
        <f t="shared" si="15"/>
        <v>28</v>
      </c>
      <c r="W15" s="12">
        <f>K15*属性价值参考!C$5+升级!L15*属性价值参考!C$6+升级!M15*属性价值参考!C$7+升级!N15*属性价值参考!C$8+升级!S15*属性价值参考!C$9+升级!T15*属性价值参考!C$10+升级!U15*属性价值参考!C$11+升级!V15*属性价值参考!C$12</f>
        <v>16427.04</v>
      </c>
    </row>
    <row r="16" spans="1:24" x14ac:dyDescent="0.3">
      <c r="A16" s="22"/>
      <c r="B16" s="22"/>
      <c r="C16" s="24">
        <v>15</v>
      </c>
      <c r="D16" s="27" t="str">
        <f t="shared" si="0"/>
        <v>0#1#2100|0#2#72|0#3#15|0#4#30|0#9#15|0#10#30|0#11#15|0#12#30</v>
      </c>
      <c r="E16" s="27" t="str">
        <f t="shared" si="1"/>
        <v>1#1#350|1#2#3600|1#3#15|1#4#30|1#9#15|1#10#30|1#11#15|1#12#30</v>
      </c>
      <c r="F16" s="27" t="str">
        <f t="shared" si="2"/>
        <v>2#1#1050|2#2#1800|2#3#15|2#4#30|2#9#15|2#10#30|2#11#15|2#12#30</v>
      </c>
      <c r="G16" s="27" t="str">
        <f t="shared" si="7"/>
        <v>0#1#2100|0#2#72|0#3#15|0#4#30|0#9#15|0#10#30|0#11#15|0#12#30|1#1#350|1#2#3600|1#3#15|1#4#30|1#9#15|1#10#30|1#11#15|1#12#30|2#1#1050|2#2#1800|2#3#15|2#4#30|2#9#15|2#10#30|2#11#15|2#12#30</v>
      </c>
      <c r="H16" s="22"/>
      <c r="I16" s="25">
        <v>2000</v>
      </c>
      <c r="J16" s="197">
        <v>15</v>
      </c>
      <c r="K16" s="183">
        <f t="shared" si="3"/>
        <v>2100</v>
      </c>
      <c r="L16" s="183">
        <f t="shared" si="4"/>
        <v>3600</v>
      </c>
      <c r="M16" s="183">
        <f t="shared" si="5"/>
        <v>15</v>
      </c>
      <c r="N16" s="183">
        <f t="shared" si="6"/>
        <v>30</v>
      </c>
      <c r="O16" s="183">
        <f t="shared" si="8"/>
        <v>15</v>
      </c>
      <c r="P16" s="183">
        <f t="shared" si="9"/>
        <v>30</v>
      </c>
      <c r="Q16" s="183">
        <f t="shared" si="10"/>
        <v>15</v>
      </c>
      <c r="R16" s="183">
        <f t="shared" si="11"/>
        <v>30</v>
      </c>
      <c r="S16" s="183">
        <f t="shared" si="12"/>
        <v>15</v>
      </c>
      <c r="T16" s="183">
        <f t="shared" si="13"/>
        <v>30</v>
      </c>
      <c r="U16" s="183">
        <f t="shared" si="14"/>
        <v>15</v>
      </c>
      <c r="V16" s="183">
        <f t="shared" si="15"/>
        <v>30</v>
      </c>
      <c r="W16" s="12">
        <f>K16*属性价值参考!C$5+升级!L16*属性价值参考!C$6+升级!M16*属性价值参考!C$7+升级!N16*属性价值参考!C$8+升级!S16*属性价值参考!C$9+升级!T16*属性价值参考!C$10+升级!U16*属性价值参考!C$11+升级!V16*属性价值参考!C$12</f>
        <v>17600.400000000001</v>
      </c>
    </row>
    <row r="17" spans="1:23" x14ac:dyDescent="0.3">
      <c r="A17" s="22"/>
      <c r="B17" s="22"/>
      <c r="C17" s="27">
        <v>16</v>
      </c>
      <c r="D17" s="27" t="str">
        <f t="shared" si="0"/>
        <v>0#1#2240|0#2#76|0#3#16|0#4#32|0#9#16|0#10#32|0#11#16|0#12#32</v>
      </c>
      <c r="E17" s="27" t="str">
        <f t="shared" si="1"/>
        <v>1#1#373|1#2#3840|1#3#16|1#4#32|1#9#16|1#10#32|1#11#16|1#12#32</v>
      </c>
      <c r="F17" s="27" t="str">
        <f t="shared" si="2"/>
        <v>2#1#1120|2#2#1920|2#3#16|2#4#32|2#9#16|2#10#32|2#11#16|2#12#32</v>
      </c>
      <c r="G17" s="27" t="str">
        <f t="shared" si="7"/>
        <v>0#1#2240|0#2#76|0#3#16|0#4#32|0#9#16|0#10#32|0#11#16|0#12#32|1#1#373|1#2#3840|1#3#16|1#4#32|1#9#16|1#10#32|1#11#16|1#12#32|2#1#1120|2#2#1920|2#3#16|2#4#32|2#9#16|2#10#32|2#11#16|2#12#32</v>
      </c>
      <c r="H17" s="22"/>
      <c r="I17" s="28">
        <v>2000</v>
      </c>
      <c r="J17" s="198">
        <v>16</v>
      </c>
      <c r="K17" s="183">
        <f t="shared" si="3"/>
        <v>2240</v>
      </c>
      <c r="L17" s="183">
        <f t="shared" si="4"/>
        <v>3840</v>
      </c>
      <c r="M17" s="183">
        <f t="shared" si="5"/>
        <v>16</v>
      </c>
      <c r="N17" s="183">
        <f t="shared" si="6"/>
        <v>32</v>
      </c>
      <c r="O17" s="183">
        <f t="shared" si="8"/>
        <v>16</v>
      </c>
      <c r="P17" s="183">
        <f t="shared" si="9"/>
        <v>32</v>
      </c>
      <c r="Q17" s="183">
        <f t="shared" si="10"/>
        <v>16</v>
      </c>
      <c r="R17" s="183">
        <f t="shared" si="11"/>
        <v>32</v>
      </c>
      <c r="S17" s="183">
        <f t="shared" si="12"/>
        <v>16</v>
      </c>
      <c r="T17" s="183">
        <f t="shared" si="13"/>
        <v>32</v>
      </c>
      <c r="U17" s="183">
        <f t="shared" si="14"/>
        <v>16</v>
      </c>
      <c r="V17" s="183">
        <f t="shared" si="15"/>
        <v>32</v>
      </c>
      <c r="W17" s="12">
        <f>K17*属性价值参考!C$5+升级!L17*属性价值参考!C$6+升级!M17*属性价值参考!C$7+升级!N17*属性价值参考!C$8+升级!S17*属性价值参考!C$9+升级!T17*属性价值参考!C$10+升级!U17*属性价值参考!C$11+升级!V17*属性价值参考!C$12</f>
        <v>18773.760000000006</v>
      </c>
    </row>
    <row r="18" spans="1:23" x14ac:dyDescent="0.3">
      <c r="A18" s="22"/>
      <c r="B18" s="22"/>
      <c r="C18" s="24">
        <v>17</v>
      </c>
      <c r="D18" s="27" t="str">
        <f t="shared" si="0"/>
        <v>0#1#2380|0#2#81|0#3#17|0#4#34|0#9#17|0#10#34|0#11#17|0#12#34</v>
      </c>
      <c r="E18" s="27" t="str">
        <f t="shared" si="1"/>
        <v>1#1#396|1#2#4080|1#3#17|1#4#34|1#9#17|1#10#34|1#11#17|1#12#34</v>
      </c>
      <c r="F18" s="27" t="str">
        <f t="shared" si="2"/>
        <v>2#1#1190|2#2#2040|2#3#17|2#4#34|2#9#17|2#10#34|2#11#17|2#12#34</v>
      </c>
      <c r="G18" s="27" t="str">
        <f t="shared" si="7"/>
        <v>0#1#2380|0#2#81|0#3#17|0#4#34|0#9#17|0#10#34|0#11#17|0#12#34|1#1#396|1#2#4080|1#3#17|1#4#34|1#9#17|1#10#34|1#11#17|1#12#34|2#1#1190|2#2#2040|2#3#17|2#4#34|2#9#17|2#10#34|2#11#17|2#12#34</v>
      </c>
      <c r="H18" s="22"/>
      <c r="I18" s="25">
        <v>2000</v>
      </c>
      <c r="J18" s="197">
        <v>17</v>
      </c>
      <c r="K18" s="183">
        <f t="shared" si="3"/>
        <v>2380</v>
      </c>
      <c r="L18" s="183">
        <f t="shared" si="4"/>
        <v>4080</v>
      </c>
      <c r="M18" s="183">
        <f t="shared" si="5"/>
        <v>17</v>
      </c>
      <c r="N18" s="183">
        <f t="shared" si="6"/>
        <v>34</v>
      </c>
      <c r="O18" s="183">
        <f t="shared" si="8"/>
        <v>17</v>
      </c>
      <c r="P18" s="183">
        <f t="shared" si="9"/>
        <v>34</v>
      </c>
      <c r="Q18" s="183">
        <f t="shared" si="10"/>
        <v>17</v>
      </c>
      <c r="R18" s="183">
        <f t="shared" si="11"/>
        <v>34</v>
      </c>
      <c r="S18" s="183">
        <f t="shared" si="12"/>
        <v>17</v>
      </c>
      <c r="T18" s="183">
        <f t="shared" si="13"/>
        <v>34</v>
      </c>
      <c r="U18" s="183">
        <f t="shared" si="14"/>
        <v>17</v>
      </c>
      <c r="V18" s="183">
        <f t="shared" si="15"/>
        <v>34</v>
      </c>
      <c r="W18" s="12">
        <f>K18*属性价值参考!C$5+升级!L18*属性价值参考!C$6+升级!M18*属性价值参考!C$7+升级!N18*属性价值参考!C$8+升级!S18*属性价值参考!C$9+升级!T18*属性价值参考!C$10+升级!U18*属性价值参考!C$11+升级!V18*属性价值参考!C$12</f>
        <v>19947.120000000003</v>
      </c>
    </row>
    <row r="19" spans="1:23" x14ac:dyDescent="0.3">
      <c r="A19" s="22"/>
      <c r="B19" s="22"/>
      <c r="C19" s="27">
        <v>18</v>
      </c>
      <c r="D19" s="27" t="str">
        <f t="shared" si="0"/>
        <v>0#1#2520|0#2#86|0#3#18|0#4#36|0#9#18|0#10#36|0#11#18|0#12#36</v>
      </c>
      <c r="E19" s="27" t="str">
        <f t="shared" si="1"/>
        <v>1#1#420|1#2#4320|1#3#18|1#4#36|1#9#18|1#10#36|1#11#18|1#12#36</v>
      </c>
      <c r="F19" s="27" t="str">
        <f t="shared" si="2"/>
        <v>2#1#1260|2#2#2160|2#3#18|2#4#36|2#9#18|2#10#36|2#11#18|2#12#36</v>
      </c>
      <c r="G19" s="27" t="str">
        <f t="shared" si="7"/>
        <v>0#1#2520|0#2#86|0#3#18|0#4#36|0#9#18|0#10#36|0#11#18|0#12#36|1#1#420|1#2#4320|1#3#18|1#4#36|1#9#18|1#10#36|1#11#18|1#12#36|2#1#1260|2#2#2160|2#3#18|2#4#36|2#9#18|2#10#36|2#11#18|2#12#36</v>
      </c>
      <c r="H19" s="22"/>
      <c r="I19" s="28">
        <v>2000</v>
      </c>
      <c r="J19" s="198">
        <v>18</v>
      </c>
      <c r="K19" s="183">
        <f t="shared" si="3"/>
        <v>2520</v>
      </c>
      <c r="L19" s="183">
        <f t="shared" si="4"/>
        <v>4320</v>
      </c>
      <c r="M19" s="183">
        <f t="shared" si="5"/>
        <v>18</v>
      </c>
      <c r="N19" s="183">
        <f t="shared" si="6"/>
        <v>36</v>
      </c>
      <c r="O19" s="183">
        <f t="shared" si="8"/>
        <v>18</v>
      </c>
      <c r="P19" s="183">
        <f t="shared" si="9"/>
        <v>36</v>
      </c>
      <c r="Q19" s="183">
        <f t="shared" si="10"/>
        <v>18</v>
      </c>
      <c r="R19" s="183">
        <f t="shared" si="11"/>
        <v>36</v>
      </c>
      <c r="S19" s="183">
        <f t="shared" si="12"/>
        <v>18</v>
      </c>
      <c r="T19" s="183">
        <f t="shared" si="13"/>
        <v>36</v>
      </c>
      <c r="U19" s="183">
        <f t="shared" si="14"/>
        <v>18</v>
      </c>
      <c r="V19" s="183">
        <f t="shared" si="15"/>
        <v>36</v>
      </c>
      <c r="W19" s="12">
        <f>K19*属性价值参考!C$5+升级!L19*属性价值参考!C$6+升级!M19*属性价值参考!C$7+升级!N19*属性价值参考!C$8+升级!S19*属性价值参考!C$9+升级!T19*属性价值参考!C$10+升级!U19*属性价值参考!C$11+升级!V19*属性价值参考!C$12</f>
        <v>21120.479999999996</v>
      </c>
    </row>
    <row r="20" spans="1:23" x14ac:dyDescent="0.3">
      <c r="A20" s="22"/>
      <c r="B20" s="22"/>
      <c r="C20" s="24">
        <v>19</v>
      </c>
      <c r="D20" s="27" t="str">
        <f t="shared" si="0"/>
        <v>0#1#2660|0#2#91|0#3#19|0#4#38|0#9#19|0#10#38|0#11#19|0#12#38</v>
      </c>
      <c r="E20" s="27" t="str">
        <f t="shared" si="1"/>
        <v>1#1#443|1#2#4560|1#3#19|1#4#38|1#9#19|1#10#38|1#11#19|1#12#38</v>
      </c>
      <c r="F20" s="27" t="str">
        <f t="shared" si="2"/>
        <v>2#1#1330|2#2#2280|2#3#19|2#4#38|2#9#19|2#10#38|2#11#19|2#12#38</v>
      </c>
      <c r="G20" s="27" t="str">
        <f t="shared" si="7"/>
        <v>0#1#2660|0#2#91|0#3#19|0#4#38|0#9#19|0#10#38|0#11#19|0#12#38|1#1#443|1#2#4560|1#3#19|1#4#38|1#9#19|1#10#38|1#11#19|1#12#38|2#1#1330|2#2#2280|2#3#19|2#4#38|2#9#19|2#10#38|2#11#19|2#12#38</v>
      </c>
      <c r="H20" s="22"/>
      <c r="I20" s="25">
        <v>2000</v>
      </c>
      <c r="J20" s="197">
        <v>19</v>
      </c>
      <c r="K20" s="183">
        <f t="shared" si="3"/>
        <v>2660</v>
      </c>
      <c r="L20" s="183">
        <f t="shared" si="4"/>
        <v>4560</v>
      </c>
      <c r="M20" s="183">
        <f t="shared" si="5"/>
        <v>19</v>
      </c>
      <c r="N20" s="183">
        <f t="shared" si="6"/>
        <v>38</v>
      </c>
      <c r="O20" s="183">
        <f t="shared" si="8"/>
        <v>19</v>
      </c>
      <c r="P20" s="183">
        <f t="shared" si="9"/>
        <v>38</v>
      </c>
      <c r="Q20" s="183">
        <f t="shared" si="10"/>
        <v>19</v>
      </c>
      <c r="R20" s="183">
        <f t="shared" si="11"/>
        <v>38</v>
      </c>
      <c r="S20" s="183">
        <f t="shared" si="12"/>
        <v>19</v>
      </c>
      <c r="T20" s="183">
        <f t="shared" si="13"/>
        <v>38</v>
      </c>
      <c r="U20" s="183">
        <f t="shared" si="14"/>
        <v>19</v>
      </c>
      <c r="V20" s="183">
        <f t="shared" si="15"/>
        <v>38</v>
      </c>
      <c r="W20" s="12">
        <f>K20*属性价值参考!C$5+升级!L20*属性价值参考!C$6+升级!M20*属性价值参考!C$7+升级!N20*属性价值参考!C$8+升级!S20*属性价值参考!C$9+升级!T20*属性价值参考!C$10+升级!U20*属性价值参考!C$11+升级!V20*属性价值参考!C$12</f>
        <v>22293.839999999993</v>
      </c>
    </row>
    <row r="21" spans="1:23" x14ac:dyDescent="0.3">
      <c r="A21" s="22"/>
      <c r="B21" s="22"/>
      <c r="C21" s="27">
        <v>20</v>
      </c>
      <c r="D21" s="27" t="str">
        <f t="shared" si="0"/>
        <v>0#1#2800|0#2#96|0#3#20|0#4#40|0#9#20|0#10#40|0#11#20|0#12#40</v>
      </c>
      <c r="E21" s="27" t="str">
        <f t="shared" si="1"/>
        <v>1#1#466|1#2#4800|1#3#20|1#4#40|1#9#20|1#10#40|1#11#20|1#12#40</v>
      </c>
      <c r="F21" s="27" t="str">
        <f t="shared" si="2"/>
        <v>2#1#1400|2#2#2400|2#3#20|2#4#40|2#9#20|2#10#40|2#11#20|2#12#40</v>
      </c>
      <c r="G21" s="27" t="str">
        <f t="shared" si="7"/>
        <v>0#1#2800|0#2#96|0#3#20|0#4#40|0#9#20|0#10#40|0#11#20|0#12#40|1#1#466|1#2#4800|1#3#20|1#4#40|1#9#20|1#10#40|1#11#20|1#12#40|2#1#1400|2#2#2400|2#3#20|2#4#40|2#9#20|2#10#40|2#11#20|2#12#40</v>
      </c>
      <c r="H21" s="22"/>
      <c r="I21" s="28">
        <v>2000</v>
      </c>
      <c r="J21" s="198">
        <v>20</v>
      </c>
      <c r="K21" s="183">
        <f t="shared" si="3"/>
        <v>2800</v>
      </c>
      <c r="L21" s="183">
        <f t="shared" si="4"/>
        <v>4800</v>
      </c>
      <c r="M21" s="183">
        <f t="shared" si="5"/>
        <v>20</v>
      </c>
      <c r="N21" s="183">
        <f t="shared" si="6"/>
        <v>40</v>
      </c>
      <c r="O21" s="183">
        <f t="shared" si="8"/>
        <v>20</v>
      </c>
      <c r="P21" s="183">
        <f t="shared" si="9"/>
        <v>40</v>
      </c>
      <c r="Q21" s="183">
        <f t="shared" si="10"/>
        <v>20</v>
      </c>
      <c r="R21" s="183">
        <f t="shared" si="11"/>
        <v>40</v>
      </c>
      <c r="S21" s="183">
        <f t="shared" si="12"/>
        <v>20</v>
      </c>
      <c r="T21" s="183">
        <f t="shared" si="13"/>
        <v>40</v>
      </c>
      <c r="U21" s="183">
        <f t="shared" si="14"/>
        <v>20</v>
      </c>
      <c r="V21" s="183">
        <f t="shared" si="15"/>
        <v>40</v>
      </c>
      <c r="W21" s="12">
        <f>K21*属性价值参考!C$5+升级!L21*属性价值参考!C$6+升级!M21*属性价值参考!C$7+升级!N21*属性价值参考!C$8+升级!S21*属性价值参考!C$9+升级!T21*属性价值参考!C$10+升级!U21*属性价值参考!C$11+升级!V21*属性价值参考!C$12</f>
        <v>23467.200000000001</v>
      </c>
    </row>
    <row r="22" spans="1:23" x14ac:dyDescent="0.3">
      <c r="A22" s="22"/>
      <c r="B22" s="22"/>
      <c r="C22" s="24">
        <v>21</v>
      </c>
      <c r="D22" s="27" t="str">
        <f t="shared" si="0"/>
        <v>0#1#2940|0#2#100|0#3#21|0#4#42|0#9#21|0#10#42|0#11#21|0#12#42</v>
      </c>
      <c r="E22" s="27" t="str">
        <f t="shared" si="1"/>
        <v>1#1#490|1#2#5040|1#3#21|1#4#42|1#9#21|1#10#42|1#11#21|1#12#42</v>
      </c>
      <c r="F22" s="27" t="str">
        <f t="shared" si="2"/>
        <v>2#1#1470|2#2#2520|2#3#21|2#4#42|2#9#21|2#10#42|2#11#21|2#12#42</v>
      </c>
      <c r="G22" s="27" t="str">
        <f t="shared" si="7"/>
        <v>0#1#2940|0#2#100|0#3#21|0#4#42|0#9#21|0#10#42|0#11#21|0#12#42|1#1#490|1#2#5040|1#3#21|1#4#42|1#9#21|1#10#42|1#11#21|1#12#42|2#1#1470|2#2#2520|2#3#21|2#4#42|2#9#21|2#10#42|2#11#21|2#12#42</v>
      </c>
      <c r="H22" s="22"/>
      <c r="I22" s="25">
        <v>2000</v>
      </c>
      <c r="J22" s="197">
        <v>21</v>
      </c>
      <c r="K22" s="183">
        <f t="shared" si="3"/>
        <v>2940</v>
      </c>
      <c r="L22" s="183">
        <f t="shared" si="4"/>
        <v>5040</v>
      </c>
      <c r="M22" s="183">
        <f t="shared" si="5"/>
        <v>21</v>
      </c>
      <c r="N22" s="183">
        <f t="shared" si="6"/>
        <v>42</v>
      </c>
      <c r="O22" s="183">
        <f t="shared" si="8"/>
        <v>21</v>
      </c>
      <c r="P22" s="183">
        <f t="shared" si="9"/>
        <v>42</v>
      </c>
      <c r="Q22" s="183">
        <f t="shared" si="10"/>
        <v>21</v>
      </c>
      <c r="R22" s="183">
        <f t="shared" si="11"/>
        <v>42</v>
      </c>
      <c r="S22" s="183">
        <f t="shared" si="12"/>
        <v>21</v>
      </c>
      <c r="T22" s="183">
        <f t="shared" si="13"/>
        <v>42</v>
      </c>
      <c r="U22" s="183">
        <f t="shared" si="14"/>
        <v>21</v>
      </c>
      <c r="V22" s="183">
        <f t="shared" si="15"/>
        <v>42</v>
      </c>
      <c r="W22" s="12">
        <f>K22*属性价值参考!C$5+升级!L22*属性价值参考!C$6+升级!M22*属性价值参考!C$7+升级!N22*属性价值参考!C$8+升级!S22*属性价值参考!C$9+升级!T22*属性价值参考!C$10+升级!U22*属性价值参考!C$11+升级!V22*属性价值参考!C$12</f>
        <v>24640.560000000005</v>
      </c>
    </row>
    <row r="23" spans="1:23" x14ac:dyDescent="0.3">
      <c r="A23" s="22"/>
      <c r="B23" s="22"/>
      <c r="C23" s="27">
        <v>22</v>
      </c>
      <c r="D23" s="27" t="str">
        <f t="shared" si="0"/>
        <v>0#1#3080|0#2#105|0#3#22|0#4#44|0#9#22|0#10#44|0#11#22|0#12#44</v>
      </c>
      <c r="E23" s="27" t="str">
        <f t="shared" si="1"/>
        <v>1#1#513|1#2#5280|1#3#22|1#4#44|1#9#22|1#10#44|1#11#22|1#12#44</v>
      </c>
      <c r="F23" s="27" t="str">
        <f t="shared" si="2"/>
        <v>2#1#1540|2#2#2640|2#3#22|2#4#44|2#9#22|2#10#44|2#11#22|2#12#44</v>
      </c>
      <c r="G23" s="27" t="str">
        <f t="shared" si="7"/>
        <v>0#1#3080|0#2#105|0#3#22|0#4#44|0#9#22|0#10#44|0#11#22|0#12#44|1#1#513|1#2#5280|1#3#22|1#4#44|1#9#22|1#10#44|1#11#22|1#12#44|2#1#1540|2#2#2640|2#3#22|2#4#44|2#9#22|2#10#44|2#11#22|2#12#44</v>
      </c>
      <c r="H23" s="22"/>
      <c r="I23" s="28">
        <v>2000</v>
      </c>
      <c r="J23" s="198">
        <v>22</v>
      </c>
      <c r="K23" s="183">
        <f t="shared" si="3"/>
        <v>3080</v>
      </c>
      <c r="L23" s="183">
        <f t="shared" si="4"/>
        <v>5280</v>
      </c>
      <c r="M23" s="183">
        <f t="shared" si="5"/>
        <v>22</v>
      </c>
      <c r="N23" s="183">
        <f t="shared" si="6"/>
        <v>44</v>
      </c>
      <c r="O23" s="183">
        <f t="shared" si="8"/>
        <v>22</v>
      </c>
      <c r="P23" s="183">
        <f t="shared" si="9"/>
        <v>44</v>
      </c>
      <c r="Q23" s="183">
        <f t="shared" si="10"/>
        <v>22</v>
      </c>
      <c r="R23" s="183">
        <f t="shared" si="11"/>
        <v>44</v>
      </c>
      <c r="S23" s="183">
        <f t="shared" si="12"/>
        <v>22</v>
      </c>
      <c r="T23" s="183">
        <f t="shared" si="13"/>
        <v>44</v>
      </c>
      <c r="U23" s="183">
        <f t="shared" si="14"/>
        <v>22</v>
      </c>
      <c r="V23" s="183">
        <f t="shared" si="15"/>
        <v>44</v>
      </c>
      <c r="W23" s="12">
        <f>K23*属性价值参考!C$5+升级!L23*属性价值参考!C$6+升级!M23*属性价值参考!C$7+升级!N23*属性价值参考!C$8+升级!S23*属性价值参考!C$9+升级!T23*属性价值参考!C$10+升级!U23*属性价值参考!C$11+升级!V23*属性价值参考!C$12</f>
        <v>25813.920000000002</v>
      </c>
    </row>
    <row r="24" spans="1:23" x14ac:dyDescent="0.3">
      <c r="A24" s="22"/>
      <c r="B24" s="22"/>
      <c r="C24" s="24">
        <v>23</v>
      </c>
      <c r="D24" s="27" t="str">
        <f t="shared" si="0"/>
        <v>0#1#3220|0#2#110|0#3#23|0#4#46|0#9#23|0#10#46|0#11#23|0#12#46</v>
      </c>
      <c r="E24" s="27" t="str">
        <f t="shared" si="1"/>
        <v>1#1#536|1#2#5520|1#3#23|1#4#46|1#9#23|1#10#46|1#11#23|1#12#46</v>
      </c>
      <c r="F24" s="27" t="str">
        <f t="shared" si="2"/>
        <v>2#1#1610|2#2#2760|2#3#23|2#4#46|2#9#23|2#10#46|2#11#23|2#12#46</v>
      </c>
      <c r="G24" s="27" t="str">
        <f t="shared" si="7"/>
        <v>0#1#3220|0#2#110|0#3#23|0#4#46|0#9#23|0#10#46|0#11#23|0#12#46|1#1#536|1#2#5520|1#3#23|1#4#46|1#9#23|1#10#46|1#11#23|1#12#46|2#1#1610|2#2#2760|2#3#23|2#4#46|2#9#23|2#10#46|2#11#23|2#12#46</v>
      </c>
      <c r="H24" s="22"/>
      <c r="I24" s="25">
        <v>2000</v>
      </c>
      <c r="J24" s="197">
        <v>23</v>
      </c>
      <c r="K24" s="183">
        <f t="shared" si="3"/>
        <v>3220</v>
      </c>
      <c r="L24" s="183">
        <f t="shared" si="4"/>
        <v>5520</v>
      </c>
      <c r="M24" s="183">
        <f t="shared" si="5"/>
        <v>23</v>
      </c>
      <c r="N24" s="183">
        <f t="shared" si="6"/>
        <v>46</v>
      </c>
      <c r="O24" s="183">
        <f t="shared" si="8"/>
        <v>23</v>
      </c>
      <c r="P24" s="183">
        <f t="shared" si="9"/>
        <v>46</v>
      </c>
      <c r="Q24" s="183">
        <f t="shared" si="10"/>
        <v>23</v>
      </c>
      <c r="R24" s="183">
        <f t="shared" si="11"/>
        <v>46</v>
      </c>
      <c r="S24" s="183">
        <f t="shared" si="12"/>
        <v>23</v>
      </c>
      <c r="T24" s="183">
        <f t="shared" si="13"/>
        <v>46</v>
      </c>
      <c r="U24" s="183">
        <f t="shared" si="14"/>
        <v>23</v>
      </c>
      <c r="V24" s="183">
        <f t="shared" si="15"/>
        <v>46</v>
      </c>
      <c r="W24" s="12">
        <f>K24*属性价值参考!C$5+升级!L24*属性价值参考!C$6+升级!M24*属性价值参考!C$7+升级!N24*属性价值参考!C$8+升级!S24*属性价值参考!C$9+升级!T24*属性价值参考!C$10+升级!U24*属性价值参考!C$11+升级!V24*属性价值参考!C$12</f>
        <v>26987.279999999995</v>
      </c>
    </row>
    <row r="25" spans="1:23" x14ac:dyDescent="0.3">
      <c r="A25" s="22"/>
      <c r="B25" s="22"/>
      <c r="C25" s="27">
        <v>24</v>
      </c>
      <c r="D25" s="27" t="str">
        <f t="shared" si="0"/>
        <v>0#1#3360|0#2#115|0#3#24|0#4#48|0#9#24|0#10#48|0#11#24|0#12#48</v>
      </c>
      <c r="E25" s="27" t="str">
        <f t="shared" si="1"/>
        <v>1#1#560|1#2#5760|1#3#24|1#4#48|1#9#24|1#10#48|1#11#24|1#12#48</v>
      </c>
      <c r="F25" s="27" t="str">
        <f t="shared" si="2"/>
        <v>2#1#1680|2#2#2880|2#3#24|2#4#48|2#9#24|2#10#48|2#11#24|2#12#48</v>
      </c>
      <c r="G25" s="27" t="str">
        <f t="shared" si="7"/>
        <v>0#1#3360|0#2#115|0#3#24|0#4#48|0#9#24|0#10#48|0#11#24|0#12#48|1#1#560|1#2#5760|1#3#24|1#4#48|1#9#24|1#10#48|1#11#24|1#12#48|2#1#1680|2#2#2880|2#3#24|2#4#48|2#9#24|2#10#48|2#11#24|2#12#48</v>
      </c>
      <c r="H25" s="22"/>
      <c r="I25" s="28">
        <v>2000</v>
      </c>
      <c r="J25" s="198">
        <v>24</v>
      </c>
      <c r="K25" s="183">
        <f t="shared" si="3"/>
        <v>3360</v>
      </c>
      <c r="L25" s="183">
        <f t="shared" si="4"/>
        <v>5760</v>
      </c>
      <c r="M25" s="183">
        <f t="shared" si="5"/>
        <v>24</v>
      </c>
      <c r="N25" s="183">
        <f t="shared" si="6"/>
        <v>48</v>
      </c>
      <c r="O25" s="183">
        <f t="shared" si="8"/>
        <v>24</v>
      </c>
      <c r="P25" s="183">
        <f t="shared" si="9"/>
        <v>48</v>
      </c>
      <c r="Q25" s="183">
        <f t="shared" si="10"/>
        <v>24</v>
      </c>
      <c r="R25" s="183">
        <f t="shared" si="11"/>
        <v>48</v>
      </c>
      <c r="S25" s="183">
        <f t="shared" si="12"/>
        <v>24</v>
      </c>
      <c r="T25" s="183">
        <f t="shared" si="13"/>
        <v>48</v>
      </c>
      <c r="U25" s="183">
        <f t="shared" si="14"/>
        <v>24</v>
      </c>
      <c r="V25" s="183">
        <f t="shared" si="15"/>
        <v>48</v>
      </c>
      <c r="W25" s="12">
        <f>K25*属性价值参考!C$5+升级!L25*属性价值参考!C$6+升级!M25*属性价值参考!C$7+升级!N25*属性价值参考!C$8+升级!S25*属性价值参考!C$9+升级!T25*属性价值参考!C$10+升级!U25*属性价值参考!C$11+升级!V25*属性价值参考!C$12</f>
        <v>28160.639999999992</v>
      </c>
    </row>
    <row r="26" spans="1:23" x14ac:dyDescent="0.3">
      <c r="A26" s="22"/>
      <c r="B26" s="22"/>
      <c r="C26" s="24">
        <v>25</v>
      </c>
      <c r="D26" s="27" t="str">
        <f t="shared" si="0"/>
        <v>0#1#3500|0#2#120|0#3#25|0#4#50|0#9#25|0#10#50|0#11#25|0#12#50</v>
      </c>
      <c r="E26" s="27" t="str">
        <f t="shared" si="1"/>
        <v>1#1#583|1#2#6000|1#3#25|1#4#50|1#9#25|1#10#50|1#11#25|1#12#50</v>
      </c>
      <c r="F26" s="27" t="str">
        <f t="shared" si="2"/>
        <v>2#1#1750|2#2#3000|2#3#25|2#4#50|2#9#25|2#10#50|2#11#25|2#12#50</v>
      </c>
      <c r="G26" s="27" t="str">
        <f t="shared" si="7"/>
        <v>0#1#3500|0#2#120|0#3#25|0#4#50|0#9#25|0#10#50|0#11#25|0#12#50|1#1#583|1#2#6000|1#3#25|1#4#50|1#9#25|1#10#50|1#11#25|1#12#50|2#1#1750|2#2#3000|2#3#25|2#4#50|2#9#25|2#10#50|2#11#25|2#12#50</v>
      </c>
      <c r="H26" s="22"/>
      <c r="I26" s="25">
        <v>2000</v>
      </c>
      <c r="J26" s="197">
        <v>25</v>
      </c>
      <c r="K26" s="183">
        <f t="shared" si="3"/>
        <v>3500</v>
      </c>
      <c r="L26" s="183">
        <f t="shared" si="4"/>
        <v>6000</v>
      </c>
      <c r="M26" s="183">
        <f t="shared" si="5"/>
        <v>25</v>
      </c>
      <c r="N26" s="183">
        <f t="shared" si="6"/>
        <v>50</v>
      </c>
      <c r="O26" s="183">
        <f t="shared" si="8"/>
        <v>25</v>
      </c>
      <c r="P26" s="183">
        <f t="shared" si="9"/>
        <v>50</v>
      </c>
      <c r="Q26" s="183">
        <f t="shared" si="10"/>
        <v>25</v>
      </c>
      <c r="R26" s="183">
        <f t="shared" si="11"/>
        <v>50</v>
      </c>
      <c r="S26" s="183">
        <f t="shared" si="12"/>
        <v>25</v>
      </c>
      <c r="T26" s="183">
        <f t="shared" si="13"/>
        <v>50</v>
      </c>
      <c r="U26" s="183">
        <f t="shared" si="14"/>
        <v>25</v>
      </c>
      <c r="V26" s="183">
        <f t="shared" si="15"/>
        <v>50</v>
      </c>
      <c r="W26" s="12">
        <f>K26*属性价值参考!C$5+升级!L26*属性价值参考!C$6+升级!M26*属性价值参考!C$7+升级!N26*属性价值参考!C$8+升级!S26*属性价值参考!C$9+升级!T26*属性价值参考!C$10+升级!U26*属性价值参考!C$11+升级!V26*属性价值参考!C$12</f>
        <v>29333.999999999996</v>
      </c>
    </row>
    <row r="27" spans="1:23" x14ac:dyDescent="0.3">
      <c r="A27" s="22"/>
      <c r="B27" s="22"/>
      <c r="C27" s="27">
        <v>26</v>
      </c>
      <c r="D27" s="27" t="str">
        <f t="shared" si="0"/>
        <v>0#1#3640|0#2#124|0#3#26|0#4#52|0#9#26|0#10#52|0#11#26|0#12#52</v>
      </c>
      <c r="E27" s="27" t="str">
        <f t="shared" si="1"/>
        <v>1#1#606|1#2#6240|1#3#26|1#4#52|1#9#26|1#10#52|1#11#26|1#12#52</v>
      </c>
      <c r="F27" s="27" t="str">
        <f t="shared" si="2"/>
        <v>2#1#1820|2#2#3120|2#3#26|2#4#52|2#9#26|2#10#52|2#11#26|2#12#52</v>
      </c>
      <c r="G27" s="27" t="str">
        <f t="shared" si="7"/>
        <v>0#1#3640|0#2#124|0#3#26|0#4#52|0#9#26|0#10#52|0#11#26|0#12#52|1#1#606|1#2#6240|1#3#26|1#4#52|1#9#26|1#10#52|1#11#26|1#12#52|2#1#1820|2#2#3120|2#3#26|2#4#52|2#9#26|2#10#52|2#11#26|2#12#52</v>
      </c>
      <c r="H27" s="22"/>
      <c r="I27" s="28">
        <v>2000</v>
      </c>
      <c r="J27" s="198">
        <v>26</v>
      </c>
      <c r="K27" s="183">
        <f t="shared" si="3"/>
        <v>3640</v>
      </c>
      <c r="L27" s="183">
        <f t="shared" si="4"/>
        <v>6240</v>
      </c>
      <c r="M27" s="183">
        <f t="shared" si="5"/>
        <v>26</v>
      </c>
      <c r="N27" s="183">
        <f t="shared" si="6"/>
        <v>52</v>
      </c>
      <c r="O27" s="183">
        <f t="shared" si="8"/>
        <v>26</v>
      </c>
      <c r="P27" s="183">
        <f t="shared" si="9"/>
        <v>52</v>
      </c>
      <c r="Q27" s="183">
        <f t="shared" si="10"/>
        <v>26</v>
      </c>
      <c r="R27" s="183">
        <f t="shared" si="11"/>
        <v>52</v>
      </c>
      <c r="S27" s="183">
        <f t="shared" si="12"/>
        <v>26</v>
      </c>
      <c r="T27" s="183">
        <f t="shared" si="13"/>
        <v>52</v>
      </c>
      <c r="U27" s="183">
        <f t="shared" si="14"/>
        <v>26</v>
      </c>
      <c r="V27" s="183">
        <f t="shared" si="15"/>
        <v>52</v>
      </c>
      <c r="W27" s="12">
        <f>K27*属性价值参考!C$5+升级!L27*属性价值参考!C$6+升级!M27*属性价值参考!C$7+升级!N27*属性价值参考!C$8+升级!S27*属性价值参考!C$9+升级!T27*属性价值参考!C$10+升级!U27*属性价值参考!C$11+升级!V27*属性价值参考!C$12</f>
        <v>30507.360000000008</v>
      </c>
    </row>
    <row r="28" spans="1:23" x14ac:dyDescent="0.3">
      <c r="A28" s="22"/>
      <c r="B28" s="22"/>
      <c r="C28" s="24">
        <v>27</v>
      </c>
      <c r="D28" s="27" t="str">
        <f t="shared" si="0"/>
        <v>0#1#3780|0#2#129|0#3#27|0#4#54|0#9#27|0#10#54|0#11#27|0#12#54</v>
      </c>
      <c r="E28" s="27" t="str">
        <f t="shared" si="1"/>
        <v>1#1#630|1#2#6480|1#3#27|1#4#54|1#9#27|1#10#54|1#11#27|1#12#54</v>
      </c>
      <c r="F28" s="27" t="str">
        <f t="shared" si="2"/>
        <v>2#1#1890|2#2#3240|2#3#27|2#4#54|2#9#27|2#10#54|2#11#27|2#12#54</v>
      </c>
      <c r="G28" s="27" t="str">
        <f t="shared" si="7"/>
        <v>0#1#3780|0#2#129|0#3#27|0#4#54|0#9#27|0#10#54|0#11#27|0#12#54|1#1#630|1#2#6480|1#3#27|1#4#54|1#9#27|1#10#54|1#11#27|1#12#54|2#1#1890|2#2#3240|2#3#27|2#4#54|2#9#27|2#10#54|2#11#27|2#12#54</v>
      </c>
      <c r="H28" s="22"/>
      <c r="I28" s="25">
        <v>2000</v>
      </c>
      <c r="J28" s="197">
        <v>27</v>
      </c>
      <c r="K28" s="183">
        <f t="shared" si="3"/>
        <v>3780</v>
      </c>
      <c r="L28" s="183">
        <f t="shared" si="4"/>
        <v>6480</v>
      </c>
      <c r="M28" s="183">
        <f t="shared" si="5"/>
        <v>27</v>
      </c>
      <c r="N28" s="183">
        <f t="shared" si="6"/>
        <v>54</v>
      </c>
      <c r="O28" s="183">
        <f t="shared" si="8"/>
        <v>27</v>
      </c>
      <c r="P28" s="183">
        <f t="shared" si="9"/>
        <v>54</v>
      </c>
      <c r="Q28" s="183">
        <f t="shared" si="10"/>
        <v>27</v>
      </c>
      <c r="R28" s="183">
        <f t="shared" si="11"/>
        <v>54</v>
      </c>
      <c r="S28" s="183">
        <f t="shared" si="12"/>
        <v>27</v>
      </c>
      <c r="T28" s="183">
        <f t="shared" si="13"/>
        <v>54</v>
      </c>
      <c r="U28" s="183">
        <f t="shared" si="14"/>
        <v>27</v>
      </c>
      <c r="V28" s="183">
        <f t="shared" si="15"/>
        <v>54</v>
      </c>
      <c r="W28" s="12">
        <f>K28*属性价值参考!C$5+升级!L28*属性价值参考!C$6+升级!M28*属性价值参考!C$7+升级!N28*属性价值参考!C$8+升级!S28*属性价值参考!C$9+升级!T28*属性价值参考!C$10+升级!U28*属性价值参考!C$11+升级!V28*属性价值参考!C$12</f>
        <v>31680.719999999998</v>
      </c>
    </row>
    <row r="29" spans="1:23" x14ac:dyDescent="0.3">
      <c r="A29" s="22"/>
      <c r="B29" s="22"/>
      <c r="C29" s="27">
        <v>28</v>
      </c>
      <c r="D29" s="27" t="str">
        <f t="shared" si="0"/>
        <v>0#1#3920|0#2#134|0#3#28|0#4#56|0#9#28|0#10#56|0#11#28|0#12#56</v>
      </c>
      <c r="E29" s="27" t="str">
        <f t="shared" si="1"/>
        <v>1#1#653|1#2#6720|1#3#28|1#4#56|1#9#28|1#10#56|1#11#28|1#12#56</v>
      </c>
      <c r="F29" s="27" t="str">
        <f t="shared" si="2"/>
        <v>2#1#1960|2#2#3360|2#3#28|2#4#56|2#9#28|2#10#56|2#11#28|2#12#56</v>
      </c>
      <c r="G29" s="27" t="str">
        <f t="shared" si="7"/>
        <v>0#1#3920|0#2#134|0#3#28|0#4#56|0#9#28|0#10#56|0#11#28|0#12#56|1#1#653|1#2#6720|1#3#28|1#4#56|1#9#28|1#10#56|1#11#28|1#12#56|2#1#1960|2#2#3360|2#3#28|2#4#56|2#9#28|2#10#56|2#11#28|2#12#56</v>
      </c>
      <c r="H29" s="22"/>
      <c r="I29" s="28">
        <v>2000</v>
      </c>
      <c r="J29" s="198">
        <v>28</v>
      </c>
      <c r="K29" s="183">
        <f t="shared" si="3"/>
        <v>3920</v>
      </c>
      <c r="L29" s="183">
        <f t="shared" si="4"/>
        <v>6720</v>
      </c>
      <c r="M29" s="183">
        <f t="shared" si="5"/>
        <v>28</v>
      </c>
      <c r="N29" s="183">
        <f t="shared" si="6"/>
        <v>56</v>
      </c>
      <c r="O29" s="183">
        <f t="shared" si="8"/>
        <v>28</v>
      </c>
      <c r="P29" s="183">
        <f t="shared" si="9"/>
        <v>56</v>
      </c>
      <c r="Q29" s="183">
        <f t="shared" si="10"/>
        <v>28</v>
      </c>
      <c r="R29" s="183">
        <f t="shared" si="11"/>
        <v>56</v>
      </c>
      <c r="S29" s="183">
        <f t="shared" si="12"/>
        <v>28</v>
      </c>
      <c r="T29" s="183">
        <f t="shared" si="13"/>
        <v>56</v>
      </c>
      <c r="U29" s="183">
        <f t="shared" si="14"/>
        <v>28</v>
      </c>
      <c r="V29" s="183">
        <f t="shared" si="15"/>
        <v>56</v>
      </c>
      <c r="W29" s="12">
        <f>K29*属性价值参考!C$5+升级!L29*属性价值参考!C$6+升级!M29*属性价值参考!C$7+升级!N29*属性价值参考!C$8+升级!S29*属性价值参考!C$9+升级!T29*属性价值参考!C$10+升级!U29*属性价值参考!C$11+升级!V29*属性价值参考!C$12</f>
        <v>32854.080000000002</v>
      </c>
    </row>
    <row r="30" spans="1:23" x14ac:dyDescent="0.3">
      <c r="A30" s="22"/>
      <c r="B30" s="22"/>
      <c r="C30" s="24">
        <v>29</v>
      </c>
      <c r="D30" s="27" t="str">
        <f t="shared" si="0"/>
        <v>0#1#4060|0#2#139|0#3#29|0#4#58|0#9#29|0#10#58|0#11#29|0#12#58</v>
      </c>
      <c r="E30" s="27" t="str">
        <f t="shared" si="1"/>
        <v>1#1#676|1#2#6960|1#3#29|1#4#58|1#9#29|1#10#58|1#11#29|1#12#58</v>
      </c>
      <c r="F30" s="27" t="str">
        <f t="shared" si="2"/>
        <v>2#1#2030|2#2#3480|2#3#29|2#4#58|2#9#29|2#10#58|2#11#29|2#12#58</v>
      </c>
      <c r="G30" s="27" t="str">
        <f t="shared" si="7"/>
        <v>0#1#4060|0#2#139|0#3#29|0#4#58|0#9#29|0#10#58|0#11#29|0#12#58|1#1#676|1#2#6960|1#3#29|1#4#58|1#9#29|1#10#58|1#11#29|1#12#58|2#1#2030|2#2#3480|2#3#29|2#4#58|2#9#29|2#10#58|2#11#29|2#12#58</v>
      </c>
      <c r="H30" s="22"/>
      <c r="I30" s="25">
        <v>2000</v>
      </c>
      <c r="J30" s="197">
        <v>29</v>
      </c>
      <c r="K30" s="183">
        <f t="shared" si="3"/>
        <v>4060</v>
      </c>
      <c r="L30" s="183">
        <f t="shared" si="4"/>
        <v>6960</v>
      </c>
      <c r="M30" s="183">
        <f t="shared" si="5"/>
        <v>29</v>
      </c>
      <c r="N30" s="183">
        <f t="shared" si="6"/>
        <v>58</v>
      </c>
      <c r="O30" s="183">
        <f t="shared" si="8"/>
        <v>29</v>
      </c>
      <c r="P30" s="183">
        <f t="shared" si="9"/>
        <v>58</v>
      </c>
      <c r="Q30" s="183">
        <f t="shared" si="10"/>
        <v>29</v>
      </c>
      <c r="R30" s="183">
        <f t="shared" si="11"/>
        <v>58</v>
      </c>
      <c r="S30" s="183">
        <f t="shared" si="12"/>
        <v>29</v>
      </c>
      <c r="T30" s="183">
        <f t="shared" si="13"/>
        <v>58</v>
      </c>
      <c r="U30" s="183">
        <f t="shared" si="14"/>
        <v>29</v>
      </c>
      <c r="V30" s="183">
        <f t="shared" si="15"/>
        <v>58</v>
      </c>
      <c r="W30" s="12">
        <f>K30*属性价值参考!C$5+升级!L30*属性价值参考!C$6+升级!M30*属性价值参考!C$7+升级!N30*属性价值参考!C$8+升级!S30*属性价值参考!C$9+升级!T30*属性价值参考!C$10+升级!U30*属性价值参考!C$11+升级!V30*属性价值参考!C$12</f>
        <v>34027.440000000002</v>
      </c>
    </row>
    <row r="31" spans="1:23" x14ac:dyDescent="0.3">
      <c r="A31" s="22"/>
      <c r="B31" s="22"/>
      <c r="C31" s="27">
        <v>30</v>
      </c>
      <c r="D31" s="27" t="str">
        <f t="shared" si="0"/>
        <v>0#1#4200|0#2#144|0#3#30|0#4#60|0#9#30|0#10#60|0#11#30|0#12#60</v>
      </c>
      <c r="E31" s="27" t="str">
        <f t="shared" si="1"/>
        <v>1#1#700|1#2#7200|1#3#30|1#4#60|1#9#30|1#10#60|1#11#30|1#12#60</v>
      </c>
      <c r="F31" s="27" t="str">
        <f t="shared" si="2"/>
        <v>2#1#2100|2#2#3600|2#3#30|2#4#60|2#9#30|2#10#60|2#11#30|2#12#60</v>
      </c>
      <c r="G31" s="27" t="str">
        <f t="shared" si="7"/>
        <v>0#1#4200|0#2#144|0#3#30|0#4#60|0#9#30|0#10#60|0#11#30|0#12#60|1#1#700|1#2#7200|1#3#30|1#4#60|1#9#30|1#10#60|1#11#30|1#12#60|2#1#2100|2#2#3600|2#3#30|2#4#60|2#9#30|2#10#60|2#11#30|2#12#60</v>
      </c>
      <c r="H31" s="22"/>
      <c r="I31" s="28">
        <v>2000</v>
      </c>
      <c r="J31" s="198">
        <v>30</v>
      </c>
      <c r="K31" s="183">
        <f t="shared" si="3"/>
        <v>4200</v>
      </c>
      <c r="L31" s="183">
        <f t="shared" si="4"/>
        <v>7200</v>
      </c>
      <c r="M31" s="183">
        <f t="shared" si="5"/>
        <v>30</v>
      </c>
      <c r="N31" s="183">
        <f t="shared" si="6"/>
        <v>60</v>
      </c>
      <c r="O31" s="183">
        <f t="shared" si="8"/>
        <v>30</v>
      </c>
      <c r="P31" s="183">
        <f t="shared" si="9"/>
        <v>60</v>
      </c>
      <c r="Q31" s="183">
        <f t="shared" si="10"/>
        <v>30</v>
      </c>
      <c r="R31" s="183">
        <f t="shared" si="11"/>
        <v>60</v>
      </c>
      <c r="S31" s="183">
        <f t="shared" si="12"/>
        <v>30</v>
      </c>
      <c r="T31" s="183">
        <f t="shared" si="13"/>
        <v>60</v>
      </c>
      <c r="U31" s="183">
        <f t="shared" si="14"/>
        <v>30</v>
      </c>
      <c r="V31" s="183">
        <f t="shared" si="15"/>
        <v>60</v>
      </c>
      <c r="W31" s="12">
        <f>K31*属性价值参考!C$5+升级!L31*属性价值参考!C$6+升级!M31*属性价值参考!C$7+升级!N31*属性价值参考!C$8+升级!S31*属性价值参考!C$9+升级!T31*属性价值参考!C$10+升级!U31*属性价值参考!C$11+升级!V31*属性价值参考!C$12</f>
        <v>35200.800000000003</v>
      </c>
    </row>
    <row r="32" spans="1:23" x14ac:dyDescent="0.3">
      <c r="A32" s="22"/>
      <c r="B32" s="22"/>
      <c r="C32" s="24">
        <v>31</v>
      </c>
      <c r="D32" s="27" t="str">
        <f t="shared" si="0"/>
        <v>0#1#4340|0#2#148|0#3#31|0#4#62|0#9#31|0#10#62|0#11#31|0#12#62</v>
      </c>
      <c r="E32" s="27" t="str">
        <f t="shared" si="1"/>
        <v>1#1#723|1#2#7440|1#3#31|1#4#62|1#9#31|1#10#62|1#11#31|1#12#62</v>
      </c>
      <c r="F32" s="27" t="str">
        <f t="shared" si="2"/>
        <v>2#1#2170|2#2#3720|2#3#31|2#4#62|2#9#31|2#10#62|2#11#31|2#12#62</v>
      </c>
      <c r="G32" s="27" t="str">
        <f t="shared" si="7"/>
        <v>0#1#4340|0#2#148|0#3#31|0#4#62|0#9#31|0#10#62|0#11#31|0#12#62|1#1#723|1#2#7440|1#3#31|1#4#62|1#9#31|1#10#62|1#11#31|1#12#62|2#1#2170|2#2#3720|2#3#31|2#4#62|2#9#31|2#10#62|2#11#31|2#12#62</v>
      </c>
      <c r="H32" s="22"/>
      <c r="I32" s="25">
        <v>2000</v>
      </c>
      <c r="J32" s="197">
        <v>31</v>
      </c>
      <c r="K32" s="183">
        <f t="shared" si="3"/>
        <v>4340</v>
      </c>
      <c r="L32" s="183">
        <f t="shared" si="4"/>
        <v>7440</v>
      </c>
      <c r="M32" s="183">
        <f t="shared" si="5"/>
        <v>31</v>
      </c>
      <c r="N32" s="183">
        <f t="shared" si="6"/>
        <v>62</v>
      </c>
      <c r="O32" s="183">
        <f t="shared" si="8"/>
        <v>31</v>
      </c>
      <c r="P32" s="183">
        <f t="shared" si="9"/>
        <v>62</v>
      </c>
      <c r="Q32" s="183">
        <f t="shared" si="10"/>
        <v>31</v>
      </c>
      <c r="R32" s="183">
        <f t="shared" si="11"/>
        <v>62</v>
      </c>
      <c r="S32" s="183">
        <f t="shared" si="12"/>
        <v>31</v>
      </c>
      <c r="T32" s="183">
        <f t="shared" si="13"/>
        <v>62</v>
      </c>
      <c r="U32" s="183">
        <f t="shared" si="14"/>
        <v>31</v>
      </c>
      <c r="V32" s="183">
        <f t="shared" si="15"/>
        <v>62</v>
      </c>
      <c r="W32" s="12">
        <f>K32*属性价值参考!C$5+升级!L32*属性价值参考!C$6+升级!M32*属性价值参考!C$7+升级!N32*属性价值参考!C$8+升级!S32*属性价值参考!C$9+升级!T32*属性价值参考!C$10+升级!U32*属性价值参考!C$11+升级!V32*属性价值参考!C$12</f>
        <v>36374.159999999996</v>
      </c>
    </row>
    <row r="33" spans="1:23" x14ac:dyDescent="0.3">
      <c r="A33" s="22"/>
      <c r="B33" s="22"/>
      <c r="C33" s="27">
        <v>32</v>
      </c>
      <c r="D33" s="27" t="str">
        <f t="shared" si="0"/>
        <v>0#1#4480|0#2#153|0#3#32|0#4#64|0#9#32|0#10#64|0#11#32|0#12#64</v>
      </c>
      <c r="E33" s="27" t="str">
        <f t="shared" si="1"/>
        <v>1#1#746|1#2#7680|1#3#32|1#4#64|1#9#32|1#10#64|1#11#32|1#12#64</v>
      </c>
      <c r="F33" s="27" t="str">
        <f t="shared" si="2"/>
        <v>2#1#2240|2#2#3840|2#3#32|2#4#64|2#9#32|2#10#64|2#11#32|2#12#64</v>
      </c>
      <c r="G33" s="27" t="str">
        <f t="shared" si="7"/>
        <v>0#1#4480|0#2#153|0#3#32|0#4#64|0#9#32|0#10#64|0#11#32|0#12#64|1#1#746|1#2#7680|1#3#32|1#4#64|1#9#32|1#10#64|1#11#32|1#12#64|2#1#2240|2#2#3840|2#3#32|2#4#64|2#9#32|2#10#64|2#11#32|2#12#64</v>
      </c>
      <c r="H33" s="22"/>
      <c r="I33" s="28">
        <v>2000</v>
      </c>
      <c r="J33" s="198">
        <v>32</v>
      </c>
      <c r="K33" s="183">
        <f t="shared" si="3"/>
        <v>4480</v>
      </c>
      <c r="L33" s="183">
        <f t="shared" si="4"/>
        <v>7680</v>
      </c>
      <c r="M33" s="183">
        <f t="shared" si="5"/>
        <v>32</v>
      </c>
      <c r="N33" s="183">
        <f t="shared" si="6"/>
        <v>64</v>
      </c>
      <c r="O33" s="183">
        <f t="shared" si="8"/>
        <v>32</v>
      </c>
      <c r="P33" s="183">
        <f t="shared" si="9"/>
        <v>64</v>
      </c>
      <c r="Q33" s="183">
        <f t="shared" si="10"/>
        <v>32</v>
      </c>
      <c r="R33" s="183">
        <f t="shared" si="11"/>
        <v>64</v>
      </c>
      <c r="S33" s="183">
        <f t="shared" si="12"/>
        <v>32</v>
      </c>
      <c r="T33" s="183">
        <f t="shared" si="13"/>
        <v>64</v>
      </c>
      <c r="U33" s="183">
        <f t="shared" si="14"/>
        <v>32</v>
      </c>
      <c r="V33" s="183">
        <f t="shared" si="15"/>
        <v>64</v>
      </c>
      <c r="W33" s="12">
        <f>K33*属性价值参考!C$5+升级!L33*属性价值参考!C$6+升级!M33*属性价值参考!C$7+升级!N33*属性价值参考!C$8+升级!S33*属性价值参考!C$9+升级!T33*属性价值参考!C$10+升级!U33*属性价值参考!C$11+升级!V33*属性价值参考!C$12</f>
        <v>37547.520000000011</v>
      </c>
    </row>
    <row r="34" spans="1:23" x14ac:dyDescent="0.3">
      <c r="A34" s="22"/>
      <c r="B34" s="22"/>
      <c r="C34" s="24">
        <v>33</v>
      </c>
      <c r="D34" s="27" t="str">
        <f t="shared" si="0"/>
        <v>0#1#4620|0#2#158|0#3#33|0#4#66|0#9#33|0#10#66|0#11#33|0#12#66</v>
      </c>
      <c r="E34" s="27" t="str">
        <f t="shared" si="1"/>
        <v>1#1#770|1#2#7920|1#3#33|1#4#66|1#9#33|1#10#66|1#11#33|1#12#66</v>
      </c>
      <c r="F34" s="27" t="str">
        <f t="shared" si="2"/>
        <v>2#1#2310|2#2#3960|2#3#33|2#4#66|2#9#33|2#10#66|2#11#33|2#12#66</v>
      </c>
      <c r="G34" s="27" t="str">
        <f t="shared" si="7"/>
        <v>0#1#4620|0#2#158|0#3#33|0#4#66|0#9#33|0#10#66|0#11#33|0#12#66|1#1#770|1#2#7920|1#3#33|1#4#66|1#9#33|1#10#66|1#11#33|1#12#66|2#1#2310|2#2#3960|2#3#33|2#4#66|2#9#33|2#10#66|2#11#33|2#12#66</v>
      </c>
      <c r="H34" s="22"/>
      <c r="I34" s="25">
        <v>2000</v>
      </c>
      <c r="J34" s="197">
        <v>33</v>
      </c>
      <c r="K34" s="183">
        <f t="shared" si="3"/>
        <v>4620</v>
      </c>
      <c r="L34" s="183">
        <f t="shared" si="4"/>
        <v>7920</v>
      </c>
      <c r="M34" s="183">
        <f t="shared" si="5"/>
        <v>33</v>
      </c>
      <c r="N34" s="183">
        <f t="shared" si="6"/>
        <v>66</v>
      </c>
      <c r="O34" s="183">
        <f t="shared" si="8"/>
        <v>33</v>
      </c>
      <c r="P34" s="183">
        <f t="shared" si="9"/>
        <v>66</v>
      </c>
      <c r="Q34" s="183">
        <f t="shared" si="10"/>
        <v>33</v>
      </c>
      <c r="R34" s="183">
        <f t="shared" si="11"/>
        <v>66</v>
      </c>
      <c r="S34" s="183">
        <f t="shared" si="12"/>
        <v>33</v>
      </c>
      <c r="T34" s="183">
        <f t="shared" si="13"/>
        <v>66</v>
      </c>
      <c r="U34" s="183">
        <f t="shared" si="14"/>
        <v>33</v>
      </c>
      <c r="V34" s="183">
        <f t="shared" si="15"/>
        <v>66</v>
      </c>
      <c r="W34" s="12">
        <f>K34*属性价值参考!C$5+升级!L34*属性价值参考!C$6+升级!M34*属性价值参考!C$7+升级!N34*属性价值参考!C$8+升级!S34*属性价值参考!C$9+升级!T34*属性价值参考!C$10+升级!U34*属性价值参考!C$11+升级!V34*属性价值参考!C$12</f>
        <v>38720.879999999983</v>
      </c>
    </row>
    <row r="35" spans="1:23" x14ac:dyDescent="0.3">
      <c r="A35" s="22"/>
      <c r="B35" s="22"/>
      <c r="C35" s="27">
        <v>34</v>
      </c>
      <c r="D35" s="27" t="str">
        <f t="shared" si="0"/>
        <v>0#1#4760|0#2#163|0#3#34|0#4#68|0#9#34|0#10#68|0#11#34|0#12#68</v>
      </c>
      <c r="E35" s="27" t="str">
        <f t="shared" si="1"/>
        <v>1#1#793|1#2#8160|1#3#34|1#4#68|1#9#34|1#10#68|1#11#34|1#12#68</v>
      </c>
      <c r="F35" s="27" t="str">
        <f t="shared" si="2"/>
        <v>2#1#2380|2#2#4080|2#3#34|2#4#68|2#9#34|2#10#68|2#11#34|2#12#68</v>
      </c>
      <c r="G35" s="27" t="str">
        <f t="shared" si="7"/>
        <v>0#1#4760|0#2#163|0#3#34|0#4#68|0#9#34|0#10#68|0#11#34|0#12#68|1#1#793|1#2#8160|1#3#34|1#4#68|1#9#34|1#10#68|1#11#34|1#12#68|2#1#2380|2#2#4080|2#3#34|2#4#68|2#9#34|2#10#68|2#11#34|2#12#68</v>
      </c>
      <c r="H35" s="22"/>
      <c r="I35" s="28">
        <v>2000</v>
      </c>
      <c r="J35" s="198">
        <v>34</v>
      </c>
      <c r="K35" s="183">
        <f t="shared" si="3"/>
        <v>4760</v>
      </c>
      <c r="L35" s="183">
        <f t="shared" si="4"/>
        <v>8160</v>
      </c>
      <c r="M35" s="183">
        <f t="shared" si="5"/>
        <v>34</v>
      </c>
      <c r="N35" s="183">
        <f t="shared" si="6"/>
        <v>68</v>
      </c>
      <c r="O35" s="183">
        <f t="shared" si="8"/>
        <v>34</v>
      </c>
      <c r="P35" s="183">
        <f t="shared" si="9"/>
        <v>68</v>
      </c>
      <c r="Q35" s="183">
        <f t="shared" si="10"/>
        <v>34</v>
      </c>
      <c r="R35" s="183">
        <f t="shared" si="11"/>
        <v>68</v>
      </c>
      <c r="S35" s="183">
        <f t="shared" si="12"/>
        <v>34</v>
      </c>
      <c r="T35" s="183">
        <f t="shared" si="13"/>
        <v>68</v>
      </c>
      <c r="U35" s="183">
        <f t="shared" si="14"/>
        <v>34</v>
      </c>
      <c r="V35" s="183">
        <f t="shared" si="15"/>
        <v>68</v>
      </c>
      <c r="W35" s="12">
        <f>K35*属性价值参考!C$5+升级!L35*属性价值参考!C$6+升级!M35*属性价值参考!C$7+升级!N35*属性价值参考!C$8+升级!S35*属性价值参考!C$9+升级!T35*属性价值参考!C$10+升级!U35*属性价值参考!C$11+升级!V35*属性价值参考!C$12</f>
        <v>39894.240000000005</v>
      </c>
    </row>
    <row r="36" spans="1:23" x14ac:dyDescent="0.3">
      <c r="A36" s="22"/>
      <c r="B36" s="22"/>
      <c r="C36" s="24">
        <v>35</v>
      </c>
      <c r="D36" s="27" t="str">
        <f t="shared" si="0"/>
        <v>0#1#4900|0#2#168|0#3#35|0#4#70|0#9#35|0#10#70|0#11#35|0#12#70</v>
      </c>
      <c r="E36" s="27" t="str">
        <f t="shared" si="1"/>
        <v>1#1#816|1#2#8400|1#3#35|1#4#70|1#9#35|1#10#70|1#11#35|1#12#70</v>
      </c>
      <c r="F36" s="27" t="str">
        <f t="shared" si="2"/>
        <v>2#1#2450|2#2#4200|2#3#35|2#4#70|2#9#35|2#10#70|2#11#35|2#12#70</v>
      </c>
      <c r="G36" s="27" t="str">
        <f t="shared" si="7"/>
        <v>0#1#4900|0#2#168|0#3#35|0#4#70|0#9#35|0#10#70|0#11#35|0#12#70|1#1#816|1#2#8400|1#3#35|1#4#70|1#9#35|1#10#70|1#11#35|1#12#70|2#1#2450|2#2#4200|2#3#35|2#4#70|2#9#35|2#10#70|2#11#35|2#12#70</v>
      </c>
      <c r="H36" s="22"/>
      <c r="I36" s="25">
        <v>50000</v>
      </c>
      <c r="J36" s="197">
        <v>35</v>
      </c>
      <c r="K36" s="183">
        <f t="shared" si="3"/>
        <v>4900</v>
      </c>
      <c r="L36" s="183">
        <f t="shared" si="4"/>
        <v>8400</v>
      </c>
      <c r="M36" s="183">
        <f t="shared" si="5"/>
        <v>35</v>
      </c>
      <c r="N36" s="183">
        <f t="shared" si="6"/>
        <v>70</v>
      </c>
      <c r="O36" s="183">
        <f t="shared" si="8"/>
        <v>35</v>
      </c>
      <c r="P36" s="183">
        <f t="shared" si="9"/>
        <v>70</v>
      </c>
      <c r="Q36" s="183">
        <f t="shared" si="10"/>
        <v>35</v>
      </c>
      <c r="R36" s="183">
        <f t="shared" si="11"/>
        <v>70</v>
      </c>
      <c r="S36" s="183">
        <f t="shared" si="12"/>
        <v>35</v>
      </c>
      <c r="T36" s="183">
        <f t="shared" si="13"/>
        <v>70</v>
      </c>
      <c r="U36" s="183">
        <f t="shared" si="14"/>
        <v>35</v>
      </c>
      <c r="V36" s="183">
        <f t="shared" si="15"/>
        <v>70</v>
      </c>
      <c r="W36" s="12">
        <f>K36*属性价值参考!C$5+升级!L36*属性价值参考!C$6+升级!M36*属性价值参考!C$7+升级!N36*属性价值参考!C$8+升级!S36*属性价值参考!C$9+升级!T36*属性价值参考!C$10+升级!U36*属性价值参考!C$11+升级!V36*属性价值参考!C$12</f>
        <v>41067.599999999999</v>
      </c>
    </row>
    <row r="37" spans="1:23" x14ac:dyDescent="0.3">
      <c r="A37" s="22"/>
      <c r="B37" s="22"/>
      <c r="C37" s="27">
        <v>36</v>
      </c>
      <c r="D37" s="27" t="str">
        <f t="shared" si="0"/>
        <v>0#1#5040|0#2#172|0#3#36|0#4#72|0#9#36|0#10#72|0#11#36|0#12#72</v>
      </c>
      <c r="E37" s="27" t="str">
        <f t="shared" si="1"/>
        <v>1#1#840|1#2#8640|1#3#36|1#4#72|1#9#36|1#10#72|1#11#36|1#12#72</v>
      </c>
      <c r="F37" s="27" t="str">
        <f t="shared" si="2"/>
        <v>2#1#2520|2#2#4320|2#3#36|2#4#72|2#9#36|2#10#72|2#11#36|2#12#72</v>
      </c>
      <c r="G37" s="27" t="str">
        <f t="shared" si="7"/>
        <v>0#1#5040|0#2#172|0#3#36|0#4#72|0#9#36|0#10#72|0#11#36|0#12#72|1#1#840|1#2#8640|1#3#36|1#4#72|1#9#36|1#10#72|1#11#36|1#12#72|2#1#2520|2#2#4320|2#3#36|2#4#72|2#9#36|2#10#72|2#11#36|2#12#72</v>
      </c>
      <c r="H37" s="22"/>
      <c r="I37" s="28">
        <v>55000</v>
      </c>
      <c r="J37" s="198">
        <v>36</v>
      </c>
      <c r="K37" s="183">
        <f t="shared" si="3"/>
        <v>5040</v>
      </c>
      <c r="L37" s="183">
        <f t="shared" si="4"/>
        <v>8640</v>
      </c>
      <c r="M37" s="183">
        <f t="shared" si="5"/>
        <v>36</v>
      </c>
      <c r="N37" s="183">
        <f t="shared" si="6"/>
        <v>72</v>
      </c>
      <c r="O37" s="183">
        <f t="shared" si="8"/>
        <v>36</v>
      </c>
      <c r="P37" s="183">
        <f t="shared" si="9"/>
        <v>72</v>
      </c>
      <c r="Q37" s="183">
        <f t="shared" si="10"/>
        <v>36</v>
      </c>
      <c r="R37" s="183">
        <f t="shared" si="11"/>
        <v>72</v>
      </c>
      <c r="S37" s="183">
        <f t="shared" si="12"/>
        <v>36</v>
      </c>
      <c r="T37" s="183">
        <f t="shared" si="13"/>
        <v>72</v>
      </c>
      <c r="U37" s="183">
        <f t="shared" si="14"/>
        <v>36</v>
      </c>
      <c r="V37" s="183">
        <f t="shared" si="15"/>
        <v>72</v>
      </c>
      <c r="W37" s="12">
        <f>K37*属性价值参考!C$5+升级!L37*属性价值参考!C$6+升级!M37*属性价值参考!C$7+升级!N37*属性价值参考!C$8+升级!S37*属性价值参考!C$9+升级!T37*属性价值参考!C$10+升级!U37*属性价值参考!C$11+升级!V37*属性价值参考!C$12</f>
        <v>42240.959999999992</v>
      </c>
    </row>
    <row r="38" spans="1:23" x14ac:dyDescent="0.3">
      <c r="A38" s="22"/>
      <c r="B38" s="22"/>
      <c r="C38" s="24">
        <v>37</v>
      </c>
      <c r="D38" s="27" t="str">
        <f t="shared" si="0"/>
        <v>0#1#5180|0#2#177|0#3#37|0#4#74|0#9#37|0#10#74|0#11#37|0#12#74</v>
      </c>
      <c r="E38" s="27" t="str">
        <f t="shared" si="1"/>
        <v>1#1#863|1#2#8880|1#3#37|1#4#74|1#9#37|1#10#74|1#11#37|1#12#74</v>
      </c>
      <c r="F38" s="27" t="str">
        <f t="shared" si="2"/>
        <v>2#1#2590|2#2#4440|2#3#37|2#4#74|2#9#37|2#10#74|2#11#37|2#12#74</v>
      </c>
      <c r="G38" s="27" t="str">
        <f t="shared" si="7"/>
        <v>0#1#5180|0#2#177|0#3#37|0#4#74|0#9#37|0#10#74|0#11#37|0#12#74|1#1#863|1#2#8880|1#3#37|1#4#74|1#9#37|1#10#74|1#11#37|1#12#74|2#1#2590|2#2#4440|2#3#37|2#4#74|2#9#37|2#10#74|2#11#37|2#12#74</v>
      </c>
      <c r="H38" s="22"/>
      <c r="I38" s="25">
        <v>60000</v>
      </c>
      <c r="J38" s="197">
        <v>37</v>
      </c>
      <c r="K38" s="183">
        <f t="shared" si="3"/>
        <v>5180</v>
      </c>
      <c r="L38" s="183">
        <f t="shared" si="4"/>
        <v>8880</v>
      </c>
      <c r="M38" s="183">
        <f t="shared" si="5"/>
        <v>37</v>
      </c>
      <c r="N38" s="183">
        <f t="shared" si="6"/>
        <v>74</v>
      </c>
      <c r="O38" s="183">
        <f t="shared" si="8"/>
        <v>37</v>
      </c>
      <c r="P38" s="183">
        <f t="shared" si="9"/>
        <v>74</v>
      </c>
      <c r="Q38" s="183">
        <f t="shared" si="10"/>
        <v>37</v>
      </c>
      <c r="R38" s="183">
        <f t="shared" si="11"/>
        <v>74</v>
      </c>
      <c r="S38" s="183">
        <f t="shared" si="12"/>
        <v>37</v>
      </c>
      <c r="T38" s="183">
        <f t="shared" si="13"/>
        <v>74</v>
      </c>
      <c r="U38" s="183">
        <f t="shared" si="14"/>
        <v>37</v>
      </c>
      <c r="V38" s="183">
        <f t="shared" si="15"/>
        <v>74</v>
      </c>
      <c r="W38" s="12">
        <f>K38*属性价值参考!C$5+升级!L38*属性价值参考!C$6+升级!M38*属性价值参考!C$7+升级!N38*属性价值参考!C$8+升级!S38*属性价值参考!C$9+升级!T38*属性价值参考!C$10+升级!U38*属性价值参考!C$11+升级!V38*属性价值参考!C$12</f>
        <v>43414.320000000014</v>
      </c>
    </row>
    <row r="39" spans="1:23" x14ac:dyDescent="0.3">
      <c r="A39" s="22"/>
      <c r="B39" s="22"/>
      <c r="C39" s="27">
        <v>38</v>
      </c>
      <c r="D39" s="27" t="str">
        <f t="shared" si="0"/>
        <v>0#1#5320|0#2#182|0#3#38|0#4#76|0#9#38|0#10#76|0#11#38|0#12#76</v>
      </c>
      <c r="E39" s="27" t="str">
        <f t="shared" si="1"/>
        <v>1#1#886|1#2#9120|1#3#38|1#4#76|1#9#38|1#10#76|1#11#38|1#12#76</v>
      </c>
      <c r="F39" s="27" t="str">
        <f t="shared" si="2"/>
        <v>2#1#2660|2#2#4560|2#3#38|2#4#76|2#9#38|2#10#76|2#11#38|2#12#76</v>
      </c>
      <c r="G39" s="27" t="str">
        <f t="shared" si="7"/>
        <v>0#1#5320|0#2#182|0#3#38|0#4#76|0#9#38|0#10#76|0#11#38|0#12#76|1#1#886|1#2#9120|1#3#38|1#4#76|1#9#38|1#10#76|1#11#38|1#12#76|2#1#2660|2#2#4560|2#3#38|2#4#76|2#9#38|2#10#76|2#11#38|2#12#76</v>
      </c>
      <c r="H39" s="22"/>
      <c r="I39" s="28">
        <v>65000</v>
      </c>
      <c r="J39" s="198">
        <v>38</v>
      </c>
      <c r="K39" s="183">
        <f t="shared" si="3"/>
        <v>5320</v>
      </c>
      <c r="L39" s="183">
        <f t="shared" si="4"/>
        <v>9120</v>
      </c>
      <c r="M39" s="183">
        <f t="shared" si="5"/>
        <v>38</v>
      </c>
      <c r="N39" s="183">
        <f t="shared" si="6"/>
        <v>76</v>
      </c>
      <c r="O39" s="183">
        <f t="shared" si="8"/>
        <v>38</v>
      </c>
      <c r="P39" s="183">
        <f t="shared" si="9"/>
        <v>76</v>
      </c>
      <c r="Q39" s="183">
        <f t="shared" si="10"/>
        <v>38</v>
      </c>
      <c r="R39" s="183">
        <f t="shared" si="11"/>
        <v>76</v>
      </c>
      <c r="S39" s="183">
        <f t="shared" si="12"/>
        <v>38</v>
      </c>
      <c r="T39" s="183">
        <f t="shared" si="13"/>
        <v>76</v>
      </c>
      <c r="U39" s="183">
        <f t="shared" si="14"/>
        <v>38</v>
      </c>
      <c r="V39" s="183">
        <f t="shared" si="15"/>
        <v>76</v>
      </c>
      <c r="W39" s="12">
        <f>K39*属性价值参考!C$5+升级!L39*属性价值参考!C$6+升级!M39*属性价值参考!C$7+升级!N39*属性价值参考!C$8+升级!S39*属性价值参考!C$9+升级!T39*属性价值参考!C$10+升级!U39*属性价值参考!C$11+升级!V39*属性价值参考!C$12</f>
        <v>44587.679999999986</v>
      </c>
    </row>
    <row r="40" spans="1:23" x14ac:dyDescent="0.3">
      <c r="A40" s="22"/>
      <c r="B40" s="22"/>
      <c r="C40" s="24">
        <v>39</v>
      </c>
      <c r="D40" s="27" t="str">
        <f t="shared" si="0"/>
        <v>0#1#5460|0#2#187|0#3#39|0#4#78|0#9#39|0#10#78|0#11#39|0#12#78</v>
      </c>
      <c r="E40" s="27" t="str">
        <f t="shared" si="1"/>
        <v>1#1#910|1#2#9360|1#3#39|1#4#78|1#9#39|1#10#78|1#11#39|1#12#78</v>
      </c>
      <c r="F40" s="27" t="str">
        <f t="shared" si="2"/>
        <v>2#1#2730|2#2#4680|2#3#39|2#4#78|2#9#39|2#10#78|2#11#39|2#12#78</v>
      </c>
      <c r="G40" s="27" t="str">
        <f t="shared" si="7"/>
        <v>0#1#5460|0#2#187|0#3#39|0#4#78|0#9#39|0#10#78|0#11#39|0#12#78|1#1#910|1#2#9360|1#3#39|1#4#78|1#9#39|1#10#78|1#11#39|1#12#78|2#1#2730|2#2#4680|2#3#39|2#4#78|2#9#39|2#10#78|2#11#39|2#12#78</v>
      </c>
      <c r="H40" s="22"/>
      <c r="I40" s="25">
        <v>70000</v>
      </c>
      <c r="J40" s="197">
        <v>39</v>
      </c>
      <c r="K40" s="183">
        <f t="shared" si="3"/>
        <v>5460</v>
      </c>
      <c r="L40" s="183">
        <f t="shared" si="4"/>
        <v>9360</v>
      </c>
      <c r="M40" s="183">
        <f t="shared" si="5"/>
        <v>39</v>
      </c>
      <c r="N40" s="183">
        <f t="shared" si="6"/>
        <v>78</v>
      </c>
      <c r="O40" s="183">
        <f t="shared" si="8"/>
        <v>39</v>
      </c>
      <c r="P40" s="183">
        <f t="shared" si="9"/>
        <v>78</v>
      </c>
      <c r="Q40" s="183">
        <f t="shared" si="10"/>
        <v>39</v>
      </c>
      <c r="R40" s="183">
        <f t="shared" si="11"/>
        <v>78</v>
      </c>
      <c r="S40" s="183">
        <f t="shared" si="12"/>
        <v>39</v>
      </c>
      <c r="T40" s="183">
        <f t="shared" si="13"/>
        <v>78</v>
      </c>
      <c r="U40" s="183">
        <f t="shared" si="14"/>
        <v>39</v>
      </c>
      <c r="V40" s="183">
        <f t="shared" si="15"/>
        <v>78</v>
      </c>
      <c r="W40" s="12">
        <f>K40*属性价值参考!C$5+升级!L40*属性价值参考!C$6+升级!M40*属性价值参考!C$7+升级!N40*属性价值参考!C$8+升级!S40*属性价值参考!C$9+升级!T40*属性价值参考!C$10+升级!U40*属性价值参考!C$11+升级!V40*属性价值参考!C$12</f>
        <v>45761.04</v>
      </c>
    </row>
    <row r="41" spans="1:23" x14ac:dyDescent="0.3">
      <c r="A41" s="22"/>
      <c r="B41" s="22"/>
      <c r="C41" s="27">
        <v>40</v>
      </c>
      <c r="D41" s="27" t="str">
        <f t="shared" si="0"/>
        <v>0#1#5600|0#2#192|0#3#40|0#4#80|0#9#40|0#10#80|0#11#40|0#12#80</v>
      </c>
      <c r="E41" s="27" t="str">
        <f t="shared" si="1"/>
        <v>1#1#933|1#2#9600|1#3#40|1#4#80|1#9#40|1#10#80|1#11#40|1#12#80</v>
      </c>
      <c r="F41" s="27" t="str">
        <f t="shared" si="2"/>
        <v>2#1#2800|2#2#4800|2#3#40|2#4#80|2#9#40|2#10#80|2#11#40|2#12#80</v>
      </c>
      <c r="G41" s="27" t="str">
        <f t="shared" si="7"/>
        <v>0#1#5600|0#2#192|0#3#40|0#4#80|0#9#40|0#10#80|0#11#40|0#12#80|1#1#933|1#2#9600|1#3#40|1#4#80|1#9#40|1#10#80|1#11#40|1#12#80|2#1#2800|2#2#4800|2#3#40|2#4#80|2#9#40|2#10#80|2#11#40|2#12#80</v>
      </c>
      <c r="H41" s="22"/>
      <c r="I41" s="28">
        <v>80000</v>
      </c>
      <c r="J41" s="198">
        <v>40</v>
      </c>
      <c r="K41" s="183">
        <f t="shared" si="3"/>
        <v>5600</v>
      </c>
      <c r="L41" s="183">
        <f t="shared" si="4"/>
        <v>9600</v>
      </c>
      <c r="M41" s="183">
        <f t="shared" si="5"/>
        <v>40</v>
      </c>
      <c r="N41" s="183">
        <f t="shared" si="6"/>
        <v>80</v>
      </c>
      <c r="O41" s="183">
        <f t="shared" si="8"/>
        <v>40</v>
      </c>
      <c r="P41" s="183">
        <f t="shared" si="9"/>
        <v>80</v>
      </c>
      <c r="Q41" s="183">
        <f t="shared" si="10"/>
        <v>40</v>
      </c>
      <c r="R41" s="183">
        <f t="shared" si="11"/>
        <v>80</v>
      </c>
      <c r="S41" s="183">
        <f t="shared" si="12"/>
        <v>40</v>
      </c>
      <c r="T41" s="183">
        <f t="shared" si="13"/>
        <v>80</v>
      </c>
      <c r="U41" s="183">
        <f t="shared" si="14"/>
        <v>40</v>
      </c>
      <c r="V41" s="183">
        <f t="shared" si="15"/>
        <v>80</v>
      </c>
      <c r="W41" s="12">
        <f>K41*属性价值参考!C$5+升级!L41*属性价值参考!C$6+升级!M41*属性价值参考!C$7+升级!N41*属性价值参考!C$8+升级!S41*属性价值参考!C$9+升级!T41*属性价值参考!C$10+升级!U41*属性价值参考!C$11+升级!V41*属性价值参考!C$12</f>
        <v>46934.400000000001</v>
      </c>
    </row>
    <row r="42" spans="1:23" x14ac:dyDescent="0.3">
      <c r="A42" s="22"/>
      <c r="B42" s="22"/>
      <c r="C42" s="24">
        <v>41</v>
      </c>
      <c r="D42" s="27" t="str">
        <f t="shared" si="0"/>
        <v>0#1#5740|0#2#196|0#3#41|0#4#82|0#9#41|0#10#82|0#11#41|0#12#82</v>
      </c>
      <c r="E42" s="27" t="str">
        <f t="shared" si="1"/>
        <v>1#1#956|1#2#9840|1#3#41|1#4#82|1#9#41|1#10#82|1#11#41|1#12#82</v>
      </c>
      <c r="F42" s="27" t="str">
        <f t="shared" si="2"/>
        <v>2#1#2870|2#2#4920|2#3#41|2#4#82|2#9#41|2#10#82|2#11#41|2#12#82</v>
      </c>
      <c r="G42" s="27" t="str">
        <f t="shared" si="7"/>
        <v>0#1#5740|0#2#196|0#3#41|0#4#82|0#9#41|0#10#82|0#11#41|0#12#82|1#1#956|1#2#9840|1#3#41|1#4#82|1#9#41|1#10#82|1#11#41|1#12#82|2#1#2870|2#2#4920|2#3#41|2#4#82|2#9#41|2#10#82|2#11#41|2#12#82</v>
      </c>
      <c r="H42" s="22"/>
      <c r="I42" s="25">
        <v>90000</v>
      </c>
      <c r="J42" s="197">
        <v>41</v>
      </c>
      <c r="K42" s="183">
        <f t="shared" si="3"/>
        <v>5740</v>
      </c>
      <c r="L42" s="183">
        <f t="shared" si="4"/>
        <v>9840</v>
      </c>
      <c r="M42" s="183">
        <f t="shared" si="5"/>
        <v>41</v>
      </c>
      <c r="N42" s="183">
        <f t="shared" si="6"/>
        <v>82</v>
      </c>
      <c r="O42" s="183">
        <f t="shared" si="8"/>
        <v>41</v>
      </c>
      <c r="P42" s="183">
        <f t="shared" si="9"/>
        <v>82</v>
      </c>
      <c r="Q42" s="183">
        <f t="shared" si="10"/>
        <v>41</v>
      </c>
      <c r="R42" s="183">
        <f t="shared" si="11"/>
        <v>82</v>
      </c>
      <c r="S42" s="183">
        <f t="shared" si="12"/>
        <v>41</v>
      </c>
      <c r="T42" s="183">
        <f t="shared" si="13"/>
        <v>82</v>
      </c>
      <c r="U42" s="183">
        <f t="shared" si="14"/>
        <v>41</v>
      </c>
      <c r="V42" s="183">
        <f t="shared" si="15"/>
        <v>82</v>
      </c>
      <c r="W42" s="12">
        <f>K42*属性价值参考!C$5+升级!L42*属性价值参考!C$6+升级!M42*属性价值参考!C$7+升级!N42*属性价值参考!C$8+升级!S42*属性价值参考!C$9+升级!T42*属性价值参考!C$10+升级!U42*属性价值参考!C$11+升级!V42*属性价值参考!C$12</f>
        <v>48107.759999999987</v>
      </c>
    </row>
    <row r="43" spans="1:23" x14ac:dyDescent="0.3">
      <c r="A43" s="22"/>
      <c r="B43" s="22"/>
      <c r="C43" s="27">
        <v>42</v>
      </c>
      <c r="D43" s="27" t="str">
        <f t="shared" si="0"/>
        <v>0#1#5880|0#2#201|0#3#42|0#4#84|0#9#42|0#10#84|0#11#42|0#12#84</v>
      </c>
      <c r="E43" s="27" t="str">
        <f t="shared" si="1"/>
        <v>1#1#980|1#2#10080|1#3#42|1#4#84|1#9#42|1#10#84|1#11#42|1#12#84</v>
      </c>
      <c r="F43" s="27" t="str">
        <f t="shared" si="2"/>
        <v>2#1#2940|2#2#5040|2#3#42|2#4#84|2#9#42|2#10#84|2#11#42|2#12#84</v>
      </c>
      <c r="G43" s="27" t="str">
        <f t="shared" si="7"/>
        <v>0#1#5880|0#2#201|0#3#42|0#4#84|0#9#42|0#10#84|0#11#42|0#12#84|1#1#980|1#2#10080|1#3#42|1#4#84|1#9#42|1#10#84|1#11#42|1#12#84|2#1#2940|2#2#5040|2#3#42|2#4#84|2#9#42|2#10#84|2#11#42|2#12#84</v>
      </c>
      <c r="H43" s="22"/>
      <c r="I43" s="28">
        <v>100000</v>
      </c>
      <c r="J43" s="198">
        <v>42</v>
      </c>
      <c r="K43" s="183">
        <f t="shared" si="3"/>
        <v>5880</v>
      </c>
      <c r="L43" s="183">
        <f t="shared" si="4"/>
        <v>10080</v>
      </c>
      <c r="M43" s="183">
        <f t="shared" si="5"/>
        <v>42</v>
      </c>
      <c r="N43" s="183">
        <f t="shared" si="6"/>
        <v>84</v>
      </c>
      <c r="O43" s="183">
        <f t="shared" si="8"/>
        <v>42</v>
      </c>
      <c r="P43" s="183">
        <f t="shared" si="9"/>
        <v>84</v>
      </c>
      <c r="Q43" s="183">
        <f t="shared" si="10"/>
        <v>42</v>
      </c>
      <c r="R43" s="183">
        <f t="shared" si="11"/>
        <v>84</v>
      </c>
      <c r="S43" s="183">
        <f t="shared" si="12"/>
        <v>42</v>
      </c>
      <c r="T43" s="183">
        <f t="shared" si="13"/>
        <v>84</v>
      </c>
      <c r="U43" s="183">
        <f t="shared" si="14"/>
        <v>42</v>
      </c>
      <c r="V43" s="183">
        <f t="shared" si="15"/>
        <v>84</v>
      </c>
      <c r="W43" s="12">
        <f>K43*属性价值参考!C$5+升级!L43*属性价值参考!C$6+升级!M43*属性价值参考!C$7+升级!N43*属性价值参考!C$8+升级!S43*属性价值参考!C$9+升级!T43*属性价值参考!C$10+升级!U43*属性价值参考!C$11+升级!V43*属性价值参考!C$12</f>
        <v>49281.12000000001</v>
      </c>
    </row>
    <row r="44" spans="1:23" x14ac:dyDescent="0.3">
      <c r="A44" s="22"/>
      <c r="B44" s="22"/>
      <c r="C44" s="24">
        <v>43</v>
      </c>
      <c r="D44" s="27" t="str">
        <f t="shared" si="0"/>
        <v>0#1#6020|0#2#206|0#3#43|0#4#86|0#9#43|0#10#86|0#11#43|0#12#86</v>
      </c>
      <c r="E44" s="27" t="str">
        <f t="shared" si="1"/>
        <v>1#1#1003|1#2#10320|1#3#43|1#4#86|1#9#43|1#10#86|1#11#43|1#12#86</v>
      </c>
      <c r="F44" s="27" t="str">
        <f t="shared" si="2"/>
        <v>2#1#3010|2#2#5160|2#3#43|2#4#86|2#9#43|2#10#86|2#11#43|2#12#86</v>
      </c>
      <c r="G44" s="27" t="str">
        <f t="shared" si="7"/>
        <v>0#1#6020|0#2#206|0#3#43|0#4#86|0#9#43|0#10#86|0#11#43|0#12#86|1#1#1003|1#2#10320|1#3#43|1#4#86|1#9#43|1#10#86|1#11#43|1#12#86|2#1#3010|2#2#5160|2#3#43|2#4#86|2#9#43|2#10#86|2#11#43|2#12#86</v>
      </c>
      <c r="H44" s="22"/>
      <c r="I44" s="25">
        <v>110000</v>
      </c>
      <c r="J44" s="197">
        <v>43</v>
      </c>
      <c r="K44" s="183">
        <f t="shared" si="3"/>
        <v>6020</v>
      </c>
      <c r="L44" s="183">
        <f t="shared" si="4"/>
        <v>10320</v>
      </c>
      <c r="M44" s="183">
        <f t="shared" si="5"/>
        <v>43</v>
      </c>
      <c r="N44" s="183">
        <f t="shared" si="6"/>
        <v>86</v>
      </c>
      <c r="O44" s="183">
        <f t="shared" si="8"/>
        <v>43</v>
      </c>
      <c r="P44" s="183">
        <f t="shared" si="9"/>
        <v>86</v>
      </c>
      <c r="Q44" s="183">
        <f t="shared" si="10"/>
        <v>43</v>
      </c>
      <c r="R44" s="183">
        <f t="shared" si="11"/>
        <v>86</v>
      </c>
      <c r="S44" s="183">
        <f t="shared" si="12"/>
        <v>43</v>
      </c>
      <c r="T44" s="183">
        <f t="shared" si="13"/>
        <v>86</v>
      </c>
      <c r="U44" s="183">
        <f t="shared" si="14"/>
        <v>43</v>
      </c>
      <c r="V44" s="183">
        <f t="shared" si="15"/>
        <v>86</v>
      </c>
      <c r="W44" s="12">
        <f>K44*属性价值参考!C$5+升级!L44*属性价值参考!C$6+升级!M44*属性价值参考!C$7+升级!N44*属性价值参考!C$8+升级!S44*属性价值参考!C$9+升级!T44*属性价值参考!C$10+升级!U44*属性价值参考!C$11+升级!V44*属性价值参考!C$12</f>
        <v>50454.479999999989</v>
      </c>
    </row>
    <row r="45" spans="1:23" x14ac:dyDescent="0.3">
      <c r="A45" s="22"/>
      <c r="B45" s="22"/>
      <c r="C45" s="27">
        <v>44</v>
      </c>
      <c r="D45" s="27" t="str">
        <f t="shared" si="0"/>
        <v>0#1#6160|0#2#211|0#3#44|0#4#88|0#9#44|0#10#88|0#11#44|0#12#88</v>
      </c>
      <c r="E45" s="27" t="str">
        <f t="shared" si="1"/>
        <v>1#1#1026|1#2#10560|1#3#44|1#4#88|1#9#44|1#10#88|1#11#44|1#12#88</v>
      </c>
      <c r="F45" s="27" t="str">
        <f t="shared" si="2"/>
        <v>2#1#3080|2#2#5280|2#3#44|2#4#88|2#9#44|2#10#88|2#11#44|2#12#88</v>
      </c>
      <c r="G45" s="27" t="str">
        <f t="shared" si="7"/>
        <v>0#1#6160|0#2#211|0#3#44|0#4#88|0#9#44|0#10#88|0#11#44|0#12#88|1#1#1026|1#2#10560|1#3#44|1#4#88|1#9#44|1#10#88|1#11#44|1#12#88|2#1#3080|2#2#5280|2#3#44|2#4#88|2#9#44|2#10#88|2#11#44|2#12#88</v>
      </c>
      <c r="H45" s="22"/>
      <c r="I45" s="28">
        <v>120000</v>
      </c>
      <c r="J45" s="198">
        <v>44</v>
      </c>
      <c r="K45" s="183">
        <f t="shared" si="3"/>
        <v>6160</v>
      </c>
      <c r="L45" s="183">
        <f t="shared" si="4"/>
        <v>10560</v>
      </c>
      <c r="M45" s="183">
        <f t="shared" si="5"/>
        <v>44</v>
      </c>
      <c r="N45" s="183">
        <f t="shared" si="6"/>
        <v>88</v>
      </c>
      <c r="O45" s="183">
        <f t="shared" si="8"/>
        <v>44</v>
      </c>
      <c r="P45" s="183">
        <f t="shared" si="9"/>
        <v>88</v>
      </c>
      <c r="Q45" s="183">
        <f t="shared" si="10"/>
        <v>44</v>
      </c>
      <c r="R45" s="183">
        <f t="shared" si="11"/>
        <v>88</v>
      </c>
      <c r="S45" s="183">
        <f t="shared" si="12"/>
        <v>44</v>
      </c>
      <c r="T45" s="183">
        <f t="shared" si="13"/>
        <v>88</v>
      </c>
      <c r="U45" s="183">
        <f t="shared" si="14"/>
        <v>44</v>
      </c>
      <c r="V45" s="183">
        <f t="shared" si="15"/>
        <v>88</v>
      </c>
      <c r="W45" s="12">
        <f>K45*属性价值参考!C$5+升级!L45*属性价值参考!C$6+升级!M45*属性价值参考!C$7+升级!N45*属性价值参考!C$8+升级!S45*属性价值参考!C$9+升级!T45*属性价值参考!C$10+升级!U45*属性价值参考!C$11+升级!V45*属性价值参考!C$12</f>
        <v>51627.840000000004</v>
      </c>
    </row>
    <row r="46" spans="1:23" x14ac:dyDescent="0.3">
      <c r="A46" s="22"/>
      <c r="B46" s="22"/>
      <c r="C46" s="24">
        <v>45</v>
      </c>
      <c r="D46" s="27" t="str">
        <f t="shared" si="0"/>
        <v>0#1#6300|0#2#216|0#3#45|0#4#90|0#9#45|0#10#90|0#11#45|0#12#90</v>
      </c>
      <c r="E46" s="27" t="str">
        <f t="shared" si="1"/>
        <v>1#1#1050|1#2#10800|1#3#45|1#4#90|1#9#45|1#10#90|1#11#45|1#12#90</v>
      </c>
      <c r="F46" s="27" t="str">
        <f t="shared" si="2"/>
        <v>2#1#3150|2#2#5400|2#3#45|2#4#90|2#9#45|2#10#90|2#11#45|2#12#90</v>
      </c>
      <c r="G46" s="27" t="str">
        <f t="shared" si="7"/>
        <v>0#1#6300|0#2#216|0#3#45|0#4#90|0#9#45|0#10#90|0#11#45|0#12#90|1#1#1050|1#2#10800|1#3#45|1#4#90|1#9#45|1#10#90|1#11#45|1#12#90|2#1#3150|2#2#5400|2#3#45|2#4#90|2#9#45|2#10#90|2#11#45|2#12#90</v>
      </c>
      <c r="H46" s="22"/>
      <c r="I46" s="25">
        <v>130000</v>
      </c>
      <c r="J46" s="197">
        <v>45</v>
      </c>
      <c r="K46" s="183">
        <f t="shared" si="3"/>
        <v>6300</v>
      </c>
      <c r="L46" s="183">
        <f t="shared" si="4"/>
        <v>10800</v>
      </c>
      <c r="M46" s="183">
        <f t="shared" si="5"/>
        <v>45</v>
      </c>
      <c r="N46" s="183">
        <f t="shared" si="6"/>
        <v>90</v>
      </c>
      <c r="O46" s="183">
        <f t="shared" si="8"/>
        <v>45</v>
      </c>
      <c r="P46" s="183">
        <f t="shared" si="9"/>
        <v>90</v>
      </c>
      <c r="Q46" s="183">
        <f t="shared" si="10"/>
        <v>45</v>
      </c>
      <c r="R46" s="183">
        <f t="shared" si="11"/>
        <v>90</v>
      </c>
      <c r="S46" s="183">
        <f t="shared" si="12"/>
        <v>45</v>
      </c>
      <c r="T46" s="183">
        <f t="shared" si="13"/>
        <v>90</v>
      </c>
      <c r="U46" s="183">
        <f t="shared" si="14"/>
        <v>45</v>
      </c>
      <c r="V46" s="183">
        <f t="shared" si="15"/>
        <v>90</v>
      </c>
      <c r="W46" s="12">
        <f>K46*属性价值参考!C$5+升级!L46*属性价值参考!C$6+升级!M46*属性价值参考!C$7+升级!N46*属性价值参考!C$8+升级!S46*属性价值参考!C$9+升级!T46*属性价值参考!C$10+升级!U46*属性价值参考!C$11+升级!V46*属性价值参考!C$12</f>
        <v>52801.2</v>
      </c>
    </row>
    <row r="47" spans="1:23" x14ac:dyDescent="0.3">
      <c r="A47" s="22"/>
      <c r="B47" s="22"/>
      <c r="C47" s="27">
        <v>46</v>
      </c>
      <c r="D47" s="27" t="str">
        <f t="shared" si="0"/>
        <v>0#1#6440|0#2#220|0#3#46|0#4#92|0#9#46|0#10#92|0#11#46|0#12#92</v>
      </c>
      <c r="E47" s="27" t="str">
        <f t="shared" si="1"/>
        <v>1#1#1073|1#2#11040|1#3#46|1#4#92|1#9#46|1#10#92|1#11#46|1#12#92</v>
      </c>
      <c r="F47" s="27" t="str">
        <f t="shared" si="2"/>
        <v>2#1#3220|2#2#5520|2#3#46|2#4#92|2#9#46|2#10#92|2#11#46|2#12#92</v>
      </c>
      <c r="G47" s="27" t="str">
        <f t="shared" si="7"/>
        <v>0#1#6440|0#2#220|0#3#46|0#4#92|0#9#46|0#10#92|0#11#46|0#12#92|1#1#1073|1#2#11040|1#3#46|1#4#92|1#9#46|1#10#92|1#11#46|1#12#92|2#1#3220|2#2#5520|2#3#46|2#4#92|2#9#46|2#10#92|2#11#46|2#12#92</v>
      </c>
      <c r="H47" s="22"/>
      <c r="I47" s="28">
        <v>140000</v>
      </c>
      <c r="J47" s="198">
        <v>46</v>
      </c>
      <c r="K47" s="183">
        <f t="shared" si="3"/>
        <v>6440</v>
      </c>
      <c r="L47" s="183">
        <f t="shared" si="4"/>
        <v>11040</v>
      </c>
      <c r="M47" s="183">
        <f t="shared" si="5"/>
        <v>46</v>
      </c>
      <c r="N47" s="183">
        <f t="shared" si="6"/>
        <v>92</v>
      </c>
      <c r="O47" s="183">
        <f t="shared" si="8"/>
        <v>46</v>
      </c>
      <c r="P47" s="183">
        <f t="shared" si="9"/>
        <v>92</v>
      </c>
      <c r="Q47" s="183">
        <f t="shared" si="10"/>
        <v>46</v>
      </c>
      <c r="R47" s="183">
        <f t="shared" si="11"/>
        <v>92</v>
      </c>
      <c r="S47" s="183">
        <f t="shared" si="12"/>
        <v>46</v>
      </c>
      <c r="T47" s="183">
        <f t="shared" si="13"/>
        <v>92</v>
      </c>
      <c r="U47" s="183">
        <f t="shared" si="14"/>
        <v>46</v>
      </c>
      <c r="V47" s="183">
        <f t="shared" si="15"/>
        <v>92</v>
      </c>
      <c r="W47" s="12">
        <f>K47*属性价值参考!C$5+升级!L47*属性价值参考!C$6+升级!M47*属性价值参考!C$7+升级!N47*属性价值参考!C$8+升级!S47*属性价值参考!C$9+升级!T47*属性价值参考!C$10+升级!U47*属性价值参考!C$11+升级!V47*属性价值参考!C$12</f>
        <v>53974.55999999999</v>
      </c>
    </row>
    <row r="48" spans="1:23" x14ac:dyDescent="0.3">
      <c r="A48" s="22"/>
      <c r="B48" s="22"/>
      <c r="C48" s="24">
        <v>47</v>
      </c>
      <c r="D48" s="27" t="str">
        <f t="shared" si="0"/>
        <v>0#1#6580|0#2#225|0#3#47|0#4#94|0#9#47|0#10#94|0#11#47|0#12#94</v>
      </c>
      <c r="E48" s="27" t="str">
        <f t="shared" si="1"/>
        <v>1#1#1096|1#2#11280|1#3#47|1#4#94|1#9#47|1#10#94|1#11#47|1#12#94</v>
      </c>
      <c r="F48" s="27" t="str">
        <f t="shared" si="2"/>
        <v>2#1#3290|2#2#5640|2#3#47|2#4#94|2#9#47|2#10#94|2#11#47|2#12#94</v>
      </c>
      <c r="G48" s="27" t="str">
        <f t="shared" si="7"/>
        <v>0#1#6580|0#2#225|0#3#47|0#4#94|0#9#47|0#10#94|0#11#47|0#12#94|1#1#1096|1#2#11280|1#3#47|1#4#94|1#9#47|1#10#94|1#11#47|1#12#94|2#1#3290|2#2#5640|2#3#47|2#4#94|2#9#47|2#10#94|2#11#47|2#12#94</v>
      </c>
      <c r="H48" s="22"/>
      <c r="I48" s="25">
        <v>150000</v>
      </c>
      <c r="J48" s="197">
        <v>47</v>
      </c>
      <c r="K48" s="183">
        <f t="shared" si="3"/>
        <v>6580</v>
      </c>
      <c r="L48" s="183">
        <f t="shared" si="4"/>
        <v>11280</v>
      </c>
      <c r="M48" s="183">
        <f t="shared" si="5"/>
        <v>47</v>
      </c>
      <c r="N48" s="183">
        <f t="shared" si="6"/>
        <v>94</v>
      </c>
      <c r="O48" s="183">
        <f t="shared" si="8"/>
        <v>47</v>
      </c>
      <c r="P48" s="183">
        <f t="shared" si="9"/>
        <v>94</v>
      </c>
      <c r="Q48" s="183">
        <f t="shared" si="10"/>
        <v>47</v>
      </c>
      <c r="R48" s="183">
        <f t="shared" si="11"/>
        <v>94</v>
      </c>
      <c r="S48" s="183">
        <f t="shared" si="12"/>
        <v>47</v>
      </c>
      <c r="T48" s="183">
        <f t="shared" si="13"/>
        <v>94</v>
      </c>
      <c r="U48" s="183">
        <f t="shared" si="14"/>
        <v>47</v>
      </c>
      <c r="V48" s="183">
        <f t="shared" si="15"/>
        <v>94</v>
      </c>
      <c r="W48" s="12">
        <f>K48*属性价值参考!C$5+升级!L48*属性价值参考!C$6+升级!M48*属性价值参考!C$7+升级!N48*属性价值参考!C$8+升级!S48*属性价值参考!C$9+升级!T48*属性价值参考!C$10+升级!U48*属性价值参考!C$11+升级!V48*属性价值参考!C$12</f>
        <v>55147.920000000006</v>
      </c>
    </row>
    <row r="49" spans="1:23" x14ac:dyDescent="0.3">
      <c r="A49" s="22"/>
      <c r="B49" s="22"/>
      <c r="C49" s="27">
        <v>48</v>
      </c>
      <c r="D49" s="27" t="str">
        <f t="shared" si="0"/>
        <v>0#1#6720|0#2#230|0#3#48|0#4#96|0#9#48|0#10#96|0#11#48|0#12#96</v>
      </c>
      <c r="E49" s="27" t="str">
        <f t="shared" si="1"/>
        <v>1#1#1120|1#2#11520|1#3#48|1#4#96|1#9#48|1#10#96|1#11#48|1#12#96</v>
      </c>
      <c r="F49" s="27" t="str">
        <f t="shared" si="2"/>
        <v>2#1#3360|2#2#5760|2#3#48|2#4#96|2#9#48|2#10#96|2#11#48|2#12#96</v>
      </c>
      <c r="G49" s="27" t="str">
        <f t="shared" si="7"/>
        <v>0#1#6720|0#2#230|0#3#48|0#4#96|0#9#48|0#10#96|0#11#48|0#12#96|1#1#1120|1#2#11520|1#3#48|1#4#96|1#9#48|1#10#96|1#11#48|1#12#96|2#1#3360|2#2#5760|2#3#48|2#4#96|2#9#48|2#10#96|2#11#48|2#12#96</v>
      </c>
      <c r="H49" s="22"/>
      <c r="I49" s="28">
        <v>160000</v>
      </c>
      <c r="J49" s="198">
        <v>48</v>
      </c>
      <c r="K49" s="183">
        <f t="shared" si="3"/>
        <v>6720</v>
      </c>
      <c r="L49" s="183">
        <f t="shared" si="4"/>
        <v>11520</v>
      </c>
      <c r="M49" s="183">
        <f t="shared" si="5"/>
        <v>48</v>
      </c>
      <c r="N49" s="183">
        <f t="shared" si="6"/>
        <v>96</v>
      </c>
      <c r="O49" s="183">
        <f t="shared" si="8"/>
        <v>48</v>
      </c>
      <c r="P49" s="183">
        <f t="shared" si="9"/>
        <v>96</v>
      </c>
      <c r="Q49" s="183">
        <f t="shared" si="10"/>
        <v>48</v>
      </c>
      <c r="R49" s="183">
        <f t="shared" si="11"/>
        <v>96</v>
      </c>
      <c r="S49" s="183">
        <f t="shared" si="12"/>
        <v>48</v>
      </c>
      <c r="T49" s="183">
        <f t="shared" si="13"/>
        <v>96</v>
      </c>
      <c r="U49" s="183">
        <f t="shared" si="14"/>
        <v>48</v>
      </c>
      <c r="V49" s="183">
        <f t="shared" si="15"/>
        <v>96</v>
      </c>
      <c r="W49" s="12">
        <f>K49*属性价值参考!C$5+升级!L49*属性价值参考!C$6+升级!M49*属性价值参考!C$7+升级!N49*属性价值参考!C$8+升级!S49*属性价值参考!C$9+升级!T49*属性价值参考!C$10+升级!U49*属性价值参考!C$11+升级!V49*属性价值参考!C$12</f>
        <v>56321.279999999984</v>
      </c>
    </row>
    <row r="50" spans="1:23" x14ac:dyDescent="0.3">
      <c r="A50" s="22"/>
      <c r="B50" s="22"/>
      <c r="C50" s="24">
        <v>49</v>
      </c>
      <c r="D50" s="27" t="str">
        <f t="shared" si="0"/>
        <v>0#1#6860|0#2#235|0#3#49|0#4#98|0#9#49|0#10#98|0#11#49|0#12#98</v>
      </c>
      <c r="E50" s="27" t="str">
        <f t="shared" si="1"/>
        <v>1#1#1143|1#2#11760|1#3#49|1#4#98|1#9#49|1#10#98|1#11#49|1#12#98</v>
      </c>
      <c r="F50" s="27" t="str">
        <f t="shared" si="2"/>
        <v>2#1#3430|2#2#5880|2#3#49|2#4#98|2#9#49|2#10#98|2#11#49|2#12#98</v>
      </c>
      <c r="G50" s="27" t="str">
        <f t="shared" si="7"/>
        <v>0#1#6860|0#2#235|0#3#49|0#4#98|0#9#49|0#10#98|0#11#49|0#12#98|1#1#1143|1#2#11760|1#3#49|1#4#98|1#9#49|1#10#98|1#11#49|1#12#98|2#1#3430|2#2#5880|2#3#49|2#4#98|2#9#49|2#10#98|2#11#49|2#12#98</v>
      </c>
      <c r="H50" s="22"/>
      <c r="I50" s="25">
        <v>170000</v>
      </c>
      <c r="J50" s="197">
        <v>49</v>
      </c>
      <c r="K50" s="183">
        <f t="shared" si="3"/>
        <v>6860</v>
      </c>
      <c r="L50" s="183">
        <f t="shared" si="4"/>
        <v>11760</v>
      </c>
      <c r="M50" s="183">
        <f t="shared" si="5"/>
        <v>49</v>
      </c>
      <c r="N50" s="183">
        <f t="shared" si="6"/>
        <v>98</v>
      </c>
      <c r="O50" s="183">
        <f t="shared" si="8"/>
        <v>49</v>
      </c>
      <c r="P50" s="183">
        <f t="shared" si="9"/>
        <v>98</v>
      </c>
      <c r="Q50" s="183">
        <f t="shared" si="10"/>
        <v>49</v>
      </c>
      <c r="R50" s="183">
        <f t="shared" si="11"/>
        <v>98</v>
      </c>
      <c r="S50" s="183">
        <f t="shared" si="12"/>
        <v>49</v>
      </c>
      <c r="T50" s="183">
        <f t="shared" si="13"/>
        <v>98</v>
      </c>
      <c r="U50" s="183">
        <f t="shared" si="14"/>
        <v>49</v>
      </c>
      <c r="V50" s="183">
        <f t="shared" si="15"/>
        <v>98</v>
      </c>
      <c r="W50" s="12">
        <f>K50*属性价值参考!C$5+升级!L50*属性价值参考!C$6+升级!M50*属性价值参考!C$7+升级!N50*属性价值参考!C$8+升级!S50*属性价值参考!C$9+升级!T50*属性价值参考!C$10+升级!U50*属性价值参考!C$11+升级!V50*属性价值参考!C$12</f>
        <v>57494.640000000007</v>
      </c>
    </row>
    <row r="51" spans="1:23" x14ac:dyDescent="0.3">
      <c r="A51" s="22"/>
      <c r="B51" s="22"/>
      <c r="C51" s="27">
        <v>50</v>
      </c>
      <c r="D51" s="27" t="str">
        <f t="shared" si="0"/>
        <v>0#1#7000|0#2#240|0#3#50|0#4#100|0#9#50|0#10#100|0#11#50|0#12#100</v>
      </c>
      <c r="E51" s="27" t="str">
        <f t="shared" si="1"/>
        <v>1#1#1166|1#2#12000|1#3#50|1#4#100|1#9#50|1#10#100|1#11#50|1#12#100</v>
      </c>
      <c r="F51" s="27" t="str">
        <f t="shared" si="2"/>
        <v>2#1#3500|2#2#6000|2#3#50|2#4#100|2#9#50|2#10#100|2#11#50|2#12#100</v>
      </c>
      <c r="G51" s="27" t="str">
        <f t="shared" si="7"/>
        <v>0#1#7000|0#2#240|0#3#50|0#4#100|0#9#50|0#10#100|0#11#50|0#12#100|1#1#1166|1#2#12000|1#3#50|1#4#100|1#9#50|1#10#100|1#11#50|1#12#100|2#1#3500|2#2#6000|2#3#50|2#4#100|2#9#50|2#10#100|2#11#50|2#12#100</v>
      </c>
      <c r="H51" s="22"/>
      <c r="I51" s="28">
        <v>180000</v>
      </c>
      <c r="J51" s="198">
        <v>50</v>
      </c>
      <c r="K51" s="183">
        <f t="shared" si="3"/>
        <v>7000</v>
      </c>
      <c r="L51" s="183">
        <f t="shared" si="4"/>
        <v>12000</v>
      </c>
      <c r="M51" s="183">
        <f t="shared" si="5"/>
        <v>50</v>
      </c>
      <c r="N51" s="183">
        <f t="shared" si="6"/>
        <v>100</v>
      </c>
      <c r="O51" s="183">
        <f t="shared" si="8"/>
        <v>50</v>
      </c>
      <c r="P51" s="183">
        <f t="shared" si="9"/>
        <v>100</v>
      </c>
      <c r="Q51" s="183">
        <f t="shared" si="10"/>
        <v>50</v>
      </c>
      <c r="R51" s="183">
        <f t="shared" si="11"/>
        <v>100</v>
      </c>
      <c r="S51" s="183">
        <f t="shared" si="12"/>
        <v>50</v>
      </c>
      <c r="T51" s="183">
        <f t="shared" si="13"/>
        <v>100</v>
      </c>
      <c r="U51" s="183">
        <f t="shared" si="14"/>
        <v>50</v>
      </c>
      <c r="V51" s="183">
        <f t="shared" si="15"/>
        <v>100</v>
      </c>
      <c r="W51" s="12">
        <f>K51*属性价值参考!C$5+升级!L51*属性价值参考!C$6+升级!M51*属性价值参考!C$7+升级!N51*属性价值参考!C$8+升级!S51*属性价值参考!C$9+升级!T51*属性价值参考!C$10+升级!U51*属性价值参考!C$11+升级!V51*属性价值参考!C$12</f>
        <v>58667.999999999993</v>
      </c>
    </row>
    <row r="52" spans="1:23" x14ac:dyDescent="0.3">
      <c r="A52" s="22"/>
      <c r="B52" s="22"/>
      <c r="C52" s="24">
        <v>51</v>
      </c>
      <c r="D52" s="27" t="str">
        <f t="shared" si="0"/>
        <v>0#1#7140|0#2#244|0#3#51|0#4#102|0#9#51|0#10#102|0#11#51|0#12#102</v>
      </c>
      <c r="E52" s="27" t="str">
        <f t="shared" si="1"/>
        <v>1#1#1190|1#2#12240|1#3#51|1#4#102|1#9#51|1#10#102|1#11#51|1#12#102</v>
      </c>
      <c r="F52" s="27" t="str">
        <f t="shared" si="2"/>
        <v>2#1#3570|2#2#6120|2#3#51|2#4#102|2#9#51|2#10#102|2#11#51|2#12#102</v>
      </c>
      <c r="G52" s="27" t="str">
        <f t="shared" si="7"/>
        <v>0#1#7140|0#2#244|0#3#51|0#4#102|0#9#51|0#10#102|0#11#51|0#12#102|1#1#1190|1#2#12240|1#3#51|1#4#102|1#9#51|1#10#102|1#11#51|1#12#102|2#1#3570|2#2#6120|2#3#51|2#4#102|2#9#51|2#10#102|2#11#51|2#12#102</v>
      </c>
      <c r="H52" s="22"/>
      <c r="I52" s="25">
        <v>190000</v>
      </c>
      <c r="J52" s="197">
        <v>51</v>
      </c>
      <c r="K52" s="183">
        <f t="shared" si="3"/>
        <v>7140</v>
      </c>
      <c r="L52" s="183">
        <f t="shared" si="4"/>
        <v>12240</v>
      </c>
      <c r="M52" s="183">
        <f t="shared" si="5"/>
        <v>51</v>
      </c>
      <c r="N52" s="183">
        <f t="shared" si="6"/>
        <v>102</v>
      </c>
      <c r="O52" s="183">
        <f t="shared" si="8"/>
        <v>51</v>
      </c>
      <c r="P52" s="183">
        <f t="shared" si="9"/>
        <v>102</v>
      </c>
      <c r="Q52" s="183">
        <f t="shared" si="10"/>
        <v>51</v>
      </c>
      <c r="R52" s="183">
        <f t="shared" si="11"/>
        <v>102</v>
      </c>
      <c r="S52" s="183">
        <f t="shared" si="12"/>
        <v>51</v>
      </c>
      <c r="T52" s="183">
        <f t="shared" si="13"/>
        <v>102</v>
      </c>
      <c r="U52" s="183">
        <f t="shared" si="14"/>
        <v>51</v>
      </c>
      <c r="V52" s="183">
        <f t="shared" si="15"/>
        <v>102</v>
      </c>
      <c r="W52" s="12">
        <f>K52*属性价值参考!C$5+升级!L52*属性价值参考!C$6+升级!M52*属性价值参考!C$7+升级!N52*属性价值参考!C$8+升级!S52*属性价值参考!C$9+升级!T52*属性价值参考!C$10+升级!U52*属性价值参考!C$11+升级!V52*属性价值参考!C$12</f>
        <v>59841.359999999993</v>
      </c>
    </row>
    <row r="53" spans="1:23" x14ac:dyDescent="0.3">
      <c r="A53" s="22"/>
      <c r="B53" s="22"/>
      <c r="C53" s="27">
        <v>52</v>
      </c>
      <c r="D53" s="27" t="str">
        <f t="shared" si="0"/>
        <v>0#1#7280|0#2#249|0#3#52|0#4#104|0#9#52|0#10#104|0#11#52|0#12#104</v>
      </c>
      <c r="E53" s="27" t="str">
        <f t="shared" si="1"/>
        <v>1#1#1213|1#2#12480|1#3#52|1#4#104|1#9#52|1#10#104|1#11#52|1#12#104</v>
      </c>
      <c r="F53" s="27" t="str">
        <f t="shared" si="2"/>
        <v>2#1#3640|2#2#6240|2#3#52|2#4#104|2#9#52|2#10#104|2#11#52|2#12#104</v>
      </c>
      <c r="G53" s="27" t="str">
        <f t="shared" si="7"/>
        <v>0#1#7280|0#2#249|0#3#52|0#4#104|0#9#52|0#10#104|0#11#52|0#12#104|1#1#1213|1#2#12480|1#3#52|1#4#104|1#9#52|1#10#104|1#11#52|1#12#104|2#1#3640|2#2#6240|2#3#52|2#4#104|2#9#52|2#10#104|2#11#52|2#12#104</v>
      </c>
      <c r="H53" s="22"/>
      <c r="I53" s="28">
        <v>200000</v>
      </c>
      <c r="J53" s="198">
        <v>52</v>
      </c>
      <c r="K53" s="183">
        <f t="shared" si="3"/>
        <v>7280</v>
      </c>
      <c r="L53" s="183">
        <f t="shared" si="4"/>
        <v>12480</v>
      </c>
      <c r="M53" s="183">
        <f t="shared" si="5"/>
        <v>52</v>
      </c>
      <c r="N53" s="183">
        <f t="shared" si="6"/>
        <v>104</v>
      </c>
      <c r="O53" s="183">
        <f t="shared" si="8"/>
        <v>52</v>
      </c>
      <c r="P53" s="183">
        <f t="shared" si="9"/>
        <v>104</v>
      </c>
      <c r="Q53" s="183">
        <f t="shared" si="10"/>
        <v>52</v>
      </c>
      <c r="R53" s="183">
        <f t="shared" si="11"/>
        <v>104</v>
      </c>
      <c r="S53" s="183">
        <f t="shared" si="12"/>
        <v>52</v>
      </c>
      <c r="T53" s="183">
        <f t="shared" si="13"/>
        <v>104</v>
      </c>
      <c r="U53" s="183">
        <f t="shared" si="14"/>
        <v>52</v>
      </c>
      <c r="V53" s="183">
        <f t="shared" si="15"/>
        <v>104</v>
      </c>
      <c r="W53" s="12">
        <f>K53*属性价值参考!C$5+升级!L53*属性价值参考!C$6+升级!M53*属性价值参考!C$7+升级!N53*属性价值参考!C$8+升级!S53*属性价值参考!C$9+升级!T53*属性价值参考!C$10+升级!U53*属性价值参考!C$11+升级!V53*属性价值参考!C$12</f>
        <v>61014.720000000016</v>
      </c>
    </row>
    <row r="54" spans="1:23" x14ac:dyDescent="0.3">
      <c r="A54" s="22"/>
      <c r="B54" s="22"/>
      <c r="C54" s="24">
        <v>53</v>
      </c>
      <c r="D54" s="27" t="str">
        <f t="shared" si="0"/>
        <v>0#1#7420|0#2#254|0#3#53|0#4#106|0#9#53|0#10#106|0#11#53|0#12#106</v>
      </c>
      <c r="E54" s="27" t="str">
        <f t="shared" si="1"/>
        <v>1#1#1236|1#2#12720|1#3#53|1#4#106|1#9#53|1#10#106|1#11#53|1#12#106</v>
      </c>
      <c r="F54" s="27" t="str">
        <f t="shared" si="2"/>
        <v>2#1#3710|2#2#6360|2#3#53|2#4#106|2#9#53|2#10#106|2#11#53|2#12#106</v>
      </c>
      <c r="G54" s="27" t="str">
        <f t="shared" si="7"/>
        <v>0#1#7420|0#2#254|0#3#53|0#4#106|0#9#53|0#10#106|0#11#53|0#12#106|1#1#1236|1#2#12720|1#3#53|1#4#106|1#9#53|1#10#106|1#11#53|1#12#106|2#1#3710|2#2#6360|2#3#53|2#4#106|2#9#53|2#10#106|2#11#53|2#12#106</v>
      </c>
      <c r="H54" s="22"/>
      <c r="I54" s="25">
        <v>210000</v>
      </c>
      <c r="J54" s="197">
        <v>53</v>
      </c>
      <c r="K54" s="183">
        <f t="shared" si="3"/>
        <v>7420</v>
      </c>
      <c r="L54" s="183">
        <f t="shared" si="4"/>
        <v>12720</v>
      </c>
      <c r="M54" s="183">
        <f t="shared" si="5"/>
        <v>53</v>
      </c>
      <c r="N54" s="183">
        <f t="shared" si="6"/>
        <v>106</v>
      </c>
      <c r="O54" s="183">
        <f t="shared" si="8"/>
        <v>53</v>
      </c>
      <c r="P54" s="183">
        <f t="shared" si="9"/>
        <v>106</v>
      </c>
      <c r="Q54" s="183">
        <f t="shared" si="10"/>
        <v>53</v>
      </c>
      <c r="R54" s="183">
        <f t="shared" si="11"/>
        <v>106</v>
      </c>
      <c r="S54" s="183">
        <f t="shared" si="12"/>
        <v>53</v>
      </c>
      <c r="T54" s="183">
        <f t="shared" si="13"/>
        <v>106</v>
      </c>
      <c r="U54" s="183">
        <f t="shared" si="14"/>
        <v>53</v>
      </c>
      <c r="V54" s="183">
        <f t="shared" si="15"/>
        <v>106</v>
      </c>
      <c r="W54" s="12">
        <f>K54*属性价值参考!C$5+升级!L54*属性价值参考!C$6+升级!M54*属性价值参考!C$7+升级!N54*属性价值参考!C$8+升级!S54*属性价值参考!C$9+升级!T54*属性价值参考!C$10+升级!U54*属性价值参考!C$11+升级!V54*属性价值参考!C$12</f>
        <v>62188.079999999987</v>
      </c>
    </row>
    <row r="55" spans="1:23" x14ac:dyDescent="0.3">
      <c r="A55" s="22"/>
      <c r="B55" s="22"/>
      <c r="C55" s="27">
        <v>54</v>
      </c>
      <c r="D55" s="27" t="str">
        <f t="shared" si="0"/>
        <v>0#1#7560|0#2#259|0#3#54|0#4#108|0#9#54|0#10#108|0#11#54|0#12#108</v>
      </c>
      <c r="E55" s="27" t="str">
        <f t="shared" si="1"/>
        <v>1#1#1260|1#2#12960|1#3#54|1#4#108|1#9#54|1#10#108|1#11#54|1#12#108</v>
      </c>
      <c r="F55" s="27" t="str">
        <f t="shared" si="2"/>
        <v>2#1#3780|2#2#6480|2#3#54|2#4#108|2#9#54|2#10#108|2#11#54|2#12#108</v>
      </c>
      <c r="G55" s="27" t="str">
        <f t="shared" si="7"/>
        <v>0#1#7560|0#2#259|0#3#54|0#4#108|0#9#54|0#10#108|0#11#54|0#12#108|1#1#1260|1#2#12960|1#3#54|1#4#108|1#9#54|1#10#108|1#11#54|1#12#108|2#1#3780|2#2#6480|2#3#54|2#4#108|2#9#54|2#10#108|2#11#54|2#12#108</v>
      </c>
      <c r="H55" s="22"/>
      <c r="I55" s="28">
        <v>220000</v>
      </c>
      <c r="J55" s="198">
        <v>54</v>
      </c>
      <c r="K55" s="183">
        <f t="shared" si="3"/>
        <v>7560</v>
      </c>
      <c r="L55" s="183">
        <f t="shared" si="4"/>
        <v>12960</v>
      </c>
      <c r="M55" s="183">
        <f t="shared" si="5"/>
        <v>54</v>
      </c>
      <c r="N55" s="183">
        <f t="shared" si="6"/>
        <v>108</v>
      </c>
      <c r="O55" s="183">
        <f t="shared" si="8"/>
        <v>54</v>
      </c>
      <c r="P55" s="183">
        <f t="shared" si="9"/>
        <v>108</v>
      </c>
      <c r="Q55" s="183">
        <f t="shared" si="10"/>
        <v>54</v>
      </c>
      <c r="R55" s="183">
        <f t="shared" si="11"/>
        <v>108</v>
      </c>
      <c r="S55" s="183">
        <f t="shared" si="12"/>
        <v>54</v>
      </c>
      <c r="T55" s="183">
        <f t="shared" si="13"/>
        <v>108</v>
      </c>
      <c r="U55" s="183">
        <f t="shared" si="14"/>
        <v>54</v>
      </c>
      <c r="V55" s="183">
        <f t="shared" si="15"/>
        <v>108</v>
      </c>
      <c r="W55" s="12">
        <f>K55*属性价值参考!C$5+升级!L55*属性价值参考!C$6+升级!M55*属性价值参考!C$7+升级!N55*属性价值参考!C$8+升级!S55*属性价值参考!C$9+升级!T55*属性价值参考!C$10+升级!U55*属性价值参考!C$11+升级!V55*属性价值参考!C$12</f>
        <v>63361.439999999995</v>
      </c>
    </row>
    <row r="56" spans="1:23" x14ac:dyDescent="0.3">
      <c r="A56" s="22"/>
      <c r="B56" s="22"/>
      <c r="C56" s="24">
        <v>55</v>
      </c>
      <c r="D56" s="27" t="str">
        <f t="shared" si="0"/>
        <v>0#1#7700|0#2#264|0#3#55|0#4#110|0#9#55|0#10#110|0#11#55|0#12#110</v>
      </c>
      <c r="E56" s="27" t="str">
        <f t="shared" si="1"/>
        <v>1#1#1283|1#2#13200|1#3#55|1#4#110|1#9#55|1#10#110|1#11#55|1#12#110</v>
      </c>
      <c r="F56" s="27" t="str">
        <f t="shared" si="2"/>
        <v>2#1#3850|2#2#6600|2#3#55|2#4#110|2#9#55|2#10#110|2#11#55|2#12#110</v>
      </c>
      <c r="G56" s="27" t="str">
        <f t="shared" si="7"/>
        <v>0#1#7700|0#2#264|0#3#55|0#4#110|0#9#55|0#10#110|0#11#55|0#12#110|1#1#1283|1#2#13200|1#3#55|1#4#110|1#9#55|1#10#110|1#11#55|1#12#110|2#1#3850|2#2#6600|2#3#55|2#4#110|2#9#55|2#10#110|2#11#55|2#12#110</v>
      </c>
      <c r="H56" s="22"/>
      <c r="I56" s="25">
        <v>250000</v>
      </c>
      <c r="J56" s="197">
        <v>55</v>
      </c>
      <c r="K56" s="183">
        <f t="shared" si="3"/>
        <v>7700</v>
      </c>
      <c r="L56" s="183">
        <f t="shared" si="4"/>
        <v>13200</v>
      </c>
      <c r="M56" s="183">
        <f t="shared" si="5"/>
        <v>55</v>
      </c>
      <c r="N56" s="183">
        <f t="shared" si="6"/>
        <v>110</v>
      </c>
      <c r="O56" s="183">
        <f t="shared" si="8"/>
        <v>55</v>
      </c>
      <c r="P56" s="183">
        <f t="shared" si="9"/>
        <v>110</v>
      </c>
      <c r="Q56" s="183">
        <f t="shared" si="10"/>
        <v>55</v>
      </c>
      <c r="R56" s="183">
        <f t="shared" si="11"/>
        <v>110</v>
      </c>
      <c r="S56" s="183">
        <f t="shared" si="12"/>
        <v>55</v>
      </c>
      <c r="T56" s="183">
        <f t="shared" si="13"/>
        <v>110</v>
      </c>
      <c r="U56" s="183">
        <f t="shared" si="14"/>
        <v>55</v>
      </c>
      <c r="V56" s="183">
        <f t="shared" si="15"/>
        <v>110</v>
      </c>
      <c r="W56" s="12">
        <f>K56*属性价值参考!C$5+升级!L56*属性价值参考!C$6+升级!M56*属性价值参考!C$7+升级!N56*属性价值参考!C$8+升级!S56*属性价值参考!C$9+升级!T56*属性价值参考!C$10+升级!U56*属性价值参考!C$11+升级!V56*属性价值参考!C$12</f>
        <v>64534.8</v>
      </c>
    </row>
    <row r="57" spans="1:23" x14ac:dyDescent="0.3">
      <c r="A57" s="22"/>
      <c r="B57" s="22"/>
      <c r="C57" s="27">
        <v>56</v>
      </c>
      <c r="D57" s="27" t="str">
        <f t="shared" si="0"/>
        <v>0#1#7840|0#2#268|0#3#56|0#4#112|0#9#56|0#10#112|0#11#56|0#12#112</v>
      </c>
      <c r="E57" s="27" t="str">
        <f t="shared" si="1"/>
        <v>1#1#1306|1#2#13440|1#3#56|1#4#112|1#9#56|1#10#112|1#11#56|1#12#112</v>
      </c>
      <c r="F57" s="27" t="str">
        <f t="shared" si="2"/>
        <v>2#1#3920|2#2#6720|2#3#56|2#4#112|2#9#56|2#10#112|2#11#56|2#12#112</v>
      </c>
      <c r="G57" s="27" t="str">
        <f t="shared" si="7"/>
        <v>0#1#7840|0#2#268|0#3#56|0#4#112|0#9#56|0#10#112|0#11#56|0#12#112|1#1#1306|1#2#13440|1#3#56|1#4#112|1#9#56|1#10#112|1#11#56|1#12#112|2#1#3920|2#2#6720|2#3#56|2#4#112|2#9#56|2#10#112|2#11#56|2#12#112</v>
      </c>
      <c r="H57" s="22"/>
      <c r="I57" s="28">
        <v>280000</v>
      </c>
      <c r="J57" s="198">
        <v>56</v>
      </c>
      <c r="K57" s="183">
        <f t="shared" si="3"/>
        <v>7840</v>
      </c>
      <c r="L57" s="183">
        <f t="shared" si="4"/>
        <v>13440</v>
      </c>
      <c r="M57" s="183">
        <f t="shared" si="5"/>
        <v>56</v>
      </c>
      <c r="N57" s="183">
        <f t="shared" si="6"/>
        <v>112</v>
      </c>
      <c r="O57" s="183">
        <f t="shared" si="8"/>
        <v>56</v>
      </c>
      <c r="P57" s="183">
        <f t="shared" si="9"/>
        <v>112</v>
      </c>
      <c r="Q57" s="183">
        <f t="shared" si="10"/>
        <v>56</v>
      </c>
      <c r="R57" s="183">
        <f t="shared" si="11"/>
        <v>112</v>
      </c>
      <c r="S57" s="183">
        <f t="shared" si="12"/>
        <v>56</v>
      </c>
      <c r="T57" s="183">
        <f t="shared" si="13"/>
        <v>112</v>
      </c>
      <c r="U57" s="183">
        <f t="shared" si="14"/>
        <v>56</v>
      </c>
      <c r="V57" s="183">
        <f t="shared" si="15"/>
        <v>112</v>
      </c>
      <c r="W57" s="12">
        <f>K57*属性价值参考!C$5+升级!L57*属性价值参考!C$6+升级!M57*属性价值参考!C$7+升级!N57*属性价值参考!C$8+升级!S57*属性价值参考!C$9+升级!T57*属性价值参考!C$10+升级!U57*属性价值参考!C$11+升级!V57*属性价值参考!C$12</f>
        <v>65708.160000000003</v>
      </c>
    </row>
    <row r="58" spans="1:23" x14ac:dyDescent="0.3">
      <c r="A58" s="22"/>
      <c r="B58" s="22"/>
      <c r="C58" s="24">
        <v>57</v>
      </c>
      <c r="D58" s="27" t="str">
        <f t="shared" si="0"/>
        <v>0#1#7980|0#2#273|0#3#57|0#4#114|0#9#57|0#10#114|0#11#57|0#12#114</v>
      </c>
      <c r="E58" s="27" t="str">
        <f t="shared" si="1"/>
        <v>1#1#1330|1#2#13680|1#3#57|1#4#114|1#9#57|1#10#114|1#11#57|1#12#114</v>
      </c>
      <c r="F58" s="27" t="str">
        <f t="shared" si="2"/>
        <v>2#1#3990|2#2#6840|2#3#57|2#4#114|2#9#57|2#10#114|2#11#57|2#12#114</v>
      </c>
      <c r="G58" s="27" t="str">
        <f t="shared" si="7"/>
        <v>0#1#7980|0#2#273|0#3#57|0#4#114|0#9#57|0#10#114|0#11#57|0#12#114|1#1#1330|1#2#13680|1#3#57|1#4#114|1#9#57|1#10#114|1#11#57|1#12#114|2#1#3990|2#2#6840|2#3#57|2#4#114|2#9#57|2#10#114|2#11#57|2#12#114</v>
      </c>
      <c r="H58" s="22"/>
      <c r="I58" s="25">
        <v>310000</v>
      </c>
      <c r="J58" s="197">
        <v>57</v>
      </c>
      <c r="K58" s="183">
        <f t="shared" si="3"/>
        <v>7980</v>
      </c>
      <c r="L58" s="183">
        <f t="shared" si="4"/>
        <v>13680</v>
      </c>
      <c r="M58" s="183">
        <f t="shared" si="5"/>
        <v>57</v>
      </c>
      <c r="N58" s="183">
        <f t="shared" si="6"/>
        <v>114</v>
      </c>
      <c r="O58" s="183">
        <f t="shared" si="8"/>
        <v>57</v>
      </c>
      <c r="P58" s="183">
        <f t="shared" si="9"/>
        <v>114</v>
      </c>
      <c r="Q58" s="183">
        <f t="shared" si="10"/>
        <v>57</v>
      </c>
      <c r="R58" s="183">
        <f t="shared" si="11"/>
        <v>114</v>
      </c>
      <c r="S58" s="183">
        <f t="shared" si="12"/>
        <v>57</v>
      </c>
      <c r="T58" s="183">
        <f t="shared" si="13"/>
        <v>114</v>
      </c>
      <c r="U58" s="183">
        <f t="shared" si="14"/>
        <v>57</v>
      </c>
      <c r="V58" s="183">
        <f t="shared" si="15"/>
        <v>114</v>
      </c>
      <c r="W58" s="12">
        <f>K58*属性价值参考!C$5+升级!L58*属性价值参考!C$6+升级!M58*属性价值参考!C$7+升级!N58*属性价值参考!C$8+升级!S58*属性价值参考!C$9+升级!T58*属性价值参考!C$10+升级!U58*属性价值参考!C$11+升级!V58*属性价值参考!C$12</f>
        <v>66881.52</v>
      </c>
    </row>
    <row r="59" spans="1:23" x14ac:dyDescent="0.3">
      <c r="A59" s="22"/>
      <c r="B59" s="22"/>
      <c r="C59" s="27">
        <v>58</v>
      </c>
      <c r="D59" s="27" t="str">
        <f t="shared" si="0"/>
        <v>0#1#8120|0#2#278|0#3#58|0#4#116|0#9#58|0#10#116|0#11#58|0#12#116</v>
      </c>
      <c r="E59" s="27" t="str">
        <f t="shared" si="1"/>
        <v>1#1#1353|1#2#13920|1#3#58|1#4#116|1#9#58|1#10#116|1#11#58|1#12#116</v>
      </c>
      <c r="F59" s="27" t="str">
        <f t="shared" si="2"/>
        <v>2#1#4060|2#2#6960|2#3#58|2#4#116|2#9#58|2#10#116|2#11#58|2#12#116</v>
      </c>
      <c r="G59" s="27" t="str">
        <f t="shared" si="7"/>
        <v>0#1#8120|0#2#278|0#3#58|0#4#116|0#9#58|0#10#116|0#11#58|0#12#116|1#1#1353|1#2#13920|1#3#58|1#4#116|1#9#58|1#10#116|1#11#58|1#12#116|2#1#4060|2#2#6960|2#3#58|2#4#116|2#9#58|2#10#116|2#11#58|2#12#116</v>
      </c>
      <c r="H59" s="22"/>
      <c r="I59" s="28">
        <v>330000</v>
      </c>
      <c r="J59" s="198">
        <v>58</v>
      </c>
      <c r="K59" s="183">
        <f t="shared" si="3"/>
        <v>8120</v>
      </c>
      <c r="L59" s="183">
        <f t="shared" si="4"/>
        <v>13920</v>
      </c>
      <c r="M59" s="183">
        <f t="shared" si="5"/>
        <v>58</v>
      </c>
      <c r="N59" s="183">
        <f t="shared" si="6"/>
        <v>116</v>
      </c>
      <c r="O59" s="183">
        <f t="shared" si="8"/>
        <v>58</v>
      </c>
      <c r="P59" s="183">
        <f t="shared" si="9"/>
        <v>116</v>
      </c>
      <c r="Q59" s="183">
        <f t="shared" si="10"/>
        <v>58</v>
      </c>
      <c r="R59" s="183">
        <f t="shared" si="11"/>
        <v>116</v>
      </c>
      <c r="S59" s="183">
        <f t="shared" si="12"/>
        <v>58</v>
      </c>
      <c r="T59" s="183">
        <f t="shared" si="13"/>
        <v>116</v>
      </c>
      <c r="U59" s="183">
        <f t="shared" si="14"/>
        <v>58</v>
      </c>
      <c r="V59" s="183">
        <f t="shared" si="15"/>
        <v>116</v>
      </c>
      <c r="W59" s="12">
        <f>K59*属性价值参考!C$5+升级!L59*属性价值参考!C$6+升级!M59*属性价值参考!C$7+升级!N59*属性价值参考!C$8+升级!S59*属性价值参考!C$9+升级!T59*属性价值参考!C$10+升级!U59*属性价值参考!C$11+升级!V59*属性价值参考!C$12</f>
        <v>68054.880000000005</v>
      </c>
    </row>
    <row r="60" spans="1:23" x14ac:dyDescent="0.3">
      <c r="A60" s="22"/>
      <c r="B60" s="22"/>
      <c r="C60" s="24">
        <v>59</v>
      </c>
      <c r="D60" s="27" t="str">
        <f t="shared" si="0"/>
        <v>0#1#8260|0#2#283|0#3#59|0#4#118|0#9#59|0#10#118|0#11#59|0#12#118</v>
      </c>
      <c r="E60" s="27" t="str">
        <f t="shared" si="1"/>
        <v>1#1#1376|1#2#14160|1#3#59|1#4#118|1#9#59|1#10#118|1#11#59|1#12#118</v>
      </c>
      <c r="F60" s="27" t="str">
        <f t="shared" si="2"/>
        <v>2#1#4130|2#2#7080|2#3#59|2#4#118|2#9#59|2#10#118|2#11#59|2#12#118</v>
      </c>
      <c r="G60" s="27" t="str">
        <f t="shared" si="7"/>
        <v>0#1#8260|0#2#283|0#3#59|0#4#118|0#9#59|0#10#118|0#11#59|0#12#118|1#1#1376|1#2#14160|1#3#59|1#4#118|1#9#59|1#10#118|1#11#59|1#12#118|2#1#4130|2#2#7080|2#3#59|2#4#118|2#9#59|2#10#118|2#11#59|2#12#118</v>
      </c>
      <c r="H60" s="22"/>
      <c r="I60" s="25">
        <v>350000</v>
      </c>
      <c r="J60" s="197">
        <v>59</v>
      </c>
      <c r="K60" s="183">
        <f t="shared" si="3"/>
        <v>8260</v>
      </c>
      <c r="L60" s="183">
        <f t="shared" si="4"/>
        <v>14160</v>
      </c>
      <c r="M60" s="183">
        <f t="shared" si="5"/>
        <v>59</v>
      </c>
      <c r="N60" s="183">
        <f t="shared" si="6"/>
        <v>118</v>
      </c>
      <c r="O60" s="183">
        <f t="shared" si="8"/>
        <v>59</v>
      </c>
      <c r="P60" s="183">
        <f t="shared" si="9"/>
        <v>118</v>
      </c>
      <c r="Q60" s="183">
        <f t="shared" si="10"/>
        <v>59</v>
      </c>
      <c r="R60" s="183">
        <f t="shared" si="11"/>
        <v>118</v>
      </c>
      <c r="S60" s="183">
        <f t="shared" si="12"/>
        <v>59</v>
      </c>
      <c r="T60" s="183">
        <f t="shared" si="13"/>
        <v>118</v>
      </c>
      <c r="U60" s="183">
        <f t="shared" si="14"/>
        <v>59</v>
      </c>
      <c r="V60" s="183">
        <f t="shared" si="15"/>
        <v>118</v>
      </c>
      <c r="W60" s="12">
        <f>K60*属性价值参考!C$5+升级!L60*属性价值参考!C$6+升级!M60*属性价值参考!C$7+升级!N60*属性价值参考!C$8+升级!S60*属性价值参考!C$9+升级!T60*属性价值参考!C$10+升级!U60*属性价值参考!C$11+升级!V60*属性价值参考!C$12</f>
        <v>69228.240000000005</v>
      </c>
    </row>
    <row r="61" spans="1:23" x14ac:dyDescent="0.3">
      <c r="A61" s="22"/>
      <c r="B61" s="22"/>
      <c r="C61" s="27">
        <v>60</v>
      </c>
      <c r="D61" s="27" t="str">
        <f t="shared" si="0"/>
        <v>0#1#8400|0#2#288|0#3#60|0#4#120|0#9#60|0#10#120|0#11#60|0#12#120</v>
      </c>
      <c r="E61" s="27" t="str">
        <f t="shared" si="1"/>
        <v>1#1#1400|1#2#14400|1#3#60|1#4#120|1#9#60|1#10#120|1#11#60|1#12#120</v>
      </c>
      <c r="F61" s="27" t="str">
        <f t="shared" si="2"/>
        <v>2#1#4200|2#2#7200|2#3#60|2#4#120|2#9#60|2#10#120|2#11#60|2#12#120</v>
      </c>
      <c r="G61" s="27" t="str">
        <f t="shared" si="7"/>
        <v>0#1#8400|0#2#288|0#3#60|0#4#120|0#9#60|0#10#120|0#11#60|0#12#120|1#1#1400|1#2#14400|1#3#60|1#4#120|1#9#60|1#10#120|1#11#60|1#12#120|2#1#4200|2#2#7200|2#3#60|2#4#120|2#9#60|2#10#120|2#11#60|2#12#120</v>
      </c>
      <c r="H61" s="22"/>
      <c r="I61" s="28">
        <v>370000</v>
      </c>
      <c r="J61" s="198">
        <v>60</v>
      </c>
      <c r="K61" s="183">
        <f t="shared" si="3"/>
        <v>8400</v>
      </c>
      <c r="L61" s="183">
        <f t="shared" si="4"/>
        <v>14400</v>
      </c>
      <c r="M61" s="183">
        <f t="shared" si="5"/>
        <v>60</v>
      </c>
      <c r="N61" s="183">
        <f t="shared" si="6"/>
        <v>120</v>
      </c>
      <c r="O61" s="183">
        <f t="shared" si="8"/>
        <v>60</v>
      </c>
      <c r="P61" s="183">
        <f t="shared" si="9"/>
        <v>120</v>
      </c>
      <c r="Q61" s="183">
        <f t="shared" si="10"/>
        <v>60</v>
      </c>
      <c r="R61" s="183">
        <f t="shared" si="11"/>
        <v>120</v>
      </c>
      <c r="S61" s="183">
        <f t="shared" si="12"/>
        <v>60</v>
      </c>
      <c r="T61" s="183">
        <f t="shared" si="13"/>
        <v>120</v>
      </c>
      <c r="U61" s="183">
        <f t="shared" si="14"/>
        <v>60</v>
      </c>
      <c r="V61" s="183">
        <f t="shared" si="15"/>
        <v>120</v>
      </c>
      <c r="W61" s="12">
        <f>K61*属性价值参考!C$5+升级!L61*属性价值参考!C$6+升级!M61*属性价值参考!C$7+升级!N61*属性价值参考!C$8+升级!S61*属性价值参考!C$9+升级!T61*属性价值参考!C$10+升级!U61*属性价值参考!C$11+升级!V61*属性价值参考!C$12</f>
        <v>70401.600000000006</v>
      </c>
    </row>
    <row r="62" spans="1:23" x14ac:dyDescent="0.3">
      <c r="A62" s="22"/>
      <c r="B62" s="22"/>
      <c r="C62" s="24">
        <v>61</v>
      </c>
      <c r="D62" s="27" t="str">
        <f t="shared" si="0"/>
        <v>0#1#8540|0#2#292|0#3#61|0#4#122|0#9#61|0#10#122|0#11#61|0#12#122</v>
      </c>
      <c r="E62" s="27" t="str">
        <f t="shared" si="1"/>
        <v>1#1#1423|1#2#14640|1#3#61|1#4#122|1#9#61|1#10#122|1#11#61|1#12#122</v>
      </c>
      <c r="F62" s="27" t="str">
        <f t="shared" si="2"/>
        <v>2#1#4270|2#2#7320|2#3#61|2#4#122|2#9#61|2#10#122|2#11#61|2#12#122</v>
      </c>
      <c r="G62" s="27" t="str">
        <f t="shared" si="7"/>
        <v>0#1#8540|0#2#292|0#3#61|0#4#122|0#9#61|0#10#122|0#11#61|0#12#122|1#1#1423|1#2#14640|1#3#61|1#4#122|1#9#61|1#10#122|1#11#61|1#12#122|2#1#4270|2#2#7320|2#3#61|2#4#122|2#9#61|2#10#122|2#11#61|2#12#122</v>
      </c>
      <c r="H62" s="22"/>
      <c r="I62" s="25">
        <v>390000</v>
      </c>
      <c r="J62" s="197">
        <v>61</v>
      </c>
      <c r="K62" s="183">
        <f t="shared" si="3"/>
        <v>8540</v>
      </c>
      <c r="L62" s="183">
        <f t="shared" si="4"/>
        <v>14640</v>
      </c>
      <c r="M62" s="183">
        <f t="shared" si="5"/>
        <v>61</v>
      </c>
      <c r="N62" s="183">
        <f t="shared" si="6"/>
        <v>122</v>
      </c>
      <c r="O62" s="183">
        <f t="shared" si="8"/>
        <v>61</v>
      </c>
      <c r="P62" s="183">
        <f t="shared" si="9"/>
        <v>122</v>
      </c>
      <c r="Q62" s="183">
        <f t="shared" si="10"/>
        <v>61</v>
      </c>
      <c r="R62" s="183">
        <f t="shared" si="11"/>
        <v>122</v>
      </c>
      <c r="S62" s="183">
        <f t="shared" si="12"/>
        <v>61</v>
      </c>
      <c r="T62" s="183">
        <f t="shared" si="13"/>
        <v>122</v>
      </c>
      <c r="U62" s="183">
        <f t="shared" si="14"/>
        <v>61</v>
      </c>
      <c r="V62" s="183">
        <f t="shared" si="15"/>
        <v>122</v>
      </c>
      <c r="W62" s="12">
        <f>K62*属性价值参考!C$5+升级!L62*属性价值参考!C$6+升级!M62*属性价值参考!C$7+升级!N62*属性价值参考!C$8+升级!S62*属性价值参考!C$9+升级!T62*属性价值参考!C$10+升级!U62*属性价值参考!C$11+升级!V62*属性价值参考!C$12</f>
        <v>71574.959999999977</v>
      </c>
    </row>
    <row r="63" spans="1:23" x14ac:dyDescent="0.3">
      <c r="A63" s="22"/>
      <c r="B63" s="22"/>
      <c r="C63" s="27">
        <v>62</v>
      </c>
      <c r="D63" s="27" t="str">
        <f t="shared" si="0"/>
        <v>0#1#8680|0#2#297|0#3#62|0#4#124|0#9#62|0#10#124|0#11#62|0#12#124</v>
      </c>
      <c r="E63" s="27" t="str">
        <f t="shared" si="1"/>
        <v>1#1#1446|1#2#14880|1#3#62|1#4#124|1#9#62|1#10#124|1#11#62|1#12#124</v>
      </c>
      <c r="F63" s="27" t="str">
        <f t="shared" si="2"/>
        <v>2#1#4340|2#2#7440|2#3#62|2#4#124|2#9#62|2#10#124|2#11#62|2#12#124</v>
      </c>
      <c r="G63" s="27" t="str">
        <f t="shared" si="7"/>
        <v>0#1#8680|0#2#297|0#3#62|0#4#124|0#9#62|0#10#124|0#11#62|0#12#124|1#1#1446|1#2#14880|1#3#62|1#4#124|1#9#62|1#10#124|1#11#62|1#12#124|2#1#4340|2#2#7440|2#3#62|2#4#124|2#9#62|2#10#124|2#11#62|2#12#124</v>
      </c>
      <c r="H63" s="22"/>
      <c r="I63" s="28">
        <v>410000</v>
      </c>
      <c r="J63" s="198">
        <v>62</v>
      </c>
      <c r="K63" s="183">
        <f t="shared" si="3"/>
        <v>8680</v>
      </c>
      <c r="L63" s="183">
        <f t="shared" si="4"/>
        <v>14880</v>
      </c>
      <c r="M63" s="183">
        <f t="shared" si="5"/>
        <v>62</v>
      </c>
      <c r="N63" s="183">
        <f t="shared" si="6"/>
        <v>124</v>
      </c>
      <c r="O63" s="183">
        <f t="shared" si="8"/>
        <v>62</v>
      </c>
      <c r="P63" s="183">
        <f t="shared" si="9"/>
        <v>124</v>
      </c>
      <c r="Q63" s="183">
        <f t="shared" si="10"/>
        <v>62</v>
      </c>
      <c r="R63" s="183">
        <f t="shared" si="11"/>
        <v>124</v>
      </c>
      <c r="S63" s="183">
        <f t="shared" si="12"/>
        <v>62</v>
      </c>
      <c r="T63" s="183">
        <f t="shared" si="13"/>
        <v>124</v>
      </c>
      <c r="U63" s="183">
        <f t="shared" si="14"/>
        <v>62</v>
      </c>
      <c r="V63" s="183">
        <f t="shared" si="15"/>
        <v>124</v>
      </c>
      <c r="W63" s="12">
        <f>K63*属性价值参考!C$5+升级!L63*属性价值参考!C$6+升级!M63*属性价值参考!C$7+升级!N63*属性价值参考!C$8+升级!S63*属性价值参考!C$9+升级!T63*属性价值参考!C$10+升级!U63*属性价值参考!C$11+升级!V63*属性价值参考!C$12</f>
        <v>72748.319999999992</v>
      </c>
    </row>
    <row r="64" spans="1:23" x14ac:dyDescent="0.3">
      <c r="A64" s="22"/>
      <c r="B64" s="22"/>
      <c r="C64" s="24">
        <v>63</v>
      </c>
      <c r="D64" s="27" t="str">
        <f t="shared" si="0"/>
        <v>0#1#8820|0#2#302|0#3#63|0#4#126|0#9#63|0#10#126|0#11#63|0#12#126</v>
      </c>
      <c r="E64" s="27" t="str">
        <f t="shared" si="1"/>
        <v>1#1#1470|1#2#15120|1#3#63|1#4#126|1#9#63|1#10#126|1#11#63|1#12#126</v>
      </c>
      <c r="F64" s="27" t="str">
        <f t="shared" si="2"/>
        <v>2#1#4410|2#2#7560|2#3#63|2#4#126|2#9#63|2#10#126|2#11#63|2#12#126</v>
      </c>
      <c r="G64" s="27" t="str">
        <f t="shared" si="7"/>
        <v>0#1#8820|0#2#302|0#3#63|0#4#126|0#9#63|0#10#126|0#11#63|0#12#126|1#1#1470|1#2#15120|1#3#63|1#4#126|1#9#63|1#10#126|1#11#63|1#12#126|2#1#4410|2#2#7560|2#3#63|2#4#126|2#9#63|2#10#126|2#11#63|2#12#126</v>
      </c>
      <c r="H64" s="22"/>
      <c r="I64" s="25">
        <v>430000</v>
      </c>
      <c r="J64" s="197">
        <v>63</v>
      </c>
      <c r="K64" s="183">
        <f t="shared" si="3"/>
        <v>8820</v>
      </c>
      <c r="L64" s="183">
        <f t="shared" si="4"/>
        <v>15120</v>
      </c>
      <c r="M64" s="183">
        <f t="shared" si="5"/>
        <v>63</v>
      </c>
      <c r="N64" s="183">
        <f t="shared" si="6"/>
        <v>126</v>
      </c>
      <c r="O64" s="183">
        <f t="shared" si="8"/>
        <v>63</v>
      </c>
      <c r="P64" s="183">
        <f t="shared" si="9"/>
        <v>126</v>
      </c>
      <c r="Q64" s="183">
        <f t="shared" si="10"/>
        <v>63</v>
      </c>
      <c r="R64" s="183">
        <f t="shared" si="11"/>
        <v>126</v>
      </c>
      <c r="S64" s="183">
        <f t="shared" si="12"/>
        <v>63</v>
      </c>
      <c r="T64" s="183">
        <f t="shared" si="13"/>
        <v>126</v>
      </c>
      <c r="U64" s="183">
        <f t="shared" si="14"/>
        <v>63</v>
      </c>
      <c r="V64" s="183">
        <f t="shared" si="15"/>
        <v>126</v>
      </c>
      <c r="W64" s="12">
        <f>K64*属性价值参考!C$5+升级!L64*属性价值参考!C$6+升级!M64*属性价值参考!C$7+升级!N64*属性价值参考!C$8+升级!S64*属性价值参考!C$9+升级!T64*属性价值参考!C$10+升级!U64*属性价值参考!C$11+升级!V64*属性价值参考!C$12</f>
        <v>73921.680000000008</v>
      </c>
    </row>
    <row r="65" spans="1:23" x14ac:dyDescent="0.3">
      <c r="A65" s="22"/>
      <c r="B65" s="22"/>
      <c r="C65" s="27">
        <v>64</v>
      </c>
      <c r="D65" s="27" t="str">
        <f t="shared" si="0"/>
        <v>0#1#8960|0#2#307|0#3#64|0#4#128|0#9#64|0#10#128|0#11#64|0#12#128</v>
      </c>
      <c r="E65" s="27" t="str">
        <f t="shared" si="1"/>
        <v>1#1#1493|1#2#15360|1#3#64|1#4#128|1#9#64|1#10#128|1#11#64|1#12#128</v>
      </c>
      <c r="F65" s="27" t="str">
        <f t="shared" si="2"/>
        <v>2#1#4480|2#2#7680|2#3#64|2#4#128|2#9#64|2#10#128|2#11#64|2#12#128</v>
      </c>
      <c r="G65" s="27" t="str">
        <f t="shared" si="7"/>
        <v>0#1#8960|0#2#307|0#3#64|0#4#128|0#9#64|0#10#128|0#11#64|0#12#128|1#1#1493|1#2#15360|1#3#64|1#4#128|1#9#64|1#10#128|1#11#64|1#12#128|2#1#4480|2#2#7680|2#3#64|2#4#128|2#9#64|2#10#128|2#11#64|2#12#128</v>
      </c>
      <c r="H65" s="22"/>
      <c r="I65" s="28">
        <v>450000</v>
      </c>
      <c r="J65" s="198">
        <v>64</v>
      </c>
      <c r="K65" s="183">
        <f t="shared" si="3"/>
        <v>8960</v>
      </c>
      <c r="L65" s="183">
        <f t="shared" si="4"/>
        <v>15360</v>
      </c>
      <c r="M65" s="183">
        <f t="shared" si="5"/>
        <v>64</v>
      </c>
      <c r="N65" s="183">
        <f t="shared" si="6"/>
        <v>128</v>
      </c>
      <c r="O65" s="183">
        <f t="shared" si="8"/>
        <v>64</v>
      </c>
      <c r="P65" s="183">
        <f t="shared" si="9"/>
        <v>128</v>
      </c>
      <c r="Q65" s="183">
        <f t="shared" si="10"/>
        <v>64</v>
      </c>
      <c r="R65" s="183">
        <f t="shared" si="11"/>
        <v>128</v>
      </c>
      <c r="S65" s="183">
        <f t="shared" si="12"/>
        <v>64</v>
      </c>
      <c r="T65" s="183">
        <f t="shared" si="13"/>
        <v>128</v>
      </c>
      <c r="U65" s="183">
        <f t="shared" si="14"/>
        <v>64</v>
      </c>
      <c r="V65" s="183">
        <f t="shared" si="15"/>
        <v>128</v>
      </c>
      <c r="W65" s="12">
        <f>K65*属性价值参考!C$5+升级!L65*属性价值参考!C$6+升级!M65*属性价值参考!C$7+升级!N65*属性价值参考!C$8+升级!S65*属性价值参考!C$9+升级!T65*属性价值参考!C$10+升级!U65*属性价值参考!C$11+升级!V65*属性价值参考!C$12</f>
        <v>75095.040000000023</v>
      </c>
    </row>
    <row r="66" spans="1:23" x14ac:dyDescent="0.3">
      <c r="A66" s="22"/>
      <c r="B66" s="22"/>
      <c r="C66" s="24">
        <v>65</v>
      </c>
      <c r="D66" s="27" t="str">
        <f t="shared" ref="D66:D129" si="16">"0#1#"&amp;INT(K66)&amp;"|"&amp;"0#2#"&amp;INT(0.02*L66)&amp;"|"&amp;"0#3#"&amp;INT(M66)&amp;"|"&amp;"0#4#"&amp;INT(N66)&amp;"|"&amp;"0#9#"&amp;INT(S66)&amp;"|"&amp;"0#10#"&amp;INT(T66)&amp;"|"&amp;"0#11#"&amp;INT(U66)&amp;"|"&amp;"0#12#"&amp;INT(V66)</f>
        <v>0#1#9100|0#2#312|0#3#65|0#4#130|0#9#65|0#10#130|0#11#65|0#12#130</v>
      </c>
      <c r="E66" s="27" t="str">
        <f t="shared" ref="E66:E129" si="17">"1#1#"&amp;INT(1/6*K66)&amp;"|"&amp;"1#2#"&amp;INT(L66)&amp;"|"&amp;"1#3#"&amp;INT(O66)&amp;"|"&amp;"1#4#"&amp;INT(P66)&amp;"|"&amp;"1#9#"&amp;INT(S66)&amp;"|"&amp;"1#10#"&amp;INT(T66)&amp;"|"&amp;"1#11#"&amp;INT(U66)&amp;"|"&amp;"1#12#"&amp;INT(V66)</f>
        <v>1#1#1516|1#2#15600|1#3#65|1#4#130|1#9#65|1#10#130|1#11#65|1#12#130</v>
      </c>
      <c r="F66" s="27" t="str">
        <f t="shared" ref="F66:F129" si="18">"2#1#"&amp;INT(1/2*K66)&amp;"|"&amp;"2#2#"&amp;INT(1/2*L66)&amp;"|"&amp;"2#3#"&amp;INT(Q66)&amp;"|"&amp;"2#4#"&amp;INT(R66)&amp;"|"&amp;"2#9#"&amp;INT(S66)&amp;"|"&amp;"2#10#"&amp;INT(T66)&amp;"|"&amp;"2#11#"&amp;INT(U66)&amp;"|"&amp;"2#12#"&amp;INT(V66)</f>
        <v>2#1#4550|2#2#7800|2#3#65|2#4#130|2#9#65|2#10#130|2#11#65|2#12#130</v>
      </c>
      <c r="G66" s="27" t="str">
        <f t="shared" si="7"/>
        <v>0#1#9100|0#2#312|0#3#65|0#4#130|0#9#65|0#10#130|0#11#65|0#12#130|1#1#1516|1#2#15600|1#3#65|1#4#130|1#9#65|1#10#130|1#11#65|1#12#130|2#1#4550|2#2#7800|2#3#65|2#4#130|2#9#65|2#10#130|2#11#65|2#12#130</v>
      </c>
      <c r="H66" s="22"/>
      <c r="I66" s="25">
        <v>470000</v>
      </c>
      <c r="J66" s="197">
        <v>65</v>
      </c>
      <c r="K66" s="183">
        <f t="shared" ref="K66:K129" si="19">INT(J66/250*K$251)</f>
        <v>9100</v>
      </c>
      <c r="L66" s="183">
        <f t="shared" ref="L66:L129" si="20">INT(J66/250*L$251)</f>
        <v>15600</v>
      </c>
      <c r="M66" s="183">
        <f t="shared" ref="M66:M129" si="21">INT(J66/250*M$251)</f>
        <v>65</v>
      </c>
      <c r="N66" s="183">
        <f t="shared" ref="N66:N129" si="22">INT(J66/250*N$251)</f>
        <v>130</v>
      </c>
      <c r="O66" s="183">
        <f t="shared" si="8"/>
        <v>65</v>
      </c>
      <c r="P66" s="183">
        <f t="shared" si="9"/>
        <v>130</v>
      </c>
      <c r="Q66" s="183">
        <f t="shared" si="10"/>
        <v>65</v>
      </c>
      <c r="R66" s="183">
        <f t="shared" si="11"/>
        <v>130</v>
      </c>
      <c r="S66" s="183">
        <f t="shared" si="12"/>
        <v>65</v>
      </c>
      <c r="T66" s="183">
        <f t="shared" si="13"/>
        <v>130</v>
      </c>
      <c r="U66" s="183">
        <f t="shared" si="14"/>
        <v>65</v>
      </c>
      <c r="V66" s="183">
        <f t="shared" si="15"/>
        <v>130</v>
      </c>
      <c r="W66" s="12">
        <f>K66*属性价值参考!C$5+升级!L66*属性价值参考!C$6+升级!M66*属性价值参考!C$7+升级!N66*属性价值参考!C$8+升级!S66*属性价值参考!C$9+升级!T66*属性价值参考!C$10+升级!U66*属性价值参考!C$11+升级!V66*属性价值参考!C$12</f>
        <v>76268.399999999994</v>
      </c>
    </row>
    <row r="67" spans="1:23" x14ac:dyDescent="0.3">
      <c r="A67" s="22"/>
      <c r="B67" s="22"/>
      <c r="C67" s="27">
        <v>66</v>
      </c>
      <c r="D67" s="27" t="str">
        <f t="shared" si="16"/>
        <v>0#1#9240|0#2#316|0#3#66|0#4#132|0#9#66|0#10#132|0#11#66|0#12#132</v>
      </c>
      <c r="E67" s="27" t="str">
        <f t="shared" si="17"/>
        <v>1#1#1540|1#2#15840|1#3#66|1#4#132|1#9#66|1#10#132|1#11#66|1#12#132</v>
      </c>
      <c r="F67" s="27" t="str">
        <f t="shared" si="18"/>
        <v>2#1#4620|2#2#7920|2#3#66|2#4#132|2#9#66|2#10#132|2#11#66|2#12#132</v>
      </c>
      <c r="G67" s="27" t="str">
        <f t="shared" ref="G67:G130" si="23">D67&amp;"|"&amp;E67&amp;"|"&amp;F67</f>
        <v>0#1#9240|0#2#316|0#3#66|0#4#132|0#9#66|0#10#132|0#11#66|0#12#132|1#1#1540|1#2#15840|1#3#66|1#4#132|1#9#66|1#10#132|1#11#66|1#12#132|2#1#4620|2#2#7920|2#3#66|2#4#132|2#9#66|2#10#132|2#11#66|2#12#132</v>
      </c>
      <c r="H67" s="22"/>
      <c r="I67" s="28">
        <v>490000</v>
      </c>
      <c r="J67" s="198">
        <v>66</v>
      </c>
      <c r="K67" s="183">
        <f t="shared" si="19"/>
        <v>9240</v>
      </c>
      <c r="L67" s="183">
        <f t="shared" si="20"/>
        <v>15840</v>
      </c>
      <c r="M67" s="183">
        <f t="shared" si="21"/>
        <v>66</v>
      </c>
      <c r="N67" s="183">
        <f t="shared" si="22"/>
        <v>132</v>
      </c>
      <c r="O67" s="183">
        <f t="shared" ref="O67:O130" si="24">INT(J67/250*O$251)</f>
        <v>66</v>
      </c>
      <c r="P67" s="183">
        <f t="shared" ref="P67:P130" si="25">INT(J67/250*P$251)</f>
        <v>132</v>
      </c>
      <c r="Q67" s="183">
        <f t="shared" ref="Q67:Q130" si="26">INT(J67/250*Q$251)</f>
        <v>66</v>
      </c>
      <c r="R67" s="183">
        <f t="shared" ref="R67:R130" si="27">INT(J67/250*R$251)</f>
        <v>132</v>
      </c>
      <c r="S67" s="183">
        <f t="shared" ref="S67:S130" si="28">INT(J67/250*S$251)</f>
        <v>66</v>
      </c>
      <c r="T67" s="183">
        <f t="shared" ref="T67:T130" si="29">INT(J67/250*T$251)</f>
        <v>132</v>
      </c>
      <c r="U67" s="183">
        <f t="shared" ref="U67:U130" si="30">INT(J67/250*U$251)</f>
        <v>66</v>
      </c>
      <c r="V67" s="183">
        <f t="shared" ref="V67:V130" si="31">INT(J67/250*V$251)</f>
        <v>132</v>
      </c>
      <c r="W67" s="12">
        <f>K67*属性价值参考!C$5+升级!L67*属性价值参考!C$6+升级!M67*属性价值参考!C$7+升级!N67*属性价值参考!C$8+升级!S67*属性价值参考!C$9+升级!T67*属性价值参考!C$10+升级!U67*属性价值参考!C$11+升级!V67*属性价值参考!C$12</f>
        <v>77441.759999999966</v>
      </c>
    </row>
    <row r="68" spans="1:23" x14ac:dyDescent="0.3">
      <c r="A68" s="22"/>
      <c r="B68" s="22"/>
      <c r="C68" s="24">
        <v>67</v>
      </c>
      <c r="D68" s="27" t="str">
        <f t="shared" si="16"/>
        <v>0#1#9380|0#2#321|0#3#67|0#4#134|0#9#67|0#10#134|0#11#67|0#12#134</v>
      </c>
      <c r="E68" s="27" t="str">
        <f t="shared" si="17"/>
        <v>1#1#1563|1#2#16080|1#3#67|1#4#134|1#9#67|1#10#134|1#11#67|1#12#134</v>
      </c>
      <c r="F68" s="27" t="str">
        <f t="shared" si="18"/>
        <v>2#1#4690|2#2#8040|2#3#67|2#4#134|2#9#67|2#10#134|2#11#67|2#12#134</v>
      </c>
      <c r="G68" s="27" t="str">
        <f t="shared" si="23"/>
        <v>0#1#9380|0#2#321|0#3#67|0#4#134|0#9#67|0#10#134|0#11#67|0#12#134|1#1#1563|1#2#16080|1#3#67|1#4#134|1#9#67|1#10#134|1#11#67|1#12#134|2#1#4690|2#2#8040|2#3#67|2#4#134|2#9#67|2#10#134|2#11#67|2#12#134</v>
      </c>
      <c r="H68" s="22"/>
      <c r="I68" s="25">
        <v>510000</v>
      </c>
      <c r="J68" s="197">
        <v>67</v>
      </c>
      <c r="K68" s="183">
        <f t="shared" si="19"/>
        <v>9380</v>
      </c>
      <c r="L68" s="183">
        <f t="shared" si="20"/>
        <v>16080</v>
      </c>
      <c r="M68" s="183">
        <f t="shared" si="21"/>
        <v>67</v>
      </c>
      <c r="N68" s="183">
        <f t="shared" si="22"/>
        <v>134</v>
      </c>
      <c r="O68" s="183">
        <f t="shared" si="24"/>
        <v>67</v>
      </c>
      <c r="P68" s="183">
        <f t="shared" si="25"/>
        <v>134</v>
      </c>
      <c r="Q68" s="183">
        <f t="shared" si="26"/>
        <v>67</v>
      </c>
      <c r="R68" s="183">
        <f t="shared" si="27"/>
        <v>134</v>
      </c>
      <c r="S68" s="183">
        <f t="shared" si="28"/>
        <v>67</v>
      </c>
      <c r="T68" s="183">
        <f t="shared" si="29"/>
        <v>134</v>
      </c>
      <c r="U68" s="183">
        <f t="shared" si="30"/>
        <v>67</v>
      </c>
      <c r="V68" s="183">
        <f t="shared" si="31"/>
        <v>134</v>
      </c>
      <c r="W68" s="12">
        <f>K68*属性价值参考!C$5+升级!L68*属性价值参考!C$6+升级!M68*属性价值参考!C$7+升级!N68*属性价值参考!C$8+升级!S68*属性价值参考!C$9+升级!T68*属性价值参考!C$10+升级!U68*属性价值参考!C$11+升级!V68*属性价值参考!C$12</f>
        <v>78615.119999999981</v>
      </c>
    </row>
    <row r="69" spans="1:23" x14ac:dyDescent="0.3">
      <c r="A69" s="22"/>
      <c r="B69" s="22"/>
      <c r="C69" s="27">
        <v>68</v>
      </c>
      <c r="D69" s="27" t="str">
        <f t="shared" si="16"/>
        <v>0#1#9520|0#2#326|0#3#68|0#4#136|0#9#68|0#10#136|0#11#68|0#12#136</v>
      </c>
      <c r="E69" s="27" t="str">
        <f t="shared" si="17"/>
        <v>1#1#1586|1#2#16320|1#3#68|1#4#136|1#9#68|1#10#136|1#11#68|1#12#136</v>
      </c>
      <c r="F69" s="27" t="str">
        <f t="shared" si="18"/>
        <v>2#1#4760|2#2#8160|2#3#68|2#4#136|2#9#68|2#10#136|2#11#68|2#12#136</v>
      </c>
      <c r="G69" s="27" t="str">
        <f t="shared" si="23"/>
        <v>0#1#9520|0#2#326|0#3#68|0#4#136|0#9#68|0#10#136|0#11#68|0#12#136|1#1#1586|1#2#16320|1#3#68|1#4#136|1#9#68|1#10#136|1#11#68|1#12#136|2#1#4760|2#2#8160|2#3#68|2#4#136|2#9#68|2#10#136|2#11#68|2#12#136</v>
      </c>
      <c r="H69" s="22"/>
      <c r="I69" s="28">
        <v>530000</v>
      </c>
      <c r="J69" s="198">
        <v>68</v>
      </c>
      <c r="K69" s="183">
        <f t="shared" si="19"/>
        <v>9520</v>
      </c>
      <c r="L69" s="183">
        <f t="shared" si="20"/>
        <v>16320</v>
      </c>
      <c r="M69" s="183">
        <f t="shared" si="21"/>
        <v>68</v>
      </c>
      <c r="N69" s="183">
        <f t="shared" si="22"/>
        <v>136</v>
      </c>
      <c r="O69" s="183">
        <f t="shared" si="24"/>
        <v>68</v>
      </c>
      <c r="P69" s="183">
        <f t="shared" si="25"/>
        <v>136</v>
      </c>
      <c r="Q69" s="183">
        <f t="shared" si="26"/>
        <v>68</v>
      </c>
      <c r="R69" s="183">
        <f t="shared" si="27"/>
        <v>136</v>
      </c>
      <c r="S69" s="183">
        <f t="shared" si="28"/>
        <v>68</v>
      </c>
      <c r="T69" s="183">
        <f t="shared" si="29"/>
        <v>136</v>
      </c>
      <c r="U69" s="183">
        <f t="shared" si="30"/>
        <v>68</v>
      </c>
      <c r="V69" s="183">
        <f t="shared" si="31"/>
        <v>136</v>
      </c>
      <c r="W69" s="12">
        <f>K69*属性价值参考!C$5+升级!L69*属性价值参考!C$6+升级!M69*属性价值参考!C$7+升级!N69*属性价值参考!C$8+升级!S69*属性价值参考!C$9+升级!T69*属性价值参考!C$10+升级!U69*属性价值参考!C$11+升级!V69*属性价值参考!C$12</f>
        <v>79788.48000000001</v>
      </c>
    </row>
    <row r="70" spans="1:23" x14ac:dyDescent="0.3">
      <c r="A70" s="22"/>
      <c r="B70" s="22"/>
      <c r="C70" s="24">
        <v>69</v>
      </c>
      <c r="D70" s="27" t="str">
        <f t="shared" si="16"/>
        <v>0#1#9660|0#2#331|0#3#69|0#4#138|0#9#69|0#10#138|0#11#69|0#12#138</v>
      </c>
      <c r="E70" s="27" t="str">
        <f t="shared" si="17"/>
        <v>1#1#1610|1#2#16560|1#3#69|1#4#138|1#9#69|1#10#138|1#11#69|1#12#138</v>
      </c>
      <c r="F70" s="27" t="str">
        <f t="shared" si="18"/>
        <v>2#1#4830|2#2#8280|2#3#69|2#4#138|2#9#69|2#10#138|2#11#69|2#12#138</v>
      </c>
      <c r="G70" s="27" t="str">
        <f t="shared" si="23"/>
        <v>0#1#9660|0#2#331|0#3#69|0#4#138|0#9#69|0#10#138|0#11#69|0#12#138|1#1#1610|1#2#16560|1#3#69|1#4#138|1#9#69|1#10#138|1#11#69|1#12#138|2#1#4830|2#2#8280|2#3#69|2#4#138|2#9#69|2#10#138|2#11#69|2#12#138</v>
      </c>
      <c r="H70" s="22"/>
      <c r="I70" s="25">
        <v>550000</v>
      </c>
      <c r="J70" s="197">
        <v>69</v>
      </c>
      <c r="K70" s="183">
        <f t="shared" si="19"/>
        <v>9660</v>
      </c>
      <c r="L70" s="183">
        <f t="shared" si="20"/>
        <v>16560</v>
      </c>
      <c r="M70" s="183">
        <f t="shared" si="21"/>
        <v>69</v>
      </c>
      <c r="N70" s="183">
        <f t="shared" si="22"/>
        <v>138</v>
      </c>
      <c r="O70" s="183">
        <f t="shared" si="24"/>
        <v>69</v>
      </c>
      <c r="P70" s="183">
        <f t="shared" si="25"/>
        <v>138</v>
      </c>
      <c r="Q70" s="183">
        <f t="shared" si="26"/>
        <v>69</v>
      </c>
      <c r="R70" s="183">
        <f t="shared" si="27"/>
        <v>138</v>
      </c>
      <c r="S70" s="183">
        <f t="shared" si="28"/>
        <v>69</v>
      </c>
      <c r="T70" s="183">
        <f t="shared" si="29"/>
        <v>138</v>
      </c>
      <c r="U70" s="183">
        <f t="shared" si="30"/>
        <v>69</v>
      </c>
      <c r="V70" s="183">
        <f t="shared" si="31"/>
        <v>138</v>
      </c>
      <c r="W70" s="12">
        <f>K70*属性价值参考!C$5+升级!L70*属性价值参考!C$6+升级!M70*属性价值参考!C$7+升级!N70*属性价值参考!C$8+升级!S70*属性价值参考!C$9+升级!T70*属性价值参考!C$10+升级!U70*属性价值参考!C$11+升级!V70*属性价值参考!C$12</f>
        <v>80961.840000000026</v>
      </c>
    </row>
    <row r="71" spans="1:23" x14ac:dyDescent="0.3">
      <c r="A71" s="22"/>
      <c r="B71" s="22"/>
      <c r="C71" s="27">
        <v>70</v>
      </c>
      <c r="D71" s="27" t="str">
        <f t="shared" si="16"/>
        <v>0#1#9800|0#2#336|0#3#70|0#4#140|0#9#70|0#10#140|0#11#70|0#12#140</v>
      </c>
      <c r="E71" s="27" t="str">
        <f t="shared" si="17"/>
        <v>1#1#1633|1#2#16800|1#3#70|1#4#140|1#9#70|1#10#140|1#11#70|1#12#140</v>
      </c>
      <c r="F71" s="27" t="str">
        <f t="shared" si="18"/>
        <v>2#1#4900|2#2#8400|2#3#70|2#4#140|2#9#70|2#10#140|2#11#70|2#12#140</v>
      </c>
      <c r="G71" s="27" t="str">
        <f t="shared" si="23"/>
        <v>0#1#9800|0#2#336|0#3#70|0#4#140|0#9#70|0#10#140|0#11#70|0#12#140|1#1#1633|1#2#16800|1#3#70|1#4#140|1#9#70|1#10#140|1#11#70|1#12#140|2#1#4900|2#2#8400|2#3#70|2#4#140|2#9#70|2#10#140|2#11#70|2#12#140</v>
      </c>
      <c r="H71" s="22"/>
      <c r="I71" s="28">
        <v>570000</v>
      </c>
      <c r="J71" s="198">
        <v>70</v>
      </c>
      <c r="K71" s="183">
        <f t="shared" si="19"/>
        <v>9800</v>
      </c>
      <c r="L71" s="183">
        <f t="shared" si="20"/>
        <v>16800</v>
      </c>
      <c r="M71" s="183">
        <f t="shared" si="21"/>
        <v>70</v>
      </c>
      <c r="N71" s="183">
        <f t="shared" si="22"/>
        <v>140</v>
      </c>
      <c r="O71" s="183">
        <f t="shared" si="24"/>
        <v>70</v>
      </c>
      <c r="P71" s="183">
        <f t="shared" si="25"/>
        <v>140</v>
      </c>
      <c r="Q71" s="183">
        <f t="shared" si="26"/>
        <v>70</v>
      </c>
      <c r="R71" s="183">
        <f t="shared" si="27"/>
        <v>140</v>
      </c>
      <c r="S71" s="183">
        <f t="shared" si="28"/>
        <v>70</v>
      </c>
      <c r="T71" s="183">
        <f t="shared" si="29"/>
        <v>140</v>
      </c>
      <c r="U71" s="183">
        <f t="shared" si="30"/>
        <v>70</v>
      </c>
      <c r="V71" s="183">
        <f t="shared" si="31"/>
        <v>140</v>
      </c>
      <c r="W71" s="12">
        <f>K71*属性价值参考!C$5+升级!L71*属性价值参考!C$6+升级!M71*属性价值参考!C$7+升级!N71*属性价值参考!C$8+升级!S71*属性价值参考!C$9+升级!T71*属性价值参考!C$10+升级!U71*属性价值参考!C$11+升级!V71*属性价值参考!C$12</f>
        <v>82135.199999999997</v>
      </c>
    </row>
    <row r="72" spans="1:23" x14ac:dyDescent="0.3">
      <c r="A72" s="22"/>
      <c r="B72" s="22"/>
      <c r="C72" s="24">
        <v>71</v>
      </c>
      <c r="D72" s="27" t="str">
        <f t="shared" si="16"/>
        <v>0#1#9940|0#2#340|0#3#71|0#4#142|0#9#71|0#10#142|0#11#71|0#12#142</v>
      </c>
      <c r="E72" s="27" t="str">
        <f t="shared" si="17"/>
        <v>1#1#1656|1#2#17040|1#3#71|1#4#142|1#9#71|1#10#142|1#11#71|1#12#142</v>
      </c>
      <c r="F72" s="27" t="str">
        <f t="shared" si="18"/>
        <v>2#1#4970|2#2#8520|2#3#71|2#4#142|2#9#71|2#10#142|2#11#71|2#12#142</v>
      </c>
      <c r="G72" s="27" t="str">
        <f t="shared" si="23"/>
        <v>0#1#9940|0#2#340|0#3#71|0#4#142|0#9#71|0#10#142|0#11#71|0#12#142|1#1#1656|1#2#17040|1#3#71|1#4#142|1#9#71|1#10#142|1#11#71|1#12#142|2#1#4970|2#2#8520|2#3#71|2#4#142|2#9#71|2#10#142|2#11#71|2#12#142</v>
      </c>
      <c r="H72" s="22"/>
      <c r="I72" s="25">
        <v>600000</v>
      </c>
      <c r="J72" s="197">
        <v>71</v>
      </c>
      <c r="K72" s="183">
        <f t="shared" si="19"/>
        <v>9940</v>
      </c>
      <c r="L72" s="183">
        <f t="shared" si="20"/>
        <v>17040</v>
      </c>
      <c r="M72" s="183">
        <f t="shared" si="21"/>
        <v>71</v>
      </c>
      <c r="N72" s="183">
        <f t="shared" si="22"/>
        <v>142</v>
      </c>
      <c r="O72" s="183">
        <f t="shared" si="24"/>
        <v>71</v>
      </c>
      <c r="P72" s="183">
        <f t="shared" si="25"/>
        <v>142</v>
      </c>
      <c r="Q72" s="183">
        <f t="shared" si="26"/>
        <v>71</v>
      </c>
      <c r="R72" s="183">
        <f t="shared" si="27"/>
        <v>142</v>
      </c>
      <c r="S72" s="183">
        <f t="shared" si="28"/>
        <v>71</v>
      </c>
      <c r="T72" s="183">
        <f t="shared" si="29"/>
        <v>142</v>
      </c>
      <c r="U72" s="183">
        <f t="shared" si="30"/>
        <v>71</v>
      </c>
      <c r="V72" s="183">
        <f t="shared" si="31"/>
        <v>142</v>
      </c>
      <c r="W72" s="12">
        <f>K72*属性价值参考!C$5+升级!L72*属性价值参考!C$6+升级!M72*属性价值参考!C$7+升级!N72*属性价值参考!C$8+升级!S72*属性价值参考!C$9+升级!T72*属性价值参考!C$10+升级!U72*属性价值参考!C$11+升级!V72*属性价值参考!C$12</f>
        <v>83308.559999999969</v>
      </c>
    </row>
    <row r="73" spans="1:23" x14ac:dyDescent="0.3">
      <c r="A73" s="22"/>
      <c r="B73" s="22"/>
      <c r="C73" s="27">
        <v>72</v>
      </c>
      <c r="D73" s="27" t="str">
        <f t="shared" si="16"/>
        <v>0#1#10080|0#2#345|0#3#72|0#4#144|0#9#72|0#10#144|0#11#72|0#12#144</v>
      </c>
      <c r="E73" s="27" t="str">
        <f t="shared" si="17"/>
        <v>1#1#1680|1#2#17280|1#3#72|1#4#144|1#9#72|1#10#144|1#11#72|1#12#144</v>
      </c>
      <c r="F73" s="27" t="str">
        <f t="shared" si="18"/>
        <v>2#1#5040|2#2#8640|2#3#72|2#4#144|2#9#72|2#10#144|2#11#72|2#12#144</v>
      </c>
      <c r="G73" s="27" t="str">
        <f t="shared" si="23"/>
        <v>0#1#10080|0#2#345|0#3#72|0#4#144|0#9#72|0#10#144|0#11#72|0#12#144|1#1#1680|1#2#17280|1#3#72|1#4#144|1#9#72|1#10#144|1#11#72|1#12#144|2#1#5040|2#2#8640|2#3#72|2#4#144|2#9#72|2#10#144|2#11#72|2#12#144</v>
      </c>
      <c r="H73" s="22"/>
      <c r="I73" s="28">
        <v>630000</v>
      </c>
      <c r="J73" s="198">
        <v>72</v>
      </c>
      <c r="K73" s="183">
        <f t="shared" si="19"/>
        <v>10080</v>
      </c>
      <c r="L73" s="183">
        <f t="shared" si="20"/>
        <v>17280</v>
      </c>
      <c r="M73" s="183">
        <f t="shared" si="21"/>
        <v>72</v>
      </c>
      <c r="N73" s="183">
        <f t="shared" si="22"/>
        <v>144</v>
      </c>
      <c r="O73" s="183">
        <f t="shared" si="24"/>
        <v>72</v>
      </c>
      <c r="P73" s="183">
        <f t="shared" si="25"/>
        <v>144</v>
      </c>
      <c r="Q73" s="183">
        <f t="shared" si="26"/>
        <v>72</v>
      </c>
      <c r="R73" s="183">
        <f t="shared" si="27"/>
        <v>144</v>
      </c>
      <c r="S73" s="183">
        <f t="shared" si="28"/>
        <v>72</v>
      </c>
      <c r="T73" s="183">
        <f t="shared" si="29"/>
        <v>144</v>
      </c>
      <c r="U73" s="183">
        <f t="shared" si="30"/>
        <v>72</v>
      </c>
      <c r="V73" s="183">
        <f t="shared" si="31"/>
        <v>144</v>
      </c>
      <c r="W73" s="12">
        <f>K73*属性价值参考!C$5+升级!L73*属性价值参考!C$6+升级!M73*属性价值参考!C$7+升级!N73*属性价值参考!C$8+升级!S73*属性价值参考!C$9+升级!T73*属性价值参考!C$10+升级!U73*属性价值参考!C$11+升级!V73*属性价值参考!C$12</f>
        <v>84481.919999999984</v>
      </c>
    </row>
    <row r="74" spans="1:23" x14ac:dyDescent="0.3">
      <c r="A74" s="22"/>
      <c r="B74" s="22"/>
      <c r="C74" s="24">
        <v>73</v>
      </c>
      <c r="D74" s="27" t="str">
        <f t="shared" si="16"/>
        <v>0#1#10220|0#2#350|0#3#73|0#4#146|0#9#73|0#10#146|0#11#73|0#12#146</v>
      </c>
      <c r="E74" s="27" t="str">
        <f t="shared" si="17"/>
        <v>1#1#1703|1#2#17520|1#3#73|1#4#146|1#9#73|1#10#146|1#11#73|1#12#146</v>
      </c>
      <c r="F74" s="27" t="str">
        <f t="shared" si="18"/>
        <v>2#1#5110|2#2#8760|2#3#73|2#4#146|2#9#73|2#10#146|2#11#73|2#12#146</v>
      </c>
      <c r="G74" s="27" t="str">
        <f t="shared" si="23"/>
        <v>0#1#10220|0#2#350|0#3#73|0#4#146|0#9#73|0#10#146|0#11#73|0#12#146|1#1#1703|1#2#17520|1#3#73|1#4#146|1#9#73|1#10#146|1#11#73|1#12#146|2#1#5110|2#2#8760|2#3#73|2#4#146|2#9#73|2#10#146|2#11#73|2#12#146</v>
      </c>
      <c r="H74" s="22"/>
      <c r="I74" s="25">
        <v>660000</v>
      </c>
      <c r="J74" s="197">
        <v>73</v>
      </c>
      <c r="K74" s="183">
        <f t="shared" si="19"/>
        <v>10220</v>
      </c>
      <c r="L74" s="183">
        <f t="shared" si="20"/>
        <v>17520</v>
      </c>
      <c r="M74" s="183">
        <f t="shared" si="21"/>
        <v>73</v>
      </c>
      <c r="N74" s="183">
        <f t="shared" si="22"/>
        <v>146</v>
      </c>
      <c r="O74" s="183">
        <f t="shared" si="24"/>
        <v>73</v>
      </c>
      <c r="P74" s="183">
        <f t="shared" si="25"/>
        <v>146</v>
      </c>
      <c r="Q74" s="183">
        <f t="shared" si="26"/>
        <v>73</v>
      </c>
      <c r="R74" s="183">
        <f t="shared" si="27"/>
        <v>146</v>
      </c>
      <c r="S74" s="183">
        <f t="shared" si="28"/>
        <v>73</v>
      </c>
      <c r="T74" s="183">
        <f t="shared" si="29"/>
        <v>146</v>
      </c>
      <c r="U74" s="183">
        <f t="shared" si="30"/>
        <v>73</v>
      </c>
      <c r="V74" s="183">
        <f t="shared" si="31"/>
        <v>146</v>
      </c>
      <c r="W74" s="12">
        <f>K74*属性价值参考!C$5+升级!L74*属性价值参考!C$6+升级!M74*属性价值参考!C$7+升级!N74*属性价值参考!C$8+升级!S74*属性价值参考!C$9+升级!T74*属性价值参考!C$10+升级!U74*属性价值参考!C$11+升级!V74*属性价值参考!C$12</f>
        <v>85655.280000000013</v>
      </c>
    </row>
    <row r="75" spans="1:23" x14ac:dyDescent="0.3">
      <c r="A75" s="22"/>
      <c r="B75" s="22"/>
      <c r="C75" s="27">
        <v>74</v>
      </c>
      <c r="D75" s="27" t="str">
        <f t="shared" si="16"/>
        <v>0#1#10360|0#2#355|0#3#74|0#4#148|0#9#74|0#10#148|0#11#74|0#12#148</v>
      </c>
      <c r="E75" s="27" t="str">
        <f t="shared" si="17"/>
        <v>1#1#1726|1#2#17760|1#3#74|1#4#148|1#9#74|1#10#148|1#11#74|1#12#148</v>
      </c>
      <c r="F75" s="27" t="str">
        <f t="shared" si="18"/>
        <v>2#1#5180|2#2#8880|2#3#74|2#4#148|2#9#74|2#10#148|2#11#74|2#12#148</v>
      </c>
      <c r="G75" s="27" t="str">
        <f t="shared" si="23"/>
        <v>0#1#10360|0#2#355|0#3#74|0#4#148|0#9#74|0#10#148|0#11#74|0#12#148|1#1#1726|1#2#17760|1#3#74|1#4#148|1#9#74|1#10#148|1#11#74|1#12#148|2#1#5180|2#2#8880|2#3#74|2#4#148|2#9#74|2#10#148|2#11#74|2#12#148</v>
      </c>
      <c r="H75" s="22"/>
      <c r="I75" s="28">
        <v>690000</v>
      </c>
      <c r="J75" s="198">
        <v>74</v>
      </c>
      <c r="K75" s="183">
        <f t="shared" si="19"/>
        <v>10360</v>
      </c>
      <c r="L75" s="183">
        <f t="shared" si="20"/>
        <v>17760</v>
      </c>
      <c r="M75" s="183">
        <f t="shared" si="21"/>
        <v>74</v>
      </c>
      <c r="N75" s="183">
        <f t="shared" si="22"/>
        <v>148</v>
      </c>
      <c r="O75" s="183">
        <f t="shared" si="24"/>
        <v>74</v>
      </c>
      <c r="P75" s="183">
        <f t="shared" si="25"/>
        <v>148</v>
      </c>
      <c r="Q75" s="183">
        <f t="shared" si="26"/>
        <v>74</v>
      </c>
      <c r="R75" s="183">
        <f t="shared" si="27"/>
        <v>148</v>
      </c>
      <c r="S75" s="183">
        <f t="shared" si="28"/>
        <v>74</v>
      </c>
      <c r="T75" s="183">
        <f t="shared" si="29"/>
        <v>148</v>
      </c>
      <c r="U75" s="183">
        <f t="shared" si="30"/>
        <v>74</v>
      </c>
      <c r="V75" s="183">
        <f t="shared" si="31"/>
        <v>148</v>
      </c>
      <c r="W75" s="12">
        <f>K75*属性价值参考!C$5+升级!L75*属性价值参考!C$6+升级!M75*属性价值参考!C$7+升级!N75*属性价值参考!C$8+升级!S75*属性价值参考!C$9+升级!T75*属性价值参考!C$10+升级!U75*属性价值参考!C$11+升级!V75*属性价值参考!C$12</f>
        <v>86828.640000000029</v>
      </c>
    </row>
    <row r="76" spans="1:23" x14ac:dyDescent="0.3">
      <c r="A76" s="22"/>
      <c r="B76" s="22"/>
      <c r="C76" s="24">
        <v>75</v>
      </c>
      <c r="D76" s="27" t="str">
        <f t="shared" si="16"/>
        <v>0#1#10500|0#2#360|0#3#75|0#4#150|0#9#75|0#10#150|0#11#75|0#12#150</v>
      </c>
      <c r="E76" s="27" t="str">
        <f t="shared" si="17"/>
        <v>1#1#1750|1#2#18000|1#3#75|1#4#150|1#9#75|1#10#150|1#11#75|1#12#150</v>
      </c>
      <c r="F76" s="27" t="str">
        <f t="shared" si="18"/>
        <v>2#1#5250|2#2#9000|2#3#75|2#4#150|2#9#75|2#10#150|2#11#75|2#12#150</v>
      </c>
      <c r="G76" s="27" t="str">
        <f t="shared" si="23"/>
        <v>0#1#10500|0#2#360|0#3#75|0#4#150|0#9#75|0#10#150|0#11#75|0#12#150|1#1#1750|1#2#18000|1#3#75|1#4#150|1#9#75|1#10#150|1#11#75|1#12#150|2#1#5250|2#2#9000|2#3#75|2#4#150|2#9#75|2#10#150|2#11#75|2#12#150</v>
      </c>
      <c r="H76" s="22"/>
      <c r="I76" s="25">
        <v>730000</v>
      </c>
      <c r="J76" s="197">
        <v>75</v>
      </c>
      <c r="K76" s="183">
        <f t="shared" si="19"/>
        <v>10500</v>
      </c>
      <c r="L76" s="183">
        <f t="shared" si="20"/>
        <v>18000</v>
      </c>
      <c r="M76" s="183">
        <f t="shared" si="21"/>
        <v>75</v>
      </c>
      <c r="N76" s="183">
        <f t="shared" si="22"/>
        <v>150</v>
      </c>
      <c r="O76" s="183">
        <f t="shared" si="24"/>
        <v>75</v>
      </c>
      <c r="P76" s="183">
        <f t="shared" si="25"/>
        <v>150</v>
      </c>
      <c r="Q76" s="183">
        <f t="shared" si="26"/>
        <v>75</v>
      </c>
      <c r="R76" s="183">
        <f t="shared" si="27"/>
        <v>150</v>
      </c>
      <c r="S76" s="183">
        <f t="shared" si="28"/>
        <v>75</v>
      </c>
      <c r="T76" s="183">
        <f t="shared" si="29"/>
        <v>150</v>
      </c>
      <c r="U76" s="183">
        <f t="shared" si="30"/>
        <v>75</v>
      </c>
      <c r="V76" s="183">
        <f t="shared" si="31"/>
        <v>150</v>
      </c>
      <c r="W76" s="12">
        <f>K76*属性价值参考!C$5+升级!L76*属性价值参考!C$6+升级!M76*属性价值参考!C$7+升级!N76*属性价值参考!C$8+升级!S76*属性价值参考!C$9+升级!T76*属性价值参考!C$10+升级!U76*属性价值参考!C$11+升级!V76*属性价值参考!C$12</f>
        <v>88002</v>
      </c>
    </row>
    <row r="77" spans="1:23" x14ac:dyDescent="0.3">
      <c r="A77" s="22"/>
      <c r="B77" s="22"/>
      <c r="C77" s="27">
        <v>76</v>
      </c>
      <c r="D77" s="27" t="str">
        <f t="shared" si="16"/>
        <v>0#1#10640|0#2#364|0#3#76|0#4#152|0#9#76|0#10#152|0#11#76|0#12#152</v>
      </c>
      <c r="E77" s="27" t="str">
        <f t="shared" si="17"/>
        <v>1#1#1773|1#2#18240|1#3#76|1#4#152|1#9#76|1#10#152|1#11#76|1#12#152</v>
      </c>
      <c r="F77" s="27" t="str">
        <f t="shared" si="18"/>
        <v>2#1#5320|2#2#9120|2#3#76|2#4#152|2#9#76|2#10#152|2#11#76|2#12#152</v>
      </c>
      <c r="G77" s="27" t="str">
        <f t="shared" si="23"/>
        <v>0#1#10640|0#2#364|0#3#76|0#4#152|0#9#76|0#10#152|0#11#76|0#12#152|1#1#1773|1#2#18240|1#3#76|1#4#152|1#9#76|1#10#152|1#11#76|1#12#152|2#1#5320|2#2#9120|2#3#76|2#4#152|2#9#76|2#10#152|2#11#76|2#12#152</v>
      </c>
      <c r="H77" s="22"/>
      <c r="I77" s="28">
        <v>770000</v>
      </c>
      <c r="J77" s="198">
        <v>76</v>
      </c>
      <c r="K77" s="183">
        <f t="shared" si="19"/>
        <v>10640</v>
      </c>
      <c r="L77" s="183">
        <f t="shared" si="20"/>
        <v>18240</v>
      </c>
      <c r="M77" s="183">
        <f t="shared" si="21"/>
        <v>76</v>
      </c>
      <c r="N77" s="183">
        <f t="shared" si="22"/>
        <v>152</v>
      </c>
      <c r="O77" s="183">
        <f t="shared" si="24"/>
        <v>76</v>
      </c>
      <c r="P77" s="183">
        <f t="shared" si="25"/>
        <v>152</v>
      </c>
      <c r="Q77" s="183">
        <f t="shared" si="26"/>
        <v>76</v>
      </c>
      <c r="R77" s="183">
        <f t="shared" si="27"/>
        <v>152</v>
      </c>
      <c r="S77" s="183">
        <f t="shared" si="28"/>
        <v>76</v>
      </c>
      <c r="T77" s="183">
        <f t="shared" si="29"/>
        <v>152</v>
      </c>
      <c r="U77" s="183">
        <f t="shared" si="30"/>
        <v>76</v>
      </c>
      <c r="V77" s="183">
        <f t="shared" si="31"/>
        <v>152</v>
      </c>
      <c r="W77" s="12">
        <f>K77*属性价值参考!C$5+升级!L77*属性价值参考!C$6+升级!M77*属性价值参考!C$7+升级!N77*属性价值参考!C$8+升级!S77*属性价值参考!C$9+升级!T77*属性价值参考!C$10+升级!U77*属性价值参考!C$11+升级!V77*属性价值参考!C$12</f>
        <v>89175.359999999971</v>
      </c>
    </row>
    <row r="78" spans="1:23" x14ac:dyDescent="0.3">
      <c r="A78" s="22"/>
      <c r="B78" s="22"/>
      <c r="C78" s="24">
        <v>77</v>
      </c>
      <c r="D78" s="27" t="str">
        <f t="shared" si="16"/>
        <v>0#1#10780|0#2#369|0#3#77|0#4#154|0#9#77|0#10#154|0#11#77|0#12#154</v>
      </c>
      <c r="E78" s="27" t="str">
        <f t="shared" si="17"/>
        <v>1#1#1796|1#2#18480|1#3#77|1#4#154|1#9#77|1#10#154|1#11#77|1#12#154</v>
      </c>
      <c r="F78" s="27" t="str">
        <f t="shared" si="18"/>
        <v>2#1#5390|2#2#9240|2#3#77|2#4#154|2#9#77|2#10#154|2#11#77|2#12#154</v>
      </c>
      <c r="G78" s="27" t="str">
        <f t="shared" si="23"/>
        <v>0#1#10780|0#2#369|0#3#77|0#4#154|0#9#77|0#10#154|0#11#77|0#12#154|1#1#1796|1#2#18480|1#3#77|1#4#154|1#9#77|1#10#154|1#11#77|1#12#154|2#1#5390|2#2#9240|2#3#77|2#4#154|2#9#77|2#10#154|2#11#77|2#12#154</v>
      </c>
      <c r="H78" s="22"/>
      <c r="I78" s="25">
        <v>810000</v>
      </c>
      <c r="J78" s="197">
        <v>77</v>
      </c>
      <c r="K78" s="183">
        <f t="shared" si="19"/>
        <v>10780</v>
      </c>
      <c r="L78" s="183">
        <f t="shared" si="20"/>
        <v>18480</v>
      </c>
      <c r="M78" s="183">
        <f t="shared" si="21"/>
        <v>77</v>
      </c>
      <c r="N78" s="183">
        <f t="shared" si="22"/>
        <v>154</v>
      </c>
      <c r="O78" s="183">
        <f t="shared" si="24"/>
        <v>77</v>
      </c>
      <c r="P78" s="183">
        <f t="shared" si="25"/>
        <v>154</v>
      </c>
      <c r="Q78" s="183">
        <f t="shared" si="26"/>
        <v>77</v>
      </c>
      <c r="R78" s="183">
        <f t="shared" si="27"/>
        <v>154</v>
      </c>
      <c r="S78" s="183">
        <f t="shared" si="28"/>
        <v>77</v>
      </c>
      <c r="T78" s="183">
        <f t="shared" si="29"/>
        <v>154</v>
      </c>
      <c r="U78" s="183">
        <f t="shared" si="30"/>
        <v>77</v>
      </c>
      <c r="V78" s="183">
        <f t="shared" si="31"/>
        <v>154</v>
      </c>
      <c r="W78" s="12">
        <f>K78*属性价值参考!C$5+升级!L78*属性价值参考!C$6+升级!M78*属性价值参考!C$7+升级!N78*属性价值参考!C$8+升级!S78*属性价值参考!C$9+升级!T78*属性价值参考!C$10+升级!U78*属性价值参考!C$11+升级!V78*属性价值参考!C$12</f>
        <v>90348.719999999987</v>
      </c>
    </row>
    <row r="79" spans="1:23" x14ac:dyDescent="0.3">
      <c r="A79" s="22"/>
      <c r="B79" s="22"/>
      <c r="C79" s="27">
        <v>78</v>
      </c>
      <c r="D79" s="27" t="str">
        <f t="shared" si="16"/>
        <v>0#1#10920|0#2#374|0#3#78|0#4#156|0#9#78|0#10#156|0#11#78|0#12#156</v>
      </c>
      <c r="E79" s="27" t="str">
        <f t="shared" si="17"/>
        <v>1#1#1820|1#2#18720|1#3#78|1#4#156|1#9#78|1#10#156|1#11#78|1#12#156</v>
      </c>
      <c r="F79" s="27" t="str">
        <f t="shared" si="18"/>
        <v>2#1#5460|2#2#9360|2#3#78|2#4#156|2#9#78|2#10#156|2#11#78|2#12#156</v>
      </c>
      <c r="G79" s="27" t="str">
        <f t="shared" si="23"/>
        <v>0#1#10920|0#2#374|0#3#78|0#4#156|0#9#78|0#10#156|0#11#78|0#12#156|1#1#1820|1#2#18720|1#3#78|1#4#156|1#9#78|1#10#156|1#11#78|1#12#156|2#1#5460|2#2#9360|2#3#78|2#4#156|2#9#78|2#10#156|2#11#78|2#12#156</v>
      </c>
      <c r="H79" s="22"/>
      <c r="I79" s="28">
        <v>850000</v>
      </c>
      <c r="J79" s="198">
        <v>78</v>
      </c>
      <c r="K79" s="183">
        <f t="shared" si="19"/>
        <v>10920</v>
      </c>
      <c r="L79" s="183">
        <f t="shared" si="20"/>
        <v>18720</v>
      </c>
      <c r="M79" s="183">
        <f t="shared" si="21"/>
        <v>78</v>
      </c>
      <c r="N79" s="183">
        <f t="shared" si="22"/>
        <v>156</v>
      </c>
      <c r="O79" s="183">
        <f t="shared" si="24"/>
        <v>78</v>
      </c>
      <c r="P79" s="183">
        <f t="shared" si="25"/>
        <v>156</v>
      </c>
      <c r="Q79" s="183">
        <f t="shared" si="26"/>
        <v>78</v>
      </c>
      <c r="R79" s="183">
        <f t="shared" si="27"/>
        <v>156</v>
      </c>
      <c r="S79" s="183">
        <f t="shared" si="28"/>
        <v>78</v>
      </c>
      <c r="T79" s="183">
        <f t="shared" si="29"/>
        <v>156</v>
      </c>
      <c r="U79" s="183">
        <f t="shared" si="30"/>
        <v>78</v>
      </c>
      <c r="V79" s="183">
        <f t="shared" si="31"/>
        <v>156</v>
      </c>
      <c r="W79" s="12">
        <f>K79*属性价值参考!C$5+升级!L79*属性价值参考!C$6+升级!M79*属性价值参考!C$7+升级!N79*属性价值参考!C$8+升级!S79*属性价值参考!C$9+升级!T79*属性价值参考!C$10+升级!U79*属性价值参考!C$11+升级!V79*属性价值参考!C$12</f>
        <v>91522.08</v>
      </c>
    </row>
    <row r="80" spans="1:23" x14ac:dyDescent="0.3">
      <c r="A80" s="22"/>
      <c r="B80" s="22"/>
      <c r="C80" s="24">
        <v>79</v>
      </c>
      <c r="D80" s="27" t="str">
        <f t="shared" si="16"/>
        <v>0#1#11060|0#2#379|0#3#79|0#4#158|0#9#79|0#10#158|0#11#79|0#12#158</v>
      </c>
      <c r="E80" s="27" t="str">
        <f t="shared" si="17"/>
        <v>1#1#1843|1#2#18960|1#3#79|1#4#158|1#9#79|1#10#158|1#11#79|1#12#158</v>
      </c>
      <c r="F80" s="27" t="str">
        <f t="shared" si="18"/>
        <v>2#1#5530|2#2#9480|2#3#79|2#4#158|2#9#79|2#10#158|2#11#79|2#12#158</v>
      </c>
      <c r="G80" s="27" t="str">
        <f t="shared" si="23"/>
        <v>0#1#11060|0#2#379|0#3#79|0#4#158|0#9#79|0#10#158|0#11#79|0#12#158|1#1#1843|1#2#18960|1#3#79|1#4#158|1#9#79|1#10#158|1#11#79|1#12#158|2#1#5530|2#2#9480|2#3#79|2#4#158|2#9#79|2#10#158|2#11#79|2#12#158</v>
      </c>
      <c r="H80" s="22"/>
      <c r="I80" s="25">
        <v>890000</v>
      </c>
      <c r="J80" s="197">
        <v>79</v>
      </c>
      <c r="K80" s="183">
        <f t="shared" si="19"/>
        <v>11060</v>
      </c>
      <c r="L80" s="183">
        <f t="shared" si="20"/>
        <v>18960</v>
      </c>
      <c r="M80" s="183">
        <f t="shared" si="21"/>
        <v>79</v>
      </c>
      <c r="N80" s="183">
        <f t="shared" si="22"/>
        <v>158</v>
      </c>
      <c r="O80" s="183">
        <f t="shared" si="24"/>
        <v>79</v>
      </c>
      <c r="P80" s="183">
        <f t="shared" si="25"/>
        <v>158</v>
      </c>
      <c r="Q80" s="183">
        <f t="shared" si="26"/>
        <v>79</v>
      </c>
      <c r="R80" s="183">
        <f t="shared" si="27"/>
        <v>158</v>
      </c>
      <c r="S80" s="183">
        <f t="shared" si="28"/>
        <v>79</v>
      </c>
      <c r="T80" s="183">
        <f t="shared" si="29"/>
        <v>158</v>
      </c>
      <c r="U80" s="183">
        <f t="shared" si="30"/>
        <v>79</v>
      </c>
      <c r="V80" s="183">
        <f t="shared" si="31"/>
        <v>158</v>
      </c>
      <c r="W80" s="12">
        <f>K80*属性价值参考!C$5+升级!L80*属性价值参考!C$6+升级!M80*属性价值参考!C$7+升级!N80*属性价值参考!C$8+升级!S80*属性价值参考!C$9+升级!T80*属性价值参考!C$10+升级!U80*属性价值参考!C$11+升级!V80*属性价值参考!C$12</f>
        <v>92695.440000000017</v>
      </c>
    </row>
    <row r="81" spans="1:23" x14ac:dyDescent="0.3">
      <c r="A81" s="22"/>
      <c r="B81" s="22"/>
      <c r="C81" s="27">
        <v>80</v>
      </c>
      <c r="D81" s="27" t="str">
        <f t="shared" si="16"/>
        <v>0#1#11200|0#2#384|0#3#80|0#4#160|0#9#80|0#10#160|0#11#80|0#12#160</v>
      </c>
      <c r="E81" s="27" t="str">
        <f t="shared" si="17"/>
        <v>1#1#1866|1#2#19200|1#3#80|1#4#160|1#9#80|1#10#160|1#11#80|1#12#160</v>
      </c>
      <c r="F81" s="27" t="str">
        <f t="shared" si="18"/>
        <v>2#1#5600|2#2#9600|2#3#80|2#4#160|2#9#80|2#10#160|2#11#80|2#12#160</v>
      </c>
      <c r="G81" s="27" t="str">
        <f t="shared" si="23"/>
        <v>0#1#11200|0#2#384|0#3#80|0#4#160|0#9#80|0#10#160|0#11#80|0#12#160|1#1#1866|1#2#19200|1#3#80|1#4#160|1#9#80|1#10#160|1#11#80|1#12#160|2#1#5600|2#2#9600|2#3#80|2#4#160|2#9#80|2#10#160|2#11#80|2#12#160</v>
      </c>
      <c r="H81" s="22"/>
      <c r="I81" s="28">
        <v>940000</v>
      </c>
      <c r="J81" s="198">
        <v>80</v>
      </c>
      <c r="K81" s="183">
        <f t="shared" si="19"/>
        <v>11200</v>
      </c>
      <c r="L81" s="183">
        <f t="shared" si="20"/>
        <v>19200</v>
      </c>
      <c r="M81" s="183">
        <f t="shared" si="21"/>
        <v>80</v>
      </c>
      <c r="N81" s="183">
        <f t="shared" si="22"/>
        <v>160</v>
      </c>
      <c r="O81" s="183">
        <f t="shared" si="24"/>
        <v>80</v>
      </c>
      <c r="P81" s="183">
        <f t="shared" si="25"/>
        <v>160</v>
      </c>
      <c r="Q81" s="183">
        <f t="shared" si="26"/>
        <v>80</v>
      </c>
      <c r="R81" s="183">
        <f t="shared" si="27"/>
        <v>160</v>
      </c>
      <c r="S81" s="183">
        <f t="shared" si="28"/>
        <v>80</v>
      </c>
      <c r="T81" s="183">
        <f t="shared" si="29"/>
        <v>160</v>
      </c>
      <c r="U81" s="183">
        <f t="shared" si="30"/>
        <v>80</v>
      </c>
      <c r="V81" s="183">
        <f t="shared" si="31"/>
        <v>160</v>
      </c>
      <c r="W81" s="12">
        <f>K81*属性价值参考!C$5+升级!L81*属性价值参考!C$6+升级!M81*属性价值参考!C$7+升级!N81*属性价值参考!C$8+升级!S81*属性价值参考!C$9+升级!T81*属性价值参考!C$10+升级!U81*属性价值参考!C$11+升级!V81*属性价值参考!C$12</f>
        <v>93868.800000000003</v>
      </c>
    </row>
    <row r="82" spans="1:23" x14ac:dyDescent="0.3">
      <c r="A82" s="22"/>
      <c r="B82" s="22"/>
      <c r="C82" s="24">
        <v>81</v>
      </c>
      <c r="D82" s="27" t="str">
        <f t="shared" si="16"/>
        <v>0#1#11340|0#2#388|0#3#81|0#4#162|0#9#81|0#10#162|0#11#81|0#12#162</v>
      </c>
      <c r="E82" s="27" t="str">
        <f t="shared" si="17"/>
        <v>1#1#1890|1#2#19440|1#3#81|1#4#162|1#9#81|1#10#162|1#11#81|1#12#162</v>
      </c>
      <c r="F82" s="27" t="str">
        <f t="shared" si="18"/>
        <v>2#1#5670|2#2#9720|2#3#81|2#4#162|2#9#81|2#10#162|2#11#81|2#12#162</v>
      </c>
      <c r="G82" s="27" t="str">
        <f t="shared" si="23"/>
        <v>0#1#11340|0#2#388|0#3#81|0#4#162|0#9#81|0#10#162|0#11#81|0#12#162|1#1#1890|1#2#19440|1#3#81|1#4#162|1#9#81|1#10#162|1#11#81|1#12#162|2#1#5670|2#2#9720|2#3#81|2#4#162|2#9#81|2#10#162|2#11#81|2#12#162</v>
      </c>
      <c r="H82" s="22"/>
      <c r="I82" s="25">
        <v>990000</v>
      </c>
      <c r="J82" s="197">
        <v>81</v>
      </c>
      <c r="K82" s="183">
        <f t="shared" si="19"/>
        <v>11340</v>
      </c>
      <c r="L82" s="183">
        <f t="shared" si="20"/>
        <v>19440</v>
      </c>
      <c r="M82" s="183">
        <f t="shared" si="21"/>
        <v>81</v>
      </c>
      <c r="N82" s="183">
        <f t="shared" si="22"/>
        <v>162</v>
      </c>
      <c r="O82" s="183">
        <f t="shared" si="24"/>
        <v>81</v>
      </c>
      <c r="P82" s="183">
        <f t="shared" si="25"/>
        <v>162</v>
      </c>
      <c r="Q82" s="183">
        <f t="shared" si="26"/>
        <v>81</v>
      </c>
      <c r="R82" s="183">
        <f t="shared" si="27"/>
        <v>162</v>
      </c>
      <c r="S82" s="183">
        <f t="shared" si="28"/>
        <v>81</v>
      </c>
      <c r="T82" s="183">
        <f t="shared" si="29"/>
        <v>162</v>
      </c>
      <c r="U82" s="183">
        <f t="shared" si="30"/>
        <v>81</v>
      </c>
      <c r="V82" s="183">
        <f t="shared" si="31"/>
        <v>162</v>
      </c>
      <c r="W82" s="12">
        <f>K82*属性价值参考!C$5+升级!L82*属性价值参考!C$6+升级!M82*属性价值参考!C$7+升级!N82*属性价值参考!C$8+升级!S82*属性价值参考!C$9+升级!T82*属性价值参考!C$10+升级!U82*属性价值参考!C$11+升级!V82*属性价值参考!C$12</f>
        <v>95042.159999999974</v>
      </c>
    </row>
    <row r="83" spans="1:23" x14ac:dyDescent="0.3">
      <c r="A83" s="22"/>
      <c r="B83" s="22"/>
      <c r="C83" s="27">
        <v>82</v>
      </c>
      <c r="D83" s="27" t="str">
        <f t="shared" si="16"/>
        <v>0#1#11480|0#2#393|0#3#82|0#4#164|0#9#82|0#10#164|0#11#82|0#12#164</v>
      </c>
      <c r="E83" s="27" t="str">
        <f t="shared" si="17"/>
        <v>1#1#1913|1#2#19680|1#3#82|1#4#164|1#9#82|1#10#164|1#11#82|1#12#164</v>
      </c>
      <c r="F83" s="27" t="str">
        <f t="shared" si="18"/>
        <v>2#1#5740|2#2#9840|2#3#82|2#4#164|2#9#82|2#10#164|2#11#82|2#12#164</v>
      </c>
      <c r="G83" s="27" t="str">
        <f t="shared" si="23"/>
        <v>0#1#11480|0#2#393|0#3#82|0#4#164|0#9#82|0#10#164|0#11#82|0#12#164|1#1#1913|1#2#19680|1#3#82|1#4#164|1#9#82|1#10#164|1#11#82|1#12#164|2#1#5740|2#2#9840|2#3#82|2#4#164|2#9#82|2#10#164|2#11#82|2#12#164</v>
      </c>
      <c r="H83" s="22"/>
      <c r="I83" s="28">
        <v>1040000</v>
      </c>
      <c r="J83" s="198">
        <v>82</v>
      </c>
      <c r="K83" s="183">
        <f t="shared" si="19"/>
        <v>11480</v>
      </c>
      <c r="L83" s="183">
        <f t="shared" si="20"/>
        <v>19680</v>
      </c>
      <c r="M83" s="183">
        <f t="shared" si="21"/>
        <v>82</v>
      </c>
      <c r="N83" s="183">
        <f t="shared" si="22"/>
        <v>164</v>
      </c>
      <c r="O83" s="183">
        <f t="shared" si="24"/>
        <v>82</v>
      </c>
      <c r="P83" s="183">
        <f t="shared" si="25"/>
        <v>164</v>
      </c>
      <c r="Q83" s="183">
        <f t="shared" si="26"/>
        <v>82</v>
      </c>
      <c r="R83" s="183">
        <f t="shared" si="27"/>
        <v>164</v>
      </c>
      <c r="S83" s="183">
        <f t="shared" si="28"/>
        <v>82</v>
      </c>
      <c r="T83" s="183">
        <f t="shared" si="29"/>
        <v>164</v>
      </c>
      <c r="U83" s="183">
        <f t="shared" si="30"/>
        <v>82</v>
      </c>
      <c r="V83" s="183">
        <f t="shared" si="31"/>
        <v>164</v>
      </c>
      <c r="W83" s="12">
        <f>K83*属性价值参考!C$5+升级!L83*属性价值参考!C$6+升级!M83*属性价值参考!C$7+升级!N83*属性价值参考!C$8+升级!S83*属性价值参考!C$9+升级!T83*属性价值参考!C$10+升级!U83*属性价值参考!C$11+升级!V83*属性价值参考!C$12</f>
        <v>96215.519999999975</v>
      </c>
    </row>
    <row r="84" spans="1:23" x14ac:dyDescent="0.3">
      <c r="A84" s="22"/>
      <c r="B84" s="22"/>
      <c r="C84" s="24">
        <v>83</v>
      </c>
      <c r="D84" s="27" t="str">
        <f t="shared" si="16"/>
        <v>0#1#11620|0#2#398|0#3#83|0#4#166|0#9#83|0#10#166|0#11#83|0#12#166</v>
      </c>
      <c r="E84" s="27" t="str">
        <f t="shared" si="17"/>
        <v>1#1#1936|1#2#19920|1#3#83|1#4#166|1#9#83|1#10#166|1#11#83|1#12#166</v>
      </c>
      <c r="F84" s="27" t="str">
        <f t="shared" si="18"/>
        <v>2#1#5810|2#2#9960|2#3#83|2#4#166|2#9#83|2#10#166|2#11#83|2#12#166</v>
      </c>
      <c r="G84" s="27" t="str">
        <f t="shared" si="23"/>
        <v>0#1#11620|0#2#398|0#3#83|0#4#166|0#9#83|0#10#166|0#11#83|0#12#166|1#1#1936|1#2#19920|1#3#83|1#4#166|1#9#83|1#10#166|1#11#83|1#12#166|2#1#5810|2#2#9960|2#3#83|2#4#166|2#9#83|2#10#166|2#11#83|2#12#166</v>
      </c>
      <c r="H84" s="22"/>
      <c r="I84" s="25">
        <v>1090000</v>
      </c>
      <c r="J84" s="197">
        <v>83</v>
      </c>
      <c r="K84" s="183">
        <f t="shared" si="19"/>
        <v>11620</v>
      </c>
      <c r="L84" s="183">
        <f t="shared" si="20"/>
        <v>19920</v>
      </c>
      <c r="M84" s="183">
        <f t="shared" si="21"/>
        <v>83</v>
      </c>
      <c r="N84" s="183">
        <f t="shared" si="22"/>
        <v>166</v>
      </c>
      <c r="O84" s="183">
        <f t="shared" si="24"/>
        <v>83</v>
      </c>
      <c r="P84" s="183">
        <f t="shared" si="25"/>
        <v>166</v>
      </c>
      <c r="Q84" s="183">
        <f t="shared" si="26"/>
        <v>83</v>
      </c>
      <c r="R84" s="183">
        <f t="shared" si="27"/>
        <v>166</v>
      </c>
      <c r="S84" s="183">
        <f t="shared" si="28"/>
        <v>83</v>
      </c>
      <c r="T84" s="183">
        <f t="shared" si="29"/>
        <v>166</v>
      </c>
      <c r="U84" s="183">
        <f t="shared" si="30"/>
        <v>83</v>
      </c>
      <c r="V84" s="183">
        <f t="shared" si="31"/>
        <v>166</v>
      </c>
      <c r="W84" s="12">
        <f>K84*属性价值参考!C$5+升级!L84*属性价值参考!C$6+升级!M84*属性价值参考!C$7+升级!N84*属性价值参考!C$8+升级!S84*属性价值参考!C$9+升级!T84*属性价值参考!C$10+升级!U84*属性价值参考!C$11+升级!V84*属性价值参考!C$12</f>
        <v>97388.88</v>
      </c>
    </row>
    <row r="85" spans="1:23" x14ac:dyDescent="0.3">
      <c r="A85" s="22"/>
      <c r="B85" s="22"/>
      <c r="C85" s="27">
        <v>84</v>
      </c>
      <c r="D85" s="27" t="str">
        <f t="shared" si="16"/>
        <v>0#1#11760|0#2#403|0#3#84|0#4#168|0#9#84|0#10#168|0#11#84|0#12#168</v>
      </c>
      <c r="E85" s="27" t="str">
        <f t="shared" si="17"/>
        <v>1#1#1960|1#2#20160|1#3#84|1#4#168|1#9#84|1#10#168|1#11#84|1#12#168</v>
      </c>
      <c r="F85" s="27" t="str">
        <f t="shared" si="18"/>
        <v>2#1#5880|2#2#10080|2#3#84|2#4#168|2#9#84|2#10#168|2#11#84|2#12#168</v>
      </c>
      <c r="G85" s="27" t="str">
        <f t="shared" si="23"/>
        <v>0#1#11760|0#2#403|0#3#84|0#4#168|0#9#84|0#10#168|0#11#84|0#12#168|1#1#1960|1#2#20160|1#3#84|1#4#168|1#9#84|1#10#168|1#11#84|1#12#168|2#1#5880|2#2#10080|2#3#84|2#4#168|2#9#84|2#10#168|2#11#84|2#12#168</v>
      </c>
      <c r="H85" s="22"/>
      <c r="I85" s="28">
        <v>1140000</v>
      </c>
      <c r="J85" s="198">
        <v>84</v>
      </c>
      <c r="K85" s="183">
        <f t="shared" si="19"/>
        <v>11760</v>
      </c>
      <c r="L85" s="183">
        <f t="shared" si="20"/>
        <v>20160</v>
      </c>
      <c r="M85" s="183">
        <f t="shared" si="21"/>
        <v>84</v>
      </c>
      <c r="N85" s="183">
        <f t="shared" si="22"/>
        <v>168</v>
      </c>
      <c r="O85" s="183">
        <f t="shared" si="24"/>
        <v>84</v>
      </c>
      <c r="P85" s="183">
        <f t="shared" si="25"/>
        <v>168</v>
      </c>
      <c r="Q85" s="183">
        <f t="shared" si="26"/>
        <v>84</v>
      </c>
      <c r="R85" s="183">
        <f t="shared" si="27"/>
        <v>168</v>
      </c>
      <c r="S85" s="183">
        <f t="shared" si="28"/>
        <v>84</v>
      </c>
      <c r="T85" s="183">
        <f t="shared" si="29"/>
        <v>168</v>
      </c>
      <c r="U85" s="183">
        <f t="shared" si="30"/>
        <v>84</v>
      </c>
      <c r="V85" s="183">
        <f t="shared" si="31"/>
        <v>168</v>
      </c>
      <c r="W85" s="12">
        <f>K85*属性价值参考!C$5+升级!L85*属性价值参考!C$6+升级!M85*属性价值参考!C$7+升级!N85*属性价值参考!C$8+升级!S85*属性价值参考!C$9+升级!T85*属性价值参考!C$10+升级!U85*属性价值参考!C$11+升级!V85*属性价值参考!C$12</f>
        <v>98562.24000000002</v>
      </c>
    </row>
    <row r="86" spans="1:23" x14ac:dyDescent="0.3">
      <c r="A86" s="22"/>
      <c r="B86" s="22"/>
      <c r="C86" s="24">
        <v>85</v>
      </c>
      <c r="D86" s="27" t="str">
        <f t="shared" si="16"/>
        <v>0#1#11900|0#2#408|0#3#85|0#4#170|0#9#85|0#10#170|0#11#85|0#12#170</v>
      </c>
      <c r="E86" s="27" t="str">
        <f t="shared" si="17"/>
        <v>1#1#1983|1#2#20400|1#3#85|1#4#170|1#9#85|1#10#170|1#11#85|1#12#170</v>
      </c>
      <c r="F86" s="27" t="str">
        <f t="shared" si="18"/>
        <v>2#1#5950|2#2#10200|2#3#85|2#4#170|2#9#85|2#10#170|2#11#85|2#12#170</v>
      </c>
      <c r="G86" s="27" t="str">
        <f t="shared" si="23"/>
        <v>0#1#11900|0#2#408|0#3#85|0#4#170|0#9#85|0#10#170|0#11#85|0#12#170|1#1#1983|1#2#20400|1#3#85|1#4#170|1#9#85|1#10#170|1#11#85|1#12#170|2#1#5950|2#2#10200|2#3#85|2#4#170|2#9#85|2#10#170|2#11#85|2#12#170</v>
      </c>
      <c r="H86" s="22"/>
      <c r="I86" s="25">
        <v>1200000</v>
      </c>
      <c r="J86" s="197">
        <v>85</v>
      </c>
      <c r="K86" s="183">
        <f t="shared" si="19"/>
        <v>11900</v>
      </c>
      <c r="L86" s="183">
        <f t="shared" si="20"/>
        <v>20400</v>
      </c>
      <c r="M86" s="183">
        <f t="shared" si="21"/>
        <v>85</v>
      </c>
      <c r="N86" s="183">
        <f t="shared" si="22"/>
        <v>170</v>
      </c>
      <c r="O86" s="183">
        <f t="shared" si="24"/>
        <v>85</v>
      </c>
      <c r="P86" s="183">
        <f t="shared" si="25"/>
        <v>170</v>
      </c>
      <c r="Q86" s="183">
        <f t="shared" si="26"/>
        <v>85</v>
      </c>
      <c r="R86" s="183">
        <f t="shared" si="27"/>
        <v>170</v>
      </c>
      <c r="S86" s="183">
        <f t="shared" si="28"/>
        <v>85</v>
      </c>
      <c r="T86" s="183">
        <f t="shared" si="29"/>
        <v>170</v>
      </c>
      <c r="U86" s="183">
        <f t="shared" si="30"/>
        <v>85</v>
      </c>
      <c r="V86" s="183">
        <f t="shared" si="31"/>
        <v>170</v>
      </c>
      <c r="W86" s="12">
        <f>K86*属性价值参考!C$5+升级!L86*属性价值参考!C$6+升级!M86*属性价值参考!C$7+升级!N86*属性价值参考!C$8+升级!S86*属性价值参考!C$9+升级!T86*属性价值参考!C$10+升级!U86*属性价值参考!C$11+升级!V86*属性价值参考!C$12</f>
        <v>99735.6</v>
      </c>
    </row>
    <row r="87" spans="1:23" x14ac:dyDescent="0.3">
      <c r="A87" s="22"/>
      <c r="B87" s="22"/>
      <c r="C87" s="27">
        <v>86</v>
      </c>
      <c r="D87" s="27" t="str">
        <f t="shared" si="16"/>
        <v>0#1#12040|0#2#412|0#3#86|0#4#172|0#9#86|0#10#172|0#11#86|0#12#172</v>
      </c>
      <c r="E87" s="27" t="str">
        <f t="shared" si="17"/>
        <v>1#1#2006|1#2#20640|1#3#86|1#4#172|1#9#86|1#10#172|1#11#86|1#12#172</v>
      </c>
      <c r="F87" s="27" t="str">
        <f t="shared" si="18"/>
        <v>2#1#6020|2#2#10320|2#3#86|2#4#172|2#9#86|2#10#172|2#11#86|2#12#172</v>
      </c>
      <c r="G87" s="27" t="str">
        <f t="shared" si="23"/>
        <v>0#1#12040|0#2#412|0#3#86|0#4#172|0#9#86|0#10#172|0#11#86|0#12#172|1#1#2006|1#2#20640|1#3#86|1#4#172|1#9#86|1#10#172|1#11#86|1#12#172|2#1#6020|2#2#10320|2#3#86|2#4#172|2#9#86|2#10#172|2#11#86|2#12#172</v>
      </c>
      <c r="H87" s="22"/>
      <c r="I87" s="28">
        <v>1260000</v>
      </c>
      <c r="J87" s="198">
        <v>86</v>
      </c>
      <c r="K87" s="183">
        <f t="shared" si="19"/>
        <v>12040</v>
      </c>
      <c r="L87" s="183">
        <f t="shared" si="20"/>
        <v>20640</v>
      </c>
      <c r="M87" s="183">
        <f t="shared" si="21"/>
        <v>86</v>
      </c>
      <c r="N87" s="183">
        <f t="shared" si="22"/>
        <v>172</v>
      </c>
      <c r="O87" s="183">
        <f t="shared" si="24"/>
        <v>86</v>
      </c>
      <c r="P87" s="183">
        <f t="shared" si="25"/>
        <v>172</v>
      </c>
      <c r="Q87" s="183">
        <f t="shared" si="26"/>
        <v>86</v>
      </c>
      <c r="R87" s="183">
        <f t="shared" si="27"/>
        <v>172</v>
      </c>
      <c r="S87" s="183">
        <f t="shared" si="28"/>
        <v>86</v>
      </c>
      <c r="T87" s="183">
        <f t="shared" si="29"/>
        <v>172</v>
      </c>
      <c r="U87" s="183">
        <f t="shared" si="30"/>
        <v>86</v>
      </c>
      <c r="V87" s="183">
        <f t="shared" si="31"/>
        <v>172</v>
      </c>
      <c r="W87" s="12">
        <f>K87*属性价值参考!C$5+升级!L87*属性价值参考!C$6+升级!M87*属性价值参考!C$7+升级!N87*属性价值参考!C$8+升级!S87*属性价值参考!C$9+升级!T87*属性价值参考!C$10+升级!U87*属性价值参考!C$11+升级!V87*属性价值参考!C$12</f>
        <v>100908.95999999998</v>
      </c>
    </row>
    <row r="88" spans="1:23" x14ac:dyDescent="0.3">
      <c r="A88" s="22"/>
      <c r="B88" s="22"/>
      <c r="C88" s="24">
        <v>87</v>
      </c>
      <c r="D88" s="27" t="str">
        <f t="shared" si="16"/>
        <v>0#1#12180|0#2#417|0#3#87|0#4#174|0#9#87|0#10#174|0#11#87|0#12#174</v>
      </c>
      <c r="E88" s="27" t="str">
        <f t="shared" si="17"/>
        <v>1#1#2030|1#2#20880|1#3#87|1#4#174|1#9#87|1#10#174|1#11#87|1#12#174</v>
      </c>
      <c r="F88" s="27" t="str">
        <f t="shared" si="18"/>
        <v>2#1#6090|2#2#10440|2#3#87|2#4#174|2#9#87|2#10#174|2#11#87|2#12#174</v>
      </c>
      <c r="G88" s="27" t="str">
        <f t="shared" si="23"/>
        <v>0#1#12180|0#2#417|0#3#87|0#4#174|0#9#87|0#10#174|0#11#87|0#12#174|1#1#2030|1#2#20880|1#3#87|1#4#174|1#9#87|1#10#174|1#11#87|1#12#174|2#1#6090|2#2#10440|2#3#87|2#4#174|2#9#87|2#10#174|2#11#87|2#12#174</v>
      </c>
      <c r="H88" s="22"/>
      <c r="I88" s="25">
        <v>1320000</v>
      </c>
      <c r="J88" s="197">
        <v>87</v>
      </c>
      <c r="K88" s="183">
        <f t="shared" si="19"/>
        <v>12180</v>
      </c>
      <c r="L88" s="183">
        <f t="shared" si="20"/>
        <v>20880</v>
      </c>
      <c r="M88" s="183">
        <f t="shared" si="21"/>
        <v>87</v>
      </c>
      <c r="N88" s="183">
        <f t="shared" si="22"/>
        <v>174</v>
      </c>
      <c r="O88" s="183">
        <f t="shared" si="24"/>
        <v>87</v>
      </c>
      <c r="P88" s="183">
        <f t="shared" si="25"/>
        <v>174</v>
      </c>
      <c r="Q88" s="183">
        <f t="shared" si="26"/>
        <v>87</v>
      </c>
      <c r="R88" s="183">
        <f t="shared" si="27"/>
        <v>174</v>
      </c>
      <c r="S88" s="183">
        <f t="shared" si="28"/>
        <v>87</v>
      </c>
      <c r="T88" s="183">
        <f t="shared" si="29"/>
        <v>174</v>
      </c>
      <c r="U88" s="183">
        <f t="shared" si="30"/>
        <v>87</v>
      </c>
      <c r="V88" s="183">
        <f t="shared" si="31"/>
        <v>174</v>
      </c>
      <c r="W88" s="12">
        <f>K88*属性价值参考!C$5+升级!L88*属性价值参考!C$6+升级!M88*属性价值参考!C$7+升级!N88*属性价值参考!C$8+升级!S88*属性价值参考!C$9+升级!T88*属性价值参考!C$10+升级!U88*属性价值参考!C$11+升级!V88*属性价值参考!C$12</f>
        <v>102082.31999999999</v>
      </c>
    </row>
    <row r="89" spans="1:23" x14ac:dyDescent="0.3">
      <c r="A89" s="22"/>
      <c r="B89" s="22"/>
      <c r="C89" s="27">
        <v>88</v>
      </c>
      <c r="D89" s="27" t="str">
        <f t="shared" si="16"/>
        <v>0#1#12320|0#2#422|0#3#88|0#4#176|0#9#88|0#10#176|0#11#88|0#12#176</v>
      </c>
      <c r="E89" s="27" t="str">
        <f t="shared" si="17"/>
        <v>1#1#2053|1#2#21120|1#3#88|1#4#176|1#9#88|1#10#176|1#11#88|1#12#176</v>
      </c>
      <c r="F89" s="27" t="str">
        <f t="shared" si="18"/>
        <v>2#1#6160|2#2#10560|2#3#88|2#4#176|2#9#88|2#10#176|2#11#88|2#12#176</v>
      </c>
      <c r="G89" s="27" t="str">
        <f t="shared" si="23"/>
        <v>0#1#12320|0#2#422|0#3#88|0#4#176|0#9#88|0#10#176|0#11#88|0#12#176|1#1#2053|1#2#21120|1#3#88|1#4#176|1#9#88|1#10#176|1#11#88|1#12#176|2#1#6160|2#2#10560|2#3#88|2#4#176|2#9#88|2#10#176|2#11#88|2#12#176</v>
      </c>
      <c r="H89" s="22"/>
      <c r="I89" s="28">
        <v>1380000</v>
      </c>
      <c r="J89" s="198">
        <v>88</v>
      </c>
      <c r="K89" s="183">
        <f t="shared" si="19"/>
        <v>12320</v>
      </c>
      <c r="L89" s="183">
        <f t="shared" si="20"/>
        <v>21120</v>
      </c>
      <c r="M89" s="183">
        <f t="shared" si="21"/>
        <v>88</v>
      </c>
      <c r="N89" s="183">
        <f t="shared" si="22"/>
        <v>176</v>
      </c>
      <c r="O89" s="183">
        <f t="shared" si="24"/>
        <v>88</v>
      </c>
      <c r="P89" s="183">
        <f t="shared" si="25"/>
        <v>176</v>
      </c>
      <c r="Q89" s="183">
        <f t="shared" si="26"/>
        <v>88</v>
      </c>
      <c r="R89" s="183">
        <f t="shared" si="27"/>
        <v>176</v>
      </c>
      <c r="S89" s="183">
        <f t="shared" si="28"/>
        <v>88</v>
      </c>
      <c r="T89" s="183">
        <f t="shared" si="29"/>
        <v>176</v>
      </c>
      <c r="U89" s="183">
        <f t="shared" si="30"/>
        <v>88</v>
      </c>
      <c r="V89" s="183">
        <f t="shared" si="31"/>
        <v>176</v>
      </c>
      <c r="W89" s="12">
        <f>K89*属性价值参考!C$5+升级!L89*属性价值参考!C$6+升级!M89*属性价值参考!C$7+升级!N89*属性价值参考!C$8+升级!S89*属性价值参考!C$9+升级!T89*属性价值参考!C$10+升级!U89*属性价值参考!C$11+升级!V89*属性价值参考!C$12</f>
        <v>103255.68000000001</v>
      </c>
    </row>
    <row r="90" spans="1:23" x14ac:dyDescent="0.3">
      <c r="A90" s="22"/>
      <c r="B90" s="22"/>
      <c r="C90" s="24">
        <v>89</v>
      </c>
      <c r="D90" s="27" t="str">
        <f t="shared" si="16"/>
        <v>0#1#12460|0#2#427|0#3#89|0#4#178|0#9#89|0#10#178|0#11#89|0#12#178</v>
      </c>
      <c r="E90" s="27" t="str">
        <f t="shared" si="17"/>
        <v>1#1#2076|1#2#21360|1#3#89|1#4#178|1#9#89|1#10#178|1#11#89|1#12#178</v>
      </c>
      <c r="F90" s="27" t="str">
        <f t="shared" si="18"/>
        <v>2#1#6230|2#2#10680|2#3#89|2#4#178|2#9#89|2#10#178|2#11#89|2#12#178</v>
      </c>
      <c r="G90" s="27" t="str">
        <f t="shared" si="23"/>
        <v>0#1#12460|0#2#427|0#3#89|0#4#178|0#9#89|0#10#178|0#11#89|0#12#178|1#1#2076|1#2#21360|1#3#89|1#4#178|1#9#89|1#10#178|1#11#89|1#12#178|2#1#6230|2#2#10680|2#3#89|2#4#178|2#9#89|2#10#178|2#11#89|2#12#178</v>
      </c>
      <c r="H90" s="22"/>
      <c r="I90" s="25">
        <v>1440000</v>
      </c>
      <c r="J90" s="197">
        <v>89</v>
      </c>
      <c r="K90" s="183">
        <f t="shared" si="19"/>
        <v>12460</v>
      </c>
      <c r="L90" s="183">
        <f t="shared" si="20"/>
        <v>21360</v>
      </c>
      <c r="M90" s="183">
        <f t="shared" si="21"/>
        <v>89</v>
      </c>
      <c r="N90" s="183">
        <f t="shared" si="22"/>
        <v>178</v>
      </c>
      <c r="O90" s="183">
        <f t="shared" si="24"/>
        <v>89</v>
      </c>
      <c r="P90" s="183">
        <f t="shared" si="25"/>
        <v>178</v>
      </c>
      <c r="Q90" s="183">
        <f t="shared" si="26"/>
        <v>89</v>
      </c>
      <c r="R90" s="183">
        <f t="shared" si="27"/>
        <v>178</v>
      </c>
      <c r="S90" s="183">
        <f t="shared" si="28"/>
        <v>89</v>
      </c>
      <c r="T90" s="183">
        <f t="shared" si="29"/>
        <v>178</v>
      </c>
      <c r="U90" s="183">
        <f t="shared" si="30"/>
        <v>89</v>
      </c>
      <c r="V90" s="183">
        <f t="shared" si="31"/>
        <v>178</v>
      </c>
      <c r="W90" s="12">
        <f>K90*属性价值参考!C$5+升级!L90*属性价值参考!C$6+升级!M90*属性价值参考!C$7+升级!N90*属性价值参考!C$8+升级!S90*属性价值参考!C$9+升级!T90*属性价值参考!C$10+升级!U90*属性价值参考!C$11+升级!V90*属性价值参考!C$12</f>
        <v>104429.04000000002</v>
      </c>
    </row>
    <row r="91" spans="1:23" x14ac:dyDescent="0.3">
      <c r="A91" s="22"/>
      <c r="B91" s="22"/>
      <c r="C91" s="27">
        <v>90</v>
      </c>
      <c r="D91" s="27" t="str">
        <f t="shared" si="16"/>
        <v>0#1#12600|0#2#432|0#3#90|0#4#180|0#9#90|0#10#180|0#11#90|0#12#180</v>
      </c>
      <c r="E91" s="27" t="str">
        <f t="shared" si="17"/>
        <v>1#1#2100|1#2#21600|1#3#90|1#4#180|1#9#90|1#10#180|1#11#90|1#12#180</v>
      </c>
      <c r="F91" s="27" t="str">
        <f t="shared" si="18"/>
        <v>2#1#6300|2#2#10800|2#3#90|2#4#180|2#9#90|2#10#180|2#11#90|2#12#180</v>
      </c>
      <c r="G91" s="27" t="str">
        <f t="shared" si="23"/>
        <v>0#1#12600|0#2#432|0#3#90|0#4#180|0#9#90|0#10#180|0#11#90|0#12#180|1#1#2100|1#2#21600|1#3#90|1#4#180|1#9#90|1#10#180|1#11#90|1#12#180|2#1#6300|2#2#10800|2#3#90|2#4#180|2#9#90|2#10#180|2#11#90|2#12#180</v>
      </c>
      <c r="H91" s="22"/>
      <c r="I91" s="28">
        <v>1550000</v>
      </c>
      <c r="J91" s="198">
        <v>90</v>
      </c>
      <c r="K91" s="183">
        <f t="shared" si="19"/>
        <v>12600</v>
      </c>
      <c r="L91" s="183">
        <f t="shared" si="20"/>
        <v>21600</v>
      </c>
      <c r="M91" s="183">
        <f t="shared" si="21"/>
        <v>90</v>
      </c>
      <c r="N91" s="183">
        <f t="shared" si="22"/>
        <v>180</v>
      </c>
      <c r="O91" s="183">
        <f t="shared" si="24"/>
        <v>90</v>
      </c>
      <c r="P91" s="183">
        <f t="shared" si="25"/>
        <v>180</v>
      </c>
      <c r="Q91" s="183">
        <f t="shared" si="26"/>
        <v>90</v>
      </c>
      <c r="R91" s="183">
        <f t="shared" si="27"/>
        <v>180</v>
      </c>
      <c r="S91" s="183">
        <f t="shared" si="28"/>
        <v>90</v>
      </c>
      <c r="T91" s="183">
        <f t="shared" si="29"/>
        <v>180</v>
      </c>
      <c r="U91" s="183">
        <f t="shared" si="30"/>
        <v>90</v>
      </c>
      <c r="V91" s="183">
        <f t="shared" si="31"/>
        <v>180</v>
      </c>
      <c r="W91" s="12">
        <f>K91*属性价值参考!C$5+升级!L91*属性价值参考!C$6+升级!M91*属性价值参考!C$7+升级!N91*属性价值参考!C$8+升级!S91*属性价值参考!C$9+升级!T91*属性价值参考!C$10+升级!U91*属性价值参考!C$11+升级!V91*属性价值参考!C$12</f>
        <v>105602.4</v>
      </c>
    </row>
    <row r="92" spans="1:23" x14ac:dyDescent="0.3">
      <c r="A92" s="22"/>
      <c r="B92" s="22"/>
      <c r="C92" s="24">
        <v>91</v>
      </c>
      <c r="D92" s="27" t="str">
        <f t="shared" si="16"/>
        <v>0#1#12740|0#2#436|0#3#91|0#4#182|0#9#91|0#10#182|0#11#91|0#12#182</v>
      </c>
      <c r="E92" s="27" t="str">
        <f t="shared" si="17"/>
        <v>1#1#2123|1#2#21840|1#3#91|1#4#182|1#9#91|1#10#182|1#11#91|1#12#182</v>
      </c>
      <c r="F92" s="27" t="str">
        <f t="shared" si="18"/>
        <v>2#1#6370|2#2#10920|2#3#91|2#4#182|2#9#91|2#10#182|2#11#91|2#12#182</v>
      </c>
      <c r="G92" s="27" t="str">
        <f t="shared" si="23"/>
        <v>0#1#12740|0#2#436|0#3#91|0#4#182|0#9#91|0#10#182|0#11#91|0#12#182|1#1#2123|1#2#21840|1#3#91|1#4#182|1#9#91|1#10#182|1#11#91|1#12#182|2#1#6370|2#2#10920|2#3#91|2#4#182|2#9#91|2#10#182|2#11#91|2#12#182</v>
      </c>
      <c r="H92" s="22"/>
      <c r="I92" s="25">
        <v>1660000</v>
      </c>
      <c r="J92" s="197">
        <v>91</v>
      </c>
      <c r="K92" s="183">
        <f t="shared" si="19"/>
        <v>12740</v>
      </c>
      <c r="L92" s="183">
        <f t="shared" si="20"/>
        <v>21840</v>
      </c>
      <c r="M92" s="183">
        <f t="shared" si="21"/>
        <v>91</v>
      </c>
      <c r="N92" s="183">
        <f t="shared" si="22"/>
        <v>182</v>
      </c>
      <c r="O92" s="183">
        <f t="shared" si="24"/>
        <v>91</v>
      </c>
      <c r="P92" s="183">
        <f t="shared" si="25"/>
        <v>182</v>
      </c>
      <c r="Q92" s="183">
        <f t="shared" si="26"/>
        <v>91</v>
      </c>
      <c r="R92" s="183">
        <f t="shared" si="27"/>
        <v>182</v>
      </c>
      <c r="S92" s="183">
        <f t="shared" si="28"/>
        <v>91</v>
      </c>
      <c r="T92" s="183">
        <f t="shared" si="29"/>
        <v>182</v>
      </c>
      <c r="U92" s="183">
        <f t="shared" si="30"/>
        <v>91</v>
      </c>
      <c r="V92" s="183">
        <f t="shared" si="31"/>
        <v>182</v>
      </c>
      <c r="W92" s="12">
        <f>K92*属性价值参考!C$5+升级!L92*属性价值参考!C$6+升级!M92*属性价值参考!C$7+升级!N92*属性价值参考!C$8+升级!S92*属性价值参考!C$9+升级!T92*属性价值参考!C$10+升级!U92*属性价值参考!C$11+升级!V92*属性价值参考!C$12</f>
        <v>106775.75999999997</v>
      </c>
    </row>
    <row r="93" spans="1:23" x14ac:dyDescent="0.3">
      <c r="A93" s="22"/>
      <c r="B93" s="22"/>
      <c r="C93" s="27">
        <v>92</v>
      </c>
      <c r="D93" s="27" t="str">
        <f t="shared" si="16"/>
        <v>0#1#12880|0#2#441|0#3#92|0#4#184|0#9#92|0#10#184|0#11#92|0#12#184</v>
      </c>
      <c r="E93" s="27" t="str">
        <f t="shared" si="17"/>
        <v>1#1#2146|1#2#22080|1#3#92|1#4#184|1#9#92|1#10#184|1#11#92|1#12#184</v>
      </c>
      <c r="F93" s="27" t="str">
        <f t="shared" si="18"/>
        <v>2#1#6440|2#2#11040|2#3#92|2#4#184|2#9#92|2#10#184|2#11#92|2#12#184</v>
      </c>
      <c r="G93" s="27" t="str">
        <f t="shared" si="23"/>
        <v>0#1#12880|0#2#441|0#3#92|0#4#184|0#9#92|0#10#184|0#11#92|0#12#184|1#1#2146|1#2#22080|1#3#92|1#4#184|1#9#92|1#10#184|1#11#92|1#12#184|2#1#6440|2#2#11040|2#3#92|2#4#184|2#9#92|2#10#184|2#11#92|2#12#184</v>
      </c>
      <c r="H93" s="22"/>
      <c r="I93" s="28">
        <v>1770000</v>
      </c>
      <c r="J93" s="198">
        <v>92</v>
      </c>
      <c r="K93" s="183">
        <f t="shared" si="19"/>
        <v>12880</v>
      </c>
      <c r="L93" s="183">
        <f t="shared" si="20"/>
        <v>22080</v>
      </c>
      <c r="M93" s="183">
        <f t="shared" si="21"/>
        <v>92</v>
      </c>
      <c r="N93" s="183">
        <f t="shared" si="22"/>
        <v>184</v>
      </c>
      <c r="O93" s="183">
        <f t="shared" si="24"/>
        <v>92</v>
      </c>
      <c r="P93" s="183">
        <f t="shared" si="25"/>
        <v>184</v>
      </c>
      <c r="Q93" s="183">
        <f t="shared" si="26"/>
        <v>92</v>
      </c>
      <c r="R93" s="183">
        <f t="shared" si="27"/>
        <v>184</v>
      </c>
      <c r="S93" s="183">
        <f t="shared" si="28"/>
        <v>92</v>
      </c>
      <c r="T93" s="183">
        <f t="shared" si="29"/>
        <v>184</v>
      </c>
      <c r="U93" s="183">
        <f t="shared" si="30"/>
        <v>92</v>
      </c>
      <c r="V93" s="183">
        <f t="shared" si="31"/>
        <v>184</v>
      </c>
      <c r="W93" s="12">
        <f>K93*属性价值参考!C$5+升级!L93*属性价值参考!C$6+升级!M93*属性价值参考!C$7+升级!N93*属性价值参考!C$8+升级!S93*属性价值参考!C$9+升级!T93*属性价值参考!C$10+升级!U93*属性价值参考!C$11+升级!V93*属性价值参考!C$12</f>
        <v>107949.11999999998</v>
      </c>
    </row>
    <row r="94" spans="1:23" x14ac:dyDescent="0.3">
      <c r="A94" s="22"/>
      <c r="B94" s="22"/>
      <c r="C94" s="24">
        <v>93</v>
      </c>
      <c r="D94" s="27" t="str">
        <f t="shared" si="16"/>
        <v>0#1#13020|0#2#446|0#3#93|0#4#186|0#9#93|0#10#186|0#11#93|0#12#186</v>
      </c>
      <c r="E94" s="27" t="str">
        <f t="shared" si="17"/>
        <v>1#1#2170|1#2#22320|1#3#93|1#4#186|1#9#93|1#10#186|1#11#93|1#12#186</v>
      </c>
      <c r="F94" s="27" t="str">
        <f t="shared" si="18"/>
        <v>2#1#6510|2#2#11160|2#3#93|2#4#186|2#9#93|2#10#186|2#11#93|2#12#186</v>
      </c>
      <c r="G94" s="27" t="str">
        <f t="shared" si="23"/>
        <v>0#1#13020|0#2#446|0#3#93|0#4#186|0#9#93|0#10#186|0#11#93|0#12#186|1#1#2170|1#2#22320|1#3#93|1#4#186|1#9#93|1#10#186|1#11#93|1#12#186|2#1#6510|2#2#11160|2#3#93|2#4#186|2#9#93|2#10#186|2#11#93|2#12#186</v>
      </c>
      <c r="H94" s="22"/>
      <c r="I94" s="25">
        <v>1880000</v>
      </c>
      <c r="J94" s="197">
        <v>93</v>
      </c>
      <c r="K94" s="183">
        <f t="shared" si="19"/>
        <v>13020</v>
      </c>
      <c r="L94" s="183">
        <f t="shared" si="20"/>
        <v>22320</v>
      </c>
      <c r="M94" s="183">
        <f t="shared" si="21"/>
        <v>93</v>
      </c>
      <c r="N94" s="183">
        <f t="shared" si="22"/>
        <v>186</v>
      </c>
      <c r="O94" s="183">
        <f t="shared" si="24"/>
        <v>93</v>
      </c>
      <c r="P94" s="183">
        <f t="shared" si="25"/>
        <v>186</v>
      </c>
      <c r="Q94" s="183">
        <f t="shared" si="26"/>
        <v>93</v>
      </c>
      <c r="R94" s="183">
        <f t="shared" si="27"/>
        <v>186</v>
      </c>
      <c r="S94" s="183">
        <f t="shared" si="28"/>
        <v>93</v>
      </c>
      <c r="T94" s="183">
        <f t="shared" si="29"/>
        <v>186</v>
      </c>
      <c r="U94" s="183">
        <f t="shared" si="30"/>
        <v>93</v>
      </c>
      <c r="V94" s="183">
        <f t="shared" si="31"/>
        <v>186</v>
      </c>
      <c r="W94" s="12">
        <f>K94*属性价值参考!C$5+升级!L94*属性价值参考!C$6+升级!M94*属性价值参考!C$7+升级!N94*属性价值参考!C$8+升级!S94*属性价值参考!C$9+升级!T94*属性价值参考!C$10+升级!U94*属性价值参考!C$11+升级!V94*属性价值参考!C$12</f>
        <v>109122.48000000001</v>
      </c>
    </row>
    <row r="95" spans="1:23" x14ac:dyDescent="0.3">
      <c r="A95" s="22"/>
      <c r="B95" s="22"/>
      <c r="C95" s="27">
        <v>94</v>
      </c>
      <c r="D95" s="27" t="str">
        <f t="shared" si="16"/>
        <v>0#1#13160|0#2#451|0#3#94|0#4#188|0#9#94|0#10#188|0#11#94|0#12#188</v>
      </c>
      <c r="E95" s="27" t="str">
        <f t="shared" si="17"/>
        <v>1#1#2193|1#2#22560|1#3#94|1#4#188|1#9#94|1#10#188|1#11#94|1#12#188</v>
      </c>
      <c r="F95" s="27" t="str">
        <f t="shared" si="18"/>
        <v>2#1#6580|2#2#11280|2#3#94|2#4#188|2#9#94|2#10#188|2#11#94|2#12#188</v>
      </c>
      <c r="G95" s="27" t="str">
        <f t="shared" si="23"/>
        <v>0#1#13160|0#2#451|0#3#94|0#4#188|0#9#94|0#10#188|0#11#94|0#12#188|1#1#2193|1#2#22560|1#3#94|1#4#188|1#9#94|1#10#188|1#11#94|1#12#188|2#1#6580|2#2#11280|2#3#94|2#4#188|2#9#94|2#10#188|2#11#94|2#12#188</v>
      </c>
      <c r="H95" s="22"/>
      <c r="I95" s="28">
        <v>1990000</v>
      </c>
      <c r="J95" s="198">
        <v>94</v>
      </c>
      <c r="K95" s="183">
        <f t="shared" si="19"/>
        <v>13160</v>
      </c>
      <c r="L95" s="183">
        <f t="shared" si="20"/>
        <v>22560</v>
      </c>
      <c r="M95" s="183">
        <f t="shared" si="21"/>
        <v>94</v>
      </c>
      <c r="N95" s="183">
        <f t="shared" si="22"/>
        <v>188</v>
      </c>
      <c r="O95" s="183">
        <f t="shared" si="24"/>
        <v>94</v>
      </c>
      <c r="P95" s="183">
        <f t="shared" si="25"/>
        <v>188</v>
      </c>
      <c r="Q95" s="183">
        <f t="shared" si="26"/>
        <v>94</v>
      </c>
      <c r="R95" s="183">
        <f t="shared" si="27"/>
        <v>188</v>
      </c>
      <c r="S95" s="183">
        <f t="shared" si="28"/>
        <v>94</v>
      </c>
      <c r="T95" s="183">
        <f t="shared" si="29"/>
        <v>188</v>
      </c>
      <c r="U95" s="183">
        <f t="shared" si="30"/>
        <v>94</v>
      </c>
      <c r="V95" s="183">
        <f t="shared" si="31"/>
        <v>188</v>
      </c>
      <c r="W95" s="12">
        <f>K95*属性价值参考!C$5+升级!L95*属性价值参考!C$6+升级!M95*属性价值参考!C$7+升级!N95*属性价值参考!C$8+升级!S95*属性价值参考!C$9+升级!T95*属性价值参考!C$10+升级!U95*属性价值参考!C$11+升级!V95*属性价值参考!C$12</f>
        <v>110295.84000000001</v>
      </c>
    </row>
    <row r="96" spans="1:23" x14ac:dyDescent="0.3">
      <c r="A96" s="22"/>
      <c r="B96" s="22"/>
      <c r="C96" s="24">
        <v>95</v>
      </c>
      <c r="D96" s="27" t="str">
        <f t="shared" si="16"/>
        <v>0#1#13300|0#2#456|0#3#95|0#4#190|0#9#95|0#10#190|0#11#95|0#12#190</v>
      </c>
      <c r="E96" s="27" t="str">
        <f t="shared" si="17"/>
        <v>1#1#2216|1#2#22800|1#3#95|1#4#190|1#9#95|1#10#190|1#11#95|1#12#190</v>
      </c>
      <c r="F96" s="27" t="str">
        <f t="shared" si="18"/>
        <v>2#1#6650|2#2#11400|2#3#95|2#4#190|2#9#95|2#10#190|2#11#95|2#12#190</v>
      </c>
      <c r="G96" s="27" t="str">
        <f t="shared" si="23"/>
        <v>0#1#13300|0#2#456|0#3#95|0#4#190|0#9#95|0#10#190|0#11#95|0#12#190|1#1#2216|1#2#22800|1#3#95|1#4#190|1#9#95|1#10#190|1#11#95|1#12#190|2#1#6650|2#2#11400|2#3#95|2#4#190|2#9#95|2#10#190|2#11#95|2#12#190</v>
      </c>
      <c r="H96" s="22"/>
      <c r="I96" s="25">
        <v>2180000</v>
      </c>
      <c r="J96" s="197">
        <v>95</v>
      </c>
      <c r="K96" s="183">
        <f t="shared" si="19"/>
        <v>13300</v>
      </c>
      <c r="L96" s="183">
        <f t="shared" si="20"/>
        <v>22800</v>
      </c>
      <c r="M96" s="183">
        <f t="shared" si="21"/>
        <v>95</v>
      </c>
      <c r="N96" s="183">
        <f t="shared" si="22"/>
        <v>190</v>
      </c>
      <c r="O96" s="183">
        <f t="shared" si="24"/>
        <v>95</v>
      </c>
      <c r="P96" s="183">
        <f t="shared" si="25"/>
        <v>190</v>
      </c>
      <c r="Q96" s="183">
        <f t="shared" si="26"/>
        <v>95</v>
      </c>
      <c r="R96" s="183">
        <f t="shared" si="27"/>
        <v>190</v>
      </c>
      <c r="S96" s="183">
        <f t="shared" si="28"/>
        <v>95</v>
      </c>
      <c r="T96" s="183">
        <f t="shared" si="29"/>
        <v>190</v>
      </c>
      <c r="U96" s="183">
        <f t="shared" si="30"/>
        <v>95</v>
      </c>
      <c r="V96" s="183">
        <f t="shared" si="31"/>
        <v>190</v>
      </c>
      <c r="W96" s="12">
        <f>K96*属性价值参考!C$5+升级!L96*属性价值参考!C$6+升级!M96*属性价值参考!C$7+升级!N96*属性价值参考!C$8+升级!S96*属性价值参考!C$9+升级!T96*属性价值参考!C$10+升级!U96*属性价值参考!C$11+升级!V96*属性价值参考!C$12</f>
        <v>111469.19999999998</v>
      </c>
    </row>
    <row r="97" spans="1:23" x14ac:dyDescent="0.3">
      <c r="A97" s="22"/>
      <c r="B97" s="22"/>
      <c r="C97" s="27">
        <v>96</v>
      </c>
      <c r="D97" s="27" t="str">
        <f t="shared" si="16"/>
        <v>0#1#13440|0#2#460|0#3#96|0#4#192|0#9#96|0#10#192|0#11#96|0#12#192</v>
      </c>
      <c r="E97" s="27" t="str">
        <f t="shared" si="17"/>
        <v>1#1#2240|1#2#23040|1#3#96|1#4#192|1#9#96|1#10#192|1#11#96|1#12#192</v>
      </c>
      <c r="F97" s="27" t="str">
        <f t="shared" si="18"/>
        <v>2#1#6720|2#2#11520|2#3#96|2#4#192|2#9#96|2#10#192|2#11#96|2#12#192</v>
      </c>
      <c r="G97" s="27" t="str">
        <f t="shared" si="23"/>
        <v>0#1#13440|0#2#460|0#3#96|0#4#192|0#9#96|0#10#192|0#11#96|0#12#192|1#1#2240|1#2#23040|1#3#96|1#4#192|1#9#96|1#10#192|1#11#96|1#12#192|2#1#6720|2#2#11520|2#3#96|2#4#192|2#9#96|2#10#192|2#11#96|2#12#192</v>
      </c>
      <c r="H97" s="22"/>
      <c r="I97" s="28">
        <v>2340000</v>
      </c>
      <c r="J97" s="198">
        <v>96</v>
      </c>
      <c r="K97" s="183">
        <f t="shared" si="19"/>
        <v>13440</v>
      </c>
      <c r="L97" s="183">
        <f t="shared" si="20"/>
        <v>23040</v>
      </c>
      <c r="M97" s="183">
        <f t="shared" si="21"/>
        <v>96</v>
      </c>
      <c r="N97" s="183">
        <f t="shared" si="22"/>
        <v>192</v>
      </c>
      <c r="O97" s="183">
        <f t="shared" si="24"/>
        <v>96</v>
      </c>
      <c r="P97" s="183">
        <f t="shared" si="25"/>
        <v>192</v>
      </c>
      <c r="Q97" s="183">
        <f t="shared" si="26"/>
        <v>96</v>
      </c>
      <c r="R97" s="183">
        <f t="shared" si="27"/>
        <v>192</v>
      </c>
      <c r="S97" s="183">
        <f t="shared" si="28"/>
        <v>96</v>
      </c>
      <c r="T97" s="183">
        <f t="shared" si="29"/>
        <v>192</v>
      </c>
      <c r="U97" s="183">
        <f t="shared" si="30"/>
        <v>96</v>
      </c>
      <c r="V97" s="183">
        <f t="shared" si="31"/>
        <v>192</v>
      </c>
      <c r="W97" s="12">
        <f>K97*属性价值参考!C$5+升级!L97*属性价值参考!C$6+升级!M97*属性价值参考!C$7+升级!N97*属性价值参考!C$8+升级!S97*属性价值参考!C$9+升级!T97*属性价值参考!C$10+升级!U97*属性价值参考!C$11+升级!V97*属性价值参考!C$12</f>
        <v>112642.55999999997</v>
      </c>
    </row>
    <row r="98" spans="1:23" x14ac:dyDescent="0.3">
      <c r="A98" s="22"/>
      <c r="B98" s="22"/>
      <c r="C98" s="24">
        <v>97</v>
      </c>
      <c r="D98" s="27" t="str">
        <f t="shared" si="16"/>
        <v>0#1#13580|0#2#465|0#3#97|0#4#194|0#9#97|0#10#194|0#11#97|0#12#194</v>
      </c>
      <c r="E98" s="27" t="str">
        <f t="shared" si="17"/>
        <v>1#1#2263|1#2#23280|1#3#97|1#4#194|1#9#97|1#10#194|1#11#97|1#12#194</v>
      </c>
      <c r="F98" s="27" t="str">
        <f t="shared" si="18"/>
        <v>2#1#6790|2#2#11640|2#3#97|2#4#194|2#9#97|2#10#194|2#11#97|2#12#194</v>
      </c>
      <c r="G98" s="27" t="str">
        <f t="shared" si="23"/>
        <v>0#1#13580|0#2#465|0#3#97|0#4#194|0#9#97|0#10#194|0#11#97|0#12#194|1#1#2263|1#2#23280|1#3#97|1#4#194|1#9#97|1#10#194|1#11#97|1#12#194|2#1#6790|2#2#11640|2#3#97|2#4#194|2#9#97|2#10#194|2#11#97|2#12#194</v>
      </c>
      <c r="H98" s="22"/>
      <c r="I98" s="25">
        <v>2500000</v>
      </c>
      <c r="J98" s="197">
        <v>97</v>
      </c>
      <c r="K98" s="183">
        <f t="shared" si="19"/>
        <v>13580</v>
      </c>
      <c r="L98" s="183">
        <f t="shared" si="20"/>
        <v>23280</v>
      </c>
      <c r="M98" s="183">
        <f t="shared" si="21"/>
        <v>97</v>
      </c>
      <c r="N98" s="183">
        <f t="shared" si="22"/>
        <v>194</v>
      </c>
      <c r="O98" s="183">
        <f t="shared" si="24"/>
        <v>97</v>
      </c>
      <c r="P98" s="183">
        <f t="shared" si="25"/>
        <v>194</v>
      </c>
      <c r="Q98" s="183">
        <f t="shared" si="26"/>
        <v>97</v>
      </c>
      <c r="R98" s="183">
        <f t="shared" si="27"/>
        <v>194</v>
      </c>
      <c r="S98" s="183">
        <f t="shared" si="28"/>
        <v>97</v>
      </c>
      <c r="T98" s="183">
        <f t="shared" si="29"/>
        <v>194</v>
      </c>
      <c r="U98" s="183">
        <f t="shared" si="30"/>
        <v>97</v>
      </c>
      <c r="V98" s="183">
        <f t="shared" si="31"/>
        <v>194</v>
      </c>
      <c r="W98" s="12">
        <f>K98*属性价值参考!C$5+升级!L98*属性价值参考!C$6+升级!M98*属性价值参考!C$7+升级!N98*属性价值参考!C$8+升级!S98*属性价值参考!C$9+升级!T98*属性价值参考!C$10+升级!U98*属性价值参考!C$11+升级!V98*属性价值参考!C$12</f>
        <v>113815.91999999998</v>
      </c>
    </row>
    <row r="99" spans="1:23" x14ac:dyDescent="0.3">
      <c r="A99" s="22"/>
      <c r="B99" s="22"/>
      <c r="C99" s="27">
        <v>98</v>
      </c>
      <c r="D99" s="27" t="str">
        <f t="shared" si="16"/>
        <v>0#1#13720|0#2#470|0#3#98|0#4#196|0#9#98|0#10#196|0#11#98|0#12#196</v>
      </c>
      <c r="E99" s="27" t="str">
        <f t="shared" si="17"/>
        <v>1#1#2286|1#2#23520|1#3#98|1#4#196|1#9#98|1#10#196|1#11#98|1#12#196</v>
      </c>
      <c r="F99" s="27" t="str">
        <f t="shared" si="18"/>
        <v>2#1#6860|2#2#11760|2#3#98|2#4#196|2#9#98|2#10#196|2#11#98|2#12#196</v>
      </c>
      <c r="G99" s="27" t="str">
        <f t="shared" si="23"/>
        <v>0#1#13720|0#2#470|0#3#98|0#4#196|0#9#98|0#10#196|0#11#98|0#12#196|1#1#2286|1#2#23520|1#3#98|1#4#196|1#9#98|1#10#196|1#11#98|1#12#196|2#1#6860|2#2#11760|2#3#98|2#4#196|2#9#98|2#10#196|2#11#98|2#12#196</v>
      </c>
      <c r="H99" s="22"/>
      <c r="I99" s="28">
        <v>2660000</v>
      </c>
      <c r="J99" s="198">
        <v>98</v>
      </c>
      <c r="K99" s="183">
        <f t="shared" si="19"/>
        <v>13720</v>
      </c>
      <c r="L99" s="183">
        <f t="shared" si="20"/>
        <v>23520</v>
      </c>
      <c r="M99" s="183">
        <f t="shared" si="21"/>
        <v>98</v>
      </c>
      <c r="N99" s="183">
        <f t="shared" si="22"/>
        <v>196</v>
      </c>
      <c r="O99" s="183">
        <f t="shared" si="24"/>
        <v>98</v>
      </c>
      <c r="P99" s="183">
        <f t="shared" si="25"/>
        <v>196</v>
      </c>
      <c r="Q99" s="183">
        <f t="shared" si="26"/>
        <v>98</v>
      </c>
      <c r="R99" s="183">
        <f t="shared" si="27"/>
        <v>196</v>
      </c>
      <c r="S99" s="183">
        <f t="shared" si="28"/>
        <v>98</v>
      </c>
      <c r="T99" s="183">
        <f t="shared" si="29"/>
        <v>196</v>
      </c>
      <c r="U99" s="183">
        <f t="shared" si="30"/>
        <v>98</v>
      </c>
      <c r="V99" s="183">
        <f t="shared" si="31"/>
        <v>196</v>
      </c>
      <c r="W99" s="12">
        <f>K99*属性价值参考!C$5+升级!L99*属性价值参考!C$6+升级!M99*属性价值参考!C$7+升级!N99*属性价值参考!C$8+升级!S99*属性价值参考!C$9+升级!T99*属性价值参考!C$10+升级!U99*属性价值参考!C$11+升级!V99*属性价值参考!C$12</f>
        <v>114989.28000000001</v>
      </c>
    </row>
    <row r="100" spans="1:23" x14ac:dyDescent="0.3">
      <c r="A100" s="22"/>
      <c r="B100" s="22"/>
      <c r="C100" s="24">
        <v>99</v>
      </c>
      <c r="D100" s="27" t="str">
        <f t="shared" si="16"/>
        <v>0#1#13860|0#2#475|0#3#99|0#4#198|0#9#99|0#10#198|0#11#99|0#12#198</v>
      </c>
      <c r="E100" s="27" t="str">
        <f t="shared" si="17"/>
        <v>1#1#2310|1#2#23760|1#3#99|1#4#198|1#9#99|1#10#198|1#11#99|1#12#198</v>
      </c>
      <c r="F100" s="27" t="str">
        <f t="shared" si="18"/>
        <v>2#1#6930|2#2#11880|2#3#99|2#4#198|2#9#99|2#10#198|2#11#99|2#12#198</v>
      </c>
      <c r="G100" s="27" t="str">
        <f t="shared" si="23"/>
        <v>0#1#13860|0#2#475|0#3#99|0#4#198|0#9#99|0#10#198|0#11#99|0#12#198|1#1#2310|1#2#23760|1#3#99|1#4#198|1#9#99|1#10#198|1#11#99|1#12#198|2#1#6930|2#2#11880|2#3#99|2#4#198|2#9#99|2#10#198|2#11#99|2#12#198</v>
      </c>
      <c r="H100" s="22"/>
      <c r="I100" s="25">
        <v>2820000</v>
      </c>
      <c r="J100" s="197">
        <v>99</v>
      </c>
      <c r="K100" s="183">
        <f t="shared" si="19"/>
        <v>13860</v>
      </c>
      <c r="L100" s="183">
        <f t="shared" si="20"/>
        <v>23760</v>
      </c>
      <c r="M100" s="183">
        <f t="shared" si="21"/>
        <v>99</v>
      </c>
      <c r="N100" s="183">
        <f t="shared" si="22"/>
        <v>198</v>
      </c>
      <c r="O100" s="183">
        <f t="shared" si="24"/>
        <v>99</v>
      </c>
      <c r="P100" s="183">
        <f t="shared" si="25"/>
        <v>198</v>
      </c>
      <c r="Q100" s="183">
        <f t="shared" si="26"/>
        <v>99</v>
      </c>
      <c r="R100" s="183">
        <f t="shared" si="27"/>
        <v>198</v>
      </c>
      <c r="S100" s="183">
        <f t="shared" si="28"/>
        <v>99</v>
      </c>
      <c r="T100" s="183">
        <f t="shared" si="29"/>
        <v>198</v>
      </c>
      <c r="U100" s="183">
        <f t="shared" si="30"/>
        <v>99</v>
      </c>
      <c r="V100" s="183">
        <f t="shared" si="31"/>
        <v>198</v>
      </c>
      <c r="W100" s="12">
        <f>K100*属性价值参考!C$5+升级!L100*属性价值参考!C$6+升级!M100*属性价值参考!C$7+升级!N100*属性价值参考!C$8+升级!S100*属性价值参考!C$9+升级!T100*属性价值参考!C$10+升级!U100*属性价值参考!C$11+升级!V100*属性价值参考!C$12</f>
        <v>116162.64000000003</v>
      </c>
    </row>
    <row r="101" spans="1:23" x14ac:dyDescent="0.3">
      <c r="A101" s="22"/>
      <c r="B101" s="22"/>
      <c r="C101" s="27">
        <v>100</v>
      </c>
      <c r="D101" s="27" t="str">
        <f t="shared" si="16"/>
        <v>0#1#14000|0#2#480|0#3#100|0#4#200|0#9#100|0#10#200|0#11#100|0#12#200</v>
      </c>
      <c r="E101" s="27" t="str">
        <f t="shared" si="17"/>
        <v>1#1#2333|1#2#24000|1#3#100|1#4#200|1#9#100|1#10#200|1#11#100|1#12#200</v>
      </c>
      <c r="F101" s="27" t="str">
        <f t="shared" si="18"/>
        <v>2#1#7000|2#2#12000|2#3#100|2#4#200|2#9#100|2#10#200|2#11#100|2#12#200</v>
      </c>
      <c r="G101" s="27" t="str">
        <f t="shared" si="23"/>
        <v>0#1#14000|0#2#480|0#3#100|0#4#200|0#9#100|0#10#200|0#11#100|0#12#200|1#1#2333|1#2#24000|1#3#100|1#4#200|1#9#100|1#10#200|1#11#100|1#12#200|2#1#7000|2#2#12000|2#3#100|2#4#200|2#9#100|2#10#200|2#11#100|2#12#200</v>
      </c>
      <c r="H101" s="22"/>
      <c r="I101" s="28">
        <v>3980000</v>
      </c>
      <c r="J101" s="198">
        <v>100</v>
      </c>
      <c r="K101" s="183">
        <f t="shared" si="19"/>
        <v>14000</v>
      </c>
      <c r="L101" s="183">
        <f t="shared" si="20"/>
        <v>24000</v>
      </c>
      <c r="M101" s="183">
        <f t="shared" si="21"/>
        <v>100</v>
      </c>
      <c r="N101" s="183">
        <f t="shared" si="22"/>
        <v>200</v>
      </c>
      <c r="O101" s="183">
        <f t="shared" si="24"/>
        <v>100</v>
      </c>
      <c r="P101" s="183">
        <f t="shared" si="25"/>
        <v>200</v>
      </c>
      <c r="Q101" s="183">
        <f t="shared" si="26"/>
        <v>100</v>
      </c>
      <c r="R101" s="183">
        <f t="shared" si="27"/>
        <v>200</v>
      </c>
      <c r="S101" s="183">
        <f t="shared" si="28"/>
        <v>100</v>
      </c>
      <c r="T101" s="183">
        <f t="shared" si="29"/>
        <v>200</v>
      </c>
      <c r="U101" s="183">
        <f t="shared" si="30"/>
        <v>100</v>
      </c>
      <c r="V101" s="183">
        <f t="shared" si="31"/>
        <v>200</v>
      </c>
      <c r="W101" s="12">
        <f>K101*属性价值参考!C$5+升级!L101*属性价值参考!C$6+升级!M101*属性价值参考!C$7+升级!N101*属性价值参考!C$8+升级!S101*属性价值参考!C$9+升级!T101*属性价值参考!C$10+升级!U101*属性价值参考!C$11+升级!V101*属性价值参考!C$12</f>
        <v>117335.99999999999</v>
      </c>
    </row>
    <row r="102" spans="1:23" x14ac:dyDescent="0.3">
      <c r="A102" s="22"/>
      <c r="B102" s="22"/>
      <c r="C102" s="24">
        <v>101</v>
      </c>
      <c r="D102" s="27" t="str">
        <f t="shared" si="16"/>
        <v>0#1#14140|0#2#484|0#3#101|0#4#202|0#9#101|0#10#202|0#11#101|0#12#202</v>
      </c>
      <c r="E102" s="27" t="str">
        <f t="shared" si="17"/>
        <v>1#1#2356|1#2#24240|1#3#101|1#4#202|1#9#101|1#10#202|1#11#101|1#12#202</v>
      </c>
      <c r="F102" s="27" t="str">
        <f t="shared" si="18"/>
        <v>2#1#7070|2#2#12120|2#3#101|2#4#202|2#9#101|2#10#202|2#11#101|2#12#202</v>
      </c>
      <c r="G102" s="27" t="str">
        <f t="shared" si="23"/>
        <v>0#1#14140|0#2#484|0#3#101|0#4#202|0#9#101|0#10#202|0#11#101|0#12#202|1#1#2356|1#2#24240|1#3#101|1#4#202|1#9#101|1#10#202|1#11#101|1#12#202|2#1#7070|2#2#12120|2#3#101|2#4#202|2#9#101|2#10#202|2#11#101|2#12#202</v>
      </c>
      <c r="H102" s="22"/>
      <c r="I102" s="25">
        <v>5140000</v>
      </c>
      <c r="J102" s="197">
        <v>101</v>
      </c>
      <c r="K102" s="183">
        <f t="shared" si="19"/>
        <v>14140</v>
      </c>
      <c r="L102" s="183">
        <f t="shared" si="20"/>
        <v>24240</v>
      </c>
      <c r="M102" s="183">
        <f t="shared" si="21"/>
        <v>101</v>
      </c>
      <c r="N102" s="183">
        <f t="shared" si="22"/>
        <v>202</v>
      </c>
      <c r="O102" s="183">
        <f t="shared" si="24"/>
        <v>101</v>
      </c>
      <c r="P102" s="183">
        <f t="shared" si="25"/>
        <v>202</v>
      </c>
      <c r="Q102" s="183">
        <f t="shared" si="26"/>
        <v>101</v>
      </c>
      <c r="R102" s="183">
        <f t="shared" si="27"/>
        <v>202</v>
      </c>
      <c r="S102" s="183">
        <f t="shared" si="28"/>
        <v>101</v>
      </c>
      <c r="T102" s="183">
        <f t="shared" si="29"/>
        <v>202</v>
      </c>
      <c r="U102" s="183">
        <f t="shared" si="30"/>
        <v>101</v>
      </c>
      <c r="V102" s="183">
        <f t="shared" si="31"/>
        <v>202</v>
      </c>
      <c r="W102" s="12">
        <f>K102*属性价值参考!C$5+升级!L102*属性价值参考!C$6+升级!M102*属性价值参考!C$7+升级!N102*属性价值参考!C$8+升级!S102*属性价值参考!C$9+升级!T102*属性价值参考!C$10+升级!U102*属性价值参考!C$11+升级!V102*属性价值参考!C$12</f>
        <v>118509.35999999999</v>
      </c>
    </row>
    <row r="103" spans="1:23" x14ac:dyDescent="0.3">
      <c r="A103" s="22"/>
      <c r="B103" s="22"/>
      <c r="C103" s="27">
        <v>102</v>
      </c>
      <c r="D103" s="27" t="str">
        <f t="shared" si="16"/>
        <v>0#1#14280|0#2#489|0#3#102|0#4#204|0#9#102|0#10#204|0#11#102|0#12#204</v>
      </c>
      <c r="E103" s="27" t="str">
        <f t="shared" si="17"/>
        <v>1#1#2380|1#2#24480|1#3#102|1#4#204|1#9#102|1#10#204|1#11#102|1#12#204</v>
      </c>
      <c r="F103" s="27" t="str">
        <f t="shared" si="18"/>
        <v>2#1#7140|2#2#12240|2#3#102|2#4#204|2#9#102|2#10#204|2#11#102|2#12#204</v>
      </c>
      <c r="G103" s="27" t="str">
        <f t="shared" si="23"/>
        <v>0#1#14280|0#2#489|0#3#102|0#4#204|0#9#102|0#10#204|0#11#102|0#12#204|1#1#2380|1#2#24480|1#3#102|1#4#204|1#9#102|1#10#204|1#11#102|1#12#204|2#1#7140|2#2#12240|2#3#102|2#4#204|2#9#102|2#10#204|2#11#102|2#12#204</v>
      </c>
      <c r="H103" s="22"/>
      <c r="I103" s="28">
        <v>6300000</v>
      </c>
      <c r="J103" s="198">
        <v>102</v>
      </c>
      <c r="K103" s="183">
        <f t="shared" si="19"/>
        <v>14280</v>
      </c>
      <c r="L103" s="183">
        <f t="shared" si="20"/>
        <v>24480</v>
      </c>
      <c r="M103" s="183">
        <f t="shared" si="21"/>
        <v>102</v>
      </c>
      <c r="N103" s="183">
        <f t="shared" si="22"/>
        <v>204</v>
      </c>
      <c r="O103" s="183">
        <f t="shared" si="24"/>
        <v>102</v>
      </c>
      <c r="P103" s="183">
        <f t="shared" si="25"/>
        <v>204</v>
      </c>
      <c r="Q103" s="183">
        <f t="shared" si="26"/>
        <v>102</v>
      </c>
      <c r="R103" s="183">
        <f t="shared" si="27"/>
        <v>204</v>
      </c>
      <c r="S103" s="183">
        <f t="shared" si="28"/>
        <v>102</v>
      </c>
      <c r="T103" s="183">
        <f t="shared" si="29"/>
        <v>204</v>
      </c>
      <c r="U103" s="183">
        <f t="shared" si="30"/>
        <v>102</v>
      </c>
      <c r="V103" s="183">
        <f t="shared" si="31"/>
        <v>204</v>
      </c>
      <c r="W103" s="12">
        <f>K103*属性价值参考!C$5+升级!L103*属性价值参考!C$6+升级!M103*属性价值参考!C$7+升级!N103*属性价值参考!C$8+升级!S103*属性价值参考!C$9+升级!T103*属性价值参考!C$10+升级!U103*属性价值参考!C$11+升级!V103*属性价值参考!C$12</f>
        <v>119682.71999999999</v>
      </c>
    </row>
    <row r="104" spans="1:23" x14ac:dyDescent="0.3">
      <c r="A104" s="22"/>
      <c r="B104" s="22"/>
      <c r="C104" s="24">
        <v>103</v>
      </c>
      <c r="D104" s="27" t="str">
        <f t="shared" si="16"/>
        <v>0#1#14420|0#2#494|0#3#103|0#4#206|0#9#103|0#10#206|0#11#103|0#12#206</v>
      </c>
      <c r="E104" s="27" t="str">
        <f t="shared" si="17"/>
        <v>1#1#2403|1#2#24720|1#3#103|1#4#206|1#9#103|1#10#206|1#11#103|1#12#206</v>
      </c>
      <c r="F104" s="27" t="str">
        <f t="shared" si="18"/>
        <v>2#1#7210|2#2#12360|2#3#103|2#4#206|2#9#103|2#10#206|2#11#103|2#12#206</v>
      </c>
      <c r="G104" s="27" t="str">
        <f t="shared" si="23"/>
        <v>0#1#14420|0#2#494|0#3#103|0#4#206|0#9#103|0#10#206|0#11#103|0#12#206|1#1#2403|1#2#24720|1#3#103|1#4#206|1#9#103|1#10#206|1#11#103|1#12#206|2#1#7210|2#2#12360|2#3#103|2#4#206|2#9#103|2#10#206|2#11#103|2#12#206</v>
      </c>
      <c r="H104" s="22"/>
      <c r="I104" s="25">
        <v>7460000</v>
      </c>
      <c r="J104" s="197">
        <v>103</v>
      </c>
      <c r="K104" s="183">
        <f t="shared" si="19"/>
        <v>14420</v>
      </c>
      <c r="L104" s="183">
        <f t="shared" si="20"/>
        <v>24720</v>
      </c>
      <c r="M104" s="183">
        <f t="shared" si="21"/>
        <v>103</v>
      </c>
      <c r="N104" s="183">
        <f t="shared" si="22"/>
        <v>206</v>
      </c>
      <c r="O104" s="183">
        <f t="shared" si="24"/>
        <v>103</v>
      </c>
      <c r="P104" s="183">
        <f t="shared" si="25"/>
        <v>206</v>
      </c>
      <c r="Q104" s="183">
        <f t="shared" si="26"/>
        <v>103</v>
      </c>
      <c r="R104" s="183">
        <f t="shared" si="27"/>
        <v>206</v>
      </c>
      <c r="S104" s="183">
        <f t="shared" si="28"/>
        <v>103</v>
      </c>
      <c r="T104" s="183">
        <f t="shared" si="29"/>
        <v>206</v>
      </c>
      <c r="U104" s="183">
        <f t="shared" si="30"/>
        <v>103</v>
      </c>
      <c r="V104" s="183">
        <f t="shared" si="31"/>
        <v>206</v>
      </c>
      <c r="W104" s="12">
        <f>K104*属性价值参考!C$5+升级!L104*属性价值参考!C$6+升级!M104*属性价值参考!C$7+升级!N104*属性价值参考!C$8+升级!S104*属性价值参考!C$9+升级!T104*属性价值参考!C$10+升级!U104*属性价值参考!C$11+升级!V104*属性价值参考!C$12</f>
        <v>120856.08</v>
      </c>
    </row>
    <row r="105" spans="1:23" x14ac:dyDescent="0.3">
      <c r="A105" s="22"/>
      <c r="B105" s="22"/>
      <c r="C105" s="27">
        <v>104</v>
      </c>
      <c r="D105" s="27" t="str">
        <f t="shared" si="16"/>
        <v>0#1#14560|0#2#499|0#3#104|0#4#208|0#9#104|0#10#208|0#11#104|0#12#208</v>
      </c>
      <c r="E105" s="27" t="str">
        <f t="shared" si="17"/>
        <v>1#1#2426|1#2#24960|1#3#104|1#4#208|1#9#104|1#10#208|1#11#104|1#12#208</v>
      </c>
      <c r="F105" s="27" t="str">
        <f t="shared" si="18"/>
        <v>2#1#7280|2#2#12480|2#3#104|2#4#208|2#9#104|2#10#208|2#11#104|2#12#208</v>
      </c>
      <c r="G105" s="27" t="str">
        <f t="shared" si="23"/>
        <v>0#1#14560|0#2#499|0#3#104|0#4#208|0#9#104|0#10#208|0#11#104|0#12#208|1#1#2426|1#2#24960|1#3#104|1#4#208|1#9#104|1#10#208|1#11#104|1#12#208|2#1#7280|2#2#12480|2#3#104|2#4#208|2#9#104|2#10#208|2#11#104|2#12#208</v>
      </c>
      <c r="H105" s="22"/>
      <c r="I105" s="28">
        <v>8620000</v>
      </c>
      <c r="J105" s="198">
        <v>104</v>
      </c>
      <c r="K105" s="183">
        <f t="shared" si="19"/>
        <v>14560</v>
      </c>
      <c r="L105" s="183">
        <f t="shared" si="20"/>
        <v>24960</v>
      </c>
      <c r="M105" s="183">
        <f t="shared" si="21"/>
        <v>104</v>
      </c>
      <c r="N105" s="183">
        <f t="shared" si="22"/>
        <v>208</v>
      </c>
      <c r="O105" s="183">
        <f t="shared" si="24"/>
        <v>104</v>
      </c>
      <c r="P105" s="183">
        <f t="shared" si="25"/>
        <v>208</v>
      </c>
      <c r="Q105" s="183">
        <f t="shared" si="26"/>
        <v>104</v>
      </c>
      <c r="R105" s="183">
        <f t="shared" si="27"/>
        <v>208</v>
      </c>
      <c r="S105" s="183">
        <f t="shared" si="28"/>
        <v>104</v>
      </c>
      <c r="T105" s="183">
        <f t="shared" si="29"/>
        <v>208</v>
      </c>
      <c r="U105" s="183">
        <f t="shared" si="30"/>
        <v>104</v>
      </c>
      <c r="V105" s="183">
        <f t="shared" si="31"/>
        <v>208</v>
      </c>
      <c r="W105" s="12">
        <f>K105*属性价值参考!C$5+升级!L105*属性价值参考!C$6+升级!M105*属性价值参考!C$7+升级!N105*属性价值参考!C$8+升级!S105*属性价值参考!C$9+升级!T105*属性价值参考!C$10+升级!U105*属性价值参考!C$11+升级!V105*属性价值参考!C$12</f>
        <v>122029.44000000003</v>
      </c>
    </row>
    <row r="106" spans="1:23" x14ac:dyDescent="0.3">
      <c r="A106" s="22"/>
      <c r="B106" s="22"/>
      <c r="C106" s="24">
        <v>105</v>
      </c>
      <c r="D106" s="27" t="str">
        <f t="shared" si="16"/>
        <v>0#1#14700|0#2#504|0#3#105|0#4#210|0#9#105|0#10#210|0#11#105|0#12#210</v>
      </c>
      <c r="E106" s="27" t="str">
        <f t="shared" si="17"/>
        <v>1#1#2450|1#2#25200|1#3#105|1#4#210|1#9#105|1#10#210|1#11#105|1#12#210</v>
      </c>
      <c r="F106" s="27" t="str">
        <f t="shared" si="18"/>
        <v>2#1#7350|2#2#12600|2#3#105|2#4#210|2#9#105|2#10#210|2#11#105|2#12#210</v>
      </c>
      <c r="G106" s="27" t="str">
        <f t="shared" si="23"/>
        <v>0#1#14700|0#2#504|0#3#105|0#4#210|0#9#105|0#10#210|0#11#105|0#12#210|1#1#2450|1#2#25200|1#3#105|1#4#210|1#9#105|1#10#210|1#11#105|1#12#210|2#1#7350|2#2#12600|2#3#105|2#4#210|2#9#105|2#10#210|2#11#105|2#12#210</v>
      </c>
      <c r="H106" s="22"/>
      <c r="I106" s="25">
        <v>9980000</v>
      </c>
      <c r="J106" s="197">
        <v>105</v>
      </c>
      <c r="K106" s="183">
        <f t="shared" si="19"/>
        <v>14700</v>
      </c>
      <c r="L106" s="183">
        <f t="shared" si="20"/>
        <v>25200</v>
      </c>
      <c r="M106" s="183">
        <f t="shared" si="21"/>
        <v>105</v>
      </c>
      <c r="N106" s="183">
        <f t="shared" si="22"/>
        <v>210</v>
      </c>
      <c r="O106" s="183">
        <f t="shared" si="24"/>
        <v>105</v>
      </c>
      <c r="P106" s="183">
        <f t="shared" si="25"/>
        <v>210</v>
      </c>
      <c r="Q106" s="183">
        <f t="shared" si="26"/>
        <v>105</v>
      </c>
      <c r="R106" s="183">
        <f t="shared" si="27"/>
        <v>210</v>
      </c>
      <c r="S106" s="183">
        <f t="shared" si="28"/>
        <v>105</v>
      </c>
      <c r="T106" s="183">
        <f t="shared" si="29"/>
        <v>210</v>
      </c>
      <c r="U106" s="183">
        <f t="shared" si="30"/>
        <v>105</v>
      </c>
      <c r="V106" s="183">
        <f t="shared" si="31"/>
        <v>210</v>
      </c>
      <c r="W106" s="12">
        <f>K106*属性价值参考!C$5+升级!L106*属性价值参考!C$6+升级!M106*属性价值参考!C$7+升级!N106*属性价值参考!C$8+升级!S106*属性价值参考!C$9+升级!T106*属性价值参考!C$10+升级!U106*属性价值参考!C$11+升级!V106*属性价值参考!C$12</f>
        <v>123202.8</v>
      </c>
    </row>
    <row r="107" spans="1:23" x14ac:dyDescent="0.3">
      <c r="A107" s="22"/>
      <c r="B107" s="22"/>
      <c r="C107" s="27">
        <v>106</v>
      </c>
      <c r="D107" s="27" t="str">
        <f t="shared" si="16"/>
        <v>0#1#14840|0#2#508|0#3#106|0#4#212|0#9#106|0#10#212|0#11#106|0#12#212</v>
      </c>
      <c r="E107" s="27" t="str">
        <f t="shared" si="17"/>
        <v>1#1#2473|1#2#25440|1#3#106|1#4#212|1#9#106|1#10#212|1#11#106|1#12#212</v>
      </c>
      <c r="F107" s="27" t="str">
        <f t="shared" si="18"/>
        <v>2#1#7420|2#2#12720|2#3#106|2#4#212|2#9#106|2#10#212|2#11#106|2#12#212</v>
      </c>
      <c r="G107" s="27" t="str">
        <f t="shared" si="23"/>
        <v>0#1#14840|0#2#508|0#3#106|0#4#212|0#9#106|0#10#212|0#11#106|0#12#212|1#1#2473|1#2#25440|1#3#106|1#4#212|1#9#106|1#10#212|1#11#106|1#12#212|2#1#7420|2#2#12720|2#3#106|2#4#212|2#9#106|2#10#212|2#11#106|2#12#212</v>
      </c>
      <c r="H107" s="22"/>
      <c r="I107" s="28">
        <v>11340000</v>
      </c>
      <c r="J107" s="198">
        <v>106</v>
      </c>
      <c r="K107" s="183">
        <f t="shared" si="19"/>
        <v>14840</v>
      </c>
      <c r="L107" s="183">
        <f t="shared" si="20"/>
        <v>25440</v>
      </c>
      <c r="M107" s="183">
        <f t="shared" si="21"/>
        <v>106</v>
      </c>
      <c r="N107" s="183">
        <f t="shared" si="22"/>
        <v>212</v>
      </c>
      <c r="O107" s="183">
        <f t="shared" si="24"/>
        <v>106</v>
      </c>
      <c r="P107" s="183">
        <f t="shared" si="25"/>
        <v>212</v>
      </c>
      <c r="Q107" s="183">
        <f t="shared" si="26"/>
        <v>106</v>
      </c>
      <c r="R107" s="183">
        <f t="shared" si="27"/>
        <v>212</v>
      </c>
      <c r="S107" s="183">
        <f t="shared" si="28"/>
        <v>106</v>
      </c>
      <c r="T107" s="183">
        <f t="shared" si="29"/>
        <v>212</v>
      </c>
      <c r="U107" s="183">
        <f t="shared" si="30"/>
        <v>106</v>
      </c>
      <c r="V107" s="183">
        <f t="shared" si="31"/>
        <v>212</v>
      </c>
      <c r="W107" s="12">
        <f>K107*属性价值参考!C$5+升级!L107*属性价值参考!C$6+升级!M107*属性价值参考!C$7+升级!N107*属性价值参考!C$8+升级!S107*属性价值参考!C$9+升级!T107*属性价值参考!C$10+升级!U107*属性价值参考!C$11+升级!V107*属性价值参考!C$12</f>
        <v>124376.15999999997</v>
      </c>
    </row>
    <row r="108" spans="1:23" x14ac:dyDescent="0.3">
      <c r="A108" s="22"/>
      <c r="B108" s="22"/>
      <c r="C108" s="24">
        <v>107</v>
      </c>
      <c r="D108" s="27" t="str">
        <f t="shared" si="16"/>
        <v>0#1#14980|0#2#513|0#3#107|0#4#214|0#9#107|0#10#214|0#11#107|0#12#214</v>
      </c>
      <c r="E108" s="27" t="str">
        <f t="shared" si="17"/>
        <v>1#1#2496|1#2#25680|1#3#107|1#4#214|1#9#107|1#10#214|1#11#107|1#12#214</v>
      </c>
      <c r="F108" s="27" t="str">
        <f t="shared" si="18"/>
        <v>2#1#7490|2#2#12840|2#3#107|2#4#214|2#9#107|2#10#214|2#11#107|2#12#214</v>
      </c>
      <c r="G108" s="27" t="str">
        <f t="shared" si="23"/>
        <v>0#1#14980|0#2#513|0#3#107|0#4#214|0#9#107|0#10#214|0#11#107|0#12#214|1#1#2496|1#2#25680|1#3#107|1#4#214|1#9#107|1#10#214|1#11#107|1#12#214|2#1#7490|2#2#12840|2#3#107|2#4#214|2#9#107|2#10#214|2#11#107|2#12#214</v>
      </c>
      <c r="H108" s="22"/>
      <c r="I108" s="25">
        <v>12700000</v>
      </c>
      <c r="J108" s="197">
        <v>107</v>
      </c>
      <c r="K108" s="183">
        <f t="shared" si="19"/>
        <v>14980</v>
      </c>
      <c r="L108" s="183">
        <f t="shared" si="20"/>
        <v>25680</v>
      </c>
      <c r="M108" s="183">
        <f t="shared" si="21"/>
        <v>107</v>
      </c>
      <c r="N108" s="183">
        <f t="shared" si="22"/>
        <v>214</v>
      </c>
      <c r="O108" s="183">
        <f t="shared" si="24"/>
        <v>107</v>
      </c>
      <c r="P108" s="183">
        <f t="shared" si="25"/>
        <v>214</v>
      </c>
      <c r="Q108" s="183">
        <f t="shared" si="26"/>
        <v>107</v>
      </c>
      <c r="R108" s="183">
        <f t="shared" si="27"/>
        <v>214</v>
      </c>
      <c r="S108" s="183">
        <f t="shared" si="28"/>
        <v>107</v>
      </c>
      <c r="T108" s="183">
        <f t="shared" si="29"/>
        <v>214</v>
      </c>
      <c r="U108" s="183">
        <f t="shared" si="30"/>
        <v>107</v>
      </c>
      <c r="V108" s="183">
        <f t="shared" si="31"/>
        <v>214</v>
      </c>
      <c r="W108" s="12">
        <f>K108*属性价值参考!C$5+升级!L108*属性价值参考!C$6+升级!M108*属性价值参考!C$7+升级!N108*属性价值参考!C$8+升级!S108*属性价值参考!C$9+升级!T108*属性价值参考!C$10+升级!U108*属性价值参考!C$11+升级!V108*属性价值参考!C$12</f>
        <v>125549.51999999997</v>
      </c>
    </row>
    <row r="109" spans="1:23" x14ac:dyDescent="0.3">
      <c r="A109" s="22"/>
      <c r="B109" s="22"/>
      <c r="C109" s="27">
        <v>108</v>
      </c>
      <c r="D109" s="27" t="str">
        <f t="shared" si="16"/>
        <v>0#1#15120|0#2#518|0#3#108|0#4#216|0#9#108|0#10#216|0#11#108|0#12#216</v>
      </c>
      <c r="E109" s="27" t="str">
        <f t="shared" si="17"/>
        <v>1#1#2520|1#2#25920|1#3#108|1#4#216|1#9#108|1#10#216|1#11#108|1#12#216</v>
      </c>
      <c r="F109" s="27" t="str">
        <f t="shared" si="18"/>
        <v>2#1#7560|2#2#12960|2#3#108|2#4#216|2#9#108|2#10#216|2#11#108|2#12#216</v>
      </c>
      <c r="G109" s="27" t="str">
        <f t="shared" si="23"/>
        <v>0#1#15120|0#2#518|0#3#108|0#4#216|0#9#108|0#10#216|0#11#108|0#12#216|1#1#2520|1#2#25920|1#3#108|1#4#216|1#9#108|1#10#216|1#11#108|1#12#216|2#1#7560|2#2#12960|2#3#108|2#4#216|2#9#108|2#10#216|2#11#108|2#12#216</v>
      </c>
      <c r="H109" s="22"/>
      <c r="I109" s="28">
        <v>14060000</v>
      </c>
      <c r="J109" s="198">
        <v>108</v>
      </c>
      <c r="K109" s="183">
        <f t="shared" si="19"/>
        <v>15120</v>
      </c>
      <c r="L109" s="183">
        <f t="shared" si="20"/>
        <v>25920</v>
      </c>
      <c r="M109" s="183">
        <f t="shared" si="21"/>
        <v>108</v>
      </c>
      <c r="N109" s="183">
        <f t="shared" si="22"/>
        <v>216</v>
      </c>
      <c r="O109" s="183">
        <f t="shared" si="24"/>
        <v>108</v>
      </c>
      <c r="P109" s="183">
        <f t="shared" si="25"/>
        <v>216</v>
      </c>
      <c r="Q109" s="183">
        <f t="shared" si="26"/>
        <v>108</v>
      </c>
      <c r="R109" s="183">
        <f t="shared" si="27"/>
        <v>216</v>
      </c>
      <c r="S109" s="183">
        <f t="shared" si="28"/>
        <v>108</v>
      </c>
      <c r="T109" s="183">
        <f t="shared" si="29"/>
        <v>216</v>
      </c>
      <c r="U109" s="183">
        <f t="shared" si="30"/>
        <v>108</v>
      </c>
      <c r="V109" s="183">
        <f t="shared" si="31"/>
        <v>216</v>
      </c>
      <c r="W109" s="12">
        <f>K109*属性价值参考!C$5+升级!L109*属性价值参考!C$6+升级!M109*属性价值参考!C$7+升级!N109*属性价值参考!C$8+升级!S109*属性价值参考!C$9+升级!T109*属性价值参考!C$10+升级!U109*属性价值参考!C$11+升级!V109*属性价值参考!C$12</f>
        <v>126722.87999999999</v>
      </c>
    </row>
    <row r="110" spans="1:23" x14ac:dyDescent="0.3">
      <c r="A110" s="22"/>
      <c r="B110" s="22"/>
      <c r="C110" s="24">
        <v>109</v>
      </c>
      <c r="D110" s="27" t="str">
        <f t="shared" si="16"/>
        <v>0#1#15260|0#2#523|0#3#109|0#4#218|0#9#109|0#10#218|0#11#109|0#12#218</v>
      </c>
      <c r="E110" s="27" t="str">
        <f t="shared" si="17"/>
        <v>1#1#2543|1#2#26160|1#3#109|1#4#218|1#9#109|1#10#218|1#11#109|1#12#218</v>
      </c>
      <c r="F110" s="27" t="str">
        <f t="shared" si="18"/>
        <v>2#1#7630|2#2#13080|2#3#109|2#4#218|2#9#109|2#10#218|2#11#109|2#12#218</v>
      </c>
      <c r="G110" s="27" t="str">
        <f t="shared" si="23"/>
        <v>0#1#15260|0#2#523|0#3#109|0#4#218|0#9#109|0#10#218|0#11#109|0#12#218|1#1#2543|1#2#26160|1#3#109|1#4#218|1#9#109|1#10#218|1#11#109|1#12#218|2#1#7630|2#2#13080|2#3#109|2#4#218|2#9#109|2#10#218|2#11#109|2#12#218</v>
      </c>
      <c r="H110" s="22"/>
      <c r="I110" s="25">
        <v>15420000</v>
      </c>
      <c r="J110" s="197">
        <v>109</v>
      </c>
      <c r="K110" s="183">
        <f t="shared" si="19"/>
        <v>15260</v>
      </c>
      <c r="L110" s="183">
        <f t="shared" si="20"/>
        <v>26160</v>
      </c>
      <c r="M110" s="183">
        <f t="shared" si="21"/>
        <v>109</v>
      </c>
      <c r="N110" s="183">
        <f t="shared" si="22"/>
        <v>218</v>
      </c>
      <c r="O110" s="183">
        <f t="shared" si="24"/>
        <v>109</v>
      </c>
      <c r="P110" s="183">
        <f t="shared" si="25"/>
        <v>218</v>
      </c>
      <c r="Q110" s="183">
        <f t="shared" si="26"/>
        <v>109</v>
      </c>
      <c r="R110" s="183">
        <f t="shared" si="27"/>
        <v>218</v>
      </c>
      <c r="S110" s="183">
        <f t="shared" si="28"/>
        <v>109</v>
      </c>
      <c r="T110" s="183">
        <f t="shared" si="29"/>
        <v>218</v>
      </c>
      <c r="U110" s="183">
        <f t="shared" si="30"/>
        <v>109</v>
      </c>
      <c r="V110" s="183">
        <f t="shared" si="31"/>
        <v>218</v>
      </c>
      <c r="W110" s="12">
        <f>K110*属性价值参考!C$5+升级!L110*属性价值参考!C$6+升级!M110*属性价值参考!C$7+升级!N110*属性价值参考!C$8+升级!S110*属性价值参考!C$9+升级!T110*属性价值参考!C$10+升级!U110*属性价值参考!C$11+升级!V110*属性价值参考!C$12</f>
        <v>127896.24000000003</v>
      </c>
    </row>
    <row r="111" spans="1:23" x14ac:dyDescent="0.3">
      <c r="A111" s="22"/>
      <c r="B111" s="22"/>
      <c r="C111" s="27">
        <v>110</v>
      </c>
      <c r="D111" s="27" t="str">
        <f t="shared" si="16"/>
        <v>0#1#15400|0#2#528|0#3#110|0#4#220|0#9#110|0#10#220|0#11#110|0#12#220</v>
      </c>
      <c r="E111" s="27" t="str">
        <f t="shared" si="17"/>
        <v>1#1#2566|1#2#26400|1#3#110|1#4#220|1#9#110|1#10#220|1#11#110|1#12#220</v>
      </c>
      <c r="F111" s="27" t="str">
        <f t="shared" si="18"/>
        <v>2#1#7700|2#2#13200|2#3#110|2#4#220|2#9#110|2#10#220|2#11#110|2#12#220</v>
      </c>
      <c r="G111" s="27" t="str">
        <f t="shared" si="23"/>
        <v>0#1#15400|0#2#528|0#3#110|0#4#220|0#9#110|0#10#220|0#11#110|0#12#220|1#1#2566|1#2#26400|1#3#110|1#4#220|1#9#110|1#10#220|1#11#110|1#12#220|2#1#7700|2#2#13200|2#3#110|2#4#220|2#9#110|2#10#220|2#11#110|2#12#220</v>
      </c>
      <c r="H111" s="22"/>
      <c r="I111" s="28">
        <v>16980000</v>
      </c>
      <c r="J111" s="198">
        <v>110</v>
      </c>
      <c r="K111" s="183">
        <f t="shared" si="19"/>
        <v>15400</v>
      </c>
      <c r="L111" s="183">
        <f t="shared" si="20"/>
        <v>26400</v>
      </c>
      <c r="M111" s="183">
        <f t="shared" si="21"/>
        <v>110</v>
      </c>
      <c r="N111" s="183">
        <f t="shared" si="22"/>
        <v>220</v>
      </c>
      <c r="O111" s="183">
        <f t="shared" si="24"/>
        <v>110</v>
      </c>
      <c r="P111" s="183">
        <f t="shared" si="25"/>
        <v>220</v>
      </c>
      <c r="Q111" s="183">
        <f t="shared" si="26"/>
        <v>110</v>
      </c>
      <c r="R111" s="183">
        <f t="shared" si="27"/>
        <v>220</v>
      </c>
      <c r="S111" s="183">
        <f t="shared" si="28"/>
        <v>110</v>
      </c>
      <c r="T111" s="183">
        <f t="shared" si="29"/>
        <v>220</v>
      </c>
      <c r="U111" s="183">
        <f t="shared" si="30"/>
        <v>110</v>
      </c>
      <c r="V111" s="183">
        <f t="shared" si="31"/>
        <v>220</v>
      </c>
      <c r="W111" s="12">
        <f>K111*属性价值参考!C$5+升级!L111*属性价值参考!C$6+升级!M111*属性价值参考!C$7+升级!N111*属性价值参考!C$8+升级!S111*属性价值参考!C$9+升级!T111*属性价值参考!C$10+升级!U111*属性价值参考!C$11+升级!V111*属性价值参考!C$12</f>
        <v>129069.6</v>
      </c>
    </row>
    <row r="112" spans="1:23" x14ac:dyDescent="0.3">
      <c r="A112" s="22"/>
      <c r="B112" s="22"/>
      <c r="C112" s="24">
        <v>111</v>
      </c>
      <c r="D112" s="27" t="str">
        <f t="shared" si="16"/>
        <v>0#1#15540|0#2#532|0#3#111|0#4#222|0#9#111|0#10#222|0#11#111|0#12#222</v>
      </c>
      <c r="E112" s="27" t="str">
        <f t="shared" si="17"/>
        <v>1#1#2590|1#2#26640|1#3#111|1#4#222|1#9#111|1#10#222|1#11#111|1#12#222</v>
      </c>
      <c r="F112" s="27" t="str">
        <f t="shared" si="18"/>
        <v>2#1#7770|2#2#13320|2#3#111|2#4#222|2#9#111|2#10#222|2#11#111|2#12#222</v>
      </c>
      <c r="G112" s="27" t="str">
        <f t="shared" si="23"/>
        <v>0#1#15540|0#2#532|0#3#111|0#4#222|0#9#111|0#10#222|0#11#111|0#12#222|1#1#2590|1#2#26640|1#3#111|1#4#222|1#9#111|1#10#222|1#11#111|1#12#222|2#1#7770|2#2#13320|2#3#111|2#4#222|2#9#111|2#10#222|2#11#111|2#12#222</v>
      </c>
      <c r="H112" s="22"/>
      <c r="I112" s="25">
        <v>18540000</v>
      </c>
      <c r="J112" s="197">
        <v>111</v>
      </c>
      <c r="K112" s="183">
        <f t="shared" si="19"/>
        <v>15540</v>
      </c>
      <c r="L112" s="183">
        <f t="shared" si="20"/>
        <v>26640</v>
      </c>
      <c r="M112" s="183">
        <f t="shared" si="21"/>
        <v>111</v>
      </c>
      <c r="N112" s="183">
        <f t="shared" si="22"/>
        <v>222</v>
      </c>
      <c r="O112" s="183">
        <f t="shared" si="24"/>
        <v>111</v>
      </c>
      <c r="P112" s="183">
        <f t="shared" si="25"/>
        <v>222</v>
      </c>
      <c r="Q112" s="183">
        <f t="shared" si="26"/>
        <v>111</v>
      </c>
      <c r="R112" s="183">
        <f t="shared" si="27"/>
        <v>222</v>
      </c>
      <c r="S112" s="183">
        <f t="shared" si="28"/>
        <v>111</v>
      </c>
      <c r="T112" s="183">
        <f t="shared" si="29"/>
        <v>222</v>
      </c>
      <c r="U112" s="183">
        <f t="shared" si="30"/>
        <v>111</v>
      </c>
      <c r="V112" s="183">
        <f t="shared" si="31"/>
        <v>222</v>
      </c>
      <c r="W112" s="12">
        <f>K112*属性价值参考!C$5+升级!L112*属性价值参考!C$6+升级!M112*属性价值参考!C$7+升级!N112*属性价值参考!C$8+升级!S112*属性价值参考!C$9+升级!T112*属性价值参考!C$10+升级!U112*属性价值参考!C$11+升级!V112*属性价值参考!C$12</f>
        <v>130242.95999999999</v>
      </c>
    </row>
    <row r="113" spans="1:23" x14ac:dyDescent="0.3">
      <c r="A113" s="22"/>
      <c r="B113" s="22"/>
      <c r="C113" s="27">
        <v>112</v>
      </c>
      <c r="D113" s="27" t="str">
        <f t="shared" si="16"/>
        <v>0#1#15680|0#2#537|0#3#112|0#4#224|0#9#112|0#10#224|0#11#112|0#12#224</v>
      </c>
      <c r="E113" s="27" t="str">
        <f t="shared" si="17"/>
        <v>1#1#2613|1#2#26880|1#3#112|1#4#224|1#9#112|1#10#224|1#11#112|1#12#224</v>
      </c>
      <c r="F113" s="27" t="str">
        <f t="shared" si="18"/>
        <v>2#1#7840|2#2#13440|2#3#112|2#4#224|2#9#112|2#10#224|2#11#112|2#12#224</v>
      </c>
      <c r="G113" s="27" t="str">
        <f t="shared" si="23"/>
        <v>0#1#15680|0#2#537|0#3#112|0#4#224|0#9#112|0#10#224|0#11#112|0#12#224|1#1#2613|1#2#26880|1#3#112|1#4#224|1#9#112|1#10#224|1#11#112|1#12#224|2#1#7840|2#2#13440|2#3#112|2#4#224|2#9#112|2#10#224|2#11#112|2#12#224</v>
      </c>
      <c r="H113" s="22"/>
      <c r="I113" s="28">
        <v>20100000</v>
      </c>
      <c r="J113" s="198">
        <v>112</v>
      </c>
      <c r="K113" s="183">
        <f t="shared" si="19"/>
        <v>15680</v>
      </c>
      <c r="L113" s="183">
        <f t="shared" si="20"/>
        <v>26880</v>
      </c>
      <c r="M113" s="183">
        <f t="shared" si="21"/>
        <v>112</v>
      </c>
      <c r="N113" s="183">
        <f t="shared" si="22"/>
        <v>224</v>
      </c>
      <c r="O113" s="183">
        <f t="shared" si="24"/>
        <v>112</v>
      </c>
      <c r="P113" s="183">
        <f t="shared" si="25"/>
        <v>224</v>
      </c>
      <c r="Q113" s="183">
        <f t="shared" si="26"/>
        <v>112</v>
      </c>
      <c r="R113" s="183">
        <f t="shared" si="27"/>
        <v>224</v>
      </c>
      <c r="S113" s="183">
        <f t="shared" si="28"/>
        <v>112</v>
      </c>
      <c r="T113" s="183">
        <f t="shared" si="29"/>
        <v>224</v>
      </c>
      <c r="U113" s="183">
        <f t="shared" si="30"/>
        <v>112</v>
      </c>
      <c r="V113" s="183">
        <f t="shared" si="31"/>
        <v>224</v>
      </c>
      <c r="W113" s="12">
        <f>K113*属性价值参考!C$5+升级!L113*属性价值参考!C$6+升级!M113*属性价值参考!C$7+升级!N113*属性价值参考!C$8+升级!S113*属性价值参考!C$9+升级!T113*属性价值参考!C$10+升级!U113*属性价值参考!C$11+升级!V113*属性价值参考!C$12</f>
        <v>131416.32000000001</v>
      </c>
    </row>
    <row r="114" spans="1:23" x14ac:dyDescent="0.3">
      <c r="A114" s="22"/>
      <c r="B114" s="22"/>
      <c r="C114" s="24">
        <v>113</v>
      </c>
      <c r="D114" s="27" t="str">
        <f t="shared" si="16"/>
        <v>0#1#15820|0#2#542|0#3#113|0#4#226|0#9#113|0#10#226|0#11#113|0#12#226</v>
      </c>
      <c r="E114" s="27" t="str">
        <f t="shared" si="17"/>
        <v>1#1#2636|1#2#27120|1#3#113|1#4#226|1#9#113|1#10#226|1#11#113|1#12#226</v>
      </c>
      <c r="F114" s="27" t="str">
        <f t="shared" si="18"/>
        <v>2#1#7910|2#2#13560|2#3#113|2#4#226|2#9#113|2#10#226|2#11#113|2#12#226</v>
      </c>
      <c r="G114" s="27" t="str">
        <f t="shared" si="23"/>
        <v>0#1#15820|0#2#542|0#3#113|0#4#226|0#9#113|0#10#226|0#11#113|0#12#226|1#1#2636|1#2#27120|1#3#113|1#4#226|1#9#113|1#10#226|1#11#113|1#12#226|2#1#7910|2#2#13560|2#3#113|2#4#226|2#9#113|2#10#226|2#11#113|2#12#226</v>
      </c>
      <c r="H114" s="22"/>
      <c r="I114" s="25">
        <v>21660000</v>
      </c>
      <c r="J114" s="197">
        <v>113</v>
      </c>
      <c r="K114" s="183">
        <f t="shared" si="19"/>
        <v>15820</v>
      </c>
      <c r="L114" s="183">
        <f t="shared" si="20"/>
        <v>27120</v>
      </c>
      <c r="M114" s="183">
        <f t="shared" si="21"/>
        <v>113</v>
      </c>
      <c r="N114" s="183">
        <f t="shared" si="22"/>
        <v>226</v>
      </c>
      <c r="O114" s="183">
        <f t="shared" si="24"/>
        <v>113</v>
      </c>
      <c r="P114" s="183">
        <f t="shared" si="25"/>
        <v>226</v>
      </c>
      <c r="Q114" s="183">
        <f t="shared" si="26"/>
        <v>113</v>
      </c>
      <c r="R114" s="183">
        <f t="shared" si="27"/>
        <v>226</v>
      </c>
      <c r="S114" s="183">
        <f t="shared" si="28"/>
        <v>113</v>
      </c>
      <c r="T114" s="183">
        <f t="shared" si="29"/>
        <v>226</v>
      </c>
      <c r="U114" s="183">
        <f t="shared" si="30"/>
        <v>113</v>
      </c>
      <c r="V114" s="183">
        <f t="shared" si="31"/>
        <v>226</v>
      </c>
      <c r="W114" s="12">
        <f>K114*属性价值参考!C$5+升级!L114*属性价值参考!C$6+升级!M114*属性价值参考!C$7+升级!N114*属性价值参考!C$8+升级!S114*属性价值参考!C$9+升级!T114*属性价值参考!C$10+升级!U114*属性价值参考!C$11+升级!V114*属性价值参考!C$12</f>
        <v>132589.68</v>
      </c>
    </row>
    <row r="115" spans="1:23" x14ac:dyDescent="0.3">
      <c r="A115" s="22"/>
      <c r="B115" s="22"/>
      <c r="C115" s="27">
        <v>114</v>
      </c>
      <c r="D115" s="27" t="str">
        <f t="shared" si="16"/>
        <v>0#1#15960|0#2#547|0#3#114|0#4#228|0#9#114|0#10#228|0#11#114|0#12#228</v>
      </c>
      <c r="E115" s="27" t="str">
        <f t="shared" si="17"/>
        <v>1#1#2660|1#2#27360|1#3#114|1#4#228|1#9#114|1#10#228|1#11#114|1#12#228</v>
      </c>
      <c r="F115" s="27" t="str">
        <f t="shared" si="18"/>
        <v>2#1#7980|2#2#13680|2#3#114|2#4#228|2#9#114|2#10#228|2#11#114|2#12#228</v>
      </c>
      <c r="G115" s="27" t="str">
        <f t="shared" si="23"/>
        <v>0#1#15960|0#2#547|0#3#114|0#4#228|0#9#114|0#10#228|0#11#114|0#12#228|1#1#2660|1#2#27360|1#3#114|1#4#228|1#9#114|1#10#228|1#11#114|1#12#228|2#1#7980|2#2#13680|2#3#114|2#4#228|2#9#114|2#10#228|2#11#114|2#12#228</v>
      </c>
      <c r="H115" s="22"/>
      <c r="I115" s="28">
        <v>23220000</v>
      </c>
      <c r="J115" s="198">
        <v>114</v>
      </c>
      <c r="K115" s="183">
        <f t="shared" si="19"/>
        <v>15960</v>
      </c>
      <c r="L115" s="183">
        <f t="shared" si="20"/>
        <v>27360</v>
      </c>
      <c r="M115" s="183">
        <f t="shared" si="21"/>
        <v>114</v>
      </c>
      <c r="N115" s="183">
        <f t="shared" si="22"/>
        <v>228</v>
      </c>
      <c r="O115" s="183">
        <f t="shared" si="24"/>
        <v>114</v>
      </c>
      <c r="P115" s="183">
        <f t="shared" si="25"/>
        <v>228</v>
      </c>
      <c r="Q115" s="183">
        <f t="shared" si="26"/>
        <v>114</v>
      </c>
      <c r="R115" s="183">
        <f t="shared" si="27"/>
        <v>228</v>
      </c>
      <c r="S115" s="183">
        <f t="shared" si="28"/>
        <v>114</v>
      </c>
      <c r="T115" s="183">
        <f t="shared" si="29"/>
        <v>228</v>
      </c>
      <c r="U115" s="183">
        <f t="shared" si="30"/>
        <v>114</v>
      </c>
      <c r="V115" s="183">
        <f t="shared" si="31"/>
        <v>228</v>
      </c>
      <c r="W115" s="12">
        <f>K115*属性价值参考!C$5+升级!L115*属性价值参考!C$6+升级!M115*属性价值参考!C$7+升级!N115*属性价值参考!C$8+升级!S115*属性价值参考!C$9+升级!T115*属性价值参考!C$10+升级!U115*属性价值参考!C$11+升级!V115*属性价值参考!C$12</f>
        <v>133763.04</v>
      </c>
    </row>
    <row r="116" spans="1:23" x14ac:dyDescent="0.3">
      <c r="A116" s="22"/>
      <c r="B116" s="22"/>
      <c r="C116" s="24">
        <v>115</v>
      </c>
      <c r="D116" s="27" t="str">
        <f t="shared" si="16"/>
        <v>0#1#16100|0#2#552|0#3#115|0#4#230|0#9#115|0#10#230|0#11#115|0#12#230</v>
      </c>
      <c r="E116" s="27" t="str">
        <f t="shared" si="17"/>
        <v>1#1#2683|1#2#27600|1#3#115|1#4#230|1#9#115|1#10#230|1#11#115|1#12#230</v>
      </c>
      <c r="F116" s="27" t="str">
        <f t="shared" si="18"/>
        <v>2#1#8050|2#2#13800|2#3#115|2#4#230|2#9#115|2#10#230|2#11#115|2#12#230</v>
      </c>
      <c r="G116" s="27" t="str">
        <f t="shared" si="23"/>
        <v>0#1#16100|0#2#552|0#3#115|0#4#230|0#9#115|0#10#230|0#11#115|0#12#230|1#1#2683|1#2#27600|1#3#115|1#4#230|1#9#115|1#10#230|1#11#115|1#12#230|2#1#8050|2#2#13800|2#3#115|2#4#230|2#9#115|2#10#230|2#11#115|2#12#230</v>
      </c>
      <c r="H116" s="22"/>
      <c r="I116" s="25">
        <v>25780000</v>
      </c>
      <c r="J116" s="197">
        <v>115</v>
      </c>
      <c r="K116" s="183">
        <f t="shared" si="19"/>
        <v>16100</v>
      </c>
      <c r="L116" s="183">
        <f t="shared" si="20"/>
        <v>27600</v>
      </c>
      <c r="M116" s="183">
        <f t="shared" si="21"/>
        <v>115</v>
      </c>
      <c r="N116" s="183">
        <f t="shared" si="22"/>
        <v>230</v>
      </c>
      <c r="O116" s="183">
        <f t="shared" si="24"/>
        <v>115</v>
      </c>
      <c r="P116" s="183">
        <f t="shared" si="25"/>
        <v>230</v>
      </c>
      <c r="Q116" s="183">
        <f t="shared" si="26"/>
        <v>115</v>
      </c>
      <c r="R116" s="183">
        <f t="shared" si="27"/>
        <v>230</v>
      </c>
      <c r="S116" s="183">
        <f t="shared" si="28"/>
        <v>115</v>
      </c>
      <c r="T116" s="183">
        <f t="shared" si="29"/>
        <v>230</v>
      </c>
      <c r="U116" s="183">
        <f t="shared" si="30"/>
        <v>115</v>
      </c>
      <c r="V116" s="183">
        <f t="shared" si="31"/>
        <v>230</v>
      </c>
      <c r="W116" s="12">
        <f>K116*属性价值参考!C$5+升级!L116*属性价值参考!C$6+升级!M116*属性价值参考!C$7+升级!N116*属性价值参考!C$8+升级!S116*属性价值参考!C$9+升级!T116*属性价值参考!C$10+升级!U116*属性价值参考!C$11+升级!V116*属性价值参考!C$12</f>
        <v>134936.4</v>
      </c>
    </row>
    <row r="117" spans="1:23" x14ac:dyDescent="0.3">
      <c r="A117" s="22"/>
      <c r="B117" s="22"/>
      <c r="C117" s="27">
        <v>116</v>
      </c>
      <c r="D117" s="27" t="str">
        <f t="shared" si="16"/>
        <v>0#1#16240|0#2#556|0#3#116|0#4#232|0#9#116|0#10#232|0#11#116|0#12#232</v>
      </c>
      <c r="E117" s="27" t="str">
        <f t="shared" si="17"/>
        <v>1#1#2706|1#2#27840|1#3#116|1#4#232|1#9#116|1#10#232|1#11#116|1#12#232</v>
      </c>
      <c r="F117" s="27" t="str">
        <f t="shared" si="18"/>
        <v>2#1#8120|2#2#13920|2#3#116|2#4#232|2#9#116|2#10#232|2#11#116|2#12#232</v>
      </c>
      <c r="G117" s="27" t="str">
        <f t="shared" si="23"/>
        <v>0#1#16240|0#2#556|0#3#116|0#4#232|0#9#116|0#10#232|0#11#116|0#12#232|1#1#2706|1#2#27840|1#3#116|1#4#232|1#9#116|1#10#232|1#11#116|1#12#232|2#1#8120|2#2#13920|2#3#116|2#4#232|2#9#116|2#10#232|2#11#116|2#12#232</v>
      </c>
      <c r="H117" s="22"/>
      <c r="I117" s="28">
        <v>28340000</v>
      </c>
      <c r="J117" s="198">
        <v>116</v>
      </c>
      <c r="K117" s="183">
        <f t="shared" si="19"/>
        <v>16240</v>
      </c>
      <c r="L117" s="183">
        <f t="shared" si="20"/>
        <v>27840</v>
      </c>
      <c r="M117" s="183">
        <f t="shared" si="21"/>
        <v>116</v>
      </c>
      <c r="N117" s="183">
        <f t="shared" si="22"/>
        <v>232</v>
      </c>
      <c r="O117" s="183">
        <f t="shared" si="24"/>
        <v>116</v>
      </c>
      <c r="P117" s="183">
        <f t="shared" si="25"/>
        <v>232</v>
      </c>
      <c r="Q117" s="183">
        <f t="shared" si="26"/>
        <v>116</v>
      </c>
      <c r="R117" s="183">
        <f t="shared" si="27"/>
        <v>232</v>
      </c>
      <c r="S117" s="183">
        <f t="shared" si="28"/>
        <v>116</v>
      </c>
      <c r="T117" s="183">
        <f t="shared" si="29"/>
        <v>232</v>
      </c>
      <c r="U117" s="183">
        <f t="shared" si="30"/>
        <v>116</v>
      </c>
      <c r="V117" s="183">
        <f t="shared" si="31"/>
        <v>232</v>
      </c>
      <c r="W117" s="12">
        <f>K117*属性价值参考!C$5+升级!L117*属性价值参考!C$6+升级!M117*属性价值参考!C$7+升级!N117*属性价值参考!C$8+升级!S117*属性价值参考!C$9+升级!T117*属性价值参考!C$10+升级!U117*属性价值参考!C$11+升级!V117*属性价值参考!C$12</f>
        <v>136109.76000000001</v>
      </c>
    </row>
    <row r="118" spans="1:23" x14ac:dyDescent="0.3">
      <c r="A118" s="22"/>
      <c r="B118" s="22"/>
      <c r="C118" s="24">
        <v>117</v>
      </c>
      <c r="D118" s="27" t="str">
        <f t="shared" si="16"/>
        <v>0#1#16380|0#2#561|0#3#117|0#4#234|0#9#117|0#10#234|0#11#117|0#12#234</v>
      </c>
      <c r="E118" s="27" t="str">
        <f t="shared" si="17"/>
        <v>1#1#2730|1#2#28080|1#3#117|1#4#234|1#9#117|1#10#234|1#11#117|1#12#234</v>
      </c>
      <c r="F118" s="27" t="str">
        <f t="shared" si="18"/>
        <v>2#1#8190|2#2#14040|2#3#117|2#4#234|2#9#117|2#10#234|2#11#117|2#12#234</v>
      </c>
      <c r="G118" s="27" t="str">
        <f t="shared" si="23"/>
        <v>0#1#16380|0#2#561|0#3#117|0#4#234|0#9#117|0#10#234|0#11#117|0#12#234|1#1#2730|1#2#28080|1#3#117|1#4#234|1#9#117|1#10#234|1#11#117|1#12#234|2#1#8190|2#2#14040|2#3#117|2#4#234|2#9#117|2#10#234|2#11#117|2#12#234</v>
      </c>
      <c r="H118" s="22"/>
      <c r="I118" s="25">
        <v>30900000</v>
      </c>
      <c r="J118" s="197">
        <v>117</v>
      </c>
      <c r="K118" s="183">
        <f t="shared" si="19"/>
        <v>16380</v>
      </c>
      <c r="L118" s="183">
        <f t="shared" si="20"/>
        <v>28080</v>
      </c>
      <c r="M118" s="183">
        <f t="shared" si="21"/>
        <v>117</v>
      </c>
      <c r="N118" s="183">
        <f t="shared" si="22"/>
        <v>234</v>
      </c>
      <c r="O118" s="183">
        <f t="shared" si="24"/>
        <v>117</v>
      </c>
      <c r="P118" s="183">
        <f t="shared" si="25"/>
        <v>234</v>
      </c>
      <c r="Q118" s="183">
        <f t="shared" si="26"/>
        <v>117</v>
      </c>
      <c r="R118" s="183">
        <f t="shared" si="27"/>
        <v>234</v>
      </c>
      <c r="S118" s="183">
        <f t="shared" si="28"/>
        <v>117</v>
      </c>
      <c r="T118" s="183">
        <f t="shared" si="29"/>
        <v>234</v>
      </c>
      <c r="U118" s="183">
        <f t="shared" si="30"/>
        <v>117</v>
      </c>
      <c r="V118" s="183">
        <f t="shared" si="31"/>
        <v>234</v>
      </c>
      <c r="W118" s="12">
        <f>K118*属性价值参考!C$5+升级!L118*属性价值参考!C$6+升级!M118*属性价值参考!C$7+升级!N118*属性价值参考!C$8+升级!S118*属性价值参考!C$9+升级!T118*属性价值参考!C$10+升级!U118*属性价值参考!C$11+升级!V118*属性价值参考!C$12</f>
        <v>137283.11999999997</v>
      </c>
    </row>
    <row r="119" spans="1:23" x14ac:dyDescent="0.3">
      <c r="A119" s="22"/>
      <c r="B119" s="22"/>
      <c r="C119" s="27">
        <v>118</v>
      </c>
      <c r="D119" s="27" t="str">
        <f t="shared" si="16"/>
        <v>0#1#16520|0#2#566|0#3#118|0#4#236|0#9#118|0#10#236|0#11#118|0#12#236</v>
      </c>
      <c r="E119" s="27" t="str">
        <f t="shared" si="17"/>
        <v>1#1#2753|1#2#28320|1#3#118|1#4#236|1#9#118|1#10#236|1#11#118|1#12#236</v>
      </c>
      <c r="F119" s="27" t="str">
        <f t="shared" si="18"/>
        <v>2#1#8260|2#2#14160|2#3#118|2#4#236|2#9#118|2#10#236|2#11#118|2#12#236</v>
      </c>
      <c r="G119" s="27" t="str">
        <f t="shared" si="23"/>
        <v>0#1#16520|0#2#566|0#3#118|0#4#236|0#9#118|0#10#236|0#11#118|0#12#236|1#1#2753|1#2#28320|1#3#118|1#4#236|1#9#118|1#10#236|1#11#118|1#12#236|2#1#8260|2#2#14160|2#3#118|2#4#236|2#9#118|2#10#236|2#11#118|2#12#236</v>
      </c>
      <c r="H119" s="22"/>
      <c r="I119" s="28">
        <v>33460000</v>
      </c>
      <c r="J119" s="198">
        <v>118</v>
      </c>
      <c r="K119" s="183">
        <f t="shared" si="19"/>
        <v>16520</v>
      </c>
      <c r="L119" s="183">
        <f t="shared" si="20"/>
        <v>28320</v>
      </c>
      <c r="M119" s="183">
        <f t="shared" si="21"/>
        <v>118</v>
      </c>
      <c r="N119" s="183">
        <f t="shared" si="22"/>
        <v>236</v>
      </c>
      <c r="O119" s="183">
        <f t="shared" si="24"/>
        <v>118</v>
      </c>
      <c r="P119" s="183">
        <f t="shared" si="25"/>
        <v>236</v>
      </c>
      <c r="Q119" s="183">
        <f t="shared" si="26"/>
        <v>118</v>
      </c>
      <c r="R119" s="183">
        <f t="shared" si="27"/>
        <v>236</v>
      </c>
      <c r="S119" s="183">
        <f t="shared" si="28"/>
        <v>118</v>
      </c>
      <c r="T119" s="183">
        <f t="shared" si="29"/>
        <v>236</v>
      </c>
      <c r="U119" s="183">
        <f t="shared" si="30"/>
        <v>118</v>
      </c>
      <c r="V119" s="183">
        <f t="shared" si="31"/>
        <v>236</v>
      </c>
      <c r="W119" s="12">
        <f>K119*属性价值参考!C$5+升级!L119*属性价值参考!C$6+升级!M119*属性价值参考!C$7+升级!N119*属性价值参考!C$8+升级!S119*属性价值参考!C$9+升级!T119*属性价值参考!C$10+升级!U119*属性价值参考!C$11+升级!V119*属性价值参考!C$12</f>
        <v>138456.48000000001</v>
      </c>
    </row>
    <row r="120" spans="1:23" x14ac:dyDescent="0.3">
      <c r="A120" s="22"/>
      <c r="B120" s="22"/>
      <c r="C120" s="24">
        <v>119</v>
      </c>
      <c r="D120" s="27" t="str">
        <f t="shared" si="16"/>
        <v>0#1#16660|0#2#571|0#3#119|0#4#238|0#9#119|0#10#238|0#11#119|0#12#238</v>
      </c>
      <c r="E120" s="27" t="str">
        <f t="shared" si="17"/>
        <v>1#1#2776|1#2#28560|1#3#119|1#4#238|1#9#119|1#10#238|1#11#119|1#12#238</v>
      </c>
      <c r="F120" s="27" t="str">
        <f t="shared" si="18"/>
        <v>2#1#8330|2#2#14280|2#3#119|2#4#238|2#9#119|2#10#238|2#11#119|2#12#238</v>
      </c>
      <c r="G120" s="27" t="str">
        <f t="shared" si="23"/>
        <v>0#1#16660|0#2#571|0#3#119|0#4#238|0#9#119|0#10#238|0#11#119|0#12#238|1#1#2776|1#2#28560|1#3#119|1#4#238|1#9#119|1#10#238|1#11#119|1#12#238|2#1#8330|2#2#14280|2#3#119|2#4#238|2#9#119|2#10#238|2#11#119|2#12#238</v>
      </c>
      <c r="H120" s="22"/>
      <c r="I120" s="25">
        <v>36020000</v>
      </c>
      <c r="J120" s="197">
        <v>119</v>
      </c>
      <c r="K120" s="183">
        <f t="shared" si="19"/>
        <v>16660</v>
      </c>
      <c r="L120" s="183">
        <f t="shared" si="20"/>
        <v>28560</v>
      </c>
      <c r="M120" s="183">
        <f t="shared" si="21"/>
        <v>119</v>
      </c>
      <c r="N120" s="183">
        <f t="shared" si="22"/>
        <v>238</v>
      </c>
      <c r="O120" s="183">
        <f t="shared" si="24"/>
        <v>119</v>
      </c>
      <c r="P120" s="183">
        <f t="shared" si="25"/>
        <v>238</v>
      </c>
      <c r="Q120" s="183">
        <f t="shared" si="26"/>
        <v>119</v>
      </c>
      <c r="R120" s="183">
        <f t="shared" si="27"/>
        <v>238</v>
      </c>
      <c r="S120" s="183">
        <f t="shared" si="28"/>
        <v>119</v>
      </c>
      <c r="T120" s="183">
        <f t="shared" si="29"/>
        <v>238</v>
      </c>
      <c r="U120" s="183">
        <f t="shared" si="30"/>
        <v>119</v>
      </c>
      <c r="V120" s="183">
        <f t="shared" si="31"/>
        <v>238</v>
      </c>
      <c r="W120" s="12">
        <f>K120*属性价值参考!C$5+升级!L120*属性价值参考!C$6+升级!M120*属性价值参考!C$7+升级!N120*属性价值参考!C$8+升级!S120*属性价值参考!C$9+升级!T120*属性价值参考!C$10+升级!U120*属性价值参考!C$11+升级!V120*属性价值参考!C$12</f>
        <v>139629.84</v>
      </c>
    </row>
    <row r="121" spans="1:23" x14ac:dyDescent="0.3">
      <c r="A121" s="22"/>
      <c r="B121" s="22"/>
      <c r="C121" s="27">
        <v>120</v>
      </c>
      <c r="D121" s="27" t="str">
        <f t="shared" si="16"/>
        <v>0#1#16800|0#2#576|0#3#120|0#4#240|0#9#120|0#10#240|0#11#120|0#12#240</v>
      </c>
      <c r="E121" s="27" t="str">
        <f t="shared" si="17"/>
        <v>1#1#2800|1#2#28800|1#3#120|1#4#240|1#9#120|1#10#240|1#11#120|1#12#240</v>
      </c>
      <c r="F121" s="27" t="str">
        <f t="shared" si="18"/>
        <v>2#1#8400|2#2#14400|2#3#120|2#4#240|2#9#120|2#10#240|2#11#120|2#12#240</v>
      </c>
      <c r="G121" s="27" t="str">
        <f t="shared" si="23"/>
        <v>0#1#16800|0#2#576|0#3#120|0#4#240|0#9#120|0#10#240|0#11#120|0#12#240|1#1#2800|1#2#28800|1#3#120|1#4#240|1#9#120|1#10#240|1#11#120|1#12#240|2#1#8400|2#2#14400|2#3#120|2#4#240|2#9#120|2#10#240|2#11#120|2#12#240</v>
      </c>
      <c r="H121" s="22"/>
      <c r="I121" s="28">
        <v>38580000</v>
      </c>
      <c r="J121" s="198">
        <v>120</v>
      </c>
      <c r="K121" s="183">
        <f t="shared" si="19"/>
        <v>16800</v>
      </c>
      <c r="L121" s="183">
        <f t="shared" si="20"/>
        <v>28800</v>
      </c>
      <c r="M121" s="183">
        <f t="shared" si="21"/>
        <v>120</v>
      </c>
      <c r="N121" s="183">
        <f t="shared" si="22"/>
        <v>240</v>
      </c>
      <c r="O121" s="183">
        <f t="shared" si="24"/>
        <v>120</v>
      </c>
      <c r="P121" s="183">
        <f t="shared" si="25"/>
        <v>240</v>
      </c>
      <c r="Q121" s="183">
        <f t="shared" si="26"/>
        <v>120</v>
      </c>
      <c r="R121" s="183">
        <f t="shared" si="27"/>
        <v>240</v>
      </c>
      <c r="S121" s="183">
        <f t="shared" si="28"/>
        <v>120</v>
      </c>
      <c r="T121" s="183">
        <f t="shared" si="29"/>
        <v>240</v>
      </c>
      <c r="U121" s="183">
        <f t="shared" si="30"/>
        <v>120</v>
      </c>
      <c r="V121" s="183">
        <f t="shared" si="31"/>
        <v>240</v>
      </c>
      <c r="W121" s="12">
        <f>K121*属性价值参考!C$5+升级!L121*属性价值参考!C$6+升级!M121*属性价值参考!C$7+升级!N121*属性价值参考!C$8+升级!S121*属性价值参考!C$9+升级!T121*属性价值参考!C$10+升级!U121*属性价值参考!C$11+升级!V121*属性价值参考!C$12</f>
        <v>140803.20000000001</v>
      </c>
    </row>
    <row r="122" spans="1:23" x14ac:dyDescent="0.3">
      <c r="A122" s="22"/>
      <c r="B122" s="22"/>
      <c r="C122" s="24">
        <v>121</v>
      </c>
      <c r="D122" s="27" t="str">
        <f t="shared" si="16"/>
        <v>0#1#16940|0#2#580|0#3#121|0#4#242|0#9#121|0#10#242|0#11#121|0#12#242</v>
      </c>
      <c r="E122" s="27" t="str">
        <f t="shared" si="17"/>
        <v>1#1#2823|1#2#29040|1#3#121|1#4#242|1#9#121|1#10#242|1#11#121|1#12#242</v>
      </c>
      <c r="F122" s="27" t="str">
        <f t="shared" si="18"/>
        <v>2#1#8470|2#2#14520|2#3#121|2#4#242|2#9#121|2#10#242|2#11#121|2#12#242</v>
      </c>
      <c r="G122" s="27" t="str">
        <f t="shared" si="23"/>
        <v>0#1#16940|0#2#580|0#3#121|0#4#242|0#9#121|0#10#242|0#11#121|0#12#242|1#1#2823|1#2#29040|1#3#121|1#4#242|1#9#121|1#10#242|1#11#121|1#12#242|2#1#8470|2#2#14520|2#3#121|2#4#242|2#9#121|2#10#242|2#11#121|2#12#242</v>
      </c>
      <c r="H122" s="22"/>
      <c r="I122" s="25">
        <v>42140000</v>
      </c>
      <c r="J122" s="197">
        <v>121</v>
      </c>
      <c r="K122" s="183">
        <f t="shared" si="19"/>
        <v>16940</v>
      </c>
      <c r="L122" s="183">
        <f t="shared" si="20"/>
        <v>29040</v>
      </c>
      <c r="M122" s="183">
        <f t="shared" si="21"/>
        <v>121</v>
      </c>
      <c r="N122" s="183">
        <f t="shared" si="22"/>
        <v>242</v>
      </c>
      <c r="O122" s="183">
        <f t="shared" si="24"/>
        <v>121</v>
      </c>
      <c r="P122" s="183">
        <f t="shared" si="25"/>
        <v>242</v>
      </c>
      <c r="Q122" s="183">
        <f t="shared" si="26"/>
        <v>121</v>
      </c>
      <c r="R122" s="183">
        <f t="shared" si="27"/>
        <v>242</v>
      </c>
      <c r="S122" s="183">
        <f t="shared" si="28"/>
        <v>121</v>
      </c>
      <c r="T122" s="183">
        <f t="shared" si="29"/>
        <v>242</v>
      </c>
      <c r="U122" s="183">
        <f t="shared" si="30"/>
        <v>121</v>
      </c>
      <c r="V122" s="183">
        <f t="shared" si="31"/>
        <v>242</v>
      </c>
      <c r="W122" s="12">
        <f>K122*属性价值参考!C$5+升级!L122*属性价值参考!C$6+升级!M122*属性价值参考!C$7+升级!N122*属性价值参考!C$8+升级!S122*属性价值参考!C$9+升级!T122*属性价值参考!C$10+升级!U122*属性价值参考!C$11+升级!V122*属性价值参考!C$12</f>
        <v>141976.56</v>
      </c>
    </row>
    <row r="123" spans="1:23" x14ac:dyDescent="0.3">
      <c r="A123" s="22"/>
      <c r="B123" s="22"/>
      <c r="C123" s="27">
        <v>122</v>
      </c>
      <c r="D123" s="27" t="str">
        <f t="shared" si="16"/>
        <v>0#1#17080|0#2#585|0#3#122|0#4#244|0#9#122|0#10#244|0#11#122|0#12#244</v>
      </c>
      <c r="E123" s="27" t="str">
        <f t="shared" si="17"/>
        <v>1#1#2846|1#2#29280|1#3#122|1#4#244|1#9#122|1#10#244|1#11#122|1#12#244</v>
      </c>
      <c r="F123" s="27" t="str">
        <f t="shared" si="18"/>
        <v>2#1#8540|2#2#14640|2#3#122|2#4#244|2#9#122|2#10#244|2#11#122|2#12#244</v>
      </c>
      <c r="G123" s="27" t="str">
        <f t="shared" si="23"/>
        <v>0#1#17080|0#2#585|0#3#122|0#4#244|0#9#122|0#10#244|0#11#122|0#12#244|1#1#2846|1#2#29280|1#3#122|1#4#244|1#9#122|1#10#244|1#11#122|1#12#244|2#1#8540|2#2#14640|2#3#122|2#4#244|2#9#122|2#10#244|2#11#122|2#12#244</v>
      </c>
      <c r="H123" s="22"/>
      <c r="I123" s="28">
        <v>45700000</v>
      </c>
      <c r="J123" s="198">
        <v>122</v>
      </c>
      <c r="K123" s="183">
        <f t="shared" si="19"/>
        <v>17080</v>
      </c>
      <c r="L123" s="183">
        <f t="shared" si="20"/>
        <v>29280</v>
      </c>
      <c r="M123" s="183">
        <f t="shared" si="21"/>
        <v>122</v>
      </c>
      <c r="N123" s="183">
        <f t="shared" si="22"/>
        <v>244</v>
      </c>
      <c r="O123" s="183">
        <f t="shared" si="24"/>
        <v>122</v>
      </c>
      <c r="P123" s="183">
        <f t="shared" si="25"/>
        <v>244</v>
      </c>
      <c r="Q123" s="183">
        <f t="shared" si="26"/>
        <v>122</v>
      </c>
      <c r="R123" s="183">
        <f t="shared" si="27"/>
        <v>244</v>
      </c>
      <c r="S123" s="183">
        <f t="shared" si="28"/>
        <v>122</v>
      </c>
      <c r="T123" s="183">
        <f t="shared" si="29"/>
        <v>244</v>
      </c>
      <c r="U123" s="183">
        <f t="shared" si="30"/>
        <v>122</v>
      </c>
      <c r="V123" s="183">
        <f t="shared" si="31"/>
        <v>244</v>
      </c>
      <c r="W123" s="12">
        <f>K123*属性价值参考!C$5+升级!L123*属性价值参考!C$6+升级!M123*属性价值参考!C$7+升级!N123*属性价值参考!C$8+升级!S123*属性价值参考!C$9+升级!T123*属性价值参考!C$10+升级!U123*属性价值参考!C$11+升级!V123*属性价值参考!C$12</f>
        <v>143149.91999999995</v>
      </c>
    </row>
    <row r="124" spans="1:23" x14ac:dyDescent="0.3">
      <c r="A124" s="22"/>
      <c r="B124" s="22"/>
      <c r="C124" s="24">
        <v>123</v>
      </c>
      <c r="D124" s="27" t="str">
        <f t="shared" si="16"/>
        <v>0#1#17220|0#2#590|0#3#123|0#4#246|0#9#123|0#10#246|0#11#123|0#12#246</v>
      </c>
      <c r="E124" s="27" t="str">
        <f t="shared" si="17"/>
        <v>1#1#2870|1#2#29520|1#3#123|1#4#246|1#9#123|1#10#246|1#11#123|1#12#246</v>
      </c>
      <c r="F124" s="27" t="str">
        <f t="shared" si="18"/>
        <v>2#1#8610|2#2#14760|2#3#123|2#4#246|2#9#123|2#10#246|2#11#123|2#12#246</v>
      </c>
      <c r="G124" s="27" t="str">
        <f t="shared" si="23"/>
        <v>0#1#17220|0#2#590|0#3#123|0#4#246|0#9#123|0#10#246|0#11#123|0#12#246|1#1#2870|1#2#29520|1#3#123|1#4#246|1#9#123|1#10#246|1#11#123|1#12#246|2#1#8610|2#2#14760|2#3#123|2#4#246|2#9#123|2#10#246|2#11#123|2#12#246</v>
      </c>
      <c r="H124" s="22"/>
      <c r="I124" s="25">
        <v>49260000</v>
      </c>
      <c r="J124" s="197">
        <v>123</v>
      </c>
      <c r="K124" s="183">
        <f t="shared" si="19"/>
        <v>17220</v>
      </c>
      <c r="L124" s="183">
        <f t="shared" si="20"/>
        <v>29520</v>
      </c>
      <c r="M124" s="183">
        <f t="shared" si="21"/>
        <v>123</v>
      </c>
      <c r="N124" s="183">
        <f t="shared" si="22"/>
        <v>246</v>
      </c>
      <c r="O124" s="183">
        <f t="shared" si="24"/>
        <v>123</v>
      </c>
      <c r="P124" s="183">
        <f t="shared" si="25"/>
        <v>246</v>
      </c>
      <c r="Q124" s="183">
        <f t="shared" si="26"/>
        <v>123</v>
      </c>
      <c r="R124" s="183">
        <f t="shared" si="27"/>
        <v>246</v>
      </c>
      <c r="S124" s="183">
        <f t="shared" si="28"/>
        <v>123</v>
      </c>
      <c r="T124" s="183">
        <f t="shared" si="29"/>
        <v>246</v>
      </c>
      <c r="U124" s="183">
        <f t="shared" si="30"/>
        <v>123</v>
      </c>
      <c r="V124" s="183">
        <f t="shared" si="31"/>
        <v>246</v>
      </c>
      <c r="W124" s="12">
        <f>K124*属性价值参考!C$5+升级!L124*属性价值参考!C$6+升级!M124*属性价值参考!C$7+升级!N124*属性价值参考!C$8+升级!S124*属性价值参考!C$9+升级!T124*属性价值参考!C$10+升级!U124*属性价值参考!C$11+升级!V124*属性价值参考!C$12</f>
        <v>144323.28000000003</v>
      </c>
    </row>
    <row r="125" spans="1:23" x14ac:dyDescent="0.3">
      <c r="A125" s="22"/>
      <c r="B125" s="22"/>
      <c r="C125" s="27">
        <v>124</v>
      </c>
      <c r="D125" s="27" t="str">
        <f t="shared" si="16"/>
        <v>0#1#17360|0#2#595|0#3#124|0#4#248|0#9#124|0#10#248|0#11#124|0#12#248</v>
      </c>
      <c r="E125" s="27" t="str">
        <f t="shared" si="17"/>
        <v>1#1#2893|1#2#29760|1#3#124|1#4#248|1#9#124|1#10#248|1#11#124|1#12#248</v>
      </c>
      <c r="F125" s="27" t="str">
        <f t="shared" si="18"/>
        <v>2#1#8680|2#2#14880|2#3#124|2#4#248|2#9#124|2#10#248|2#11#124|2#12#248</v>
      </c>
      <c r="G125" s="27" t="str">
        <f t="shared" si="23"/>
        <v>0#1#17360|0#2#595|0#3#124|0#4#248|0#9#124|0#10#248|0#11#124|0#12#248|1#1#2893|1#2#29760|1#3#124|1#4#248|1#9#124|1#10#248|1#11#124|1#12#248|2#1#8680|2#2#14880|2#3#124|2#4#248|2#9#124|2#10#248|2#11#124|2#12#248</v>
      </c>
      <c r="H125" s="22"/>
      <c r="I125" s="28">
        <v>52820000</v>
      </c>
      <c r="J125" s="198">
        <v>124</v>
      </c>
      <c r="K125" s="183">
        <f t="shared" si="19"/>
        <v>17360</v>
      </c>
      <c r="L125" s="183">
        <f t="shared" si="20"/>
        <v>29760</v>
      </c>
      <c r="M125" s="183">
        <f t="shared" si="21"/>
        <v>124</v>
      </c>
      <c r="N125" s="183">
        <f t="shared" si="22"/>
        <v>248</v>
      </c>
      <c r="O125" s="183">
        <f t="shared" si="24"/>
        <v>124</v>
      </c>
      <c r="P125" s="183">
        <f t="shared" si="25"/>
        <v>248</v>
      </c>
      <c r="Q125" s="183">
        <f t="shared" si="26"/>
        <v>124</v>
      </c>
      <c r="R125" s="183">
        <f t="shared" si="27"/>
        <v>248</v>
      </c>
      <c r="S125" s="183">
        <f t="shared" si="28"/>
        <v>124</v>
      </c>
      <c r="T125" s="183">
        <f t="shared" si="29"/>
        <v>248</v>
      </c>
      <c r="U125" s="183">
        <f t="shared" si="30"/>
        <v>124</v>
      </c>
      <c r="V125" s="183">
        <f t="shared" si="31"/>
        <v>248</v>
      </c>
      <c r="W125" s="12">
        <f>K125*属性价值参考!C$5+升级!L125*属性价值参考!C$6+升级!M125*属性价值参考!C$7+升级!N125*属性价值参考!C$8+升级!S125*属性价值参考!C$9+升级!T125*属性价值参考!C$10+升级!U125*属性价值参考!C$11+升级!V125*属性价值参考!C$12</f>
        <v>145496.63999999998</v>
      </c>
    </row>
    <row r="126" spans="1:23" x14ac:dyDescent="0.3">
      <c r="A126" s="22"/>
      <c r="B126" s="22"/>
      <c r="C126" s="24">
        <v>125</v>
      </c>
      <c r="D126" s="27" t="str">
        <f t="shared" si="16"/>
        <v>0#1#17500|0#2#600|0#3#125|0#4#250|0#9#125|0#10#250|0#11#125|0#12#250</v>
      </c>
      <c r="E126" s="27" t="str">
        <f t="shared" si="17"/>
        <v>1#1#2916|1#2#30000|1#3#125|1#4#250|1#9#125|1#10#250|1#11#125|1#12#250</v>
      </c>
      <c r="F126" s="27" t="str">
        <f t="shared" si="18"/>
        <v>2#1#8750|2#2#15000|2#3#125|2#4#250|2#9#125|2#10#250|2#11#125|2#12#250</v>
      </c>
      <c r="G126" s="27" t="str">
        <f t="shared" si="23"/>
        <v>0#1#17500|0#2#600|0#3#125|0#4#250|0#9#125|0#10#250|0#11#125|0#12#250|1#1#2916|1#2#30000|1#3#125|1#4#250|1#9#125|1#10#250|1#11#125|1#12#250|2#1#8750|2#2#15000|2#3#125|2#4#250|2#9#125|2#10#250|2#11#125|2#12#250</v>
      </c>
      <c r="H126" s="22"/>
      <c r="I126" s="25">
        <v>56380000</v>
      </c>
      <c r="J126" s="197">
        <v>125</v>
      </c>
      <c r="K126" s="183">
        <f t="shared" si="19"/>
        <v>17500</v>
      </c>
      <c r="L126" s="183">
        <f t="shared" si="20"/>
        <v>30000</v>
      </c>
      <c r="M126" s="183">
        <f t="shared" si="21"/>
        <v>125</v>
      </c>
      <c r="N126" s="183">
        <f t="shared" si="22"/>
        <v>250</v>
      </c>
      <c r="O126" s="183">
        <f t="shared" si="24"/>
        <v>125</v>
      </c>
      <c r="P126" s="183">
        <f t="shared" si="25"/>
        <v>250</v>
      </c>
      <c r="Q126" s="183">
        <f t="shared" si="26"/>
        <v>125</v>
      </c>
      <c r="R126" s="183">
        <f t="shared" si="27"/>
        <v>250</v>
      </c>
      <c r="S126" s="183">
        <f t="shared" si="28"/>
        <v>125</v>
      </c>
      <c r="T126" s="183">
        <f t="shared" si="29"/>
        <v>250</v>
      </c>
      <c r="U126" s="183">
        <f t="shared" si="30"/>
        <v>125</v>
      </c>
      <c r="V126" s="183">
        <f t="shared" si="31"/>
        <v>250</v>
      </c>
      <c r="W126" s="12">
        <f>K126*属性价值参考!C$5+升级!L126*属性价值参考!C$6+升级!M126*属性价值参考!C$7+升级!N126*属性价值参考!C$8+升级!S126*属性价值参考!C$9+升级!T126*属性价值参考!C$10+升级!U126*属性价值参考!C$11+升级!V126*属性价值参考!C$12</f>
        <v>146670</v>
      </c>
    </row>
    <row r="127" spans="1:23" x14ac:dyDescent="0.3">
      <c r="A127" s="22"/>
      <c r="B127" s="22"/>
      <c r="C127" s="27">
        <v>126</v>
      </c>
      <c r="D127" s="27" t="str">
        <f t="shared" si="16"/>
        <v>0#1#17640|0#2#604|0#3#126|0#4#252|0#9#126|0#10#252|0#11#126|0#12#252</v>
      </c>
      <c r="E127" s="27" t="str">
        <f t="shared" si="17"/>
        <v>1#1#2940|1#2#30240|1#3#126|1#4#252|1#9#126|1#10#252|1#11#126|1#12#252</v>
      </c>
      <c r="F127" s="27" t="str">
        <f t="shared" si="18"/>
        <v>2#1#8820|2#2#15120|2#3#126|2#4#252|2#9#126|2#10#252|2#11#126|2#12#252</v>
      </c>
      <c r="G127" s="27" t="str">
        <f t="shared" si="23"/>
        <v>0#1#17640|0#2#604|0#3#126|0#4#252|0#9#126|0#10#252|0#11#126|0#12#252|1#1#2940|1#2#30240|1#3#126|1#4#252|1#9#126|1#10#252|1#11#126|1#12#252|2#1#8820|2#2#15120|2#3#126|2#4#252|2#9#126|2#10#252|2#11#126|2#12#252</v>
      </c>
      <c r="H127" s="22"/>
      <c r="I127" s="28">
        <v>60900000</v>
      </c>
      <c r="J127" s="198">
        <v>126</v>
      </c>
      <c r="K127" s="183">
        <f t="shared" si="19"/>
        <v>17640</v>
      </c>
      <c r="L127" s="183">
        <f t="shared" si="20"/>
        <v>30240</v>
      </c>
      <c r="M127" s="183">
        <f t="shared" si="21"/>
        <v>126</v>
      </c>
      <c r="N127" s="183">
        <f t="shared" si="22"/>
        <v>252</v>
      </c>
      <c r="O127" s="183">
        <f t="shared" si="24"/>
        <v>126</v>
      </c>
      <c r="P127" s="183">
        <f t="shared" si="25"/>
        <v>252</v>
      </c>
      <c r="Q127" s="183">
        <f t="shared" si="26"/>
        <v>126</v>
      </c>
      <c r="R127" s="183">
        <f t="shared" si="27"/>
        <v>252</v>
      </c>
      <c r="S127" s="183">
        <f t="shared" si="28"/>
        <v>126</v>
      </c>
      <c r="T127" s="183">
        <f t="shared" si="29"/>
        <v>252</v>
      </c>
      <c r="U127" s="183">
        <f t="shared" si="30"/>
        <v>126</v>
      </c>
      <c r="V127" s="183">
        <f t="shared" si="31"/>
        <v>252</v>
      </c>
      <c r="W127" s="12">
        <f>K127*属性价值参考!C$5+升级!L127*属性价值参考!C$6+升级!M127*属性价值参考!C$7+升级!N127*属性价值参考!C$8+升级!S127*属性价值参考!C$9+升级!T127*属性价值参考!C$10+升级!U127*属性价值参考!C$11+升级!V127*属性价值参考!C$12</f>
        <v>147843.36000000002</v>
      </c>
    </row>
    <row r="128" spans="1:23" x14ac:dyDescent="0.3">
      <c r="A128" s="22"/>
      <c r="B128" s="22"/>
      <c r="C128" s="24">
        <v>127</v>
      </c>
      <c r="D128" s="27" t="str">
        <f t="shared" si="16"/>
        <v>0#1#17780|0#2#609|0#3#127|0#4#254|0#9#127|0#10#254|0#11#127|0#12#254</v>
      </c>
      <c r="E128" s="27" t="str">
        <f t="shared" si="17"/>
        <v>1#1#2963|1#2#30480|1#3#127|1#4#254|1#9#127|1#10#254|1#11#127|1#12#254</v>
      </c>
      <c r="F128" s="27" t="str">
        <f t="shared" si="18"/>
        <v>2#1#8890|2#2#15240|2#3#127|2#4#254|2#9#127|2#10#254|2#11#127|2#12#254</v>
      </c>
      <c r="G128" s="27" t="str">
        <f t="shared" si="23"/>
        <v>0#1#17780|0#2#609|0#3#127|0#4#254|0#9#127|0#10#254|0#11#127|0#12#254|1#1#2963|1#2#30480|1#3#127|1#4#254|1#9#127|1#10#254|1#11#127|1#12#254|2#1#8890|2#2#15240|2#3#127|2#4#254|2#9#127|2#10#254|2#11#127|2#12#254</v>
      </c>
      <c r="H128" s="22"/>
      <c r="I128" s="25">
        <v>65420000</v>
      </c>
      <c r="J128" s="197">
        <v>127</v>
      </c>
      <c r="K128" s="183">
        <f t="shared" si="19"/>
        <v>17780</v>
      </c>
      <c r="L128" s="183">
        <f t="shared" si="20"/>
        <v>30480</v>
      </c>
      <c r="M128" s="183">
        <f t="shared" si="21"/>
        <v>127</v>
      </c>
      <c r="N128" s="183">
        <f t="shared" si="22"/>
        <v>254</v>
      </c>
      <c r="O128" s="183">
        <f t="shared" si="24"/>
        <v>127</v>
      </c>
      <c r="P128" s="183">
        <f t="shared" si="25"/>
        <v>254</v>
      </c>
      <c r="Q128" s="183">
        <f t="shared" si="26"/>
        <v>127</v>
      </c>
      <c r="R128" s="183">
        <f t="shared" si="27"/>
        <v>254</v>
      </c>
      <c r="S128" s="183">
        <f t="shared" si="28"/>
        <v>127</v>
      </c>
      <c r="T128" s="183">
        <f t="shared" si="29"/>
        <v>254</v>
      </c>
      <c r="U128" s="183">
        <f t="shared" si="30"/>
        <v>127</v>
      </c>
      <c r="V128" s="183">
        <f t="shared" si="31"/>
        <v>254</v>
      </c>
      <c r="W128" s="12">
        <f>K128*属性价值参考!C$5+升级!L128*属性价值参考!C$6+升级!M128*属性价值参考!C$7+升级!N128*属性价值参考!C$8+升级!S128*属性价值参考!C$9+升级!T128*属性价值参考!C$10+升级!U128*属性价值参考!C$11+升级!V128*属性价值参考!C$12</f>
        <v>149016.71999999994</v>
      </c>
    </row>
    <row r="129" spans="1:23" x14ac:dyDescent="0.3">
      <c r="A129" s="22"/>
      <c r="B129" s="22"/>
      <c r="C129" s="27">
        <v>128</v>
      </c>
      <c r="D129" s="27" t="str">
        <f t="shared" si="16"/>
        <v>0#1#17920|0#2#614|0#3#128|0#4#256|0#9#128|0#10#256|0#11#128|0#12#256</v>
      </c>
      <c r="E129" s="27" t="str">
        <f t="shared" si="17"/>
        <v>1#1#2986|1#2#30720|1#3#128|1#4#256|1#9#128|1#10#256|1#11#128|1#12#256</v>
      </c>
      <c r="F129" s="27" t="str">
        <f t="shared" si="18"/>
        <v>2#1#8960|2#2#15360|2#3#128|2#4#256|2#9#128|2#10#256|2#11#128|2#12#256</v>
      </c>
      <c r="G129" s="27" t="str">
        <f t="shared" si="23"/>
        <v>0#1#17920|0#2#614|0#3#128|0#4#256|0#9#128|0#10#256|0#11#128|0#12#256|1#1#2986|1#2#30720|1#3#128|1#4#256|1#9#128|1#10#256|1#11#128|1#12#256|2#1#8960|2#2#15360|2#3#128|2#4#256|2#9#128|2#10#256|2#11#128|2#12#256</v>
      </c>
      <c r="H129" s="22"/>
      <c r="I129" s="28">
        <v>69940000</v>
      </c>
      <c r="J129" s="198">
        <v>128</v>
      </c>
      <c r="K129" s="183">
        <f t="shared" si="19"/>
        <v>17920</v>
      </c>
      <c r="L129" s="183">
        <f t="shared" si="20"/>
        <v>30720</v>
      </c>
      <c r="M129" s="183">
        <f t="shared" si="21"/>
        <v>128</v>
      </c>
      <c r="N129" s="183">
        <f t="shared" si="22"/>
        <v>256</v>
      </c>
      <c r="O129" s="183">
        <f t="shared" si="24"/>
        <v>128</v>
      </c>
      <c r="P129" s="183">
        <f t="shared" si="25"/>
        <v>256</v>
      </c>
      <c r="Q129" s="183">
        <f t="shared" si="26"/>
        <v>128</v>
      </c>
      <c r="R129" s="183">
        <f t="shared" si="27"/>
        <v>256</v>
      </c>
      <c r="S129" s="183">
        <f t="shared" si="28"/>
        <v>128</v>
      </c>
      <c r="T129" s="183">
        <f t="shared" si="29"/>
        <v>256</v>
      </c>
      <c r="U129" s="183">
        <f t="shared" si="30"/>
        <v>128</v>
      </c>
      <c r="V129" s="183">
        <f t="shared" si="31"/>
        <v>256</v>
      </c>
      <c r="W129" s="12">
        <f>K129*属性价值参考!C$5+升级!L129*属性价值参考!C$6+升级!M129*属性价值参考!C$7+升级!N129*属性价值参考!C$8+升级!S129*属性价值参考!C$9+升级!T129*属性价值参考!C$10+升级!U129*属性价值参考!C$11+升级!V129*属性价值参考!C$12</f>
        <v>150190.08000000005</v>
      </c>
    </row>
    <row r="130" spans="1:23" x14ac:dyDescent="0.3">
      <c r="A130" s="22"/>
      <c r="B130" s="22"/>
      <c r="C130" s="24">
        <v>129</v>
      </c>
      <c r="D130" s="27" t="str">
        <f t="shared" ref="D130:D193" si="32">"0#1#"&amp;INT(K130)&amp;"|"&amp;"0#2#"&amp;INT(0.02*L130)&amp;"|"&amp;"0#3#"&amp;INT(M130)&amp;"|"&amp;"0#4#"&amp;INT(N130)&amp;"|"&amp;"0#9#"&amp;INT(S130)&amp;"|"&amp;"0#10#"&amp;INT(T130)&amp;"|"&amp;"0#11#"&amp;INT(U130)&amp;"|"&amp;"0#12#"&amp;INT(V130)</f>
        <v>0#1#18060|0#2#619|0#3#129|0#4#258|0#9#129|0#10#258|0#11#129|0#12#258</v>
      </c>
      <c r="E130" s="27" t="str">
        <f t="shared" ref="E130:E193" si="33">"1#1#"&amp;INT(1/6*K130)&amp;"|"&amp;"1#2#"&amp;INT(L130)&amp;"|"&amp;"1#3#"&amp;INT(O130)&amp;"|"&amp;"1#4#"&amp;INT(P130)&amp;"|"&amp;"1#9#"&amp;INT(S130)&amp;"|"&amp;"1#10#"&amp;INT(T130)&amp;"|"&amp;"1#11#"&amp;INT(U130)&amp;"|"&amp;"1#12#"&amp;INT(V130)</f>
        <v>1#1#3010|1#2#30960|1#3#129|1#4#258|1#9#129|1#10#258|1#11#129|1#12#258</v>
      </c>
      <c r="F130" s="27" t="str">
        <f t="shared" ref="F130:F193" si="34">"2#1#"&amp;INT(1/2*K130)&amp;"|"&amp;"2#2#"&amp;INT(1/2*L130)&amp;"|"&amp;"2#3#"&amp;INT(Q130)&amp;"|"&amp;"2#4#"&amp;INT(R130)&amp;"|"&amp;"2#9#"&amp;INT(S130)&amp;"|"&amp;"2#10#"&amp;INT(T130)&amp;"|"&amp;"2#11#"&amp;INT(U130)&amp;"|"&amp;"2#12#"&amp;INT(V130)</f>
        <v>2#1#9030|2#2#15480|2#3#129|2#4#258|2#9#129|2#10#258|2#11#129|2#12#258</v>
      </c>
      <c r="G130" s="27" t="str">
        <f t="shared" si="23"/>
        <v>0#1#18060|0#2#619|0#3#129|0#4#258|0#9#129|0#10#258|0#11#129|0#12#258|1#1#3010|1#2#30960|1#3#129|1#4#258|1#9#129|1#10#258|1#11#129|1#12#258|2#1#9030|2#2#15480|2#3#129|2#4#258|2#9#129|2#10#258|2#11#129|2#12#258</v>
      </c>
      <c r="H130" s="22"/>
      <c r="I130" s="25">
        <v>74460000</v>
      </c>
      <c r="J130" s="197">
        <v>129</v>
      </c>
      <c r="K130" s="183">
        <f t="shared" ref="K130:K193" si="35">INT(J130/250*K$251)</f>
        <v>18060</v>
      </c>
      <c r="L130" s="183">
        <f t="shared" ref="L130:L193" si="36">INT(J130/250*L$251)</f>
        <v>30960</v>
      </c>
      <c r="M130" s="183">
        <f t="shared" ref="M130:M193" si="37">INT(J130/250*M$251)</f>
        <v>129</v>
      </c>
      <c r="N130" s="183">
        <f t="shared" ref="N130:N193" si="38">INT(J130/250*N$251)</f>
        <v>258</v>
      </c>
      <c r="O130" s="183">
        <f t="shared" si="24"/>
        <v>129</v>
      </c>
      <c r="P130" s="183">
        <f t="shared" si="25"/>
        <v>258</v>
      </c>
      <c r="Q130" s="183">
        <f t="shared" si="26"/>
        <v>129</v>
      </c>
      <c r="R130" s="183">
        <f t="shared" si="27"/>
        <v>258</v>
      </c>
      <c r="S130" s="183">
        <f t="shared" si="28"/>
        <v>129</v>
      </c>
      <c r="T130" s="183">
        <f t="shared" si="29"/>
        <v>258</v>
      </c>
      <c r="U130" s="183">
        <f t="shared" si="30"/>
        <v>129</v>
      </c>
      <c r="V130" s="183">
        <f t="shared" si="31"/>
        <v>258</v>
      </c>
      <c r="W130" s="12">
        <f>K130*属性价值参考!C$5+升级!L130*属性价值参考!C$6+升级!M130*属性价值参考!C$7+升级!N130*属性价值参考!C$8+升级!S130*属性价值参考!C$9+升级!T130*属性价值参考!C$10+升级!U130*属性价值参考!C$11+升级!V130*属性价值参考!C$12</f>
        <v>151363.43999999997</v>
      </c>
    </row>
    <row r="131" spans="1:23" x14ac:dyDescent="0.3">
      <c r="A131" s="22"/>
      <c r="B131" s="22"/>
      <c r="C131" s="27">
        <v>130</v>
      </c>
      <c r="D131" s="27" t="str">
        <f t="shared" si="32"/>
        <v>0#1#18200|0#2#624|0#3#130|0#4#260|0#9#130|0#10#260|0#11#130|0#12#260</v>
      </c>
      <c r="E131" s="27" t="str">
        <f t="shared" si="33"/>
        <v>1#1#3033|1#2#31200|1#3#130|1#4#260|1#9#130|1#10#260|1#11#130|1#12#260</v>
      </c>
      <c r="F131" s="27" t="str">
        <f t="shared" si="34"/>
        <v>2#1#9100|2#2#15600|2#3#130|2#4#260|2#9#130|2#10#260|2#11#130|2#12#260</v>
      </c>
      <c r="G131" s="27" t="str">
        <f t="shared" ref="G131:G194" si="39">D131&amp;"|"&amp;E131&amp;"|"&amp;F131</f>
        <v>0#1#18200|0#2#624|0#3#130|0#4#260|0#9#130|0#10#260|0#11#130|0#12#260|1#1#3033|1#2#31200|1#3#130|1#4#260|1#9#130|1#10#260|1#11#130|1#12#260|2#1#9100|2#2#15600|2#3#130|2#4#260|2#9#130|2#10#260|2#11#130|2#12#260</v>
      </c>
      <c r="H131" s="22"/>
      <c r="I131" s="28">
        <v>78980000</v>
      </c>
      <c r="J131" s="198">
        <v>130</v>
      </c>
      <c r="K131" s="183">
        <f t="shared" si="35"/>
        <v>18200</v>
      </c>
      <c r="L131" s="183">
        <f t="shared" si="36"/>
        <v>31200</v>
      </c>
      <c r="M131" s="183">
        <f t="shared" si="37"/>
        <v>130</v>
      </c>
      <c r="N131" s="183">
        <f t="shared" si="38"/>
        <v>260</v>
      </c>
      <c r="O131" s="183">
        <f t="shared" ref="O131:O194" si="40">INT(J131/250*O$251)</f>
        <v>130</v>
      </c>
      <c r="P131" s="183">
        <f t="shared" ref="P131:P194" si="41">INT(J131/250*P$251)</f>
        <v>260</v>
      </c>
      <c r="Q131" s="183">
        <f t="shared" ref="Q131:Q194" si="42">INT(J131/250*Q$251)</f>
        <v>130</v>
      </c>
      <c r="R131" s="183">
        <f t="shared" ref="R131:R194" si="43">INT(J131/250*R$251)</f>
        <v>260</v>
      </c>
      <c r="S131" s="183">
        <f t="shared" ref="S131:S194" si="44">INT(J131/250*S$251)</f>
        <v>130</v>
      </c>
      <c r="T131" s="183">
        <f t="shared" ref="T131:T194" si="45">INT(J131/250*T$251)</f>
        <v>260</v>
      </c>
      <c r="U131" s="183">
        <f t="shared" ref="U131:U194" si="46">INT(J131/250*U$251)</f>
        <v>130</v>
      </c>
      <c r="V131" s="183">
        <f t="shared" ref="V131:V194" si="47">INT(J131/250*V$251)</f>
        <v>260</v>
      </c>
      <c r="W131" s="12">
        <f>K131*属性价值参考!C$5+升级!L131*属性价值参考!C$6+升级!M131*属性价值参考!C$7+升级!N131*属性价值参考!C$8+升级!S131*属性价值参考!C$9+升级!T131*属性价值参考!C$10+升级!U131*属性价值参考!C$11+升级!V131*属性价值参考!C$12</f>
        <v>152536.79999999999</v>
      </c>
    </row>
    <row r="132" spans="1:23" x14ac:dyDescent="0.3">
      <c r="A132" s="22"/>
      <c r="B132" s="22"/>
      <c r="C132" s="24">
        <v>131</v>
      </c>
      <c r="D132" s="27" t="str">
        <f t="shared" si="32"/>
        <v>0#1#18340|0#2#628|0#3#131|0#4#262|0#9#131|0#10#262|0#11#131|0#12#262</v>
      </c>
      <c r="E132" s="27" t="str">
        <f t="shared" si="33"/>
        <v>1#1#3056|1#2#31440|1#3#131|1#4#262|1#9#131|1#10#262|1#11#131|1#12#262</v>
      </c>
      <c r="F132" s="27" t="str">
        <f t="shared" si="34"/>
        <v>2#1#9170|2#2#15720|2#3#131|2#4#262|2#9#131|2#10#262|2#11#131|2#12#262</v>
      </c>
      <c r="G132" s="27" t="str">
        <f t="shared" si="39"/>
        <v>0#1#18340|0#2#628|0#3#131|0#4#262|0#9#131|0#10#262|0#11#131|0#12#262|1#1#3056|1#2#31440|1#3#131|1#4#262|1#9#131|1#10#262|1#11#131|1#12#262|2#1#9170|2#2#15720|2#3#131|2#4#262|2#9#131|2#10#262|2#11#131|2#12#262</v>
      </c>
      <c r="H132" s="22"/>
      <c r="I132" s="25">
        <v>83500000</v>
      </c>
      <c r="J132" s="197">
        <v>131</v>
      </c>
      <c r="K132" s="183">
        <f t="shared" si="35"/>
        <v>18340</v>
      </c>
      <c r="L132" s="183">
        <f t="shared" si="36"/>
        <v>31440</v>
      </c>
      <c r="M132" s="183">
        <f t="shared" si="37"/>
        <v>131</v>
      </c>
      <c r="N132" s="183">
        <f t="shared" si="38"/>
        <v>262</v>
      </c>
      <c r="O132" s="183">
        <f t="shared" si="40"/>
        <v>131</v>
      </c>
      <c r="P132" s="183">
        <f t="shared" si="41"/>
        <v>262</v>
      </c>
      <c r="Q132" s="183">
        <f t="shared" si="42"/>
        <v>131</v>
      </c>
      <c r="R132" s="183">
        <f t="shared" si="43"/>
        <v>262</v>
      </c>
      <c r="S132" s="183">
        <f t="shared" si="44"/>
        <v>131</v>
      </c>
      <c r="T132" s="183">
        <f t="shared" si="45"/>
        <v>262</v>
      </c>
      <c r="U132" s="183">
        <f t="shared" si="46"/>
        <v>131</v>
      </c>
      <c r="V132" s="183">
        <f t="shared" si="47"/>
        <v>262</v>
      </c>
      <c r="W132" s="12">
        <f>K132*属性价值参考!C$5+升级!L132*属性价值参考!C$6+升级!M132*属性价值参考!C$7+升级!N132*属性价值参考!C$8+升级!S132*属性价值参考!C$9+升级!T132*属性价值参考!C$10+升级!U132*属性价值参考!C$11+升级!V132*属性价值参考!C$12</f>
        <v>153710.16</v>
      </c>
    </row>
    <row r="133" spans="1:23" x14ac:dyDescent="0.3">
      <c r="A133" s="22"/>
      <c r="B133" s="22"/>
      <c r="C133" s="27">
        <v>132</v>
      </c>
      <c r="D133" s="27" t="str">
        <f t="shared" si="32"/>
        <v>0#1#18480|0#2#633|0#3#132|0#4#264|0#9#132|0#10#264|0#11#132|0#12#264</v>
      </c>
      <c r="E133" s="27" t="str">
        <f t="shared" si="33"/>
        <v>1#1#3080|1#2#31680|1#3#132|1#4#264|1#9#132|1#10#264|1#11#132|1#12#264</v>
      </c>
      <c r="F133" s="27" t="str">
        <f t="shared" si="34"/>
        <v>2#1#9240|2#2#15840|2#3#132|2#4#264|2#9#132|2#10#264|2#11#132|2#12#264</v>
      </c>
      <c r="G133" s="27" t="str">
        <f t="shared" si="39"/>
        <v>0#1#18480|0#2#633|0#3#132|0#4#264|0#9#132|0#10#264|0#11#132|0#12#264|1#1#3080|1#2#31680|1#3#132|1#4#264|1#9#132|1#10#264|1#11#132|1#12#264|2#1#9240|2#2#15840|2#3#132|2#4#264|2#9#132|2#10#264|2#11#132|2#12#264</v>
      </c>
      <c r="H133" s="22"/>
      <c r="I133" s="28">
        <v>88020000</v>
      </c>
      <c r="J133" s="198">
        <v>132</v>
      </c>
      <c r="K133" s="183">
        <f t="shared" si="35"/>
        <v>18480</v>
      </c>
      <c r="L133" s="183">
        <f t="shared" si="36"/>
        <v>31680</v>
      </c>
      <c r="M133" s="183">
        <f t="shared" si="37"/>
        <v>132</v>
      </c>
      <c r="N133" s="183">
        <f t="shared" si="38"/>
        <v>264</v>
      </c>
      <c r="O133" s="183">
        <f t="shared" si="40"/>
        <v>132</v>
      </c>
      <c r="P133" s="183">
        <f t="shared" si="41"/>
        <v>264</v>
      </c>
      <c r="Q133" s="183">
        <f t="shared" si="42"/>
        <v>132</v>
      </c>
      <c r="R133" s="183">
        <f t="shared" si="43"/>
        <v>264</v>
      </c>
      <c r="S133" s="183">
        <f t="shared" si="44"/>
        <v>132</v>
      </c>
      <c r="T133" s="183">
        <f t="shared" si="45"/>
        <v>264</v>
      </c>
      <c r="U133" s="183">
        <f t="shared" si="46"/>
        <v>132</v>
      </c>
      <c r="V133" s="183">
        <f t="shared" si="47"/>
        <v>264</v>
      </c>
      <c r="W133" s="12">
        <f>K133*属性价值参考!C$5+升级!L133*属性价值参考!C$6+升级!M133*属性价值参考!C$7+升级!N133*属性价值参考!C$8+升级!S133*属性价值参考!C$9+升级!T133*属性价值参考!C$10+升级!U133*属性价值参考!C$11+升级!V133*属性价值参考!C$12</f>
        <v>154883.51999999993</v>
      </c>
    </row>
    <row r="134" spans="1:23" x14ac:dyDescent="0.3">
      <c r="A134" s="22"/>
      <c r="B134" s="22"/>
      <c r="C134" s="24">
        <v>133</v>
      </c>
      <c r="D134" s="27" t="str">
        <f t="shared" si="32"/>
        <v>0#1#18620|0#2#638|0#3#133|0#4#266|0#9#133|0#10#266|0#11#133|0#12#266</v>
      </c>
      <c r="E134" s="27" t="str">
        <f t="shared" si="33"/>
        <v>1#1#3103|1#2#31920|1#3#133|1#4#266|1#9#133|1#10#266|1#11#133|1#12#266</v>
      </c>
      <c r="F134" s="27" t="str">
        <f t="shared" si="34"/>
        <v>2#1#9310|2#2#15960|2#3#133|2#4#266|2#9#133|2#10#266|2#11#133|2#12#266</v>
      </c>
      <c r="G134" s="27" t="str">
        <f t="shared" si="39"/>
        <v>0#1#18620|0#2#638|0#3#133|0#4#266|0#9#133|0#10#266|0#11#133|0#12#266|1#1#3103|1#2#31920|1#3#133|1#4#266|1#9#133|1#10#266|1#11#133|1#12#266|2#1#9310|2#2#15960|2#3#133|2#4#266|2#9#133|2#10#266|2#11#133|2#12#266</v>
      </c>
      <c r="H134" s="22"/>
      <c r="I134" s="25">
        <v>92540000</v>
      </c>
      <c r="J134" s="197">
        <v>133</v>
      </c>
      <c r="K134" s="183">
        <f t="shared" si="35"/>
        <v>18620</v>
      </c>
      <c r="L134" s="183">
        <f t="shared" si="36"/>
        <v>31920</v>
      </c>
      <c r="M134" s="183">
        <f t="shared" si="37"/>
        <v>133</v>
      </c>
      <c r="N134" s="183">
        <f t="shared" si="38"/>
        <v>266</v>
      </c>
      <c r="O134" s="183">
        <f t="shared" si="40"/>
        <v>133</v>
      </c>
      <c r="P134" s="183">
        <f t="shared" si="41"/>
        <v>266</v>
      </c>
      <c r="Q134" s="183">
        <f t="shared" si="42"/>
        <v>133</v>
      </c>
      <c r="R134" s="183">
        <f t="shared" si="43"/>
        <v>266</v>
      </c>
      <c r="S134" s="183">
        <f t="shared" si="44"/>
        <v>133</v>
      </c>
      <c r="T134" s="183">
        <f t="shared" si="45"/>
        <v>266</v>
      </c>
      <c r="U134" s="183">
        <f t="shared" si="46"/>
        <v>133</v>
      </c>
      <c r="V134" s="183">
        <f t="shared" si="47"/>
        <v>266</v>
      </c>
      <c r="W134" s="12">
        <f>K134*属性价值参考!C$5+升级!L134*属性价值参考!C$6+升级!M134*属性价值参考!C$7+升级!N134*属性价值参考!C$8+升级!S134*属性价值参考!C$9+升级!T134*属性价值参考!C$10+升级!U134*属性价值参考!C$11+升级!V134*属性价值参考!C$12</f>
        <v>156056.88000000003</v>
      </c>
    </row>
    <row r="135" spans="1:23" x14ac:dyDescent="0.3">
      <c r="A135" s="22"/>
      <c r="B135" s="22"/>
      <c r="C135" s="27">
        <v>134</v>
      </c>
      <c r="D135" s="27" t="str">
        <f t="shared" si="32"/>
        <v>0#1#18760|0#2#643|0#3#134|0#4#268|0#9#134|0#10#268|0#11#134|0#12#268</v>
      </c>
      <c r="E135" s="27" t="str">
        <f t="shared" si="33"/>
        <v>1#1#3126|1#2#32160|1#3#134|1#4#268|1#9#134|1#10#268|1#11#134|1#12#268</v>
      </c>
      <c r="F135" s="27" t="str">
        <f t="shared" si="34"/>
        <v>2#1#9380|2#2#16080|2#3#134|2#4#268|2#9#134|2#10#268|2#11#134|2#12#268</v>
      </c>
      <c r="G135" s="27" t="str">
        <f t="shared" si="39"/>
        <v>0#1#18760|0#2#643|0#3#134|0#4#268|0#9#134|0#10#268|0#11#134|0#12#268|1#1#3126|1#2#32160|1#3#134|1#4#268|1#9#134|1#10#268|1#11#134|1#12#268|2#1#9380|2#2#16080|2#3#134|2#4#268|2#9#134|2#10#268|2#11#134|2#12#268</v>
      </c>
      <c r="H135" s="22"/>
      <c r="I135" s="28">
        <v>97060000</v>
      </c>
      <c r="J135" s="198">
        <v>134</v>
      </c>
      <c r="K135" s="183">
        <f t="shared" si="35"/>
        <v>18760</v>
      </c>
      <c r="L135" s="183">
        <f t="shared" si="36"/>
        <v>32160</v>
      </c>
      <c r="M135" s="183">
        <f t="shared" si="37"/>
        <v>134</v>
      </c>
      <c r="N135" s="183">
        <f t="shared" si="38"/>
        <v>268</v>
      </c>
      <c r="O135" s="183">
        <f t="shared" si="40"/>
        <v>134</v>
      </c>
      <c r="P135" s="183">
        <f t="shared" si="41"/>
        <v>268</v>
      </c>
      <c r="Q135" s="183">
        <f t="shared" si="42"/>
        <v>134</v>
      </c>
      <c r="R135" s="183">
        <f t="shared" si="43"/>
        <v>268</v>
      </c>
      <c r="S135" s="183">
        <f t="shared" si="44"/>
        <v>134</v>
      </c>
      <c r="T135" s="183">
        <f t="shared" si="45"/>
        <v>268</v>
      </c>
      <c r="U135" s="183">
        <f t="shared" si="46"/>
        <v>134</v>
      </c>
      <c r="V135" s="183">
        <f t="shared" si="47"/>
        <v>268</v>
      </c>
      <c r="W135" s="12">
        <f>K135*属性价值参考!C$5+升级!L135*属性价值参考!C$6+升级!M135*属性价值参考!C$7+升级!N135*属性价值参考!C$8+升级!S135*属性价值参考!C$9+升级!T135*属性价值参考!C$10+升级!U135*属性价值参考!C$11+升级!V135*属性价值参考!C$12</f>
        <v>157230.23999999996</v>
      </c>
    </row>
    <row r="136" spans="1:23" x14ac:dyDescent="0.3">
      <c r="A136" s="22"/>
      <c r="B136" s="22"/>
      <c r="C136" s="24">
        <v>135</v>
      </c>
      <c r="D136" s="27" t="str">
        <f t="shared" si="32"/>
        <v>0#1#18900|0#2#648|0#3#135|0#4#270|0#9#135|0#10#270|0#11#135|0#12#270</v>
      </c>
      <c r="E136" s="27" t="str">
        <f t="shared" si="33"/>
        <v>1#1#3150|1#2#32400|1#3#135|1#4#270|1#9#135|1#10#270|1#11#135|1#12#270</v>
      </c>
      <c r="F136" s="27" t="str">
        <f t="shared" si="34"/>
        <v>2#1#9450|2#2#16200|2#3#135|2#4#270|2#9#135|2#10#270|2#11#135|2#12#270</v>
      </c>
      <c r="G136" s="27" t="str">
        <f t="shared" si="39"/>
        <v>0#1#18900|0#2#648|0#3#135|0#4#270|0#9#135|0#10#270|0#11#135|0#12#270|1#1#3150|1#2#32400|1#3#135|1#4#270|1#9#135|1#10#270|1#11#135|1#12#270|2#1#9450|2#2#16200|2#3#135|2#4#270|2#9#135|2#10#270|2#11#135|2#12#270</v>
      </c>
      <c r="H136" s="22"/>
      <c r="I136" s="25">
        <v>101580000</v>
      </c>
      <c r="J136" s="197">
        <v>135</v>
      </c>
      <c r="K136" s="183">
        <f t="shared" si="35"/>
        <v>18900</v>
      </c>
      <c r="L136" s="183">
        <f t="shared" si="36"/>
        <v>32400</v>
      </c>
      <c r="M136" s="183">
        <f t="shared" si="37"/>
        <v>135</v>
      </c>
      <c r="N136" s="183">
        <f t="shared" si="38"/>
        <v>270</v>
      </c>
      <c r="O136" s="183">
        <f t="shared" si="40"/>
        <v>135</v>
      </c>
      <c r="P136" s="183">
        <f t="shared" si="41"/>
        <v>270</v>
      </c>
      <c r="Q136" s="183">
        <f t="shared" si="42"/>
        <v>135</v>
      </c>
      <c r="R136" s="183">
        <f t="shared" si="43"/>
        <v>270</v>
      </c>
      <c r="S136" s="183">
        <f t="shared" si="44"/>
        <v>135</v>
      </c>
      <c r="T136" s="183">
        <f t="shared" si="45"/>
        <v>270</v>
      </c>
      <c r="U136" s="183">
        <f t="shared" si="46"/>
        <v>135</v>
      </c>
      <c r="V136" s="183">
        <f t="shared" si="47"/>
        <v>270</v>
      </c>
      <c r="W136" s="12">
        <f>K136*属性价值参考!C$5+升级!L136*属性价值参考!C$6+升级!M136*属性价值参考!C$7+升级!N136*属性价值参考!C$8+升级!S136*属性价值参考!C$9+升级!T136*属性价值参考!C$10+升级!U136*属性价值参考!C$11+升级!V136*属性价值参考!C$12</f>
        <v>158403.6</v>
      </c>
    </row>
    <row r="137" spans="1:23" x14ac:dyDescent="0.3">
      <c r="A137" s="22"/>
      <c r="B137" s="22"/>
      <c r="C137" s="27">
        <v>136</v>
      </c>
      <c r="D137" s="27" t="str">
        <f t="shared" si="32"/>
        <v>0#1#19040|0#2#652|0#3#136|0#4#272|0#9#136|0#10#272|0#11#136|0#12#272</v>
      </c>
      <c r="E137" s="27" t="str">
        <f t="shared" si="33"/>
        <v>1#1#3173|1#2#32640|1#3#136|1#4#272|1#9#136|1#10#272|1#11#136|1#12#272</v>
      </c>
      <c r="F137" s="27" t="str">
        <f t="shared" si="34"/>
        <v>2#1#9520|2#2#16320|2#3#136|2#4#272|2#9#136|2#10#272|2#11#136|2#12#272</v>
      </c>
      <c r="G137" s="27" t="str">
        <f t="shared" si="39"/>
        <v>0#1#19040|0#2#652|0#3#136|0#4#272|0#9#136|0#10#272|0#11#136|0#12#272|1#1#3173|1#2#32640|1#3#136|1#4#272|1#9#136|1#10#272|1#11#136|1#12#272|2#1#9520|2#2#16320|2#3#136|2#4#272|2#9#136|2#10#272|2#11#136|2#12#272</v>
      </c>
      <c r="H137" s="22"/>
      <c r="I137" s="28">
        <v>107000000</v>
      </c>
      <c r="J137" s="198">
        <v>136</v>
      </c>
      <c r="K137" s="183">
        <f t="shared" si="35"/>
        <v>19040</v>
      </c>
      <c r="L137" s="183">
        <f t="shared" si="36"/>
        <v>32640</v>
      </c>
      <c r="M137" s="183">
        <f t="shared" si="37"/>
        <v>136</v>
      </c>
      <c r="N137" s="183">
        <f t="shared" si="38"/>
        <v>272</v>
      </c>
      <c r="O137" s="183">
        <f t="shared" si="40"/>
        <v>136</v>
      </c>
      <c r="P137" s="183">
        <f t="shared" si="41"/>
        <v>272</v>
      </c>
      <c r="Q137" s="183">
        <f t="shared" si="42"/>
        <v>136</v>
      </c>
      <c r="R137" s="183">
        <f t="shared" si="43"/>
        <v>272</v>
      </c>
      <c r="S137" s="183">
        <f t="shared" si="44"/>
        <v>136</v>
      </c>
      <c r="T137" s="183">
        <f t="shared" si="45"/>
        <v>272</v>
      </c>
      <c r="U137" s="183">
        <f t="shared" si="46"/>
        <v>136</v>
      </c>
      <c r="V137" s="183">
        <f t="shared" si="47"/>
        <v>272</v>
      </c>
      <c r="W137" s="12">
        <f>K137*属性价值参考!C$5+升级!L137*属性价值参考!C$6+升级!M137*属性价值参考!C$7+升级!N137*属性价值参考!C$8+升级!S137*属性价值参考!C$9+升级!T137*属性价值参考!C$10+升级!U137*属性价值参考!C$11+升级!V137*属性价值参考!C$12</f>
        <v>159576.96000000002</v>
      </c>
    </row>
    <row r="138" spans="1:23" x14ac:dyDescent="0.3">
      <c r="A138" s="22"/>
      <c r="B138" s="22"/>
      <c r="C138" s="24">
        <v>137</v>
      </c>
      <c r="D138" s="27" t="str">
        <f t="shared" si="32"/>
        <v>0#1#19180|0#2#657|0#3#137|0#4#274|0#9#137|0#10#274|0#11#137|0#12#274</v>
      </c>
      <c r="E138" s="27" t="str">
        <f t="shared" si="33"/>
        <v>1#1#3196|1#2#32880|1#3#137|1#4#274|1#9#137|1#10#274|1#11#137|1#12#274</v>
      </c>
      <c r="F138" s="27" t="str">
        <f t="shared" si="34"/>
        <v>2#1#9590|2#2#16440|2#3#137|2#4#274|2#9#137|2#10#274|2#11#137|2#12#274</v>
      </c>
      <c r="G138" s="27" t="str">
        <f t="shared" si="39"/>
        <v>0#1#19180|0#2#657|0#3#137|0#4#274|0#9#137|0#10#274|0#11#137|0#12#274|1#1#3196|1#2#32880|1#3#137|1#4#274|1#9#137|1#10#274|1#11#137|1#12#274|2#1#9590|2#2#16440|2#3#137|2#4#274|2#9#137|2#10#274|2#11#137|2#12#274</v>
      </c>
      <c r="H138" s="22"/>
      <c r="I138" s="25">
        <v>112420000</v>
      </c>
      <c r="J138" s="197">
        <v>137</v>
      </c>
      <c r="K138" s="183">
        <f t="shared" si="35"/>
        <v>19180</v>
      </c>
      <c r="L138" s="183">
        <f t="shared" si="36"/>
        <v>32880</v>
      </c>
      <c r="M138" s="183">
        <f t="shared" si="37"/>
        <v>137</v>
      </c>
      <c r="N138" s="183">
        <f t="shared" si="38"/>
        <v>274</v>
      </c>
      <c r="O138" s="183">
        <f t="shared" si="40"/>
        <v>137</v>
      </c>
      <c r="P138" s="183">
        <f t="shared" si="41"/>
        <v>274</v>
      </c>
      <c r="Q138" s="183">
        <f t="shared" si="42"/>
        <v>137</v>
      </c>
      <c r="R138" s="183">
        <f t="shared" si="43"/>
        <v>274</v>
      </c>
      <c r="S138" s="183">
        <f t="shared" si="44"/>
        <v>137</v>
      </c>
      <c r="T138" s="183">
        <f t="shared" si="45"/>
        <v>274</v>
      </c>
      <c r="U138" s="183">
        <f t="shared" si="46"/>
        <v>137</v>
      </c>
      <c r="V138" s="183">
        <f t="shared" si="47"/>
        <v>274</v>
      </c>
      <c r="W138" s="12">
        <f>K138*属性价值参考!C$5+升级!L138*属性价值参考!C$6+升级!M138*属性价值参考!C$7+升级!N138*属性价值参考!C$8+升级!S138*属性价值参考!C$9+升级!T138*属性价值参考!C$10+升级!U138*属性价值参考!C$11+升级!V138*属性价值参考!C$12</f>
        <v>160750.31999999995</v>
      </c>
    </row>
    <row r="139" spans="1:23" x14ac:dyDescent="0.3">
      <c r="A139" s="22"/>
      <c r="B139" s="22"/>
      <c r="C139" s="27">
        <v>138</v>
      </c>
      <c r="D139" s="27" t="str">
        <f t="shared" si="32"/>
        <v>0#1#19320|0#2#662|0#3#138|0#4#276|0#9#138|0#10#276|0#11#138|0#12#276</v>
      </c>
      <c r="E139" s="27" t="str">
        <f t="shared" si="33"/>
        <v>1#1#3220|1#2#33120|1#3#138|1#4#276|1#9#138|1#10#276|1#11#138|1#12#276</v>
      </c>
      <c r="F139" s="27" t="str">
        <f t="shared" si="34"/>
        <v>2#1#9660|2#2#16560|2#3#138|2#4#276|2#9#138|2#10#276|2#11#138|2#12#276</v>
      </c>
      <c r="G139" s="27" t="str">
        <f t="shared" si="39"/>
        <v>0#1#19320|0#2#662|0#3#138|0#4#276|0#9#138|0#10#276|0#11#138|0#12#276|1#1#3220|1#2#33120|1#3#138|1#4#276|1#9#138|1#10#276|1#11#138|1#12#276|2#1#9660|2#2#16560|2#3#138|2#4#276|2#9#138|2#10#276|2#11#138|2#12#276</v>
      </c>
      <c r="H139" s="22"/>
      <c r="I139" s="28">
        <v>117840000</v>
      </c>
      <c r="J139" s="198">
        <v>138</v>
      </c>
      <c r="K139" s="183">
        <f t="shared" si="35"/>
        <v>19320</v>
      </c>
      <c r="L139" s="183">
        <f t="shared" si="36"/>
        <v>33120</v>
      </c>
      <c r="M139" s="183">
        <f t="shared" si="37"/>
        <v>138</v>
      </c>
      <c r="N139" s="183">
        <f t="shared" si="38"/>
        <v>276</v>
      </c>
      <c r="O139" s="183">
        <f t="shared" si="40"/>
        <v>138</v>
      </c>
      <c r="P139" s="183">
        <f t="shared" si="41"/>
        <v>276</v>
      </c>
      <c r="Q139" s="183">
        <f t="shared" si="42"/>
        <v>138</v>
      </c>
      <c r="R139" s="183">
        <f t="shared" si="43"/>
        <v>276</v>
      </c>
      <c r="S139" s="183">
        <f t="shared" si="44"/>
        <v>138</v>
      </c>
      <c r="T139" s="183">
        <f t="shared" si="45"/>
        <v>276</v>
      </c>
      <c r="U139" s="183">
        <f t="shared" si="46"/>
        <v>138</v>
      </c>
      <c r="V139" s="183">
        <f t="shared" si="47"/>
        <v>276</v>
      </c>
      <c r="W139" s="12">
        <f>K139*属性价值参考!C$5+升级!L139*属性价值参考!C$6+升级!M139*属性价值参考!C$7+升级!N139*属性价值参考!C$8+升级!S139*属性价值参考!C$9+升级!T139*属性价值参考!C$10+升级!U139*属性价值参考!C$11+升级!V139*属性价值参考!C$12</f>
        <v>161923.68000000005</v>
      </c>
    </row>
    <row r="140" spans="1:23" x14ac:dyDescent="0.3">
      <c r="A140" s="22"/>
      <c r="B140" s="22"/>
      <c r="C140" s="24">
        <v>139</v>
      </c>
      <c r="D140" s="27" t="str">
        <f t="shared" si="32"/>
        <v>0#1#19460|0#2#667|0#3#139|0#4#278|0#9#139|0#10#278|0#11#139|0#12#278</v>
      </c>
      <c r="E140" s="27" t="str">
        <f t="shared" si="33"/>
        <v>1#1#3243|1#2#33360|1#3#139|1#4#278|1#9#139|1#10#278|1#11#139|1#12#278</v>
      </c>
      <c r="F140" s="27" t="str">
        <f t="shared" si="34"/>
        <v>2#1#9730|2#2#16680|2#3#139|2#4#278|2#9#139|2#10#278|2#11#139|2#12#278</v>
      </c>
      <c r="G140" s="27" t="str">
        <f t="shared" si="39"/>
        <v>0#1#19460|0#2#667|0#3#139|0#4#278|0#9#139|0#10#278|0#11#139|0#12#278|1#1#3243|1#2#33360|1#3#139|1#4#278|1#9#139|1#10#278|1#11#139|1#12#278|2#1#9730|2#2#16680|2#3#139|2#4#278|2#9#139|2#10#278|2#11#139|2#12#278</v>
      </c>
      <c r="H140" s="22"/>
      <c r="I140" s="25">
        <v>123260000</v>
      </c>
      <c r="J140" s="197">
        <v>139</v>
      </c>
      <c r="K140" s="183">
        <f t="shared" si="35"/>
        <v>19460</v>
      </c>
      <c r="L140" s="183">
        <f t="shared" si="36"/>
        <v>33360</v>
      </c>
      <c r="M140" s="183">
        <f t="shared" si="37"/>
        <v>139</v>
      </c>
      <c r="N140" s="183">
        <f t="shared" si="38"/>
        <v>278</v>
      </c>
      <c r="O140" s="183">
        <f t="shared" si="40"/>
        <v>139</v>
      </c>
      <c r="P140" s="183">
        <f t="shared" si="41"/>
        <v>278</v>
      </c>
      <c r="Q140" s="183">
        <f t="shared" si="42"/>
        <v>139</v>
      </c>
      <c r="R140" s="183">
        <f t="shared" si="43"/>
        <v>278</v>
      </c>
      <c r="S140" s="183">
        <f t="shared" si="44"/>
        <v>139</v>
      </c>
      <c r="T140" s="183">
        <f t="shared" si="45"/>
        <v>278</v>
      </c>
      <c r="U140" s="183">
        <f t="shared" si="46"/>
        <v>139</v>
      </c>
      <c r="V140" s="183">
        <f t="shared" si="47"/>
        <v>278</v>
      </c>
      <c r="W140" s="12">
        <f>K140*属性价值参考!C$5+升级!L140*属性价值参考!C$6+升级!M140*属性价值参考!C$7+升级!N140*属性价值参考!C$8+升级!S140*属性价值参考!C$9+升级!T140*属性价值参考!C$10+升级!U140*属性价值参考!C$11+升级!V140*属性价值参考!C$12</f>
        <v>163097.03999999998</v>
      </c>
    </row>
    <row r="141" spans="1:23" x14ac:dyDescent="0.3">
      <c r="A141" s="22"/>
      <c r="B141" s="22"/>
      <c r="C141" s="27">
        <v>140</v>
      </c>
      <c r="D141" s="27" t="str">
        <f t="shared" si="32"/>
        <v>0#1#19600|0#2#672|0#3#140|0#4#280|0#9#140|0#10#280|0#11#140|0#12#280</v>
      </c>
      <c r="E141" s="27" t="str">
        <f t="shared" si="33"/>
        <v>1#1#3266|1#2#33600|1#3#140|1#4#280|1#9#140|1#10#280|1#11#140|1#12#280</v>
      </c>
      <c r="F141" s="27" t="str">
        <f t="shared" si="34"/>
        <v>2#1#9800|2#2#16800|2#3#140|2#4#280|2#9#140|2#10#280|2#11#140|2#12#280</v>
      </c>
      <c r="G141" s="27" t="str">
        <f t="shared" si="39"/>
        <v>0#1#19600|0#2#672|0#3#140|0#4#280|0#9#140|0#10#280|0#11#140|0#12#280|1#1#3266|1#2#33600|1#3#140|1#4#280|1#9#140|1#10#280|1#11#140|1#12#280|2#1#9800|2#2#16800|2#3#140|2#4#280|2#9#140|2#10#280|2#11#140|2#12#280</v>
      </c>
      <c r="H141" s="22"/>
      <c r="I141" s="28">
        <v>128680000</v>
      </c>
      <c r="J141" s="198">
        <v>140</v>
      </c>
      <c r="K141" s="183">
        <f t="shared" si="35"/>
        <v>19600</v>
      </c>
      <c r="L141" s="183">
        <f t="shared" si="36"/>
        <v>33600</v>
      </c>
      <c r="M141" s="183">
        <f t="shared" si="37"/>
        <v>140</v>
      </c>
      <c r="N141" s="183">
        <f t="shared" si="38"/>
        <v>280</v>
      </c>
      <c r="O141" s="183">
        <f t="shared" si="40"/>
        <v>140</v>
      </c>
      <c r="P141" s="183">
        <f t="shared" si="41"/>
        <v>280</v>
      </c>
      <c r="Q141" s="183">
        <f t="shared" si="42"/>
        <v>140</v>
      </c>
      <c r="R141" s="183">
        <f t="shared" si="43"/>
        <v>280</v>
      </c>
      <c r="S141" s="183">
        <f t="shared" si="44"/>
        <v>140</v>
      </c>
      <c r="T141" s="183">
        <f t="shared" si="45"/>
        <v>280</v>
      </c>
      <c r="U141" s="183">
        <f t="shared" si="46"/>
        <v>140</v>
      </c>
      <c r="V141" s="183">
        <f t="shared" si="47"/>
        <v>280</v>
      </c>
      <c r="W141" s="12">
        <f>K141*属性价值参考!C$5+升级!L141*属性价值参考!C$6+升级!M141*属性价值参考!C$7+升级!N141*属性价值参考!C$8+升级!S141*属性价值参考!C$9+升级!T141*属性价值参考!C$10+升级!U141*属性价值参考!C$11+升级!V141*属性价值参考!C$12</f>
        <v>164270.39999999999</v>
      </c>
    </row>
    <row r="142" spans="1:23" x14ac:dyDescent="0.3">
      <c r="A142" s="22"/>
      <c r="B142" s="22"/>
      <c r="C142" s="24">
        <v>141</v>
      </c>
      <c r="D142" s="27" t="str">
        <f t="shared" si="32"/>
        <v>0#1#19740|0#2#676|0#3#141|0#4#282|0#9#141|0#10#282|0#11#141|0#12#282</v>
      </c>
      <c r="E142" s="27" t="str">
        <f t="shared" si="33"/>
        <v>1#1#3290|1#2#33840|1#3#141|1#4#282|1#9#141|1#10#282|1#11#141|1#12#282</v>
      </c>
      <c r="F142" s="27" t="str">
        <f t="shared" si="34"/>
        <v>2#1#9870|2#2#16920|2#3#141|2#4#282|2#9#141|2#10#282|2#11#141|2#12#282</v>
      </c>
      <c r="G142" s="27" t="str">
        <f t="shared" si="39"/>
        <v>0#1#19740|0#2#676|0#3#141|0#4#282|0#9#141|0#10#282|0#11#141|0#12#282|1#1#3290|1#2#33840|1#3#141|1#4#282|1#9#141|1#10#282|1#11#141|1#12#282|2#1#9870|2#2#16920|2#3#141|2#4#282|2#9#141|2#10#282|2#11#141|2#12#282</v>
      </c>
      <c r="H142" s="22"/>
      <c r="I142" s="25">
        <v>135100000</v>
      </c>
      <c r="J142" s="197">
        <v>141</v>
      </c>
      <c r="K142" s="183">
        <f t="shared" si="35"/>
        <v>19740</v>
      </c>
      <c r="L142" s="183">
        <f t="shared" si="36"/>
        <v>33840</v>
      </c>
      <c r="M142" s="183">
        <f t="shared" si="37"/>
        <v>141</v>
      </c>
      <c r="N142" s="183">
        <f t="shared" si="38"/>
        <v>282</v>
      </c>
      <c r="O142" s="183">
        <f t="shared" si="40"/>
        <v>141</v>
      </c>
      <c r="P142" s="183">
        <f t="shared" si="41"/>
        <v>282</v>
      </c>
      <c r="Q142" s="183">
        <f t="shared" si="42"/>
        <v>141</v>
      </c>
      <c r="R142" s="183">
        <f t="shared" si="43"/>
        <v>282</v>
      </c>
      <c r="S142" s="183">
        <f t="shared" si="44"/>
        <v>141</v>
      </c>
      <c r="T142" s="183">
        <f t="shared" si="45"/>
        <v>282</v>
      </c>
      <c r="U142" s="183">
        <f t="shared" si="46"/>
        <v>141</v>
      </c>
      <c r="V142" s="183">
        <f t="shared" si="47"/>
        <v>282</v>
      </c>
      <c r="W142" s="12">
        <f>K142*属性价值参考!C$5+升级!L142*属性价值参考!C$6+升级!M142*属性价值参考!C$7+升级!N142*属性价值参考!C$8+升级!S142*属性价值参考!C$9+升级!T142*属性价值参考!C$10+升级!U142*属性价值参考!C$11+升级!V142*属性价值参考!C$12</f>
        <v>165443.76</v>
      </c>
    </row>
    <row r="143" spans="1:23" x14ac:dyDescent="0.3">
      <c r="A143" s="22"/>
      <c r="B143" s="22"/>
      <c r="C143" s="27">
        <v>142</v>
      </c>
      <c r="D143" s="27" t="str">
        <f t="shared" si="32"/>
        <v>0#1#19880|0#2#681|0#3#142|0#4#284|0#9#142|0#10#284|0#11#142|0#12#284</v>
      </c>
      <c r="E143" s="27" t="str">
        <f t="shared" si="33"/>
        <v>1#1#3313|1#2#34080|1#3#142|1#4#284|1#9#142|1#10#284|1#11#142|1#12#284</v>
      </c>
      <c r="F143" s="27" t="str">
        <f t="shared" si="34"/>
        <v>2#1#9940|2#2#17040|2#3#142|2#4#284|2#9#142|2#10#284|2#11#142|2#12#284</v>
      </c>
      <c r="G143" s="27" t="str">
        <f t="shared" si="39"/>
        <v>0#1#19880|0#2#681|0#3#142|0#4#284|0#9#142|0#10#284|0#11#142|0#12#284|1#1#3313|1#2#34080|1#3#142|1#4#284|1#9#142|1#10#284|1#11#142|1#12#284|2#1#9940|2#2#17040|2#3#142|2#4#284|2#9#142|2#10#284|2#11#142|2#12#284</v>
      </c>
      <c r="H143" s="22"/>
      <c r="I143" s="28">
        <v>141520000</v>
      </c>
      <c r="J143" s="198">
        <v>142</v>
      </c>
      <c r="K143" s="183">
        <f t="shared" si="35"/>
        <v>19880</v>
      </c>
      <c r="L143" s="183">
        <f t="shared" si="36"/>
        <v>34080</v>
      </c>
      <c r="M143" s="183">
        <f t="shared" si="37"/>
        <v>142</v>
      </c>
      <c r="N143" s="183">
        <f t="shared" si="38"/>
        <v>284</v>
      </c>
      <c r="O143" s="183">
        <f t="shared" si="40"/>
        <v>142</v>
      </c>
      <c r="P143" s="183">
        <f t="shared" si="41"/>
        <v>284</v>
      </c>
      <c r="Q143" s="183">
        <f t="shared" si="42"/>
        <v>142</v>
      </c>
      <c r="R143" s="183">
        <f t="shared" si="43"/>
        <v>284</v>
      </c>
      <c r="S143" s="183">
        <f t="shared" si="44"/>
        <v>142</v>
      </c>
      <c r="T143" s="183">
        <f t="shared" si="45"/>
        <v>284</v>
      </c>
      <c r="U143" s="183">
        <f t="shared" si="46"/>
        <v>142</v>
      </c>
      <c r="V143" s="183">
        <f t="shared" si="47"/>
        <v>284</v>
      </c>
      <c r="W143" s="12">
        <f>K143*属性价值参考!C$5+升级!L143*属性价值参考!C$6+升级!M143*属性价值参考!C$7+升级!N143*属性价值参考!C$8+升级!S143*属性价值参考!C$9+升级!T143*属性价值参考!C$10+升级!U143*属性价值参考!C$11+升级!V143*属性价值参考!C$12</f>
        <v>166617.11999999994</v>
      </c>
    </row>
    <row r="144" spans="1:23" x14ac:dyDescent="0.3">
      <c r="A144" s="22"/>
      <c r="B144" s="22"/>
      <c r="C144" s="24">
        <v>143</v>
      </c>
      <c r="D144" s="27" t="str">
        <f t="shared" si="32"/>
        <v>0#1#20020|0#2#686|0#3#143|0#4#286|0#9#143|0#10#286|0#11#143|0#12#286</v>
      </c>
      <c r="E144" s="27" t="str">
        <f t="shared" si="33"/>
        <v>1#1#3336|1#2#34320|1#3#143|1#4#286|1#9#143|1#10#286|1#11#143|1#12#286</v>
      </c>
      <c r="F144" s="27" t="str">
        <f t="shared" si="34"/>
        <v>2#1#10010|2#2#17160|2#3#143|2#4#286|2#9#143|2#10#286|2#11#143|2#12#286</v>
      </c>
      <c r="G144" s="27" t="str">
        <f t="shared" si="39"/>
        <v>0#1#20020|0#2#686|0#3#143|0#4#286|0#9#143|0#10#286|0#11#143|0#12#286|1#1#3336|1#2#34320|1#3#143|1#4#286|1#9#143|1#10#286|1#11#143|1#12#286|2#1#10010|2#2#17160|2#3#143|2#4#286|2#9#143|2#10#286|2#11#143|2#12#286</v>
      </c>
      <c r="H144" s="22"/>
      <c r="I144" s="25">
        <v>147940000</v>
      </c>
      <c r="J144" s="197">
        <v>143</v>
      </c>
      <c r="K144" s="183">
        <f t="shared" si="35"/>
        <v>20020</v>
      </c>
      <c r="L144" s="183">
        <f t="shared" si="36"/>
        <v>34320</v>
      </c>
      <c r="M144" s="183">
        <f t="shared" si="37"/>
        <v>143</v>
      </c>
      <c r="N144" s="183">
        <f t="shared" si="38"/>
        <v>286</v>
      </c>
      <c r="O144" s="183">
        <f t="shared" si="40"/>
        <v>143</v>
      </c>
      <c r="P144" s="183">
        <f t="shared" si="41"/>
        <v>286</v>
      </c>
      <c r="Q144" s="183">
        <f t="shared" si="42"/>
        <v>143</v>
      </c>
      <c r="R144" s="183">
        <f t="shared" si="43"/>
        <v>286</v>
      </c>
      <c r="S144" s="183">
        <f t="shared" si="44"/>
        <v>143</v>
      </c>
      <c r="T144" s="183">
        <f t="shared" si="45"/>
        <v>286</v>
      </c>
      <c r="U144" s="183">
        <f t="shared" si="46"/>
        <v>143</v>
      </c>
      <c r="V144" s="183">
        <f t="shared" si="47"/>
        <v>286</v>
      </c>
      <c r="W144" s="12">
        <f>K144*属性价值参考!C$5+升级!L144*属性价值参考!C$6+升级!M144*属性价值参考!C$7+升级!N144*属性价值参考!C$8+升级!S144*属性价值参考!C$9+升级!T144*属性价值参考!C$10+升级!U144*属性价值参考!C$11+升级!V144*属性价值参考!C$12</f>
        <v>167790.48000000004</v>
      </c>
    </row>
    <row r="145" spans="1:23" x14ac:dyDescent="0.3">
      <c r="A145" s="22"/>
      <c r="B145" s="22"/>
      <c r="C145" s="27">
        <v>144</v>
      </c>
      <c r="D145" s="27" t="str">
        <f t="shared" si="32"/>
        <v>0#1#20160|0#2#691|0#3#144|0#4#288|0#9#144|0#10#288|0#11#144|0#12#288</v>
      </c>
      <c r="E145" s="27" t="str">
        <f t="shared" si="33"/>
        <v>1#1#3360|1#2#34560|1#3#144|1#4#288|1#9#144|1#10#288|1#11#144|1#12#288</v>
      </c>
      <c r="F145" s="27" t="str">
        <f t="shared" si="34"/>
        <v>2#1#10080|2#2#17280|2#3#144|2#4#288|2#9#144|2#10#288|2#11#144|2#12#288</v>
      </c>
      <c r="G145" s="27" t="str">
        <f t="shared" si="39"/>
        <v>0#1#20160|0#2#691|0#3#144|0#4#288|0#9#144|0#10#288|0#11#144|0#12#288|1#1#3360|1#2#34560|1#3#144|1#4#288|1#9#144|1#10#288|1#11#144|1#12#288|2#1#10080|2#2#17280|2#3#144|2#4#288|2#9#144|2#10#288|2#11#144|2#12#288</v>
      </c>
      <c r="H145" s="22"/>
      <c r="I145" s="28">
        <v>154360000</v>
      </c>
      <c r="J145" s="198">
        <v>144</v>
      </c>
      <c r="K145" s="183">
        <f t="shared" si="35"/>
        <v>20160</v>
      </c>
      <c r="L145" s="183">
        <f t="shared" si="36"/>
        <v>34560</v>
      </c>
      <c r="M145" s="183">
        <f t="shared" si="37"/>
        <v>144</v>
      </c>
      <c r="N145" s="183">
        <f t="shared" si="38"/>
        <v>288</v>
      </c>
      <c r="O145" s="183">
        <f t="shared" si="40"/>
        <v>144</v>
      </c>
      <c r="P145" s="183">
        <f t="shared" si="41"/>
        <v>288</v>
      </c>
      <c r="Q145" s="183">
        <f t="shared" si="42"/>
        <v>144</v>
      </c>
      <c r="R145" s="183">
        <f t="shared" si="43"/>
        <v>288</v>
      </c>
      <c r="S145" s="183">
        <f t="shared" si="44"/>
        <v>144</v>
      </c>
      <c r="T145" s="183">
        <f t="shared" si="45"/>
        <v>288</v>
      </c>
      <c r="U145" s="183">
        <f t="shared" si="46"/>
        <v>144</v>
      </c>
      <c r="V145" s="183">
        <f t="shared" si="47"/>
        <v>288</v>
      </c>
      <c r="W145" s="12">
        <f>K145*属性价值参考!C$5+升级!L145*属性价值参考!C$6+升级!M145*属性价值参考!C$7+升级!N145*属性价值参考!C$8+升级!S145*属性价值参考!C$9+升级!T145*属性价值参考!C$10+升级!U145*属性价值参考!C$11+升级!V145*属性价值参考!C$12</f>
        <v>168963.83999999997</v>
      </c>
    </row>
    <row r="146" spans="1:23" x14ac:dyDescent="0.3">
      <c r="A146" s="22"/>
      <c r="B146" s="22"/>
      <c r="C146" s="24">
        <v>145</v>
      </c>
      <c r="D146" s="27" t="str">
        <f t="shared" si="32"/>
        <v>0#1#20300|0#2#696|0#3#145|0#4#290|0#9#145|0#10#290|0#11#145|0#12#290</v>
      </c>
      <c r="E146" s="27" t="str">
        <f t="shared" si="33"/>
        <v>1#1#3383|1#2#34800|1#3#145|1#4#290|1#9#145|1#10#290|1#11#145|1#12#290</v>
      </c>
      <c r="F146" s="27" t="str">
        <f t="shared" si="34"/>
        <v>2#1#10150|2#2#17400|2#3#145|2#4#290|2#9#145|2#10#290|2#11#145|2#12#290</v>
      </c>
      <c r="G146" s="27" t="str">
        <f t="shared" si="39"/>
        <v>0#1#20300|0#2#696|0#3#145|0#4#290|0#9#145|0#10#290|0#11#145|0#12#290|1#1#3383|1#2#34800|1#3#145|1#4#290|1#9#145|1#10#290|1#11#145|1#12#290|2#1#10150|2#2#17400|2#3#145|2#4#290|2#9#145|2#10#290|2#11#145|2#12#290</v>
      </c>
      <c r="H146" s="22"/>
      <c r="I146" s="25">
        <v>162000000</v>
      </c>
      <c r="J146" s="197">
        <v>145</v>
      </c>
      <c r="K146" s="183">
        <f t="shared" si="35"/>
        <v>20300</v>
      </c>
      <c r="L146" s="183">
        <f t="shared" si="36"/>
        <v>34800</v>
      </c>
      <c r="M146" s="183">
        <f t="shared" si="37"/>
        <v>145</v>
      </c>
      <c r="N146" s="183">
        <f t="shared" si="38"/>
        <v>290</v>
      </c>
      <c r="O146" s="183">
        <f t="shared" si="40"/>
        <v>145</v>
      </c>
      <c r="P146" s="183">
        <f t="shared" si="41"/>
        <v>290</v>
      </c>
      <c r="Q146" s="183">
        <f t="shared" si="42"/>
        <v>145</v>
      </c>
      <c r="R146" s="183">
        <f t="shared" si="43"/>
        <v>290</v>
      </c>
      <c r="S146" s="183">
        <f t="shared" si="44"/>
        <v>145</v>
      </c>
      <c r="T146" s="183">
        <f t="shared" si="45"/>
        <v>290</v>
      </c>
      <c r="U146" s="183">
        <f t="shared" si="46"/>
        <v>145</v>
      </c>
      <c r="V146" s="183">
        <f t="shared" si="47"/>
        <v>290</v>
      </c>
      <c r="W146" s="12">
        <f>K146*属性价值参考!C$5+升级!L146*属性价值参考!C$6+升级!M146*属性价值参考!C$7+升级!N146*属性价值参考!C$8+升级!S146*属性价值参考!C$9+升级!T146*属性价值参考!C$10+升级!U146*属性价值参考!C$11+升级!V146*属性价值参考!C$12</f>
        <v>170137.2</v>
      </c>
    </row>
    <row r="147" spans="1:23" x14ac:dyDescent="0.3">
      <c r="A147" s="22"/>
      <c r="B147" s="22"/>
      <c r="C147" s="27">
        <v>146</v>
      </c>
      <c r="D147" s="27" t="str">
        <f t="shared" si="32"/>
        <v>0#1#20440|0#2#700|0#3#146|0#4#292|0#9#146|0#10#292|0#11#146|0#12#292</v>
      </c>
      <c r="E147" s="27" t="str">
        <f t="shared" si="33"/>
        <v>1#1#3406|1#2#35040|1#3#146|1#4#292|1#9#146|1#10#292|1#11#146|1#12#292</v>
      </c>
      <c r="F147" s="27" t="str">
        <f t="shared" si="34"/>
        <v>2#1#10220|2#2#17520|2#3#146|2#4#292|2#9#146|2#10#292|2#11#146|2#12#292</v>
      </c>
      <c r="G147" s="27" t="str">
        <f t="shared" si="39"/>
        <v>0#1#20440|0#2#700|0#3#146|0#4#292|0#9#146|0#10#292|0#11#146|0#12#292|1#1#3406|1#2#35040|1#3#146|1#4#292|1#9#146|1#10#292|1#11#146|1#12#292|2#1#10220|2#2#17520|2#3#146|2#4#292|2#9#146|2#10#292|2#11#146|2#12#292</v>
      </c>
      <c r="H147" s="22"/>
      <c r="I147" s="28">
        <v>169640000</v>
      </c>
      <c r="J147" s="198">
        <v>146</v>
      </c>
      <c r="K147" s="183">
        <f t="shared" si="35"/>
        <v>20440</v>
      </c>
      <c r="L147" s="183">
        <f t="shared" si="36"/>
        <v>35040</v>
      </c>
      <c r="M147" s="183">
        <f t="shared" si="37"/>
        <v>146</v>
      </c>
      <c r="N147" s="183">
        <f t="shared" si="38"/>
        <v>292</v>
      </c>
      <c r="O147" s="183">
        <f t="shared" si="40"/>
        <v>146</v>
      </c>
      <c r="P147" s="183">
        <f t="shared" si="41"/>
        <v>292</v>
      </c>
      <c r="Q147" s="183">
        <f t="shared" si="42"/>
        <v>146</v>
      </c>
      <c r="R147" s="183">
        <f t="shared" si="43"/>
        <v>292</v>
      </c>
      <c r="S147" s="183">
        <f t="shared" si="44"/>
        <v>146</v>
      </c>
      <c r="T147" s="183">
        <f t="shared" si="45"/>
        <v>292</v>
      </c>
      <c r="U147" s="183">
        <f t="shared" si="46"/>
        <v>146</v>
      </c>
      <c r="V147" s="183">
        <f t="shared" si="47"/>
        <v>292</v>
      </c>
      <c r="W147" s="12">
        <f>K147*属性价值参考!C$5+升级!L147*属性价值参考!C$6+升级!M147*属性价值参考!C$7+升级!N147*属性价值参考!C$8+升级!S147*属性价值参考!C$9+升级!T147*属性价值参考!C$10+升级!U147*属性价值参考!C$11+升级!V147*属性价值参考!C$12</f>
        <v>171310.56000000003</v>
      </c>
    </row>
    <row r="148" spans="1:23" x14ac:dyDescent="0.3">
      <c r="A148" s="22"/>
      <c r="B148" s="22"/>
      <c r="C148" s="24">
        <v>147</v>
      </c>
      <c r="D148" s="27" t="str">
        <f t="shared" si="32"/>
        <v>0#1#20580|0#2#705|0#3#147|0#4#294|0#9#147|0#10#294|0#11#147|0#12#294</v>
      </c>
      <c r="E148" s="27" t="str">
        <f t="shared" si="33"/>
        <v>1#1#3430|1#2#35280|1#3#147|1#4#294|1#9#147|1#10#294|1#11#147|1#12#294</v>
      </c>
      <c r="F148" s="27" t="str">
        <f t="shared" si="34"/>
        <v>2#1#10290|2#2#17640|2#3#147|2#4#294|2#9#147|2#10#294|2#11#147|2#12#294</v>
      </c>
      <c r="G148" s="27" t="str">
        <f t="shared" si="39"/>
        <v>0#1#20580|0#2#705|0#3#147|0#4#294|0#9#147|0#10#294|0#11#147|0#12#294|1#1#3430|1#2#35280|1#3#147|1#4#294|1#9#147|1#10#294|1#11#147|1#12#294|2#1#10290|2#2#17640|2#3#147|2#4#294|2#9#147|2#10#294|2#11#147|2#12#294</v>
      </c>
      <c r="H148" s="22"/>
      <c r="I148" s="25">
        <v>177280000</v>
      </c>
      <c r="J148" s="197">
        <v>147</v>
      </c>
      <c r="K148" s="183">
        <f t="shared" si="35"/>
        <v>20580</v>
      </c>
      <c r="L148" s="183">
        <f t="shared" si="36"/>
        <v>35280</v>
      </c>
      <c r="M148" s="183">
        <f t="shared" si="37"/>
        <v>147</v>
      </c>
      <c r="N148" s="183">
        <f t="shared" si="38"/>
        <v>294</v>
      </c>
      <c r="O148" s="183">
        <f t="shared" si="40"/>
        <v>147</v>
      </c>
      <c r="P148" s="183">
        <f t="shared" si="41"/>
        <v>294</v>
      </c>
      <c r="Q148" s="183">
        <f t="shared" si="42"/>
        <v>147</v>
      </c>
      <c r="R148" s="183">
        <f t="shared" si="43"/>
        <v>294</v>
      </c>
      <c r="S148" s="183">
        <f t="shared" si="44"/>
        <v>147</v>
      </c>
      <c r="T148" s="183">
        <f t="shared" si="45"/>
        <v>294</v>
      </c>
      <c r="U148" s="183">
        <f t="shared" si="46"/>
        <v>147</v>
      </c>
      <c r="V148" s="183">
        <f t="shared" si="47"/>
        <v>294</v>
      </c>
      <c r="W148" s="12">
        <f>K148*属性价值参考!C$5+升级!L148*属性价值参考!C$6+升级!M148*属性价值参考!C$7+升级!N148*属性价值参考!C$8+升级!S148*属性价值参考!C$9+升级!T148*属性价值参考!C$10+升级!U148*属性价值参考!C$11+升级!V148*属性价值参考!C$12</f>
        <v>172483.91999999995</v>
      </c>
    </row>
    <row r="149" spans="1:23" x14ac:dyDescent="0.3">
      <c r="A149" s="22"/>
      <c r="B149" s="22"/>
      <c r="C149" s="27">
        <v>148</v>
      </c>
      <c r="D149" s="27" t="str">
        <f t="shared" si="32"/>
        <v>0#1#20720|0#2#710|0#3#148|0#4#296|0#9#148|0#10#296|0#11#148|0#12#296</v>
      </c>
      <c r="E149" s="27" t="str">
        <f t="shared" si="33"/>
        <v>1#1#3453|1#2#35520|1#3#148|1#4#296|1#9#148|1#10#296|1#11#148|1#12#296</v>
      </c>
      <c r="F149" s="27" t="str">
        <f t="shared" si="34"/>
        <v>2#1#10360|2#2#17760|2#3#148|2#4#296|2#9#148|2#10#296|2#11#148|2#12#296</v>
      </c>
      <c r="G149" s="27" t="str">
        <f t="shared" si="39"/>
        <v>0#1#20720|0#2#710|0#3#148|0#4#296|0#9#148|0#10#296|0#11#148|0#12#296|1#1#3453|1#2#35520|1#3#148|1#4#296|1#9#148|1#10#296|1#11#148|1#12#296|2#1#10360|2#2#17760|2#3#148|2#4#296|2#9#148|2#10#296|2#11#148|2#12#296</v>
      </c>
      <c r="H149" s="22"/>
      <c r="I149" s="28">
        <v>184920000</v>
      </c>
      <c r="J149" s="198">
        <v>148</v>
      </c>
      <c r="K149" s="183">
        <f t="shared" si="35"/>
        <v>20720</v>
      </c>
      <c r="L149" s="183">
        <f t="shared" si="36"/>
        <v>35520</v>
      </c>
      <c r="M149" s="183">
        <f t="shared" si="37"/>
        <v>148</v>
      </c>
      <c r="N149" s="183">
        <f t="shared" si="38"/>
        <v>296</v>
      </c>
      <c r="O149" s="183">
        <f t="shared" si="40"/>
        <v>148</v>
      </c>
      <c r="P149" s="183">
        <f t="shared" si="41"/>
        <v>296</v>
      </c>
      <c r="Q149" s="183">
        <f t="shared" si="42"/>
        <v>148</v>
      </c>
      <c r="R149" s="183">
        <f t="shared" si="43"/>
        <v>296</v>
      </c>
      <c r="S149" s="183">
        <f t="shared" si="44"/>
        <v>148</v>
      </c>
      <c r="T149" s="183">
        <f t="shared" si="45"/>
        <v>296</v>
      </c>
      <c r="U149" s="183">
        <f t="shared" si="46"/>
        <v>148</v>
      </c>
      <c r="V149" s="183">
        <f t="shared" si="47"/>
        <v>296</v>
      </c>
      <c r="W149" s="12">
        <f>K149*属性价值参考!C$5+升级!L149*属性价值参考!C$6+升级!M149*属性价值参考!C$7+升级!N149*属性价值参考!C$8+升级!S149*属性价值参考!C$9+升级!T149*属性价值参考!C$10+升级!U149*属性价值参考!C$11+升级!V149*属性价值参考!C$12</f>
        <v>173657.28000000006</v>
      </c>
    </row>
    <row r="150" spans="1:23" x14ac:dyDescent="0.3">
      <c r="A150" s="22"/>
      <c r="B150" s="22"/>
      <c r="C150" s="24">
        <v>149</v>
      </c>
      <c r="D150" s="27" t="str">
        <f t="shared" si="32"/>
        <v>0#1#20860|0#2#715|0#3#149|0#4#298|0#9#149|0#10#298|0#11#149|0#12#298</v>
      </c>
      <c r="E150" s="27" t="str">
        <f t="shared" si="33"/>
        <v>1#1#3476|1#2#35760|1#3#149|1#4#298|1#9#149|1#10#298|1#11#149|1#12#298</v>
      </c>
      <c r="F150" s="27" t="str">
        <f t="shared" si="34"/>
        <v>2#1#10430|2#2#17880|2#3#149|2#4#298|2#9#149|2#10#298|2#11#149|2#12#298</v>
      </c>
      <c r="G150" s="27" t="str">
        <f t="shared" si="39"/>
        <v>0#1#20860|0#2#715|0#3#149|0#4#298|0#9#149|0#10#298|0#11#149|0#12#298|1#1#3476|1#2#35760|1#3#149|1#4#298|1#9#149|1#10#298|1#11#149|1#12#298|2#1#10430|2#2#17880|2#3#149|2#4#298|2#9#149|2#10#298|2#11#149|2#12#298</v>
      </c>
      <c r="H150" s="22"/>
      <c r="I150" s="25">
        <v>192560000</v>
      </c>
      <c r="J150" s="197">
        <v>149</v>
      </c>
      <c r="K150" s="183">
        <f t="shared" si="35"/>
        <v>20860</v>
      </c>
      <c r="L150" s="183">
        <f t="shared" si="36"/>
        <v>35760</v>
      </c>
      <c r="M150" s="183">
        <f t="shared" si="37"/>
        <v>149</v>
      </c>
      <c r="N150" s="183">
        <f t="shared" si="38"/>
        <v>298</v>
      </c>
      <c r="O150" s="183">
        <f t="shared" si="40"/>
        <v>149</v>
      </c>
      <c r="P150" s="183">
        <f t="shared" si="41"/>
        <v>298</v>
      </c>
      <c r="Q150" s="183">
        <f t="shared" si="42"/>
        <v>149</v>
      </c>
      <c r="R150" s="183">
        <f t="shared" si="43"/>
        <v>298</v>
      </c>
      <c r="S150" s="183">
        <f t="shared" si="44"/>
        <v>149</v>
      </c>
      <c r="T150" s="183">
        <f t="shared" si="45"/>
        <v>298</v>
      </c>
      <c r="U150" s="183">
        <f t="shared" si="46"/>
        <v>149</v>
      </c>
      <c r="V150" s="183">
        <f t="shared" si="47"/>
        <v>298</v>
      </c>
      <c r="W150" s="12">
        <f>K150*属性价值参考!C$5+升级!L150*属性价值参考!C$6+升级!M150*属性价值参考!C$7+升级!N150*属性价值参考!C$8+升级!S150*属性价值参考!C$9+升级!T150*属性价值参考!C$10+升级!U150*属性价值参考!C$11+升级!V150*属性价值参考!C$12</f>
        <v>174830.63999999998</v>
      </c>
    </row>
    <row r="151" spans="1:23" x14ac:dyDescent="0.3">
      <c r="A151" s="22"/>
      <c r="B151" s="22"/>
      <c r="C151" s="27">
        <v>150</v>
      </c>
      <c r="D151" s="27" t="str">
        <f t="shared" si="32"/>
        <v>0#1#21000|0#2#720|0#3#150|0#4#300|0#9#150|0#10#300|0#11#150|0#12#300</v>
      </c>
      <c r="E151" s="27" t="str">
        <f t="shared" si="33"/>
        <v>1#1#3500|1#2#36000|1#3#150|1#4#300|1#9#150|1#10#300|1#11#150|1#12#300</v>
      </c>
      <c r="F151" s="27" t="str">
        <f t="shared" si="34"/>
        <v>2#1#10500|2#2#18000|2#3#150|2#4#300|2#9#150|2#10#300|2#11#150|2#12#300</v>
      </c>
      <c r="G151" s="27" t="str">
        <f t="shared" si="39"/>
        <v>0#1#21000|0#2#720|0#3#150|0#4#300|0#9#150|0#10#300|0#11#150|0#12#300|1#1#3500|1#2#36000|1#3#150|1#4#300|1#9#150|1#10#300|1#11#150|1#12#300|2#1#10500|2#2#18000|2#3#150|2#4#300|2#9#150|2#10#300|2#11#150|2#12#300</v>
      </c>
      <c r="H151" s="22"/>
      <c r="I151" s="28">
        <v>210200000</v>
      </c>
      <c r="J151" s="198">
        <v>150</v>
      </c>
      <c r="K151" s="183">
        <f t="shared" si="35"/>
        <v>21000</v>
      </c>
      <c r="L151" s="183">
        <f t="shared" si="36"/>
        <v>36000</v>
      </c>
      <c r="M151" s="183">
        <f t="shared" si="37"/>
        <v>150</v>
      </c>
      <c r="N151" s="183">
        <f t="shared" si="38"/>
        <v>300</v>
      </c>
      <c r="O151" s="183">
        <f t="shared" si="40"/>
        <v>150</v>
      </c>
      <c r="P151" s="183">
        <f t="shared" si="41"/>
        <v>300</v>
      </c>
      <c r="Q151" s="183">
        <f t="shared" si="42"/>
        <v>150</v>
      </c>
      <c r="R151" s="183">
        <f t="shared" si="43"/>
        <v>300</v>
      </c>
      <c r="S151" s="183">
        <f t="shared" si="44"/>
        <v>150</v>
      </c>
      <c r="T151" s="183">
        <f t="shared" si="45"/>
        <v>300</v>
      </c>
      <c r="U151" s="183">
        <f t="shared" si="46"/>
        <v>150</v>
      </c>
      <c r="V151" s="183">
        <f t="shared" si="47"/>
        <v>300</v>
      </c>
      <c r="W151" s="12">
        <f>K151*属性价值参考!C$5+升级!L151*属性价值参考!C$6+升级!M151*属性价值参考!C$7+升级!N151*属性价值参考!C$8+升级!S151*属性价值参考!C$9+升级!T151*属性价值参考!C$10+升级!U151*属性价值参考!C$11+升级!V151*属性价值参考!C$12</f>
        <v>176004</v>
      </c>
    </row>
    <row r="152" spans="1:23" x14ac:dyDescent="0.3">
      <c r="A152" s="22"/>
      <c r="B152" s="22"/>
      <c r="C152" s="24">
        <v>151</v>
      </c>
      <c r="D152" s="27" t="str">
        <f t="shared" si="32"/>
        <v>0#1#21140|0#2#724|0#3#151|0#4#302|0#9#151|0#10#302|0#11#151|0#12#302</v>
      </c>
      <c r="E152" s="27" t="str">
        <f t="shared" si="33"/>
        <v>1#1#3523|1#2#36240|1#3#151|1#4#302|1#9#151|1#10#302|1#11#151|1#12#302</v>
      </c>
      <c r="F152" s="27" t="str">
        <f t="shared" si="34"/>
        <v>2#1#10570|2#2#18120|2#3#151|2#4#302|2#9#151|2#10#302|2#11#151|2#12#302</v>
      </c>
      <c r="G152" s="27" t="str">
        <f t="shared" si="39"/>
        <v>0#1#21140|0#2#724|0#3#151|0#4#302|0#9#151|0#10#302|0#11#151|0#12#302|1#1#3523|1#2#36240|1#3#151|1#4#302|1#9#151|1#10#302|1#11#151|1#12#302|2#1#10570|2#2#18120|2#3#151|2#4#302|2#9#151|2#10#302|2#11#151|2#12#302</v>
      </c>
      <c r="H152" s="22"/>
      <c r="I152" s="25">
        <v>227840000</v>
      </c>
      <c r="J152" s="197">
        <v>151</v>
      </c>
      <c r="K152" s="183">
        <f t="shared" si="35"/>
        <v>21140</v>
      </c>
      <c r="L152" s="183">
        <f t="shared" si="36"/>
        <v>36240</v>
      </c>
      <c r="M152" s="183">
        <f t="shared" si="37"/>
        <v>151</v>
      </c>
      <c r="N152" s="183">
        <f t="shared" si="38"/>
        <v>302</v>
      </c>
      <c r="O152" s="183">
        <f t="shared" si="40"/>
        <v>151</v>
      </c>
      <c r="P152" s="183">
        <f t="shared" si="41"/>
        <v>302</v>
      </c>
      <c r="Q152" s="183">
        <f t="shared" si="42"/>
        <v>151</v>
      </c>
      <c r="R152" s="183">
        <f t="shared" si="43"/>
        <v>302</v>
      </c>
      <c r="S152" s="183">
        <f t="shared" si="44"/>
        <v>151</v>
      </c>
      <c r="T152" s="183">
        <f t="shared" si="45"/>
        <v>302</v>
      </c>
      <c r="U152" s="183">
        <f t="shared" si="46"/>
        <v>151</v>
      </c>
      <c r="V152" s="183">
        <f t="shared" si="47"/>
        <v>302</v>
      </c>
      <c r="W152" s="12">
        <f>K152*属性价值参考!C$5+升级!L152*属性价值参考!C$6+升级!M152*属性价值参考!C$7+升级!N152*属性价值参考!C$8+升级!S152*属性价值参考!C$9+升级!T152*属性价值参考!C$10+升级!U152*属性价值参考!C$11+升级!V152*属性价值参考!C$12</f>
        <v>177177.36000000002</v>
      </c>
    </row>
    <row r="153" spans="1:23" x14ac:dyDescent="0.3">
      <c r="A153" s="22"/>
      <c r="B153" s="22"/>
      <c r="C153" s="27">
        <v>152</v>
      </c>
      <c r="D153" s="27" t="str">
        <f t="shared" si="32"/>
        <v>0#1#21280|0#2#729|0#3#152|0#4#304|0#9#152|0#10#304|0#11#152|0#12#304</v>
      </c>
      <c r="E153" s="27" t="str">
        <f t="shared" si="33"/>
        <v>1#1#3546|1#2#36480|1#3#152|1#4#304|1#9#152|1#10#304|1#11#152|1#12#304</v>
      </c>
      <c r="F153" s="27" t="str">
        <f t="shared" si="34"/>
        <v>2#1#10640|2#2#18240|2#3#152|2#4#304|2#9#152|2#10#304|2#11#152|2#12#304</v>
      </c>
      <c r="G153" s="27" t="str">
        <f t="shared" si="39"/>
        <v>0#1#21280|0#2#729|0#3#152|0#4#304|0#9#152|0#10#304|0#11#152|0#12#304|1#1#3546|1#2#36480|1#3#152|1#4#304|1#9#152|1#10#304|1#11#152|1#12#304|2#1#10640|2#2#18240|2#3#152|2#4#304|2#9#152|2#10#304|2#11#152|2#12#304</v>
      </c>
      <c r="H153" s="22"/>
      <c r="I153" s="28">
        <v>245480000</v>
      </c>
      <c r="J153" s="198">
        <v>152</v>
      </c>
      <c r="K153" s="183">
        <f t="shared" si="35"/>
        <v>21280</v>
      </c>
      <c r="L153" s="183">
        <f t="shared" si="36"/>
        <v>36480</v>
      </c>
      <c r="M153" s="183">
        <f t="shared" si="37"/>
        <v>152</v>
      </c>
      <c r="N153" s="183">
        <f t="shared" si="38"/>
        <v>304</v>
      </c>
      <c r="O153" s="183">
        <f t="shared" si="40"/>
        <v>152</v>
      </c>
      <c r="P153" s="183">
        <f t="shared" si="41"/>
        <v>304</v>
      </c>
      <c r="Q153" s="183">
        <f t="shared" si="42"/>
        <v>152</v>
      </c>
      <c r="R153" s="183">
        <f t="shared" si="43"/>
        <v>304</v>
      </c>
      <c r="S153" s="183">
        <f t="shared" si="44"/>
        <v>152</v>
      </c>
      <c r="T153" s="183">
        <f t="shared" si="45"/>
        <v>304</v>
      </c>
      <c r="U153" s="183">
        <f t="shared" si="46"/>
        <v>152</v>
      </c>
      <c r="V153" s="183">
        <f t="shared" si="47"/>
        <v>304</v>
      </c>
      <c r="W153" s="12">
        <f>K153*属性价值参考!C$5+升级!L153*属性价值参考!C$6+升级!M153*属性价值参考!C$7+升级!N153*属性价值参考!C$8+升级!S153*属性价值参考!C$9+升级!T153*属性价值参考!C$10+升级!U153*属性价值参考!C$11+升级!V153*属性价值参考!C$12</f>
        <v>178350.71999999994</v>
      </c>
    </row>
    <row r="154" spans="1:23" x14ac:dyDescent="0.3">
      <c r="A154" s="22"/>
      <c r="B154" s="22"/>
      <c r="C154" s="24">
        <v>153</v>
      </c>
      <c r="D154" s="27" t="str">
        <f t="shared" si="32"/>
        <v>0#1#21420|0#2#734|0#3#153|0#4#306|0#9#153|0#10#306|0#11#153|0#12#306</v>
      </c>
      <c r="E154" s="27" t="str">
        <f t="shared" si="33"/>
        <v>1#1#3570|1#2#36720|1#3#153|1#4#306|1#9#153|1#10#306|1#11#153|1#12#306</v>
      </c>
      <c r="F154" s="27" t="str">
        <f t="shared" si="34"/>
        <v>2#1#10710|2#2#18360|2#3#153|2#4#306|2#9#153|2#10#306|2#11#153|2#12#306</v>
      </c>
      <c r="G154" s="27" t="str">
        <f t="shared" si="39"/>
        <v>0#1#21420|0#2#734|0#3#153|0#4#306|0#9#153|0#10#306|0#11#153|0#12#306|1#1#3570|1#2#36720|1#3#153|1#4#306|1#9#153|1#10#306|1#11#153|1#12#306|2#1#10710|2#2#18360|2#3#153|2#4#306|2#9#153|2#10#306|2#11#153|2#12#306</v>
      </c>
      <c r="H154" s="22"/>
      <c r="I154" s="25">
        <v>263120000</v>
      </c>
      <c r="J154" s="197">
        <v>153</v>
      </c>
      <c r="K154" s="183">
        <f t="shared" si="35"/>
        <v>21420</v>
      </c>
      <c r="L154" s="183">
        <f t="shared" si="36"/>
        <v>36720</v>
      </c>
      <c r="M154" s="183">
        <f t="shared" si="37"/>
        <v>153</v>
      </c>
      <c r="N154" s="183">
        <f t="shared" si="38"/>
        <v>306</v>
      </c>
      <c r="O154" s="183">
        <f t="shared" si="40"/>
        <v>153</v>
      </c>
      <c r="P154" s="183">
        <f t="shared" si="41"/>
        <v>306</v>
      </c>
      <c r="Q154" s="183">
        <f t="shared" si="42"/>
        <v>153</v>
      </c>
      <c r="R154" s="183">
        <f t="shared" si="43"/>
        <v>306</v>
      </c>
      <c r="S154" s="183">
        <f t="shared" si="44"/>
        <v>153</v>
      </c>
      <c r="T154" s="183">
        <f t="shared" si="45"/>
        <v>306</v>
      </c>
      <c r="U154" s="183">
        <f t="shared" si="46"/>
        <v>153</v>
      </c>
      <c r="V154" s="183">
        <f t="shared" si="47"/>
        <v>306</v>
      </c>
      <c r="W154" s="12">
        <f>K154*属性价值参考!C$5+升级!L154*属性价值参考!C$6+升级!M154*属性价值参考!C$7+升级!N154*属性价值参考!C$8+升级!S154*属性价值参考!C$9+升级!T154*属性价值参考!C$10+升级!U154*属性价值参考!C$11+升级!V154*属性价值参考!C$12</f>
        <v>179524.08000000005</v>
      </c>
    </row>
    <row r="155" spans="1:23" x14ac:dyDescent="0.3">
      <c r="A155" s="22"/>
      <c r="B155" s="22"/>
      <c r="C155" s="27">
        <v>154</v>
      </c>
      <c r="D155" s="27" t="str">
        <f t="shared" si="32"/>
        <v>0#1#21560|0#2#739|0#3#154|0#4#308|0#9#154|0#10#308|0#11#154|0#12#308</v>
      </c>
      <c r="E155" s="27" t="str">
        <f t="shared" si="33"/>
        <v>1#1#3593|1#2#36960|1#3#154|1#4#308|1#9#154|1#10#308|1#11#154|1#12#308</v>
      </c>
      <c r="F155" s="27" t="str">
        <f t="shared" si="34"/>
        <v>2#1#10780|2#2#18480|2#3#154|2#4#308|2#9#154|2#10#308|2#11#154|2#12#308</v>
      </c>
      <c r="G155" s="27" t="str">
        <f t="shared" si="39"/>
        <v>0#1#21560|0#2#739|0#3#154|0#4#308|0#9#154|0#10#308|0#11#154|0#12#308|1#1#3593|1#2#36960|1#3#154|1#4#308|1#9#154|1#10#308|1#11#154|1#12#308|2#1#10780|2#2#18480|2#3#154|2#4#308|2#9#154|2#10#308|2#11#154|2#12#308</v>
      </c>
      <c r="H155" s="22"/>
      <c r="I155" s="28">
        <v>280760000</v>
      </c>
      <c r="J155" s="198">
        <v>154</v>
      </c>
      <c r="K155" s="183">
        <f t="shared" si="35"/>
        <v>21560</v>
      </c>
      <c r="L155" s="183">
        <f t="shared" si="36"/>
        <v>36960</v>
      </c>
      <c r="M155" s="183">
        <f t="shared" si="37"/>
        <v>154</v>
      </c>
      <c r="N155" s="183">
        <f t="shared" si="38"/>
        <v>308</v>
      </c>
      <c r="O155" s="183">
        <f t="shared" si="40"/>
        <v>154</v>
      </c>
      <c r="P155" s="183">
        <f t="shared" si="41"/>
        <v>308</v>
      </c>
      <c r="Q155" s="183">
        <f t="shared" si="42"/>
        <v>154</v>
      </c>
      <c r="R155" s="183">
        <f t="shared" si="43"/>
        <v>308</v>
      </c>
      <c r="S155" s="183">
        <f t="shared" si="44"/>
        <v>154</v>
      </c>
      <c r="T155" s="183">
        <f t="shared" si="45"/>
        <v>308</v>
      </c>
      <c r="U155" s="183">
        <f t="shared" si="46"/>
        <v>154</v>
      </c>
      <c r="V155" s="183">
        <f t="shared" si="47"/>
        <v>308</v>
      </c>
      <c r="W155" s="12">
        <f>K155*属性价值参考!C$5+升级!L155*属性价值参考!C$6+升级!M155*属性价值参考!C$7+升级!N155*属性价值参考!C$8+升级!S155*属性价值参考!C$9+升级!T155*属性价值参考!C$10+升级!U155*属性价值参考!C$11+升级!V155*属性价值参考!C$12</f>
        <v>180697.43999999997</v>
      </c>
    </row>
    <row r="156" spans="1:23" x14ac:dyDescent="0.3">
      <c r="A156" s="22"/>
      <c r="B156" s="22"/>
      <c r="C156" s="24">
        <v>155</v>
      </c>
      <c r="D156" s="27" t="str">
        <f t="shared" si="32"/>
        <v>0#1#21700|0#2#744|0#3#155|0#4#310|0#9#155|0#10#310|0#11#155|0#12#310</v>
      </c>
      <c r="E156" s="27" t="str">
        <f t="shared" si="33"/>
        <v>1#1#3616|1#2#37200|1#3#155|1#4#310|1#9#155|1#10#310|1#11#155|1#12#310</v>
      </c>
      <c r="F156" s="27" t="str">
        <f t="shared" si="34"/>
        <v>2#1#10850|2#2#18600|2#3#155|2#4#310|2#9#155|2#10#310|2#11#155|2#12#310</v>
      </c>
      <c r="G156" s="27" t="str">
        <f t="shared" si="39"/>
        <v>0#1#21700|0#2#744|0#3#155|0#4#310|0#9#155|0#10#310|0#11#155|0#12#310|1#1#3616|1#2#37200|1#3#155|1#4#310|1#9#155|1#10#310|1#11#155|1#12#310|2#1#10850|2#2#18600|2#3#155|2#4#310|2#9#155|2#10#310|2#11#155|2#12#310</v>
      </c>
      <c r="H156" s="22"/>
      <c r="I156" s="25">
        <v>308400000</v>
      </c>
      <c r="J156" s="197">
        <v>155</v>
      </c>
      <c r="K156" s="183">
        <f t="shared" si="35"/>
        <v>21700</v>
      </c>
      <c r="L156" s="183">
        <f t="shared" si="36"/>
        <v>37200</v>
      </c>
      <c r="M156" s="183">
        <f t="shared" si="37"/>
        <v>155</v>
      </c>
      <c r="N156" s="183">
        <f t="shared" si="38"/>
        <v>310</v>
      </c>
      <c r="O156" s="183">
        <f t="shared" si="40"/>
        <v>155</v>
      </c>
      <c r="P156" s="183">
        <f t="shared" si="41"/>
        <v>310</v>
      </c>
      <c r="Q156" s="183">
        <f t="shared" si="42"/>
        <v>155</v>
      </c>
      <c r="R156" s="183">
        <f t="shared" si="43"/>
        <v>310</v>
      </c>
      <c r="S156" s="183">
        <f t="shared" si="44"/>
        <v>155</v>
      </c>
      <c r="T156" s="183">
        <f t="shared" si="45"/>
        <v>310</v>
      </c>
      <c r="U156" s="183">
        <f t="shared" si="46"/>
        <v>155</v>
      </c>
      <c r="V156" s="183">
        <f t="shared" si="47"/>
        <v>310</v>
      </c>
      <c r="W156" s="12">
        <f>K156*属性价值参考!C$5+升级!L156*属性价值参考!C$6+升级!M156*属性价值参考!C$7+升级!N156*属性价值参考!C$8+升级!S156*属性价值参考!C$9+升级!T156*属性价值参考!C$10+升级!U156*属性价值参考!C$11+升级!V156*属性价值参考!C$12</f>
        <v>181870.8</v>
      </c>
    </row>
    <row r="157" spans="1:23" x14ac:dyDescent="0.3">
      <c r="A157" s="22"/>
      <c r="B157" s="22"/>
      <c r="C157" s="27">
        <v>156</v>
      </c>
      <c r="D157" s="27" t="str">
        <f t="shared" si="32"/>
        <v>0#1#21840|0#2#748|0#3#156|0#4#312|0#9#156|0#10#312|0#11#156|0#12#312</v>
      </c>
      <c r="E157" s="27" t="str">
        <f t="shared" si="33"/>
        <v>1#1#3640|1#2#37440|1#3#156|1#4#312|1#9#156|1#10#312|1#11#156|1#12#312</v>
      </c>
      <c r="F157" s="27" t="str">
        <f t="shared" si="34"/>
        <v>2#1#10920|2#2#18720|2#3#156|2#4#312|2#9#156|2#10#312|2#11#156|2#12#312</v>
      </c>
      <c r="G157" s="27" t="str">
        <f t="shared" si="39"/>
        <v>0#1#21840|0#2#748|0#3#156|0#4#312|0#9#156|0#10#312|0#11#156|0#12#312|1#1#3640|1#2#37440|1#3#156|1#4#312|1#9#156|1#10#312|1#11#156|1#12#312|2#1#10920|2#2#18720|2#3#156|2#4#312|2#9#156|2#10#312|2#11#156|2#12#312</v>
      </c>
      <c r="H157" s="22"/>
      <c r="I157" s="28">
        <v>336040000</v>
      </c>
      <c r="J157" s="198">
        <v>156</v>
      </c>
      <c r="K157" s="183">
        <f t="shared" si="35"/>
        <v>21840</v>
      </c>
      <c r="L157" s="183">
        <f t="shared" si="36"/>
        <v>37440</v>
      </c>
      <c r="M157" s="183">
        <f t="shared" si="37"/>
        <v>156</v>
      </c>
      <c r="N157" s="183">
        <f t="shared" si="38"/>
        <v>312</v>
      </c>
      <c r="O157" s="183">
        <f t="shared" si="40"/>
        <v>156</v>
      </c>
      <c r="P157" s="183">
        <f t="shared" si="41"/>
        <v>312</v>
      </c>
      <c r="Q157" s="183">
        <f t="shared" si="42"/>
        <v>156</v>
      </c>
      <c r="R157" s="183">
        <f t="shared" si="43"/>
        <v>312</v>
      </c>
      <c r="S157" s="183">
        <f t="shared" si="44"/>
        <v>156</v>
      </c>
      <c r="T157" s="183">
        <f t="shared" si="45"/>
        <v>312</v>
      </c>
      <c r="U157" s="183">
        <f t="shared" si="46"/>
        <v>156</v>
      </c>
      <c r="V157" s="183">
        <f t="shared" si="47"/>
        <v>312</v>
      </c>
      <c r="W157" s="12">
        <f>K157*属性价值参考!C$5+升级!L157*属性价值参考!C$6+升级!M157*属性价值参考!C$7+升级!N157*属性价值参考!C$8+升级!S157*属性价值参考!C$9+升级!T157*属性价值参考!C$10+升级!U157*属性价值参考!C$11+升级!V157*属性价值参考!C$12</f>
        <v>183044.16</v>
      </c>
    </row>
    <row r="158" spans="1:23" x14ac:dyDescent="0.3">
      <c r="A158" s="22"/>
      <c r="B158" s="22"/>
      <c r="C158" s="24">
        <v>157</v>
      </c>
      <c r="D158" s="27" t="str">
        <f t="shared" si="32"/>
        <v>0#1#21980|0#2#753|0#3#157|0#4#314|0#9#157|0#10#314|0#11#157|0#12#314</v>
      </c>
      <c r="E158" s="27" t="str">
        <f t="shared" si="33"/>
        <v>1#1#3663|1#2#37680|1#3#157|1#4#314|1#9#157|1#10#314|1#11#157|1#12#314</v>
      </c>
      <c r="F158" s="27" t="str">
        <f t="shared" si="34"/>
        <v>2#1#10990|2#2#18840|2#3#157|2#4#314|2#9#157|2#10#314|2#11#157|2#12#314</v>
      </c>
      <c r="G158" s="27" t="str">
        <f t="shared" si="39"/>
        <v>0#1#21980|0#2#753|0#3#157|0#4#314|0#9#157|0#10#314|0#11#157|0#12#314|1#1#3663|1#2#37680|1#3#157|1#4#314|1#9#157|1#10#314|1#11#157|1#12#314|2#1#10990|2#2#18840|2#3#157|2#4#314|2#9#157|2#10#314|2#11#157|2#12#314</v>
      </c>
      <c r="H158" s="22"/>
      <c r="I158" s="25">
        <v>363680000</v>
      </c>
      <c r="J158" s="197">
        <v>157</v>
      </c>
      <c r="K158" s="183">
        <f t="shared" si="35"/>
        <v>21980</v>
      </c>
      <c r="L158" s="183">
        <f t="shared" si="36"/>
        <v>37680</v>
      </c>
      <c r="M158" s="183">
        <f t="shared" si="37"/>
        <v>157</v>
      </c>
      <c r="N158" s="183">
        <f t="shared" si="38"/>
        <v>314</v>
      </c>
      <c r="O158" s="183">
        <f t="shared" si="40"/>
        <v>157</v>
      </c>
      <c r="P158" s="183">
        <f t="shared" si="41"/>
        <v>314</v>
      </c>
      <c r="Q158" s="183">
        <f t="shared" si="42"/>
        <v>157</v>
      </c>
      <c r="R158" s="183">
        <f t="shared" si="43"/>
        <v>314</v>
      </c>
      <c r="S158" s="183">
        <f t="shared" si="44"/>
        <v>157</v>
      </c>
      <c r="T158" s="183">
        <f t="shared" si="45"/>
        <v>314</v>
      </c>
      <c r="U158" s="183">
        <f t="shared" si="46"/>
        <v>157</v>
      </c>
      <c r="V158" s="183">
        <f t="shared" si="47"/>
        <v>314</v>
      </c>
      <c r="W158" s="12">
        <f>K158*属性价值参考!C$5+升级!L158*属性价值参考!C$6+升级!M158*属性价值参考!C$7+升级!N158*属性价值参考!C$8+升级!S158*属性价值参考!C$9+升级!T158*属性价值参考!C$10+升级!U158*属性价值参考!C$11+升级!V158*属性价值参考!C$12</f>
        <v>184217.51999999993</v>
      </c>
    </row>
    <row r="159" spans="1:23" x14ac:dyDescent="0.3">
      <c r="A159" s="22"/>
      <c r="B159" s="22"/>
      <c r="C159" s="27">
        <v>158</v>
      </c>
      <c r="D159" s="27" t="str">
        <f t="shared" si="32"/>
        <v>0#1#22120|0#2#758|0#3#158|0#4#316|0#9#158|0#10#316|0#11#158|0#12#316</v>
      </c>
      <c r="E159" s="27" t="str">
        <f t="shared" si="33"/>
        <v>1#1#3686|1#2#37920|1#3#158|1#4#316|1#9#158|1#10#316|1#11#158|1#12#316</v>
      </c>
      <c r="F159" s="27" t="str">
        <f t="shared" si="34"/>
        <v>2#1#11060|2#2#18960|2#3#158|2#4#316|2#9#158|2#10#316|2#11#158|2#12#316</v>
      </c>
      <c r="G159" s="27" t="str">
        <f t="shared" si="39"/>
        <v>0#1#22120|0#2#758|0#3#158|0#4#316|0#9#158|0#10#316|0#11#158|0#12#316|1#1#3686|1#2#37920|1#3#158|1#4#316|1#9#158|1#10#316|1#11#158|1#12#316|2#1#11060|2#2#18960|2#3#158|2#4#316|2#9#158|2#10#316|2#11#158|2#12#316</v>
      </c>
      <c r="H159" s="22"/>
      <c r="I159" s="28">
        <v>391320000</v>
      </c>
      <c r="J159" s="198">
        <v>158</v>
      </c>
      <c r="K159" s="183">
        <f t="shared" si="35"/>
        <v>22120</v>
      </c>
      <c r="L159" s="183">
        <f t="shared" si="36"/>
        <v>37920</v>
      </c>
      <c r="M159" s="183">
        <f t="shared" si="37"/>
        <v>158</v>
      </c>
      <c r="N159" s="183">
        <f t="shared" si="38"/>
        <v>316</v>
      </c>
      <c r="O159" s="183">
        <f t="shared" si="40"/>
        <v>158</v>
      </c>
      <c r="P159" s="183">
        <f t="shared" si="41"/>
        <v>316</v>
      </c>
      <c r="Q159" s="183">
        <f t="shared" si="42"/>
        <v>158</v>
      </c>
      <c r="R159" s="183">
        <f t="shared" si="43"/>
        <v>316</v>
      </c>
      <c r="S159" s="183">
        <f t="shared" si="44"/>
        <v>158</v>
      </c>
      <c r="T159" s="183">
        <f t="shared" si="45"/>
        <v>316</v>
      </c>
      <c r="U159" s="183">
        <f t="shared" si="46"/>
        <v>158</v>
      </c>
      <c r="V159" s="183">
        <f t="shared" si="47"/>
        <v>316</v>
      </c>
      <c r="W159" s="12">
        <f>K159*属性价值参考!C$5+升级!L159*属性价值参考!C$6+升级!M159*属性价值参考!C$7+升级!N159*属性价值参考!C$8+升级!S159*属性价值参考!C$9+升级!T159*属性价值参考!C$10+升级!U159*属性价值参考!C$11+升级!V159*属性价值参考!C$12</f>
        <v>185390.88000000003</v>
      </c>
    </row>
    <row r="160" spans="1:23" x14ac:dyDescent="0.3">
      <c r="A160" s="22"/>
      <c r="B160" s="22"/>
      <c r="C160" s="24">
        <v>159</v>
      </c>
      <c r="D160" s="27" t="str">
        <f t="shared" si="32"/>
        <v>0#1#22260|0#2#763|0#3#159|0#4#318|0#9#159|0#10#318|0#11#159|0#12#318</v>
      </c>
      <c r="E160" s="27" t="str">
        <f t="shared" si="33"/>
        <v>1#1#3710|1#2#38160|1#3#159|1#4#318|1#9#159|1#10#318|1#11#159|1#12#318</v>
      </c>
      <c r="F160" s="27" t="str">
        <f t="shared" si="34"/>
        <v>2#1#11130|2#2#19080|2#3#159|2#4#318|2#9#159|2#10#318|2#11#159|2#12#318</v>
      </c>
      <c r="G160" s="27" t="str">
        <f t="shared" si="39"/>
        <v>0#1#22260|0#2#763|0#3#159|0#4#318|0#9#159|0#10#318|0#11#159|0#12#318|1#1#3710|1#2#38160|1#3#159|1#4#318|1#9#159|1#10#318|1#11#159|1#12#318|2#1#11130|2#2#19080|2#3#159|2#4#318|2#9#159|2#10#318|2#11#159|2#12#318</v>
      </c>
      <c r="H160" s="22"/>
      <c r="I160" s="25">
        <v>418960000</v>
      </c>
      <c r="J160" s="197">
        <v>159</v>
      </c>
      <c r="K160" s="183">
        <f t="shared" si="35"/>
        <v>22260</v>
      </c>
      <c r="L160" s="183">
        <f t="shared" si="36"/>
        <v>38160</v>
      </c>
      <c r="M160" s="183">
        <f t="shared" si="37"/>
        <v>159</v>
      </c>
      <c r="N160" s="183">
        <f t="shared" si="38"/>
        <v>318</v>
      </c>
      <c r="O160" s="183">
        <f t="shared" si="40"/>
        <v>159</v>
      </c>
      <c r="P160" s="183">
        <f t="shared" si="41"/>
        <v>318</v>
      </c>
      <c r="Q160" s="183">
        <f t="shared" si="42"/>
        <v>159</v>
      </c>
      <c r="R160" s="183">
        <f t="shared" si="43"/>
        <v>318</v>
      </c>
      <c r="S160" s="183">
        <f t="shared" si="44"/>
        <v>159</v>
      </c>
      <c r="T160" s="183">
        <f t="shared" si="45"/>
        <v>318</v>
      </c>
      <c r="U160" s="183">
        <f t="shared" si="46"/>
        <v>159</v>
      </c>
      <c r="V160" s="183">
        <f t="shared" si="47"/>
        <v>318</v>
      </c>
      <c r="W160" s="12">
        <f>K160*属性价值参考!C$5+升级!L160*属性价值参考!C$6+升级!M160*属性价值参考!C$7+升级!N160*属性价值参考!C$8+升级!S160*属性价值参考!C$9+升级!T160*属性价值参考!C$10+升级!U160*属性价值参考!C$11+升级!V160*属性价值参考!C$12</f>
        <v>186564.23999999996</v>
      </c>
    </row>
    <row r="161" spans="1:23" x14ac:dyDescent="0.3">
      <c r="A161" s="22"/>
      <c r="B161" s="22"/>
      <c r="C161" s="27">
        <v>160</v>
      </c>
      <c r="D161" s="27" t="str">
        <f t="shared" si="32"/>
        <v>0#1#22400|0#2#768|0#3#160|0#4#320|0#9#160|0#10#320|0#11#160|0#12#320</v>
      </c>
      <c r="E161" s="27" t="str">
        <f t="shared" si="33"/>
        <v>1#1#3733|1#2#38400|1#3#160|1#4#320|1#9#160|1#10#320|1#11#160|1#12#320</v>
      </c>
      <c r="F161" s="27" t="str">
        <f t="shared" si="34"/>
        <v>2#1#11200|2#2#19200|2#3#160|2#4#320|2#9#160|2#10#320|2#11#160|2#12#320</v>
      </c>
      <c r="G161" s="27" t="str">
        <f t="shared" si="39"/>
        <v>0#1#22400|0#2#768|0#3#160|0#4#320|0#9#160|0#10#320|0#11#160|0#12#320|1#1#3733|1#2#38400|1#3#160|1#4#320|1#9#160|1#10#320|1#11#160|1#12#320|2#1#11200|2#2#19200|2#3#160|2#4#320|2#9#160|2#10#320|2#11#160|2#12#320</v>
      </c>
      <c r="H161" s="22"/>
      <c r="I161" s="28">
        <v>456600000</v>
      </c>
      <c r="J161" s="198">
        <v>160</v>
      </c>
      <c r="K161" s="183">
        <f t="shared" si="35"/>
        <v>22400</v>
      </c>
      <c r="L161" s="183">
        <f t="shared" si="36"/>
        <v>38400</v>
      </c>
      <c r="M161" s="183">
        <f t="shared" si="37"/>
        <v>160</v>
      </c>
      <c r="N161" s="183">
        <f t="shared" si="38"/>
        <v>320</v>
      </c>
      <c r="O161" s="183">
        <f t="shared" si="40"/>
        <v>160</v>
      </c>
      <c r="P161" s="183">
        <f t="shared" si="41"/>
        <v>320</v>
      </c>
      <c r="Q161" s="183">
        <f t="shared" si="42"/>
        <v>160</v>
      </c>
      <c r="R161" s="183">
        <f t="shared" si="43"/>
        <v>320</v>
      </c>
      <c r="S161" s="183">
        <f t="shared" si="44"/>
        <v>160</v>
      </c>
      <c r="T161" s="183">
        <f t="shared" si="45"/>
        <v>320</v>
      </c>
      <c r="U161" s="183">
        <f t="shared" si="46"/>
        <v>160</v>
      </c>
      <c r="V161" s="183">
        <f t="shared" si="47"/>
        <v>320</v>
      </c>
      <c r="W161" s="12">
        <f>K161*属性价值参考!C$5+升级!L161*属性价值参考!C$6+升级!M161*属性价值参考!C$7+升级!N161*属性价值参考!C$8+升级!S161*属性价值参考!C$9+升级!T161*属性价值参考!C$10+升级!U161*属性价值参考!C$11+升级!V161*属性价值参考!C$12</f>
        <v>187737.60000000001</v>
      </c>
    </row>
    <row r="162" spans="1:23" x14ac:dyDescent="0.3">
      <c r="A162" s="22"/>
      <c r="B162" s="22"/>
      <c r="C162" s="24">
        <v>161</v>
      </c>
      <c r="D162" s="27" t="str">
        <f t="shared" si="32"/>
        <v>0#1#22540|0#2#772|0#3#161|0#4#322|0#9#161|0#10#322|0#11#161|0#12#322</v>
      </c>
      <c r="E162" s="27" t="str">
        <f t="shared" si="33"/>
        <v>1#1#3756|1#2#38640|1#3#161|1#4#322|1#9#161|1#10#322|1#11#161|1#12#322</v>
      </c>
      <c r="F162" s="27" t="str">
        <f t="shared" si="34"/>
        <v>2#1#11270|2#2#19320|2#3#161|2#4#322|2#9#161|2#10#322|2#11#161|2#12#322</v>
      </c>
      <c r="G162" s="27" t="str">
        <f t="shared" si="39"/>
        <v>0#1#22540|0#2#772|0#3#161|0#4#322|0#9#161|0#10#322|0#11#161|0#12#322|1#1#3756|1#2#38640|1#3#161|1#4#322|1#9#161|1#10#322|1#11#161|1#12#322|2#1#11270|2#2#19320|2#3#161|2#4#322|2#9#161|2#10#322|2#11#161|2#12#322</v>
      </c>
      <c r="H162" s="22"/>
      <c r="I162" s="25">
        <v>494240000</v>
      </c>
      <c r="J162" s="197">
        <v>161</v>
      </c>
      <c r="K162" s="183">
        <f t="shared" si="35"/>
        <v>22540</v>
      </c>
      <c r="L162" s="183">
        <f t="shared" si="36"/>
        <v>38640</v>
      </c>
      <c r="M162" s="183">
        <f t="shared" si="37"/>
        <v>161</v>
      </c>
      <c r="N162" s="183">
        <f t="shared" si="38"/>
        <v>322</v>
      </c>
      <c r="O162" s="183">
        <f t="shared" si="40"/>
        <v>161</v>
      </c>
      <c r="P162" s="183">
        <f t="shared" si="41"/>
        <v>322</v>
      </c>
      <c r="Q162" s="183">
        <f t="shared" si="42"/>
        <v>161</v>
      </c>
      <c r="R162" s="183">
        <f t="shared" si="43"/>
        <v>322</v>
      </c>
      <c r="S162" s="183">
        <f t="shared" si="44"/>
        <v>161</v>
      </c>
      <c r="T162" s="183">
        <f t="shared" si="45"/>
        <v>322</v>
      </c>
      <c r="U162" s="183">
        <f t="shared" si="46"/>
        <v>161</v>
      </c>
      <c r="V162" s="183">
        <f t="shared" si="47"/>
        <v>322</v>
      </c>
      <c r="W162" s="12">
        <f>K162*属性价值参考!C$5+升级!L162*属性价值参考!C$6+升级!M162*属性价值参考!C$7+升级!N162*属性价值参考!C$8+升级!S162*属性价值参考!C$9+升级!T162*属性价值参考!C$10+升级!U162*属性价值参考!C$11+升级!V162*属性价值参考!C$12</f>
        <v>188910.96000000002</v>
      </c>
    </row>
    <row r="163" spans="1:23" x14ac:dyDescent="0.3">
      <c r="A163" s="22"/>
      <c r="B163" s="22"/>
      <c r="C163" s="27">
        <v>162</v>
      </c>
      <c r="D163" s="27" t="str">
        <f t="shared" si="32"/>
        <v>0#1#22680|0#2#777|0#3#162|0#4#324|0#9#162|0#10#324|0#11#162|0#12#324</v>
      </c>
      <c r="E163" s="27" t="str">
        <f t="shared" si="33"/>
        <v>1#1#3780|1#2#38880|1#3#162|1#4#324|1#9#162|1#10#324|1#11#162|1#12#324</v>
      </c>
      <c r="F163" s="27" t="str">
        <f t="shared" si="34"/>
        <v>2#1#11340|2#2#19440|2#3#162|2#4#324|2#9#162|2#10#324|2#11#162|2#12#324</v>
      </c>
      <c r="G163" s="27" t="str">
        <f t="shared" si="39"/>
        <v>0#1#22680|0#2#777|0#3#162|0#4#324|0#9#162|0#10#324|0#11#162|0#12#324|1#1#3780|1#2#38880|1#3#162|1#4#324|1#9#162|1#10#324|1#11#162|1#12#324|2#1#11340|2#2#19440|2#3#162|2#4#324|2#9#162|2#10#324|2#11#162|2#12#324</v>
      </c>
      <c r="H163" s="22"/>
      <c r="I163" s="28">
        <v>531880000</v>
      </c>
      <c r="J163" s="198">
        <v>162</v>
      </c>
      <c r="K163" s="183">
        <f t="shared" si="35"/>
        <v>22680</v>
      </c>
      <c r="L163" s="183">
        <f t="shared" si="36"/>
        <v>38880</v>
      </c>
      <c r="M163" s="183">
        <f t="shared" si="37"/>
        <v>162</v>
      </c>
      <c r="N163" s="183">
        <f t="shared" si="38"/>
        <v>324</v>
      </c>
      <c r="O163" s="183">
        <f t="shared" si="40"/>
        <v>162</v>
      </c>
      <c r="P163" s="183">
        <f t="shared" si="41"/>
        <v>324</v>
      </c>
      <c r="Q163" s="183">
        <f t="shared" si="42"/>
        <v>162</v>
      </c>
      <c r="R163" s="183">
        <f t="shared" si="43"/>
        <v>324</v>
      </c>
      <c r="S163" s="183">
        <f t="shared" si="44"/>
        <v>162</v>
      </c>
      <c r="T163" s="183">
        <f t="shared" si="45"/>
        <v>324</v>
      </c>
      <c r="U163" s="183">
        <f t="shared" si="46"/>
        <v>162</v>
      </c>
      <c r="V163" s="183">
        <f t="shared" si="47"/>
        <v>324</v>
      </c>
      <c r="W163" s="12">
        <f>K163*属性价值参考!C$5+升级!L163*属性价值参考!C$6+升级!M163*属性价值参考!C$7+升级!N163*属性价值参考!C$8+升级!S163*属性价值参考!C$9+升级!T163*属性价值参考!C$10+升级!U163*属性价值参考!C$11+升级!V163*属性价值参考!C$12</f>
        <v>190084.31999999995</v>
      </c>
    </row>
    <row r="164" spans="1:23" x14ac:dyDescent="0.3">
      <c r="A164" s="22"/>
      <c r="B164" s="22"/>
      <c r="C164" s="24">
        <v>163</v>
      </c>
      <c r="D164" s="27" t="str">
        <f t="shared" si="32"/>
        <v>0#1#22820|0#2#782|0#3#163|0#4#326|0#9#163|0#10#326|0#11#163|0#12#326</v>
      </c>
      <c r="E164" s="27" t="str">
        <f t="shared" si="33"/>
        <v>1#1#3803|1#2#39120|1#3#163|1#4#326|1#9#163|1#10#326|1#11#163|1#12#326</v>
      </c>
      <c r="F164" s="27" t="str">
        <f t="shared" si="34"/>
        <v>2#1#11410|2#2#19560|2#3#163|2#4#326|2#9#163|2#10#326|2#11#163|2#12#326</v>
      </c>
      <c r="G164" s="27" t="str">
        <f t="shared" si="39"/>
        <v>0#1#22820|0#2#782|0#3#163|0#4#326|0#9#163|0#10#326|0#11#163|0#12#326|1#1#3803|1#2#39120|1#3#163|1#4#326|1#9#163|1#10#326|1#11#163|1#12#326|2#1#11410|2#2#19560|2#3#163|2#4#326|2#9#163|2#10#326|2#11#163|2#12#326</v>
      </c>
      <c r="H164" s="22"/>
      <c r="I164" s="25">
        <v>569520000</v>
      </c>
      <c r="J164" s="197">
        <v>163</v>
      </c>
      <c r="K164" s="183">
        <f t="shared" si="35"/>
        <v>22820</v>
      </c>
      <c r="L164" s="183">
        <f t="shared" si="36"/>
        <v>39120</v>
      </c>
      <c r="M164" s="183">
        <f t="shared" si="37"/>
        <v>163</v>
      </c>
      <c r="N164" s="183">
        <f t="shared" si="38"/>
        <v>326</v>
      </c>
      <c r="O164" s="183">
        <f t="shared" si="40"/>
        <v>163</v>
      </c>
      <c r="P164" s="183">
        <f t="shared" si="41"/>
        <v>326</v>
      </c>
      <c r="Q164" s="183">
        <f t="shared" si="42"/>
        <v>163</v>
      </c>
      <c r="R164" s="183">
        <f t="shared" si="43"/>
        <v>326</v>
      </c>
      <c r="S164" s="183">
        <f t="shared" si="44"/>
        <v>163</v>
      </c>
      <c r="T164" s="183">
        <f t="shared" si="45"/>
        <v>326</v>
      </c>
      <c r="U164" s="183">
        <f t="shared" si="46"/>
        <v>163</v>
      </c>
      <c r="V164" s="183">
        <f t="shared" si="47"/>
        <v>326</v>
      </c>
      <c r="W164" s="12">
        <f>K164*属性价值参考!C$5+升级!L164*属性价值参考!C$6+升级!M164*属性价值参考!C$7+升级!N164*属性价值参考!C$8+升级!S164*属性价值参考!C$9+升级!T164*属性价值参考!C$10+升级!U164*属性价值参考!C$11+升级!V164*属性价值参考!C$12</f>
        <v>191257.68000000005</v>
      </c>
    </row>
    <row r="165" spans="1:23" x14ac:dyDescent="0.3">
      <c r="A165" s="22"/>
      <c r="B165" s="22"/>
      <c r="C165" s="27">
        <v>164</v>
      </c>
      <c r="D165" s="27" t="str">
        <f t="shared" si="32"/>
        <v>0#1#22960|0#2#787|0#3#164|0#4#328|0#9#164|0#10#328|0#11#164|0#12#328</v>
      </c>
      <c r="E165" s="27" t="str">
        <f t="shared" si="33"/>
        <v>1#1#3826|1#2#39360|1#3#164|1#4#328|1#9#164|1#10#328|1#11#164|1#12#328</v>
      </c>
      <c r="F165" s="27" t="str">
        <f t="shared" si="34"/>
        <v>2#1#11480|2#2#19680|2#3#164|2#4#328|2#9#164|2#10#328|2#11#164|2#12#328</v>
      </c>
      <c r="G165" s="27" t="str">
        <f t="shared" si="39"/>
        <v>0#1#22960|0#2#787|0#3#164|0#4#328|0#9#164|0#10#328|0#11#164|0#12#328|1#1#3826|1#2#39360|1#3#164|1#4#328|1#9#164|1#10#328|1#11#164|1#12#328|2#1#11480|2#2#19680|2#3#164|2#4#328|2#9#164|2#10#328|2#11#164|2#12#328</v>
      </c>
      <c r="H165" s="22"/>
      <c r="I165" s="28">
        <v>607160000</v>
      </c>
      <c r="J165" s="198">
        <v>164</v>
      </c>
      <c r="K165" s="183">
        <f t="shared" si="35"/>
        <v>22960</v>
      </c>
      <c r="L165" s="183">
        <f t="shared" si="36"/>
        <v>39360</v>
      </c>
      <c r="M165" s="183">
        <f t="shared" si="37"/>
        <v>164</v>
      </c>
      <c r="N165" s="183">
        <f t="shared" si="38"/>
        <v>328</v>
      </c>
      <c r="O165" s="183">
        <f t="shared" si="40"/>
        <v>164</v>
      </c>
      <c r="P165" s="183">
        <f t="shared" si="41"/>
        <v>328</v>
      </c>
      <c r="Q165" s="183">
        <f t="shared" si="42"/>
        <v>164</v>
      </c>
      <c r="R165" s="183">
        <f t="shared" si="43"/>
        <v>328</v>
      </c>
      <c r="S165" s="183">
        <f t="shared" si="44"/>
        <v>164</v>
      </c>
      <c r="T165" s="183">
        <f t="shared" si="45"/>
        <v>328</v>
      </c>
      <c r="U165" s="183">
        <f t="shared" si="46"/>
        <v>164</v>
      </c>
      <c r="V165" s="183">
        <f t="shared" si="47"/>
        <v>328</v>
      </c>
      <c r="W165" s="12">
        <f>K165*属性价值参考!C$5+升级!L165*属性价值参考!C$6+升级!M165*属性价值参考!C$7+升级!N165*属性价值参考!C$8+升级!S165*属性价值参考!C$9+升级!T165*属性价值参考!C$10+升级!U165*属性价值参考!C$11+升级!V165*属性价值参考!C$12</f>
        <v>192431.03999999995</v>
      </c>
    </row>
    <row r="166" spans="1:23" x14ac:dyDescent="0.3">
      <c r="A166" s="22"/>
      <c r="B166" s="22"/>
      <c r="C166" s="24">
        <v>165</v>
      </c>
      <c r="D166" s="27" t="str">
        <f t="shared" si="32"/>
        <v>0#1#23100|0#2#792|0#3#165|0#4#330|0#9#165|0#10#330|0#11#165|0#12#330</v>
      </c>
      <c r="E166" s="27" t="str">
        <f t="shared" si="33"/>
        <v>1#1#3850|1#2#39600|1#3#165|1#4#330|1#9#165|1#10#330|1#11#165|1#12#330</v>
      </c>
      <c r="F166" s="27" t="str">
        <f t="shared" si="34"/>
        <v>2#1#11550|2#2#19800|2#3#165|2#4#330|2#9#165|2#10#330|2#11#165|2#12#330</v>
      </c>
      <c r="G166" s="27" t="str">
        <f t="shared" si="39"/>
        <v>0#1#23100|0#2#792|0#3#165|0#4#330|0#9#165|0#10#330|0#11#165|0#12#330|1#1#3850|1#2#39600|1#3#165|1#4#330|1#9#165|1#10#330|1#11#165|1#12#330|2#1#11550|2#2#19800|2#3#165|2#4#330|2#9#165|2#10#330|2#11#165|2#12#330</v>
      </c>
      <c r="H166" s="22"/>
      <c r="I166" s="25">
        <v>654800000</v>
      </c>
      <c r="J166" s="197">
        <v>165</v>
      </c>
      <c r="K166" s="183">
        <f t="shared" si="35"/>
        <v>23100</v>
      </c>
      <c r="L166" s="183">
        <f t="shared" si="36"/>
        <v>39600</v>
      </c>
      <c r="M166" s="183">
        <f t="shared" si="37"/>
        <v>165</v>
      </c>
      <c r="N166" s="183">
        <f t="shared" si="38"/>
        <v>330</v>
      </c>
      <c r="O166" s="183">
        <f t="shared" si="40"/>
        <v>165</v>
      </c>
      <c r="P166" s="183">
        <f t="shared" si="41"/>
        <v>330</v>
      </c>
      <c r="Q166" s="183">
        <f t="shared" si="42"/>
        <v>165</v>
      </c>
      <c r="R166" s="183">
        <f t="shared" si="43"/>
        <v>330</v>
      </c>
      <c r="S166" s="183">
        <f t="shared" si="44"/>
        <v>165</v>
      </c>
      <c r="T166" s="183">
        <f t="shared" si="45"/>
        <v>330</v>
      </c>
      <c r="U166" s="183">
        <f t="shared" si="46"/>
        <v>165</v>
      </c>
      <c r="V166" s="183">
        <f t="shared" si="47"/>
        <v>330</v>
      </c>
      <c r="W166" s="12">
        <f>K166*属性价值参考!C$5+升级!L166*属性价值参考!C$6+升级!M166*属性价值参考!C$7+升级!N166*属性价值参考!C$8+升级!S166*属性价值参考!C$9+升级!T166*属性价值参考!C$10+升级!U166*属性价值参考!C$11+升级!V166*属性价值参考!C$12</f>
        <v>193604.4</v>
      </c>
    </row>
    <row r="167" spans="1:23" x14ac:dyDescent="0.3">
      <c r="A167" s="22"/>
      <c r="B167" s="22"/>
      <c r="C167" s="27">
        <v>166</v>
      </c>
      <c r="D167" s="27" t="str">
        <f t="shared" si="32"/>
        <v>0#1#23240|0#2#796|0#3#166|0#4#332|0#9#166|0#10#332|0#11#166|0#12#332</v>
      </c>
      <c r="E167" s="27" t="str">
        <f t="shared" si="33"/>
        <v>1#1#3873|1#2#39840|1#3#166|1#4#332|1#9#166|1#10#332|1#11#166|1#12#332</v>
      </c>
      <c r="F167" s="27" t="str">
        <f t="shared" si="34"/>
        <v>2#1#11620|2#2#19920|2#3#166|2#4#332|2#9#166|2#10#332|2#11#166|2#12#332</v>
      </c>
      <c r="G167" s="27" t="str">
        <f t="shared" si="39"/>
        <v>0#1#23240|0#2#796|0#3#166|0#4#332|0#9#166|0#10#332|0#11#166|0#12#332|1#1#3873|1#2#39840|1#3#166|1#4#332|1#9#166|1#10#332|1#11#166|1#12#332|2#1#11620|2#2#19920|2#3#166|2#4#332|2#9#166|2#10#332|2#11#166|2#12#332</v>
      </c>
      <c r="H167" s="22"/>
      <c r="I167" s="28">
        <v>702440000</v>
      </c>
      <c r="J167" s="198">
        <v>166</v>
      </c>
      <c r="K167" s="183">
        <f t="shared" si="35"/>
        <v>23240</v>
      </c>
      <c r="L167" s="183">
        <f t="shared" si="36"/>
        <v>39840</v>
      </c>
      <c r="M167" s="183">
        <f t="shared" si="37"/>
        <v>166</v>
      </c>
      <c r="N167" s="183">
        <f t="shared" si="38"/>
        <v>332</v>
      </c>
      <c r="O167" s="183">
        <f t="shared" si="40"/>
        <v>166</v>
      </c>
      <c r="P167" s="183">
        <f t="shared" si="41"/>
        <v>332</v>
      </c>
      <c r="Q167" s="183">
        <f t="shared" si="42"/>
        <v>166</v>
      </c>
      <c r="R167" s="183">
        <f t="shared" si="43"/>
        <v>332</v>
      </c>
      <c r="S167" s="183">
        <f t="shared" si="44"/>
        <v>166</v>
      </c>
      <c r="T167" s="183">
        <f t="shared" si="45"/>
        <v>332</v>
      </c>
      <c r="U167" s="183">
        <f t="shared" si="46"/>
        <v>166</v>
      </c>
      <c r="V167" s="183">
        <f t="shared" si="47"/>
        <v>332</v>
      </c>
      <c r="W167" s="12">
        <f>K167*属性价值参考!C$5+升级!L167*属性价值参考!C$6+升级!M167*属性价值参考!C$7+升级!N167*属性价值参考!C$8+升级!S167*属性价值参考!C$9+升级!T167*属性价值参考!C$10+升级!U167*属性价值参考!C$11+升级!V167*属性价值参考!C$12</f>
        <v>194777.76</v>
      </c>
    </row>
    <row r="168" spans="1:23" x14ac:dyDescent="0.3">
      <c r="A168" s="22"/>
      <c r="B168" s="22"/>
      <c r="C168" s="24">
        <v>167</v>
      </c>
      <c r="D168" s="27" t="str">
        <f t="shared" si="32"/>
        <v>0#1#23380|0#2#801|0#3#167|0#4#334|0#9#167|0#10#334|0#11#167|0#12#334</v>
      </c>
      <c r="E168" s="27" t="str">
        <f t="shared" si="33"/>
        <v>1#1#3896|1#2#40080|1#3#167|1#4#334|1#9#167|1#10#334|1#11#167|1#12#334</v>
      </c>
      <c r="F168" s="27" t="str">
        <f t="shared" si="34"/>
        <v>2#1#11690|2#2#20040|2#3#167|2#4#334|2#9#167|2#10#334|2#11#167|2#12#334</v>
      </c>
      <c r="G168" s="27" t="str">
        <f t="shared" si="39"/>
        <v>0#1#23380|0#2#801|0#3#167|0#4#334|0#9#167|0#10#334|0#11#167|0#12#334|1#1#3896|1#2#40080|1#3#167|1#4#334|1#9#167|1#10#334|1#11#167|1#12#334|2#1#11690|2#2#20040|2#3#167|2#4#334|2#9#167|2#10#334|2#11#167|2#12#334</v>
      </c>
      <c r="H168" s="22"/>
      <c r="I168" s="25">
        <v>750080000</v>
      </c>
      <c r="J168" s="197">
        <v>167</v>
      </c>
      <c r="K168" s="183">
        <f t="shared" si="35"/>
        <v>23380</v>
      </c>
      <c r="L168" s="183">
        <f t="shared" si="36"/>
        <v>40080</v>
      </c>
      <c r="M168" s="183">
        <f t="shared" si="37"/>
        <v>167</v>
      </c>
      <c r="N168" s="183">
        <f t="shared" si="38"/>
        <v>334</v>
      </c>
      <c r="O168" s="183">
        <f t="shared" si="40"/>
        <v>167</v>
      </c>
      <c r="P168" s="183">
        <f t="shared" si="41"/>
        <v>334</v>
      </c>
      <c r="Q168" s="183">
        <f t="shared" si="42"/>
        <v>167</v>
      </c>
      <c r="R168" s="183">
        <f t="shared" si="43"/>
        <v>334</v>
      </c>
      <c r="S168" s="183">
        <f t="shared" si="44"/>
        <v>167</v>
      </c>
      <c r="T168" s="183">
        <f t="shared" si="45"/>
        <v>334</v>
      </c>
      <c r="U168" s="183">
        <f t="shared" si="46"/>
        <v>167</v>
      </c>
      <c r="V168" s="183">
        <f t="shared" si="47"/>
        <v>334</v>
      </c>
      <c r="W168" s="12">
        <f>K168*属性价值参考!C$5+升级!L168*属性价值参考!C$6+升级!M168*属性价值参考!C$7+升级!N168*属性价值参考!C$8+升级!S168*属性价值参考!C$9+升级!T168*属性价值参考!C$10+升级!U168*属性价值参考!C$11+升级!V168*属性价值参考!C$12</f>
        <v>195951.11999999994</v>
      </c>
    </row>
    <row r="169" spans="1:23" x14ac:dyDescent="0.3">
      <c r="A169" s="22"/>
      <c r="B169" s="22"/>
      <c r="C169" s="27">
        <v>168</v>
      </c>
      <c r="D169" s="27" t="str">
        <f t="shared" si="32"/>
        <v>0#1#23520|0#2#806|0#3#168|0#4#336|0#9#168|0#10#336|0#11#168|0#12#336</v>
      </c>
      <c r="E169" s="27" t="str">
        <f t="shared" si="33"/>
        <v>1#1#3920|1#2#40320|1#3#168|1#4#336|1#9#168|1#10#336|1#11#168|1#12#336</v>
      </c>
      <c r="F169" s="27" t="str">
        <f t="shared" si="34"/>
        <v>2#1#11760|2#2#20160|2#3#168|2#4#336|2#9#168|2#10#336|2#11#168|2#12#336</v>
      </c>
      <c r="G169" s="27" t="str">
        <f t="shared" si="39"/>
        <v>0#1#23520|0#2#806|0#3#168|0#4#336|0#9#168|0#10#336|0#11#168|0#12#336|1#1#3920|1#2#40320|1#3#168|1#4#336|1#9#168|1#10#336|1#11#168|1#12#336|2#1#11760|2#2#20160|2#3#168|2#4#336|2#9#168|2#10#336|2#11#168|2#12#336</v>
      </c>
      <c r="H169" s="22"/>
      <c r="I169" s="28">
        <v>797720000</v>
      </c>
      <c r="J169" s="198">
        <v>168</v>
      </c>
      <c r="K169" s="183">
        <f t="shared" si="35"/>
        <v>23520</v>
      </c>
      <c r="L169" s="183">
        <f t="shared" si="36"/>
        <v>40320</v>
      </c>
      <c r="M169" s="183">
        <f t="shared" si="37"/>
        <v>168</v>
      </c>
      <c r="N169" s="183">
        <f t="shared" si="38"/>
        <v>336</v>
      </c>
      <c r="O169" s="183">
        <f t="shared" si="40"/>
        <v>168</v>
      </c>
      <c r="P169" s="183">
        <f t="shared" si="41"/>
        <v>336</v>
      </c>
      <c r="Q169" s="183">
        <f t="shared" si="42"/>
        <v>168</v>
      </c>
      <c r="R169" s="183">
        <f t="shared" si="43"/>
        <v>336</v>
      </c>
      <c r="S169" s="183">
        <f t="shared" si="44"/>
        <v>168</v>
      </c>
      <c r="T169" s="183">
        <f t="shared" si="45"/>
        <v>336</v>
      </c>
      <c r="U169" s="183">
        <f t="shared" si="46"/>
        <v>168</v>
      </c>
      <c r="V169" s="183">
        <f t="shared" si="47"/>
        <v>336</v>
      </c>
      <c r="W169" s="12">
        <f>K169*属性价值参考!C$5+升级!L169*属性价值参考!C$6+升级!M169*属性价值参考!C$7+升级!N169*属性价值参考!C$8+升级!S169*属性价值参考!C$9+升级!T169*属性价值参考!C$10+升级!U169*属性价值参考!C$11+升级!V169*属性价值参考!C$12</f>
        <v>197124.48000000004</v>
      </c>
    </row>
    <row r="170" spans="1:23" x14ac:dyDescent="0.3">
      <c r="A170" s="22"/>
      <c r="B170" s="22"/>
      <c r="C170" s="24">
        <v>169</v>
      </c>
      <c r="D170" s="27" t="str">
        <f t="shared" si="32"/>
        <v>0#1#23660|0#2#811|0#3#169|0#4#338|0#9#169|0#10#338|0#11#169|0#12#338</v>
      </c>
      <c r="E170" s="27" t="str">
        <f t="shared" si="33"/>
        <v>1#1#3943|1#2#40560|1#3#169|1#4#338|1#9#169|1#10#338|1#11#169|1#12#338</v>
      </c>
      <c r="F170" s="27" t="str">
        <f t="shared" si="34"/>
        <v>2#1#11830|2#2#20280|2#3#169|2#4#338|2#9#169|2#10#338|2#11#169|2#12#338</v>
      </c>
      <c r="G170" s="27" t="str">
        <f t="shared" si="39"/>
        <v>0#1#23660|0#2#811|0#3#169|0#4#338|0#9#169|0#10#338|0#11#169|0#12#338|1#1#3943|1#2#40560|1#3#169|1#4#338|1#9#169|1#10#338|1#11#169|1#12#338|2#1#11830|2#2#20280|2#3#169|2#4#338|2#9#169|2#10#338|2#11#169|2#12#338</v>
      </c>
      <c r="H170" s="22"/>
      <c r="I170" s="25">
        <v>845360000</v>
      </c>
      <c r="J170" s="197">
        <v>169</v>
      </c>
      <c r="K170" s="183">
        <f t="shared" si="35"/>
        <v>23660</v>
      </c>
      <c r="L170" s="183">
        <f t="shared" si="36"/>
        <v>40560</v>
      </c>
      <c r="M170" s="183">
        <f t="shared" si="37"/>
        <v>169</v>
      </c>
      <c r="N170" s="183">
        <f t="shared" si="38"/>
        <v>338</v>
      </c>
      <c r="O170" s="183">
        <f t="shared" si="40"/>
        <v>169</v>
      </c>
      <c r="P170" s="183">
        <f t="shared" si="41"/>
        <v>338</v>
      </c>
      <c r="Q170" s="183">
        <f t="shared" si="42"/>
        <v>169</v>
      </c>
      <c r="R170" s="183">
        <f t="shared" si="43"/>
        <v>338</v>
      </c>
      <c r="S170" s="183">
        <f t="shared" si="44"/>
        <v>169</v>
      </c>
      <c r="T170" s="183">
        <f t="shared" si="45"/>
        <v>338</v>
      </c>
      <c r="U170" s="183">
        <f t="shared" si="46"/>
        <v>169</v>
      </c>
      <c r="V170" s="183">
        <f t="shared" si="47"/>
        <v>338</v>
      </c>
      <c r="W170" s="12">
        <f>K170*属性价值参考!C$5+升级!L170*属性价值参考!C$6+升级!M170*属性价值参考!C$7+升级!N170*属性价值参考!C$8+升级!S170*属性价值参考!C$9+升级!T170*属性价值参考!C$10+升级!U170*属性价值参考!C$11+升级!V170*属性价值参考!C$12</f>
        <v>198297.83999999997</v>
      </c>
    </row>
    <row r="171" spans="1:23" x14ac:dyDescent="0.3">
      <c r="A171" s="22"/>
      <c r="B171" s="22"/>
      <c r="C171" s="27">
        <v>170</v>
      </c>
      <c r="D171" s="27" t="str">
        <f t="shared" si="32"/>
        <v>0#1#23800|0#2#816|0#3#170|0#4#340|0#9#170|0#10#340|0#11#170|0#12#340</v>
      </c>
      <c r="E171" s="27" t="str">
        <f t="shared" si="33"/>
        <v>1#1#3966|1#2#40800|1#3#170|1#4#340|1#9#170|1#10#340|1#11#170|1#12#340</v>
      </c>
      <c r="F171" s="27" t="str">
        <f t="shared" si="34"/>
        <v>2#1#11900|2#2#20400|2#3#170|2#4#340|2#9#170|2#10#340|2#11#170|2#12#340</v>
      </c>
      <c r="G171" s="27" t="str">
        <f t="shared" si="39"/>
        <v>0#1#23800|0#2#816|0#3#170|0#4#340|0#9#170|0#10#340|0#11#170|0#12#340|1#1#3966|1#2#40800|1#3#170|1#4#340|1#9#170|1#10#340|1#11#170|1#12#340|2#1#11900|2#2#20400|2#3#170|2#4#340|2#9#170|2#10#340|2#11#170|2#12#340</v>
      </c>
      <c r="H171" s="22"/>
      <c r="I171" s="28">
        <v>900000000</v>
      </c>
      <c r="J171" s="198">
        <v>170</v>
      </c>
      <c r="K171" s="183">
        <f t="shared" si="35"/>
        <v>23800</v>
      </c>
      <c r="L171" s="183">
        <f t="shared" si="36"/>
        <v>40800</v>
      </c>
      <c r="M171" s="183">
        <f t="shared" si="37"/>
        <v>170</v>
      </c>
      <c r="N171" s="183">
        <f t="shared" si="38"/>
        <v>340</v>
      </c>
      <c r="O171" s="183">
        <f t="shared" si="40"/>
        <v>170</v>
      </c>
      <c r="P171" s="183">
        <f t="shared" si="41"/>
        <v>340</v>
      </c>
      <c r="Q171" s="183">
        <f t="shared" si="42"/>
        <v>170</v>
      </c>
      <c r="R171" s="183">
        <f t="shared" si="43"/>
        <v>340</v>
      </c>
      <c r="S171" s="183">
        <f t="shared" si="44"/>
        <v>170</v>
      </c>
      <c r="T171" s="183">
        <f t="shared" si="45"/>
        <v>340</v>
      </c>
      <c r="U171" s="183">
        <f t="shared" si="46"/>
        <v>170</v>
      </c>
      <c r="V171" s="183">
        <f t="shared" si="47"/>
        <v>340</v>
      </c>
      <c r="W171" s="12">
        <f>K171*属性价值参考!C$5+升级!L171*属性价值参考!C$6+升级!M171*属性价值参考!C$7+升级!N171*属性价值参考!C$8+升级!S171*属性价值参考!C$9+升级!T171*属性价值参考!C$10+升级!U171*属性价值参考!C$11+升级!V171*属性价值参考!C$12</f>
        <v>199471.2</v>
      </c>
    </row>
    <row r="172" spans="1:23" x14ac:dyDescent="0.3">
      <c r="A172" s="22"/>
      <c r="B172" s="22"/>
      <c r="C172" s="24">
        <v>171</v>
      </c>
      <c r="D172" s="27" t="str">
        <f t="shared" si="32"/>
        <v>0#1#23940|0#2#820|0#3#171|0#4#342|0#9#171|0#10#342|0#11#171|0#12#342</v>
      </c>
      <c r="E172" s="27" t="str">
        <f t="shared" si="33"/>
        <v>1#1#3990|1#2#41040|1#3#171|1#4#342|1#9#171|1#10#342|1#11#171|1#12#342</v>
      </c>
      <c r="F172" s="27" t="str">
        <f t="shared" si="34"/>
        <v>2#1#11970|2#2#20520|2#3#171|2#4#342|2#9#171|2#10#342|2#11#171|2#12#342</v>
      </c>
      <c r="G172" s="27" t="str">
        <f t="shared" si="39"/>
        <v>0#1#23940|0#2#820|0#3#171|0#4#342|0#9#171|0#10#342|0#11#171|0#12#342|1#1#3990|1#2#41040|1#3#171|1#4#342|1#9#171|1#10#342|1#11#171|1#12#342|2#1#11970|2#2#20520|2#3#171|2#4#342|2#9#171|2#10#342|2#11#171|2#12#342</v>
      </c>
      <c r="H172" s="22"/>
      <c r="I172" s="25">
        <v>954640000</v>
      </c>
      <c r="J172" s="197">
        <v>171</v>
      </c>
      <c r="K172" s="183">
        <f t="shared" si="35"/>
        <v>23940</v>
      </c>
      <c r="L172" s="183">
        <f t="shared" si="36"/>
        <v>41040</v>
      </c>
      <c r="M172" s="183">
        <f t="shared" si="37"/>
        <v>171</v>
      </c>
      <c r="N172" s="183">
        <f t="shared" si="38"/>
        <v>342</v>
      </c>
      <c r="O172" s="183">
        <f t="shared" si="40"/>
        <v>171</v>
      </c>
      <c r="P172" s="183">
        <f t="shared" si="41"/>
        <v>342</v>
      </c>
      <c r="Q172" s="183">
        <f t="shared" si="42"/>
        <v>171</v>
      </c>
      <c r="R172" s="183">
        <f t="shared" si="43"/>
        <v>342</v>
      </c>
      <c r="S172" s="183">
        <f t="shared" si="44"/>
        <v>171</v>
      </c>
      <c r="T172" s="183">
        <f t="shared" si="45"/>
        <v>342</v>
      </c>
      <c r="U172" s="183">
        <f t="shared" si="46"/>
        <v>171</v>
      </c>
      <c r="V172" s="183">
        <f t="shared" si="47"/>
        <v>342</v>
      </c>
      <c r="W172" s="12">
        <f>K172*属性价值参考!C$5+升级!L172*属性价值参考!C$6+升级!M172*属性价值参考!C$7+升级!N172*属性价值参考!C$8+升级!S172*属性价值参考!C$9+升级!T172*属性价值参考!C$10+升级!U172*属性价值参考!C$11+升级!V172*属性价值参考!C$12</f>
        <v>200644.56000000003</v>
      </c>
    </row>
    <row r="173" spans="1:23" x14ac:dyDescent="0.3">
      <c r="A173" s="22"/>
      <c r="B173" s="22"/>
      <c r="C173" s="27">
        <v>172</v>
      </c>
      <c r="D173" s="27" t="str">
        <f t="shared" si="32"/>
        <v>0#1#24080|0#2#825|0#3#172|0#4#344|0#9#172|0#10#344|0#11#172|0#12#344</v>
      </c>
      <c r="E173" s="27" t="str">
        <f t="shared" si="33"/>
        <v>1#1#4013|1#2#41280|1#3#172|1#4#344|1#9#172|1#10#344|1#11#172|1#12#344</v>
      </c>
      <c r="F173" s="27" t="str">
        <f t="shared" si="34"/>
        <v>2#1#12040|2#2#20640|2#3#172|2#4#344|2#9#172|2#10#344|2#11#172|2#12#344</v>
      </c>
      <c r="G173" s="27" t="str">
        <f t="shared" si="39"/>
        <v>0#1#24080|0#2#825|0#3#172|0#4#344|0#9#172|0#10#344|0#11#172|0#12#344|1#1#4013|1#2#41280|1#3#172|1#4#344|1#9#172|1#10#344|1#11#172|1#12#344|2#1#12040|2#2#20640|2#3#172|2#4#344|2#9#172|2#10#344|2#11#172|2#12#344</v>
      </c>
      <c r="H173" s="22"/>
      <c r="I173" s="28">
        <v>1009280000</v>
      </c>
      <c r="J173" s="198">
        <v>172</v>
      </c>
      <c r="K173" s="183">
        <f t="shared" si="35"/>
        <v>24080</v>
      </c>
      <c r="L173" s="183">
        <f t="shared" si="36"/>
        <v>41280</v>
      </c>
      <c r="M173" s="183">
        <f t="shared" si="37"/>
        <v>172</v>
      </c>
      <c r="N173" s="183">
        <f t="shared" si="38"/>
        <v>344</v>
      </c>
      <c r="O173" s="183">
        <f t="shared" si="40"/>
        <v>172</v>
      </c>
      <c r="P173" s="183">
        <f t="shared" si="41"/>
        <v>344</v>
      </c>
      <c r="Q173" s="183">
        <f t="shared" si="42"/>
        <v>172</v>
      </c>
      <c r="R173" s="183">
        <f t="shared" si="43"/>
        <v>344</v>
      </c>
      <c r="S173" s="183">
        <f t="shared" si="44"/>
        <v>172</v>
      </c>
      <c r="T173" s="183">
        <f t="shared" si="45"/>
        <v>344</v>
      </c>
      <c r="U173" s="183">
        <f t="shared" si="46"/>
        <v>172</v>
      </c>
      <c r="V173" s="183">
        <f t="shared" si="47"/>
        <v>344</v>
      </c>
      <c r="W173" s="12">
        <f>K173*属性价值参考!C$5+升级!L173*属性价值参考!C$6+升级!M173*属性价值参考!C$7+升级!N173*属性价值参考!C$8+升级!S173*属性价值参考!C$9+升级!T173*属性价值参考!C$10+升级!U173*属性价值参考!C$11+升级!V173*属性价值参考!C$12</f>
        <v>201817.91999999995</v>
      </c>
    </row>
    <row r="174" spans="1:23" x14ac:dyDescent="0.3">
      <c r="A174" s="22"/>
      <c r="B174" s="22"/>
      <c r="C174" s="24">
        <v>173</v>
      </c>
      <c r="D174" s="27" t="str">
        <f t="shared" si="32"/>
        <v>0#1#24220|0#2#830|0#3#173|0#4#346|0#9#173|0#10#346|0#11#173|0#12#346</v>
      </c>
      <c r="E174" s="27" t="str">
        <f t="shared" si="33"/>
        <v>1#1#4036|1#2#41520|1#3#173|1#4#346|1#9#173|1#10#346|1#11#173|1#12#346</v>
      </c>
      <c r="F174" s="27" t="str">
        <f t="shared" si="34"/>
        <v>2#1#12110|2#2#20760|2#3#173|2#4#346|2#9#173|2#10#346|2#11#173|2#12#346</v>
      </c>
      <c r="G174" s="27" t="str">
        <f t="shared" si="39"/>
        <v>0#1#24220|0#2#830|0#3#173|0#4#346|0#9#173|0#10#346|0#11#173|0#12#346|1#1#4036|1#2#41520|1#3#173|1#4#346|1#9#173|1#10#346|1#11#173|1#12#346|2#1#12110|2#2#20760|2#3#173|2#4#346|2#9#173|2#10#346|2#11#173|2#12#346</v>
      </c>
      <c r="H174" s="22"/>
      <c r="I174" s="25">
        <v>1063920000</v>
      </c>
      <c r="J174" s="197">
        <v>173</v>
      </c>
      <c r="K174" s="183">
        <f t="shared" si="35"/>
        <v>24220</v>
      </c>
      <c r="L174" s="183">
        <f t="shared" si="36"/>
        <v>41520</v>
      </c>
      <c r="M174" s="183">
        <f t="shared" si="37"/>
        <v>173</v>
      </c>
      <c r="N174" s="183">
        <f t="shared" si="38"/>
        <v>346</v>
      </c>
      <c r="O174" s="183">
        <f t="shared" si="40"/>
        <v>173</v>
      </c>
      <c r="P174" s="183">
        <f t="shared" si="41"/>
        <v>346</v>
      </c>
      <c r="Q174" s="183">
        <f t="shared" si="42"/>
        <v>173</v>
      </c>
      <c r="R174" s="183">
        <f t="shared" si="43"/>
        <v>346</v>
      </c>
      <c r="S174" s="183">
        <f t="shared" si="44"/>
        <v>173</v>
      </c>
      <c r="T174" s="183">
        <f t="shared" si="45"/>
        <v>346</v>
      </c>
      <c r="U174" s="183">
        <f t="shared" si="46"/>
        <v>173</v>
      </c>
      <c r="V174" s="183">
        <f t="shared" si="47"/>
        <v>346</v>
      </c>
      <c r="W174" s="12">
        <f>K174*属性价值参考!C$5+升级!L174*属性价值参考!C$6+升级!M174*属性价值参考!C$7+升级!N174*属性价值参考!C$8+升级!S174*属性价值参考!C$9+升级!T174*属性价值参考!C$10+升级!U174*属性价值参考!C$11+升级!V174*属性价值参考!C$12</f>
        <v>202991.28000000006</v>
      </c>
    </row>
    <row r="175" spans="1:23" x14ac:dyDescent="0.3">
      <c r="A175" s="22"/>
      <c r="B175" s="22"/>
      <c r="C175" s="27">
        <v>174</v>
      </c>
      <c r="D175" s="27" t="str">
        <f t="shared" si="32"/>
        <v>0#1#24360|0#2#835|0#3#174|0#4#348|0#9#174|0#10#348|0#11#174|0#12#348</v>
      </c>
      <c r="E175" s="27" t="str">
        <f t="shared" si="33"/>
        <v>1#1#4060|1#2#41760|1#3#174|1#4#348|1#9#174|1#10#348|1#11#174|1#12#348</v>
      </c>
      <c r="F175" s="27" t="str">
        <f t="shared" si="34"/>
        <v>2#1#12180|2#2#20880|2#3#174|2#4#348|2#9#174|2#10#348|2#11#174|2#12#348</v>
      </c>
      <c r="G175" s="27" t="str">
        <f t="shared" si="39"/>
        <v>0#1#24360|0#2#835|0#3#174|0#4#348|0#9#174|0#10#348|0#11#174|0#12#348|1#1#4060|1#2#41760|1#3#174|1#4#348|1#9#174|1#10#348|1#11#174|1#12#348|2#1#12180|2#2#20880|2#3#174|2#4#348|2#9#174|2#10#348|2#11#174|2#12#348</v>
      </c>
      <c r="H175" s="22"/>
      <c r="I175" s="28">
        <v>1118560000</v>
      </c>
      <c r="J175" s="198">
        <v>174</v>
      </c>
      <c r="K175" s="183">
        <f t="shared" si="35"/>
        <v>24360</v>
      </c>
      <c r="L175" s="183">
        <f t="shared" si="36"/>
        <v>41760</v>
      </c>
      <c r="M175" s="183">
        <f t="shared" si="37"/>
        <v>174</v>
      </c>
      <c r="N175" s="183">
        <f t="shared" si="38"/>
        <v>348</v>
      </c>
      <c r="O175" s="183">
        <f t="shared" si="40"/>
        <v>174</v>
      </c>
      <c r="P175" s="183">
        <f t="shared" si="41"/>
        <v>348</v>
      </c>
      <c r="Q175" s="183">
        <f t="shared" si="42"/>
        <v>174</v>
      </c>
      <c r="R175" s="183">
        <f t="shared" si="43"/>
        <v>348</v>
      </c>
      <c r="S175" s="183">
        <f t="shared" si="44"/>
        <v>174</v>
      </c>
      <c r="T175" s="183">
        <f t="shared" si="45"/>
        <v>348</v>
      </c>
      <c r="U175" s="183">
        <f t="shared" si="46"/>
        <v>174</v>
      </c>
      <c r="V175" s="183">
        <f t="shared" si="47"/>
        <v>348</v>
      </c>
      <c r="W175" s="12">
        <f>K175*属性价值参考!C$5+升级!L175*属性价值参考!C$6+升级!M175*属性价值参考!C$7+升级!N175*属性价值参考!C$8+升级!S175*属性价值参考!C$9+升级!T175*属性价值参考!C$10+升级!U175*属性价值参考!C$11+升级!V175*属性价值参考!C$12</f>
        <v>204164.63999999998</v>
      </c>
    </row>
    <row r="176" spans="1:23" x14ac:dyDescent="0.3">
      <c r="A176" s="22"/>
      <c r="B176" s="22"/>
      <c r="C176" s="24">
        <v>175</v>
      </c>
      <c r="D176" s="27" t="str">
        <f t="shared" si="32"/>
        <v>0#1#24500|0#2#840|0#3#175|0#4#350|0#9#175|0#10#350|0#11#175|0#12#350</v>
      </c>
      <c r="E176" s="27" t="str">
        <f t="shared" si="33"/>
        <v>1#1#4083|1#2#42000|1#3#175|1#4#350|1#9#175|1#10#350|1#11#175|1#12#350</v>
      </c>
      <c r="F176" s="27" t="str">
        <f t="shared" si="34"/>
        <v>2#1#12250|2#2#21000|2#3#175|2#4#350|2#9#175|2#10#350|2#11#175|2#12#350</v>
      </c>
      <c r="G176" s="27" t="str">
        <f t="shared" si="39"/>
        <v>0#1#24500|0#2#840|0#3#175|0#4#350|0#9#175|0#10#350|0#11#175|0#12#350|1#1#4083|1#2#42000|1#3#175|1#4#350|1#9#175|1#10#350|1#11#175|1#12#350|2#1#12250|2#2#21000|2#3#175|2#4#350|2#9#175|2#10#350|2#11#175|2#12#350</v>
      </c>
      <c r="H176" s="22"/>
      <c r="I176" s="25">
        <v>1183200000</v>
      </c>
      <c r="J176" s="197">
        <v>175</v>
      </c>
      <c r="K176" s="183">
        <f t="shared" si="35"/>
        <v>24500</v>
      </c>
      <c r="L176" s="183">
        <f t="shared" si="36"/>
        <v>42000</v>
      </c>
      <c r="M176" s="183">
        <f t="shared" si="37"/>
        <v>175</v>
      </c>
      <c r="N176" s="183">
        <f t="shared" si="38"/>
        <v>350</v>
      </c>
      <c r="O176" s="183">
        <f t="shared" si="40"/>
        <v>175</v>
      </c>
      <c r="P176" s="183">
        <f t="shared" si="41"/>
        <v>350</v>
      </c>
      <c r="Q176" s="183">
        <f t="shared" si="42"/>
        <v>175</v>
      </c>
      <c r="R176" s="183">
        <f t="shared" si="43"/>
        <v>350</v>
      </c>
      <c r="S176" s="183">
        <f t="shared" si="44"/>
        <v>175</v>
      </c>
      <c r="T176" s="183">
        <f t="shared" si="45"/>
        <v>350</v>
      </c>
      <c r="U176" s="183">
        <f t="shared" si="46"/>
        <v>175</v>
      </c>
      <c r="V176" s="183">
        <f t="shared" si="47"/>
        <v>350</v>
      </c>
      <c r="W176" s="12">
        <f>K176*属性价值参考!C$5+升级!L176*属性价值参考!C$6+升级!M176*属性价值参考!C$7+升级!N176*属性价值参考!C$8+升级!S176*属性价值参考!C$9+升级!T176*属性价值参考!C$10+升级!U176*属性价值参考!C$11+升级!V176*属性价值参考!C$12</f>
        <v>205338</v>
      </c>
    </row>
    <row r="177" spans="1:23" x14ac:dyDescent="0.3">
      <c r="A177" s="22"/>
      <c r="B177" s="22"/>
      <c r="C177" s="27">
        <v>176</v>
      </c>
      <c r="D177" s="27" t="str">
        <f t="shared" si="32"/>
        <v>0#1#24640|0#2#844|0#3#176|0#4#352|0#9#176|0#10#352|0#11#176|0#12#352</v>
      </c>
      <c r="E177" s="27" t="str">
        <f t="shared" si="33"/>
        <v>1#1#4106|1#2#42240|1#3#176|1#4#352|1#9#176|1#10#352|1#11#176|1#12#352</v>
      </c>
      <c r="F177" s="27" t="str">
        <f t="shared" si="34"/>
        <v>2#1#12320|2#2#21120|2#3#176|2#4#352|2#9#176|2#10#352|2#11#176|2#12#352</v>
      </c>
      <c r="G177" s="27" t="str">
        <f t="shared" si="39"/>
        <v>0#1#24640|0#2#844|0#3#176|0#4#352|0#9#176|0#10#352|0#11#176|0#12#352|1#1#4106|1#2#42240|1#3#176|1#4#352|1#9#176|1#10#352|1#11#176|1#12#352|2#1#12320|2#2#21120|2#3#176|2#4#352|2#9#176|2#10#352|2#11#176|2#12#352</v>
      </c>
      <c r="H177" s="22"/>
      <c r="I177" s="28">
        <v>1247840000</v>
      </c>
      <c r="J177" s="198">
        <v>176</v>
      </c>
      <c r="K177" s="183">
        <f t="shared" si="35"/>
        <v>24640</v>
      </c>
      <c r="L177" s="183">
        <f t="shared" si="36"/>
        <v>42240</v>
      </c>
      <c r="M177" s="183">
        <f t="shared" si="37"/>
        <v>176</v>
      </c>
      <c r="N177" s="183">
        <f t="shared" si="38"/>
        <v>352</v>
      </c>
      <c r="O177" s="183">
        <f t="shared" si="40"/>
        <v>176</v>
      </c>
      <c r="P177" s="183">
        <f t="shared" si="41"/>
        <v>352</v>
      </c>
      <c r="Q177" s="183">
        <f t="shared" si="42"/>
        <v>176</v>
      </c>
      <c r="R177" s="183">
        <f t="shared" si="43"/>
        <v>352</v>
      </c>
      <c r="S177" s="183">
        <f t="shared" si="44"/>
        <v>176</v>
      </c>
      <c r="T177" s="183">
        <f t="shared" si="45"/>
        <v>352</v>
      </c>
      <c r="U177" s="183">
        <f t="shared" si="46"/>
        <v>176</v>
      </c>
      <c r="V177" s="183">
        <f t="shared" si="47"/>
        <v>352</v>
      </c>
      <c r="W177" s="12">
        <f>K177*属性价值参考!C$5+升级!L177*属性价值参考!C$6+升级!M177*属性价值参考!C$7+升级!N177*属性价值参考!C$8+升级!S177*属性价值参考!C$9+升级!T177*属性价值参考!C$10+升级!U177*属性价值参考!C$11+升级!V177*属性价值参考!C$12</f>
        <v>206511.36000000002</v>
      </c>
    </row>
    <row r="178" spans="1:23" x14ac:dyDescent="0.3">
      <c r="A178" s="22"/>
      <c r="B178" s="22"/>
      <c r="C178" s="24">
        <v>177</v>
      </c>
      <c r="D178" s="27" t="str">
        <f t="shared" si="32"/>
        <v>0#1#24780|0#2#849|0#3#177|0#4#354|0#9#177|0#10#354|0#11#177|0#12#354</v>
      </c>
      <c r="E178" s="27" t="str">
        <f t="shared" si="33"/>
        <v>1#1#4130|1#2#42480|1#3#177|1#4#354|1#9#177|1#10#354|1#11#177|1#12#354</v>
      </c>
      <c r="F178" s="27" t="str">
        <f t="shared" si="34"/>
        <v>2#1#12390|2#2#21240|2#3#177|2#4#354|2#9#177|2#10#354|2#11#177|2#12#354</v>
      </c>
      <c r="G178" s="27" t="str">
        <f t="shared" si="39"/>
        <v>0#1#24780|0#2#849|0#3#177|0#4#354|0#9#177|0#10#354|0#11#177|0#12#354|1#1#4130|1#2#42480|1#3#177|1#4#354|1#9#177|1#10#354|1#11#177|1#12#354|2#1#12390|2#2#21240|2#3#177|2#4#354|2#9#177|2#10#354|2#11#177|2#12#354</v>
      </c>
      <c r="H178" s="22"/>
      <c r="I178" s="25">
        <v>1312480000</v>
      </c>
      <c r="J178" s="197">
        <v>177</v>
      </c>
      <c r="K178" s="183">
        <f t="shared" si="35"/>
        <v>24780</v>
      </c>
      <c r="L178" s="183">
        <f t="shared" si="36"/>
        <v>42480</v>
      </c>
      <c r="M178" s="183">
        <f t="shared" si="37"/>
        <v>177</v>
      </c>
      <c r="N178" s="183">
        <f t="shared" si="38"/>
        <v>354</v>
      </c>
      <c r="O178" s="183">
        <f t="shared" si="40"/>
        <v>177</v>
      </c>
      <c r="P178" s="183">
        <f t="shared" si="41"/>
        <v>354</v>
      </c>
      <c r="Q178" s="183">
        <f t="shared" si="42"/>
        <v>177</v>
      </c>
      <c r="R178" s="183">
        <f t="shared" si="43"/>
        <v>354</v>
      </c>
      <c r="S178" s="183">
        <f t="shared" si="44"/>
        <v>177</v>
      </c>
      <c r="T178" s="183">
        <f t="shared" si="45"/>
        <v>354</v>
      </c>
      <c r="U178" s="183">
        <f t="shared" si="46"/>
        <v>177</v>
      </c>
      <c r="V178" s="183">
        <f t="shared" si="47"/>
        <v>354</v>
      </c>
      <c r="W178" s="12">
        <f>K178*属性价值参考!C$5+升级!L178*属性价值参考!C$6+升级!M178*属性价值参考!C$7+升级!N178*属性价值参考!C$8+升级!S178*属性价值参考!C$9+升级!T178*属性价值参考!C$10+升级!U178*属性价值参考!C$11+升级!V178*属性价值参考!C$12</f>
        <v>207684.71999999994</v>
      </c>
    </row>
    <row r="179" spans="1:23" x14ac:dyDescent="0.3">
      <c r="A179" s="22"/>
      <c r="B179" s="22"/>
      <c r="C179" s="27">
        <v>178</v>
      </c>
      <c r="D179" s="27" t="str">
        <f t="shared" si="32"/>
        <v>0#1#24920|0#2#854|0#3#178|0#4#356|0#9#178|0#10#356|0#11#178|0#12#356</v>
      </c>
      <c r="E179" s="27" t="str">
        <f t="shared" si="33"/>
        <v>1#1#4153|1#2#42720|1#3#178|1#4#356|1#9#178|1#10#356|1#11#178|1#12#356</v>
      </c>
      <c r="F179" s="27" t="str">
        <f t="shared" si="34"/>
        <v>2#1#12460|2#2#21360|2#3#178|2#4#356|2#9#178|2#10#356|2#11#178|2#12#356</v>
      </c>
      <c r="G179" s="27" t="str">
        <f t="shared" si="39"/>
        <v>0#1#24920|0#2#854|0#3#178|0#4#356|0#9#178|0#10#356|0#11#178|0#12#356|1#1#4153|1#2#42720|1#3#178|1#4#356|1#9#178|1#10#356|1#11#178|1#12#356|2#1#12460|2#2#21360|2#3#178|2#4#356|2#9#178|2#10#356|2#11#178|2#12#356</v>
      </c>
      <c r="H179" s="22"/>
      <c r="I179" s="28">
        <v>1377120000</v>
      </c>
      <c r="J179" s="198">
        <v>178</v>
      </c>
      <c r="K179" s="183">
        <f t="shared" si="35"/>
        <v>24920</v>
      </c>
      <c r="L179" s="183">
        <f t="shared" si="36"/>
        <v>42720</v>
      </c>
      <c r="M179" s="183">
        <f t="shared" si="37"/>
        <v>178</v>
      </c>
      <c r="N179" s="183">
        <f t="shared" si="38"/>
        <v>356</v>
      </c>
      <c r="O179" s="183">
        <f t="shared" si="40"/>
        <v>178</v>
      </c>
      <c r="P179" s="183">
        <f t="shared" si="41"/>
        <v>356</v>
      </c>
      <c r="Q179" s="183">
        <f t="shared" si="42"/>
        <v>178</v>
      </c>
      <c r="R179" s="183">
        <f t="shared" si="43"/>
        <v>356</v>
      </c>
      <c r="S179" s="183">
        <f t="shared" si="44"/>
        <v>178</v>
      </c>
      <c r="T179" s="183">
        <f t="shared" si="45"/>
        <v>356</v>
      </c>
      <c r="U179" s="183">
        <f t="shared" si="46"/>
        <v>178</v>
      </c>
      <c r="V179" s="183">
        <f t="shared" si="47"/>
        <v>356</v>
      </c>
      <c r="W179" s="12">
        <f>K179*属性价值参考!C$5+升级!L179*属性价值参考!C$6+升级!M179*属性价值参考!C$7+升级!N179*属性价值参考!C$8+升级!S179*属性价值参考!C$9+升级!T179*属性价值参考!C$10+升级!U179*属性价值参考!C$11+升级!V179*属性价值参考!C$12</f>
        <v>208858.08000000005</v>
      </c>
    </row>
    <row r="180" spans="1:23" x14ac:dyDescent="0.3">
      <c r="A180" s="22"/>
      <c r="B180" s="22"/>
      <c r="C180" s="24">
        <v>179</v>
      </c>
      <c r="D180" s="27" t="str">
        <f t="shared" si="32"/>
        <v>0#1#25060|0#2#859|0#3#179|0#4#358|0#9#179|0#10#358|0#11#179|0#12#358</v>
      </c>
      <c r="E180" s="27" t="str">
        <f t="shared" si="33"/>
        <v>1#1#4176|1#2#42960|1#3#179|1#4#358|1#9#179|1#10#358|1#11#179|1#12#358</v>
      </c>
      <c r="F180" s="27" t="str">
        <f t="shared" si="34"/>
        <v>2#1#12530|2#2#21480|2#3#179|2#4#358|2#9#179|2#10#358|2#11#179|2#12#358</v>
      </c>
      <c r="G180" s="27" t="str">
        <f t="shared" si="39"/>
        <v>0#1#25060|0#2#859|0#3#179|0#4#358|0#9#179|0#10#358|0#11#179|0#12#358|1#1#4176|1#2#42960|1#3#179|1#4#358|1#9#179|1#10#358|1#11#179|1#12#358|2#1#12530|2#2#21480|2#3#179|2#4#358|2#9#179|2#10#358|2#11#179|2#12#358</v>
      </c>
      <c r="H180" s="22"/>
      <c r="I180" s="25">
        <v>1441760000</v>
      </c>
      <c r="J180" s="197">
        <v>179</v>
      </c>
      <c r="K180" s="183">
        <f t="shared" si="35"/>
        <v>25060</v>
      </c>
      <c r="L180" s="183">
        <f t="shared" si="36"/>
        <v>42960</v>
      </c>
      <c r="M180" s="183">
        <f t="shared" si="37"/>
        <v>179</v>
      </c>
      <c r="N180" s="183">
        <f t="shared" si="38"/>
        <v>358</v>
      </c>
      <c r="O180" s="183">
        <f t="shared" si="40"/>
        <v>179</v>
      </c>
      <c r="P180" s="183">
        <f t="shared" si="41"/>
        <v>358</v>
      </c>
      <c r="Q180" s="183">
        <f t="shared" si="42"/>
        <v>179</v>
      </c>
      <c r="R180" s="183">
        <f t="shared" si="43"/>
        <v>358</v>
      </c>
      <c r="S180" s="183">
        <f t="shared" si="44"/>
        <v>179</v>
      </c>
      <c r="T180" s="183">
        <f t="shared" si="45"/>
        <v>358</v>
      </c>
      <c r="U180" s="183">
        <f t="shared" si="46"/>
        <v>179</v>
      </c>
      <c r="V180" s="183">
        <f t="shared" si="47"/>
        <v>358</v>
      </c>
      <c r="W180" s="12">
        <f>K180*属性价值参考!C$5+升级!L180*属性价值参考!C$6+升级!M180*属性价值参考!C$7+升级!N180*属性价值参考!C$8+升级!S180*属性价值参考!C$9+升级!T180*属性价值参考!C$10+升级!U180*属性价值参考!C$11+升级!V180*属性价值参考!C$12</f>
        <v>210031.43999999997</v>
      </c>
    </row>
    <row r="181" spans="1:23" x14ac:dyDescent="0.3">
      <c r="A181" s="22"/>
      <c r="B181" s="22"/>
      <c r="C181" s="27">
        <v>180</v>
      </c>
      <c r="D181" s="27" t="str">
        <f t="shared" si="32"/>
        <v>0#1#25200|0#2#864|0#3#180|0#4#360|0#9#180|0#10#360|0#11#180|0#12#360</v>
      </c>
      <c r="E181" s="27" t="str">
        <f t="shared" si="33"/>
        <v>1#1#4200|1#2#43200|1#3#180|1#4#360|1#9#180|1#10#360|1#11#180|1#12#360</v>
      </c>
      <c r="F181" s="27" t="str">
        <f t="shared" si="34"/>
        <v>2#1#12600|2#2#21600|2#3#180|2#4#360|2#9#180|2#10#360|2#11#180|2#12#360</v>
      </c>
      <c r="G181" s="27" t="str">
        <f t="shared" si="39"/>
        <v>0#1#25200|0#2#864|0#3#180|0#4#360|0#9#180|0#10#360|0#11#180|0#12#360|1#1#4200|1#2#43200|1#3#180|1#4#360|1#9#180|1#10#360|1#11#180|1#12#360|2#1#12600|2#2#21600|2#3#180|2#4#360|2#9#180|2#10#360|2#11#180|2#12#360</v>
      </c>
      <c r="H181" s="22"/>
      <c r="I181" s="28">
        <v>1556400000</v>
      </c>
      <c r="J181" s="198">
        <v>180</v>
      </c>
      <c r="K181" s="183">
        <f t="shared" si="35"/>
        <v>25200</v>
      </c>
      <c r="L181" s="183">
        <f t="shared" si="36"/>
        <v>43200</v>
      </c>
      <c r="M181" s="183">
        <f t="shared" si="37"/>
        <v>180</v>
      </c>
      <c r="N181" s="183">
        <f t="shared" si="38"/>
        <v>360</v>
      </c>
      <c r="O181" s="183">
        <f t="shared" si="40"/>
        <v>180</v>
      </c>
      <c r="P181" s="183">
        <f t="shared" si="41"/>
        <v>360</v>
      </c>
      <c r="Q181" s="183">
        <f t="shared" si="42"/>
        <v>180</v>
      </c>
      <c r="R181" s="183">
        <f t="shared" si="43"/>
        <v>360</v>
      </c>
      <c r="S181" s="183">
        <f t="shared" si="44"/>
        <v>180</v>
      </c>
      <c r="T181" s="183">
        <f t="shared" si="45"/>
        <v>360</v>
      </c>
      <c r="U181" s="183">
        <f t="shared" si="46"/>
        <v>180</v>
      </c>
      <c r="V181" s="183">
        <f t="shared" si="47"/>
        <v>360</v>
      </c>
      <c r="W181" s="12">
        <f>K181*属性价值参考!C$5+升级!L181*属性价值参考!C$6+升级!M181*属性价值参考!C$7+升级!N181*属性价值参考!C$8+升级!S181*属性价值参考!C$9+升级!T181*属性价值参考!C$10+升级!U181*属性价值参考!C$11+升级!V181*属性价值参考!C$12</f>
        <v>211204.8</v>
      </c>
    </row>
    <row r="182" spans="1:23" x14ac:dyDescent="0.3">
      <c r="A182" s="22"/>
      <c r="B182" s="22"/>
      <c r="C182" s="24">
        <v>181</v>
      </c>
      <c r="D182" s="27" t="str">
        <f t="shared" si="32"/>
        <v>0#1#25340|0#2#868|0#3#181|0#4#362|0#9#181|0#10#362|0#11#181|0#12#362</v>
      </c>
      <c r="E182" s="27" t="str">
        <f t="shared" si="33"/>
        <v>1#1#4223|1#2#43440|1#3#181|1#4#362|1#9#181|1#10#362|1#11#181|1#12#362</v>
      </c>
      <c r="F182" s="27" t="str">
        <f t="shared" si="34"/>
        <v>2#1#12670|2#2#21720|2#3#181|2#4#362|2#9#181|2#10#362|2#11#181|2#12#362</v>
      </c>
      <c r="G182" s="27" t="str">
        <f t="shared" si="39"/>
        <v>0#1#25340|0#2#868|0#3#181|0#4#362|0#9#181|0#10#362|0#11#181|0#12#362|1#1#4223|1#2#43440|1#3#181|1#4#362|1#9#181|1#10#362|1#11#181|1#12#362|2#1#12670|2#2#21720|2#3#181|2#4#362|2#9#181|2#10#362|2#11#181|2#12#362</v>
      </c>
      <c r="H182" s="22"/>
      <c r="I182" s="25">
        <v>1671040000</v>
      </c>
      <c r="J182" s="197">
        <v>181</v>
      </c>
      <c r="K182" s="183">
        <f t="shared" si="35"/>
        <v>25340</v>
      </c>
      <c r="L182" s="183">
        <f t="shared" si="36"/>
        <v>43440</v>
      </c>
      <c r="M182" s="183">
        <f t="shared" si="37"/>
        <v>181</v>
      </c>
      <c r="N182" s="183">
        <f t="shared" si="38"/>
        <v>362</v>
      </c>
      <c r="O182" s="183">
        <f t="shared" si="40"/>
        <v>181</v>
      </c>
      <c r="P182" s="183">
        <f t="shared" si="41"/>
        <v>362</v>
      </c>
      <c r="Q182" s="183">
        <f t="shared" si="42"/>
        <v>181</v>
      </c>
      <c r="R182" s="183">
        <f t="shared" si="43"/>
        <v>362</v>
      </c>
      <c r="S182" s="183">
        <f t="shared" si="44"/>
        <v>181</v>
      </c>
      <c r="T182" s="183">
        <f t="shared" si="45"/>
        <v>362</v>
      </c>
      <c r="U182" s="183">
        <f t="shared" si="46"/>
        <v>181</v>
      </c>
      <c r="V182" s="183">
        <f t="shared" si="47"/>
        <v>362</v>
      </c>
      <c r="W182" s="12">
        <f>K182*属性价值参考!C$5+升级!L182*属性价值参考!C$6+升级!M182*属性价值参考!C$7+升级!N182*属性价值参考!C$8+升级!S182*属性价值参考!C$9+升级!T182*属性价值参考!C$10+升级!U182*属性价值参考!C$11+升级!V182*属性价值参考!C$12</f>
        <v>212378.16</v>
      </c>
    </row>
    <row r="183" spans="1:23" x14ac:dyDescent="0.3">
      <c r="A183" s="22"/>
      <c r="B183" s="22"/>
      <c r="C183" s="27">
        <v>182</v>
      </c>
      <c r="D183" s="27" t="str">
        <f t="shared" si="32"/>
        <v>0#1#25480|0#2#873|0#3#182|0#4#364|0#9#182|0#10#364|0#11#182|0#12#364</v>
      </c>
      <c r="E183" s="27" t="str">
        <f t="shared" si="33"/>
        <v>1#1#4246|1#2#43680|1#3#182|1#4#364|1#9#182|1#10#364|1#11#182|1#12#364</v>
      </c>
      <c r="F183" s="27" t="str">
        <f t="shared" si="34"/>
        <v>2#1#12740|2#2#21840|2#3#182|2#4#364|2#9#182|2#10#364|2#11#182|2#12#364</v>
      </c>
      <c r="G183" s="27" t="str">
        <f t="shared" si="39"/>
        <v>0#1#25480|0#2#873|0#3#182|0#4#364|0#9#182|0#10#364|0#11#182|0#12#364|1#1#4246|1#2#43680|1#3#182|1#4#364|1#9#182|1#10#364|1#11#182|1#12#364|2#1#12740|2#2#21840|2#3#182|2#4#364|2#9#182|2#10#364|2#11#182|2#12#364</v>
      </c>
      <c r="H183" s="22"/>
      <c r="I183" s="28">
        <v>1785680000</v>
      </c>
      <c r="J183" s="198">
        <v>182</v>
      </c>
      <c r="K183" s="183">
        <f t="shared" si="35"/>
        <v>25480</v>
      </c>
      <c r="L183" s="183">
        <f t="shared" si="36"/>
        <v>43680</v>
      </c>
      <c r="M183" s="183">
        <f t="shared" si="37"/>
        <v>182</v>
      </c>
      <c r="N183" s="183">
        <f t="shared" si="38"/>
        <v>364</v>
      </c>
      <c r="O183" s="183">
        <f t="shared" si="40"/>
        <v>182</v>
      </c>
      <c r="P183" s="183">
        <f t="shared" si="41"/>
        <v>364</v>
      </c>
      <c r="Q183" s="183">
        <f t="shared" si="42"/>
        <v>182</v>
      </c>
      <c r="R183" s="183">
        <f t="shared" si="43"/>
        <v>364</v>
      </c>
      <c r="S183" s="183">
        <f t="shared" si="44"/>
        <v>182</v>
      </c>
      <c r="T183" s="183">
        <f t="shared" si="45"/>
        <v>364</v>
      </c>
      <c r="U183" s="183">
        <f t="shared" si="46"/>
        <v>182</v>
      </c>
      <c r="V183" s="183">
        <f t="shared" si="47"/>
        <v>364</v>
      </c>
      <c r="W183" s="12">
        <f>K183*属性价值参考!C$5+升级!L183*属性价值参考!C$6+升级!M183*属性价值参考!C$7+升级!N183*属性价值参考!C$8+升级!S183*属性价值参考!C$9+升级!T183*属性价值参考!C$10+升级!U183*属性价值参考!C$11+升级!V183*属性价值参考!C$12</f>
        <v>213551.51999999993</v>
      </c>
    </row>
    <row r="184" spans="1:23" x14ac:dyDescent="0.3">
      <c r="A184" s="22"/>
      <c r="B184" s="22"/>
      <c r="C184" s="24">
        <v>183</v>
      </c>
      <c r="D184" s="27" t="str">
        <f t="shared" si="32"/>
        <v>0#1#25620|0#2#878|0#3#183|0#4#366|0#9#183|0#10#366|0#11#183|0#12#366</v>
      </c>
      <c r="E184" s="27" t="str">
        <f t="shared" si="33"/>
        <v>1#1#4270|1#2#43920|1#3#183|1#4#366|1#9#183|1#10#366|1#11#183|1#12#366</v>
      </c>
      <c r="F184" s="27" t="str">
        <f t="shared" si="34"/>
        <v>2#1#12810|2#2#21960|2#3#183|2#4#366|2#9#183|2#10#366|2#11#183|2#12#366</v>
      </c>
      <c r="G184" s="27" t="str">
        <f t="shared" si="39"/>
        <v>0#1#25620|0#2#878|0#3#183|0#4#366|0#9#183|0#10#366|0#11#183|0#12#366|1#1#4270|1#2#43920|1#3#183|1#4#366|1#9#183|1#10#366|1#11#183|1#12#366|2#1#12810|2#2#21960|2#3#183|2#4#366|2#9#183|2#10#366|2#11#183|2#12#366</v>
      </c>
      <c r="H184" s="22"/>
      <c r="I184" s="25">
        <v>1900320000</v>
      </c>
      <c r="J184" s="197">
        <v>183</v>
      </c>
      <c r="K184" s="183">
        <f t="shared" si="35"/>
        <v>25620</v>
      </c>
      <c r="L184" s="183">
        <f t="shared" si="36"/>
        <v>43920</v>
      </c>
      <c r="M184" s="183">
        <f t="shared" si="37"/>
        <v>183</v>
      </c>
      <c r="N184" s="183">
        <f t="shared" si="38"/>
        <v>366</v>
      </c>
      <c r="O184" s="183">
        <f t="shared" si="40"/>
        <v>183</v>
      </c>
      <c r="P184" s="183">
        <f t="shared" si="41"/>
        <v>366</v>
      </c>
      <c r="Q184" s="183">
        <f t="shared" si="42"/>
        <v>183</v>
      </c>
      <c r="R184" s="183">
        <f t="shared" si="43"/>
        <v>366</v>
      </c>
      <c r="S184" s="183">
        <f t="shared" si="44"/>
        <v>183</v>
      </c>
      <c r="T184" s="183">
        <f t="shared" si="45"/>
        <v>366</v>
      </c>
      <c r="U184" s="183">
        <f t="shared" si="46"/>
        <v>183</v>
      </c>
      <c r="V184" s="183">
        <f t="shared" si="47"/>
        <v>366</v>
      </c>
      <c r="W184" s="12">
        <f>K184*属性价值参考!C$5+升级!L184*属性价值参考!C$6+升级!M184*属性价值参考!C$7+升级!N184*属性价值参考!C$8+升级!S184*属性价值参考!C$9+升级!T184*属性价值参考!C$10+升级!U184*属性价值参考!C$11+升级!V184*属性价值参考!C$12</f>
        <v>214724.88000000003</v>
      </c>
    </row>
    <row r="185" spans="1:23" x14ac:dyDescent="0.3">
      <c r="A185" s="22"/>
      <c r="B185" s="22"/>
      <c r="C185" s="27">
        <v>184</v>
      </c>
      <c r="D185" s="27" t="str">
        <f t="shared" si="32"/>
        <v>0#1#25760|0#2#883|0#3#184|0#4#368|0#9#184|0#10#368|0#11#184|0#12#368</v>
      </c>
      <c r="E185" s="27" t="str">
        <f t="shared" si="33"/>
        <v>1#1#4293|1#2#44160|1#3#184|1#4#368|1#9#184|1#10#368|1#11#184|1#12#368</v>
      </c>
      <c r="F185" s="27" t="str">
        <f t="shared" si="34"/>
        <v>2#1#12880|2#2#22080|2#3#184|2#4#368|2#9#184|2#10#368|2#11#184|2#12#368</v>
      </c>
      <c r="G185" s="27" t="str">
        <f t="shared" si="39"/>
        <v>0#1#25760|0#2#883|0#3#184|0#4#368|0#9#184|0#10#368|0#11#184|0#12#368|1#1#4293|1#2#44160|1#3#184|1#4#368|1#9#184|1#10#368|1#11#184|1#12#368|2#1#12880|2#2#22080|2#3#184|2#4#368|2#9#184|2#10#368|2#11#184|2#12#368</v>
      </c>
      <c r="H185" s="22"/>
      <c r="I185" s="28">
        <v>2014960000</v>
      </c>
      <c r="J185" s="198">
        <v>184</v>
      </c>
      <c r="K185" s="183">
        <f t="shared" si="35"/>
        <v>25760</v>
      </c>
      <c r="L185" s="183">
        <f t="shared" si="36"/>
        <v>44160</v>
      </c>
      <c r="M185" s="183">
        <f t="shared" si="37"/>
        <v>184</v>
      </c>
      <c r="N185" s="183">
        <f t="shared" si="38"/>
        <v>368</v>
      </c>
      <c r="O185" s="183">
        <f t="shared" si="40"/>
        <v>184</v>
      </c>
      <c r="P185" s="183">
        <f t="shared" si="41"/>
        <v>368</v>
      </c>
      <c r="Q185" s="183">
        <f t="shared" si="42"/>
        <v>184</v>
      </c>
      <c r="R185" s="183">
        <f t="shared" si="43"/>
        <v>368</v>
      </c>
      <c r="S185" s="183">
        <f t="shared" si="44"/>
        <v>184</v>
      </c>
      <c r="T185" s="183">
        <f t="shared" si="45"/>
        <v>368</v>
      </c>
      <c r="U185" s="183">
        <f t="shared" si="46"/>
        <v>184</v>
      </c>
      <c r="V185" s="183">
        <f t="shared" si="47"/>
        <v>368</v>
      </c>
      <c r="W185" s="12">
        <f>K185*属性价值参考!C$5+升级!L185*属性价值参考!C$6+升级!M185*属性价值参考!C$7+升级!N185*属性价值参考!C$8+升级!S185*属性价值参考!C$9+升级!T185*属性价值参考!C$10+升级!U185*属性价值参考!C$11+升级!V185*属性价值参考!C$12</f>
        <v>215898.23999999996</v>
      </c>
    </row>
    <row r="186" spans="1:23" x14ac:dyDescent="0.3">
      <c r="A186" s="22"/>
      <c r="B186" s="22"/>
      <c r="C186" s="24">
        <v>185</v>
      </c>
      <c r="D186" s="27" t="str">
        <f t="shared" si="32"/>
        <v>0#1#25900|0#2#888|0#3#185|0#4#370|0#9#185|0#10#370|0#11#185|0#12#370</v>
      </c>
      <c r="E186" s="27" t="str">
        <f t="shared" si="33"/>
        <v>1#1#4316|1#2#44400|1#3#185|1#4#370|1#9#185|1#10#370|1#11#185|1#12#370</v>
      </c>
      <c r="F186" s="27" t="str">
        <f t="shared" si="34"/>
        <v>2#1#12950|2#2#22200|2#3#185|2#4#370|2#9#185|2#10#370|2#11#185|2#12#370</v>
      </c>
      <c r="G186" s="27" t="str">
        <f t="shared" si="39"/>
        <v>0#1#25900|0#2#888|0#3#185|0#4#370|0#9#185|0#10#370|0#11#185|0#12#370|1#1#4316|1#2#44400|1#3#185|1#4#370|1#9#185|1#10#370|1#11#185|1#12#370|2#1#12950|2#2#22200|2#3#185|2#4#370|2#9#185|2#10#370|2#11#185|2#12#370</v>
      </c>
      <c r="H186" s="22"/>
      <c r="I186" s="25">
        <v>2169600000</v>
      </c>
      <c r="J186" s="197">
        <v>185</v>
      </c>
      <c r="K186" s="183">
        <f t="shared" si="35"/>
        <v>25900</v>
      </c>
      <c r="L186" s="183">
        <f t="shared" si="36"/>
        <v>44400</v>
      </c>
      <c r="M186" s="183">
        <f t="shared" si="37"/>
        <v>185</v>
      </c>
      <c r="N186" s="183">
        <f t="shared" si="38"/>
        <v>370</v>
      </c>
      <c r="O186" s="183">
        <f t="shared" si="40"/>
        <v>185</v>
      </c>
      <c r="P186" s="183">
        <f t="shared" si="41"/>
        <v>370</v>
      </c>
      <c r="Q186" s="183">
        <f t="shared" si="42"/>
        <v>185</v>
      </c>
      <c r="R186" s="183">
        <f t="shared" si="43"/>
        <v>370</v>
      </c>
      <c r="S186" s="183">
        <f t="shared" si="44"/>
        <v>185</v>
      </c>
      <c r="T186" s="183">
        <f t="shared" si="45"/>
        <v>370</v>
      </c>
      <c r="U186" s="183">
        <f t="shared" si="46"/>
        <v>185</v>
      </c>
      <c r="V186" s="183">
        <f t="shared" si="47"/>
        <v>370</v>
      </c>
      <c r="W186" s="12">
        <f>K186*属性价值参考!C$5+升级!L186*属性价值参考!C$6+升级!M186*属性价值参考!C$7+升级!N186*属性价值参考!C$8+升级!S186*属性价值参考!C$9+升级!T186*属性价值参考!C$10+升级!U186*属性价值参考!C$11+升级!V186*属性价值参考!C$12</f>
        <v>217071.59999999998</v>
      </c>
    </row>
    <row r="187" spans="1:23" x14ac:dyDescent="0.3">
      <c r="A187" s="22"/>
      <c r="B187" s="22"/>
      <c r="C187" s="27">
        <v>186</v>
      </c>
      <c r="D187" s="27" t="str">
        <f t="shared" si="32"/>
        <v>0#1#26040|0#2#892|0#3#186|0#4#372|0#9#186|0#10#372|0#11#186|0#12#372</v>
      </c>
      <c r="E187" s="27" t="str">
        <f t="shared" si="33"/>
        <v>1#1#4340|1#2#44640|1#3#186|1#4#372|1#9#186|1#10#372|1#11#186|1#12#372</v>
      </c>
      <c r="F187" s="27" t="str">
        <f t="shared" si="34"/>
        <v>2#1#13020|2#2#22320|2#3#186|2#4#372|2#9#186|2#10#372|2#11#186|2#12#372</v>
      </c>
      <c r="G187" s="27" t="str">
        <f t="shared" si="39"/>
        <v>0#1#26040|0#2#892|0#3#186|0#4#372|0#9#186|0#10#372|0#11#186|0#12#372|1#1#4340|1#2#44640|1#3#186|1#4#372|1#9#186|1#10#372|1#11#186|1#12#372|2#1#13020|2#2#22320|2#3#186|2#4#372|2#9#186|2#10#372|2#11#186|2#12#372</v>
      </c>
      <c r="H187" s="22"/>
      <c r="I187" s="28">
        <v>2324240000</v>
      </c>
      <c r="J187" s="198">
        <v>186</v>
      </c>
      <c r="K187" s="183">
        <f t="shared" si="35"/>
        <v>26040</v>
      </c>
      <c r="L187" s="183">
        <f t="shared" si="36"/>
        <v>44640</v>
      </c>
      <c r="M187" s="183">
        <f t="shared" si="37"/>
        <v>186</v>
      </c>
      <c r="N187" s="183">
        <f t="shared" si="38"/>
        <v>372</v>
      </c>
      <c r="O187" s="183">
        <f t="shared" si="40"/>
        <v>186</v>
      </c>
      <c r="P187" s="183">
        <f t="shared" si="41"/>
        <v>372</v>
      </c>
      <c r="Q187" s="183">
        <f t="shared" si="42"/>
        <v>186</v>
      </c>
      <c r="R187" s="183">
        <f t="shared" si="43"/>
        <v>372</v>
      </c>
      <c r="S187" s="183">
        <f t="shared" si="44"/>
        <v>186</v>
      </c>
      <c r="T187" s="183">
        <f t="shared" si="45"/>
        <v>372</v>
      </c>
      <c r="U187" s="183">
        <f t="shared" si="46"/>
        <v>186</v>
      </c>
      <c r="V187" s="183">
        <f t="shared" si="47"/>
        <v>372</v>
      </c>
      <c r="W187" s="12">
        <f>K187*属性价值参考!C$5+升级!L187*属性价值参考!C$6+升级!M187*属性价值参考!C$7+升级!N187*属性价值参考!C$8+升级!S187*属性价值参考!C$9+升级!T187*属性价值参考!C$10+升级!U187*属性价值参考!C$11+升级!V187*属性价值参考!C$12</f>
        <v>218244.96000000002</v>
      </c>
    </row>
    <row r="188" spans="1:23" x14ac:dyDescent="0.3">
      <c r="A188" s="22"/>
      <c r="B188" s="22"/>
      <c r="C188" s="24">
        <v>187</v>
      </c>
      <c r="D188" s="27" t="str">
        <f t="shared" si="32"/>
        <v>0#1#26180|0#2#897|0#3#187|0#4#374|0#9#187|0#10#374|0#11#187|0#12#374</v>
      </c>
      <c r="E188" s="27" t="str">
        <f t="shared" si="33"/>
        <v>1#1#4363|1#2#44880|1#3#187|1#4#374|1#9#187|1#10#374|1#11#187|1#12#374</v>
      </c>
      <c r="F188" s="27" t="str">
        <f t="shared" si="34"/>
        <v>2#1#13090|2#2#22440|2#3#187|2#4#374|2#9#187|2#10#374|2#11#187|2#12#374</v>
      </c>
      <c r="G188" s="27" t="str">
        <f t="shared" si="39"/>
        <v>0#1#26180|0#2#897|0#3#187|0#4#374|0#9#187|0#10#374|0#11#187|0#12#374|1#1#4363|1#2#44880|1#3#187|1#4#374|1#9#187|1#10#374|1#11#187|1#12#374|2#1#13090|2#2#22440|2#3#187|2#4#374|2#9#187|2#10#374|2#11#187|2#12#374</v>
      </c>
      <c r="H188" s="22"/>
      <c r="I188" s="25">
        <v>2478880000</v>
      </c>
      <c r="J188" s="197">
        <v>187</v>
      </c>
      <c r="K188" s="183">
        <f t="shared" si="35"/>
        <v>26180</v>
      </c>
      <c r="L188" s="183">
        <f t="shared" si="36"/>
        <v>44880</v>
      </c>
      <c r="M188" s="183">
        <f t="shared" si="37"/>
        <v>187</v>
      </c>
      <c r="N188" s="183">
        <f t="shared" si="38"/>
        <v>374</v>
      </c>
      <c r="O188" s="183">
        <f t="shared" si="40"/>
        <v>187</v>
      </c>
      <c r="P188" s="183">
        <f t="shared" si="41"/>
        <v>374</v>
      </c>
      <c r="Q188" s="183">
        <f t="shared" si="42"/>
        <v>187</v>
      </c>
      <c r="R188" s="183">
        <f t="shared" si="43"/>
        <v>374</v>
      </c>
      <c r="S188" s="183">
        <f t="shared" si="44"/>
        <v>187</v>
      </c>
      <c r="T188" s="183">
        <f t="shared" si="45"/>
        <v>374</v>
      </c>
      <c r="U188" s="183">
        <f t="shared" si="46"/>
        <v>187</v>
      </c>
      <c r="V188" s="183">
        <f t="shared" si="47"/>
        <v>374</v>
      </c>
      <c r="W188" s="12">
        <f>K188*属性价值参考!C$5+升级!L188*属性价值参考!C$6+升级!M188*属性价值参考!C$7+升级!N188*属性价值参考!C$8+升级!S188*属性价值参考!C$9+升级!T188*属性价值参考!C$10+升级!U188*属性价值参考!C$11+升级!V188*属性价值参考!C$12</f>
        <v>219418.31999999995</v>
      </c>
    </row>
    <row r="189" spans="1:23" x14ac:dyDescent="0.3">
      <c r="A189" s="22"/>
      <c r="B189" s="22"/>
      <c r="C189" s="27">
        <v>188</v>
      </c>
      <c r="D189" s="27" t="str">
        <f t="shared" si="32"/>
        <v>0#1#26320|0#2#902|0#3#188|0#4#376|0#9#188|0#10#376|0#11#188|0#12#376</v>
      </c>
      <c r="E189" s="27" t="str">
        <f t="shared" si="33"/>
        <v>1#1#4386|1#2#45120|1#3#188|1#4#376|1#9#188|1#10#376|1#11#188|1#12#376</v>
      </c>
      <c r="F189" s="27" t="str">
        <f t="shared" si="34"/>
        <v>2#1#13160|2#2#22560|2#3#188|2#4#376|2#9#188|2#10#376|2#11#188|2#12#376</v>
      </c>
      <c r="G189" s="27" t="str">
        <f t="shared" si="39"/>
        <v>0#1#26320|0#2#902|0#3#188|0#4#376|0#9#188|0#10#376|0#11#188|0#12#376|1#1#4386|1#2#45120|1#3#188|1#4#376|1#9#188|1#10#376|1#11#188|1#12#376|2#1#13160|2#2#22560|2#3#188|2#4#376|2#9#188|2#10#376|2#11#188|2#12#376</v>
      </c>
      <c r="H189" s="22"/>
      <c r="I189" s="28">
        <v>2633520000</v>
      </c>
      <c r="J189" s="198">
        <v>188</v>
      </c>
      <c r="K189" s="183">
        <f t="shared" si="35"/>
        <v>26320</v>
      </c>
      <c r="L189" s="183">
        <f t="shared" si="36"/>
        <v>45120</v>
      </c>
      <c r="M189" s="183">
        <f t="shared" si="37"/>
        <v>188</v>
      </c>
      <c r="N189" s="183">
        <f t="shared" si="38"/>
        <v>376</v>
      </c>
      <c r="O189" s="183">
        <f t="shared" si="40"/>
        <v>188</v>
      </c>
      <c r="P189" s="183">
        <f t="shared" si="41"/>
        <v>376</v>
      </c>
      <c r="Q189" s="183">
        <f t="shared" si="42"/>
        <v>188</v>
      </c>
      <c r="R189" s="183">
        <f t="shared" si="43"/>
        <v>376</v>
      </c>
      <c r="S189" s="183">
        <f t="shared" si="44"/>
        <v>188</v>
      </c>
      <c r="T189" s="183">
        <f t="shared" si="45"/>
        <v>376</v>
      </c>
      <c r="U189" s="183">
        <f t="shared" si="46"/>
        <v>188</v>
      </c>
      <c r="V189" s="183">
        <f t="shared" si="47"/>
        <v>376</v>
      </c>
      <c r="W189" s="12">
        <f>K189*属性价值参考!C$5+升级!L189*属性价值参考!C$6+升级!M189*属性价值参考!C$7+升级!N189*属性价值参考!C$8+升级!S189*属性价值参考!C$9+升级!T189*属性价值参考!C$10+升级!U189*属性价值参考!C$11+升级!V189*属性价值参考!C$12</f>
        <v>220591.68000000002</v>
      </c>
    </row>
    <row r="190" spans="1:23" x14ac:dyDescent="0.3">
      <c r="A190" s="22"/>
      <c r="B190" s="22"/>
      <c r="C190" s="24">
        <v>189</v>
      </c>
      <c r="D190" s="27" t="str">
        <f t="shared" si="32"/>
        <v>0#1#26460|0#2#907|0#3#189|0#4#378|0#9#189|0#10#378|0#11#189|0#12#378</v>
      </c>
      <c r="E190" s="27" t="str">
        <f t="shared" si="33"/>
        <v>1#1#4410|1#2#45360|1#3#189|1#4#378|1#9#189|1#10#378|1#11#189|1#12#378</v>
      </c>
      <c r="F190" s="27" t="str">
        <f t="shared" si="34"/>
        <v>2#1#13230|2#2#22680|2#3#189|2#4#378|2#9#189|2#10#378|2#11#189|2#12#378</v>
      </c>
      <c r="G190" s="27" t="str">
        <f t="shared" si="39"/>
        <v>0#1#26460|0#2#907|0#3#189|0#4#378|0#9#189|0#10#378|0#11#189|0#12#378|1#1#4410|1#2#45360|1#3#189|1#4#378|1#9#189|1#10#378|1#11#189|1#12#378|2#1#13230|2#2#22680|2#3#189|2#4#378|2#9#189|2#10#378|2#11#189|2#12#378</v>
      </c>
      <c r="H190" s="22"/>
      <c r="I190" s="25">
        <v>2788160000</v>
      </c>
      <c r="J190" s="197">
        <v>189</v>
      </c>
      <c r="K190" s="183">
        <f t="shared" si="35"/>
        <v>26460</v>
      </c>
      <c r="L190" s="183">
        <f t="shared" si="36"/>
        <v>45360</v>
      </c>
      <c r="M190" s="183">
        <f t="shared" si="37"/>
        <v>189</v>
      </c>
      <c r="N190" s="183">
        <f t="shared" si="38"/>
        <v>378</v>
      </c>
      <c r="O190" s="183">
        <f t="shared" si="40"/>
        <v>189</v>
      </c>
      <c r="P190" s="183">
        <f t="shared" si="41"/>
        <v>378</v>
      </c>
      <c r="Q190" s="183">
        <f t="shared" si="42"/>
        <v>189</v>
      </c>
      <c r="R190" s="183">
        <f t="shared" si="43"/>
        <v>378</v>
      </c>
      <c r="S190" s="183">
        <f t="shared" si="44"/>
        <v>189</v>
      </c>
      <c r="T190" s="183">
        <f t="shared" si="45"/>
        <v>378</v>
      </c>
      <c r="U190" s="183">
        <f t="shared" si="46"/>
        <v>189</v>
      </c>
      <c r="V190" s="183">
        <f t="shared" si="47"/>
        <v>378</v>
      </c>
      <c r="W190" s="12">
        <f>K190*属性价值参考!C$5+升级!L190*属性价值参考!C$6+升级!M190*属性价值参考!C$7+升级!N190*属性价值参考!C$8+升级!S190*属性价值参考!C$9+升级!T190*属性价值参考!C$10+升级!U190*属性价值参考!C$11+升级!V190*属性价值参考!C$12</f>
        <v>221765.03999999995</v>
      </c>
    </row>
    <row r="191" spans="1:23" x14ac:dyDescent="0.3">
      <c r="A191" s="22"/>
      <c r="B191" s="22"/>
      <c r="C191" s="27">
        <v>190</v>
      </c>
      <c r="D191" s="27" t="str">
        <f t="shared" si="32"/>
        <v>0#1#26600|0#2#912|0#3#190|0#4#380|0#9#190|0#10#380|0#11#190|0#12#380</v>
      </c>
      <c r="E191" s="27" t="str">
        <f t="shared" si="33"/>
        <v>1#1#4433|1#2#45600|1#3#190|1#4#380|1#9#190|1#10#380|1#11#190|1#12#380</v>
      </c>
      <c r="F191" s="27" t="str">
        <f t="shared" si="34"/>
        <v>2#1#13300|2#2#22800|2#3#190|2#4#380|2#9#190|2#10#380|2#11#190|2#12#380</v>
      </c>
      <c r="G191" s="27" t="str">
        <f t="shared" si="39"/>
        <v>0#1#26600|0#2#912|0#3#190|0#4#380|0#9#190|0#10#380|0#11#190|0#12#380|1#1#4433|1#2#45600|1#3#190|1#4#380|1#9#190|1#10#380|1#11#190|1#12#380|2#1#13300|2#2#22800|2#3#190|2#4#380|2#9#190|2#10#380|2#11#190|2#12#380</v>
      </c>
      <c r="H191" s="22"/>
      <c r="I191" s="28">
        <v>2952800000</v>
      </c>
      <c r="J191" s="198">
        <v>190</v>
      </c>
      <c r="K191" s="183">
        <f t="shared" si="35"/>
        <v>26600</v>
      </c>
      <c r="L191" s="183">
        <f t="shared" si="36"/>
        <v>45600</v>
      </c>
      <c r="M191" s="183">
        <f t="shared" si="37"/>
        <v>190</v>
      </c>
      <c r="N191" s="183">
        <f t="shared" si="38"/>
        <v>380</v>
      </c>
      <c r="O191" s="183">
        <f t="shared" si="40"/>
        <v>190</v>
      </c>
      <c r="P191" s="183">
        <f t="shared" si="41"/>
        <v>380</v>
      </c>
      <c r="Q191" s="183">
        <f t="shared" si="42"/>
        <v>190</v>
      </c>
      <c r="R191" s="183">
        <f t="shared" si="43"/>
        <v>380</v>
      </c>
      <c r="S191" s="183">
        <f t="shared" si="44"/>
        <v>190</v>
      </c>
      <c r="T191" s="183">
        <f t="shared" si="45"/>
        <v>380</v>
      </c>
      <c r="U191" s="183">
        <f t="shared" si="46"/>
        <v>190</v>
      </c>
      <c r="V191" s="183">
        <f t="shared" si="47"/>
        <v>380</v>
      </c>
      <c r="W191" s="12">
        <f>K191*属性价值参考!C$5+升级!L191*属性价值参考!C$6+升级!M191*属性价值参考!C$7+升级!N191*属性价值参考!C$8+升级!S191*属性价值参考!C$9+升级!T191*属性价值参考!C$10+升级!U191*属性价值参考!C$11+升级!V191*属性价值参考!C$12</f>
        <v>222938.39999999997</v>
      </c>
    </row>
    <row r="192" spans="1:23" x14ac:dyDescent="0.3">
      <c r="A192" s="22"/>
      <c r="B192" s="22"/>
      <c r="C192" s="24">
        <v>191</v>
      </c>
      <c r="D192" s="27" t="str">
        <f t="shared" si="32"/>
        <v>0#1#26740|0#2#916|0#3#191|0#4#382|0#9#191|0#10#382|0#11#191|0#12#382</v>
      </c>
      <c r="E192" s="27" t="str">
        <f t="shared" si="33"/>
        <v>1#1#4456|1#2#45840|1#3#191|1#4#382|1#9#191|1#10#382|1#11#191|1#12#382</v>
      </c>
      <c r="F192" s="27" t="str">
        <f t="shared" si="34"/>
        <v>2#1#13370|2#2#22920|2#3#191|2#4#382|2#9#191|2#10#382|2#11#191|2#12#382</v>
      </c>
      <c r="G192" s="27" t="str">
        <f t="shared" si="39"/>
        <v>0#1#26740|0#2#916|0#3#191|0#4#382|0#9#191|0#10#382|0#11#191|0#12#382|1#1#4456|1#2#45840|1#3#191|1#4#382|1#9#191|1#10#382|1#11#191|1#12#382|2#1#13370|2#2#22920|2#3#191|2#4#382|2#9#191|2#10#382|2#11#191|2#12#382</v>
      </c>
      <c r="H192" s="22"/>
      <c r="I192" s="25">
        <v>3117440000</v>
      </c>
      <c r="J192" s="197">
        <v>191</v>
      </c>
      <c r="K192" s="183">
        <f t="shared" si="35"/>
        <v>26740</v>
      </c>
      <c r="L192" s="183">
        <f t="shared" si="36"/>
        <v>45840</v>
      </c>
      <c r="M192" s="183">
        <f t="shared" si="37"/>
        <v>191</v>
      </c>
      <c r="N192" s="183">
        <f t="shared" si="38"/>
        <v>382</v>
      </c>
      <c r="O192" s="183">
        <f t="shared" si="40"/>
        <v>191</v>
      </c>
      <c r="P192" s="183">
        <f t="shared" si="41"/>
        <v>382</v>
      </c>
      <c r="Q192" s="183">
        <f t="shared" si="42"/>
        <v>191</v>
      </c>
      <c r="R192" s="183">
        <f t="shared" si="43"/>
        <v>382</v>
      </c>
      <c r="S192" s="183">
        <f t="shared" si="44"/>
        <v>191</v>
      </c>
      <c r="T192" s="183">
        <f t="shared" si="45"/>
        <v>382</v>
      </c>
      <c r="U192" s="183">
        <f t="shared" si="46"/>
        <v>191</v>
      </c>
      <c r="V192" s="183">
        <f t="shared" si="47"/>
        <v>382</v>
      </c>
      <c r="W192" s="12">
        <f>K192*属性价值参考!C$5+升级!L192*属性价值参考!C$6+升级!M192*属性价值参考!C$7+升级!N192*属性价值参考!C$8+升级!S192*属性价值参考!C$9+升级!T192*属性价值参考!C$10+升级!U192*属性价值参考!C$11+升级!V192*属性价值参考!C$12</f>
        <v>224111.76</v>
      </c>
    </row>
    <row r="193" spans="1:23" x14ac:dyDescent="0.3">
      <c r="A193" s="22"/>
      <c r="B193" s="22"/>
      <c r="C193" s="27">
        <v>192</v>
      </c>
      <c r="D193" s="27" t="str">
        <f t="shared" si="32"/>
        <v>0#1#26880|0#2#921|0#3#192|0#4#384|0#9#192|0#10#384|0#11#192|0#12#384</v>
      </c>
      <c r="E193" s="27" t="str">
        <f t="shared" si="33"/>
        <v>1#1#4480|1#2#46080|1#3#192|1#4#384|1#9#192|1#10#384|1#11#192|1#12#384</v>
      </c>
      <c r="F193" s="27" t="str">
        <f t="shared" si="34"/>
        <v>2#1#13440|2#2#23040|2#3#192|2#4#384|2#9#192|2#10#384|2#11#192|2#12#384</v>
      </c>
      <c r="G193" s="27" t="str">
        <f t="shared" si="39"/>
        <v>0#1#26880|0#2#921|0#3#192|0#4#384|0#9#192|0#10#384|0#11#192|0#12#384|1#1#4480|1#2#46080|1#3#192|1#4#384|1#9#192|1#10#384|1#11#192|1#12#384|2#1#13440|2#2#23040|2#3#192|2#4#384|2#9#192|2#10#384|2#11#192|2#12#384</v>
      </c>
      <c r="H193" s="22"/>
      <c r="I193" s="28">
        <v>3282080000</v>
      </c>
      <c r="J193" s="198">
        <v>192</v>
      </c>
      <c r="K193" s="183">
        <f t="shared" si="35"/>
        <v>26880</v>
      </c>
      <c r="L193" s="183">
        <f t="shared" si="36"/>
        <v>46080</v>
      </c>
      <c r="M193" s="183">
        <f t="shared" si="37"/>
        <v>192</v>
      </c>
      <c r="N193" s="183">
        <f t="shared" si="38"/>
        <v>384</v>
      </c>
      <c r="O193" s="183">
        <f t="shared" si="40"/>
        <v>192</v>
      </c>
      <c r="P193" s="183">
        <f t="shared" si="41"/>
        <v>384</v>
      </c>
      <c r="Q193" s="183">
        <f t="shared" si="42"/>
        <v>192</v>
      </c>
      <c r="R193" s="183">
        <f t="shared" si="43"/>
        <v>384</v>
      </c>
      <c r="S193" s="183">
        <f t="shared" si="44"/>
        <v>192</v>
      </c>
      <c r="T193" s="183">
        <f t="shared" si="45"/>
        <v>384</v>
      </c>
      <c r="U193" s="183">
        <f t="shared" si="46"/>
        <v>192</v>
      </c>
      <c r="V193" s="183">
        <f t="shared" si="47"/>
        <v>384</v>
      </c>
      <c r="W193" s="12">
        <f>K193*属性价值参考!C$5+升级!L193*属性价值参考!C$6+升级!M193*属性价值参考!C$7+升级!N193*属性价值参考!C$8+升级!S193*属性价值参考!C$9+升级!T193*属性价值参考!C$10+升级!U193*属性价值参考!C$11+升级!V193*属性价值参考!C$12</f>
        <v>225285.11999999994</v>
      </c>
    </row>
    <row r="194" spans="1:23" x14ac:dyDescent="0.3">
      <c r="A194" s="22"/>
      <c r="B194" s="22"/>
      <c r="C194" s="24">
        <v>193</v>
      </c>
      <c r="D194" s="27" t="str">
        <f t="shared" ref="D194:D257" si="48">"0#1#"&amp;INT(K194)&amp;"|"&amp;"0#2#"&amp;INT(0.02*L194)&amp;"|"&amp;"0#3#"&amp;INT(M194)&amp;"|"&amp;"0#4#"&amp;INT(N194)&amp;"|"&amp;"0#9#"&amp;INT(S194)&amp;"|"&amp;"0#10#"&amp;INT(T194)&amp;"|"&amp;"0#11#"&amp;INT(U194)&amp;"|"&amp;"0#12#"&amp;INT(V194)</f>
        <v>0#1#27020|0#2#926|0#3#193|0#4#386|0#9#193|0#10#386|0#11#193|0#12#386</v>
      </c>
      <c r="E194" s="27" t="str">
        <f t="shared" ref="E194:E257" si="49">"1#1#"&amp;INT(1/6*K194)&amp;"|"&amp;"1#2#"&amp;INT(L194)&amp;"|"&amp;"1#3#"&amp;INT(O194)&amp;"|"&amp;"1#4#"&amp;INT(P194)&amp;"|"&amp;"1#9#"&amp;INT(S194)&amp;"|"&amp;"1#10#"&amp;INT(T194)&amp;"|"&amp;"1#11#"&amp;INT(U194)&amp;"|"&amp;"1#12#"&amp;INT(V194)</f>
        <v>1#1#4503|1#2#46320|1#3#193|1#4#386|1#9#193|1#10#386|1#11#193|1#12#386</v>
      </c>
      <c r="F194" s="27" t="str">
        <f t="shared" ref="F194:F257" si="50">"2#1#"&amp;INT(1/2*K194)&amp;"|"&amp;"2#2#"&amp;INT(1/2*L194)&amp;"|"&amp;"2#3#"&amp;INT(Q194)&amp;"|"&amp;"2#4#"&amp;INT(R194)&amp;"|"&amp;"2#9#"&amp;INT(S194)&amp;"|"&amp;"2#10#"&amp;INT(T194)&amp;"|"&amp;"2#11#"&amp;INT(U194)&amp;"|"&amp;"2#12#"&amp;INT(V194)</f>
        <v>2#1#13510|2#2#23160|2#3#193|2#4#386|2#9#193|2#10#386|2#11#193|2#12#386</v>
      </c>
      <c r="G194" s="27" t="str">
        <f t="shared" si="39"/>
        <v>0#1#27020|0#2#926|0#3#193|0#4#386|0#9#193|0#10#386|0#11#193|0#12#386|1#1#4503|1#2#46320|1#3#193|1#4#386|1#9#193|1#10#386|1#11#193|1#12#386|2#1#13510|2#2#23160|2#3#193|2#4#386|2#9#193|2#10#386|2#11#193|2#12#386</v>
      </c>
      <c r="H194" s="22"/>
      <c r="I194" s="25">
        <v>3446720000</v>
      </c>
      <c r="J194" s="197">
        <v>193</v>
      </c>
      <c r="K194" s="183">
        <f t="shared" ref="K194:K242" si="51">INT(J194/250*K$251)</f>
        <v>27020</v>
      </c>
      <c r="L194" s="183">
        <f t="shared" ref="L194:L242" si="52">INT(J194/250*L$251)</f>
        <v>46320</v>
      </c>
      <c r="M194" s="183">
        <f t="shared" ref="M194:M242" si="53">INT(J194/250*M$251)</f>
        <v>193</v>
      </c>
      <c r="N194" s="183">
        <f t="shared" ref="N194:N242" si="54">INT(J194/250*N$251)</f>
        <v>386</v>
      </c>
      <c r="O194" s="183">
        <f t="shared" si="40"/>
        <v>193</v>
      </c>
      <c r="P194" s="183">
        <f t="shared" si="41"/>
        <v>386</v>
      </c>
      <c r="Q194" s="183">
        <f t="shared" si="42"/>
        <v>193</v>
      </c>
      <c r="R194" s="183">
        <f t="shared" si="43"/>
        <v>386</v>
      </c>
      <c r="S194" s="183">
        <f t="shared" si="44"/>
        <v>193</v>
      </c>
      <c r="T194" s="183">
        <f t="shared" si="45"/>
        <v>386</v>
      </c>
      <c r="U194" s="183">
        <f t="shared" si="46"/>
        <v>193</v>
      </c>
      <c r="V194" s="183">
        <f t="shared" si="47"/>
        <v>386</v>
      </c>
      <c r="W194" s="12">
        <f>K194*属性价值参考!C$5+升级!L194*属性价值参考!C$6+升级!M194*属性价值参考!C$7+升级!N194*属性价值参考!C$8+升级!S194*属性价值参考!C$9+升级!T194*属性价值参考!C$10+升级!U194*属性价值参考!C$11+升级!V194*属性价值参考!C$12</f>
        <v>226458.48000000004</v>
      </c>
    </row>
    <row r="195" spans="1:23" x14ac:dyDescent="0.3">
      <c r="A195" s="22"/>
      <c r="B195" s="22"/>
      <c r="C195" s="27">
        <v>194</v>
      </c>
      <c r="D195" s="27" t="str">
        <f t="shared" si="48"/>
        <v>0#1#27160|0#2#931|0#3#194|0#4#388|0#9#194|0#10#388|0#11#194|0#12#388</v>
      </c>
      <c r="E195" s="27" t="str">
        <f t="shared" si="49"/>
        <v>1#1#4526|1#2#46560|1#3#194|1#4#388|1#9#194|1#10#388|1#11#194|1#12#388</v>
      </c>
      <c r="F195" s="27" t="str">
        <f t="shared" si="50"/>
        <v>2#1#13580|2#2#23280|2#3#194|2#4#388|2#9#194|2#10#388|2#11#194|2#12#388</v>
      </c>
      <c r="G195" s="27" t="str">
        <f t="shared" ref="G195:G258" si="55">D195&amp;"|"&amp;E195&amp;"|"&amp;F195</f>
        <v>0#1#27160|0#2#931|0#3#194|0#4#388|0#9#194|0#10#388|0#11#194|0#12#388|1#1#4526|1#2#46560|1#3#194|1#4#388|1#9#194|1#10#388|1#11#194|1#12#388|2#1#13580|2#2#23280|2#3#194|2#4#388|2#9#194|2#10#388|2#11#194|2#12#388</v>
      </c>
      <c r="H195" s="22"/>
      <c r="I195" s="28">
        <v>3611360000</v>
      </c>
      <c r="J195" s="198">
        <v>194</v>
      </c>
      <c r="K195" s="183">
        <f t="shared" si="51"/>
        <v>27160</v>
      </c>
      <c r="L195" s="183">
        <f t="shared" si="52"/>
        <v>46560</v>
      </c>
      <c r="M195" s="183">
        <f t="shared" si="53"/>
        <v>194</v>
      </c>
      <c r="N195" s="183">
        <f t="shared" si="54"/>
        <v>388</v>
      </c>
      <c r="O195" s="183">
        <f t="shared" ref="O195:O242" si="56">INT(J195/250*O$251)</f>
        <v>194</v>
      </c>
      <c r="P195" s="183">
        <f t="shared" ref="P195:P242" si="57">INT(J195/250*P$251)</f>
        <v>388</v>
      </c>
      <c r="Q195" s="183">
        <f t="shared" ref="Q195:Q242" si="58">INT(J195/250*Q$251)</f>
        <v>194</v>
      </c>
      <c r="R195" s="183">
        <f t="shared" ref="R195:R242" si="59">INT(J195/250*R$251)</f>
        <v>388</v>
      </c>
      <c r="S195" s="183">
        <f t="shared" ref="S195:S242" si="60">INT(J195/250*S$251)</f>
        <v>194</v>
      </c>
      <c r="T195" s="183">
        <f t="shared" ref="T195:T242" si="61">INT(J195/250*T$251)</f>
        <v>388</v>
      </c>
      <c r="U195" s="183">
        <f t="shared" ref="U195:U242" si="62">INT(J195/250*U$251)</f>
        <v>194</v>
      </c>
      <c r="V195" s="183">
        <f t="shared" ref="V195:V242" si="63">INT(J195/250*V$251)</f>
        <v>388</v>
      </c>
      <c r="W195" s="12">
        <f>K195*属性价值参考!C$5+升级!L195*属性价值参考!C$6+升级!M195*属性价值参考!C$7+升级!N195*属性价值参考!C$8+升级!S195*属性价值参考!C$9+升级!T195*属性价值参考!C$10+升级!U195*属性价值参考!C$11+升级!V195*属性价值参考!C$12</f>
        <v>227631.83999999997</v>
      </c>
    </row>
    <row r="196" spans="1:23" x14ac:dyDescent="0.3">
      <c r="A196" s="22"/>
      <c r="B196" s="22"/>
      <c r="C196" s="24">
        <v>195</v>
      </c>
      <c r="D196" s="27" t="str">
        <f t="shared" si="48"/>
        <v>0#1#27300|0#2#936|0#3#195|0#4#390|0#9#195|0#10#390|0#11#195|0#12#390</v>
      </c>
      <c r="E196" s="27" t="str">
        <f t="shared" si="49"/>
        <v>1#1#4550|1#2#46800|1#3#195|1#4#390|1#9#195|1#10#390|1#11#195|1#12#390</v>
      </c>
      <c r="F196" s="27" t="str">
        <f t="shared" si="50"/>
        <v>2#1#13650|2#2#23400|2#3#195|2#4#390|2#9#195|2#10#390|2#11#195|2#12#390</v>
      </c>
      <c r="G196" s="27" t="str">
        <f t="shared" si="55"/>
        <v>0#1#27300|0#2#936|0#3#195|0#4#390|0#9#195|0#10#390|0#11#195|0#12#390|1#1#4550|1#2#46800|1#3#195|1#4#390|1#9#195|1#10#390|1#11#195|1#12#390|2#1#13650|2#2#23400|2#3#195|2#4#390|2#9#195|2#10#390|2#11#195|2#12#390</v>
      </c>
      <c r="H196" s="22"/>
      <c r="I196" s="25">
        <v>3780000000</v>
      </c>
      <c r="J196" s="197">
        <v>195</v>
      </c>
      <c r="K196" s="183">
        <f t="shared" si="51"/>
        <v>27300</v>
      </c>
      <c r="L196" s="183">
        <f t="shared" si="52"/>
        <v>46800</v>
      </c>
      <c r="M196" s="183">
        <f t="shared" si="53"/>
        <v>195</v>
      </c>
      <c r="N196" s="183">
        <f t="shared" si="54"/>
        <v>390</v>
      </c>
      <c r="O196" s="183">
        <f t="shared" si="56"/>
        <v>195</v>
      </c>
      <c r="P196" s="183">
        <f t="shared" si="57"/>
        <v>390</v>
      </c>
      <c r="Q196" s="183">
        <f t="shared" si="58"/>
        <v>195</v>
      </c>
      <c r="R196" s="183">
        <f t="shared" si="59"/>
        <v>390</v>
      </c>
      <c r="S196" s="183">
        <f t="shared" si="60"/>
        <v>195</v>
      </c>
      <c r="T196" s="183">
        <f t="shared" si="61"/>
        <v>390</v>
      </c>
      <c r="U196" s="183">
        <f t="shared" si="62"/>
        <v>195</v>
      </c>
      <c r="V196" s="183">
        <f t="shared" si="63"/>
        <v>390</v>
      </c>
      <c r="W196" s="12">
        <f>K196*属性价值参考!C$5+升级!L196*属性价值参考!C$6+升级!M196*属性价值参考!C$7+升级!N196*属性价值参考!C$8+升级!S196*属性价值参考!C$9+升级!T196*属性价值参考!C$10+升级!U196*属性价值参考!C$11+升级!V196*属性价值参考!C$12</f>
        <v>228805.19999999998</v>
      </c>
    </row>
    <row r="197" spans="1:23" x14ac:dyDescent="0.3">
      <c r="A197" s="22"/>
      <c r="B197" s="22"/>
      <c r="C197" s="27">
        <v>196</v>
      </c>
      <c r="D197" s="27" t="str">
        <f t="shared" si="48"/>
        <v>0#1#27440|0#2#940|0#3#196|0#4#392|0#9#196|0#10#392|0#11#196|0#12#392</v>
      </c>
      <c r="E197" s="27" t="str">
        <f t="shared" si="49"/>
        <v>1#1#4573|1#2#47040|1#3#196|1#4#392|1#9#196|1#10#392|1#11#196|1#12#392</v>
      </c>
      <c r="F197" s="27" t="str">
        <f t="shared" si="50"/>
        <v>2#1#13720|2#2#23520|2#3#196|2#4#392|2#9#196|2#10#392|2#11#196|2#12#392</v>
      </c>
      <c r="G197" s="27" t="str">
        <f t="shared" si="55"/>
        <v>0#1#27440|0#2#940|0#3#196|0#4#392|0#9#196|0#10#392|0#11#196|0#12#392|1#1#4573|1#2#47040|1#3#196|1#4#392|1#9#196|1#10#392|1#11#196|1#12#392|2#1#13720|2#2#23520|2#3#196|2#4#392|2#9#196|2#10#392|2#11#196|2#12#392</v>
      </c>
      <c r="H197" s="22"/>
      <c r="I197" s="28">
        <v>3918000000</v>
      </c>
      <c r="J197" s="198">
        <v>196</v>
      </c>
      <c r="K197" s="183">
        <f t="shared" si="51"/>
        <v>27440</v>
      </c>
      <c r="L197" s="183">
        <f t="shared" si="52"/>
        <v>47040</v>
      </c>
      <c r="M197" s="183">
        <f t="shared" si="53"/>
        <v>196</v>
      </c>
      <c r="N197" s="183">
        <f t="shared" si="54"/>
        <v>392</v>
      </c>
      <c r="O197" s="183">
        <f t="shared" si="56"/>
        <v>196</v>
      </c>
      <c r="P197" s="183">
        <f t="shared" si="57"/>
        <v>392</v>
      </c>
      <c r="Q197" s="183">
        <f t="shared" si="58"/>
        <v>196</v>
      </c>
      <c r="R197" s="183">
        <f t="shared" si="59"/>
        <v>392</v>
      </c>
      <c r="S197" s="183">
        <f t="shared" si="60"/>
        <v>196</v>
      </c>
      <c r="T197" s="183">
        <f t="shared" si="61"/>
        <v>392</v>
      </c>
      <c r="U197" s="183">
        <f t="shared" si="62"/>
        <v>196</v>
      </c>
      <c r="V197" s="183">
        <f t="shared" si="63"/>
        <v>392</v>
      </c>
      <c r="W197" s="12">
        <f>K197*属性价值参考!C$5+升级!L197*属性价值参考!C$6+升级!M197*属性价值参考!C$7+升级!N197*属性价值参考!C$8+升级!S197*属性价值参考!C$9+升级!T197*属性价值参考!C$10+升级!U197*属性价值参考!C$11+升级!V197*属性价值参考!C$12</f>
        <v>229978.56000000003</v>
      </c>
    </row>
    <row r="198" spans="1:23" x14ac:dyDescent="0.3">
      <c r="A198" s="22"/>
      <c r="B198" s="22"/>
      <c r="C198" s="24">
        <v>197</v>
      </c>
      <c r="D198" s="27" t="str">
        <f t="shared" si="48"/>
        <v>0#1#27580|0#2#945|0#3#197|0#4#394|0#9#197|0#10#394|0#11#197|0#12#394</v>
      </c>
      <c r="E198" s="27" t="str">
        <f t="shared" si="49"/>
        <v>1#1#4596|1#2#47280|1#3#197|1#4#394|1#9#197|1#10#394|1#11#197|1#12#394</v>
      </c>
      <c r="F198" s="27" t="str">
        <f t="shared" si="50"/>
        <v>2#1#13790|2#2#23640|2#3#197|2#4#394|2#9#197|2#10#394|2#11#197|2#12#394</v>
      </c>
      <c r="G198" s="27" t="str">
        <f t="shared" si="55"/>
        <v>0#1#27580|0#2#945|0#3#197|0#4#394|0#9#197|0#10#394|0#11#197|0#12#394|1#1#4596|1#2#47280|1#3#197|1#4#394|1#9#197|1#10#394|1#11#197|1#12#394|2#1#13790|2#2#23640|2#3#197|2#4#394|2#9#197|2#10#394|2#11#197|2#12#394</v>
      </c>
      <c r="H198" s="22"/>
      <c r="I198" s="25">
        <v>4056000000</v>
      </c>
      <c r="J198" s="197">
        <v>197</v>
      </c>
      <c r="K198" s="183">
        <f t="shared" si="51"/>
        <v>27580</v>
      </c>
      <c r="L198" s="183">
        <f t="shared" si="52"/>
        <v>47280</v>
      </c>
      <c r="M198" s="183">
        <f t="shared" si="53"/>
        <v>197</v>
      </c>
      <c r="N198" s="183">
        <f t="shared" si="54"/>
        <v>394</v>
      </c>
      <c r="O198" s="183">
        <f t="shared" si="56"/>
        <v>197</v>
      </c>
      <c r="P198" s="183">
        <f t="shared" si="57"/>
        <v>394</v>
      </c>
      <c r="Q198" s="183">
        <f t="shared" si="58"/>
        <v>197</v>
      </c>
      <c r="R198" s="183">
        <f t="shared" si="59"/>
        <v>394</v>
      </c>
      <c r="S198" s="183">
        <f t="shared" si="60"/>
        <v>197</v>
      </c>
      <c r="T198" s="183">
        <f t="shared" si="61"/>
        <v>394</v>
      </c>
      <c r="U198" s="183">
        <f t="shared" si="62"/>
        <v>197</v>
      </c>
      <c r="V198" s="183">
        <f t="shared" si="63"/>
        <v>394</v>
      </c>
      <c r="W198" s="12">
        <f>K198*属性价值参考!C$5+升级!L198*属性价值参考!C$6+升级!M198*属性价值参考!C$7+升级!N198*属性价值参考!C$8+升级!S198*属性价值参考!C$9+升级!T198*属性价值参考!C$10+升级!U198*属性价值参考!C$11+升级!V198*属性价值参考!C$12</f>
        <v>231151.91999999998</v>
      </c>
    </row>
    <row r="199" spans="1:23" x14ac:dyDescent="0.3">
      <c r="A199" s="22"/>
      <c r="B199" s="22"/>
      <c r="C199" s="27">
        <v>198</v>
      </c>
      <c r="D199" s="27" t="str">
        <f t="shared" si="48"/>
        <v>0#1#27720|0#2#950|0#3#198|0#4#396|0#9#198|0#10#396|0#11#198|0#12#396</v>
      </c>
      <c r="E199" s="27" t="str">
        <f t="shared" si="49"/>
        <v>1#1#4620|1#2#47520|1#3#198|1#4#396|1#9#198|1#10#396|1#11#198|1#12#396</v>
      </c>
      <c r="F199" s="27" t="str">
        <f t="shared" si="50"/>
        <v>2#1#13860|2#2#23760|2#3#198|2#4#396|2#9#198|2#10#396|2#11#198|2#12#396</v>
      </c>
      <c r="G199" s="27" t="str">
        <f t="shared" si="55"/>
        <v>0#1#27720|0#2#950|0#3#198|0#4#396|0#9#198|0#10#396|0#11#198|0#12#396|1#1#4620|1#2#47520|1#3#198|1#4#396|1#9#198|1#10#396|1#11#198|1#12#396|2#1#13860|2#2#23760|2#3#198|2#4#396|2#9#198|2#10#396|2#11#198|2#12#396</v>
      </c>
      <c r="H199" s="22"/>
      <c r="I199" s="28">
        <v>4194000000</v>
      </c>
      <c r="J199" s="198">
        <v>198</v>
      </c>
      <c r="K199" s="183">
        <f t="shared" si="51"/>
        <v>27720</v>
      </c>
      <c r="L199" s="183">
        <f t="shared" si="52"/>
        <v>47520</v>
      </c>
      <c r="M199" s="183">
        <f t="shared" si="53"/>
        <v>198</v>
      </c>
      <c r="N199" s="183">
        <f t="shared" si="54"/>
        <v>396</v>
      </c>
      <c r="O199" s="183">
        <f t="shared" si="56"/>
        <v>198</v>
      </c>
      <c r="P199" s="183">
        <f t="shared" si="57"/>
        <v>396</v>
      </c>
      <c r="Q199" s="183">
        <f t="shared" si="58"/>
        <v>198</v>
      </c>
      <c r="R199" s="183">
        <f t="shared" si="59"/>
        <v>396</v>
      </c>
      <c r="S199" s="183">
        <f t="shared" si="60"/>
        <v>198</v>
      </c>
      <c r="T199" s="183">
        <f t="shared" si="61"/>
        <v>396</v>
      </c>
      <c r="U199" s="183">
        <f t="shared" si="62"/>
        <v>198</v>
      </c>
      <c r="V199" s="183">
        <f t="shared" si="63"/>
        <v>396</v>
      </c>
      <c r="W199" s="12">
        <f>K199*属性价值参考!C$5+升级!L199*属性价值参考!C$6+升级!M199*属性价值参考!C$7+升级!N199*属性价值参考!C$8+升级!S199*属性价值参考!C$9+升级!T199*属性价值参考!C$10+升级!U199*属性价值参考!C$11+升级!V199*属性价值参考!C$12</f>
        <v>232325.28000000006</v>
      </c>
    </row>
    <row r="200" spans="1:23" x14ac:dyDescent="0.3">
      <c r="A200" s="22"/>
      <c r="B200" s="22"/>
      <c r="C200" s="24">
        <v>199</v>
      </c>
      <c r="D200" s="27" t="str">
        <f t="shared" si="48"/>
        <v>0#1#27860|0#2#955|0#3#199|0#4#398|0#9#199|0#10#398|0#11#199|0#12#398</v>
      </c>
      <c r="E200" s="27" t="str">
        <f t="shared" si="49"/>
        <v>1#1#4643|1#2#47760|1#3#199|1#4#398|1#9#199|1#10#398|1#11#199|1#12#398</v>
      </c>
      <c r="F200" s="27" t="str">
        <f t="shared" si="50"/>
        <v>2#1#13930|2#2#23880|2#3#199|2#4#398|2#9#199|2#10#398|2#11#199|2#12#398</v>
      </c>
      <c r="G200" s="27" t="str">
        <f t="shared" si="55"/>
        <v>0#1#27860|0#2#955|0#3#199|0#4#398|0#9#199|0#10#398|0#11#199|0#12#398|1#1#4643|1#2#47760|1#3#199|1#4#398|1#9#199|1#10#398|1#11#199|1#12#398|2#1#13930|2#2#23880|2#3#199|2#4#398|2#9#199|2#10#398|2#11#199|2#12#398</v>
      </c>
      <c r="H200" s="22"/>
      <c r="I200" s="25">
        <v>4200000000</v>
      </c>
      <c r="J200" s="197">
        <v>199</v>
      </c>
      <c r="K200" s="183">
        <f t="shared" si="51"/>
        <v>27860</v>
      </c>
      <c r="L200" s="183">
        <f t="shared" si="52"/>
        <v>47760</v>
      </c>
      <c r="M200" s="183">
        <f t="shared" si="53"/>
        <v>199</v>
      </c>
      <c r="N200" s="183">
        <f t="shared" si="54"/>
        <v>398</v>
      </c>
      <c r="O200" s="183">
        <f t="shared" si="56"/>
        <v>199</v>
      </c>
      <c r="P200" s="183">
        <f t="shared" si="57"/>
        <v>398</v>
      </c>
      <c r="Q200" s="183">
        <f t="shared" si="58"/>
        <v>199</v>
      </c>
      <c r="R200" s="183">
        <f t="shared" si="59"/>
        <v>398</v>
      </c>
      <c r="S200" s="183">
        <f t="shared" si="60"/>
        <v>199</v>
      </c>
      <c r="T200" s="183">
        <f t="shared" si="61"/>
        <v>398</v>
      </c>
      <c r="U200" s="183">
        <f t="shared" si="62"/>
        <v>199</v>
      </c>
      <c r="V200" s="183">
        <f t="shared" si="63"/>
        <v>398</v>
      </c>
      <c r="W200" s="12">
        <f>K200*属性价值参考!C$5+升级!L200*属性价值参考!C$6+升级!M200*属性价值参考!C$7+升级!N200*属性价值参考!C$8+升级!S200*属性价值参考!C$9+升级!T200*属性价值参考!C$10+升级!U200*属性价值参考!C$11+升级!V200*属性价值参考!C$12</f>
        <v>233498.63999999998</v>
      </c>
    </row>
    <row r="201" spans="1:23" x14ac:dyDescent="0.3">
      <c r="A201" s="22"/>
      <c r="B201" s="22"/>
      <c r="C201" s="30">
        <v>200</v>
      </c>
      <c r="D201" s="27" t="str">
        <f t="shared" si="48"/>
        <v>0#1#28000|0#2#960|0#3#200|0#4#400|0#9#200|0#10#400|0#11#200|0#12#400</v>
      </c>
      <c r="E201" s="27" t="str">
        <f t="shared" si="49"/>
        <v>1#1#4666|1#2#48000|1#3#200|1#4#400|1#9#200|1#10#400|1#11#200|1#12#400</v>
      </c>
      <c r="F201" s="27" t="str">
        <f t="shared" si="50"/>
        <v>2#1#14000|2#2#24000|2#3#200|2#4#400|2#9#200|2#10#400|2#11#200|2#12#400</v>
      </c>
      <c r="G201" s="27" t="str">
        <f t="shared" si="55"/>
        <v>0#1#28000|0#2#960|0#3#200|0#4#400|0#9#200|0#10#400|0#11#200|0#12#400|1#1#4666|1#2#48000|1#3#200|1#4#400|1#9#200|1#10#400|1#11#200|1#12#400|2#1#14000|2#2#24000|2#3#200|2#4#400|2#9#200|2#10#400|2#11#200|2#12#400</v>
      </c>
      <c r="H201" s="22"/>
      <c r="I201" s="28">
        <v>4200000000</v>
      </c>
      <c r="J201" s="198">
        <v>200</v>
      </c>
      <c r="K201" s="183">
        <f t="shared" si="51"/>
        <v>28000</v>
      </c>
      <c r="L201" s="183">
        <f t="shared" si="52"/>
        <v>48000</v>
      </c>
      <c r="M201" s="183">
        <f t="shared" si="53"/>
        <v>200</v>
      </c>
      <c r="N201" s="183">
        <f t="shared" si="54"/>
        <v>400</v>
      </c>
      <c r="O201" s="183">
        <f t="shared" si="56"/>
        <v>200</v>
      </c>
      <c r="P201" s="183">
        <f t="shared" si="57"/>
        <v>400</v>
      </c>
      <c r="Q201" s="183">
        <f t="shared" si="58"/>
        <v>200</v>
      </c>
      <c r="R201" s="183">
        <f t="shared" si="59"/>
        <v>400</v>
      </c>
      <c r="S201" s="183">
        <f t="shared" si="60"/>
        <v>200</v>
      </c>
      <c r="T201" s="183">
        <f t="shared" si="61"/>
        <v>400</v>
      </c>
      <c r="U201" s="183">
        <f t="shared" si="62"/>
        <v>200</v>
      </c>
      <c r="V201" s="183">
        <f t="shared" si="63"/>
        <v>400</v>
      </c>
      <c r="W201" s="12">
        <f>K201*属性价值参考!C$5+升级!L201*属性价值参考!C$6+升级!M201*属性价值参考!C$7+升级!N201*属性价值参考!C$8+升级!S201*属性价值参考!C$9+升级!T201*属性价值参考!C$10+升级!U201*属性价值参考!C$11+升级!V201*属性价值参考!C$12</f>
        <v>234671.99999999997</v>
      </c>
    </row>
    <row r="202" spans="1:23" x14ac:dyDescent="0.3">
      <c r="A202" s="22"/>
      <c r="B202" s="22"/>
      <c r="C202" s="24">
        <v>201</v>
      </c>
      <c r="D202" s="27" t="str">
        <f t="shared" si="48"/>
        <v>0#1#28140|0#2#964|0#3#201|0#4#402|0#9#201|0#10#402|0#11#201|0#12#402</v>
      </c>
      <c r="E202" s="27" t="str">
        <f t="shared" si="49"/>
        <v>1#1#4690|1#2#48240|1#3#201|1#4#402|1#9#201|1#10#402|1#11#201|1#12#402</v>
      </c>
      <c r="F202" s="27" t="str">
        <f t="shared" si="50"/>
        <v>2#1#14070|2#2#24120|2#3#201|2#4#402|2#9#201|2#10#402|2#11#201|2#12#402</v>
      </c>
      <c r="G202" s="27" t="str">
        <f t="shared" si="55"/>
        <v>0#1#28140|0#2#964|0#3#201|0#4#402|0#9#201|0#10#402|0#11#201|0#12#402|1#1#4690|1#2#48240|1#3#201|1#4#402|1#9#201|1#10#402|1#11#201|1#12#402|2#1#14070|2#2#24120|2#3#201|2#4#402|2#9#201|2#10#402|2#11#201|2#12#402</v>
      </c>
      <c r="H202" s="22"/>
      <c r="I202" s="25">
        <v>4200000000</v>
      </c>
      <c r="J202" s="197">
        <v>201</v>
      </c>
      <c r="K202" s="183">
        <f t="shared" si="51"/>
        <v>28140</v>
      </c>
      <c r="L202" s="183">
        <f t="shared" si="52"/>
        <v>48240</v>
      </c>
      <c r="M202" s="183">
        <f t="shared" si="53"/>
        <v>201</v>
      </c>
      <c r="N202" s="183">
        <f t="shared" si="54"/>
        <v>402</v>
      </c>
      <c r="O202" s="183">
        <f t="shared" si="56"/>
        <v>201</v>
      </c>
      <c r="P202" s="183">
        <f t="shared" si="57"/>
        <v>402</v>
      </c>
      <c r="Q202" s="183">
        <f t="shared" si="58"/>
        <v>201</v>
      </c>
      <c r="R202" s="183">
        <f t="shared" si="59"/>
        <v>402</v>
      </c>
      <c r="S202" s="183">
        <f t="shared" si="60"/>
        <v>201</v>
      </c>
      <c r="T202" s="183">
        <f t="shared" si="61"/>
        <v>402</v>
      </c>
      <c r="U202" s="183">
        <f t="shared" si="62"/>
        <v>201</v>
      </c>
      <c r="V202" s="183">
        <f t="shared" si="63"/>
        <v>402</v>
      </c>
      <c r="W202" s="12">
        <f>K202*属性价值参考!C$5+升级!L202*属性价值参考!C$6+升级!M202*属性价值参考!C$7+升级!N202*属性价值参考!C$8+升级!S202*属性价值参考!C$9+升级!T202*属性价值参考!C$10+升级!U202*属性价值参考!C$11+升级!V202*属性价值参考!C$12</f>
        <v>235845.36</v>
      </c>
    </row>
    <row r="203" spans="1:23" x14ac:dyDescent="0.3">
      <c r="A203" s="22"/>
      <c r="B203" s="22"/>
      <c r="C203" s="27">
        <v>202</v>
      </c>
      <c r="D203" s="27" t="str">
        <f t="shared" si="48"/>
        <v>0#1#28280|0#2#969|0#3#202|0#4#404|0#9#202|0#10#404|0#11#202|0#12#404</v>
      </c>
      <c r="E203" s="27" t="str">
        <f t="shared" si="49"/>
        <v>1#1#4713|1#2#48480|1#3#202|1#4#404|1#9#202|1#10#404|1#11#202|1#12#404</v>
      </c>
      <c r="F203" s="27" t="str">
        <f t="shared" si="50"/>
        <v>2#1#14140|2#2#24240|2#3#202|2#4#404|2#9#202|2#10#404|2#11#202|2#12#404</v>
      </c>
      <c r="G203" s="27" t="str">
        <f t="shared" si="55"/>
        <v>0#1#28280|0#2#969|0#3#202|0#4#404|0#9#202|0#10#404|0#11#202|0#12#404|1#1#4713|1#2#48480|1#3#202|1#4#404|1#9#202|1#10#404|1#11#202|1#12#404|2#1#14140|2#2#24240|2#3#202|2#4#404|2#9#202|2#10#404|2#11#202|2#12#404</v>
      </c>
      <c r="H203" s="22"/>
      <c r="I203" s="28">
        <v>4200000000</v>
      </c>
      <c r="J203" s="198">
        <v>202</v>
      </c>
      <c r="K203" s="183">
        <f t="shared" si="51"/>
        <v>28280</v>
      </c>
      <c r="L203" s="183">
        <f t="shared" si="52"/>
        <v>48480</v>
      </c>
      <c r="M203" s="183">
        <f t="shared" si="53"/>
        <v>202</v>
      </c>
      <c r="N203" s="183">
        <f t="shared" si="54"/>
        <v>404</v>
      </c>
      <c r="O203" s="183">
        <f t="shared" si="56"/>
        <v>202</v>
      </c>
      <c r="P203" s="183">
        <f t="shared" si="57"/>
        <v>404</v>
      </c>
      <c r="Q203" s="183">
        <f t="shared" si="58"/>
        <v>202</v>
      </c>
      <c r="R203" s="183">
        <f t="shared" si="59"/>
        <v>404</v>
      </c>
      <c r="S203" s="183">
        <f t="shared" si="60"/>
        <v>202</v>
      </c>
      <c r="T203" s="183">
        <f t="shared" si="61"/>
        <v>404</v>
      </c>
      <c r="U203" s="183">
        <f t="shared" si="62"/>
        <v>202</v>
      </c>
      <c r="V203" s="183">
        <f t="shared" si="63"/>
        <v>404</v>
      </c>
      <c r="W203" s="12">
        <f>K203*属性价值参考!C$5+升级!L203*属性价值参考!C$6+升级!M203*属性价值参考!C$7+升级!N203*属性价值参考!C$8+升级!S203*属性价值参考!C$9+升级!T203*属性价值参考!C$10+升级!U203*属性价值参考!C$11+升级!V203*属性价值参考!C$12</f>
        <v>237018.71999999997</v>
      </c>
    </row>
    <row r="204" spans="1:23" x14ac:dyDescent="0.3">
      <c r="A204" s="22"/>
      <c r="B204" s="22"/>
      <c r="C204" s="24">
        <v>203</v>
      </c>
      <c r="D204" s="27" t="str">
        <f t="shared" si="48"/>
        <v>0#1#28420|0#2#974|0#3#203|0#4#406|0#9#203|0#10#406|0#11#203|0#12#406</v>
      </c>
      <c r="E204" s="27" t="str">
        <f t="shared" si="49"/>
        <v>1#1#4736|1#2#48720|1#3#203|1#4#406|1#9#203|1#10#406|1#11#203|1#12#406</v>
      </c>
      <c r="F204" s="27" t="str">
        <f t="shared" si="50"/>
        <v>2#1#14210|2#2#24360|2#3#203|2#4#406|2#9#203|2#10#406|2#11#203|2#12#406</v>
      </c>
      <c r="G204" s="27" t="str">
        <f t="shared" si="55"/>
        <v>0#1#28420|0#2#974|0#3#203|0#4#406|0#9#203|0#10#406|0#11#203|0#12#406|1#1#4736|1#2#48720|1#3#203|1#4#406|1#9#203|1#10#406|1#11#203|1#12#406|2#1#14210|2#2#24360|2#3#203|2#4#406|2#9#203|2#10#406|2#11#203|2#12#406</v>
      </c>
      <c r="H204" s="22"/>
      <c r="I204" s="25">
        <v>4200000000</v>
      </c>
      <c r="J204" s="197">
        <v>203</v>
      </c>
      <c r="K204" s="183">
        <f t="shared" si="51"/>
        <v>28420</v>
      </c>
      <c r="L204" s="183">
        <f t="shared" si="52"/>
        <v>48720</v>
      </c>
      <c r="M204" s="183">
        <f t="shared" si="53"/>
        <v>203</v>
      </c>
      <c r="N204" s="183">
        <f t="shared" si="54"/>
        <v>406</v>
      </c>
      <c r="O204" s="183">
        <f t="shared" si="56"/>
        <v>203</v>
      </c>
      <c r="P204" s="183">
        <f t="shared" si="57"/>
        <v>406</v>
      </c>
      <c r="Q204" s="183">
        <f t="shared" si="58"/>
        <v>203</v>
      </c>
      <c r="R204" s="183">
        <f t="shared" si="59"/>
        <v>406</v>
      </c>
      <c r="S204" s="183">
        <f t="shared" si="60"/>
        <v>203</v>
      </c>
      <c r="T204" s="183">
        <f t="shared" si="61"/>
        <v>406</v>
      </c>
      <c r="U204" s="183">
        <f t="shared" si="62"/>
        <v>203</v>
      </c>
      <c r="V204" s="183">
        <f t="shared" si="63"/>
        <v>406</v>
      </c>
      <c r="W204" s="12">
        <f>K204*属性价值参考!C$5+升级!L204*属性价值参考!C$6+升级!M204*属性价值参考!C$7+升级!N204*属性价值参考!C$8+升级!S204*属性价值参考!C$9+升级!T204*属性价值参考!C$10+升级!U204*属性价值参考!C$11+升级!V204*属性价值参考!C$12</f>
        <v>238192.08000000005</v>
      </c>
    </row>
    <row r="205" spans="1:23" x14ac:dyDescent="0.3">
      <c r="A205" s="22"/>
      <c r="B205" s="22"/>
      <c r="C205" s="27">
        <v>204</v>
      </c>
      <c r="D205" s="27" t="str">
        <f t="shared" si="48"/>
        <v>0#1#28560|0#2#979|0#3#204|0#4#408|0#9#204|0#10#408|0#11#204|0#12#408</v>
      </c>
      <c r="E205" s="27" t="str">
        <f t="shared" si="49"/>
        <v>1#1#4760|1#2#48960|1#3#204|1#4#408|1#9#204|1#10#408|1#11#204|1#12#408</v>
      </c>
      <c r="F205" s="27" t="str">
        <f t="shared" si="50"/>
        <v>2#1#14280|2#2#24480|2#3#204|2#4#408|2#9#204|2#10#408|2#11#204|2#12#408</v>
      </c>
      <c r="G205" s="27" t="str">
        <f t="shared" si="55"/>
        <v>0#1#28560|0#2#979|0#3#204|0#4#408|0#9#204|0#10#408|0#11#204|0#12#408|1#1#4760|1#2#48960|1#3#204|1#4#408|1#9#204|1#10#408|1#11#204|1#12#408|2#1#14280|2#2#24480|2#3#204|2#4#408|2#9#204|2#10#408|2#11#204|2#12#408</v>
      </c>
      <c r="H205" s="22"/>
      <c r="I205" s="28">
        <v>4200000000</v>
      </c>
      <c r="J205" s="198">
        <v>204</v>
      </c>
      <c r="K205" s="183">
        <f t="shared" si="51"/>
        <v>28560</v>
      </c>
      <c r="L205" s="183">
        <f t="shared" si="52"/>
        <v>48960</v>
      </c>
      <c r="M205" s="183">
        <f t="shared" si="53"/>
        <v>204</v>
      </c>
      <c r="N205" s="183">
        <f t="shared" si="54"/>
        <v>408</v>
      </c>
      <c r="O205" s="183">
        <f t="shared" si="56"/>
        <v>204</v>
      </c>
      <c r="P205" s="183">
        <f t="shared" si="57"/>
        <v>408</v>
      </c>
      <c r="Q205" s="183">
        <f t="shared" si="58"/>
        <v>204</v>
      </c>
      <c r="R205" s="183">
        <f t="shared" si="59"/>
        <v>408</v>
      </c>
      <c r="S205" s="183">
        <f t="shared" si="60"/>
        <v>204</v>
      </c>
      <c r="T205" s="183">
        <f t="shared" si="61"/>
        <v>408</v>
      </c>
      <c r="U205" s="183">
        <f t="shared" si="62"/>
        <v>204</v>
      </c>
      <c r="V205" s="183">
        <f t="shared" si="63"/>
        <v>408</v>
      </c>
      <c r="W205" s="12">
        <f>K205*属性价值参考!C$5+升级!L205*属性价值参考!C$6+升级!M205*属性价值参考!C$7+升级!N205*属性价值参考!C$8+升级!S205*属性价值参考!C$9+升级!T205*属性价值参考!C$10+升级!U205*属性价值参考!C$11+升级!V205*属性价值参考!C$12</f>
        <v>239365.43999999997</v>
      </c>
    </row>
    <row r="206" spans="1:23" x14ac:dyDescent="0.3">
      <c r="A206" s="22"/>
      <c r="B206" s="22"/>
      <c r="C206" s="24">
        <v>205</v>
      </c>
      <c r="D206" s="27" t="str">
        <f t="shared" si="48"/>
        <v>0#1#28700|0#2#984|0#3#205|0#4#410|0#9#205|0#10#410|0#11#205|0#12#410</v>
      </c>
      <c r="E206" s="27" t="str">
        <f t="shared" si="49"/>
        <v>1#1#4783|1#2#49200|1#3#205|1#4#410|1#9#205|1#10#410|1#11#205|1#12#410</v>
      </c>
      <c r="F206" s="27" t="str">
        <f t="shared" si="50"/>
        <v>2#1#14350|2#2#24600|2#3#205|2#4#410|2#9#205|2#10#410|2#11#205|2#12#410</v>
      </c>
      <c r="G206" s="27" t="str">
        <f t="shared" si="55"/>
        <v>0#1#28700|0#2#984|0#3#205|0#4#410|0#9#205|0#10#410|0#11#205|0#12#410|1#1#4783|1#2#49200|1#3#205|1#4#410|1#9#205|1#10#410|1#11#205|1#12#410|2#1#14350|2#2#24600|2#3#205|2#4#410|2#9#205|2#10#410|2#11#205|2#12#410</v>
      </c>
      <c r="H206" s="22"/>
      <c r="I206" s="25">
        <v>4200000000</v>
      </c>
      <c r="J206" s="197">
        <v>205</v>
      </c>
      <c r="K206" s="183">
        <f t="shared" si="51"/>
        <v>28700</v>
      </c>
      <c r="L206" s="183">
        <f t="shared" si="52"/>
        <v>49200</v>
      </c>
      <c r="M206" s="183">
        <f t="shared" si="53"/>
        <v>205</v>
      </c>
      <c r="N206" s="183">
        <f t="shared" si="54"/>
        <v>410</v>
      </c>
      <c r="O206" s="183">
        <f t="shared" si="56"/>
        <v>205</v>
      </c>
      <c r="P206" s="183">
        <f t="shared" si="57"/>
        <v>410</v>
      </c>
      <c r="Q206" s="183">
        <f t="shared" si="58"/>
        <v>205</v>
      </c>
      <c r="R206" s="183">
        <f t="shared" si="59"/>
        <v>410</v>
      </c>
      <c r="S206" s="183">
        <f t="shared" si="60"/>
        <v>205</v>
      </c>
      <c r="T206" s="183">
        <f t="shared" si="61"/>
        <v>410</v>
      </c>
      <c r="U206" s="183">
        <f t="shared" si="62"/>
        <v>205</v>
      </c>
      <c r="V206" s="183">
        <f t="shared" si="63"/>
        <v>410</v>
      </c>
      <c r="W206" s="12">
        <f>K206*属性价值参考!C$5+升级!L206*属性价值参考!C$6+升级!M206*属性价值参考!C$7+升级!N206*属性价值参考!C$8+升级!S206*属性价值参考!C$9+升级!T206*属性价值参考!C$10+升级!U206*属性价值参考!C$11+升级!V206*属性价值参考!C$12</f>
        <v>240538.8</v>
      </c>
    </row>
    <row r="207" spans="1:23" x14ac:dyDescent="0.3">
      <c r="A207" s="22"/>
      <c r="B207" s="22"/>
      <c r="C207" s="27">
        <v>206</v>
      </c>
      <c r="D207" s="27" t="str">
        <f t="shared" si="48"/>
        <v>0#1#28840|0#2#988|0#3#206|0#4#412|0#9#206|0#10#412|0#11#206|0#12#412</v>
      </c>
      <c r="E207" s="27" t="str">
        <f t="shared" si="49"/>
        <v>1#1#4806|1#2#49440|1#3#206|1#4#412|1#9#206|1#10#412|1#11#206|1#12#412</v>
      </c>
      <c r="F207" s="27" t="str">
        <f t="shared" si="50"/>
        <v>2#1#14420|2#2#24720|2#3#206|2#4#412|2#9#206|2#10#412|2#11#206|2#12#412</v>
      </c>
      <c r="G207" s="27" t="str">
        <f t="shared" si="55"/>
        <v>0#1#28840|0#2#988|0#3#206|0#4#412|0#9#206|0#10#412|0#11#206|0#12#412|1#1#4806|1#2#49440|1#3#206|1#4#412|1#9#206|1#10#412|1#11#206|1#12#412|2#1#14420|2#2#24720|2#3#206|2#4#412|2#9#206|2#10#412|2#11#206|2#12#412</v>
      </c>
      <c r="H207" s="22"/>
      <c r="I207" s="28">
        <v>4200000000</v>
      </c>
      <c r="J207" s="198">
        <v>206</v>
      </c>
      <c r="K207" s="183">
        <f t="shared" si="51"/>
        <v>28840</v>
      </c>
      <c r="L207" s="183">
        <f t="shared" si="52"/>
        <v>49440</v>
      </c>
      <c r="M207" s="183">
        <f t="shared" si="53"/>
        <v>206</v>
      </c>
      <c r="N207" s="183">
        <f t="shared" si="54"/>
        <v>412</v>
      </c>
      <c r="O207" s="183">
        <f t="shared" si="56"/>
        <v>206</v>
      </c>
      <c r="P207" s="183">
        <f t="shared" si="57"/>
        <v>412</v>
      </c>
      <c r="Q207" s="183">
        <f t="shared" si="58"/>
        <v>206</v>
      </c>
      <c r="R207" s="183">
        <f t="shared" si="59"/>
        <v>412</v>
      </c>
      <c r="S207" s="183">
        <f t="shared" si="60"/>
        <v>206</v>
      </c>
      <c r="T207" s="183">
        <f t="shared" si="61"/>
        <v>412</v>
      </c>
      <c r="U207" s="183">
        <f t="shared" si="62"/>
        <v>206</v>
      </c>
      <c r="V207" s="183">
        <f t="shared" si="63"/>
        <v>412</v>
      </c>
      <c r="W207" s="12">
        <f>K207*属性价值参考!C$5+升级!L207*属性价值参考!C$6+升级!M207*属性价值参考!C$7+升级!N207*属性价值参考!C$8+升级!S207*属性价值参考!C$9+升级!T207*属性价值参考!C$10+升级!U207*属性价值参考!C$11+升级!V207*属性价值参考!C$12</f>
        <v>241712.16</v>
      </c>
    </row>
    <row r="208" spans="1:23" x14ac:dyDescent="0.3">
      <c r="A208" s="22"/>
      <c r="B208" s="22"/>
      <c r="C208" s="24">
        <v>207</v>
      </c>
      <c r="D208" s="27" t="str">
        <f t="shared" si="48"/>
        <v>0#1#28980|0#2#993|0#3#207|0#4#414|0#9#207|0#10#414|0#11#207|0#12#414</v>
      </c>
      <c r="E208" s="27" t="str">
        <f t="shared" si="49"/>
        <v>1#1#4830|1#2#49680|1#3#207|1#4#414|1#9#207|1#10#414|1#11#207|1#12#414</v>
      </c>
      <c r="F208" s="27" t="str">
        <f t="shared" si="50"/>
        <v>2#1#14490|2#2#24840|2#3#207|2#4#414|2#9#207|2#10#414|2#11#207|2#12#414</v>
      </c>
      <c r="G208" s="27" t="str">
        <f t="shared" si="55"/>
        <v>0#1#28980|0#2#993|0#3#207|0#4#414|0#9#207|0#10#414|0#11#207|0#12#414|1#1#4830|1#2#49680|1#3#207|1#4#414|1#9#207|1#10#414|1#11#207|1#12#414|2#1#14490|2#2#24840|2#3#207|2#4#414|2#9#207|2#10#414|2#11#207|2#12#414</v>
      </c>
      <c r="H208" s="22"/>
      <c r="I208" s="25">
        <v>4200000000</v>
      </c>
      <c r="J208" s="197">
        <v>207</v>
      </c>
      <c r="K208" s="183">
        <f t="shared" si="51"/>
        <v>28980</v>
      </c>
      <c r="L208" s="183">
        <f t="shared" si="52"/>
        <v>49680</v>
      </c>
      <c r="M208" s="183">
        <f t="shared" si="53"/>
        <v>207</v>
      </c>
      <c r="N208" s="183">
        <f t="shared" si="54"/>
        <v>414</v>
      </c>
      <c r="O208" s="183">
        <f t="shared" si="56"/>
        <v>207</v>
      </c>
      <c r="P208" s="183">
        <f t="shared" si="57"/>
        <v>414</v>
      </c>
      <c r="Q208" s="183">
        <f t="shared" si="58"/>
        <v>207</v>
      </c>
      <c r="R208" s="183">
        <f t="shared" si="59"/>
        <v>414</v>
      </c>
      <c r="S208" s="183">
        <f t="shared" si="60"/>
        <v>207</v>
      </c>
      <c r="T208" s="183">
        <f t="shared" si="61"/>
        <v>414</v>
      </c>
      <c r="U208" s="183">
        <f t="shared" si="62"/>
        <v>207</v>
      </c>
      <c r="V208" s="183">
        <f t="shared" si="63"/>
        <v>414</v>
      </c>
      <c r="W208" s="12">
        <f>K208*属性价值参考!C$5+升级!L208*属性价值参考!C$6+升级!M208*属性价值参考!C$7+升级!N208*属性价值参考!C$8+升级!S208*属性价值参考!C$9+升级!T208*属性价值参考!C$10+升级!U208*属性价值参考!C$11+升级!V208*属性价值参考!C$12</f>
        <v>242885.51999999996</v>
      </c>
    </row>
    <row r="209" spans="1:23" x14ac:dyDescent="0.3">
      <c r="A209" s="22"/>
      <c r="B209" s="22"/>
      <c r="C209" s="27">
        <v>208</v>
      </c>
      <c r="D209" s="27" t="str">
        <f t="shared" si="48"/>
        <v>0#1#29120|0#2#998|0#3#208|0#4#416|0#9#208|0#10#416|0#11#208|0#12#416</v>
      </c>
      <c r="E209" s="27" t="str">
        <f t="shared" si="49"/>
        <v>1#1#4853|1#2#49920|1#3#208|1#4#416|1#9#208|1#10#416|1#11#208|1#12#416</v>
      </c>
      <c r="F209" s="27" t="str">
        <f t="shared" si="50"/>
        <v>2#1#14560|2#2#24960|2#3#208|2#4#416|2#9#208|2#10#416|2#11#208|2#12#416</v>
      </c>
      <c r="G209" s="27" t="str">
        <f t="shared" si="55"/>
        <v>0#1#29120|0#2#998|0#3#208|0#4#416|0#9#208|0#10#416|0#11#208|0#12#416|1#1#4853|1#2#49920|1#3#208|1#4#416|1#9#208|1#10#416|1#11#208|1#12#416|2#1#14560|2#2#24960|2#3#208|2#4#416|2#9#208|2#10#416|2#11#208|2#12#416</v>
      </c>
      <c r="H209" s="22"/>
      <c r="I209" s="28">
        <v>4200000000</v>
      </c>
      <c r="J209" s="198">
        <v>208</v>
      </c>
      <c r="K209" s="183">
        <f t="shared" si="51"/>
        <v>29120</v>
      </c>
      <c r="L209" s="183">
        <f t="shared" si="52"/>
        <v>49920</v>
      </c>
      <c r="M209" s="183">
        <f t="shared" si="53"/>
        <v>208</v>
      </c>
      <c r="N209" s="183">
        <f t="shared" si="54"/>
        <v>416</v>
      </c>
      <c r="O209" s="183">
        <f t="shared" si="56"/>
        <v>208</v>
      </c>
      <c r="P209" s="183">
        <f t="shared" si="57"/>
        <v>416</v>
      </c>
      <c r="Q209" s="183">
        <f t="shared" si="58"/>
        <v>208</v>
      </c>
      <c r="R209" s="183">
        <f t="shared" si="59"/>
        <v>416</v>
      </c>
      <c r="S209" s="183">
        <f t="shared" si="60"/>
        <v>208</v>
      </c>
      <c r="T209" s="183">
        <f t="shared" si="61"/>
        <v>416</v>
      </c>
      <c r="U209" s="183">
        <f t="shared" si="62"/>
        <v>208</v>
      </c>
      <c r="V209" s="183">
        <f t="shared" si="63"/>
        <v>416</v>
      </c>
      <c r="W209" s="12">
        <f>K209*属性价值参考!C$5+升级!L209*属性价值参考!C$6+升级!M209*属性价值参考!C$7+升级!N209*属性价值参考!C$8+升级!S209*属性价值参考!C$9+升级!T209*属性价值参考!C$10+升级!U209*属性价值参考!C$11+升级!V209*属性价值参考!C$12</f>
        <v>244058.88000000006</v>
      </c>
    </row>
    <row r="210" spans="1:23" x14ac:dyDescent="0.3">
      <c r="A210" s="22"/>
      <c r="B210" s="22"/>
      <c r="C210" s="24">
        <v>209</v>
      </c>
      <c r="D210" s="27" t="str">
        <f t="shared" si="48"/>
        <v>0#1#29260|0#2#1003|0#3#209|0#4#418|0#9#209|0#10#418|0#11#209|0#12#418</v>
      </c>
      <c r="E210" s="27" t="str">
        <f t="shared" si="49"/>
        <v>1#1#4876|1#2#50160|1#3#209|1#4#418|1#9#209|1#10#418|1#11#209|1#12#418</v>
      </c>
      <c r="F210" s="27" t="str">
        <f t="shared" si="50"/>
        <v>2#1#14630|2#2#25080|2#3#209|2#4#418|2#9#209|2#10#418|2#11#209|2#12#418</v>
      </c>
      <c r="G210" s="27" t="str">
        <f t="shared" si="55"/>
        <v>0#1#29260|0#2#1003|0#3#209|0#4#418|0#9#209|0#10#418|0#11#209|0#12#418|1#1#4876|1#2#50160|1#3#209|1#4#418|1#9#209|1#10#418|1#11#209|1#12#418|2#1#14630|2#2#25080|2#3#209|2#4#418|2#9#209|2#10#418|2#11#209|2#12#418</v>
      </c>
      <c r="H210" s="22"/>
      <c r="I210" s="25">
        <v>4200000000</v>
      </c>
      <c r="J210" s="197">
        <v>209</v>
      </c>
      <c r="K210" s="183">
        <f t="shared" si="51"/>
        <v>29260</v>
      </c>
      <c r="L210" s="183">
        <f t="shared" si="52"/>
        <v>50160</v>
      </c>
      <c r="M210" s="183">
        <f t="shared" si="53"/>
        <v>209</v>
      </c>
      <c r="N210" s="183">
        <f t="shared" si="54"/>
        <v>418</v>
      </c>
      <c r="O210" s="183">
        <f t="shared" si="56"/>
        <v>209</v>
      </c>
      <c r="P210" s="183">
        <f t="shared" si="57"/>
        <v>418</v>
      </c>
      <c r="Q210" s="183">
        <f t="shared" si="58"/>
        <v>209</v>
      </c>
      <c r="R210" s="183">
        <f t="shared" si="59"/>
        <v>418</v>
      </c>
      <c r="S210" s="183">
        <f t="shared" si="60"/>
        <v>209</v>
      </c>
      <c r="T210" s="183">
        <f t="shared" si="61"/>
        <v>418</v>
      </c>
      <c r="U210" s="183">
        <f t="shared" si="62"/>
        <v>209</v>
      </c>
      <c r="V210" s="183">
        <f t="shared" si="63"/>
        <v>418</v>
      </c>
      <c r="W210" s="12">
        <f>K210*属性价值参考!C$5+升级!L210*属性价值参考!C$6+升级!M210*属性价值参考!C$7+升级!N210*属性价值参考!C$8+升级!S210*属性价值参考!C$9+升级!T210*属性价值参考!C$10+升级!U210*属性价值参考!C$11+升级!V210*属性价值参考!C$12</f>
        <v>245232.23999999996</v>
      </c>
    </row>
    <row r="211" spans="1:23" x14ac:dyDescent="0.3">
      <c r="A211" s="22"/>
      <c r="B211" s="22"/>
      <c r="C211" s="27">
        <v>210</v>
      </c>
      <c r="D211" s="27" t="str">
        <f t="shared" si="48"/>
        <v>0#1#29400|0#2#1008|0#3#210|0#4#420|0#9#210|0#10#420|0#11#210|0#12#420</v>
      </c>
      <c r="E211" s="27" t="str">
        <f t="shared" si="49"/>
        <v>1#1#4900|1#2#50400|1#3#210|1#4#420|1#9#210|1#10#420|1#11#210|1#12#420</v>
      </c>
      <c r="F211" s="27" t="str">
        <f t="shared" si="50"/>
        <v>2#1#14700|2#2#25200|2#3#210|2#4#420|2#9#210|2#10#420|2#11#210|2#12#420</v>
      </c>
      <c r="G211" s="27" t="str">
        <f t="shared" si="55"/>
        <v>0#1#29400|0#2#1008|0#3#210|0#4#420|0#9#210|0#10#420|0#11#210|0#12#420|1#1#4900|1#2#50400|1#3#210|1#4#420|1#9#210|1#10#420|1#11#210|1#12#420|2#1#14700|2#2#25200|2#3#210|2#4#420|2#9#210|2#10#420|2#11#210|2#12#420</v>
      </c>
      <c r="H211" s="22"/>
      <c r="I211" s="28">
        <v>4200000000</v>
      </c>
      <c r="J211" s="198">
        <v>210</v>
      </c>
      <c r="K211" s="183">
        <f t="shared" si="51"/>
        <v>29400</v>
      </c>
      <c r="L211" s="183">
        <f t="shared" si="52"/>
        <v>50400</v>
      </c>
      <c r="M211" s="183">
        <f t="shared" si="53"/>
        <v>210</v>
      </c>
      <c r="N211" s="183">
        <f t="shared" si="54"/>
        <v>420</v>
      </c>
      <c r="O211" s="183">
        <f t="shared" si="56"/>
        <v>210</v>
      </c>
      <c r="P211" s="183">
        <f t="shared" si="57"/>
        <v>420</v>
      </c>
      <c r="Q211" s="183">
        <f t="shared" si="58"/>
        <v>210</v>
      </c>
      <c r="R211" s="183">
        <f t="shared" si="59"/>
        <v>420</v>
      </c>
      <c r="S211" s="183">
        <f t="shared" si="60"/>
        <v>210</v>
      </c>
      <c r="T211" s="183">
        <f t="shared" si="61"/>
        <v>420</v>
      </c>
      <c r="U211" s="183">
        <f t="shared" si="62"/>
        <v>210</v>
      </c>
      <c r="V211" s="183">
        <f t="shared" si="63"/>
        <v>420</v>
      </c>
      <c r="W211" s="12">
        <f>K211*属性价值参考!C$5+升级!L211*属性价值参考!C$6+升级!M211*属性价值参考!C$7+升级!N211*属性价值参考!C$8+升级!S211*属性价值参考!C$9+升级!T211*属性价值参考!C$10+升级!U211*属性价值参考!C$11+升级!V211*属性价值参考!C$12</f>
        <v>246405.6</v>
      </c>
    </row>
    <row r="212" spans="1:23" x14ac:dyDescent="0.3">
      <c r="A212" s="22"/>
      <c r="B212" s="22"/>
      <c r="C212" s="24">
        <v>211</v>
      </c>
      <c r="D212" s="27" t="str">
        <f t="shared" si="48"/>
        <v>0#1#29540|0#2#1012|0#3#211|0#4#422|0#9#211|0#10#422|0#11#211|0#12#422</v>
      </c>
      <c r="E212" s="27" t="str">
        <f t="shared" si="49"/>
        <v>1#1#4923|1#2#50640|1#3#211|1#4#422|1#9#211|1#10#422|1#11#211|1#12#422</v>
      </c>
      <c r="F212" s="27" t="str">
        <f t="shared" si="50"/>
        <v>2#1#14770|2#2#25320|2#3#211|2#4#422|2#9#211|2#10#422|2#11#211|2#12#422</v>
      </c>
      <c r="G212" s="27" t="str">
        <f t="shared" si="55"/>
        <v>0#1#29540|0#2#1012|0#3#211|0#4#422|0#9#211|0#10#422|0#11#211|0#12#422|1#1#4923|1#2#50640|1#3#211|1#4#422|1#9#211|1#10#422|1#11#211|1#12#422|2#1#14770|2#2#25320|2#3#211|2#4#422|2#9#211|2#10#422|2#11#211|2#12#422</v>
      </c>
      <c r="H212" s="22"/>
      <c r="I212" s="25">
        <v>4200000000</v>
      </c>
      <c r="J212" s="197">
        <v>211</v>
      </c>
      <c r="K212" s="183">
        <f t="shared" si="51"/>
        <v>29540</v>
      </c>
      <c r="L212" s="183">
        <f t="shared" si="52"/>
        <v>50640</v>
      </c>
      <c r="M212" s="183">
        <f t="shared" si="53"/>
        <v>211</v>
      </c>
      <c r="N212" s="183">
        <f t="shared" si="54"/>
        <v>422</v>
      </c>
      <c r="O212" s="183">
        <f t="shared" si="56"/>
        <v>211</v>
      </c>
      <c r="P212" s="183">
        <f t="shared" si="57"/>
        <v>422</v>
      </c>
      <c r="Q212" s="183">
        <f t="shared" si="58"/>
        <v>211</v>
      </c>
      <c r="R212" s="183">
        <f t="shared" si="59"/>
        <v>422</v>
      </c>
      <c r="S212" s="183">
        <f t="shared" si="60"/>
        <v>211</v>
      </c>
      <c r="T212" s="183">
        <f t="shared" si="61"/>
        <v>422</v>
      </c>
      <c r="U212" s="183">
        <f t="shared" si="62"/>
        <v>211</v>
      </c>
      <c r="V212" s="183">
        <f t="shared" si="63"/>
        <v>422</v>
      </c>
      <c r="W212" s="12">
        <f>K212*属性价值参考!C$5+升级!L212*属性价值参考!C$6+升级!M212*属性价值参考!C$7+升级!N212*属性价值参考!C$8+升级!S212*属性价值参考!C$9+升级!T212*属性价值参考!C$10+升级!U212*属性价值参考!C$11+升级!V212*属性价值参考!C$12</f>
        <v>247578.96</v>
      </c>
    </row>
    <row r="213" spans="1:23" x14ac:dyDescent="0.3">
      <c r="A213" s="22"/>
      <c r="B213" s="22"/>
      <c r="C213" s="27">
        <v>212</v>
      </c>
      <c r="D213" s="27" t="str">
        <f t="shared" si="48"/>
        <v>0#1#29680|0#2#1017|0#3#212|0#4#424|0#9#212|0#10#424|0#11#212|0#12#424</v>
      </c>
      <c r="E213" s="27" t="str">
        <f t="shared" si="49"/>
        <v>1#1#4946|1#2#50880|1#3#212|1#4#424|1#9#212|1#10#424|1#11#212|1#12#424</v>
      </c>
      <c r="F213" s="27" t="str">
        <f t="shared" si="50"/>
        <v>2#1#14840|2#2#25440|2#3#212|2#4#424|2#9#212|2#10#424|2#11#212|2#12#424</v>
      </c>
      <c r="G213" s="27" t="str">
        <f t="shared" si="55"/>
        <v>0#1#29680|0#2#1017|0#3#212|0#4#424|0#9#212|0#10#424|0#11#212|0#12#424|1#1#4946|1#2#50880|1#3#212|1#4#424|1#9#212|1#10#424|1#11#212|1#12#424|2#1#14840|2#2#25440|2#3#212|2#4#424|2#9#212|2#10#424|2#11#212|2#12#424</v>
      </c>
      <c r="H213" s="22"/>
      <c r="I213" s="28">
        <v>4200000000</v>
      </c>
      <c r="J213" s="198">
        <v>212</v>
      </c>
      <c r="K213" s="183">
        <f t="shared" si="51"/>
        <v>29680</v>
      </c>
      <c r="L213" s="183">
        <f t="shared" si="52"/>
        <v>50880</v>
      </c>
      <c r="M213" s="183">
        <f t="shared" si="53"/>
        <v>212</v>
      </c>
      <c r="N213" s="183">
        <f t="shared" si="54"/>
        <v>424</v>
      </c>
      <c r="O213" s="183">
        <f t="shared" si="56"/>
        <v>212</v>
      </c>
      <c r="P213" s="183">
        <f t="shared" si="57"/>
        <v>424</v>
      </c>
      <c r="Q213" s="183">
        <f t="shared" si="58"/>
        <v>212</v>
      </c>
      <c r="R213" s="183">
        <f t="shared" si="59"/>
        <v>424</v>
      </c>
      <c r="S213" s="183">
        <f t="shared" si="60"/>
        <v>212</v>
      </c>
      <c r="T213" s="183">
        <f t="shared" si="61"/>
        <v>424</v>
      </c>
      <c r="U213" s="183">
        <f t="shared" si="62"/>
        <v>212</v>
      </c>
      <c r="V213" s="183">
        <f t="shared" si="63"/>
        <v>424</v>
      </c>
      <c r="W213" s="12">
        <f>K213*属性价值参考!C$5+升级!L213*属性价值参考!C$6+升级!M213*属性价值参考!C$7+升级!N213*属性价值参考!C$8+升级!S213*属性价值参考!C$9+升级!T213*属性价值参考!C$10+升级!U213*属性价值参考!C$11+升级!V213*属性价值参考!C$12</f>
        <v>248752.31999999995</v>
      </c>
    </row>
    <row r="214" spans="1:23" x14ac:dyDescent="0.3">
      <c r="A214" s="22"/>
      <c r="B214" s="22"/>
      <c r="C214" s="24">
        <v>213</v>
      </c>
      <c r="D214" s="27" t="str">
        <f t="shared" si="48"/>
        <v>0#1#29820|0#2#1022|0#3#213|0#4#426|0#9#213|0#10#426|0#11#213|0#12#426</v>
      </c>
      <c r="E214" s="27" t="str">
        <f t="shared" si="49"/>
        <v>1#1#4970|1#2#51120|1#3#213|1#4#426|1#9#213|1#10#426|1#11#213|1#12#426</v>
      </c>
      <c r="F214" s="27" t="str">
        <f t="shared" si="50"/>
        <v>2#1#14910|2#2#25560|2#3#213|2#4#426|2#9#213|2#10#426|2#11#213|2#12#426</v>
      </c>
      <c r="G214" s="27" t="str">
        <f t="shared" si="55"/>
        <v>0#1#29820|0#2#1022|0#3#213|0#4#426|0#9#213|0#10#426|0#11#213|0#12#426|1#1#4970|1#2#51120|1#3#213|1#4#426|1#9#213|1#10#426|1#11#213|1#12#426|2#1#14910|2#2#25560|2#3#213|2#4#426|2#9#213|2#10#426|2#11#213|2#12#426</v>
      </c>
      <c r="H214" s="22"/>
      <c r="I214" s="25">
        <v>4200000000</v>
      </c>
      <c r="J214" s="197">
        <v>213</v>
      </c>
      <c r="K214" s="183">
        <f t="shared" si="51"/>
        <v>29820</v>
      </c>
      <c r="L214" s="183">
        <f t="shared" si="52"/>
        <v>51120</v>
      </c>
      <c r="M214" s="183">
        <f t="shared" si="53"/>
        <v>213</v>
      </c>
      <c r="N214" s="183">
        <f t="shared" si="54"/>
        <v>426</v>
      </c>
      <c r="O214" s="183">
        <f t="shared" si="56"/>
        <v>213</v>
      </c>
      <c r="P214" s="183">
        <f t="shared" si="57"/>
        <v>426</v>
      </c>
      <c r="Q214" s="183">
        <f t="shared" si="58"/>
        <v>213</v>
      </c>
      <c r="R214" s="183">
        <f t="shared" si="59"/>
        <v>426</v>
      </c>
      <c r="S214" s="183">
        <f t="shared" si="60"/>
        <v>213</v>
      </c>
      <c r="T214" s="183">
        <f t="shared" si="61"/>
        <v>426</v>
      </c>
      <c r="U214" s="183">
        <f t="shared" si="62"/>
        <v>213</v>
      </c>
      <c r="V214" s="183">
        <f t="shared" si="63"/>
        <v>426</v>
      </c>
      <c r="W214" s="12">
        <f>K214*属性价值参考!C$5+升级!L214*属性价值参考!C$6+升级!M214*属性价值参考!C$7+升级!N214*属性价值参考!C$8+升级!S214*属性价值参考!C$9+升级!T214*属性价值参考!C$10+升级!U214*属性价值参考!C$11+升级!V214*属性价值参考!C$12</f>
        <v>249925.68000000005</v>
      </c>
    </row>
    <row r="215" spans="1:23" x14ac:dyDescent="0.3">
      <c r="A215" s="22"/>
      <c r="B215" s="22"/>
      <c r="C215" s="27">
        <v>214</v>
      </c>
      <c r="D215" s="27" t="str">
        <f t="shared" si="48"/>
        <v>0#1#29960|0#2#1027|0#3#214|0#4#428|0#9#214|0#10#428|0#11#214|0#12#428</v>
      </c>
      <c r="E215" s="27" t="str">
        <f t="shared" si="49"/>
        <v>1#1#4993|1#2#51360|1#3#214|1#4#428|1#9#214|1#10#428|1#11#214|1#12#428</v>
      </c>
      <c r="F215" s="27" t="str">
        <f t="shared" si="50"/>
        <v>2#1#14980|2#2#25680|2#3#214|2#4#428|2#9#214|2#10#428|2#11#214|2#12#428</v>
      </c>
      <c r="G215" s="27" t="str">
        <f t="shared" si="55"/>
        <v>0#1#29960|0#2#1027|0#3#214|0#4#428|0#9#214|0#10#428|0#11#214|0#12#428|1#1#4993|1#2#51360|1#3#214|1#4#428|1#9#214|1#10#428|1#11#214|1#12#428|2#1#14980|2#2#25680|2#3#214|2#4#428|2#9#214|2#10#428|2#11#214|2#12#428</v>
      </c>
      <c r="H215" s="22"/>
      <c r="I215" s="28">
        <v>4200000000</v>
      </c>
      <c r="J215" s="198">
        <v>214</v>
      </c>
      <c r="K215" s="183">
        <f t="shared" si="51"/>
        <v>29960</v>
      </c>
      <c r="L215" s="183">
        <f t="shared" si="52"/>
        <v>51360</v>
      </c>
      <c r="M215" s="183">
        <f t="shared" si="53"/>
        <v>214</v>
      </c>
      <c r="N215" s="183">
        <f t="shared" si="54"/>
        <v>428</v>
      </c>
      <c r="O215" s="183">
        <f t="shared" si="56"/>
        <v>214</v>
      </c>
      <c r="P215" s="183">
        <f t="shared" si="57"/>
        <v>428</v>
      </c>
      <c r="Q215" s="183">
        <f t="shared" si="58"/>
        <v>214</v>
      </c>
      <c r="R215" s="183">
        <f t="shared" si="59"/>
        <v>428</v>
      </c>
      <c r="S215" s="183">
        <f t="shared" si="60"/>
        <v>214</v>
      </c>
      <c r="T215" s="183">
        <f t="shared" si="61"/>
        <v>428</v>
      </c>
      <c r="U215" s="183">
        <f t="shared" si="62"/>
        <v>214</v>
      </c>
      <c r="V215" s="183">
        <f t="shared" si="63"/>
        <v>428</v>
      </c>
      <c r="W215" s="12">
        <f>K215*属性价值参考!C$5+升级!L215*属性价值参考!C$6+升级!M215*属性价值参考!C$7+升级!N215*属性价值参考!C$8+升级!S215*属性价值参考!C$9+升级!T215*属性价值参考!C$10+升级!U215*属性价值参考!C$11+升级!V215*属性价值参考!C$12</f>
        <v>251099.03999999995</v>
      </c>
    </row>
    <row r="216" spans="1:23" x14ac:dyDescent="0.3">
      <c r="A216" s="22"/>
      <c r="B216" s="22"/>
      <c r="C216" s="24">
        <v>215</v>
      </c>
      <c r="D216" s="27" t="str">
        <f t="shared" si="48"/>
        <v>0#1#30100|0#2#1032|0#3#215|0#4#430|0#9#215|0#10#430|0#11#215|0#12#430</v>
      </c>
      <c r="E216" s="27" t="str">
        <f t="shared" si="49"/>
        <v>1#1#5016|1#2#51600|1#3#215|1#4#430|1#9#215|1#10#430|1#11#215|1#12#430</v>
      </c>
      <c r="F216" s="27" t="str">
        <f t="shared" si="50"/>
        <v>2#1#15050|2#2#25800|2#3#215|2#4#430|2#9#215|2#10#430|2#11#215|2#12#430</v>
      </c>
      <c r="G216" s="27" t="str">
        <f t="shared" si="55"/>
        <v>0#1#30100|0#2#1032|0#3#215|0#4#430|0#9#215|0#10#430|0#11#215|0#12#430|1#1#5016|1#2#51600|1#3#215|1#4#430|1#9#215|1#10#430|1#11#215|1#12#430|2#1#15050|2#2#25800|2#3#215|2#4#430|2#9#215|2#10#430|2#11#215|2#12#430</v>
      </c>
      <c r="H216" s="22"/>
      <c r="I216" s="25">
        <v>4200000000</v>
      </c>
      <c r="J216" s="197">
        <v>215</v>
      </c>
      <c r="K216" s="183">
        <f t="shared" si="51"/>
        <v>30100</v>
      </c>
      <c r="L216" s="183">
        <f t="shared" si="52"/>
        <v>51600</v>
      </c>
      <c r="M216" s="183">
        <f t="shared" si="53"/>
        <v>215</v>
      </c>
      <c r="N216" s="183">
        <f t="shared" si="54"/>
        <v>430</v>
      </c>
      <c r="O216" s="183">
        <f t="shared" si="56"/>
        <v>215</v>
      </c>
      <c r="P216" s="183">
        <f t="shared" si="57"/>
        <v>430</v>
      </c>
      <c r="Q216" s="183">
        <f t="shared" si="58"/>
        <v>215</v>
      </c>
      <c r="R216" s="183">
        <f t="shared" si="59"/>
        <v>430</v>
      </c>
      <c r="S216" s="183">
        <f t="shared" si="60"/>
        <v>215</v>
      </c>
      <c r="T216" s="183">
        <f t="shared" si="61"/>
        <v>430</v>
      </c>
      <c r="U216" s="183">
        <f t="shared" si="62"/>
        <v>215</v>
      </c>
      <c r="V216" s="183">
        <f t="shared" si="63"/>
        <v>430</v>
      </c>
      <c r="W216" s="12">
        <f>K216*属性价值参考!C$5+升级!L216*属性价值参考!C$6+升级!M216*属性价值参考!C$7+升级!N216*属性价值参考!C$8+升级!S216*属性价值参考!C$9+升级!T216*属性价值参考!C$10+升级!U216*属性价值参考!C$11+升级!V216*属性价值参考!C$12</f>
        <v>252272.4</v>
      </c>
    </row>
    <row r="217" spans="1:23" x14ac:dyDescent="0.3">
      <c r="A217" s="22"/>
      <c r="B217" s="22"/>
      <c r="C217" s="27">
        <v>216</v>
      </c>
      <c r="D217" s="27" t="str">
        <f t="shared" si="48"/>
        <v>0#1#30240|0#2#1036|0#3#216|0#4#432|0#9#216|0#10#432|0#11#216|0#12#432</v>
      </c>
      <c r="E217" s="27" t="str">
        <f t="shared" si="49"/>
        <v>1#1#5040|1#2#51840|1#3#216|1#4#432|1#9#216|1#10#432|1#11#216|1#12#432</v>
      </c>
      <c r="F217" s="27" t="str">
        <f t="shared" si="50"/>
        <v>2#1#15120|2#2#25920|2#3#216|2#4#432|2#9#216|2#10#432|2#11#216|2#12#432</v>
      </c>
      <c r="G217" s="27" t="str">
        <f t="shared" si="55"/>
        <v>0#1#30240|0#2#1036|0#3#216|0#4#432|0#9#216|0#10#432|0#11#216|0#12#432|1#1#5040|1#2#51840|1#3#216|1#4#432|1#9#216|1#10#432|1#11#216|1#12#432|2#1#15120|2#2#25920|2#3#216|2#4#432|2#9#216|2#10#432|2#11#216|2#12#432</v>
      </c>
      <c r="H217" s="22"/>
      <c r="I217" s="28">
        <v>4200000000</v>
      </c>
      <c r="J217" s="198">
        <v>216</v>
      </c>
      <c r="K217" s="183">
        <f t="shared" si="51"/>
        <v>30240</v>
      </c>
      <c r="L217" s="183">
        <f t="shared" si="52"/>
        <v>51840</v>
      </c>
      <c r="M217" s="183">
        <f t="shared" si="53"/>
        <v>216</v>
      </c>
      <c r="N217" s="183">
        <f t="shared" si="54"/>
        <v>432</v>
      </c>
      <c r="O217" s="183">
        <f t="shared" si="56"/>
        <v>216</v>
      </c>
      <c r="P217" s="183">
        <f t="shared" si="57"/>
        <v>432</v>
      </c>
      <c r="Q217" s="183">
        <f t="shared" si="58"/>
        <v>216</v>
      </c>
      <c r="R217" s="183">
        <f t="shared" si="59"/>
        <v>432</v>
      </c>
      <c r="S217" s="183">
        <f t="shared" si="60"/>
        <v>216</v>
      </c>
      <c r="T217" s="183">
        <f t="shared" si="61"/>
        <v>432</v>
      </c>
      <c r="U217" s="183">
        <f t="shared" si="62"/>
        <v>216</v>
      </c>
      <c r="V217" s="183">
        <f t="shared" si="63"/>
        <v>432</v>
      </c>
      <c r="W217" s="12">
        <f>K217*属性价值参考!C$5+升级!L217*属性价值参考!C$6+升级!M217*属性价值参考!C$7+升级!N217*属性价值参考!C$8+升级!S217*属性价值参考!C$9+升级!T217*属性价值参考!C$10+升级!U217*属性价值参考!C$11+升级!V217*属性价值参考!C$12</f>
        <v>253445.75999999998</v>
      </c>
    </row>
    <row r="218" spans="1:23" x14ac:dyDescent="0.3">
      <c r="A218" s="22"/>
      <c r="B218" s="22"/>
      <c r="C218" s="24">
        <v>217</v>
      </c>
      <c r="D218" s="27" t="str">
        <f t="shared" si="48"/>
        <v>0#1#30380|0#2#1041|0#3#217|0#4#434|0#9#217|0#10#434|0#11#217|0#12#434</v>
      </c>
      <c r="E218" s="27" t="str">
        <f t="shared" si="49"/>
        <v>1#1#5063|1#2#52080|1#3#217|1#4#434|1#9#217|1#10#434|1#11#217|1#12#434</v>
      </c>
      <c r="F218" s="27" t="str">
        <f t="shared" si="50"/>
        <v>2#1#15190|2#2#26040|2#3#217|2#4#434|2#9#217|2#10#434|2#11#217|2#12#434</v>
      </c>
      <c r="G218" s="27" t="str">
        <f t="shared" si="55"/>
        <v>0#1#30380|0#2#1041|0#3#217|0#4#434|0#9#217|0#10#434|0#11#217|0#12#434|1#1#5063|1#2#52080|1#3#217|1#4#434|1#9#217|1#10#434|1#11#217|1#12#434|2#1#15190|2#2#26040|2#3#217|2#4#434|2#9#217|2#10#434|2#11#217|2#12#434</v>
      </c>
      <c r="H218" s="22"/>
      <c r="I218" s="25">
        <v>4200000000</v>
      </c>
      <c r="J218" s="197">
        <v>217</v>
      </c>
      <c r="K218" s="183">
        <f t="shared" si="51"/>
        <v>30380</v>
      </c>
      <c r="L218" s="183">
        <f t="shared" si="52"/>
        <v>52080</v>
      </c>
      <c r="M218" s="183">
        <f t="shared" si="53"/>
        <v>217</v>
      </c>
      <c r="N218" s="183">
        <f t="shared" si="54"/>
        <v>434</v>
      </c>
      <c r="O218" s="183">
        <f t="shared" si="56"/>
        <v>217</v>
      </c>
      <c r="P218" s="183">
        <f t="shared" si="57"/>
        <v>434</v>
      </c>
      <c r="Q218" s="183">
        <f t="shared" si="58"/>
        <v>217</v>
      </c>
      <c r="R218" s="183">
        <f t="shared" si="59"/>
        <v>434</v>
      </c>
      <c r="S218" s="183">
        <f t="shared" si="60"/>
        <v>217</v>
      </c>
      <c r="T218" s="183">
        <f t="shared" si="61"/>
        <v>434</v>
      </c>
      <c r="U218" s="183">
        <f t="shared" si="62"/>
        <v>217</v>
      </c>
      <c r="V218" s="183">
        <f t="shared" si="63"/>
        <v>434</v>
      </c>
      <c r="W218" s="12">
        <f>K218*属性价值参考!C$5+升级!L218*属性价值参考!C$6+升级!M218*属性价值参考!C$7+升级!N218*属性价值参考!C$8+升级!S218*属性价值参考!C$9+升级!T218*属性价值参考!C$10+升级!U218*属性价值参考!C$11+升级!V218*属性价值参考!C$12</f>
        <v>254619.11999999994</v>
      </c>
    </row>
    <row r="219" spans="1:23" x14ac:dyDescent="0.3">
      <c r="A219" s="22"/>
      <c r="B219" s="22"/>
      <c r="C219" s="27">
        <v>218</v>
      </c>
      <c r="D219" s="27" t="str">
        <f t="shared" si="48"/>
        <v>0#1#30520|0#2#1046|0#3#218|0#4#436|0#9#218|0#10#436|0#11#218|0#12#436</v>
      </c>
      <c r="E219" s="27" t="str">
        <f t="shared" si="49"/>
        <v>1#1#5086|1#2#52320|1#3#218|1#4#436|1#9#218|1#10#436|1#11#218|1#12#436</v>
      </c>
      <c r="F219" s="27" t="str">
        <f t="shared" si="50"/>
        <v>2#1#15260|2#2#26160|2#3#218|2#4#436|2#9#218|2#10#436|2#11#218|2#12#436</v>
      </c>
      <c r="G219" s="27" t="str">
        <f t="shared" si="55"/>
        <v>0#1#30520|0#2#1046|0#3#218|0#4#436|0#9#218|0#10#436|0#11#218|0#12#436|1#1#5086|1#2#52320|1#3#218|1#4#436|1#9#218|1#10#436|1#11#218|1#12#436|2#1#15260|2#2#26160|2#3#218|2#4#436|2#9#218|2#10#436|2#11#218|2#12#436</v>
      </c>
      <c r="H219" s="22"/>
      <c r="I219" s="28">
        <v>4200000000</v>
      </c>
      <c r="J219" s="198">
        <v>218</v>
      </c>
      <c r="K219" s="183">
        <f t="shared" si="51"/>
        <v>30520</v>
      </c>
      <c r="L219" s="183">
        <f t="shared" si="52"/>
        <v>52320</v>
      </c>
      <c r="M219" s="183">
        <f t="shared" si="53"/>
        <v>218</v>
      </c>
      <c r="N219" s="183">
        <f t="shared" si="54"/>
        <v>436</v>
      </c>
      <c r="O219" s="183">
        <f t="shared" si="56"/>
        <v>218</v>
      </c>
      <c r="P219" s="183">
        <f t="shared" si="57"/>
        <v>436</v>
      </c>
      <c r="Q219" s="183">
        <f t="shared" si="58"/>
        <v>218</v>
      </c>
      <c r="R219" s="183">
        <f t="shared" si="59"/>
        <v>436</v>
      </c>
      <c r="S219" s="183">
        <f t="shared" si="60"/>
        <v>218</v>
      </c>
      <c r="T219" s="183">
        <f t="shared" si="61"/>
        <v>436</v>
      </c>
      <c r="U219" s="183">
        <f t="shared" si="62"/>
        <v>218</v>
      </c>
      <c r="V219" s="183">
        <f t="shared" si="63"/>
        <v>436</v>
      </c>
      <c r="W219" s="12">
        <f>K219*属性价值参考!C$5+升级!L219*属性价值参考!C$6+升级!M219*属性价值参考!C$7+升级!N219*属性价值参考!C$8+升级!S219*属性价值参考!C$9+升级!T219*属性价值参考!C$10+升级!U219*属性价值参考!C$11+升级!V219*属性价值参考!C$12</f>
        <v>255792.48000000007</v>
      </c>
    </row>
    <row r="220" spans="1:23" x14ac:dyDescent="0.3">
      <c r="A220" s="22"/>
      <c r="B220" s="22"/>
      <c r="C220" s="24">
        <v>219</v>
      </c>
      <c r="D220" s="27" t="str">
        <f t="shared" si="48"/>
        <v>0#1#30660|0#2#1051|0#3#219|0#4#438|0#9#219|0#10#438|0#11#219|0#12#438</v>
      </c>
      <c r="E220" s="27" t="str">
        <f t="shared" si="49"/>
        <v>1#1#5110|1#2#52560|1#3#219|1#4#438|1#9#219|1#10#438|1#11#219|1#12#438</v>
      </c>
      <c r="F220" s="27" t="str">
        <f t="shared" si="50"/>
        <v>2#1#15330|2#2#26280|2#3#219|2#4#438|2#9#219|2#10#438|2#11#219|2#12#438</v>
      </c>
      <c r="G220" s="27" t="str">
        <f t="shared" si="55"/>
        <v>0#1#30660|0#2#1051|0#3#219|0#4#438|0#9#219|0#10#438|0#11#219|0#12#438|1#1#5110|1#2#52560|1#3#219|1#4#438|1#9#219|1#10#438|1#11#219|1#12#438|2#1#15330|2#2#26280|2#3#219|2#4#438|2#9#219|2#10#438|2#11#219|2#12#438</v>
      </c>
      <c r="H220" s="22"/>
      <c r="I220" s="25">
        <v>4200000000</v>
      </c>
      <c r="J220" s="197">
        <v>219</v>
      </c>
      <c r="K220" s="183">
        <f t="shared" si="51"/>
        <v>30660</v>
      </c>
      <c r="L220" s="183">
        <f t="shared" si="52"/>
        <v>52560</v>
      </c>
      <c r="M220" s="183">
        <f t="shared" si="53"/>
        <v>219</v>
      </c>
      <c r="N220" s="183">
        <f t="shared" si="54"/>
        <v>438</v>
      </c>
      <c r="O220" s="183">
        <f t="shared" si="56"/>
        <v>219</v>
      </c>
      <c r="P220" s="183">
        <f t="shared" si="57"/>
        <v>438</v>
      </c>
      <c r="Q220" s="183">
        <f t="shared" si="58"/>
        <v>219</v>
      </c>
      <c r="R220" s="183">
        <f t="shared" si="59"/>
        <v>438</v>
      </c>
      <c r="S220" s="183">
        <f t="shared" si="60"/>
        <v>219</v>
      </c>
      <c r="T220" s="183">
        <f t="shared" si="61"/>
        <v>438</v>
      </c>
      <c r="U220" s="183">
        <f t="shared" si="62"/>
        <v>219</v>
      </c>
      <c r="V220" s="183">
        <f t="shared" si="63"/>
        <v>438</v>
      </c>
      <c r="W220" s="12">
        <f>K220*属性价值参考!C$5+升级!L220*属性价值参考!C$6+升级!M220*属性价值参考!C$7+升级!N220*属性价值参考!C$8+升级!S220*属性价值参考!C$9+升级!T220*属性价值参考!C$10+升级!U220*属性价值参考!C$11+升级!V220*属性价值参考!C$12</f>
        <v>256965.83999999997</v>
      </c>
    </row>
    <row r="221" spans="1:23" x14ac:dyDescent="0.3">
      <c r="A221" s="22"/>
      <c r="B221" s="22"/>
      <c r="C221" s="27">
        <v>220</v>
      </c>
      <c r="D221" s="27" t="str">
        <f t="shared" si="48"/>
        <v>0#1#30800|0#2#1056|0#3#220|0#4#440|0#9#220|0#10#440|0#11#220|0#12#440</v>
      </c>
      <c r="E221" s="27" t="str">
        <f t="shared" si="49"/>
        <v>1#1#5133|1#2#52800|1#3#220|1#4#440|1#9#220|1#10#440|1#11#220|1#12#440</v>
      </c>
      <c r="F221" s="27" t="str">
        <f t="shared" si="50"/>
        <v>2#1#15400|2#2#26400|2#3#220|2#4#440|2#9#220|2#10#440|2#11#220|2#12#440</v>
      </c>
      <c r="G221" s="27" t="str">
        <f t="shared" si="55"/>
        <v>0#1#30800|0#2#1056|0#3#220|0#4#440|0#9#220|0#10#440|0#11#220|0#12#440|1#1#5133|1#2#52800|1#3#220|1#4#440|1#9#220|1#10#440|1#11#220|1#12#440|2#1#15400|2#2#26400|2#3#220|2#4#440|2#9#220|2#10#440|2#11#220|2#12#440</v>
      </c>
      <c r="H221" s="22"/>
      <c r="I221" s="28">
        <v>4200000000</v>
      </c>
      <c r="J221" s="198">
        <v>220</v>
      </c>
      <c r="K221" s="183">
        <f t="shared" si="51"/>
        <v>30800</v>
      </c>
      <c r="L221" s="183">
        <f t="shared" si="52"/>
        <v>52800</v>
      </c>
      <c r="M221" s="183">
        <f t="shared" si="53"/>
        <v>220</v>
      </c>
      <c r="N221" s="183">
        <f t="shared" si="54"/>
        <v>440</v>
      </c>
      <c r="O221" s="183">
        <f t="shared" si="56"/>
        <v>220</v>
      </c>
      <c r="P221" s="183">
        <f t="shared" si="57"/>
        <v>440</v>
      </c>
      <c r="Q221" s="183">
        <f t="shared" si="58"/>
        <v>220</v>
      </c>
      <c r="R221" s="183">
        <f t="shared" si="59"/>
        <v>440</v>
      </c>
      <c r="S221" s="183">
        <f t="shared" si="60"/>
        <v>220</v>
      </c>
      <c r="T221" s="183">
        <f t="shared" si="61"/>
        <v>440</v>
      </c>
      <c r="U221" s="183">
        <f t="shared" si="62"/>
        <v>220</v>
      </c>
      <c r="V221" s="183">
        <f t="shared" si="63"/>
        <v>440</v>
      </c>
      <c r="W221" s="12">
        <f>K221*属性价值参考!C$5+升级!L221*属性价值参考!C$6+升级!M221*属性价值参考!C$7+升级!N221*属性价值参考!C$8+升级!S221*属性价值参考!C$9+升级!T221*属性价值参考!C$10+升级!U221*属性价值参考!C$11+升级!V221*属性价值参考!C$12</f>
        <v>258139.2</v>
      </c>
    </row>
    <row r="222" spans="1:23" x14ac:dyDescent="0.3">
      <c r="A222" s="22"/>
      <c r="B222" s="22"/>
      <c r="C222" s="24">
        <v>221</v>
      </c>
      <c r="D222" s="27" t="str">
        <f t="shared" si="48"/>
        <v>0#1#30940|0#2#1060|0#3#221|0#4#442|0#9#221|0#10#442|0#11#221|0#12#442</v>
      </c>
      <c r="E222" s="27" t="str">
        <f t="shared" si="49"/>
        <v>1#1#5156|1#2#53040|1#3#221|1#4#442|1#9#221|1#10#442|1#11#221|1#12#442</v>
      </c>
      <c r="F222" s="27" t="str">
        <f t="shared" si="50"/>
        <v>2#1#15470|2#2#26520|2#3#221|2#4#442|2#9#221|2#10#442|2#11#221|2#12#442</v>
      </c>
      <c r="G222" s="27" t="str">
        <f t="shared" si="55"/>
        <v>0#1#30940|0#2#1060|0#3#221|0#4#442|0#9#221|0#10#442|0#11#221|0#12#442|1#1#5156|1#2#53040|1#3#221|1#4#442|1#9#221|1#10#442|1#11#221|1#12#442|2#1#15470|2#2#26520|2#3#221|2#4#442|2#9#221|2#10#442|2#11#221|2#12#442</v>
      </c>
      <c r="H222" s="22"/>
      <c r="I222" s="25">
        <v>4200000000</v>
      </c>
      <c r="J222" s="197">
        <v>221</v>
      </c>
      <c r="K222" s="183">
        <f t="shared" si="51"/>
        <v>30940</v>
      </c>
      <c r="L222" s="183">
        <f t="shared" si="52"/>
        <v>53040</v>
      </c>
      <c r="M222" s="183">
        <f t="shared" si="53"/>
        <v>221</v>
      </c>
      <c r="N222" s="183">
        <f t="shared" si="54"/>
        <v>442</v>
      </c>
      <c r="O222" s="183">
        <f t="shared" si="56"/>
        <v>221</v>
      </c>
      <c r="P222" s="183">
        <f t="shared" si="57"/>
        <v>442</v>
      </c>
      <c r="Q222" s="183">
        <f t="shared" si="58"/>
        <v>221</v>
      </c>
      <c r="R222" s="183">
        <f t="shared" si="59"/>
        <v>442</v>
      </c>
      <c r="S222" s="183">
        <f t="shared" si="60"/>
        <v>221</v>
      </c>
      <c r="T222" s="183">
        <f t="shared" si="61"/>
        <v>442</v>
      </c>
      <c r="U222" s="183">
        <f t="shared" si="62"/>
        <v>221</v>
      </c>
      <c r="V222" s="183">
        <f t="shared" si="63"/>
        <v>442</v>
      </c>
      <c r="W222" s="12">
        <f>K222*属性价值参考!C$5+升级!L222*属性价值参考!C$6+升级!M222*属性价值参考!C$7+升级!N222*属性价值参考!C$8+升级!S222*属性价值参考!C$9+升级!T222*属性价值参考!C$10+升级!U222*属性价值参考!C$11+升级!V222*属性价值参考!C$12</f>
        <v>259312.56</v>
      </c>
    </row>
    <row r="223" spans="1:23" x14ac:dyDescent="0.3">
      <c r="A223" s="22"/>
      <c r="B223" s="22"/>
      <c r="C223" s="27">
        <v>222</v>
      </c>
      <c r="D223" s="27" t="str">
        <f t="shared" si="48"/>
        <v>0#1#31080|0#2#1065|0#3#222|0#4#444|0#9#222|0#10#444|0#11#222|0#12#444</v>
      </c>
      <c r="E223" s="27" t="str">
        <f t="shared" si="49"/>
        <v>1#1#5180|1#2#53280|1#3#222|1#4#444|1#9#222|1#10#444|1#11#222|1#12#444</v>
      </c>
      <c r="F223" s="27" t="str">
        <f t="shared" si="50"/>
        <v>2#1#15540|2#2#26640|2#3#222|2#4#444|2#9#222|2#10#444|2#11#222|2#12#444</v>
      </c>
      <c r="G223" s="27" t="str">
        <f t="shared" si="55"/>
        <v>0#1#31080|0#2#1065|0#3#222|0#4#444|0#9#222|0#10#444|0#11#222|0#12#444|1#1#5180|1#2#53280|1#3#222|1#4#444|1#9#222|1#10#444|1#11#222|1#12#444|2#1#15540|2#2#26640|2#3#222|2#4#444|2#9#222|2#10#444|2#11#222|2#12#444</v>
      </c>
      <c r="H223" s="22"/>
      <c r="I223" s="28">
        <v>4200000000</v>
      </c>
      <c r="J223" s="198">
        <v>222</v>
      </c>
      <c r="K223" s="183">
        <f t="shared" si="51"/>
        <v>31080</v>
      </c>
      <c r="L223" s="183">
        <f t="shared" si="52"/>
        <v>53280</v>
      </c>
      <c r="M223" s="183">
        <f t="shared" si="53"/>
        <v>222</v>
      </c>
      <c r="N223" s="183">
        <f t="shared" si="54"/>
        <v>444</v>
      </c>
      <c r="O223" s="183">
        <f t="shared" si="56"/>
        <v>222</v>
      </c>
      <c r="P223" s="183">
        <f t="shared" si="57"/>
        <v>444</v>
      </c>
      <c r="Q223" s="183">
        <f t="shared" si="58"/>
        <v>222</v>
      </c>
      <c r="R223" s="183">
        <f t="shared" si="59"/>
        <v>444</v>
      </c>
      <c r="S223" s="183">
        <f t="shared" si="60"/>
        <v>222</v>
      </c>
      <c r="T223" s="183">
        <f t="shared" si="61"/>
        <v>444</v>
      </c>
      <c r="U223" s="183">
        <f t="shared" si="62"/>
        <v>222</v>
      </c>
      <c r="V223" s="183">
        <f t="shared" si="63"/>
        <v>444</v>
      </c>
      <c r="W223" s="12">
        <f>K223*属性价值参考!C$5+升级!L223*属性价值参考!C$6+升级!M223*属性价值参考!C$7+升级!N223*属性价值参考!C$8+升级!S223*属性价值参考!C$9+升级!T223*属性价值参考!C$10+升级!U223*属性价值参考!C$11+升级!V223*属性价值参考!C$12</f>
        <v>260485.91999999998</v>
      </c>
    </row>
    <row r="224" spans="1:23" x14ac:dyDescent="0.3">
      <c r="A224" s="22"/>
      <c r="B224" s="22"/>
      <c r="C224" s="24">
        <v>223</v>
      </c>
      <c r="D224" s="27" t="str">
        <f t="shared" si="48"/>
        <v>0#1#31220|0#2#1070|0#3#223|0#4#446|0#9#223|0#10#446|0#11#223|0#12#446</v>
      </c>
      <c r="E224" s="27" t="str">
        <f t="shared" si="49"/>
        <v>1#1#5203|1#2#53520|1#3#223|1#4#446|1#9#223|1#10#446|1#11#223|1#12#446</v>
      </c>
      <c r="F224" s="27" t="str">
        <f t="shared" si="50"/>
        <v>2#1#15610|2#2#26760|2#3#223|2#4#446|2#9#223|2#10#446|2#11#223|2#12#446</v>
      </c>
      <c r="G224" s="27" t="str">
        <f t="shared" si="55"/>
        <v>0#1#31220|0#2#1070|0#3#223|0#4#446|0#9#223|0#10#446|0#11#223|0#12#446|1#1#5203|1#2#53520|1#3#223|1#4#446|1#9#223|1#10#446|1#11#223|1#12#446|2#1#15610|2#2#26760|2#3#223|2#4#446|2#9#223|2#10#446|2#11#223|2#12#446</v>
      </c>
      <c r="H224" s="22"/>
      <c r="I224" s="25">
        <v>4200000000</v>
      </c>
      <c r="J224" s="197">
        <v>223</v>
      </c>
      <c r="K224" s="183">
        <f t="shared" si="51"/>
        <v>31220</v>
      </c>
      <c r="L224" s="183">
        <f t="shared" si="52"/>
        <v>53520</v>
      </c>
      <c r="M224" s="183">
        <f t="shared" si="53"/>
        <v>223</v>
      </c>
      <c r="N224" s="183">
        <f t="shared" si="54"/>
        <v>446</v>
      </c>
      <c r="O224" s="183">
        <f t="shared" si="56"/>
        <v>223</v>
      </c>
      <c r="P224" s="183">
        <f t="shared" si="57"/>
        <v>446</v>
      </c>
      <c r="Q224" s="183">
        <f t="shared" si="58"/>
        <v>223</v>
      </c>
      <c r="R224" s="183">
        <f t="shared" si="59"/>
        <v>446</v>
      </c>
      <c r="S224" s="183">
        <f t="shared" si="60"/>
        <v>223</v>
      </c>
      <c r="T224" s="183">
        <f t="shared" si="61"/>
        <v>446</v>
      </c>
      <c r="U224" s="183">
        <f t="shared" si="62"/>
        <v>223</v>
      </c>
      <c r="V224" s="183">
        <f t="shared" si="63"/>
        <v>446</v>
      </c>
      <c r="W224" s="12">
        <f>K224*属性价值参考!C$5+升级!L224*属性价值参考!C$6+升级!M224*属性价值参考!C$7+升级!N224*属性价值参考!C$8+升级!S224*属性价值参考!C$9+升级!T224*属性价值参考!C$10+升级!U224*属性价值参考!C$11+升级!V224*属性价值参考!C$12</f>
        <v>261659.28000000003</v>
      </c>
    </row>
    <row r="225" spans="1:23" x14ac:dyDescent="0.3">
      <c r="A225" s="22"/>
      <c r="B225" s="22"/>
      <c r="C225" s="27">
        <v>224</v>
      </c>
      <c r="D225" s="27" t="str">
        <f t="shared" si="48"/>
        <v>0#1#31360|0#2#1075|0#3#224|0#4#448|0#9#224|0#10#448|0#11#224|0#12#448</v>
      </c>
      <c r="E225" s="27" t="str">
        <f t="shared" si="49"/>
        <v>1#1#5226|1#2#53760|1#3#224|1#4#448|1#9#224|1#10#448|1#11#224|1#12#448</v>
      </c>
      <c r="F225" s="27" t="str">
        <f t="shared" si="50"/>
        <v>2#1#15680|2#2#26880|2#3#224|2#4#448|2#9#224|2#10#448|2#11#224|2#12#448</v>
      </c>
      <c r="G225" s="27" t="str">
        <f t="shared" si="55"/>
        <v>0#1#31360|0#2#1075|0#3#224|0#4#448|0#9#224|0#10#448|0#11#224|0#12#448|1#1#5226|1#2#53760|1#3#224|1#4#448|1#9#224|1#10#448|1#11#224|1#12#448|2#1#15680|2#2#26880|2#3#224|2#4#448|2#9#224|2#10#448|2#11#224|2#12#448</v>
      </c>
      <c r="H225" s="22"/>
      <c r="I225" s="28">
        <v>4200000000</v>
      </c>
      <c r="J225" s="198">
        <v>224</v>
      </c>
      <c r="K225" s="183">
        <f t="shared" si="51"/>
        <v>31360</v>
      </c>
      <c r="L225" s="183">
        <f t="shared" si="52"/>
        <v>53760</v>
      </c>
      <c r="M225" s="183">
        <f t="shared" si="53"/>
        <v>224</v>
      </c>
      <c r="N225" s="183">
        <f t="shared" si="54"/>
        <v>448</v>
      </c>
      <c r="O225" s="183">
        <f t="shared" si="56"/>
        <v>224</v>
      </c>
      <c r="P225" s="183">
        <f t="shared" si="57"/>
        <v>448</v>
      </c>
      <c r="Q225" s="183">
        <f t="shared" si="58"/>
        <v>224</v>
      </c>
      <c r="R225" s="183">
        <f t="shared" si="59"/>
        <v>448</v>
      </c>
      <c r="S225" s="183">
        <f t="shared" si="60"/>
        <v>224</v>
      </c>
      <c r="T225" s="183">
        <f t="shared" si="61"/>
        <v>448</v>
      </c>
      <c r="U225" s="183">
        <f t="shared" si="62"/>
        <v>224</v>
      </c>
      <c r="V225" s="183">
        <f t="shared" si="63"/>
        <v>448</v>
      </c>
      <c r="W225" s="12">
        <f>K225*属性价值参考!C$5+升级!L225*属性价值参考!C$6+升级!M225*属性价值参考!C$7+升级!N225*属性价值参考!C$8+升级!S225*属性价值参考!C$9+升级!T225*属性价值参考!C$10+升级!U225*属性价值参考!C$11+升级!V225*属性价值参考!C$12</f>
        <v>262832.64000000001</v>
      </c>
    </row>
    <row r="226" spans="1:23" x14ac:dyDescent="0.3">
      <c r="A226" s="22"/>
      <c r="B226" s="22"/>
      <c r="C226" s="24">
        <v>225</v>
      </c>
      <c r="D226" s="27" t="str">
        <f t="shared" si="48"/>
        <v>0#1#31500|0#2#1080|0#3#225|0#4#450|0#9#225|0#10#450|0#11#225|0#12#450</v>
      </c>
      <c r="E226" s="27" t="str">
        <f t="shared" si="49"/>
        <v>1#1#5250|1#2#54000|1#3#225|1#4#450|1#9#225|1#10#450|1#11#225|1#12#450</v>
      </c>
      <c r="F226" s="27" t="str">
        <f t="shared" si="50"/>
        <v>2#1#15750|2#2#27000|2#3#225|2#4#450|2#9#225|2#10#450|2#11#225|2#12#450</v>
      </c>
      <c r="G226" s="27" t="str">
        <f t="shared" si="55"/>
        <v>0#1#31500|0#2#1080|0#3#225|0#4#450|0#9#225|0#10#450|0#11#225|0#12#450|1#1#5250|1#2#54000|1#3#225|1#4#450|1#9#225|1#10#450|1#11#225|1#12#450|2#1#15750|2#2#27000|2#3#225|2#4#450|2#9#225|2#10#450|2#11#225|2#12#450</v>
      </c>
      <c r="H226" s="22"/>
      <c r="I226" s="25">
        <v>4200000000</v>
      </c>
      <c r="J226" s="197">
        <v>225</v>
      </c>
      <c r="K226" s="183">
        <f t="shared" si="51"/>
        <v>31500</v>
      </c>
      <c r="L226" s="183">
        <f t="shared" si="52"/>
        <v>54000</v>
      </c>
      <c r="M226" s="183">
        <f t="shared" si="53"/>
        <v>225</v>
      </c>
      <c r="N226" s="183">
        <f t="shared" si="54"/>
        <v>450</v>
      </c>
      <c r="O226" s="183">
        <f t="shared" si="56"/>
        <v>225</v>
      </c>
      <c r="P226" s="183">
        <f t="shared" si="57"/>
        <v>450</v>
      </c>
      <c r="Q226" s="183">
        <f t="shared" si="58"/>
        <v>225</v>
      </c>
      <c r="R226" s="183">
        <f t="shared" si="59"/>
        <v>450</v>
      </c>
      <c r="S226" s="183">
        <f t="shared" si="60"/>
        <v>225</v>
      </c>
      <c r="T226" s="183">
        <f t="shared" si="61"/>
        <v>450</v>
      </c>
      <c r="U226" s="183">
        <f t="shared" si="62"/>
        <v>225</v>
      </c>
      <c r="V226" s="183">
        <f t="shared" si="63"/>
        <v>450</v>
      </c>
      <c r="W226" s="12">
        <f>K226*属性价值参考!C$5+升级!L226*属性价值参考!C$6+升级!M226*属性价值参考!C$7+升级!N226*属性价值参考!C$8+升级!S226*属性价值参考!C$9+升级!T226*属性价值参考!C$10+升级!U226*属性价值参考!C$11+升级!V226*属性价值参考!C$12</f>
        <v>264006</v>
      </c>
    </row>
    <row r="227" spans="1:23" x14ac:dyDescent="0.3">
      <c r="A227" s="22"/>
      <c r="B227" s="22"/>
      <c r="C227" s="27">
        <v>226</v>
      </c>
      <c r="D227" s="27" t="str">
        <f t="shared" si="48"/>
        <v>0#1#31640|0#2#1084|0#3#226|0#4#452|0#9#226|0#10#452|0#11#226|0#12#452</v>
      </c>
      <c r="E227" s="27" t="str">
        <f t="shared" si="49"/>
        <v>1#1#5273|1#2#54240|1#3#226|1#4#452|1#9#226|1#10#452|1#11#226|1#12#452</v>
      </c>
      <c r="F227" s="27" t="str">
        <f t="shared" si="50"/>
        <v>2#1#15820|2#2#27120|2#3#226|2#4#452|2#9#226|2#10#452|2#11#226|2#12#452</v>
      </c>
      <c r="G227" s="27" t="str">
        <f t="shared" si="55"/>
        <v>0#1#31640|0#2#1084|0#3#226|0#4#452|0#9#226|0#10#452|0#11#226|0#12#452|1#1#5273|1#2#54240|1#3#226|1#4#452|1#9#226|1#10#452|1#11#226|1#12#452|2#1#15820|2#2#27120|2#3#226|2#4#452|2#9#226|2#10#452|2#11#226|2#12#452</v>
      </c>
      <c r="H227" s="22"/>
      <c r="I227" s="28">
        <v>4200000000</v>
      </c>
      <c r="J227" s="198">
        <v>226</v>
      </c>
      <c r="K227" s="183">
        <f t="shared" si="51"/>
        <v>31640</v>
      </c>
      <c r="L227" s="183">
        <f t="shared" si="52"/>
        <v>54240</v>
      </c>
      <c r="M227" s="183">
        <f t="shared" si="53"/>
        <v>226</v>
      </c>
      <c r="N227" s="183">
        <f t="shared" si="54"/>
        <v>452</v>
      </c>
      <c r="O227" s="183">
        <f t="shared" si="56"/>
        <v>226</v>
      </c>
      <c r="P227" s="183">
        <f t="shared" si="57"/>
        <v>452</v>
      </c>
      <c r="Q227" s="183">
        <f t="shared" si="58"/>
        <v>226</v>
      </c>
      <c r="R227" s="183">
        <f t="shared" si="59"/>
        <v>452</v>
      </c>
      <c r="S227" s="183">
        <f t="shared" si="60"/>
        <v>226</v>
      </c>
      <c r="T227" s="183">
        <f t="shared" si="61"/>
        <v>452</v>
      </c>
      <c r="U227" s="183">
        <f t="shared" si="62"/>
        <v>226</v>
      </c>
      <c r="V227" s="183">
        <f t="shared" si="63"/>
        <v>452</v>
      </c>
      <c r="W227" s="12">
        <f>K227*属性价值参考!C$5+升级!L227*属性价值参考!C$6+升级!M227*属性价值参考!C$7+升级!N227*属性价值参考!C$8+升级!S227*属性价值参考!C$9+升级!T227*属性价值参考!C$10+升级!U227*属性价值参考!C$11+升级!V227*属性价值参考!C$12</f>
        <v>265179.36</v>
      </c>
    </row>
    <row r="228" spans="1:23" x14ac:dyDescent="0.3">
      <c r="A228" s="22"/>
      <c r="B228" s="22"/>
      <c r="C228" s="24">
        <v>227</v>
      </c>
      <c r="D228" s="27" t="str">
        <f t="shared" si="48"/>
        <v>0#1#31780|0#2#1089|0#3#227|0#4#454|0#9#227|0#10#454|0#11#227|0#12#454</v>
      </c>
      <c r="E228" s="27" t="str">
        <f t="shared" si="49"/>
        <v>1#1#5296|1#2#54480|1#3#227|1#4#454|1#9#227|1#10#454|1#11#227|1#12#454</v>
      </c>
      <c r="F228" s="27" t="str">
        <f t="shared" si="50"/>
        <v>2#1#15890|2#2#27240|2#3#227|2#4#454|2#9#227|2#10#454|2#11#227|2#12#454</v>
      </c>
      <c r="G228" s="27" t="str">
        <f t="shared" si="55"/>
        <v>0#1#31780|0#2#1089|0#3#227|0#4#454|0#9#227|0#10#454|0#11#227|0#12#454|1#1#5296|1#2#54480|1#3#227|1#4#454|1#9#227|1#10#454|1#11#227|1#12#454|2#1#15890|2#2#27240|2#3#227|2#4#454|2#9#227|2#10#454|2#11#227|2#12#454</v>
      </c>
      <c r="H228" s="22"/>
      <c r="I228" s="25">
        <v>4200000000</v>
      </c>
      <c r="J228" s="197">
        <v>227</v>
      </c>
      <c r="K228" s="183">
        <f t="shared" si="51"/>
        <v>31780</v>
      </c>
      <c r="L228" s="183">
        <f t="shared" si="52"/>
        <v>54480</v>
      </c>
      <c r="M228" s="183">
        <f t="shared" si="53"/>
        <v>227</v>
      </c>
      <c r="N228" s="183">
        <f t="shared" si="54"/>
        <v>454</v>
      </c>
      <c r="O228" s="183">
        <f t="shared" si="56"/>
        <v>227</v>
      </c>
      <c r="P228" s="183">
        <f t="shared" si="57"/>
        <v>454</v>
      </c>
      <c r="Q228" s="183">
        <f t="shared" si="58"/>
        <v>227</v>
      </c>
      <c r="R228" s="183">
        <f t="shared" si="59"/>
        <v>454</v>
      </c>
      <c r="S228" s="183">
        <f t="shared" si="60"/>
        <v>227</v>
      </c>
      <c r="T228" s="183">
        <f t="shared" si="61"/>
        <v>454</v>
      </c>
      <c r="U228" s="183">
        <f t="shared" si="62"/>
        <v>227</v>
      </c>
      <c r="V228" s="183">
        <f t="shared" si="63"/>
        <v>454</v>
      </c>
      <c r="W228" s="12">
        <f>K228*属性价值参考!C$5+升级!L228*属性价值参考!C$6+升级!M228*属性价值参考!C$7+升级!N228*属性价值参考!C$8+升级!S228*属性价值参考!C$9+升级!T228*属性价值参考!C$10+升级!U228*属性价值参考!C$11+升级!V228*属性价值参考!C$12</f>
        <v>266352.71999999997</v>
      </c>
    </row>
    <row r="229" spans="1:23" x14ac:dyDescent="0.3">
      <c r="A229" s="22"/>
      <c r="B229" s="22"/>
      <c r="C229" s="27">
        <v>228</v>
      </c>
      <c r="D229" s="27" t="str">
        <f t="shared" si="48"/>
        <v>0#1#31920|0#2#1094|0#3#228|0#4#456|0#9#228|0#10#456|0#11#228|0#12#456</v>
      </c>
      <c r="E229" s="27" t="str">
        <f t="shared" si="49"/>
        <v>1#1#5320|1#2#54720|1#3#228|1#4#456|1#9#228|1#10#456|1#11#228|1#12#456</v>
      </c>
      <c r="F229" s="27" t="str">
        <f t="shared" si="50"/>
        <v>2#1#15960|2#2#27360|2#3#228|2#4#456|2#9#228|2#10#456|2#11#228|2#12#456</v>
      </c>
      <c r="G229" s="27" t="str">
        <f t="shared" si="55"/>
        <v>0#1#31920|0#2#1094|0#3#228|0#4#456|0#9#228|0#10#456|0#11#228|0#12#456|1#1#5320|1#2#54720|1#3#228|1#4#456|1#9#228|1#10#456|1#11#228|1#12#456|2#1#15960|2#2#27360|2#3#228|2#4#456|2#9#228|2#10#456|2#11#228|2#12#456</v>
      </c>
      <c r="H229" s="22"/>
      <c r="I229" s="28">
        <v>4200000000</v>
      </c>
      <c r="J229" s="198">
        <v>228</v>
      </c>
      <c r="K229" s="183">
        <f t="shared" si="51"/>
        <v>31920</v>
      </c>
      <c r="L229" s="183">
        <f t="shared" si="52"/>
        <v>54720</v>
      </c>
      <c r="M229" s="183">
        <f t="shared" si="53"/>
        <v>228</v>
      </c>
      <c r="N229" s="183">
        <f t="shared" si="54"/>
        <v>456</v>
      </c>
      <c r="O229" s="183">
        <f t="shared" si="56"/>
        <v>228</v>
      </c>
      <c r="P229" s="183">
        <f t="shared" si="57"/>
        <v>456</v>
      </c>
      <c r="Q229" s="183">
        <f t="shared" si="58"/>
        <v>228</v>
      </c>
      <c r="R229" s="183">
        <f t="shared" si="59"/>
        <v>456</v>
      </c>
      <c r="S229" s="183">
        <f t="shared" si="60"/>
        <v>228</v>
      </c>
      <c r="T229" s="183">
        <f t="shared" si="61"/>
        <v>456</v>
      </c>
      <c r="U229" s="183">
        <f t="shared" si="62"/>
        <v>228</v>
      </c>
      <c r="V229" s="183">
        <f t="shared" si="63"/>
        <v>456</v>
      </c>
      <c r="W229" s="12">
        <f>K229*属性价值参考!C$5+升级!L229*属性价值参考!C$6+升级!M229*属性价值参考!C$7+升级!N229*属性价值参考!C$8+升级!S229*属性价值参考!C$9+升级!T229*属性价值参考!C$10+升级!U229*属性价值参考!C$11+升级!V229*属性价值参考!C$12</f>
        <v>267526.08</v>
      </c>
    </row>
    <row r="230" spans="1:23" x14ac:dyDescent="0.3">
      <c r="A230" s="22"/>
      <c r="B230" s="22"/>
      <c r="C230" s="24">
        <v>229</v>
      </c>
      <c r="D230" s="27" t="str">
        <f t="shared" si="48"/>
        <v>0#1#32060|0#2#1099|0#3#229|0#4#458|0#9#229|0#10#458|0#11#229|0#12#458</v>
      </c>
      <c r="E230" s="27" t="str">
        <f t="shared" si="49"/>
        <v>1#1#5343|1#2#54960|1#3#229|1#4#458|1#9#229|1#10#458|1#11#229|1#12#458</v>
      </c>
      <c r="F230" s="27" t="str">
        <f t="shared" si="50"/>
        <v>2#1#16030|2#2#27480|2#3#229|2#4#458|2#9#229|2#10#458|2#11#229|2#12#458</v>
      </c>
      <c r="G230" s="27" t="str">
        <f t="shared" si="55"/>
        <v>0#1#32060|0#2#1099|0#3#229|0#4#458|0#9#229|0#10#458|0#11#229|0#12#458|1#1#5343|1#2#54960|1#3#229|1#4#458|1#9#229|1#10#458|1#11#229|1#12#458|2#1#16030|2#2#27480|2#3#229|2#4#458|2#9#229|2#10#458|2#11#229|2#12#458</v>
      </c>
      <c r="H230" s="22"/>
      <c r="I230" s="25">
        <v>4200000000</v>
      </c>
      <c r="J230" s="197">
        <v>229</v>
      </c>
      <c r="K230" s="183">
        <f t="shared" si="51"/>
        <v>32060</v>
      </c>
      <c r="L230" s="183">
        <f t="shared" si="52"/>
        <v>54960</v>
      </c>
      <c r="M230" s="183">
        <f t="shared" si="53"/>
        <v>229</v>
      </c>
      <c r="N230" s="183">
        <f t="shared" si="54"/>
        <v>458</v>
      </c>
      <c r="O230" s="183">
        <f t="shared" si="56"/>
        <v>229</v>
      </c>
      <c r="P230" s="183">
        <f t="shared" si="57"/>
        <v>458</v>
      </c>
      <c r="Q230" s="183">
        <f t="shared" si="58"/>
        <v>229</v>
      </c>
      <c r="R230" s="183">
        <f t="shared" si="59"/>
        <v>458</v>
      </c>
      <c r="S230" s="183">
        <f t="shared" si="60"/>
        <v>229</v>
      </c>
      <c r="T230" s="183">
        <f t="shared" si="61"/>
        <v>458</v>
      </c>
      <c r="U230" s="183">
        <f t="shared" si="62"/>
        <v>229</v>
      </c>
      <c r="V230" s="183">
        <f t="shared" si="63"/>
        <v>458</v>
      </c>
      <c r="W230" s="12">
        <f>K230*属性价值参考!C$5+升级!L230*属性价值参考!C$6+升级!M230*属性价值参考!C$7+升级!N230*属性价值参考!C$8+升级!S230*属性价值参考!C$9+升级!T230*属性价值参考!C$10+升级!U230*属性价值参考!C$11+升级!V230*属性价值参考!C$12</f>
        <v>268699.44</v>
      </c>
    </row>
    <row r="231" spans="1:23" x14ac:dyDescent="0.3">
      <c r="A231" s="22"/>
      <c r="B231" s="22"/>
      <c r="C231" s="27">
        <v>230</v>
      </c>
      <c r="D231" s="27" t="str">
        <f t="shared" si="48"/>
        <v>0#1#32200|0#2#1104|0#3#230|0#4#460|0#9#230|0#10#460|0#11#230|0#12#460</v>
      </c>
      <c r="E231" s="27" t="str">
        <f t="shared" si="49"/>
        <v>1#1#5366|1#2#55200|1#3#230|1#4#460|1#9#230|1#10#460|1#11#230|1#12#460</v>
      </c>
      <c r="F231" s="27" t="str">
        <f t="shared" si="50"/>
        <v>2#1#16100|2#2#27600|2#3#230|2#4#460|2#9#230|2#10#460|2#11#230|2#12#460</v>
      </c>
      <c r="G231" s="27" t="str">
        <f t="shared" si="55"/>
        <v>0#1#32200|0#2#1104|0#3#230|0#4#460|0#9#230|0#10#460|0#11#230|0#12#460|1#1#5366|1#2#55200|1#3#230|1#4#460|1#9#230|1#10#460|1#11#230|1#12#460|2#1#16100|2#2#27600|2#3#230|2#4#460|2#9#230|2#10#460|2#11#230|2#12#460</v>
      </c>
      <c r="H231" s="22"/>
      <c r="I231" s="28">
        <v>4200000000</v>
      </c>
      <c r="J231" s="198">
        <v>230</v>
      </c>
      <c r="K231" s="183">
        <f t="shared" si="51"/>
        <v>32200</v>
      </c>
      <c r="L231" s="183">
        <f t="shared" si="52"/>
        <v>55200</v>
      </c>
      <c r="M231" s="183">
        <f t="shared" si="53"/>
        <v>230</v>
      </c>
      <c r="N231" s="183">
        <f t="shared" si="54"/>
        <v>460</v>
      </c>
      <c r="O231" s="183">
        <f t="shared" si="56"/>
        <v>230</v>
      </c>
      <c r="P231" s="183">
        <f t="shared" si="57"/>
        <v>460</v>
      </c>
      <c r="Q231" s="183">
        <f t="shared" si="58"/>
        <v>230</v>
      </c>
      <c r="R231" s="183">
        <f t="shared" si="59"/>
        <v>460</v>
      </c>
      <c r="S231" s="183">
        <f t="shared" si="60"/>
        <v>230</v>
      </c>
      <c r="T231" s="183">
        <f t="shared" si="61"/>
        <v>460</v>
      </c>
      <c r="U231" s="183">
        <f t="shared" si="62"/>
        <v>230</v>
      </c>
      <c r="V231" s="183">
        <f t="shared" si="63"/>
        <v>460</v>
      </c>
      <c r="W231" s="12">
        <f>K231*属性价值参考!C$5+升级!L231*属性价值参考!C$6+升级!M231*属性价值参考!C$7+升级!N231*属性价值参考!C$8+升级!S231*属性价值参考!C$9+升级!T231*属性价值参考!C$10+升级!U231*属性价值参考!C$11+升级!V231*属性价值参考!C$12</f>
        <v>269872.8</v>
      </c>
    </row>
    <row r="232" spans="1:23" x14ac:dyDescent="0.3">
      <c r="A232" s="22"/>
      <c r="B232" s="22"/>
      <c r="C232" s="24">
        <v>231</v>
      </c>
      <c r="D232" s="27" t="str">
        <f t="shared" si="48"/>
        <v>0#1#32340|0#2#1108|0#3#231|0#4#462|0#9#231|0#10#462|0#11#231|0#12#462</v>
      </c>
      <c r="E232" s="27" t="str">
        <f t="shared" si="49"/>
        <v>1#1#5390|1#2#55440|1#3#231|1#4#462|1#9#231|1#10#462|1#11#231|1#12#462</v>
      </c>
      <c r="F232" s="27" t="str">
        <f t="shared" si="50"/>
        <v>2#1#16170|2#2#27720|2#3#231|2#4#462|2#9#231|2#10#462|2#11#231|2#12#462</v>
      </c>
      <c r="G232" s="27" t="str">
        <f t="shared" si="55"/>
        <v>0#1#32340|0#2#1108|0#3#231|0#4#462|0#9#231|0#10#462|0#11#231|0#12#462|1#1#5390|1#2#55440|1#3#231|1#4#462|1#9#231|1#10#462|1#11#231|1#12#462|2#1#16170|2#2#27720|2#3#231|2#4#462|2#9#231|2#10#462|2#11#231|2#12#462</v>
      </c>
      <c r="H232" s="22"/>
      <c r="I232" s="25">
        <v>4200000000</v>
      </c>
      <c r="J232" s="197">
        <v>231</v>
      </c>
      <c r="K232" s="183">
        <f t="shared" si="51"/>
        <v>32340</v>
      </c>
      <c r="L232" s="183">
        <f t="shared" si="52"/>
        <v>55440</v>
      </c>
      <c r="M232" s="183">
        <f t="shared" si="53"/>
        <v>231</v>
      </c>
      <c r="N232" s="183">
        <f t="shared" si="54"/>
        <v>462</v>
      </c>
      <c r="O232" s="183">
        <f t="shared" si="56"/>
        <v>231</v>
      </c>
      <c r="P232" s="183">
        <f t="shared" si="57"/>
        <v>462</v>
      </c>
      <c r="Q232" s="183">
        <f t="shared" si="58"/>
        <v>231</v>
      </c>
      <c r="R232" s="183">
        <f t="shared" si="59"/>
        <v>462</v>
      </c>
      <c r="S232" s="183">
        <f t="shared" si="60"/>
        <v>231</v>
      </c>
      <c r="T232" s="183">
        <f t="shared" si="61"/>
        <v>462</v>
      </c>
      <c r="U232" s="183">
        <f t="shared" si="62"/>
        <v>231</v>
      </c>
      <c r="V232" s="183">
        <f t="shared" si="63"/>
        <v>462</v>
      </c>
      <c r="W232" s="12">
        <f>K232*属性价值参考!C$5+升级!L232*属性价值参考!C$6+升级!M232*属性价值参考!C$7+升级!N232*属性价值参考!C$8+升级!S232*属性价值参考!C$9+升级!T232*属性价值参考!C$10+升级!U232*属性价值参考!C$11+升级!V232*属性价值参考!C$12</f>
        <v>271046.15999999997</v>
      </c>
    </row>
    <row r="233" spans="1:23" x14ac:dyDescent="0.3">
      <c r="A233" s="22"/>
      <c r="B233" s="22"/>
      <c r="C233" s="27">
        <v>232</v>
      </c>
      <c r="D233" s="27" t="str">
        <f t="shared" si="48"/>
        <v>0#1#32480|0#2#1113|0#3#232|0#4#464|0#9#232|0#10#464|0#11#232|0#12#464</v>
      </c>
      <c r="E233" s="27" t="str">
        <f t="shared" si="49"/>
        <v>1#1#5413|1#2#55680|1#3#232|1#4#464|1#9#232|1#10#464|1#11#232|1#12#464</v>
      </c>
      <c r="F233" s="27" t="str">
        <f t="shared" si="50"/>
        <v>2#1#16240|2#2#27840|2#3#232|2#4#464|2#9#232|2#10#464|2#11#232|2#12#464</v>
      </c>
      <c r="G233" s="27" t="str">
        <f t="shared" si="55"/>
        <v>0#1#32480|0#2#1113|0#3#232|0#4#464|0#9#232|0#10#464|0#11#232|0#12#464|1#1#5413|1#2#55680|1#3#232|1#4#464|1#9#232|1#10#464|1#11#232|1#12#464|2#1#16240|2#2#27840|2#3#232|2#4#464|2#9#232|2#10#464|2#11#232|2#12#464</v>
      </c>
      <c r="H233" s="22"/>
      <c r="I233" s="28">
        <v>4200000000</v>
      </c>
      <c r="J233" s="198">
        <v>232</v>
      </c>
      <c r="K233" s="183">
        <f t="shared" si="51"/>
        <v>32480</v>
      </c>
      <c r="L233" s="183">
        <f t="shared" si="52"/>
        <v>55680</v>
      </c>
      <c r="M233" s="183">
        <f t="shared" si="53"/>
        <v>232</v>
      </c>
      <c r="N233" s="183">
        <f t="shared" si="54"/>
        <v>464</v>
      </c>
      <c r="O233" s="183">
        <f t="shared" si="56"/>
        <v>232</v>
      </c>
      <c r="P233" s="183">
        <f t="shared" si="57"/>
        <v>464</v>
      </c>
      <c r="Q233" s="183">
        <f t="shared" si="58"/>
        <v>232</v>
      </c>
      <c r="R233" s="183">
        <f t="shared" si="59"/>
        <v>464</v>
      </c>
      <c r="S233" s="183">
        <f t="shared" si="60"/>
        <v>232</v>
      </c>
      <c r="T233" s="183">
        <f t="shared" si="61"/>
        <v>464</v>
      </c>
      <c r="U233" s="183">
        <f t="shared" si="62"/>
        <v>232</v>
      </c>
      <c r="V233" s="183">
        <f t="shared" si="63"/>
        <v>464</v>
      </c>
      <c r="W233" s="12">
        <f>K233*属性价值参考!C$5+升级!L233*属性价值参考!C$6+升级!M233*属性价值参考!C$7+升级!N233*属性价值参考!C$8+升级!S233*属性价值参考!C$9+升级!T233*属性价值参考!C$10+升级!U233*属性价值参考!C$11+升级!V233*属性价值参考!C$12</f>
        <v>272219.52000000002</v>
      </c>
    </row>
    <row r="234" spans="1:23" x14ac:dyDescent="0.3">
      <c r="A234" s="22"/>
      <c r="B234" s="22"/>
      <c r="C234" s="24">
        <v>233</v>
      </c>
      <c r="D234" s="27" t="str">
        <f t="shared" si="48"/>
        <v>0#1#32620|0#2#1118|0#3#233|0#4#466|0#9#233|0#10#466|0#11#233|0#12#466</v>
      </c>
      <c r="E234" s="27" t="str">
        <f t="shared" si="49"/>
        <v>1#1#5436|1#2#55920|1#3#233|1#4#466|1#9#233|1#10#466|1#11#233|1#12#466</v>
      </c>
      <c r="F234" s="27" t="str">
        <f t="shared" si="50"/>
        <v>2#1#16310|2#2#27960|2#3#233|2#4#466|2#9#233|2#10#466|2#11#233|2#12#466</v>
      </c>
      <c r="G234" s="27" t="str">
        <f t="shared" si="55"/>
        <v>0#1#32620|0#2#1118|0#3#233|0#4#466|0#9#233|0#10#466|0#11#233|0#12#466|1#1#5436|1#2#55920|1#3#233|1#4#466|1#9#233|1#10#466|1#11#233|1#12#466|2#1#16310|2#2#27960|2#3#233|2#4#466|2#9#233|2#10#466|2#11#233|2#12#466</v>
      </c>
      <c r="H234" s="22"/>
      <c r="I234" s="25">
        <v>4200000000</v>
      </c>
      <c r="J234" s="197">
        <v>233</v>
      </c>
      <c r="K234" s="183">
        <f t="shared" si="51"/>
        <v>32620</v>
      </c>
      <c r="L234" s="183">
        <f t="shared" si="52"/>
        <v>55920</v>
      </c>
      <c r="M234" s="183">
        <f t="shared" si="53"/>
        <v>233</v>
      </c>
      <c r="N234" s="183">
        <f t="shared" si="54"/>
        <v>466</v>
      </c>
      <c r="O234" s="183">
        <f t="shared" si="56"/>
        <v>233</v>
      </c>
      <c r="P234" s="183">
        <f t="shared" si="57"/>
        <v>466</v>
      </c>
      <c r="Q234" s="183">
        <f t="shared" si="58"/>
        <v>233</v>
      </c>
      <c r="R234" s="183">
        <f t="shared" si="59"/>
        <v>466</v>
      </c>
      <c r="S234" s="183">
        <f t="shared" si="60"/>
        <v>233</v>
      </c>
      <c r="T234" s="183">
        <f t="shared" si="61"/>
        <v>466</v>
      </c>
      <c r="U234" s="183">
        <f t="shared" si="62"/>
        <v>233</v>
      </c>
      <c r="V234" s="183">
        <f t="shared" si="63"/>
        <v>466</v>
      </c>
      <c r="W234" s="12">
        <f>K234*属性价值参考!C$5+升级!L234*属性价值参考!C$6+升级!M234*属性价值参考!C$7+升级!N234*属性价值参考!C$8+升级!S234*属性价值参考!C$9+升级!T234*属性价值参考!C$10+升级!U234*属性价值参考!C$11+升级!V234*属性价值参考!C$12</f>
        <v>273392.88</v>
      </c>
    </row>
    <row r="235" spans="1:23" x14ac:dyDescent="0.3">
      <c r="A235" s="22"/>
      <c r="B235" s="22"/>
      <c r="C235" s="27">
        <v>234</v>
      </c>
      <c r="D235" s="27" t="str">
        <f t="shared" si="48"/>
        <v>0#1#32760|0#2#1123|0#3#234|0#4#468|0#9#234|0#10#468|0#11#234|0#12#468</v>
      </c>
      <c r="E235" s="27" t="str">
        <f t="shared" si="49"/>
        <v>1#1#5460|1#2#56160|1#3#234|1#4#468|1#9#234|1#10#468|1#11#234|1#12#468</v>
      </c>
      <c r="F235" s="27" t="str">
        <f t="shared" si="50"/>
        <v>2#1#16380|2#2#28080|2#3#234|2#4#468|2#9#234|2#10#468|2#11#234|2#12#468</v>
      </c>
      <c r="G235" s="27" t="str">
        <f t="shared" si="55"/>
        <v>0#1#32760|0#2#1123|0#3#234|0#4#468|0#9#234|0#10#468|0#11#234|0#12#468|1#1#5460|1#2#56160|1#3#234|1#4#468|1#9#234|1#10#468|1#11#234|1#12#468|2#1#16380|2#2#28080|2#3#234|2#4#468|2#9#234|2#10#468|2#11#234|2#12#468</v>
      </c>
      <c r="H235" s="22"/>
      <c r="I235" s="28">
        <v>4200000000</v>
      </c>
      <c r="J235" s="198">
        <v>234</v>
      </c>
      <c r="K235" s="183">
        <f t="shared" si="51"/>
        <v>32760</v>
      </c>
      <c r="L235" s="183">
        <f t="shared" si="52"/>
        <v>56160</v>
      </c>
      <c r="M235" s="183">
        <f t="shared" si="53"/>
        <v>234</v>
      </c>
      <c r="N235" s="183">
        <f t="shared" si="54"/>
        <v>468</v>
      </c>
      <c r="O235" s="183">
        <f t="shared" si="56"/>
        <v>234</v>
      </c>
      <c r="P235" s="183">
        <f t="shared" si="57"/>
        <v>468</v>
      </c>
      <c r="Q235" s="183">
        <f t="shared" si="58"/>
        <v>234</v>
      </c>
      <c r="R235" s="183">
        <f t="shared" si="59"/>
        <v>468</v>
      </c>
      <c r="S235" s="183">
        <f t="shared" si="60"/>
        <v>234</v>
      </c>
      <c r="T235" s="183">
        <f t="shared" si="61"/>
        <v>468</v>
      </c>
      <c r="U235" s="183">
        <f t="shared" si="62"/>
        <v>234</v>
      </c>
      <c r="V235" s="183">
        <f t="shared" si="63"/>
        <v>468</v>
      </c>
      <c r="W235" s="12">
        <f>K235*属性价值参考!C$5+升级!L235*属性价值参考!C$6+升级!M235*属性价值参考!C$7+升级!N235*属性价值参考!C$8+升级!S235*属性价值参考!C$9+升级!T235*属性价值参考!C$10+升级!U235*属性价值参考!C$11+升级!V235*属性价值参考!C$12</f>
        <v>274566.23999999993</v>
      </c>
    </row>
    <row r="236" spans="1:23" x14ac:dyDescent="0.3">
      <c r="A236" s="22"/>
      <c r="B236" s="22"/>
      <c r="C236" s="24">
        <v>235</v>
      </c>
      <c r="D236" s="27" t="str">
        <f t="shared" si="48"/>
        <v>0#1#32900|0#2#1128|0#3#235|0#4#470|0#9#235|0#10#470|0#11#235|0#12#470</v>
      </c>
      <c r="E236" s="27" t="str">
        <f t="shared" si="49"/>
        <v>1#1#5483|1#2#56400|1#3#235|1#4#470|1#9#235|1#10#470|1#11#235|1#12#470</v>
      </c>
      <c r="F236" s="27" t="str">
        <f t="shared" si="50"/>
        <v>2#1#16450|2#2#28200|2#3#235|2#4#470|2#9#235|2#10#470|2#11#235|2#12#470</v>
      </c>
      <c r="G236" s="27" t="str">
        <f t="shared" si="55"/>
        <v>0#1#32900|0#2#1128|0#3#235|0#4#470|0#9#235|0#10#470|0#11#235|0#12#470|1#1#5483|1#2#56400|1#3#235|1#4#470|1#9#235|1#10#470|1#11#235|1#12#470|2#1#16450|2#2#28200|2#3#235|2#4#470|2#9#235|2#10#470|2#11#235|2#12#470</v>
      </c>
      <c r="H236" s="22"/>
      <c r="I236" s="25">
        <v>4200000000</v>
      </c>
      <c r="J236" s="197">
        <v>235</v>
      </c>
      <c r="K236" s="183">
        <f t="shared" si="51"/>
        <v>32900</v>
      </c>
      <c r="L236" s="183">
        <f t="shared" si="52"/>
        <v>56400</v>
      </c>
      <c r="M236" s="183">
        <f t="shared" si="53"/>
        <v>235</v>
      </c>
      <c r="N236" s="183">
        <f t="shared" si="54"/>
        <v>470</v>
      </c>
      <c r="O236" s="183">
        <f t="shared" si="56"/>
        <v>235</v>
      </c>
      <c r="P236" s="183">
        <f t="shared" si="57"/>
        <v>470</v>
      </c>
      <c r="Q236" s="183">
        <f t="shared" si="58"/>
        <v>235</v>
      </c>
      <c r="R236" s="183">
        <f t="shared" si="59"/>
        <v>470</v>
      </c>
      <c r="S236" s="183">
        <f t="shared" si="60"/>
        <v>235</v>
      </c>
      <c r="T236" s="183">
        <f t="shared" si="61"/>
        <v>470</v>
      </c>
      <c r="U236" s="183">
        <f t="shared" si="62"/>
        <v>235</v>
      </c>
      <c r="V236" s="183">
        <f t="shared" si="63"/>
        <v>470</v>
      </c>
      <c r="W236" s="12">
        <f>K236*属性价值参考!C$5+升级!L236*属性价值参考!C$6+升级!M236*属性价值参考!C$7+升级!N236*属性价值参考!C$8+升级!S236*属性价值参考!C$9+升级!T236*属性价值参考!C$10+升级!U236*属性价值参考!C$11+升级!V236*属性价值参考!C$12</f>
        <v>275739.59999999998</v>
      </c>
    </row>
    <row r="237" spans="1:23" x14ac:dyDescent="0.3">
      <c r="A237" s="22"/>
      <c r="B237" s="22"/>
      <c r="C237" s="27">
        <v>236</v>
      </c>
      <c r="D237" s="27" t="str">
        <f t="shared" si="48"/>
        <v>0#1#33040|0#2#1132|0#3#236|0#4#472|0#9#236|0#10#472|0#11#236|0#12#472</v>
      </c>
      <c r="E237" s="27" t="str">
        <f t="shared" si="49"/>
        <v>1#1#5506|1#2#56640|1#3#236|1#4#472|1#9#236|1#10#472|1#11#236|1#12#472</v>
      </c>
      <c r="F237" s="27" t="str">
        <f t="shared" si="50"/>
        <v>2#1#16520|2#2#28320|2#3#236|2#4#472|2#9#236|2#10#472|2#11#236|2#12#472</v>
      </c>
      <c r="G237" s="27" t="str">
        <f t="shared" si="55"/>
        <v>0#1#33040|0#2#1132|0#3#236|0#4#472|0#9#236|0#10#472|0#11#236|0#12#472|1#1#5506|1#2#56640|1#3#236|1#4#472|1#9#236|1#10#472|1#11#236|1#12#472|2#1#16520|2#2#28320|2#3#236|2#4#472|2#9#236|2#10#472|2#11#236|2#12#472</v>
      </c>
      <c r="H237" s="22"/>
      <c r="I237" s="28">
        <v>4200000000</v>
      </c>
      <c r="J237" s="198">
        <v>236</v>
      </c>
      <c r="K237" s="183">
        <f t="shared" si="51"/>
        <v>33040</v>
      </c>
      <c r="L237" s="183">
        <f t="shared" si="52"/>
        <v>56640</v>
      </c>
      <c r="M237" s="183">
        <f t="shared" si="53"/>
        <v>236</v>
      </c>
      <c r="N237" s="183">
        <f t="shared" si="54"/>
        <v>472</v>
      </c>
      <c r="O237" s="183">
        <f t="shared" si="56"/>
        <v>236</v>
      </c>
      <c r="P237" s="183">
        <f t="shared" si="57"/>
        <v>472</v>
      </c>
      <c r="Q237" s="183">
        <f t="shared" si="58"/>
        <v>236</v>
      </c>
      <c r="R237" s="183">
        <f t="shared" si="59"/>
        <v>472</v>
      </c>
      <c r="S237" s="183">
        <f t="shared" si="60"/>
        <v>236</v>
      </c>
      <c r="T237" s="183">
        <f t="shared" si="61"/>
        <v>472</v>
      </c>
      <c r="U237" s="183">
        <f t="shared" si="62"/>
        <v>236</v>
      </c>
      <c r="V237" s="183">
        <f t="shared" si="63"/>
        <v>472</v>
      </c>
      <c r="W237" s="12">
        <f>K237*属性价值参考!C$5+升级!L237*属性价值参考!C$6+升级!M237*属性价值参考!C$7+升级!N237*属性价值参考!C$8+升级!S237*属性价值参考!C$9+升级!T237*属性价值参考!C$10+升级!U237*属性价值参考!C$11+升级!V237*属性价值参考!C$12</f>
        <v>276912.96000000002</v>
      </c>
    </row>
    <row r="238" spans="1:23" x14ac:dyDescent="0.3">
      <c r="A238" s="22"/>
      <c r="B238" s="22"/>
      <c r="C238" s="24">
        <v>237</v>
      </c>
      <c r="D238" s="27" t="str">
        <f t="shared" si="48"/>
        <v>0#1#33180|0#2#1137|0#3#237|0#4#474|0#9#237|0#10#474|0#11#237|0#12#474</v>
      </c>
      <c r="E238" s="27" t="str">
        <f t="shared" si="49"/>
        <v>1#1#5530|1#2#56880|1#3#237|1#4#474|1#9#237|1#10#474|1#11#237|1#12#474</v>
      </c>
      <c r="F238" s="27" t="str">
        <f t="shared" si="50"/>
        <v>2#1#16590|2#2#28440|2#3#237|2#4#474|2#9#237|2#10#474|2#11#237|2#12#474</v>
      </c>
      <c r="G238" s="27" t="str">
        <f t="shared" si="55"/>
        <v>0#1#33180|0#2#1137|0#3#237|0#4#474|0#9#237|0#10#474|0#11#237|0#12#474|1#1#5530|1#2#56880|1#3#237|1#4#474|1#9#237|1#10#474|1#11#237|1#12#474|2#1#16590|2#2#28440|2#3#237|2#4#474|2#9#237|2#10#474|2#11#237|2#12#474</v>
      </c>
      <c r="H238" s="22"/>
      <c r="I238" s="25">
        <v>4200000000</v>
      </c>
      <c r="J238" s="197">
        <v>237</v>
      </c>
      <c r="K238" s="183">
        <f t="shared" si="51"/>
        <v>33180</v>
      </c>
      <c r="L238" s="183">
        <f t="shared" si="52"/>
        <v>56880</v>
      </c>
      <c r="M238" s="183">
        <f t="shared" si="53"/>
        <v>237</v>
      </c>
      <c r="N238" s="183">
        <f t="shared" si="54"/>
        <v>474</v>
      </c>
      <c r="O238" s="183">
        <f t="shared" si="56"/>
        <v>237</v>
      </c>
      <c r="P238" s="183">
        <f t="shared" si="57"/>
        <v>474</v>
      </c>
      <c r="Q238" s="183">
        <f t="shared" si="58"/>
        <v>237</v>
      </c>
      <c r="R238" s="183">
        <f t="shared" si="59"/>
        <v>474</v>
      </c>
      <c r="S238" s="183">
        <f t="shared" si="60"/>
        <v>237</v>
      </c>
      <c r="T238" s="183">
        <f t="shared" si="61"/>
        <v>474</v>
      </c>
      <c r="U238" s="183">
        <f t="shared" si="62"/>
        <v>237</v>
      </c>
      <c r="V238" s="183">
        <f t="shared" si="63"/>
        <v>474</v>
      </c>
      <c r="W238" s="12">
        <f>K238*属性价值参考!C$5+升级!L238*属性价值参考!C$6+升级!M238*属性价值参考!C$7+升级!N238*属性价值参考!C$8+升级!S238*属性价值参考!C$9+升级!T238*属性价值参考!C$10+升级!U238*属性价值参考!C$11+升级!V238*属性价值参考!C$12</f>
        <v>278086.32</v>
      </c>
    </row>
    <row r="239" spans="1:23" x14ac:dyDescent="0.3">
      <c r="A239" s="22"/>
      <c r="B239" s="22"/>
      <c r="C239" s="27">
        <v>238</v>
      </c>
      <c r="D239" s="27" t="str">
        <f t="shared" si="48"/>
        <v>0#1#33320|0#2#1142|0#3#238|0#4#476|0#9#238|0#10#476|0#11#238|0#12#476</v>
      </c>
      <c r="E239" s="27" t="str">
        <f t="shared" si="49"/>
        <v>1#1#5553|1#2#57120|1#3#238|1#4#476|1#9#238|1#10#476|1#11#238|1#12#476</v>
      </c>
      <c r="F239" s="27" t="str">
        <f t="shared" si="50"/>
        <v>2#1#16660|2#2#28560|2#3#238|2#4#476|2#9#238|2#10#476|2#11#238|2#12#476</v>
      </c>
      <c r="G239" s="27" t="str">
        <f t="shared" si="55"/>
        <v>0#1#33320|0#2#1142|0#3#238|0#4#476|0#9#238|0#10#476|0#11#238|0#12#476|1#1#5553|1#2#57120|1#3#238|1#4#476|1#9#238|1#10#476|1#11#238|1#12#476|2#1#16660|2#2#28560|2#3#238|2#4#476|2#9#238|2#10#476|2#11#238|2#12#476</v>
      </c>
      <c r="H239" s="22"/>
      <c r="I239" s="28">
        <v>4200000000</v>
      </c>
      <c r="J239" s="198">
        <v>238</v>
      </c>
      <c r="K239" s="183">
        <f t="shared" si="51"/>
        <v>33320</v>
      </c>
      <c r="L239" s="183">
        <f t="shared" si="52"/>
        <v>57120</v>
      </c>
      <c r="M239" s="183">
        <f t="shared" si="53"/>
        <v>238</v>
      </c>
      <c r="N239" s="183">
        <f t="shared" si="54"/>
        <v>476</v>
      </c>
      <c r="O239" s="183">
        <f t="shared" si="56"/>
        <v>238</v>
      </c>
      <c r="P239" s="183">
        <f t="shared" si="57"/>
        <v>476</v>
      </c>
      <c r="Q239" s="183">
        <f t="shared" si="58"/>
        <v>238</v>
      </c>
      <c r="R239" s="183">
        <f t="shared" si="59"/>
        <v>476</v>
      </c>
      <c r="S239" s="183">
        <f t="shared" si="60"/>
        <v>238</v>
      </c>
      <c r="T239" s="183">
        <f t="shared" si="61"/>
        <v>476</v>
      </c>
      <c r="U239" s="183">
        <f t="shared" si="62"/>
        <v>238</v>
      </c>
      <c r="V239" s="183">
        <f t="shared" si="63"/>
        <v>476</v>
      </c>
      <c r="W239" s="12">
        <f>K239*属性价值参考!C$5+升级!L239*属性价值参考!C$6+升级!M239*属性价值参考!C$7+升级!N239*属性价值参考!C$8+升级!S239*属性价值参考!C$9+升级!T239*属性价值参考!C$10+升级!U239*属性价值参考!C$11+升级!V239*属性价值参考!C$12</f>
        <v>279259.68</v>
      </c>
    </row>
    <row r="240" spans="1:23" x14ac:dyDescent="0.3">
      <c r="A240" s="22"/>
      <c r="B240" s="22"/>
      <c r="C240" s="24">
        <v>239</v>
      </c>
      <c r="D240" s="27" t="str">
        <f t="shared" si="48"/>
        <v>0#1#33460|0#2#1147|0#3#239|0#4#478|0#9#239|0#10#478|0#11#239|0#12#478</v>
      </c>
      <c r="E240" s="27" t="str">
        <f t="shared" si="49"/>
        <v>1#1#5576|1#2#57360|1#3#239|1#4#478|1#9#239|1#10#478|1#11#239|1#12#478</v>
      </c>
      <c r="F240" s="27" t="str">
        <f t="shared" si="50"/>
        <v>2#1#16730|2#2#28680|2#3#239|2#4#478|2#9#239|2#10#478|2#11#239|2#12#478</v>
      </c>
      <c r="G240" s="27" t="str">
        <f t="shared" si="55"/>
        <v>0#1#33460|0#2#1147|0#3#239|0#4#478|0#9#239|0#10#478|0#11#239|0#12#478|1#1#5576|1#2#57360|1#3#239|1#4#478|1#9#239|1#10#478|1#11#239|1#12#478|2#1#16730|2#2#28680|2#3#239|2#4#478|2#9#239|2#10#478|2#11#239|2#12#478</v>
      </c>
      <c r="H240" s="22"/>
      <c r="I240" s="25">
        <v>4200000000</v>
      </c>
      <c r="J240" s="197">
        <v>239</v>
      </c>
      <c r="K240" s="183">
        <f t="shared" si="51"/>
        <v>33460</v>
      </c>
      <c r="L240" s="183">
        <f t="shared" si="52"/>
        <v>57360</v>
      </c>
      <c r="M240" s="183">
        <f t="shared" si="53"/>
        <v>239</v>
      </c>
      <c r="N240" s="183">
        <f t="shared" si="54"/>
        <v>478</v>
      </c>
      <c r="O240" s="183">
        <f t="shared" si="56"/>
        <v>239</v>
      </c>
      <c r="P240" s="183">
        <f t="shared" si="57"/>
        <v>478</v>
      </c>
      <c r="Q240" s="183">
        <f t="shared" si="58"/>
        <v>239</v>
      </c>
      <c r="R240" s="183">
        <f t="shared" si="59"/>
        <v>478</v>
      </c>
      <c r="S240" s="183">
        <f t="shared" si="60"/>
        <v>239</v>
      </c>
      <c r="T240" s="183">
        <f t="shared" si="61"/>
        <v>478</v>
      </c>
      <c r="U240" s="183">
        <f t="shared" si="62"/>
        <v>239</v>
      </c>
      <c r="V240" s="183">
        <f t="shared" si="63"/>
        <v>478</v>
      </c>
      <c r="W240" s="12">
        <f>K240*属性价值参考!C$5+升级!L240*属性价值参考!C$6+升级!M240*属性价值参考!C$7+升级!N240*属性价值参考!C$8+升级!S240*属性价值参考!C$9+升级!T240*属性价值参考!C$10+升级!U240*属性价值参考!C$11+升级!V240*属性价值参考!C$12</f>
        <v>280433.03999999992</v>
      </c>
    </row>
    <row r="241" spans="1:23" x14ac:dyDescent="0.3">
      <c r="A241" s="22"/>
      <c r="B241" s="22"/>
      <c r="C241" s="27">
        <v>240</v>
      </c>
      <c r="D241" s="27" t="str">
        <f t="shared" si="48"/>
        <v>0#1#33600|0#2#1152|0#3#240|0#4#480|0#9#240|0#10#480|0#11#240|0#12#480</v>
      </c>
      <c r="E241" s="27" t="str">
        <f t="shared" si="49"/>
        <v>1#1#5600|1#2#57600|1#3#240|1#4#480|1#9#240|1#10#480|1#11#240|1#12#480</v>
      </c>
      <c r="F241" s="27" t="str">
        <f t="shared" si="50"/>
        <v>2#1#16800|2#2#28800|2#3#240|2#4#480|2#9#240|2#10#480|2#11#240|2#12#480</v>
      </c>
      <c r="G241" s="27" t="str">
        <f t="shared" si="55"/>
        <v>0#1#33600|0#2#1152|0#3#240|0#4#480|0#9#240|0#10#480|0#11#240|0#12#480|1#1#5600|1#2#57600|1#3#240|1#4#480|1#9#240|1#10#480|1#11#240|1#12#480|2#1#16800|2#2#28800|2#3#240|2#4#480|2#9#240|2#10#480|2#11#240|2#12#480</v>
      </c>
      <c r="H241" s="22"/>
      <c r="I241" s="28">
        <v>4200000000</v>
      </c>
      <c r="J241" s="198">
        <v>240</v>
      </c>
      <c r="K241" s="183">
        <f t="shared" si="51"/>
        <v>33600</v>
      </c>
      <c r="L241" s="183">
        <f t="shared" si="52"/>
        <v>57600</v>
      </c>
      <c r="M241" s="183">
        <f t="shared" si="53"/>
        <v>240</v>
      </c>
      <c r="N241" s="183">
        <f t="shared" si="54"/>
        <v>480</v>
      </c>
      <c r="O241" s="183">
        <f t="shared" si="56"/>
        <v>240</v>
      </c>
      <c r="P241" s="183">
        <f t="shared" si="57"/>
        <v>480</v>
      </c>
      <c r="Q241" s="183">
        <f t="shared" si="58"/>
        <v>240</v>
      </c>
      <c r="R241" s="183">
        <f t="shared" si="59"/>
        <v>480</v>
      </c>
      <c r="S241" s="183">
        <f t="shared" si="60"/>
        <v>240</v>
      </c>
      <c r="T241" s="183">
        <f t="shared" si="61"/>
        <v>480</v>
      </c>
      <c r="U241" s="183">
        <f t="shared" si="62"/>
        <v>240</v>
      </c>
      <c r="V241" s="183">
        <f t="shared" si="63"/>
        <v>480</v>
      </c>
      <c r="W241" s="12">
        <f>K241*属性价值参考!C$5+升级!L241*属性价值参考!C$6+升级!M241*属性价值参考!C$7+升级!N241*属性价值参考!C$8+升级!S241*属性价值参考!C$9+升级!T241*属性价值参考!C$10+升级!U241*属性价值参考!C$11+升级!V241*属性价值参考!C$12</f>
        <v>281606.40000000002</v>
      </c>
    </row>
    <row r="242" spans="1:23" x14ac:dyDescent="0.3">
      <c r="A242" s="22"/>
      <c r="B242" s="22"/>
      <c r="C242" s="24">
        <v>241</v>
      </c>
      <c r="D242" s="27" t="str">
        <f t="shared" si="48"/>
        <v>0#1#33740|0#2#1156|0#3#241|0#4#482|0#9#241|0#10#482|0#11#241|0#12#482</v>
      </c>
      <c r="E242" s="27" t="str">
        <f t="shared" si="49"/>
        <v>1#1#5623|1#2#57840|1#3#241|1#4#482|1#9#241|1#10#482|1#11#241|1#12#482</v>
      </c>
      <c r="F242" s="27" t="str">
        <f t="shared" si="50"/>
        <v>2#1#16870|2#2#28920|2#3#241|2#4#482|2#9#241|2#10#482|2#11#241|2#12#482</v>
      </c>
      <c r="G242" s="27" t="str">
        <f t="shared" si="55"/>
        <v>0#1#33740|0#2#1156|0#3#241|0#4#482|0#9#241|0#10#482|0#11#241|0#12#482|1#1#5623|1#2#57840|1#3#241|1#4#482|1#9#241|1#10#482|1#11#241|1#12#482|2#1#16870|2#2#28920|2#3#241|2#4#482|2#9#241|2#10#482|2#11#241|2#12#482</v>
      </c>
      <c r="H242" s="22"/>
      <c r="I242" s="25">
        <v>4200000000</v>
      </c>
      <c r="J242" s="197">
        <v>241</v>
      </c>
      <c r="K242" s="183">
        <f t="shared" si="51"/>
        <v>33740</v>
      </c>
      <c r="L242" s="183">
        <f t="shared" si="52"/>
        <v>57840</v>
      </c>
      <c r="M242" s="183">
        <f t="shared" si="53"/>
        <v>241</v>
      </c>
      <c r="N242" s="183">
        <f t="shared" si="54"/>
        <v>482</v>
      </c>
      <c r="O242" s="183">
        <f t="shared" si="56"/>
        <v>241</v>
      </c>
      <c r="P242" s="183">
        <f t="shared" si="57"/>
        <v>482</v>
      </c>
      <c r="Q242" s="183">
        <f t="shared" si="58"/>
        <v>241</v>
      </c>
      <c r="R242" s="183">
        <f t="shared" si="59"/>
        <v>482</v>
      </c>
      <c r="S242" s="183">
        <f t="shared" si="60"/>
        <v>241</v>
      </c>
      <c r="T242" s="183">
        <f t="shared" si="61"/>
        <v>482</v>
      </c>
      <c r="U242" s="183">
        <f t="shared" si="62"/>
        <v>241</v>
      </c>
      <c r="V242" s="183">
        <f t="shared" si="63"/>
        <v>482</v>
      </c>
      <c r="W242" s="12">
        <f>K242*属性价值参考!C$5+升级!L242*属性价值参考!C$6+升级!M242*属性价值参考!C$7+升级!N242*属性价值参考!C$8+升级!S242*属性价值参考!C$9+升级!T242*属性价值参考!C$10+升级!U242*属性价值参考!C$11+升级!V242*属性价值参考!C$12</f>
        <v>282779.76</v>
      </c>
    </row>
    <row r="243" spans="1:23" x14ac:dyDescent="0.3">
      <c r="A243" s="22"/>
      <c r="B243" s="22"/>
      <c r="C243" s="27">
        <v>242</v>
      </c>
      <c r="D243" s="27" t="str">
        <f t="shared" si="48"/>
        <v>0#1#33880|0#2#1161|0#3#242|0#4#484|0#9#242|0#10#484|0#11#242|0#12#484</v>
      </c>
      <c r="E243" s="27" t="str">
        <f t="shared" si="49"/>
        <v>1#1#5646|1#2#58080|1#3#242|1#4#484|1#9#242|1#10#484|1#11#242|1#12#484</v>
      </c>
      <c r="F243" s="27" t="str">
        <f t="shared" si="50"/>
        <v>2#1#16940|2#2#29040|2#3#242|2#4#484|2#9#242|2#10#484|2#11#242|2#12#484</v>
      </c>
      <c r="G243" s="27" t="str">
        <f t="shared" si="55"/>
        <v>0#1#33880|0#2#1161|0#3#242|0#4#484|0#9#242|0#10#484|0#11#242|0#12#484|1#1#5646|1#2#58080|1#3#242|1#4#484|1#9#242|1#10#484|1#11#242|1#12#484|2#1#16940|2#2#29040|2#3#242|2#4#484|2#9#242|2#10#484|2#11#242|2#12#484</v>
      </c>
      <c r="H243" s="22"/>
      <c r="I243" s="28">
        <v>4200000000</v>
      </c>
      <c r="J243" s="198">
        <v>242</v>
      </c>
      <c r="K243" s="183">
        <f t="shared" ref="K243:K249" si="64">INT(J243/250*K$251)</f>
        <v>33880</v>
      </c>
      <c r="L243" s="183">
        <f t="shared" ref="L243:L245" si="65">INT(J243/250*L$251)</f>
        <v>58080</v>
      </c>
      <c r="M243" s="183">
        <f t="shared" ref="M243:M245" si="66">INT(J243/250*M$251)</f>
        <v>242</v>
      </c>
      <c r="N243" s="183">
        <f t="shared" ref="N243:N245" si="67">INT(J243/250*N$251)</f>
        <v>484</v>
      </c>
      <c r="O243" s="183">
        <f t="shared" ref="O243:O245" si="68">INT(J243/250*O$251)</f>
        <v>242</v>
      </c>
      <c r="P243" s="183">
        <f t="shared" ref="P243:P245" si="69">INT(J243/250*P$251)</f>
        <v>484</v>
      </c>
      <c r="Q243" s="183">
        <f t="shared" ref="Q243:Q245" si="70">INT(J243/250*Q$251)</f>
        <v>242</v>
      </c>
      <c r="R243" s="183">
        <f t="shared" ref="R243:R245" si="71">INT(J243/250*R$251)</f>
        <v>484</v>
      </c>
      <c r="S243" s="183">
        <f t="shared" ref="S243:S245" si="72">INT(J243/250*S$251)</f>
        <v>242</v>
      </c>
      <c r="T243" s="183">
        <f t="shared" ref="T243:T245" si="73">INT(J243/250*T$251)</f>
        <v>484</v>
      </c>
      <c r="U243" s="183">
        <f t="shared" ref="U243:U245" si="74">INT(J243/250*U$251)</f>
        <v>242</v>
      </c>
      <c r="V243" s="183">
        <f t="shared" ref="V243:V245" si="75">INT(J243/250*V$251)</f>
        <v>484</v>
      </c>
      <c r="W243" s="12">
        <f>K243*属性价值参考!C$5+升级!L243*属性价值参考!C$6+升级!M243*属性价值参考!C$7+升级!N243*属性价值参考!C$8+升级!S243*属性价值参考!C$9+升级!T243*属性价值参考!C$10+升级!U243*属性价值参考!C$11+升级!V243*属性价值参考!C$12</f>
        <v>283953.12</v>
      </c>
    </row>
    <row r="244" spans="1:23" x14ac:dyDescent="0.3">
      <c r="A244" s="22"/>
      <c r="B244" s="22"/>
      <c r="C244" s="24">
        <v>243</v>
      </c>
      <c r="D244" s="27" t="str">
        <f t="shared" si="48"/>
        <v>0#1#34020|0#2#1166|0#3#243|0#4#486|0#9#243|0#10#486|0#11#243|0#12#486</v>
      </c>
      <c r="E244" s="27" t="str">
        <f t="shared" si="49"/>
        <v>1#1#5670|1#2#58320|1#3#243|1#4#486|1#9#243|1#10#486|1#11#243|1#12#486</v>
      </c>
      <c r="F244" s="27" t="str">
        <f t="shared" si="50"/>
        <v>2#1#17010|2#2#29160|2#3#243|2#4#486|2#9#243|2#10#486|2#11#243|2#12#486</v>
      </c>
      <c r="G244" s="27" t="str">
        <f t="shared" si="55"/>
        <v>0#1#34020|0#2#1166|0#3#243|0#4#486|0#9#243|0#10#486|0#11#243|0#12#486|1#1#5670|1#2#58320|1#3#243|1#4#486|1#9#243|1#10#486|1#11#243|1#12#486|2#1#17010|2#2#29160|2#3#243|2#4#486|2#9#243|2#10#486|2#11#243|2#12#486</v>
      </c>
      <c r="H244" s="22"/>
      <c r="I244" s="25">
        <v>4200000000</v>
      </c>
      <c r="J244" s="197">
        <v>243</v>
      </c>
      <c r="K244" s="183">
        <f t="shared" si="64"/>
        <v>34020</v>
      </c>
      <c r="L244" s="183">
        <f t="shared" si="65"/>
        <v>58320</v>
      </c>
      <c r="M244" s="183">
        <f t="shared" si="66"/>
        <v>243</v>
      </c>
      <c r="N244" s="183">
        <f t="shared" si="67"/>
        <v>486</v>
      </c>
      <c r="O244" s="183">
        <f t="shared" si="68"/>
        <v>243</v>
      </c>
      <c r="P244" s="183">
        <f t="shared" si="69"/>
        <v>486</v>
      </c>
      <c r="Q244" s="183">
        <f t="shared" si="70"/>
        <v>243</v>
      </c>
      <c r="R244" s="183">
        <f t="shared" si="71"/>
        <v>486</v>
      </c>
      <c r="S244" s="183">
        <f t="shared" si="72"/>
        <v>243</v>
      </c>
      <c r="T244" s="183">
        <f t="shared" si="73"/>
        <v>486</v>
      </c>
      <c r="U244" s="183">
        <f t="shared" si="74"/>
        <v>243</v>
      </c>
      <c r="V244" s="183">
        <f t="shared" si="75"/>
        <v>486</v>
      </c>
      <c r="W244" s="12">
        <f>K244*属性价值参考!C$5+升级!L244*属性价值参考!C$6+升级!M244*属性价值参考!C$7+升级!N244*属性价值参考!C$8+升级!S244*属性价值参考!C$9+升级!T244*属性价值参考!C$10+升级!U244*属性价值参考!C$11+升级!V244*属性价值参考!C$12</f>
        <v>285126.48</v>
      </c>
    </row>
    <row r="245" spans="1:23" x14ac:dyDescent="0.3">
      <c r="A245" s="22"/>
      <c r="B245" s="22"/>
      <c r="C245" s="27">
        <v>244</v>
      </c>
      <c r="D245" s="27" t="str">
        <f t="shared" si="48"/>
        <v>0#1#34160|0#2#1171|0#3#244|0#4#488|0#9#244|0#10#488|0#11#244|0#12#488</v>
      </c>
      <c r="E245" s="27" t="str">
        <f t="shared" si="49"/>
        <v>1#1#5693|1#2#58560|1#3#244|1#4#488|1#9#244|1#10#488|1#11#244|1#12#488</v>
      </c>
      <c r="F245" s="27" t="str">
        <f t="shared" si="50"/>
        <v>2#1#17080|2#2#29280|2#3#244|2#4#488|2#9#244|2#10#488|2#11#244|2#12#488</v>
      </c>
      <c r="G245" s="27" t="str">
        <f t="shared" si="55"/>
        <v>0#1#34160|0#2#1171|0#3#244|0#4#488|0#9#244|0#10#488|0#11#244|0#12#488|1#1#5693|1#2#58560|1#3#244|1#4#488|1#9#244|1#10#488|1#11#244|1#12#488|2#1#17080|2#2#29280|2#3#244|2#4#488|2#9#244|2#10#488|2#11#244|2#12#488</v>
      </c>
      <c r="H245" s="22"/>
      <c r="I245" s="28">
        <v>4200000000</v>
      </c>
      <c r="J245" s="198">
        <v>244</v>
      </c>
      <c r="K245" s="183">
        <f t="shared" si="64"/>
        <v>34160</v>
      </c>
      <c r="L245" s="183">
        <f t="shared" si="65"/>
        <v>58560</v>
      </c>
      <c r="M245" s="183">
        <f t="shared" si="66"/>
        <v>244</v>
      </c>
      <c r="N245" s="183">
        <f t="shared" si="67"/>
        <v>488</v>
      </c>
      <c r="O245" s="183">
        <f t="shared" si="68"/>
        <v>244</v>
      </c>
      <c r="P245" s="183">
        <f t="shared" si="69"/>
        <v>488</v>
      </c>
      <c r="Q245" s="183">
        <f t="shared" si="70"/>
        <v>244</v>
      </c>
      <c r="R245" s="183">
        <f t="shared" si="71"/>
        <v>488</v>
      </c>
      <c r="S245" s="183">
        <f t="shared" si="72"/>
        <v>244</v>
      </c>
      <c r="T245" s="183">
        <f t="shared" si="73"/>
        <v>488</v>
      </c>
      <c r="U245" s="183">
        <f t="shared" si="74"/>
        <v>244</v>
      </c>
      <c r="V245" s="183">
        <f t="shared" si="75"/>
        <v>488</v>
      </c>
      <c r="W245" s="12">
        <f>K245*属性价值参考!C$5+升级!L245*属性价值参考!C$6+升级!M245*属性价值参考!C$7+升级!N245*属性价值参考!C$8+升级!S245*属性价值参考!C$9+升级!T245*属性价值参考!C$10+升级!U245*属性价值参考!C$11+升级!V245*属性价值参考!C$12</f>
        <v>286299.83999999991</v>
      </c>
    </row>
    <row r="246" spans="1:23" x14ac:dyDescent="0.3">
      <c r="A246" s="22"/>
      <c r="B246" s="22"/>
      <c r="C246" s="24">
        <v>245</v>
      </c>
      <c r="D246" s="27" t="str">
        <f t="shared" si="48"/>
        <v>0#1#34300|0#2#1176|0#3#245|0#4#490|0#9#245|0#10#490|0#11#245|0#12#490</v>
      </c>
      <c r="E246" s="27" t="str">
        <f t="shared" si="49"/>
        <v>1#1#5716|1#2#58800|1#3#245|1#4#490|1#9#245|1#10#490|1#11#245|1#12#490</v>
      </c>
      <c r="F246" s="27" t="str">
        <f t="shared" si="50"/>
        <v>2#1#17150|2#2#29400|2#3#245|2#4#490|2#9#245|2#10#490|2#11#245|2#12#490</v>
      </c>
      <c r="G246" s="27" t="str">
        <f t="shared" si="55"/>
        <v>0#1#34300|0#2#1176|0#3#245|0#4#490|0#9#245|0#10#490|0#11#245|0#12#490|1#1#5716|1#2#58800|1#3#245|1#4#490|1#9#245|1#10#490|1#11#245|1#12#490|2#1#17150|2#2#29400|2#3#245|2#4#490|2#9#245|2#10#490|2#11#245|2#12#490</v>
      </c>
      <c r="H246" s="22"/>
      <c r="I246" s="25">
        <v>4200000000</v>
      </c>
      <c r="J246" s="197">
        <v>245</v>
      </c>
      <c r="K246" s="183">
        <f>INT(J246/250*K$251)</f>
        <v>34300</v>
      </c>
      <c r="L246" s="183">
        <f>INT(J246/250*L$251)</f>
        <v>58800</v>
      </c>
      <c r="M246" s="183">
        <f>INT(J246/250*M$251)</f>
        <v>245</v>
      </c>
      <c r="N246" s="183">
        <f>INT(J246/250*N$251)</f>
        <v>490</v>
      </c>
      <c r="O246" s="183">
        <f>INT(J246/250*O$251)</f>
        <v>245</v>
      </c>
      <c r="P246" s="183">
        <f>INT(J246/250*P$251)</f>
        <v>490</v>
      </c>
      <c r="Q246" s="183">
        <f>INT(J246/250*Q$251)</f>
        <v>245</v>
      </c>
      <c r="R246" s="183">
        <f>INT(J246/250*R$251)</f>
        <v>490</v>
      </c>
      <c r="S246" s="183">
        <f>INT(J246/250*S$251)</f>
        <v>245</v>
      </c>
      <c r="T246" s="183">
        <f>INT(J246/250*T$251)</f>
        <v>490</v>
      </c>
      <c r="U246" s="183">
        <f>INT(J246/250*U$251)</f>
        <v>245</v>
      </c>
      <c r="V246" s="183">
        <f>INT(J246/250*V$251)</f>
        <v>490</v>
      </c>
      <c r="W246" s="12">
        <f>K246*属性价值参考!C$5+升级!L246*属性价值参考!C$6+升级!M246*属性价值参考!C$7+升级!N246*属性价值参考!C$8+升级!S246*属性价值参考!C$9+升级!T246*属性价值参考!C$10+升级!U246*属性价值参考!C$11+升级!V246*属性价值参考!C$12</f>
        <v>287473.2</v>
      </c>
    </row>
    <row r="247" spans="1:23" x14ac:dyDescent="0.3">
      <c r="A247" s="22"/>
      <c r="B247" s="22"/>
      <c r="C247" s="27">
        <v>246</v>
      </c>
      <c r="D247" s="27" t="str">
        <f t="shared" si="48"/>
        <v>0#1#34440|0#2#1180|0#3#246|0#4#492|0#9#246|0#10#492|0#11#246|0#12#492</v>
      </c>
      <c r="E247" s="27" t="str">
        <f t="shared" si="49"/>
        <v>1#1#5740|1#2#59040|1#3#246|1#4#492|1#9#246|1#10#492|1#11#246|1#12#492</v>
      </c>
      <c r="F247" s="27" t="str">
        <f t="shared" si="50"/>
        <v>2#1#17220|2#2#29520|2#3#246|2#4#492|2#9#246|2#10#492|2#11#246|2#12#492</v>
      </c>
      <c r="G247" s="27" t="str">
        <f t="shared" si="55"/>
        <v>0#1#34440|0#2#1180|0#3#246|0#4#492|0#9#246|0#10#492|0#11#246|0#12#492|1#1#5740|1#2#59040|1#3#246|1#4#492|1#9#246|1#10#492|1#11#246|1#12#492|2#1#17220|2#2#29520|2#3#246|2#4#492|2#9#246|2#10#492|2#11#246|2#12#492</v>
      </c>
      <c r="H247" s="22"/>
      <c r="I247" s="28">
        <v>4200000000</v>
      </c>
      <c r="J247" s="198">
        <v>246</v>
      </c>
      <c r="K247" s="183">
        <f t="shared" si="64"/>
        <v>34440</v>
      </c>
      <c r="L247" s="183">
        <f t="shared" ref="L247:L249" si="76">INT(J247/250*L$251)</f>
        <v>59040</v>
      </c>
      <c r="M247" s="183">
        <f t="shared" ref="M247:M249" si="77">INT(J247/250*M$251)</f>
        <v>246</v>
      </c>
      <c r="N247" s="183">
        <f t="shared" ref="N247:N249" si="78">INT(J247/250*N$251)</f>
        <v>492</v>
      </c>
      <c r="O247" s="183">
        <f t="shared" ref="O247:O249" si="79">INT(J247/250*O$251)</f>
        <v>246</v>
      </c>
      <c r="P247" s="183">
        <f t="shared" ref="P247:P249" si="80">INT(J247/250*P$251)</f>
        <v>492</v>
      </c>
      <c r="Q247" s="183">
        <f t="shared" ref="Q247:Q249" si="81">INT(J247/250*Q$251)</f>
        <v>246</v>
      </c>
      <c r="R247" s="183">
        <f t="shared" ref="R247:R249" si="82">INT(J247/250*R$251)</f>
        <v>492</v>
      </c>
      <c r="S247" s="183">
        <f t="shared" ref="S247:S249" si="83">INT(J247/250*S$251)</f>
        <v>246</v>
      </c>
      <c r="T247" s="183">
        <f t="shared" ref="T247:T249" si="84">INT(J247/250*T$251)</f>
        <v>492</v>
      </c>
      <c r="U247" s="183">
        <f t="shared" ref="U247:U249" si="85">INT(J247/250*U$251)</f>
        <v>246</v>
      </c>
      <c r="V247" s="183">
        <f t="shared" ref="V247:V249" si="86">INT(J247/250*V$251)</f>
        <v>492</v>
      </c>
      <c r="W247" s="12">
        <f>K247*属性价值参考!C$5+升级!L247*属性价值参考!C$6+升级!M247*属性价值参考!C$7+升级!N247*属性价值参考!C$8+升级!S247*属性价值参考!C$9+升级!T247*属性价值参考!C$10+升级!U247*属性价值参考!C$11+升级!V247*属性价值参考!C$12</f>
        <v>288646.56000000006</v>
      </c>
    </row>
    <row r="248" spans="1:23" x14ac:dyDescent="0.3">
      <c r="A248" s="22"/>
      <c r="B248" s="22"/>
      <c r="C248" s="24">
        <v>247</v>
      </c>
      <c r="D248" s="27" t="str">
        <f t="shared" si="48"/>
        <v>0#1#34580|0#2#1185|0#3#247|0#4#494|0#9#247|0#10#494|0#11#247|0#12#494</v>
      </c>
      <c r="E248" s="27" t="str">
        <f t="shared" si="49"/>
        <v>1#1#5763|1#2#59280|1#3#247|1#4#494|1#9#247|1#10#494|1#11#247|1#12#494</v>
      </c>
      <c r="F248" s="27" t="str">
        <f t="shared" si="50"/>
        <v>2#1#17290|2#2#29640|2#3#247|2#4#494|2#9#247|2#10#494|2#11#247|2#12#494</v>
      </c>
      <c r="G248" s="27" t="str">
        <f t="shared" si="55"/>
        <v>0#1#34580|0#2#1185|0#3#247|0#4#494|0#9#247|0#10#494|0#11#247|0#12#494|1#1#5763|1#2#59280|1#3#247|1#4#494|1#9#247|1#10#494|1#11#247|1#12#494|2#1#17290|2#2#29640|2#3#247|2#4#494|2#9#247|2#10#494|2#11#247|2#12#494</v>
      </c>
      <c r="H248" s="22"/>
      <c r="I248" s="25">
        <v>4200000000</v>
      </c>
      <c r="J248" s="197">
        <v>247</v>
      </c>
      <c r="K248" s="183">
        <f t="shared" si="64"/>
        <v>34580</v>
      </c>
      <c r="L248" s="183">
        <f t="shared" si="76"/>
        <v>59280</v>
      </c>
      <c r="M248" s="183">
        <f t="shared" si="77"/>
        <v>247</v>
      </c>
      <c r="N248" s="183">
        <f t="shared" si="78"/>
        <v>494</v>
      </c>
      <c r="O248" s="183">
        <f t="shared" si="79"/>
        <v>247</v>
      </c>
      <c r="P248" s="183">
        <f t="shared" si="80"/>
        <v>494</v>
      </c>
      <c r="Q248" s="183">
        <f t="shared" si="81"/>
        <v>247</v>
      </c>
      <c r="R248" s="183">
        <f t="shared" si="82"/>
        <v>494</v>
      </c>
      <c r="S248" s="183">
        <f t="shared" si="83"/>
        <v>247</v>
      </c>
      <c r="T248" s="183">
        <f t="shared" si="84"/>
        <v>494</v>
      </c>
      <c r="U248" s="183">
        <f t="shared" si="85"/>
        <v>247</v>
      </c>
      <c r="V248" s="183">
        <f t="shared" si="86"/>
        <v>494</v>
      </c>
      <c r="W248" s="12">
        <f>K248*属性价值参考!C$5+升级!L248*属性价值参考!C$6+升级!M248*属性价值参考!C$7+升级!N248*属性价值参考!C$8+升级!S248*属性价值参考!C$9+升级!T248*属性价值参考!C$10+升级!U248*属性价值参考!C$11+升级!V248*属性价值参考!C$12</f>
        <v>289819.92000000004</v>
      </c>
    </row>
    <row r="249" spans="1:23" x14ac:dyDescent="0.3">
      <c r="A249" s="22"/>
      <c r="B249" s="22"/>
      <c r="C249" s="27">
        <v>248</v>
      </c>
      <c r="D249" s="27" t="str">
        <f t="shared" si="48"/>
        <v>0#1#34720|0#2#1190|0#3#248|0#4#496|0#9#248|0#10#496|0#11#248|0#12#496</v>
      </c>
      <c r="E249" s="27" t="str">
        <f t="shared" si="49"/>
        <v>1#1#5786|1#2#59520|1#3#248|1#4#496|1#9#248|1#10#496|1#11#248|1#12#496</v>
      </c>
      <c r="F249" s="27" t="str">
        <f t="shared" si="50"/>
        <v>2#1#17360|2#2#29760|2#3#248|2#4#496|2#9#248|2#10#496|2#11#248|2#12#496</v>
      </c>
      <c r="G249" s="27" t="str">
        <f t="shared" si="55"/>
        <v>0#1#34720|0#2#1190|0#3#248|0#4#496|0#9#248|0#10#496|0#11#248|0#12#496|1#1#5786|1#2#59520|1#3#248|1#4#496|1#9#248|1#10#496|1#11#248|1#12#496|2#1#17360|2#2#29760|2#3#248|2#4#496|2#9#248|2#10#496|2#11#248|2#12#496</v>
      </c>
      <c r="H249" s="22"/>
      <c r="I249" s="28">
        <v>4200000000</v>
      </c>
      <c r="J249" s="198">
        <v>248</v>
      </c>
      <c r="K249" s="183">
        <f t="shared" si="64"/>
        <v>34720</v>
      </c>
      <c r="L249" s="183">
        <f t="shared" si="76"/>
        <v>59520</v>
      </c>
      <c r="M249" s="183">
        <f t="shared" si="77"/>
        <v>248</v>
      </c>
      <c r="N249" s="183">
        <f t="shared" si="78"/>
        <v>496</v>
      </c>
      <c r="O249" s="183">
        <f t="shared" si="79"/>
        <v>248</v>
      </c>
      <c r="P249" s="183">
        <f t="shared" si="80"/>
        <v>496</v>
      </c>
      <c r="Q249" s="183">
        <f t="shared" si="81"/>
        <v>248</v>
      </c>
      <c r="R249" s="183">
        <f t="shared" si="82"/>
        <v>496</v>
      </c>
      <c r="S249" s="183">
        <f t="shared" si="83"/>
        <v>248</v>
      </c>
      <c r="T249" s="183">
        <f t="shared" si="84"/>
        <v>496</v>
      </c>
      <c r="U249" s="183">
        <f t="shared" si="85"/>
        <v>248</v>
      </c>
      <c r="V249" s="183">
        <f t="shared" si="86"/>
        <v>496</v>
      </c>
      <c r="W249" s="12">
        <f>K249*属性价值参考!C$5+升级!L249*属性价值参考!C$6+升级!M249*属性价值参考!C$7+升级!N249*属性价值参考!C$8+升级!S249*属性价值参考!C$9+升级!T249*属性价值参考!C$10+升级!U249*属性价值参考!C$11+升级!V249*属性价值参考!C$12</f>
        <v>290993.27999999997</v>
      </c>
    </row>
    <row r="250" spans="1:23" x14ac:dyDescent="0.3">
      <c r="A250" s="22"/>
      <c r="B250" s="22"/>
      <c r="C250" s="24">
        <v>249</v>
      </c>
      <c r="D250" s="27" t="str">
        <f t="shared" si="48"/>
        <v>0#1#34860|0#2#1195|0#3#249|0#4#498|0#9#249|0#10#498|0#11#249|0#12#498</v>
      </c>
      <c r="E250" s="27" t="str">
        <f t="shared" si="49"/>
        <v>1#1#5810|1#2#59760|1#3#249|1#4#498|1#9#249|1#10#498|1#11#249|1#12#498</v>
      </c>
      <c r="F250" s="27" t="str">
        <f t="shared" si="50"/>
        <v>2#1#17430|2#2#29880|2#3#249|2#4#498|2#9#249|2#10#498|2#11#249|2#12#498</v>
      </c>
      <c r="G250" s="27" t="str">
        <f t="shared" si="55"/>
        <v>0#1#34860|0#2#1195|0#3#249|0#4#498|0#9#249|0#10#498|0#11#249|0#12#498|1#1#5810|1#2#59760|1#3#249|1#4#498|1#9#249|1#10#498|1#11#249|1#12#498|2#1#17430|2#2#29880|2#3#249|2#4#498|2#9#249|2#10#498|2#11#249|2#12#498</v>
      </c>
      <c r="H250" s="22"/>
      <c r="I250" s="25">
        <v>4200000000</v>
      </c>
      <c r="J250" s="197">
        <v>249</v>
      </c>
      <c r="K250" s="183">
        <f>INT(J250/250*K$251)</f>
        <v>34860</v>
      </c>
      <c r="L250" s="183">
        <f>INT(J250/250*L$251)</f>
        <v>59760</v>
      </c>
      <c r="M250" s="183">
        <f>INT(J250/250*M$251)</f>
        <v>249</v>
      </c>
      <c r="N250" s="183">
        <f>INT(J250/250*N$251)</f>
        <v>498</v>
      </c>
      <c r="O250" s="183">
        <f>INT(J250/250*O$251)</f>
        <v>249</v>
      </c>
      <c r="P250" s="183">
        <f>INT(J250/250*P$251)</f>
        <v>498</v>
      </c>
      <c r="Q250" s="183">
        <f>INT(J250/250*Q$251)</f>
        <v>249</v>
      </c>
      <c r="R250" s="183">
        <f>INT(J250/250*R$251)</f>
        <v>498</v>
      </c>
      <c r="S250" s="183">
        <f>INT(J250/250*S$251)</f>
        <v>249</v>
      </c>
      <c r="T250" s="183">
        <f>INT(J250/250*T$251)</f>
        <v>498</v>
      </c>
      <c r="U250" s="183">
        <f>INT(J250/250*U$251)</f>
        <v>249</v>
      </c>
      <c r="V250" s="183">
        <f>INT(J250/250*V$251)</f>
        <v>498</v>
      </c>
      <c r="W250" s="12">
        <f>K250*属性价值参考!C$5+升级!L250*属性价值参考!C$6+升级!M250*属性价值参考!C$7+升级!N250*属性价值参考!C$8+升级!S250*属性价值参考!C$9+升级!T250*属性价值参考!C$10+升级!U250*属性价值参考!C$11+升级!V250*属性价值参考!C$12</f>
        <v>292166.6399999999</v>
      </c>
    </row>
    <row r="251" spans="1:23" x14ac:dyDescent="0.3">
      <c r="A251" s="22"/>
      <c r="B251" s="22"/>
      <c r="C251" s="27">
        <v>250</v>
      </c>
      <c r="D251" s="27" t="str">
        <f t="shared" si="48"/>
        <v>0#1#35000|0#2#1200|0#3#250|0#4#500|0#9#250|0#10#500|0#11#250|0#12#500</v>
      </c>
      <c r="E251" s="27" t="str">
        <f t="shared" si="49"/>
        <v>1#1#5833|1#2#60000|1#3#250|1#4#500|1#9#250|1#10#500|1#11#250|1#12#500</v>
      </c>
      <c r="F251" s="27" t="str">
        <f t="shared" si="50"/>
        <v>2#1#17500|2#2#30000|2#3#250|2#4#500|2#9#250|2#10#500|2#11#250|2#12#500</v>
      </c>
      <c r="G251" s="27" t="str">
        <f t="shared" si="55"/>
        <v>0#1#35000|0#2#1200|0#3#250|0#4#500|0#9#250|0#10#500|0#11#250|0#12#500|1#1#5833|1#2#60000|1#3#250|1#4#500|1#9#250|1#10#500|1#11#250|1#12#500|2#1#17500|2#2#30000|2#3#250|2#4#500|2#9#250|2#10#500|2#11#250|2#12#500</v>
      </c>
      <c r="H251" s="22"/>
      <c r="I251" s="28">
        <v>4200000000</v>
      </c>
      <c r="J251" s="198">
        <v>250</v>
      </c>
      <c r="K251" s="183">
        <f>养成属性分配!K31</f>
        <v>35000</v>
      </c>
      <c r="L251" s="183">
        <f>养成属性分配!L31</f>
        <v>60000</v>
      </c>
      <c r="M251" s="183">
        <f>0.5*N251</f>
        <v>250</v>
      </c>
      <c r="N251" s="183">
        <f>养成属性分配!M31</f>
        <v>500</v>
      </c>
      <c r="O251" s="183">
        <f>0.5*P251</f>
        <v>250</v>
      </c>
      <c r="P251" s="183">
        <f>养成属性分配!M31</f>
        <v>500</v>
      </c>
      <c r="Q251" s="183">
        <f>0.5*R251</f>
        <v>250</v>
      </c>
      <c r="R251" s="183">
        <f>养成属性分配!M31</f>
        <v>500</v>
      </c>
      <c r="S251" s="183">
        <f>0.5*T251</f>
        <v>250</v>
      </c>
      <c r="T251" s="183">
        <f>养成属性分配!N31</f>
        <v>500</v>
      </c>
      <c r="U251" s="183">
        <f>0.5*V251</f>
        <v>250</v>
      </c>
      <c r="V251" s="183">
        <f>养成属性分配!N31</f>
        <v>500</v>
      </c>
      <c r="W251" s="12">
        <f>K251*属性价值参考!C$5+升级!L251*属性价值参考!C$6+升级!M251*属性价值参考!C$7+升级!N251*属性价值参考!C$8+升级!S251*属性价值参考!C$9+升级!T251*属性价值参考!C$10+升级!U251*属性价值参考!C$11+升级!V251*属性价值参考!C$12</f>
        <v>293340</v>
      </c>
    </row>
    <row r="252" spans="1:23" x14ac:dyDescent="0.3">
      <c r="A252" s="22"/>
      <c r="B252" s="22"/>
      <c r="C252" s="24">
        <v>251</v>
      </c>
      <c r="D252" s="27" t="str">
        <f t="shared" si="48"/>
        <v>0#1#35140|0#2#1204|0#3#251|0#4#502|0#9#251|0#10#502|0#11#251|0#12#502</v>
      </c>
      <c r="E252" s="27" t="str">
        <f t="shared" si="49"/>
        <v>1#1#5856|1#2#60240|1#3#251|1#4#502|1#9#251|1#10#502|1#11#251|1#12#502</v>
      </c>
      <c r="F252" s="27" t="str">
        <f t="shared" si="50"/>
        <v>2#1#17570|2#2#30120|2#3#251|2#4#502|2#9#251|2#10#502|2#11#251|2#12#502</v>
      </c>
      <c r="G252" s="27" t="str">
        <f t="shared" si="55"/>
        <v>0#1#35140|0#2#1204|0#3#251|0#4#502|0#9#251|0#10#502|0#11#251|0#12#502|1#1#5856|1#2#60240|1#3#251|1#4#502|1#9#251|1#10#502|1#11#251|1#12#502|2#1#17570|2#2#30120|2#3#251|2#4#502|2#9#251|2#10#502|2#11#251|2#12#502</v>
      </c>
      <c r="H252" s="22"/>
      <c r="I252" s="25">
        <v>4200000000</v>
      </c>
      <c r="J252" s="197">
        <v>251</v>
      </c>
      <c r="K252" s="183">
        <f>INT(J252/250*K$251)</f>
        <v>35140</v>
      </c>
      <c r="L252" s="183">
        <f>INT(J252/250*L$251)</f>
        <v>60240</v>
      </c>
      <c r="M252" s="183">
        <f>INT(J252/250*M$251)</f>
        <v>251</v>
      </c>
      <c r="N252" s="183">
        <f>INT(J252/250*N$251)</f>
        <v>502</v>
      </c>
      <c r="O252" s="183">
        <f>INT(J252/250*O$251)</f>
        <v>251</v>
      </c>
      <c r="P252" s="183">
        <f>INT(J252/250*P$251)</f>
        <v>502</v>
      </c>
      <c r="Q252" s="183">
        <f>INT(J252/250*Q$251)</f>
        <v>251</v>
      </c>
      <c r="R252" s="183">
        <f>INT(J252/250*R$251)</f>
        <v>502</v>
      </c>
      <c r="S252" s="183">
        <f>INT(J252/250*S$251)</f>
        <v>251</v>
      </c>
      <c r="T252" s="183">
        <f>INT(J252/250*T$251)</f>
        <v>502</v>
      </c>
      <c r="U252" s="183">
        <f>INT(J252/250*U$251)</f>
        <v>251</v>
      </c>
      <c r="V252" s="183">
        <f>INT(J252/250*V$251)</f>
        <v>502</v>
      </c>
      <c r="W252" s="12">
        <f>K252*属性价值参考!C$5+升级!L252*属性价值参考!C$6+升级!M252*属性价值参考!C$7+升级!N252*属性价值参考!C$8+升级!S252*属性价值参考!C$9+升级!T252*属性价值参考!C$10+升级!U252*属性价值参考!C$11+升级!V252*属性价值参考!C$12</f>
        <v>294513.3600000001</v>
      </c>
    </row>
    <row r="253" spans="1:23" x14ac:dyDescent="0.3">
      <c r="A253" s="22"/>
      <c r="B253" s="22"/>
      <c r="C253" s="27">
        <v>252</v>
      </c>
      <c r="D253" s="27" t="str">
        <f t="shared" si="48"/>
        <v>0#1#35280|0#2#1209|0#3#252|0#4#504|0#9#252|0#10#504|0#11#252|0#12#504</v>
      </c>
      <c r="E253" s="27" t="str">
        <f t="shared" si="49"/>
        <v>1#1#5880|1#2#60480|1#3#252|1#4#504|1#9#252|1#10#504|1#11#252|1#12#504</v>
      </c>
      <c r="F253" s="27" t="str">
        <f t="shared" si="50"/>
        <v>2#1#17640|2#2#30240|2#3#252|2#4#504|2#9#252|2#10#504|2#11#252|2#12#504</v>
      </c>
      <c r="G253" s="27" t="str">
        <f t="shared" si="55"/>
        <v>0#1#35280|0#2#1209|0#3#252|0#4#504|0#9#252|0#10#504|0#11#252|0#12#504|1#1#5880|1#2#60480|1#3#252|1#4#504|1#9#252|1#10#504|1#11#252|1#12#504|2#1#17640|2#2#30240|2#3#252|2#4#504|2#9#252|2#10#504|2#11#252|2#12#504</v>
      </c>
      <c r="H253" s="22"/>
      <c r="I253" s="28">
        <v>4200000000</v>
      </c>
      <c r="J253" s="198">
        <v>252</v>
      </c>
      <c r="K253" s="183">
        <f t="shared" ref="K253:K316" si="87">INT(J253/250*K$251)</f>
        <v>35280</v>
      </c>
      <c r="L253" s="183">
        <f t="shared" ref="L253:L258" si="88">INT(J253/250*L$251)</f>
        <v>60480</v>
      </c>
      <c r="M253" s="183">
        <f t="shared" ref="M253:M258" si="89">INT(J253/250*M$251)</f>
        <v>252</v>
      </c>
      <c r="N253" s="183">
        <f t="shared" ref="N253:N258" si="90">INT(J253/250*N$251)</f>
        <v>504</v>
      </c>
      <c r="O253" s="183">
        <f t="shared" ref="O253:O258" si="91">INT(J253/250*O$251)</f>
        <v>252</v>
      </c>
      <c r="P253" s="183">
        <f t="shared" ref="P253:P258" si="92">INT(J253/250*P$251)</f>
        <v>504</v>
      </c>
      <c r="Q253" s="183">
        <f t="shared" ref="Q253:Q258" si="93">INT(J253/250*Q$251)</f>
        <v>252</v>
      </c>
      <c r="R253" s="183">
        <f t="shared" ref="R253:R258" si="94">INT(J253/250*R$251)</f>
        <v>504</v>
      </c>
      <c r="S253" s="183">
        <f t="shared" ref="S253:S258" si="95">INT(J253/250*S$251)</f>
        <v>252</v>
      </c>
      <c r="T253" s="183">
        <f t="shared" ref="T253:T258" si="96">INT(J253/250*T$251)</f>
        <v>504</v>
      </c>
      <c r="U253" s="183">
        <f t="shared" ref="U253:U258" si="97">INT(J253/250*U$251)</f>
        <v>252</v>
      </c>
      <c r="V253" s="183">
        <f t="shared" ref="V253:V258" si="98">INT(J253/250*V$251)</f>
        <v>504</v>
      </c>
      <c r="W253" s="12">
        <f>K253*属性价值参考!C$5+升级!L253*属性价值参考!C$6+升级!M253*属性价值参考!C$7+升级!N253*属性价值参考!C$8+升级!S253*属性价值参考!C$9+升级!T253*属性价值参考!C$10+升级!U253*属性价值参考!C$11+升级!V253*属性价值参考!C$12</f>
        <v>295686.72000000003</v>
      </c>
    </row>
    <row r="254" spans="1:23" x14ac:dyDescent="0.3">
      <c r="A254" s="22"/>
      <c r="B254" s="22"/>
      <c r="C254" s="24">
        <v>253</v>
      </c>
      <c r="D254" s="27" t="str">
        <f t="shared" si="48"/>
        <v>0#1#35420|0#2#1214|0#3#253|0#4#506|0#9#253|0#10#506|0#11#253|0#12#506</v>
      </c>
      <c r="E254" s="27" t="str">
        <f t="shared" si="49"/>
        <v>1#1#5903|1#2#60720|1#3#253|1#4#506|1#9#253|1#10#506|1#11#253|1#12#506</v>
      </c>
      <c r="F254" s="27" t="str">
        <f t="shared" si="50"/>
        <v>2#1#17710|2#2#30360|2#3#253|2#4#506|2#9#253|2#10#506|2#11#253|2#12#506</v>
      </c>
      <c r="G254" s="27" t="str">
        <f t="shared" si="55"/>
        <v>0#1#35420|0#2#1214|0#3#253|0#4#506|0#9#253|0#10#506|0#11#253|0#12#506|1#1#5903|1#2#60720|1#3#253|1#4#506|1#9#253|1#10#506|1#11#253|1#12#506|2#1#17710|2#2#30360|2#3#253|2#4#506|2#9#253|2#10#506|2#11#253|2#12#506</v>
      </c>
      <c r="H254" s="22"/>
      <c r="I254" s="25">
        <v>4200000000</v>
      </c>
      <c r="J254" s="197">
        <v>253</v>
      </c>
      <c r="K254" s="183">
        <f t="shared" si="87"/>
        <v>35420</v>
      </c>
      <c r="L254" s="183">
        <f t="shared" si="88"/>
        <v>60720</v>
      </c>
      <c r="M254" s="183">
        <f t="shared" si="89"/>
        <v>253</v>
      </c>
      <c r="N254" s="183">
        <f t="shared" si="90"/>
        <v>506</v>
      </c>
      <c r="O254" s="183">
        <f t="shared" si="91"/>
        <v>253</v>
      </c>
      <c r="P254" s="183">
        <f t="shared" si="92"/>
        <v>506</v>
      </c>
      <c r="Q254" s="183">
        <f t="shared" si="93"/>
        <v>253</v>
      </c>
      <c r="R254" s="183">
        <f t="shared" si="94"/>
        <v>506</v>
      </c>
      <c r="S254" s="183">
        <f t="shared" si="95"/>
        <v>253</v>
      </c>
      <c r="T254" s="183">
        <f t="shared" si="96"/>
        <v>506</v>
      </c>
      <c r="U254" s="183">
        <f t="shared" si="97"/>
        <v>253</v>
      </c>
      <c r="V254" s="183">
        <f t="shared" si="98"/>
        <v>506</v>
      </c>
      <c r="W254" s="12">
        <f>K254*属性价值参考!C$5+升级!L254*属性价值参考!C$6+升级!M254*属性价值参考!C$7+升级!N254*属性价值参考!C$8+升级!S254*属性价值参考!C$9+升级!T254*属性价值参考!C$10+升级!U254*属性价值参考!C$11+升级!V254*属性价值参考!C$12</f>
        <v>296860.07999999996</v>
      </c>
    </row>
    <row r="255" spans="1:23" x14ac:dyDescent="0.3">
      <c r="A255" s="22"/>
      <c r="B255" s="22"/>
      <c r="C255" s="27">
        <v>254</v>
      </c>
      <c r="D255" s="27" t="str">
        <f t="shared" si="48"/>
        <v>0#1#35560|0#2#1219|0#3#254|0#4#508|0#9#254|0#10#508|0#11#254|0#12#508</v>
      </c>
      <c r="E255" s="27" t="str">
        <f t="shared" si="49"/>
        <v>1#1#5926|1#2#60960|1#3#254|1#4#508|1#9#254|1#10#508|1#11#254|1#12#508</v>
      </c>
      <c r="F255" s="27" t="str">
        <f t="shared" si="50"/>
        <v>2#1#17780|2#2#30480|2#3#254|2#4#508|2#9#254|2#10#508|2#11#254|2#12#508</v>
      </c>
      <c r="G255" s="27" t="str">
        <f t="shared" si="55"/>
        <v>0#1#35560|0#2#1219|0#3#254|0#4#508|0#9#254|0#10#508|0#11#254|0#12#508|1#1#5926|1#2#60960|1#3#254|1#4#508|1#9#254|1#10#508|1#11#254|1#12#508|2#1#17780|2#2#30480|2#3#254|2#4#508|2#9#254|2#10#508|2#11#254|2#12#508</v>
      </c>
      <c r="H255" s="22"/>
      <c r="I255" s="28">
        <v>4200000000</v>
      </c>
      <c r="J255" s="198">
        <v>254</v>
      </c>
      <c r="K255" s="183">
        <f t="shared" si="87"/>
        <v>35560</v>
      </c>
      <c r="L255" s="183">
        <f t="shared" si="88"/>
        <v>60960</v>
      </c>
      <c r="M255" s="183">
        <f t="shared" si="89"/>
        <v>254</v>
      </c>
      <c r="N255" s="183">
        <f t="shared" si="90"/>
        <v>508</v>
      </c>
      <c r="O255" s="183">
        <f t="shared" si="91"/>
        <v>254</v>
      </c>
      <c r="P255" s="183">
        <f t="shared" si="92"/>
        <v>508</v>
      </c>
      <c r="Q255" s="183">
        <f t="shared" si="93"/>
        <v>254</v>
      </c>
      <c r="R255" s="183">
        <f t="shared" si="94"/>
        <v>508</v>
      </c>
      <c r="S255" s="183">
        <f t="shared" si="95"/>
        <v>254</v>
      </c>
      <c r="T255" s="183">
        <f t="shared" si="96"/>
        <v>508</v>
      </c>
      <c r="U255" s="183">
        <f t="shared" si="97"/>
        <v>254</v>
      </c>
      <c r="V255" s="183">
        <f t="shared" si="98"/>
        <v>508</v>
      </c>
      <c r="W255" s="12">
        <f>K255*属性价值参考!C$5+升级!L255*属性价值参考!C$6+升级!M255*属性价值参考!C$7+升级!N255*属性价值参考!C$8+升级!S255*属性价值参考!C$9+升级!T255*属性价值参考!C$10+升级!U255*属性价值参考!C$11+升级!V255*属性价值参考!C$12</f>
        <v>298033.43999999989</v>
      </c>
    </row>
    <row r="256" spans="1:23" x14ac:dyDescent="0.3">
      <c r="A256" s="22"/>
      <c r="B256" s="22"/>
      <c r="C256" s="24">
        <v>255</v>
      </c>
      <c r="D256" s="27" t="str">
        <f t="shared" si="48"/>
        <v>0#1#35700|0#2#1224|0#3#255|0#4#510|0#9#255|0#10#510|0#11#255|0#12#510</v>
      </c>
      <c r="E256" s="27" t="str">
        <f t="shared" si="49"/>
        <v>1#1#5950|1#2#61200|1#3#255|1#4#510|1#9#255|1#10#510|1#11#255|1#12#510</v>
      </c>
      <c r="F256" s="27" t="str">
        <f t="shared" si="50"/>
        <v>2#1#17850|2#2#30600|2#3#255|2#4#510|2#9#255|2#10#510|2#11#255|2#12#510</v>
      </c>
      <c r="G256" s="27" t="str">
        <f t="shared" si="55"/>
        <v>0#1#35700|0#2#1224|0#3#255|0#4#510|0#9#255|0#10#510|0#11#255|0#12#510|1#1#5950|1#2#61200|1#3#255|1#4#510|1#9#255|1#10#510|1#11#255|1#12#510|2#1#17850|2#2#30600|2#3#255|2#4#510|2#9#255|2#10#510|2#11#255|2#12#510</v>
      </c>
      <c r="H256" s="22"/>
      <c r="I256" s="25">
        <v>4200000000</v>
      </c>
      <c r="J256" s="197">
        <v>255</v>
      </c>
      <c r="K256" s="183">
        <f t="shared" si="87"/>
        <v>35700</v>
      </c>
      <c r="L256" s="183">
        <f t="shared" si="88"/>
        <v>61200</v>
      </c>
      <c r="M256" s="183">
        <f t="shared" si="89"/>
        <v>255</v>
      </c>
      <c r="N256" s="183">
        <f t="shared" si="90"/>
        <v>510</v>
      </c>
      <c r="O256" s="183">
        <f t="shared" si="91"/>
        <v>255</v>
      </c>
      <c r="P256" s="183">
        <f t="shared" si="92"/>
        <v>510</v>
      </c>
      <c r="Q256" s="183">
        <f t="shared" si="93"/>
        <v>255</v>
      </c>
      <c r="R256" s="183">
        <f t="shared" si="94"/>
        <v>510</v>
      </c>
      <c r="S256" s="183">
        <f t="shared" si="95"/>
        <v>255</v>
      </c>
      <c r="T256" s="183">
        <f t="shared" si="96"/>
        <v>510</v>
      </c>
      <c r="U256" s="183">
        <f t="shared" si="97"/>
        <v>255</v>
      </c>
      <c r="V256" s="183">
        <f t="shared" si="98"/>
        <v>510</v>
      </c>
      <c r="W256" s="12">
        <f>K256*属性价值参考!C$5+升级!L256*属性价值参考!C$6+升级!M256*属性价值参考!C$7+升级!N256*属性价值参考!C$8+升级!S256*属性价值参考!C$9+升级!T256*属性价值参考!C$10+升级!U256*属性价值参考!C$11+升级!V256*属性价值参考!C$12</f>
        <v>299206.8</v>
      </c>
    </row>
    <row r="257" spans="1:23" x14ac:dyDescent="0.3">
      <c r="A257" s="22"/>
      <c r="B257" s="22"/>
      <c r="C257" s="27">
        <v>256</v>
      </c>
      <c r="D257" s="27" t="str">
        <f t="shared" si="48"/>
        <v>0#1#35840|0#2#1228|0#3#256|0#4#512|0#9#256|0#10#512|0#11#256|0#12#512</v>
      </c>
      <c r="E257" s="27" t="str">
        <f t="shared" si="49"/>
        <v>1#1#5973|1#2#61440|1#3#256|1#4#512|1#9#256|1#10#512|1#11#256|1#12#512</v>
      </c>
      <c r="F257" s="27" t="str">
        <f t="shared" si="50"/>
        <v>2#1#17920|2#2#30720|2#3#256|2#4#512|2#9#256|2#10#512|2#11#256|2#12#512</v>
      </c>
      <c r="G257" s="27" t="str">
        <f t="shared" si="55"/>
        <v>0#1#35840|0#2#1228|0#3#256|0#4#512|0#9#256|0#10#512|0#11#256|0#12#512|1#1#5973|1#2#61440|1#3#256|1#4#512|1#9#256|1#10#512|1#11#256|1#12#512|2#1#17920|2#2#30720|2#3#256|2#4#512|2#9#256|2#10#512|2#11#256|2#12#512</v>
      </c>
      <c r="H257" s="22"/>
      <c r="I257" s="28">
        <v>4200000000</v>
      </c>
      <c r="J257" s="198">
        <v>256</v>
      </c>
      <c r="K257" s="183">
        <f t="shared" si="87"/>
        <v>35840</v>
      </c>
      <c r="L257" s="183">
        <f t="shared" si="88"/>
        <v>61440</v>
      </c>
      <c r="M257" s="183">
        <f t="shared" si="89"/>
        <v>256</v>
      </c>
      <c r="N257" s="183">
        <f t="shared" si="90"/>
        <v>512</v>
      </c>
      <c r="O257" s="183">
        <f t="shared" si="91"/>
        <v>256</v>
      </c>
      <c r="P257" s="183">
        <f t="shared" si="92"/>
        <v>512</v>
      </c>
      <c r="Q257" s="183">
        <f t="shared" si="93"/>
        <v>256</v>
      </c>
      <c r="R257" s="183">
        <f t="shared" si="94"/>
        <v>512</v>
      </c>
      <c r="S257" s="183">
        <f t="shared" si="95"/>
        <v>256</v>
      </c>
      <c r="T257" s="183">
        <f t="shared" si="96"/>
        <v>512</v>
      </c>
      <c r="U257" s="183">
        <f t="shared" si="97"/>
        <v>256</v>
      </c>
      <c r="V257" s="183">
        <f t="shared" si="98"/>
        <v>512</v>
      </c>
      <c r="W257" s="12">
        <f>K257*属性价值参考!C$5+升级!L257*属性价值参考!C$6+升级!M257*属性价值参考!C$7+升级!N257*属性价值参考!C$8+升级!S257*属性价值参考!C$9+升级!T257*属性价值参考!C$10+升级!U257*属性价值参考!C$11+升级!V257*属性价值参考!C$12</f>
        <v>300380.16000000009</v>
      </c>
    </row>
    <row r="258" spans="1:23" x14ac:dyDescent="0.3">
      <c r="A258" s="22"/>
      <c r="B258" s="22"/>
      <c r="C258" s="24">
        <v>257</v>
      </c>
      <c r="D258" s="27" t="str">
        <f t="shared" ref="D258:D321" si="99">"0#1#"&amp;INT(K258)&amp;"|"&amp;"0#2#"&amp;INT(0.02*L258)&amp;"|"&amp;"0#3#"&amp;INT(M258)&amp;"|"&amp;"0#4#"&amp;INT(N258)&amp;"|"&amp;"0#9#"&amp;INT(S258)&amp;"|"&amp;"0#10#"&amp;INT(T258)&amp;"|"&amp;"0#11#"&amp;INT(U258)&amp;"|"&amp;"0#12#"&amp;INT(V258)</f>
        <v>0#1#35980|0#2#1233|0#3#257|0#4#514|0#9#257|0#10#514|0#11#257|0#12#514</v>
      </c>
      <c r="E258" s="27" t="str">
        <f t="shared" ref="E258:E321" si="100">"1#1#"&amp;INT(1/6*K258)&amp;"|"&amp;"1#2#"&amp;INT(L258)&amp;"|"&amp;"1#3#"&amp;INT(O258)&amp;"|"&amp;"1#4#"&amp;INT(P258)&amp;"|"&amp;"1#9#"&amp;INT(S258)&amp;"|"&amp;"1#10#"&amp;INT(T258)&amp;"|"&amp;"1#11#"&amp;INT(U258)&amp;"|"&amp;"1#12#"&amp;INT(V258)</f>
        <v>1#1#5996|1#2#61680|1#3#257|1#4#514|1#9#257|1#10#514|1#11#257|1#12#514</v>
      </c>
      <c r="F258" s="27" t="str">
        <f t="shared" ref="F258:F321" si="101">"2#1#"&amp;INT(1/2*K258)&amp;"|"&amp;"2#2#"&amp;INT(1/2*L258)&amp;"|"&amp;"2#3#"&amp;INT(Q258)&amp;"|"&amp;"2#4#"&amp;INT(R258)&amp;"|"&amp;"2#9#"&amp;INT(S258)&amp;"|"&amp;"2#10#"&amp;INT(T258)&amp;"|"&amp;"2#11#"&amp;INT(U258)&amp;"|"&amp;"2#12#"&amp;INT(V258)</f>
        <v>2#1#17990|2#2#30840|2#3#257|2#4#514|2#9#257|2#10#514|2#11#257|2#12#514</v>
      </c>
      <c r="G258" s="27" t="str">
        <f t="shared" si="55"/>
        <v>0#1#35980|0#2#1233|0#3#257|0#4#514|0#9#257|0#10#514|0#11#257|0#12#514|1#1#5996|1#2#61680|1#3#257|1#4#514|1#9#257|1#10#514|1#11#257|1#12#514|2#1#17990|2#2#30840|2#3#257|2#4#514|2#9#257|2#10#514|2#11#257|2#12#514</v>
      </c>
      <c r="H258" s="22"/>
      <c r="I258" s="25">
        <v>4200000000</v>
      </c>
      <c r="J258" s="197">
        <v>257</v>
      </c>
      <c r="K258" s="183">
        <f t="shared" si="87"/>
        <v>35980</v>
      </c>
      <c r="L258" s="183">
        <f t="shared" si="88"/>
        <v>61680</v>
      </c>
      <c r="M258" s="183">
        <f t="shared" si="89"/>
        <v>257</v>
      </c>
      <c r="N258" s="183">
        <f t="shared" si="90"/>
        <v>514</v>
      </c>
      <c r="O258" s="183">
        <f t="shared" si="91"/>
        <v>257</v>
      </c>
      <c r="P258" s="183">
        <f t="shared" si="92"/>
        <v>514</v>
      </c>
      <c r="Q258" s="183">
        <f t="shared" si="93"/>
        <v>257</v>
      </c>
      <c r="R258" s="183">
        <f t="shared" si="94"/>
        <v>514</v>
      </c>
      <c r="S258" s="183">
        <f t="shared" si="95"/>
        <v>257</v>
      </c>
      <c r="T258" s="183">
        <f t="shared" si="96"/>
        <v>514</v>
      </c>
      <c r="U258" s="183">
        <f t="shared" si="97"/>
        <v>257</v>
      </c>
      <c r="V258" s="183">
        <f t="shared" si="98"/>
        <v>514</v>
      </c>
      <c r="W258" s="12">
        <f>K258*属性价值参考!C$5+升级!L258*属性价值参考!C$6+升级!M258*属性价值参考!C$7+升级!N258*属性价值参考!C$8+升级!S258*属性价值参考!C$9+升级!T258*属性价值参考!C$10+升级!U258*属性价值参考!C$11+升级!V258*属性价值参考!C$12</f>
        <v>301553.52</v>
      </c>
    </row>
    <row r="259" spans="1:23" x14ac:dyDescent="0.3">
      <c r="A259" s="22"/>
      <c r="B259" s="22"/>
      <c r="C259" s="27">
        <v>258</v>
      </c>
      <c r="D259" s="27" t="str">
        <f t="shared" si="99"/>
        <v>0#1#36120|0#2#1238|0#3#258|0#4#516|0#9#258|0#10#516|0#11#258|0#12#516</v>
      </c>
      <c r="E259" s="27" t="str">
        <f t="shared" si="100"/>
        <v>1#1#6020|1#2#61920|1#3#258|1#4#516|1#9#258|1#10#516|1#11#258|1#12#516</v>
      </c>
      <c r="F259" s="27" t="str">
        <f t="shared" si="101"/>
        <v>2#1#18060|2#2#30960|2#3#258|2#4#516|2#9#258|2#10#516|2#11#258|2#12#516</v>
      </c>
      <c r="G259" s="27" t="str">
        <f t="shared" ref="G259:G322" si="102">D259&amp;"|"&amp;E259&amp;"|"&amp;F259</f>
        <v>0#1#36120|0#2#1238|0#3#258|0#4#516|0#9#258|0#10#516|0#11#258|0#12#516|1#1#6020|1#2#61920|1#3#258|1#4#516|1#9#258|1#10#516|1#11#258|1#12#516|2#1#18060|2#2#30960|2#3#258|2#4#516|2#9#258|2#10#516|2#11#258|2#12#516</v>
      </c>
      <c r="H259" s="22"/>
      <c r="I259" s="28">
        <v>4200000000</v>
      </c>
      <c r="J259" s="198">
        <v>258</v>
      </c>
      <c r="K259" s="183">
        <f t="shared" si="87"/>
        <v>36120</v>
      </c>
      <c r="L259" s="183">
        <f t="shared" ref="L259:L322" si="103">INT(J259/250*L$251)</f>
        <v>61920</v>
      </c>
      <c r="M259" s="183">
        <f t="shared" ref="M259:M322" si="104">INT(J259/250*M$251)</f>
        <v>258</v>
      </c>
      <c r="N259" s="183">
        <f t="shared" ref="N259:N322" si="105">INT(J259/250*N$251)</f>
        <v>516</v>
      </c>
      <c r="O259" s="183">
        <f t="shared" ref="O259:O322" si="106">INT(J259/250*O$251)</f>
        <v>258</v>
      </c>
      <c r="P259" s="183">
        <f t="shared" ref="P259:P322" si="107">INT(J259/250*P$251)</f>
        <v>516</v>
      </c>
      <c r="Q259" s="183">
        <f t="shared" ref="Q259:Q322" si="108">INT(J259/250*Q$251)</f>
        <v>258</v>
      </c>
      <c r="R259" s="183">
        <f t="shared" ref="R259:R322" si="109">INT(J259/250*R$251)</f>
        <v>516</v>
      </c>
      <c r="S259" s="183">
        <f t="shared" ref="S259:S322" si="110">INT(J259/250*S$251)</f>
        <v>258</v>
      </c>
      <c r="T259" s="183">
        <f t="shared" ref="T259:T322" si="111">INT(J259/250*T$251)</f>
        <v>516</v>
      </c>
      <c r="U259" s="183">
        <f t="shared" ref="U259:U322" si="112">INT(J259/250*U$251)</f>
        <v>258</v>
      </c>
      <c r="V259" s="183">
        <f t="shared" ref="V259:V322" si="113">INT(J259/250*V$251)</f>
        <v>516</v>
      </c>
      <c r="W259" s="12">
        <f>K259*属性价值参考!C$5+升级!L259*属性价值参考!C$6+升级!M259*属性价值参考!C$7+升级!N259*属性价值参考!C$8+升级!S259*属性价值参考!C$9+升级!T259*属性价值参考!C$10+升级!U259*属性价值参考!C$11+升级!V259*属性价值参考!C$12</f>
        <v>302726.87999999995</v>
      </c>
    </row>
    <row r="260" spans="1:23" x14ac:dyDescent="0.3">
      <c r="A260" s="22"/>
      <c r="B260" s="22"/>
      <c r="C260" s="24">
        <v>259</v>
      </c>
      <c r="D260" s="27" t="str">
        <f t="shared" si="99"/>
        <v>0#1#36260|0#2#1243|0#3#259|0#4#518|0#9#259|0#10#518|0#11#259|0#12#518</v>
      </c>
      <c r="E260" s="27" t="str">
        <f t="shared" si="100"/>
        <v>1#1#6043|1#2#62160|1#3#259|1#4#518|1#9#259|1#10#518|1#11#259|1#12#518</v>
      </c>
      <c r="F260" s="27" t="str">
        <f t="shared" si="101"/>
        <v>2#1#18130|2#2#31080|2#3#259|2#4#518|2#9#259|2#10#518|2#11#259|2#12#518</v>
      </c>
      <c r="G260" s="27" t="str">
        <f t="shared" si="102"/>
        <v>0#1#36260|0#2#1243|0#3#259|0#4#518|0#9#259|0#10#518|0#11#259|0#12#518|1#1#6043|1#2#62160|1#3#259|1#4#518|1#9#259|1#10#518|1#11#259|1#12#518|2#1#18130|2#2#31080|2#3#259|2#4#518|2#9#259|2#10#518|2#11#259|2#12#518</v>
      </c>
      <c r="H260" s="22"/>
      <c r="I260" s="25">
        <v>4200000000</v>
      </c>
      <c r="J260" s="197">
        <v>259</v>
      </c>
      <c r="K260" s="183">
        <f t="shared" si="87"/>
        <v>36260</v>
      </c>
      <c r="L260" s="183">
        <f t="shared" si="103"/>
        <v>62160</v>
      </c>
      <c r="M260" s="183">
        <f t="shared" si="104"/>
        <v>259</v>
      </c>
      <c r="N260" s="183">
        <f t="shared" si="105"/>
        <v>518</v>
      </c>
      <c r="O260" s="183">
        <f t="shared" si="106"/>
        <v>259</v>
      </c>
      <c r="P260" s="183">
        <f t="shared" si="107"/>
        <v>518</v>
      </c>
      <c r="Q260" s="183">
        <f t="shared" si="108"/>
        <v>259</v>
      </c>
      <c r="R260" s="183">
        <f t="shared" si="109"/>
        <v>518</v>
      </c>
      <c r="S260" s="183">
        <f t="shared" si="110"/>
        <v>259</v>
      </c>
      <c r="T260" s="183">
        <f t="shared" si="111"/>
        <v>518</v>
      </c>
      <c r="U260" s="183">
        <f t="shared" si="112"/>
        <v>259</v>
      </c>
      <c r="V260" s="183">
        <f t="shared" si="113"/>
        <v>518</v>
      </c>
      <c r="W260" s="12">
        <f>K260*属性价值参考!C$5+升级!L260*属性价值参考!C$6+升级!M260*属性价值参考!C$7+升级!N260*属性价值参考!C$8+升级!S260*属性价值参考!C$9+升级!T260*属性价值参考!C$10+升级!U260*属性价值参考!C$11+升级!V260*属性价值参考!C$12</f>
        <v>303900.23999999987</v>
      </c>
    </row>
    <row r="261" spans="1:23" x14ac:dyDescent="0.3">
      <c r="A261" s="22"/>
      <c r="B261" s="22"/>
      <c r="C261" s="27">
        <v>260</v>
      </c>
      <c r="D261" s="27" t="str">
        <f t="shared" si="99"/>
        <v>0#1#36400|0#2#1248|0#3#260|0#4#520|0#9#260|0#10#520|0#11#260|0#12#520</v>
      </c>
      <c r="E261" s="27" t="str">
        <f t="shared" si="100"/>
        <v>1#1#6066|1#2#62400|1#3#260|1#4#520|1#9#260|1#10#520|1#11#260|1#12#520</v>
      </c>
      <c r="F261" s="27" t="str">
        <f t="shared" si="101"/>
        <v>2#1#18200|2#2#31200|2#3#260|2#4#520|2#9#260|2#10#520|2#11#260|2#12#520</v>
      </c>
      <c r="G261" s="27" t="str">
        <f t="shared" si="102"/>
        <v>0#1#36400|0#2#1248|0#3#260|0#4#520|0#9#260|0#10#520|0#11#260|0#12#520|1#1#6066|1#2#62400|1#3#260|1#4#520|1#9#260|1#10#520|1#11#260|1#12#520|2#1#18200|2#2#31200|2#3#260|2#4#520|2#9#260|2#10#520|2#11#260|2#12#520</v>
      </c>
      <c r="H261" s="22"/>
      <c r="I261" s="28">
        <v>4200000000</v>
      </c>
      <c r="J261" s="198">
        <v>260</v>
      </c>
      <c r="K261" s="183">
        <f t="shared" si="87"/>
        <v>36400</v>
      </c>
      <c r="L261" s="183">
        <f t="shared" si="103"/>
        <v>62400</v>
      </c>
      <c r="M261" s="183">
        <f t="shared" si="104"/>
        <v>260</v>
      </c>
      <c r="N261" s="183">
        <f t="shared" si="105"/>
        <v>520</v>
      </c>
      <c r="O261" s="183">
        <f t="shared" si="106"/>
        <v>260</v>
      </c>
      <c r="P261" s="183">
        <f t="shared" si="107"/>
        <v>520</v>
      </c>
      <c r="Q261" s="183">
        <f t="shared" si="108"/>
        <v>260</v>
      </c>
      <c r="R261" s="183">
        <f t="shared" si="109"/>
        <v>520</v>
      </c>
      <c r="S261" s="183">
        <f t="shared" si="110"/>
        <v>260</v>
      </c>
      <c r="T261" s="183">
        <f t="shared" si="111"/>
        <v>520</v>
      </c>
      <c r="U261" s="183">
        <f t="shared" si="112"/>
        <v>260</v>
      </c>
      <c r="V261" s="183">
        <f t="shared" si="113"/>
        <v>520</v>
      </c>
      <c r="W261" s="12">
        <f>K261*属性价值参考!C$5+升级!L261*属性价值参考!C$6+升级!M261*属性价值参考!C$7+升级!N261*属性价值参考!C$8+升级!S261*属性价值参考!C$9+升级!T261*属性价值参考!C$10+升级!U261*属性价值参考!C$11+升级!V261*属性价值参考!C$12</f>
        <v>305073.59999999998</v>
      </c>
    </row>
    <row r="262" spans="1:23" x14ac:dyDescent="0.3">
      <c r="A262" s="22"/>
      <c r="B262" s="22"/>
      <c r="C262" s="24">
        <v>261</v>
      </c>
      <c r="D262" s="27" t="str">
        <f t="shared" si="99"/>
        <v>0#1#36540|0#2#1252|0#3#261|0#4#522|0#9#261|0#10#522|0#11#261|0#12#522</v>
      </c>
      <c r="E262" s="27" t="str">
        <f t="shared" si="100"/>
        <v>1#1#6090|1#2#62640|1#3#261|1#4#522|1#9#261|1#10#522|1#11#261|1#12#522</v>
      </c>
      <c r="F262" s="27" t="str">
        <f t="shared" si="101"/>
        <v>2#1#18270|2#2#31320|2#3#261|2#4#522|2#9#261|2#10#522|2#11#261|2#12#522</v>
      </c>
      <c r="G262" s="27" t="str">
        <f t="shared" si="102"/>
        <v>0#1#36540|0#2#1252|0#3#261|0#4#522|0#9#261|0#10#522|0#11#261|0#12#522|1#1#6090|1#2#62640|1#3#261|1#4#522|1#9#261|1#10#522|1#11#261|1#12#522|2#1#18270|2#2#31320|2#3#261|2#4#522|2#9#261|2#10#522|2#11#261|2#12#522</v>
      </c>
      <c r="H262" s="22"/>
      <c r="I262" s="25">
        <v>4200000000</v>
      </c>
      <c r="J262" s="197">
        <v>261</v>
      </c>
      <c r="K262" s="183">
        <f t="shared" si="87"/>
        <v>36540</v>
      </c>
      <c r="L262" s="183">
        <f t="shared" si="103"/>
        <v>62640</v>
      </c>
      <c r="M262" s="183">
        <f t="shared" si="104"/>
        <v>261</v>
      </c>
      <c r="N262" s="183">
        <f t="shared" si="105"/>
        <v>522</v>
      </c>
      <c r="O262" s="183">
        <f t="shared" si="106"/>
        <v>261</v>
      </c>
      <c r="P262" s="183">
        <f t="shared" si="107"/>
        <v>522</v>
      </c>
      <c r="Q262" s="183">
        <f t="shared" si="108"/>
        <v>261</v>
      </c>
      <c r="R262" s="183">
        <f t="shared" si="109"/>
        <v>522</v>
      </c>
      <c r="S262" s="183">
        <f t="shared" si="110"/>
        <v>261</v>
      </c>
      <c r="T262" s="183">
        <f t="shared" si="111"/>
        <v>522</v>
      </c>
      <c r="U262" s="183">
        <f t="shared" si="112"/>
        <v>261</v>
      </c>
      <c r="V262" s="183">
        <f t="shared" si="113"/>
        <v>522</v>
      </c>
      <c r="W262" s="12">
        <f>K262*属性价值参考!C$5+升级!L262*属性价值参考!C$6+升级!M262*属性价值参考!C$7+升级!N262*属性价值参考!C$8+升级!S262*属性价值参考!C$9+升级!T262*属性价值参考!C$10+升级!U262*属性价值参考!C$11+升级!V262*属性价值参考!C$12</f>
        <v>306246.96000000008</v>
      </c>
    </row>
    <row r="263" spans="1:23" x14ac:dyDescent="0.3">
      <c r="A263" s="22"/>
      <c r="B263" s="22"/>
      <c r="C263" s="27">
        <v>262</v>
      </c>
      <c r="D263" s="27" t="str">
        <f t="shared" si="99"/>
        <v>0#1#36680|0#2#1257|0#3#262|0#4#524|0#9#262|0#10#524|0#11#262|0#12#524</v>
      </c>
      <c r="E263" s="27" t="str">
        <f t="shared" si="100"/>
        <v>1#1#6113|1#2#62880|1#3#262|1#4#524|1#9#262|1#10#524|1#11#262|1#12#524</v>
      </c>
      <c r="F263" s="27" t="str">
        <f t="shared" si="101"/>
        <v>2#1#18340|2#2#31440|2#3#262|2#4#524|2#9#262|2#10#524|2#11#262|2#12#524</v>
      </c>
      <c r="G263" s="27" t="str">
        <f t="shared" si="102"/>
        <v>0#1#36680|0#2#1257|0#3#262|0#4#524|0#9#262|0#10#524|0#11#262|0#12#524|1#1#6113|1#2#62880|1#3#262|1#4#524|1#9#262|1#10#524|1#11#262|1#12#524|2#1#18340|2#2#31440|2#3#262|2#4#524|2#9#262|2#10#524|2#11#262|2#12#524</v>
      </c>
      <c r="H263" s="22"/>
      <c r="I263" s="28">
        <v>4200000000</v>
      </c>
      <c r="J263" s="198">
        <v>262</v>
      </c>
      <c r="K263" s="183">
        <f t="shared" si="87"/>
        <v>36680</v>
      </c>
      <c r="L263" s="183">
        <f t="shared" si="103"/>
        <v>62880</v>
      </c>
      <c r="M263" s="183">
        <f t="shared" si="104"/>
        <v>262</v>
      </c>
      <c r="N263" s="183">
        <f t="shared" si="105"/>
        <v>524</v>
      </c>
      <c r="O263" s="183">
        <f t="shared" si="106"/>
        <v>262</v>
      </c>
      <c r="P263" s="183">
        <f t="shared" si="107"/>
        <v>524</v>
      </c>
      <c r="Q263" s="183">
        <f t="shared" si="108"/>
        <v>262</v>
      </c>
      <c r="R263" s="183">
        <f t="shared" si="109"/>
        <v>524</v>
      </c>
      <c r="S263" s="183">
        <f t="shared" si="110"/>
        <v>262</v>
      </c>
      <c r="T263" s="183">
        <f t="shared" si="111"/>
        <v>524</v>
      </c>
      <c r="U263" s="183">
        <f t="shared" si="112"/>
        <v>262</v>
      </c>
      <c r="V263" s="183">
        <f t="shared" si="113"/>
        <v>524</v>
      </c>
      <c r="W263" s="12">
        <f>K263*属性价值参考!C$5+升级!L263*属性价值参考!C$6+升级!M263*属性价值参考!C$7+升级!N263*属性价值参考!C$8+升级!S263*属性价值参考!C$9+升级!T263*属性价值参考!C$10+升级!U263*属性价值参考!C$11+升级!V263*属性价值参考!C$12</f>
        <v>307420.32</v>
      </c>
    </row>
    <row r="264" spans="1:23" x14ac:dyDescent="0.3">
      <c r="A264" s="22"/>
      <c r="B264" s="22"/>
      <c r="C264" s="24">
        <v>263</v>
      </c>
      <c r="D264" s="27" t="str">
        <f t="shared" si="99"/>
        <v>0#1#36820|0#2#1262|0#3#263|0#4#526|0#9#263|0#10#526|0#11#263|0#12#526</v>
      </c>
      <c r="E264" s="27" t="str">
        <f t="shared" si="100"/>
        <v>1#1#6136|1#2#63120|1#3#263|1#4#526|1#9#263|1#10#526|1#11#263|1#12#526</v>
      </c>
      <c r="F264" s="27" t="str">
        <f t="shared" si="101"/>
        <v>2#1#18410|2#2#31560|2#3#263|2#4#526|2#9#263|2#10#526|2#11#263|2#12#526</v>
      </c>
      <c r="G264" s="27" t="str">
        <f t="shared" si="102"/>
        <v>0#1#36820|0#2#1262|0#3#263|0#4#526|0#9#263|0#10#526|0#11#263|0#12#526|1#1#6136|1#2#63120|1#3#263|1#4#526|1#9#263|1#10#526|1#11#263|1#12#526|2#1#18410|2#2#31560|2#3#263|2#4#526|2#9#263|2#10#526|2#11#263|2#12#526</v>
      </c>
      <c r="H264" s="22"/>
      <c r="I264" s="25">
        <v>4200000000</v>
      </c>
      <c r="J264" s="197">
        <v>263</v>
      </c>
      <c r="K264" s="183">
        <f t="shared" si="87"/>
        <v>36820</v>
      </c>
      <c r="L264" s="183">
        <f t="shared" si="103"/>
        <v>63120</v>
      </c>
      <c r="M264" s="183">
        <f t="shared" si="104"/>
        <v>263</v>
      </c>
      <c r="N264" s="183">
        <f t="shared" si="105"/>
        <v>526</v>
      </c>
      <c r="O264" s="183">
        <f t="shared" si="106"/>
        <v>263</v>
      </c>
      <c r="P264" s="183">
        <f t="shared" si="107"/>
        <v>526</v>
      </c>
      <c r="Q264" s="183">
        <f t="shared" si="108"/>
        <v>263</v>
      </c>
      <c r="R264" s="183">
        <f t="shared" si="109"/>
        <v>526</v>
      </c>
      <c r="S264" s="183">
        <f t="shared" si="110"/>
        <v>263</v>
      </c>
      <c r="T264" s="183">
        <f t="shared" si="111"/>
        <v>526</v>
      </c>
      <c r="U264" s="183">
        <f t="shared" si="112"/>
        <v>263</v>
      </c>
      <c r="V264" s="183">
        <f t="shared" si="113"/>
        <v>526</v>
      </c>
      <c r="W264" s="12">
        <f>K264*属性价值参考!C$5+升级!L264*属性价值参考!C$6+升级!M264*属性价值参考!C$7+升级!N264*属性价值参考!C$8+升级!S264*属性价值参考!C$9+升级!T264*属性价值参考!C$10+升级!U264*属性价值参考!C$11+升级!V264*属性价值参考!C$12</f>
        <v>308593.67999999993</v>
      </c>
    </row>
    <row r="265" spans="1:23" x14ac:dyDescent="0.3">
      <c r="A265" s="22"/>
      <c r="B265" s="22"/>
      <c r="C265" s="27">
        <v>264</v>
      </c>
      <c r="D265" s="27" t="str">
        <f t="shared" si="99"/>
        <v>0#1#36960|0#2#1267|0#3#264|0#4#528|0#9#264|0#10#528|0#11#264|0#12#528</v>
      </c>
      <c r="E265" s="27" t="str">
        <f t="shared" si="100"/>
        <v>1#1#6160|1#2#63360|1#3#264|1#4#528|1#9#264|1#10#528|1#11#264|1#12#528</v>
      </c>
      <c r="F265" s="27" t="str">
        <f t="shared" si="101"/>
        <v>2#1#18480|2#2#31680|2#3#264|2#4#528|2#9#264|2#10#528|2#11#264|2#12#528</v>
      </c>
      <c r="G265" s="27" t="str">
        <f t="shared" si="102"/>
        <v>0#1#36960|0#2#1267|0#3#264|0#4#528|0#9#264|0#10#528|0#11#264|0#12#528|1#1#6160|1#2#63360|1#3#264|1#4#528|1#9#264|1#10#528|1#11#264|1#12#528|2#1#18480|2#2#31680|2#3#264|2#4#528|2#9#264|2#10#528|2#11#264|2#12#528</v>
      </c>
      <c r="H265" s="22"/>
      <c r="I265" s="28">
        <v>4200000000</v>
      </c>
      <c r="J265" s="198">
        <v>264</v>
      </c>
      <c r="K265" s="183">
        <f t="shared" si="87"/>
        <v>36960</v>
      </c>
      <c r="L265" s="183">
        <f t="shared" si="103"/>
        <v>63360</v>
      </c>
      <c r="M265" s="183">
        <f t="shared" si="104"/>
        <v>264</v>
      </c>
      <c r="N265" s="183">
        <f t="shared" si="105"/>
        <v>528</v>
      </c>
      <c r="O265" s="183">
        <f t="shared" si="106"/>
        <v>264</v>
      </c>
      <c r="P265" s="183">
        <f t="shared" si="107"/>
        <v>528</v>
      </c>
      <c r="Q265" s="183">
        <f t="shared" si="108"/>
        <v>264</v>
      </c>
      <c r="R265" s="183">
        <f t="shared" si="109"/>
        <v>528</v>
      </c>
      <c r="S265" s="183">
        <f t="shared" si="110"/>
        <v>264</v>
      </c>
      <c r="T265" s="183">
        <f t="shared" si="111"/>
        <v>528</v>
      </c>
      <c r="U265" s="183">
        <f t="shared" si="112"/>
        <v>264</v>
      </c>
      <c r="V265" s="183">
        <f t="shared" si="113"/>
        <v>528</v>
      </c>
      <c r="W265" s="12">
        <f>K265*属性价值参考!C$5+升级!L265*属性价值参考!C$6+升级!M265*属性价值参考!C$7+升级!N265*属性价值参考!C$8+升级!S265*属性价值参考!C$9+升级!T265*属性价值参考!C$10+升级!U265*属性价值参考!C$11+升级!V265*属性价值参考!C$12</f>
        <v>309767.03999999986</v>
      </c>
    </row>
    <row r="266" spans="1:23" x14ac:dyDescent="0.3">
      <c r="A266" s="22"/>
      <c r="B266" s="22"/>
      <c r="C266" s="24">
        <v>265</v>
      </c>
      <c r="D266" s="27" t="str">
        <f t="shared" si="99"/>
        <v>0#1#37100|0#2#1272|0#3#265|0#4#530|0#9#265|0#10#530|0#11#265|0#12#530</v>
      </c>
      <c r="E266" s="27" t="str">
        <f t="shared" si="100"/>
        <v>1#1#6183|1#2#63600|1#3#265|1#4#530|1#9#265|1#10#530|1#11#265|1#12#530</v>
      </c>
      <c r="F266" s="27" t="str">
        <f t="shared" si="101"/>
        <v>2#1#18550|2#2#31800|2#3#265|2#4#530|2#9#265|2#10#530|2#11#265|2#12#530</v>
      </c>
      <c r="G266" s="27" t="str">
        <f t="shared" si="102"/>
        <v>0#1#37100|0#2#1272|0#3#265|0#4#530|0#9#265|0#10#530|0#11#265|0#12#530|1#1#6183|1#2#63600|1#3#265|1#4#530|1#9#265|1#10#530|1#11#265|1#12#530|2#1#18550|2#2#31800|2#3#265|2#4#530|2#9#265|2#10#530|2#11#265|2#12#530</v>
      </c>
      <c r="H266" s="22"/>
      <c r="I266" s="25">
        <v>4200000000</v>
      </c>
      <c r="J266" s="197">
        <v>265</v>
      </c>
      <c r="K266" s="183">
        <f t="shared" si="87"/>
        <v>37100</v>
      </c>
      <c r="L266" s="183">
        <f t="shared" si="103"/>
        <v>63600</v>
      </c>
      <c r="M266" s="183">
        <f t="shared" si="104"/>
        <v>265</v>
      </c>
      <c r="N266" s="183">
        <f t="shared" si="105"/>
        <v>530</v>
      </c>
      <c r="O266" s="183">
        <f t="shared" si="106"/>
        <v>265</v>
      </c>
      <c r="P266" s="183">
        <f t="shared" si="107"/>
        <v>530</v>
      </c>
      <c r="Q266" s="183">
        <f t="shared" si="108"/>
        <v>265</v>
      </c>
      <c r="R266" s="183">
        <f t="shared" si="109"/>
        <v>530</v>
      </c>
      <c r="S266" s="183">
        <f t="shared" si="110"/>
        <v>265</v>
      </c>
      <c r="T266" s="183">
        <f t="shared" si="111"/>
        <v>530</v>
      </c>
      <c r="U266" s="183">
        <f t="shared" si="112"/>
        <v>265</v>
      </c>
      <c r="V266" s="183">
        <f t="shared" si="113"/>
        <v>530</v>
      </c>
      <c r="W266" s="12">
        <f>K266*属性价值参考!C$5+升级!L266*属性价值参考!C$6+升级!M266*属性价值参考!C$7+升级!N266*属性价值参考!C$8+升级!S266*属性价值参考!C$9+升级!T266*属性价值参考!C$10+升级!U266*属性价值参考!C$11+升级!V266*属性价值参考!C$12</f>
        <v>310940.40000000002</v>
      </c>
    </row>
    <row r="267" spans="1:23" x14ac:dyDescent="0.3">
      <c r="A267" s="22"/>
      <c r="B267" s="22"/>
      <c r="C267" s="27">
        <v>266</v>
      </c>
      <c r="D267" s="27" t="str">
        <f t="shared" si="99"/>
        <v>0#1#37240|0#2#1276|0#3#266|0#4#532|0#9#266|0#10#532|0#11#266|0#12#532</v>
      </c>
      <c r="E267" s="27" t="str">
        <f t="shared" si="100"/>
        <v>1#1#6206|1#2#63840|1#3#266|1#4#532|1#9#266|1#10#532|1#11#266|1#12#532</v>
      </c>
      <c r="F267" s="27" t="str">
        <f t="shared" si="101"/>
        <v>2#1#18620|2#2#31920|2#3#266|2#4#532|2#9#266|2#10#532|2#11#266|2#12#532</v>
      </c>
      <c r="G267" s="27" t="str">
        <f t="shared" si="102"/>
        <v>0#1#37240|0#2#1276|0#3#266|0#4#532|0#9#266|0#10#532|0#11#266|0#12#532|1#1#6206|1#2#63840|1#3#266|1#4#532|1#9#266|1#10#532|1#11#266|1#12#532|2#1#18620|2#2#31920|2#3#266|2#4#532|2#9#266|2#10#532|2#11#266|2#12#532</v>
      </c>
      <c r="H267" s="22"/>
      <c r="I267" s="28">
        <v>4200000000</v>
      </c>
      <c r="J267" s="198">
        <v>266</v>
      </c>
      <c r="K267" s="183">
        <f t="shared" si="87"/>
        <v>37240</v>
      </c>
      <c r="L267" s="183">
        <f t="shared" si="103"/>
        <v>63840</v>
      </c>
      <c r="M267" s="183">
        <f t="shared" si="104"/>
        <v>266</v>
      </c>
      <c r="N267" s="183">
        <f t="shared" si="105"/>
        <v>532</v>
      </c>
      <c r="O267" s="183">
        <f t="shared" si="106"/>
        <v>266</v>
      </c>
      <c r="P267" s="183">
        <f t="shared" si="107"/>
        <v>532</v>
      </c>
      <c r="Q267" s="183">
        <f t="shared" si="108"/>
        <v>266</v>
      </c>
      <c r="R267" s="183">
        <f t="shared" si="109"/>
        <v>532</v>
      </c>
      <c r="S267" s="183">
        <f t="shared" si="110"/>
        <v>266</v>
      </c>
      <c r="T267" s="183">
        <f t="shared" si="111"/>
        <v>532</v>
      </c>
      <c r="U267" s="183">
        <f t="shared" si="112"/>
        <v>266</v>
      </c>
      <c r="V267" s="183">
        <f t="shared" si="113"/>
        <v>532</v>
      </c>
      <c r="W267" s="12">
        <f>K267*属性价值参考!C$5+升级!L267*属性价值参考!C$6+升级!M267*属性价值参考!C$7+升级!N267*属性价值参考!C$8+升级!S267*属性价值参考!C$9+升级!T267*属性价值参考!C$10+升级!U267*属性价值参考!C$11+升级!V267*属性价值参考!C$12</f>
        <v>312113.76000000007</v>
      </c>
    </row>
    <row r="268" spans="1:23" x14ac:dyDescent="0.3">
      <c r="A268" s="22"/>
      <c r="B268" s="22"/>
      <c r="C268" s="24">
        <v>267</v>
      </c>
      <c r="D268" s="27" t="str">
        <f t="shared" si="99"/>
        <v>0#1#37380|0#2#1281|0#3#267|0#4#534|0#9#267|0#10#534|0#11#267|0#12#534</v>
      </c>
      <c r="E268" s="27" t="str">
        <f t="shared" si="100"/>
        <v>1#1#6230|1#2#64080|1#3#267|1#4#534|1#9#267|1#10#534|1#11#267|1#12#534</v>
      </c>
      <c r="F268" s="27" t="str">
        <f t="shared" si="101"/>
        <v>2#1#18690|2#2#32040|2#3#267|2#4#534|2#9#267|2#10#534|2#11#267|2#12#534</v>
      </c>
      <c r="G268" s="27" t="str">
        <f t="shared" si="102"/>
        <v>0#1#37380|0#2#1281|0#3#267|0#4#534|0#9#267|0#10#534|0#11#267|0#12#534|1#1#6230|1#2#64080|1#3#267|1#4#534|1#9#267|1#10#534|1#11#267|1#12#534|2#1#18690|2#2#32040|2#3#267|2#4#534|2#9#267|2#10#534|2#11#267|2#12#534</v>
      </c>
      <c r="H268" s="22"/>
      <c r="I268" s="25">
        <v>4200000000</v>
      </c>
      <c r="J268" s="197">
        <v>267</v>
      </c>
      <c r="K268" s="183">
        <f t="shared" si="87"/>
        <v>37380</v>
      </c>
      <c r="L268" s="183">
        <f t="shared" si="103"/>
        <v>64080</v>
      </c>
      <c r="M268" s="183">
        <f t="shared" si="104"/>
        <v>267</v>
      </c>
      <c r="N268" s="183">
        <f t="shared" si="105"/>
        <v>534</v>
      </c>
      <c r="O268" s="183">
        <f t="shared" si="106"/>
        <v>267</v>
      </c>
      <c r="P268" s="183">
        <f t="shared" si="107"/>
        <v>534</v>
      </c>
      <c r="Q268" s="183">
        <f t="shared" si="108"/>
        <v>267</v>
      </c>
      <c r="R268" s="183">
        <f t="shared" si="109"/>
        <v>534</v>
      </c>
      <c r="S268" s="183">
        <f t="shared" si="110"/>
        <v>267</v>
      </c>
      <c r="T268" s="183">
        <f t="shared" si="111"/>
        <v>534</v>
      </c>
      <c r="U268" s="183">
        <f t="shared" si="112"/>
        <v>267</v>
      </c>
      <c r="V268" s="183">
        <f t="shared" si="113"/>
        <v>534</v>
      </c>
      <c r="W268" s="12">
        <f>K268*属性价值参考!C$5+升级!L268*属性价值参考!C$6+升级!M268*属性价值参考!C$7+升级!N268*属性价值参考!C$8+升级!S268*属性价值参考!C$9+升级!T268*属性价值参考!C$10+升级!U268*属性价值参考!C$11+升级!V268*属性价值参考!C$12</f>
        <v>313287.12</v>
      </c>
    </row>
    <row r="269" spans="1:23" x14ac:dyDescent="0.3">
      <c r="A269" s="22"/>
      <c r="B269" s="22"/>
      <c r="C269" s="27">
        <v>268</v>
      </c>
      <c r="D269" s="27" t="str">
        <f t="shared" si="99"/>
        <v>0#1#37520|0#2#1286|0#3#268|0#4#536|0#9#268|0#10#536|0#11#268|0#12#536</v>
      </c>
      <c r="E269" s="27" t="str">
        <f t="shared" si="100"/>
        <v>1#1#6253|1#2#64320|1#3#268|1#4#536|1#9#268|1#10#536|1#11#268|1#12#536</v>
      </c>
      <c r="F269" s="27" t="str">
        <f t="shared" si="101"/>
        <v>2#1#18760|2#2#32160|2#3#268|2#4#536|2#9#268|2#10#536|2#11#268|2#12#536</v>
      </c>
      <c r="G269" s="27" t="str">
        <f t="shared" si="102"/>
        <v>0#1#37520|0#2#1286|0#3#268|0#4#536|0#9#268|0#10#536|0#11#268|0#12#536|1#1#6253|1#2#64320|1#3#268|1#4#536|1#9#268|1#10#536|1#11#268|1#12#536|2#1#18760|2#2#32160|2#3#268|2#4#536|2#9#268|2#10#536|2#11#268|2#12#536</v>
      </c>
      <c r="H269" s="22"/>
      <c r="I269" s="28">
        <v>4200000000</v>
      </c>
      <c r="J269" s="198">
        <v>268</v>
      </c>
      <c r="K269" s="183">
        <f t="shared" si="87"/>
        <v>37520</v>
      </c>
      <c r="L269" s="183">
        <f t="shared" si="103"/>
        <v>64320</v>
      </c>
      <c r="M269" s="183">
        <f t="shared" si="104"/>
        <v>268</v>
      </c>
      <c r="N269" s="183">
        <f t="shared" si="105"/>
        <v>536</v>
      </c>
      <c r="O269" s="183">
        <f t="shared" si="106"/>
        <v>268</v>
      </c>
      <c r="P269" s="183">
        <f t="shared" si="107"/>
        <v>536</v>
      </c>
      <c r="Q269" s="183">
        <f t="shared" si="108"/>
        <v>268</v>
      </c>
      <c r="R269" s="183">
        <f t="shared" si="109"/>
        <v>536</v>
      </c>
      <c r="S269" s="183">
        <f t="shared" si="110"/>
        <v>268</v>
      </c>
      <c r="T269" s="183">
        <f t="shared" si="111"/>
        <v>536</v>
      </c>
      <c r="U269" s="183">
        <f t="shared" si="112"/>
        <v>268</v>
      </c>
      <c r="V269" s="183">
        <f t="shared" si="113"/>
        <v>536</v>
      </c>
      <c r="W269" s="12">
        <f>K269*属性价值参考!C$5+升级!L269*属性价值参考!C$6+升级!M269*属性价值参考!C$7+升级!N269*属性价值参考!C$8+升级!S269*属性价值参考!C$9+升级!T269*属性价值参考!C$10+升级!U269*属性价值参考!C$11+升级!V269*属性价值参考!C$12</f>
        <v>314460.47999999992</v>
      </c>
    </row>
    <row r="270" spans="1:23" x14ac:dyDescent="0.3">
      <c r="A270" s="22"/>
      <c r="B270" s="22"/>
      <c r="C270" s="24">
        <v>269</v>
      </c>
      <c r="D270" s="27" t="str">
        <f t="shared" si="99"/>
        <v>0#1#37660|0#2#1291|0#3#269|0#4#538|0#9#269|0#10#538|0#11#269|0#12#538</v>
      </c>
      <c r="E270" s="27" t="str">
        <f t="shared" si="100"/>
        <v>1#1#6276|1#2#64560|1#3#269|1#4#538|1#9#269|1#10#538|1#11#269|1#12#538</v>
      </c>
      <c r="F270" s="27" t="str">
        <f t="shared" si="101"/>
        <v>2#1#18830|2#2#32280|2#3#269|2#4#538|2#9#269|2#10#538|2#11#269|2#12#538</v>
      </c>
      <c r="G270" s="27" t="str">
        <f t="shared" si="102"/>
        <v>0#1#37660|0#2#1291|0#3#269|0#4#538|0#9#269|0#10#538|0#11#269|0#12#538|1#1#6276|1#2#64560|1#3#269|1#4#538|1#9#269|1#10#538|1#11#269|1#12#538|2#1#18830|2#2#32280|2#3#269|2#4#538|2#9#269|2#10#538|2#11#269|2#12#538</v>
      </c>
      <c r="H270" s="22"/>
      <c r="I270" s="25">
        <v>4200000000</v>
      </c>
      <c r="J270" s="197">
        <v>269</v>
      </c>
      <c r="K270" s="183">
        <f t="shared" si="87"/>
        <v>37660</v>
      </c>
      <c r="L270" s="183">
        <f t="shared" si="103"/>
        <v>64560</v>
      </c>
      <c r="M270" s="183">
        <f t="shared" si="104"/>
        <v>269</v>
      </c>
      <c r="N270" s="183">
        <f t="shared" si="105"/>
        <v>538</v>
      </c>
      <c r="O270" s="183">
        <f t="shared" si="106"/>
        <v>269</v>
      </c>
      <c r="P270" s="183">
        <f t="shared" si="107"/>
        <v>538</v>
      </c>
      <c r="Q270" s="183">
        <f t="shared" si="108"/>
        <v>269</v>
      </c>
      <c r="R270" s="183">
        <f t="shared" si="109"/>
        <v>538</v>
      </c>
      <c r="S270" s="183">
        <f t="shared" si="110"/>
        <v>269</v>
      </c>
      <c r="T270" s="183">
        <f t="shared" si="111"/>
        <v>538</v>
      </c>
      <c r="U270" s="183">
        <f t="shared" si="112"/>
        <v>269</v>
      </c>
      <c r="V270" s="183">
        <f t="shared" si="113"/>
        <v>538</v>
      </c>
      <c r="W270" s="12">
        <f>K270*属性价值参考!C$5+升级!L270*属性价值参考!C$6+升级!M270*属性价值参考!C$7+升级!N270*属性价值参考!C$8+升级!S270*属性价值参考!C$9+升级!T270*属性价值参考!C$10+升级!U270*属性价值参考!C$11+升级!V270*属性价值参考!C$12</f>
        <v>315633.83999999991</v>
      </c>
    </row>
    <row r="271" spans="1:23" x14ac:dyDescent="0.3">
      <c r="A271" s="22"/>
      <c r="B271" s="22"/>
      <c r="C271" s="27">
        <v>270</v>
      </c>
      <c r="D271" s="27" t="str">
        <f t="shared" si="99"/>
        <v>0#1#37800|0#2#1296|0#3#270|0#4#540|0#9#270|0#10#540|0#11#270|0#12#540</v>
      </c>
      <c r="E271" s="27" t="str">
        <f t="shared" si="100"/>
        <v>1#1#6300|1#2#64800|1#3#270|1#4#540|1#9#270|1#10#540|1#11#270|1#12#540</v>
      </c>
      <c r="F271" s="27" t="str">
        <f t="shared" si="101"/>
        <v>2#1#18900|2#2#32400|2#3#270|2#4#540|2#9#270|2#10#540|2#11#270|2#12#540</v>
      </c>
      <c r="G271" s="27" t="str">
        <f t="shared" si="102"/>
        <v>0#1#37800|0#2#1296|0#3#270|0#4#540|0#9#270|0#10#540|0#11#270|0#12#540|1#1#6300|1#2#64800|1#3#270|1#4#540|1#9#270|1#10#540|1#11#270|1#12#540|2#1#18900|2#2#32400|2#3#270|2#4#540|2#9#270|2#10#540|2#11#270|2#12#540</v>
      </c>
      <c r="H271" s="22"/>
      <c r="I271" s="28">
        <v>4200000000</v>
      </c>
      <c r="J271" s="198">
        <v>270</v>
      </c>
      <c r="K271" s="183">
        <f t="shared" si="87"/>
        <v>37800</v>
      </c>
      <c r="L271" s="183">
        <f t="shared" si="103"/>
        <v>64800</v>
      </c>
      <c r="M271" s="183">
        <f t="shared" si="104"/>
        <v>270</v>
      </c>
      <c r="N271" s="183">
        <f t="shared" si="105"/>
        <v>540</v>
      </c>
      <c r="O271" s="183">
        <f t="shared" si="106"/>
        <v>270</v>
      </c>
      <c r="P271" s="183">
        <f t="shared" si="107"/>
        <v>540</v>
      </c>
      <c r="Q271" s="183">
        <f t="shared" si="108"/>
        <v>270</v>
      </c>
      <c r="R271" s="183">
        <f t="shared" si="109"/>
        <v>540</v>
      </c>
      <c r="S271" s="183">
        <f t="shared" si="110"/>
        <v>270</v>
      </c>
      <c r="T271" s="183">
        <f t="shared" si="111"/>
        <v>540</v>
      </c>
      <c r="U271" s="183">
        <f t="shared" si="112"/>
        <v>270</v>
      </c>
      <c r="V271" s="183">
        <f t="shared" si="113"/>
        <v>540</v>
      </c>
      <c r="W271" s="12">
        <f>K271*属性价值参考!C$5+升级!L271*属性价值参考!C$6+升级!M271*属性价值参考!C$7+升级!N271*属性价值参考!C$8+升级!S271*属性价值参考!C$9+升级!T271*属性价值参考!C$10+升级!U271*属性价值参考!C$11+升级!V271*属性价值参考!C$12</f>
        <v>316807.2</v>
      </c>
    </row>
    <row r="272" spans="1:23" x14ac:dyDescent="0.3">
      <c r="A272" s="22"/>
      <c r="B272" s="22"/>
      <c r="C272" s="24">
        <v>271</v>
      </c>
      <c r="D272" s="27" t="str">
        <f t="shared" si="99"/>
        <v>0#1#37940|0#2#1300|0#3#271|0#4#542|0#9#271|0#10#542|0#11#271|0#12#542</v>
      </c>
      <c r="E272" s="27" t="str">
        <f t="shared" si="100"/>
        <v>1#1#6323|1#2#65040|1#3#271|1#4#542|1#9#271|1#10#542|1#11#271|1#12#542</v>
      </c>
      <c r="F272" s="27" t="str">
        <f t="shared" si="101"/>
        <v>2#1#18970|2#2#32520|2#3#271|2#4#542|2#9#271|2#10#542|2#11#271|2#12#542</v>
      </c>
      <c r="G272" s="27" t="str">
        <f t="shared" si="102"/>
        <v>0#1#37940|0#2#1300|0#3#271|0#4#542|0#9#271|0#10#542|0#11#271|0#12#542|1#1#6323|1#2#65040|1#3#271|1#4#542|1#9#271|1#10#542|1#11#271|1#12#542|2#1#18970|2#2#32520|2#3#271|2#4#542|2#9#271|2#10#542|2#11#271|2#12#542</v>
      </c>
      <c r="H272" s="22"/>
      <c r="I272" s="25">
        <v>4200000000</v>
      </c>
      <c r="J272" s="197">
        <v>271</v>
      </c>
      <c r="K272" s="183">
        <f t="shared" si="87"/>
        <v>37940</v>
      </c>
      <c r="L272" s="183">
        <f t="shared" si="103"/>
        <v>65040</v>
      </c>
      <c r="M272" s="183">
        <f t="shared" si="104"/>
        <v>271</v>
      </c>
      <c r="N272" s="183">
        <f t="shared" si="105"/>
        <v>542</v>
      </c>
      <c r="O272" s="183">
        <f t="shared" si="106"/>
        <v>271</v>
      </c>
      <c r="P272" s="183">
        <f t="shared" si="107"/>
        <v>542</v>
      </c>
      <c r="Q272" s="183">
        <f t="shared" si="108"/>
        <v>271</v>
      </c>
      <c r="R272" s="183">
        <f t="shared" si="109"/>
        <v>542</v>
      </c>
      <c r="S272" s="183">
        <f t="shared" si="110"/>
        <v>271</v>
      </c>
      <c r="T272" s="183">
        <f t="shared" si="111"/>
        <v>542</v>
      </c>
      <c r="U272" s="183">
        <f t="shared" si="112"/>
        <v>271</v>
      </c>
      <c r="V272" s="183">
        <f t="shared" si="113"/>
        <v>542</v>
      </c>
      <c r="W272" s="12">
        <f>K272*属性价值参考!C$5+升级!L272*属性价值参考!C$6+升级!M272*属性价值参考!C$7+升级!N272*属性价值参考!C$8+升级!S272*属性价值参考!C$9+升级!T272*属性价值参考!C$10+升级!U272*属性价值参考!C$11+升级!V272*属性价值参考!C$12</f>
        <v>317980.56000000006</v>
      </c>
    </row>
    <row r="273" spans="1:23" x14ac:dyDescent="0.3">
      <c r="A273" s="22"/>
      <c r="B273" s="22"/>
      <c r="C273" s="27">
        <v>272</v>
      </c>
      <c r="D273" s="27" t="str">
        <f t="shared" si="99"/>
        <v>0#1#38080|0#2#1305|0#3#272|0#4#544|0#9#272|0#10#544|0#11#272|0#12#544</v>
      </c>
      <c r="E273" s="27" t="str">
        <f t="shared" si="100"/>
        <v>1#1#6346|1#2#65280|1#3#272|1#4#544|1#9#272|1#10#544|1#11#272|1#12#544</v>
      </c>
      <c r="F273" s="27" t="str">
        <f t="shared" si="101"/>
        <v>2#1#19040|2#2#32640|2#3#272|2#4#544|2#9#272|2#10#544|2#11#272|2#12#544</v>
      </c>
      <c r="G273" s="27" t="str">
        <f t="shared" si="102"/>
        <v>0#1#38080|0#2#1305|0#3#272|0#4#544|0#9#272|0#10#544|0#11#272|0#12#544|1#1#6346|1#2#65280|1#3#272|1#4#544|1#9#272|1#10#544|1#11#272|1#12#544|2#1#19040|2#2#32640|2#3#272|2#4#544|2#9#272|2#10#544|2#11#272|2#12#544</v>
      </c>
      <c r="H273" s="22"/>
      <c r="I273" s="28">
        <v>4200000000</v>
      </c>
      <c r="J273" s="198">
        <v>272</v>
      </c>
      <c r="K273" s="183">
        <f t="shared" si="87"/>
        <v>38080</v>
      </c>
      <c r="L273" s="183">
        <f t="shared" si="103"/>
        <v>65280</v>
      </c>
      <c r="M273" s="183">
        <f t="shared" si="104"/>
        <v>272</v>
      </c>
      <c r="N273" s="183">
        <f t="shared" si="105"/>
        <v>544</v>
      </c>
      <c r="O273" s="183">
        <f t="shared" si="106"/>
        <v>272</v>
      </c>
      <c r="P273" s="183">
        <f t="shared" si="107"/>
        <v>544</v>
      </c>
      <c r="Q273" s="183">
        <f t="shared" si="108"/>
        <v>272</v>
      </c>
      <c r="R273" s="183">
        <f t="shared" si="109"/>
        <v>544</v>
      </c>
      <c r="S273" s="183">
        <f t="shared" si="110"/>
        <v>272</v>
      </c>
      <c r="T273" s="183">
        <f t="shared" si="111"/>
        <v>544</v>
      </c>
      <c r="U273" s="183">
        <f t="shared" si="112"/>
        <v>272</v>
      </c>
      <c r="V273" s="183">
        <f t="shared" si="113"/>
        <v>544</v>
      </c>
      <c r="W273" s="12">
        <f>K273*属性价值参考!C$5+升级!L273*属性价值参考!C$6+升级!M273*属性价值参考!C$7+升级!N273*属性价值参考!C$8+升级!S273*属性价值参考!C$9+升级!T273*属性价值参考!C$10+升级!U273*属性价值参考!C$11+升级!V273*属性价值参考!C$12</f>
        <v>319153.92000000004</v>
      </c>
    </row>
    <row r="274" spans="1:23" x14ac:dyDescent="0.3">
      <c r="A274" s="22"/>
      <c r="B274" s="22"/>
      <c r="C274" s="24">
        <v>273</v>
      </c>
      <c r="D274" s="27" t="str">
        <f t="shared" si="99"/>
        <v>0#1#38220|0#2#1310|0#3#273|0#4#546|0#9#273|0#10#546|0#11#273|0#12#546</v>
      </c>
      <c r="E274" s="27" t="str">
        <f t="shared" si="100"/>
        <v>1#1#6370|1#2#65520|1#3#273|1#4#546|1#9#273|1#10#546|1#11#273|1#12#546</v>
      </c>
      <c r="F274" s="27" t="str">
        <f t="shared" si="101"/>
        <v>2#1#19110|2#2#32760|2#3#273|2#4#546|2#9#273|2#10#546|2#11#273|2#12#546</v>
      </c>
      <c r="G274" s="27" t="str">
        <f t="shared" si="102"/>
        <v>0#1#38220|0#2#1310|0#3#273|0#4#546|0#9#273|0#10#546|0#11#273|0#12#546|1#1#6370|1#2#65520|1#3#273|1#4#546|1#9#273|1#10#546|1#11#273|1#12#546|2#1#19110|2#2#32760|2#3#273|2#4#546|2#9#273|2#10#546|2#11#273|2#12#546</v>
      </c>
      <c r="H274" s="22"/>
      <c r="I274" s="25">
        <v>4200000000</v>
      </c>
      <c r="J274" s="197">
        <v>273</v>
      </c>
      <c r="K274" s="183">
        <f t="shared" si="87"/>
        <v>38220</v>
      </c>
      <c r="L274" s="183">
        <f t="shared" si="103"/>
        <v>65520</v>
      </c>
      <c r="M274" s="183">
        <f t="shared" si="104"/>
        <v>273</v>
      </c>
      <c r="N274" s="183">
        <f t="shared" si="105"/>
        <v>546</v>
      </c>
      <c r="O274" s="183">
        <f t="shared" si="106"/>
        <v>273</v>
      </c>
      <c r="P274" s="183">
        <f t="shared" si="107"/>
        <v>546</v>
      </c>
      <c r="Q274" s="183">
        <f t="shared" si="108"/>
        <v>273</v>
      </c>
      <c r="R274" s="183">
        <f t="shared" si="109"/>
        <v>546</v>
      </c>
      <c r="S274" s="183">
        <f t="shared" si="110"/>
        <v>273</v>
      </c>
      <c r="T274" s="183">
        <f t="shared" si="111"/>
        <v>546</v>
      </c>
      <c r="U274" s="183">
        <f t="shared" si="112"/>
        <v>273</v>
      </c>
      <c r="V274" s="183">
        <f t="shared" si="113"/>
        <v>546</v>
      </c>
      <c r="W274" s="12">
        <f>K274*属性价值参考!C$5+升级!L274*属性价值参考!C$6+升级!M274*属性价值参考!C$7+升级!N274*属性价值参考!C$8+升级!S274*属性价值参考!C$9+升级!T274*属性价值参考!C$10+升级!U274*属性价值参考!C$11+升级!V274*属性价值参考!C$12</f>
        <v>320327.27999999997</v>
      </c>
    </row>
    <row r="275" spans="1:23" x14ac:dyDescent="0.3">
      <c r="A275" s="22"/>
      <c r="B275" s="22"/>
      <c r="C275" s="27">
        <v>274</v>
      </c>
      <c r="D275" s="27" t="str">
        <f t="shared" si="99"/>
        <v>0#1#38360|0#2#1315|0#3#274|0#4#548|0#9#274|0#10#548|0#11#274|0#12#548</v>
      </c>
      <c r="E275" s="27" t="str">
        <f t="shared" si="100"/>
        <v>1#1#6393|1#2#65760|1#3#274|1#4#548|1#9#274|1#10#548|1#11#274|1#12#548</v>
      </c>
      <c r="F275" s="27" t="str">
        <f t="shared" si="101"/>
        <v>2#1#19180|2#2#32880|2#3#274|2#4#548|2#9#274|2#10#548|2#11#274|2#12#548</v>
      </c>
      <c r="G275" s="27" t="str">
        <f t="shared" si="102"/>
        <v>0#1#38360|0#2#1315|0#3#274|0#4#548|0#9#274|0#10#548|0#11#274|0#12#548|1#1#6393|1#2#65760|1#3#274|1#4#548|1#9#274|1#10#548|1#11#274|1#12#548|2#1#19180|2#2#32880|2#3#274|2#4#548|2#9#274|2#10#548|2#11#274|2#12#548</v>
      </c>
      <c r="H275" s="22"/>
      <c r="I275" s="28">
        <v>4200000000</v>
      </c>
      <c r="J275" s="198">
        <v>274</v>
      </c>
      <c r="K275" s="183">
        <f t="shared" si="87"/>
        <v>38360</v>
      </c>
      <c r="L275" s="183">
        <f t="shared" si="103"/>
        <v>65760</v>
      </c>
      <c r="M275" s="183">
        <f t="shared" si="104"/>
        <v>274</v>
      </c>
      <c r="N275" s="183">
        <f t="shared" si="105"/>
        <v>548</v>
      </c>
      <c r="O275" s="183">
        <f t="shared" si="106"/>
        <v>274</v>
      </c>
      <c r="P275" s="183">
        <f t="shared" si="107"/>
        <v>548</v>
      </c>
      <c r="Q275" s="183">
        <f t="shared" si="108"/>
        <v>274</v>
      </c>
      <c r="R275" s="183">
        <f t="shared" si="109"/>
        <v>548</v>
      </c>
      <c r="S275" s="183">
        <f t="shared" si="110"/>
        <v>274</v>
      </c>
      <c r="T275" s="183">
        <f t="shared" si="111"/>
        <v>548</v>
      </c>
      <c r="U275" s="183">
        <f t="shared" si="112"/>
        <v>274</v>
      </c>
      <c r="V275" s="183">
        <f t="shared" si="113"/>
        <v>548</v>
      </c>
      <c r="W275" s="12">
        <f>K275*属性价值参考!C$5+升级!L275*属性价值参考!C$6+升级!M275*属性价值参考!C$7+升级!N275*属性价值参考!C$8+升级!S275*属性价值参考!C$9+升级!T275*属性价值参考!C$10+升级!U275*属性价值参考!C$11+升级!V275*属性价值参考!C$12</f>
        <v>321500.6399999999</v>
      </c>
    </row>
    <row r="276" spans="1:23" x14ac:dyDescent="0.3">
      <c r="A276" s="22"/>
      <c r="B276" s="22"/>
      <c r="C276" s="24">
        <v>275</v>
      </c>
      <c r="D276" s="27" t="str">
        <f t="shared" si="99"/>
        <v>0#1#38500|0#2#1320|0#3#275|0#4#550|0#9#275|0#10#550|0#11#275|0#12#550</v>
      </c>
      <c r="E276" s="27" t="str">
        <f t="shared" si="100"/>
        <v>1#1#6416|1#2#66000|1#3#275|1#4#550|1#9#275|1#10#550|1#11#275|1#12#550</v>
      </c>
      <c r="F276" s="27" t="str">
        <f t="shared" si="101"/>
        <v>2#1#19250|2#2#33000|2#3#275|2#4#550|2#9#275|2#10#550|2#11#275|2#12#550</v>
      </c>
      <c r="G276" s="27" t="str">
        <f t="shared" si="102"/>
        <v>0#1#38500|0#2#1320|0#3#275|0#4#550|0#9#275|0#10#550|0#11#275|0#12#550|1#1#6416|1#2#66000|1#3#275|1#4#550|1#9#275|1#10#550|1#11#275|1#12#550|2#1#19250|2#2#33000|2#3#275|2#4#550|2#9#275|2#10#550|2#11#275|2#12#550</v>
      </c>
      <c r="H276" s="22"/>
      <c r="I276" s="25">
        <v>4200000000</v>
      </c>
      <c r="J276" s="197">
        <v>275</v>
      </c>
      <c r="K276" s="183">
        <f t="shared" si="87"/>
        <v>38500</v>
      </c>
      <c r="L276" s="183">
        <f t="shared" si="103"/>
        <v>66000</v>
      </c>
      <c r="M276" s="183">
        <f t="shared" si="104"/>
        <v>275</v>
      </c>
      <c r="N276" s="183">
        <f t="shared" si="105"/>
        <v>550</v>
      </c>
      <c r="O276" s="183">
        <f t="shared" si="106"/>
        <v>275</v>
      </c>
      <c r="P276" s="183">
        <f t="shared" si="107"/>
        <v>550</v>
      </c>
      <c r="Q276" s="183">
        <f t="shared" si="108"/>
        <v>275</v>
      </c>
      <c r="R276" s="183">
        <f t="shared" si="109"/>
        <v>550</v>
      </c>
      <c r="S276" s="183">
        <f t="shared" si="110"/>
        <v>275</v>
      </c>
      <c r="T276" s="183">
        <f t="shared" si="111"/>
        <v>550</v>
      </c>
      <c r="U276" s="183">
        <f t="shared" si="112"/>
        <v>275</v>
      </c>
      <c r="V276" s="183">
        <f t="shared" si="113"/>
        <v>550</v>
      </c>
      <c r="W276" s="12">
        <f>K276*属性价值参考!C$5+升级!L276*属性价值参考!C$6+升级!M276*属性价值参考!C$7+升级!N276*属性价值参考!C$8+升级!S276*属性价值参考!C$9+升级!T276*属性价值参考!C$10+升级!U276*属性价值参考!C$11+升级!V276*属性价值参考!C$12</f>
        <v>322674</v>
      </c>
    </row>
    <row r="277" spans="1:23" x14ac:dyDescent="0.3">
      <c r="A277" s="22"/>
      <c r="B277" s="22"/>
      <c r="C277" s="27">
        <v>276</v>
      </c>
      <c r="D277" s="27" t="str">
        <f t="shared" si="99"/>
        <v>0#1#38640|0#2#1324|0#3#276|0#4#552|0#9#276|0#10#552|0#11#276|0#12#552</v>
      </c>
      <c r="E277" s="27" t="str">
        <f t="shared" si="100"/>
        <v>1#1#6440|1#2#66240|1#3#276|1#4#552|1#9#276|1#10#552|1#11#276|1#12#552</v>
      </c>
      <c r="F277" s="27" t="str">
        <f t="shared" si="101"/>
        <v>2#1#19320|2#2#33120|2#3#276|2#4#552|2#9#276|2#10#552|2#11#276|2#12#552</v>
      </c>
      <c r="G277" s="27" t="str">
        <f t="shared" si="102"/>
        <v>0#1#38640|0#2#1324|0#3#276|0#4#552|0#9#276|0#10#552|0#11#276|0#12#552|1#1#6440|1#2#66240|1#3#276|1#4#552|1#9#276|1#10#552|1#11#276|1#12#552|2#1#19320|2#2#33120|2#3#276|2#4#552|2#9#276|2#10#552|2#11#276|2#12#552</v>
      </c>
      <c r="H277" s="22"/>
      <c r="I277" s="28">
        <v>4200000000</v>
      </c>
      <c r="J277" s="198">
        <v>276</v>
      </c>
      <c r="K277" s="183">
        <f t="shared" si="87"/>
        <v>38640</v>
      </c>
      <c r="L277" s="183">
        <f t="shared" si="103"/>
        <v>66240</v>
      </c>
      <c r="M277" s="183">
        <f t="shared" si="104"/>
        <v>276</v>
      </c>
      <c r="N277" s="183">
        <f t="shared" si="105"/>
        <v>552</v>
      </c>
      <c r="O277" s="183">
        <f t="shared" si="106"/>
        <v>276</v>
      </c>
      <c r="P277" s="183">
        <f t="shared" si="107"/>
        <v>552</v>
      </c>
      <c r="Q277" s="183">
        <f t="shared" si="108"/>
        <v>276</v>
      </c>
      <c r="R277" s="183">
        <f t="shared" si="109"/>
        <v>552</v>
      </c>
      <c r="S277" s="183">
        <f t="shared" si="110"/>
        <v>276</v>
      </c>
      <c r="T277" s="183">
        <f t="shared" si="111"/>
        <v>552</v>
      </c>
      <c r="U277" s="183">
        <f t="shared" si="112"/>
        <v>276</v>
      </c>
      <c r="V277" s="183">
        <f t="shared" si="113"/>
        <v>552</v>
      </c>
      <c r="W277" s="12">
        <f>K277*属性价值参考!C$5+升级!L277*属性价值参考!C$6+升级!M277*属性价值参考!C$7+升级!N277*属性价值参考!C$8+升级!S277*属性价值参考!C$9+升级!T277*属性价值参考!C$10+升级!U277*属性价值参考!C$11+升级!V277*属性价值参考!C$12</f>
        <v>323847.3600000001</v>
      </c>
    </row>
    <row r="278" spans="1:23" x14ac:dyDescent="0.3">
      <c r="A278" s="22"/>
      <c r="B278" s="22"/>
      <c r="C278" s="24">
        <v>277</v>
      </c>
      <c r="D278" s="27" t="str">
        <f t="shared" si="99"/>
        <v>0#1#38780|0#2#1329|0#3#277|0#4#554|0#9#277|0#10#554|0#11#277|0#12#554</v>
      </c>
      <c r="E278" s="27" t="str">
        <f t="shared" si="100"/>
        <v>1#1#6463|1#2#66480|1#3#277|1#4#554|1#9#277|1#10#554|1#11#277|1#12#554</v>
      </c>
      <c r="F278" s="27" t="str">
        <f t="shared" si="101"/>
        <v>2#1#19390|2#2#33240|2#3#277|2#4#554|2#9#277|2#10#554|2#11#277|2#12#554</v>
      </c>
      <c r="G278" s="27" t="str">
        <f t="shared" si="102"/>
        <v>0#1#38780|0#2#1329|0#3#277|0#4#554|0#9#277|0#10#554|0#11#277|0#12#554|1#1#6463|1#2#66480|1#3#277|1#4#554|1#9#277|1#10#554|1#11#277|1#12#554|2#1#19390|2#2#33240|2#3#277|2#4#554|2#9#277|2#10#554|2#11#277|2#12#554</v>
      </c>
      <c r="H278" s="22"/>
      <c r="I278" s="25">
        <v>4200000000</v>
      </c>
      <c r="J278" s="197">
        <v>277</v>
      </c>
      <c r="K278" s="183">
        <f t="shared" si="87"/>
        <v>38780</v>
      </c>
      <c r="L278" s="183">
        <f t="shared" si="103"/>
        <v>66480</v>
      </c>
      <c r="M278" s="183">
        <f t="shared" si="104"/>
        <v>277</v>
      </c>
      <c r="N278" s="183">
        <f t="shared" si="105"/>
        <v>554</v>
      </c>
      <c r="O278" s="183">
        <f t="shared" si="106"/>
        <v>277</v>
      </c>
      <c r="P278" s="183">
        <f t="shared" si="107"/>
        <v>554</v>
      </c>
      <c r="Q278" s="183">
        <f t="shared" si="108"/>
        <v>277</v>
      </c>
      <c r="R278" s="183">
        <f t="shared" si="109"/>
        <v>554</v>
      </c>
      <c r="S278" s="183">
        <f t="shared" si="110"/>
        <v>277</v>
      </c>
      <c r="T278" s="183">
        <f t="shared" si="111"/>
        <v>554</v>
      </c>
      <c r="U278" s="183">
        <f t="shared" si="112"/>
        <v>277</v>
      </c>
      <c r="V278" s="183">
        <f t="shared" si="113"/>
        <v>554</v>
      </c>
      <c r="W278" s="12">
        <f>K278*属性价值参考!C$5+升级!L278*属性价值参考!C$6+升级!M278*属性价值参考!C$7+升级!N278*属性价值参考!C$8+升级!S278*属性价值参考!C$9+升级!T278*属性价值参考!C$10+升级!U278*属性价值参考!C$11+升级!V278*属性价值参考!C$12</f>
        <v>325020.72000000003</v>
      </c>
    </row>
    <row r="279" spans="1:23" x14ac:dyDescent="0.3">
      <c r="A279" s="22"/>
      <c r="B279" s="22"/>
      <c r="C279" s="27">
        <v>278</v>
      </c>
      <c r="D279" s="27" t="str">
        <f t="shared" si="99"/>
        <v>0#1#38920|0#2#1334|0#3#278|0#4#556|0#9#278|0#10#556|0#11#278|0#12#556</v>
      </c>
      <c r="E279" s="27" t="str">
        <f t="shared" si="100"/>
        <v>1#1#6486|1#2#66720|1#3#278|1#4#556|1#9#278|1#10#556|1#11#278|1#12#556</v>
      </c>
      <c r="F279" s="27" t="str">
        <f t="shared" si="101"/>
        <v>2#1#19460|2#2#33360|2#3#278|2#4#556|2#9#278|2#10#556|2#11#278|2#12#556</v>
      </c>
      <c r="G279" s="27" t="str">
        <f t="shared" si="102"/>
        <v>0#1#38920|0#2#1334|0#3#278|0#4#556|0#9#278|0#10#556|0#11#278|0#12#556|1#1#6486|1#2#66720|1#3#278|1#4#556|1#9#278|1#10#556|1#11#278|1#12#556|2#1#19460|2#2#33360|2#3#278|2#4#556|2#9#278|2#10#556|2#11#278|2#12#556</v>
      </c>
      <c r="H279" s="22"/>
      <c r="I279" s="28">
        <v>4200000000</v>
      </c>
      <c r="J279" s="198">
        <v>278</v>
      </c>
      <c r="K279" s="183">
        <f t="shared" si="87"/>
        <v>38920</v>
      </c>
      <c r="L279" s="183">
        <f t="shared" si="103"/>
        <v>66720</v>
      </c>
      <c r="M279" s="183">
        <f t="shared" si="104"/>
        <v>278</v>
      </c>
      <c r="N279" s="183">
        <f t="shared" si="105"/>
        <v>556</v>
      </c>
      <c r="O279" s="183">
        <f t="shared" si="106"/>
        <v>278</v>
      </c>
      <c r="P279" s="183">
        <f t="shared" si="107"/>
        <v>556</v>
      </c>
      <c r="Q279" s="183">
        <f t="shared" si="108"/>
        <v>278</v>
      </c>
      <c r="R279" s="183">
        <f t="shared" si="109"/>
        <v>556</v>
      </c>
      <c r="S279" s="183">
        <f t="shared" si="110"/>
        <v>278</v>
      </c>
      <c r="T279" s="183">
        <f t="shared" si="111"/>
        <v>556</v>
      </c>
      <c r="U279" s="183">
        <f t="shared" si="112"/>
        <v>278</v>
      </c>
      <c r="V279" s="183">
        <f t="shared" si="113"/>
        <v>556</v>
      </c>
      <c r="W279" s="12">
        <f>K279*属性价值参考!C$5+升级!L279*属性价值参考!C$6+升级!M279*属性价值参考!C$7+升级!N279*属性价值参考!C$8+升级!S279*属性价值参考!C$9+升级!T279*属性价值参考!C$10+升级!U279*属性价值参考!C$11+升级!V279*属性价值参考!C$12</f>
        <v>326194.07999999996</v>
      </c>
    </row>
    <row r="280" spans="1:23" x14ac:dyDescent="0.3">
      <c r="A280" s="22"/>
      <c r="B280" s="22"/>
      <c r="C280" s="24">
        <v>279</v>
      </c>
      <c r="D280" s="27" t="str">
        <f t="shared" si="99"/>
        <v>0#1#39060|0#2#1339|0#3#279|0#4#558|0#9#279|0#10#558|0#11#279|0#12#558</v>
      </c>
      <c r="E280" s="27" t="str">
        <f t="shared" si="100"/>
        <v>1#1#6510|1#2#66960|1#3#279|1#4#558|1#9#279|1#10#558|1#11#279|1#12#558</v>
      </c>
      <c r="F280" s="27" t="str">
        <f t="shared" si="101"/>
        <v>2#1#19530|2#2#33480|2#3#279|2#4#558|2#9#279|2#10#558|2#11#279|2#12#558</v>
      </c>
      <c r="G280" s="27" t="str">
        <f t="shared" si="102"/>
        <v>0#1#39060|0#2#1339|0#3#279|0#4#558|0#9#279|0#10#558|0#11#279|0#12#558|1#1#6510|1#2#66960|1#3#279|1#4#558|1#9#279|1#10#558|1#11#279|1#12#558|2#1#19530|2#2#33480|2#3#279|2#4#558|2#9#279|2#10#558|2#11#279|2#12#558</v>
      </c>
      <c r="H280" s="22"/>
      <c r="I280" s="25">
        <v>4200000000</v>
      </c>
      <c r="J280" s="197">
        <v>279</v>
      </c>
      <c r="K280" s="183">
        <f t="shared" si="87"/>
        <v>39060</v>
      </c>
      <c r="L280" s="183">
        <f t="shared" si="103"/>
        <v>66960</v>
      </c>
      <c r="M280" s="183">
        <f t="shared" si="104"/>
        <v>279</v>
      </c>
      <c r="N280" s="183">
        <f t="shared" si="105"/>
        <v>558</v>
      </c>
      <c r="O280" s="183">
        <f t="shared" si="106"/>
        <v>279</v>
      </c>
      <c r="P280" s="183">
        <f t="shared" si="107"/>
        <v>558</v>
      </c>
      <c r="Q280" s="183">
        <f t="shared" si="108"/>
        <v>279</v>
      </c>
      <c r="R280" s="183">
        <f t="shared" si="109"/>
        <v>558</v>
      </c>
      <c r="S280" s="183">
        <f t="shared" si="110"/>
        <v>279</v>
      </c>
      <c r="T280" s="183">
        <f t="shared" si="111"/>
        <v>558</v>
      </c>
      <c r="U280" s="183">
        <f t="shared" si="112"/>
        <v>279</v>
      </c>
      <c r="V280" s="183">
        <f t="shared" si="113"/>
        <v>558</v>
      </c>
      <c r="W280" s="12">
        <f>K280*属性价值参考!C$5+升级!L280*属性价值参考!C$6+升级!M280*属性价值参考!C$7+升级!N280*属性价值参考!C$8+升级!S280*属性价值参考!C$9+升级!T280*属性价值参考!C$10+升级!U280*属性价值参考!C$11+升级!V280*属性价值参考!C$12</f>
        <v>327367.43999999989</v>
      </c>
    </row>
    <row r="281" spans="1:23" x14ac:dyDescent="0.3">
      <c r="A281" s="22"/>
      <c r="B281" s="22"/>
      <c r="C281" s="27">
        <v>280</v>
      </c>
      <c r="D281" s="27" t="str">
        <f t="shared" si="99"/>
        <v>0#1#39200|0#2#1344|0#3#280|0#4#560|0#9#280|0#10#560|0#11#280|0#12#560</v>
      </c>
      <c r="E281" s="27" t="str">
        <f t="shared" si="100"/>
        <v>1#1#6533|1#2#67200|1#3#280|1#4#560|1#9#280|1#10#560|1#11#280|1#12#560</v>
      </c>
      <c r="F281" s="27" t="str">
        <f t="shared" si="101"/>
        <v>2#1#19600|2#2#33600|2#3#280|2#4#560|2#9#280|2#10#560|2#11#280|2#12#560</v>
      </c>
      <c r="G281" s="27" t="str">
        <f t="shared" si="102"/>
        <v>0#1#39200|0#2#1344|0#3#280|0#4#560|0#9#280|0#10#560|0#11#280|0#12#560|1#1#6533|1#2#67200|1#3#280|1#4#560|1#9#280|1#10#560|1#11#280|1#12#560|2#1#19600|2#2#33600|2#3#280|2#4#560|2#9#280|2#10#560|2#11#280|2#12#560</v>
      </c>
      <c r="H281" s="22"/>
      <c r="I281" s="28">
        <v>4200000000</v>
      </c>
      <c r="J281" s="198">
        <v>280</v>
      </c>
      <c r="K281" s="183">
        <f t="shared" si="87"/>
        <v>39200</v>
      </c>
      <c r="L281" s="183">
        <f t="shared" si="103"/>
        <v>67200</v>
      </c>
      <c r="M281" s="183">
        <f t="shared" si="104"/>
        <v>280</v>
      </c>
      <c r="N281" s="183">
        <f t="shared" si="105"/>
        <v>560</v>
      </c>
      <c r="O281" s="183">
        <f t="shared" si="106"/>
        <v>280</v>
      </c>
      <c r="P281" s="183">
        <f t="shared" si="107"/>
        <v>560</v>
      </c>
      <c r="Q281" s="183">
        <f t="shared" si="108"/>
        <v>280</v>
      </c>
      <c r="R281" s="183">
        <f t="shared" si="109"/>
        <v>560</v>
      </c>
      <c r="S281" s="183">
        <f t="shared" si="110"/>
        <v>280</v>
      </c>
      <c r="T281" s="183">
        <f t="shared" si="111"/>
        <v>560</v>
      </c>
      <c r="U281" s="183">
        <f t="shared" si="112"/>
        <v>280</v>
      </c>
      <c r="V281" s="183">
        <f t="shared" si="113"/>
        <v>560</v>
      </c>
      <c r="W281" s="12">
        <f>K281*属性价值参考!C$5+升级!L281*属性价值参考!C$6+升级!M281*属性价值参考!C$7+升级!N281*属性价值参考!C$8+升级!S281*属性价值参考!C$9+升级!T281*属性价值参考!C$10+升级!U281*属性价值参考!C$11+升级!V281*属性价值参考!C$12</f>
        <v>328540.79999999999</v>
      </c>
    </row>
    <row r="282" spans="1:23" x14ac:dyDescent="0.3">
      <c r="A282" s="22"/>
      <c r="B282" s="22"/>
      <c r="C282" s="24">
        <v>281</v>
      </c>
      <c r="D282" s="27" t="str">
        <f t="shared" si="99"/>
        <v>0#1#39340|0#2#1348|0#3#281|0#4#562|0#9#281|0#10#562|0#11#281|0#12#562</v>
      </c>
      <c r="E282" s="27" t="str">
        <f t="shared" si="100"/>
        <v>1#1#6556|1#2#67440|1#3#281|1#4#562|1#9#281|1#10#562|1#11#281|1#12#562</v>
      </c>
      <c r="F282" s="27" t="str">
        <f t="shared" si="101"/>
        <v>2#1#19670|2#2#33720|2#3#281|2#4#562|2#9#281|2#10#562|2#11#281|2#12#562</v>
      </c>
      <c r="G282" s="27" t="str">
        <f t="shared" si="102"/>
        <v>0#1#39340|0#2#1348|0#3#281|0#4#562|0#9#281|0#10#562|0#11#281|0#12#562|1#1#6556|1#2#67440|1#3#281|1#4#562|1#9#281|1#10#562|1#11#281|1#12#562|2#1#19670|2#2#33720|2#3#281|2#4#562|2#9#281|2#10#562|2#11#281|2#12#562</v>
      </c>
      <c r="H282" s="22"/>
      <c r="I282" s="25">
        <v>4200000000</v>
      </c>
      <c r="J282" s="197">
        <v>281</v>
      </c>
      <c r="K282" s="183">
        <f t="shared" si="87"/>
        <v>39340</v>
      </c>
      <c r="L282" s="183">
        <f t="shared" si="103"/>
        <v>67440</v>
      </c>
      <c r="M282" s="183">
        <f t="shared" si="104"/>
        <v>281</v>
      </c>
      <c r="N282" s="183">
        <f t="shared" si="105"/>
        <v>562</v>
      </c>
      <c r="O282" s="183">
        <f t="shared" si="106"/>
        <v>281</v>
      </c>
      <c r="P282" s="183">
        <f t="shared" si="107"/>
        <v>562</v>
      </c>
      <c r="Q282" s="183">
        <f t="shared" si="108"/>
        <v>281</v>
      </c>
      <c r="R282" s="183">
        <f t="shared" si="109"/>
        <v>562</v>
      </c>
      <c r="S282" s="183">
        <f t="shared" si="110"/>
        <v>281</v>
      </c>
      <c r="T282" s="183">
        <f t="shared" si="111"/>
        <v>562</v>
      </c>
      <c r="U282" s="183">
        <f t="shared" si="112"/>
        <v>281</v>
      </c>
      <c r="V282" s="183">
        <f t="shared" si="113"/>
        <v>562</v>
      </c>
      <c r="W282" s="12">
        <f>K282*属性价值参考!C$5+升级!L282*属性价值参考!C$6+升级!M282*属性价值参考!C$7+升级!N282*属性价值参考!C$8+升级!S282*属性价值参考!C$9+升级!T282*属性价值参考!C$10+升级!U282*属性价值参考!C$11+升级!V282*属性价值参考!C$12</f>
        <v>329714.16000000009</v>
      </c>
    </row>
    <row r="283" spans="1:23" x14ac:dyDescent="0.3">
      <c r="A283" s="22"/>
      <c r="B283" s="22"/>
      <c r="C283" s="27">
        <v>282</v>
      </c>
      <c r="D283" s="27" t="str">
        <f t="shared" si="99"/>
        <v>0#1#39480|0#2#1353|0#3#282|0#4#564|0#9#282|0#10#564|0#11#282|0#12#564</v>
      </c>
      <c r="E283" s="27" t="str">
        <f t="shared" si="100"/>
        <v>1#1#6580|1#2#67680|1#3#282|1#4#564|1#9#282|1#10#564|1#11#282|1#12#564</v>
      </c>
      <c r="F283" s="27" t="str">
        <f t="shared" si="101"/>
        <v>2#1#19740|2#2#33840|2#3#282|2#4#564|2#9#282|2#10#564|2#11#282|2#12#564</v>
      </c>
      <c r="G283" s="27" t="str">
        <f t="shared" si="102"/>
        <v>0#1#39480|0#2#1353|0#3#282|0#4#564|0#9#282|0#10#564|0#11#282|0#12#564|1#1#6580|1#2#67680|1#3#282|1#4#564|1#9#282|1#10#564|1#11#282|1#12#564|2#1#19740|2#2#33840|2#3#282|2#4#564|2#9#282|2#10#564|2#11#282|2#12#564</v>
      </c>
      <c r="H283" s="22"/>
      <c r="I283" s="28">
        <v>4200000000</v>
      </c>
      <c r="J283" s="198">
        <v>282</v>
      </c>
      <c r="K283" s="183">
        <f t="shared" si="87"/>
        <v>39480</v>
      </c>
      <c r="L283" s="183">
        <f t="shared" si="103"/>
        <v>67680</v>
      </c>
      <c r="M283" s="183">
        <f t="shared" si="104"/>
        <v>282</v>
      </c>
      <c r="N283" s="183">
        <f t="shared" si="105"/>
        <v>564</v>
      </c>
      <c r="O283" s="183">
        <f t="shared" si="106"/>
        <v>282</v>
      </c>
      <c r="P283" s="183">
        <f t="shared" si="107"/>
        <v>564</v>
      </c>
      <c r="Q283" s="183">
        <f t="shared" si="108"/>
        <v>282</v>
      </c>
      <c r="R283" s="183">
        <f t="shared" si="109"/>
        <v>564</v>
      </c>
      <c r="S283" s="183">
        <f t="shared" si="110"/>
        <v>282</v>
      </c>
      <c r="T283" s="183">
        <f t="shared" si="111"/>
        <v>564</v>
      </c>
      <c r="U283" s="183">
        <f t="shared" si="112"/>
        <v>282</v>
      </c>
      <c r="V283" s="183">
        <f t="shared" si="113"/>
        <v>564</v>
      </c>
      <c r="W283" s="12">
        <f>K283*属性价值参考!C$5+升级!L283*属性价值参考!C$6+升级!M283*属性价值参考!C$7+升级!N283*属性价值参考!C$8+升级!S283*属性价值参考!C$9+升级!T283*属性价值参考!C$10+升级!U283*属性价值参考!C$11+升级!V283*属性价值参考!C$12</f>
        <v>330887.52</v>
      </c>
    </row>
    <row r="284" spans="1:23" x14ac:dyDescent="0.3">
      <c r="A284" s="22"/>
      <c r="B284" s="22"/>
      <c r="C284" s="24">
        <v>283</v>
      </c>
      <c r="D284" s="27" t="str">
        <f t="shared" si="99"/>
        <v>0#1#39620|0#2#1358|0#3#283|0#4#566|0#9#283|0#10#566|0#11#283|0#12#566</v>
      </c>
      <c r="E284" s="27" t="str">
        <f t="shared" si="100"/>
        <v>1#1#6603|1#2#67920|1#3#283|1#4#566|1#9#283|1#10#566|1#11#283|1#12#566</v>
      </c>
      <c r="F284" s="27" t="str">
        <f t="shared" si="101"/>
        <v>2#1#19810|2#2#33960|2#3#283|2#4#566|2#9#283|2#10#566|2#11#283|2#12#566</v>
      </c>
      <c r="G284" s="27" t="str">
        <f t="shared" si="102"/>
        <v>0#1#39620|0#2#1358|0#3#283|0#4#566|0#9#283|0#10#566|0#11#283|0#12#566|1#1#6603|1#2#67920|1#3#283|1#4#566|1#9#283|1#10#566|1#11#283|1#12#566|2#1#19810|2#2#33960|2#3#283|2#4#566|2#9#283|2#10#566|2#11#283|2#12#566</v>
      </c>
      <c r="H284" s="22"/>
      <c r="I284" s="25">
        <v>4200000000</v>
      </c>
      <c r="J284" s="197">
        <v>283</v>
      </c>
      <c r="K284" s="183">
        <f t="shared" si="87"/>
        <v>39620</v>
      </c>
      <c r="L284" s="183">
        <f t="shared" si="103"/>
        <v>67920</v>
      </c>
      <c r="M284" s="183">
        <f t="shared" si="104"/>
        <v>283</v>
      </c>
      <c r="N284" s="183">
        <f t="shared" si="105"/>
        <v>566</v>
      </c>
      <c r="O284" s="183">
        <f t="shared" si="106"/>
        <v>283</v>
      </c>
      <c r="P284" s="183">
        <f t="shared" si="107"/>
        <v>566</v>
      </c>
      <c r="Q284" s="183">
        <f t="shared" si="108"/>
        <v>283</v>
      </c>
      <c r="R284" s="183">
        <f t="shared" si="109"/>
        <v>566</v>
      </c>
      <c r="S284" s="183">
        <f t="shared" si="110"/>
        <v>283</v>
      </c>
      <c r="T284" s="183">
        <f t="shared" si="111"/>
        <v>566</v>
      </c>
      <c r="U284" s="183">
        <f t="shared" si="112"/>
        <v>283</v>
      </c>
      <c r="V284" s="183">
        <f t="shared" si="113"/>
        <v>566</v>
      </c>
      <c r="W284" s="12">
        <f>K284*属性价值参考!C$5+升级!L284*属性价值参考!C$6+升级!M284*属性价值参考!C$7+升级!N284*属性价值参考!C$8+升级!S284*属性价值参考!C$9+升级!T284*属性价值参考!C$10+升级!U284*属性价值参考!C$11+升级!V284*属性价值参考!C$12</f>
        <v>332060.87999999995</v>
      </c>
    </row>
    <row r="285" spans="1:23" x14ac:dyDescent="0.3">
      <c r="A285" s="22"/>
      <c r="B285" s="22"/>
      <c r="C285" s="27">
        <v>284</v>
      </c>
      <c r="D285" s="27" t="str">
        <f t="shared" si="99"/>
        <v>0#1#39760|0#2#1363|0#3#284|0#4#568|0#9#284|0#10#568|0#11#284|0#12#568</v>
      </c>
      <c r="E285" s="27" t="str">
        <f t="shared" si="100"/>
        <v>1#1#6626|1#2#68160|1#3#284|1#4#568|1#9#284|1#10#568|1#11#284|1#12#568</v>
      </c>
      <c r="F285" s="27" t="str">
        <f t="shared" si="101"/>
        <v>2#1#19880|2#2#34080|2#3#284|2#4#568|2#9#284|2#10#568|2#11#284|2#12#568</v>
      </c>
      <c r="G285" s="27" t="str">
        <f t="shared" si="102"/>
        <v>0#1#39760|0#2#1363|0#3#284|0#4#568|0#9#284|0#10#568|0#11#284|0#12#568|1#1#6626|1#2#68160|1#3#284|1#4#568|1#9#284|1#10#568|1#11#284|1#12#568|2#1#19880|2#2#34080|2#3#284|2#4#568|2#9#284|2#10#568|2#11#284|2#12#568</v>
      </c>
      <c r="H285" s="22"/>
      <c r="I285" s="28">
        <v>4200000000</v>
      </c>
      <c r="J285" s="198">
        <v>284</v>
      </c>
      <c r="K285" s="183">
        <f t="shared" si="87"/>
        <v>39760</v>
      </c>
      <c r="L285" s="183">
        <f t="shared" si="103"/>
        <v>68160</v>
      </c>
      <c r="M285" s="183">
        <f t="shared" si="104"/>
        <v>284</v>
      </c>
      <c r="N285" s="183">
        <f t="shared" si="105"/>
        <v>568</v>
      </c>
      <c r="O285" s="183">
        <f t="shared" si="106"/>
        <v>284</v>
      </c>
      <c r="P285" s="183">
        <f t="shared" si="107"/>
        <v>568</v>
      </c>
      <c r="Q285" s="183">
        <f t="shared" si="108"/>
        <v>284</v>
      </c>
      <c r="R285" s="183">
        <f t="shared" si="109"/>
        <v>568</v>
      </c>
      <c r="S285" s="183">
        <f t="shared" si="110"/>
        <v>284</v>
      </c>
      <c r="T285" s="183">
        <f t="shared" si="111"/>
        <v>568</v>
      </c>
      <c r="U285" s="183">
        <f t="shared" si="112"/>
        <v>284</v>
      </c>
      <c r="V285" s="183">
        <f t="shared" si="113"/>
        <v>568</v>
      </c>
      <c r="W285" s="12">
        <f>K285*属性价值参考!C$5+升级!L285*属性价值参考!C$6+升级!M285*属性价值参考!C$7+升级!N285*属性价值参考!C$8+升级!S285*属性价值参考!C$9+升级!T285*属性价值参考!C$10+升级!U285*属性价值参考!C$11+升级!V285*属性价值参考!C$12</f>
        <v>333234.23999999987</v>
      </c>
    </row>
    <row r="286" spans="1:23" x14ac:dyDescent="0.3">
      <c r="A286" s="22"/>
      <c r="B286" s="22"/>
      <c r="C286" s="24">
        <v>285</v>
      </c>
      <c r="D286" s="27" t="str">
        <f t="shared" si="99"/>
        <v>0#1#39900|0#2#1368|0#3#285|0#4#570|0#9#285|0#10#570|0#11#285|0#12#570</v>
      </c>
      <c r="E286" s="27" t="str">
        <f t="shared" si="100"/>
        <v>1#1#6650|1#2#68400|1#3#285|1#4#570|1#9#285|1#10#570|1#11#285|1#12#570</v>
      </c>
      <c r="F286" s="27" t="str">
        <f t="shared" si="101"/>
        <v>2#1#19950|2#2#34200|2#3#285|2#4#570|2#9#285|2#10#570|2#11#285|2#12#570</v>
      </c>
      <c r="G286" s="27" t="str">
        <f t="shared" si="102"/>
        <v>0#1#39900|0#2#1368|0#3#285|0#4#570|0#9#285|0#10#570|0#11#285|0#12#570|1#1#6650|1#2#68400|1#3#285|1#4#570|1#9#285|1#10#570|1#11#285|1#12#570|2#1#19950|2#2#34200|2#3#285|2#4#570|2#9#285|2#10#570|2#11#285|2#12#570</v>
      </c>
      <c r="H286" s="22"/>
      <c r="I286" s="25">
        <v>4200000000</v>
      </c>
      <c r="J286" s="197">
        <v>285</v>
      </c>
      <c r="K286" s="183">
        <f t="shared" si="87"/>
        <v>39900</v>
      </c>
      <c r="L286" s="183">
        <f t="shared" si="103"/>
        <v>68400</v>
      </c>
      <c r="M286" s="183">
        <f t="shared" si="104"/>
        <v>285</v>
      </c>
      <c r="N286" s="183">
        <f t="shared" si="105"/>
        <v>570</v>
      </c>
      <c r="O286" s="183">
        <f t="shared" si="106"/>
        <v>285</v>
      </c>
      <c r="P286" s="183">
        <f t="shared" si="107"/>
        <v>570</v>
      </c>
      <c r="Q286" s="183">
        <f t="shared" si="108"/>
        <v>285</v>
      </c>
      <c r="R286" s="183">
        <f t="shared" si="109"/>
        <v>570</v>
      </c>
      <c r="S286" s="183">
        <f t="shared" si="110"/>
        <v>285</v>
      </c>
      <c r="T286" s="183">
        <f t="shared" si="111"/>
        <v>570</v>
      </c>
      <c r="U286" s="183">
        <f t="shared" si="112"/>
        <v>285</v>
      </c>
      <c r="V286" s="183">
        <f t="shared" si="113"/>
        <v>570</v>
      </c>
      <c r="W286" s="12">
        <f>K286*属性价值参考!C$5+升级!L286*属性价值参考!C$6+升级!M286*属性价值参考!C$7+升级!N286*属性价值参考!C$8+升级!S286*属性价值参考!C$9+升级!T286*属性价值参考!C$10+升级!U286*属性价值参考!C$11+升级!V286*属性价值参考!C$12</f>
        <v>334407.59999999998</v>
      </c>
    </row>
    <row r="287" spans="1:23" x14ac:dyDescent="0.3">
      <c r="A287" s="22"/>
      <c r="B287" s="22"/>
      <c r="C287" s="27">
        <v>286</v>
      </c>
      <c r="D287" s="27" t="str">
        <f t="shared" si="99"/>
        <v>0#1#40040|0#2#1372|0#3#286|0#4#572|0#9#286|0#10#572|0#11#286|0#12#572</v>
      </c>
      <c r="E287" s="27" t="str">
        <f t="shared" si="100"/>
        <v>1#1#6673|1#2#68640|1#3#286|1#4#572|1#9#286|1#10#572|1#11#286|1#12#572</v>
      </c>
      <c r="F287" s="27" t="str">
        <f t="shared" si="101"/>
        <v>2#1#20020|2#2#34320|2#3#286|2#4#572|2#9#286|2#10#572|2#11#286|2#12#572</v>
      </c>
      <c r="G287" s="27" t="str">
        <f t="shared" si="102"/>
        <v>0#1#40040|0#2#1372|0#3#286|0#4#572|0#9#286|0#10#572|0#11#286|0#12#572|1#1#6673|1#2#68640|1#3#286|1#4#572|1#9#286|1#10#572|1#11#286|1#12#572|2#1#20020|2#2#34320|2#3#286|2#4#572|2#9#286|2#10#572|2#11#286|2#12#572</v>
      </c>
      <c r="H287" s="22"/>
      <c r="I287" s="28">
        <v>4200000000</v>
      </c>
      <c r="J287" s="198">
        <v>286</v>
      </c>
      <c r="K287" s="183">
        <f t="shared" si="87"/>
        <v>40040</v>
      </c>
      <c r="L287" s="183">
        <f t="shared" si="103"/>
        <v>68640</v>
      </c>
      <c r="M287" s="183">
        <f t="shared" si="104"/>
        <v>286</v>
      </c>
      <c r="N287" s="183">
        <f t="shared" si="105"/>
        <v>572</v>
      </c>
      <c r="O287" s="183">
        <f t="shared" si="106"/>
        <v>286</v>
      </c>
      <c r="P287" s="183">
        <f t="shared" si="107"/>
        <v>572</v>
      </c>
      <c r="Q287" s="183">
        <f t="shared" si="108"/>
        <v>286</v>
      </c>
      <c r="R287" s="183">
        <f t="shared" si="109"/>
        <v>572</v>
      </c>
      <c r="S287" s="183">
        <f t="shared" si="110"/>
        <v>286</v>
      </c>
      <c r="T287" s="183">
        <f t="shared" si="111"/>
        <v>572</v>
      </c>
      <c r="U287" s="183">
        <f t="shared" si="112"/>
        <v>286</v>
      </c>
      <c r="V287" s="183">
        <f t="shared" si="113"/>
        <v>572</v>
      </c>
      <c r="W287" s="12">
        <f>K287*属性价值参考!C$5+升级!L287*属性价值参考!C$6+升级!M287*属性价值参考!C$7+升级!N287*属性价值参考!C$8+升级!S287*属性价值参考!C$9+升级!T287*属性价值参考!C$10+升级!U287*属性价值参考!C$11+升级!V287*属性价值参考!C$12</f>
        <v>335580.96000000008</v>
      </c>
    </row>
    <row r="288" spans="1:23" x14ac:dyDescent="0.3">
      <c r="A288" s="22"/>
      <c r="B288" s="22"/>
      <c r="C288" s="24">
        <v>287</v>
      </c>
      <c r="D288" s="27" t="str">
        <f t="shared" si="99"/>
        <v>0#1#40180|0#2#1377|0#3#287|0#4#574|0#9#287|0#10#574|0#11#287|0#12#574</v>
      </c>
      <c r="E288" s="27" t="str">
        <f t="shared" si="100"/>
        <v>1#1#6696|1#2#68880|1#3#287|1#4#574|1#9#287|1#10#574|1#11#287|1#12#574</v>
      </c>
      <c r="F288" s="27" t="str">
        <f t="shared" si="101"/>
        <v>2#1#20090|2#2#34440|2#3#287|2#4#574|2#9#287|2#10#574|2#11#287|2#12#574</v>
      </c>
      <c r="G288" s="27" t="str">
        <f t="shared" si="102"/>
        <v>0#1#40180|0#2#1377|0#3#287|0#4#574|0#9#287|0#10#574|0#11#287|0#12#574|1#1#6696|1#2#68880|1#3#287|1#4#574|1#9#287|1#10#574|1#11#287|1#12#574|2#1#20090|2#2#34440|2#3#287|2#4#574|2#9#287|2#10#574|2#11#287|2#12#574</v>
      </c>
      <c r="H288" s="22"/>
      <c r="I288" s="25">
        <v>4200000000</v>
      </c>
      <c r="J288" s="197">
        <v>287</v>
      </c>
      <c r="K288" s="183">
        <f t="shared" si="87"/>
        <v>40180</v>
      </c>
      <c r="L288" s="183">
        <f t="shared" si="103"/>
        <v>68880</v>
      </c>
      <c r="M288" s="183">
        <f t="shared" si="104"/>
        <v>287</v>
      </c>
      <c r="N288" s="183">
        <f t="shared" si="105"/>
        <v>574</v>
      </c>
      <c r="O288" s="183">
        <f t="shared" si="106"/>
        <v>287</v>
      </c>
      <c r="P288" s="183">
        <f t="shared" si="107"/>
        <v>574</v>
      </c>
      <c r="Q288" s="183">
        <f t="shared" si="108"/>
        <v>287</v>
      </c>
      <c r="R288" s="183">
        <f t="shared" si="109"/>
        <v>574</v>
      </c>
      <c r="S288" s="183">
        <f t="shared" si="110"/>
        <v>287</v>
      </c>
      <c r="T288" s="183">
        <f t="shared" si="111"/>
        <v>574</v>
      </c>
      <c r="U288" s="183">
        <f t="shared" si="112"/>
        <v>287</v>
      </c>
      <c r="V288" s="183">
        <f t="shared" si="113"/>
        <v>574</v>
      </c>
      <c r="W288" s="12">
        <f>K288*属性价值参考!C$5+升级!L288*属性价值参考!C$6+升级!M288*属性价值参考!C$7+升级!N288*属性价值参考!C$8+升级!S288*属性价值参考!C$9+升级!T288*属性价值参考!C$10+升级!U288*属性价值参考!C$11+升级!V288*属性价值参考!C$12</f>
        <v>336754.32</v>
      </c>
    </row>
    <row r="289" spans="1:23" x14ac:dyDescent="0.3">
      <c r="A289" s="22"/>
      <c r="B289" s="22"/>
      <c r="C289" s="27">
        <v>288</v>
      </c>
      <c r="D289" s="27" t="str">
        <f t="shared" si="99"/>
        <v>0#1#40320|0#2#1382|0#3#288|0#4#576|0#9#288|0#10#576|0#11#288|0#12#576</v>
      </c>
      <c r="E289" s="27" t="str">
        <f t="shared" si="100"/>
        <v>1#1#6720|1#2#69120|1#3#288|1#4#576|1#9#288|1#10#576|1#11#288|1#12#576</v>
      </c>
      <c r="F289" s="27" t="str">
        <f t="shared" si="101"/>
        <v>2#1#20160|2#2#34560|2#3#288|2#4#576|2#9#288|2#10#576|2#11#288|2#12#576</v>
      </c>
      <c r="G289" s="27" t="str">
        <f t="shared" si="102"/>
        <v>0#1#40320|0#2#1382|0#3#288|0#4#576|0#9#288|0#10#576|0#11#288|0#12#576|1#1#6720|1#2#69120|1#3#288|1#4#576|1#9#288|1#10#576|1#11#288|1#12#576|2#1#20160|2#2#34560|2#3#288|2#4#576|2#9#288|2#10#576|2#11#288|2#12#576</v>
      </c>
      <c r="H289" s="22"/>
      <c r="I289" s="28">
        <v>4200000000</v>
      </c>
      <c r="J289" s="198">
        <v>288</v>
      </c>
      <c r="K289" s="183">
        <f t="shared" si="87"/>
        <v>40320</v>
      </c>
      <c r="L289" s="183">
        <f t="shared" si="103"/>
        <v>69120</v>
      </c>
      <c r="M289" s="183">
        <f t="shared" si="104"/>
        <v>288</v>
      </c>
      <c r="N289" s="183">
        <f t="shared" si="105"/>
        <v>576</v>
      </c>
      <c r="O289" s="183">
        <f t="shared" si="106"/>
        <v>288</v>
      </c>
      <c r="P289" s="183">
        <f t="shared" si="107"/>
        <v>576</v>
      </c>
      <c r="Q289" s="183">
        <f t="shared" si="108"/>
        <v>288</v>
      </c>
      <c r="R289" s="183">
        <f t="shared" si="109"/>
        <v>576</v>
      </c>
      <c r="S289" s="183">
        <f t="shared" si="110"/>
        <v>288</v>
      </c>
      <c r="T289" s="183">
        <f t="shared" si="111"/>
        <v>576</v>
      </c>
      <c r="U289" s="183">
        <f t="shared" si="112"/>
        <v>288</v>
      </c>
      <c r="V289" s="183">
        <f t="shared" si="113"/>
        <v>576</v>
      </c>
      <c r="W289" s="12">
        <f>K289*属性价值参考!C$5+升级!L289*属性价值参考!C$6+升级!M289*属性价值参考!C$7+升级!N289*属性价值参考!C$8+升级!S289*属性价值参考!C$9+升级!T289*属性价值参考!C$10+升级!U289*属性价值参考!C$11+升级!V289*属性价值参考!C$12</f>
        <v>337927.67999999993</v>
      </c>
    </row>
    <row r="290" spans="1:23" x14ac:dyDescent="0.3">
      <c r="A290" s="22"/>
      <c r="B290" s="22"/>
      <c r="C290" s="24">
        <v>289</v>
      </c>
      <c r="D290" s="27" t="str">
        <f t="shared" si="99"/>
        <v>0#1#40460|0#2#1387|0#3#289|0#4#578|0#9#289|0#10#578|0#11#289|0#12#578</v>
      </c>
      <c r="E290" s="27" t="str">
        <f t="shared" si="100"/>
        <v>1#1#6743|1#2#69360|1#3#289|1#4#578|1#9#289|1#10#578|1#11#289|1#12#578</v>
      </c>
      <c r="F290" s="27" t="str">
        <f t="shared" si="101"/>
        <v>2#1#20230|2#2#34680|2#3#289|2#4#578|2#9#289|2#10#578|2#11#289|2#12#578</v>
      </c>
      <c r="G290" s="27" t="str">
        <f t="shared" si="102"/>
        <v>0#1#40460|0#2#1387|0#3#289|0#4#578|0#9#289|0#10#578|0#11#289|0#12#578|1#1#6743|1#2#69360|1#3#289|1#4#578|1#9#289|1#10#578|1#11#289|1#12#578|2#1#20230|2#2#34680|2#3#289|2#4#578|2#9#289|2#10#578|2#11#289|2#12#578</v>
      </c>
      <c r="H290" s="22"/>
      <c r="I290" s="25">
        <v>4200000000</v>
      </c>
      <c r="J290" s="197">
        <v>289</v>
      </c>
      <c r="K290" s="183">
        <f t="shared" si="87"/>
        <v>40460</v>
      </c>
      <c r="L290" s="183">
        <f t="shared" si="103"/>
        <v>69360</v>
      </c>
      <c r="M290" s="183">
        <f t="shared" si="104"/>
        <v>289</v>
      </c>
      <c r="N290" s="183">
        <f t="shared" si="105"/>
        <v>578</v>
      </c>
      <c r="O290" s="183">
        <f t="shared" si="106"/>
        <v>289</v>
      </c>
      <c r="P290" s="183">
        <f t="shared" si="107"/>
        <v>578</v>
      </c>
      <c r="Q290" s="183">
        <f t="shared" si="108"/>
        <v>289</v>
      </c>
      <c r="R290" s="183">
        <f t="shared" si="109"/>
        <v>578</v>
      </c>
      <c r="S290" s="183">
        <f t="shared" si="110"/>
        <v>289</v>
      </c>
      <c r="T290" s="183">
        <f t="shared" si="111"/>
        <v>578</v>
      </c>
      <c r="U290" s="183">
        <f t="shared" si="112"/>
        <v>289</v>
      </c>
      <c r="V290" s="183">
        <f t="shared" si="113"/>
        <v>578</v>
      </c>
      <c r="W290" s="12">
        <f>K290*属性价值参考!C$5+升级!L290*属性价值参考!C$6+升级!M290*属性价值参考!C$7+升级!N290*属性价值参考!C$8+升级!S290*属性价值参考!C$9+升级!T290*属性价值参考!C$10+升级!U290*属性价值参考!C$11+升级!V290*属性价值参考!C$12</f>
        <v>339101.03999999986</v>
      </c>
    </row>
    <row r="291" spans="1:23" x14ac:dyDescent="0.3">
      <c r="A291" s="22"/>
      <c r="B291" s="22"/>
      <c r="C291" s="27">
        <v>290</v>
      </c>
      <c r="D291" s="27" t="str">
        <f t="shared" si="99"/>
        <v>0#1#40600|0#2#1392|0#3#290|0#4#580|0#9#290|0#10#580|0#11#290|0#12#580</v>
      </c>
      <c r="E291" s="27" t="str">
        <f t="shared" si="100"/>
        <v>1#1#6766|1#2#69600|1#3#290|1#4#580|1#9#290|1#10#580|1#11#290|1#12#580</v>
      </c>
      <c r="F291" s="27" t="str">
        <f t="shared" si="101"/>
        <v>2#1#20300|2#2#34800|2#3#290|2#4#580|2#9#290|2#10#580|2#11#290|2#12#580</v>
      </c>
      <c r="G291" s="27" t="str">
        <f t="shared" si="102"/>
        <v>0#1#40600|0#2#1392|0#3#290|0#4#580|0#9#290|0#10#580|0#11#290|0#12#580|1#1#6766|1#2#69600|1#3#290|1#4#580|1#9#290|1#10#580|1#11#290|1#12#580|2#1#20300|2#2#34800|2#3#290|2#4#580|2#9#290|2#10#580|2#11#290|2#12#580</v>
      </c>
      <c r="H291" s="22"/>
      <c r="I291" s="28">
        <v>4200000000</v>
      </c>
      <c r="J291" s="198">
        <v>290</v>
      </c>
      <c r="K291" s="183">
        <f t="shared" si="87"/>
        <v>40600</v>
      </c>
      <c r="L291" s="183">
        <f t="shared" si="103"/>
        <v>69600</v>
      </c>
      <c r="M291" s="183">
        <f t="shared" si="104"/>
        <v>290</v>
      </c>
      <c r="N291" s="183">
        <f t="shared" si="105"/>
        <v>580</v>
      </c>
      <c r="O291" s="183">
        <f t="shared" si="106"/>
        <v>290</v>
      </c>
      <c r="P291" s="183">
        <f t="shared" si="107"/>
        <v>580</v>
      </c>
      <c r="Q291" s="183">
        <f t="shared" si="108"/>
        <v>290</v>
      </c>
      <c r="R291" s="183">
        <f t="shared" si="109"/>
        <v>580</v>
      </c>
      <c r="S291" s="183">
        <f t="shared" si="110"/>
        <v>290</v>
      </c>
      <c r="T291" s="183">
        <f t="shared" si="111"/>
        <v>580</v>
      </c>
      <c r="U291" s="183">
        <f t="shared" si="112"/>
        <v>290</v>
      </c>
      <c r="V291" s="183">
        <f t="shared" si="113"/>
        <v>580</v>
      </c>
      <c r="W291" s="12">
        <f>K291*属性价值参考!C$5+升级!L291*属性价值参考!C$6+升级!M291*属性价值参考!C$7+升级!N291*属性价值参考!C$8+升级!S291*属性价值参考!C$9+升级!T291*属性价值参考!C$10+升级!U291*属性价值参考!C$11+升级!V291*属性价值参考!C$12</f>
        <v>340274.4</v>
      </c>
    </row>
    <row r="292" spans="1:23" x14ac:dyDescent="0.3">
      <c r="A292" s="22"/>
      <c r="B292" s="22"/>
      <c r="C292" s="24">
        <v>291</v>
      </c>
      <c r="D292" s="27" t="str">
        <f t="shared" si="99"/>
        <v>0#1#40740|0#2#1396|0#3#291|0#4#582|0#9#291|0#10#582|0#11#291|0#12#582</v>
      </c>
      <c r="E292" s="27" t="str">
        <f t="shared" si="100"/>
        <v>1#1#6790|1#2#69840|1#3#291|1#4#582|1#9#291|1#10#582|1#11#291|1#12#582</v>
      </c>
      <c r="F292" s="27" t="str">
        <f t="shared" si="101"/>
        <v>2#1#20370|2#2#34920|2#3#291|2#4#582|2#9#291|2#10#582|2#11#291|2#12#582</v>
      </c>
      <c r="G292" s="27" t="str">
        <f t="shared" si="102"/>
        <v>0#1#40740|0#2#1396|0#3#291|0#4#582|0#9#291|0#10#582|0#11#291|0#12#582|1#1#6790|1#2#69840|1#3#291|1#4#582|1#9#291|1#10#582|1#11#291|1#12#582|2#1#20370|2#2#34920|2#3#291|2#4#582|2#9#291|2#10#582|2#11#291|2#12#582</v>
      </c>
      <c r="H292" s="22"/>
      <c r="I292" s="25">
        <v>4200000000</v>
      </c>
      <c r="J292" s="197">
        <v>291</v>
      </c>
      <c r="K292" s="183">
        <f t="shared" si="87"/>
        <v>40740</v>
      </c>
      <c r="L292" s="183">
        <f t="shared" si="103"/>
        <v>69840</v>
      </c>
      <c r="M292" s="183">
        <f t="shared" si="104"/>
        <v>291</v>
      </c>
      <c r="N292" s="183">
        <f t="shared" si="105"/>
        <v>582</v>
      </c>
      <c r="O292" s="183">
        <f t="shared" si="106"/>
        <v>291</v>
      </c>
      <c r="P292" s="183">
        <f t="shared" si="107"/>
        <v>582</v>
      </c>
      <c r="Q292" s="183">
        <f t="shared" si="108"/>
        <v>291</v>
      </c>
      <c r="R292" s="183">
        <f t="shared" si="109"/>
        <v>582</v>
      </c>
      <c r="S292" s="183">
        <f t="shared" si="110"/>
        <v>291</v>
      </c>
      <c r="T292" s="183">
        <f t="shared" si="111"/>
        <v>582</v>
      </c>
      <c r="U292" s="183">
        <f t="shared" si="112"/>
        <v>291</v>
      </c>
      <c r="V292" s="183">
        <f t="shared" si="113"/>
        <v>582</v>
      </c>
      <c r="W292" s="12">
        <f>K292*属性价值参考!C$5+升级!L292*属性价值参考!C$6+升级!M292*属性价值参考!C$7+升级!N292*属性价值参考!C$8+升级!S292*属性价值参考!C$9+升级!T292*属性价值参考!C$10+升级!U292*属性价值参考!C$11+升级!V292*属性价值参考!C$12</f>
        <v>341447.76000000007</v>
      </c>
    </row>
    <row r="293" spans="1:23" x14ac:dyDescent="0.3">
      <c r="A293" s="22"/>
      <c r="B293" s="22"/>
      <c r="C293" s="27">
        <v>292</v>
      </c>
      <c r="D293" s="27" t="str">
        <f t="shared" si="99"/>
        <v>0#1#40880|0#2#1401|0#3#292|0#4#584|0#9#292|0#10#584|0#11#292|0#12#584</v>
      </c>
      <c r="E293" s="27" t="str">
        <f t="shared" si="100"/>
        <v>1#1#6813|1#2#70080|1#3#292|1#4#584|1#9#292|1#10#584|1#11#292|1#12#584</v>
      </c>
      <c r="F293" s="27" t="str">
        <f t="shared" si="101"/>
        <v>2#1#20440|2#2#35040|2#3#292|2#4#584|2#9#292|2#10#584|2#11#292|2#12#584</v>
      </c>
      <c r="G293" s="27" t="str">
        <f t="shared" si="102"/>
        <v>0#1#40880|0#2#1401|0#3#292|0#4#584|0#9#292|0#10#584|0#11#292|0#12#584|1#1#6813|1#2#70080|1#3#292|1#4#584|1#9#292|1#10#584|1#11#292|1#12#584|2#1#20440|2#2#35040|2#3#292|2#4#584|2#9#292|2#10#584|2#11#292|2#12#584</v>
      </c>
      <c r="H293" s="22"/>
      <c r="I293" s="28">
        <v>4200000000</v>
      </c>
      <c r="J293" s="198">
        <v>292</v>
      </c>
      <c r="K293" s="183">
        <f t="shared" si="87"/>
        <v>40880</v>
      </c>
      <c r="L293" s="183">
        <f t="shared" si="103"/>
        <v>70080</v>
      </c>
      <c r="M293" s="183">
        <f t="shared" si="104"/>
        <v>292</v>
      </c>
      <c r="N293" s="183">
        <f t="shared" si="105"/>
        <v>584</v>
      </c>
      <c r="O293" s="183">
        <f t="shared" si="106"/>
        <v>292</v>
      </c>
      <c r="P293" s="183">
        <f t="shared" si="107"/>
        <v>584</v>
      </c>
      <c r="Q293" s="183">
        <f t="shared" si="108"/>
        <v>292</v>
      </c>
      <c r="R293" s="183">
        <f t="shared" si="109"/>
        <v>584</v>
      </c>
      <c r="S293" s="183">
        <f t="shared" si="110"/>
        <v>292</v>
      </c>
      <c r="T293" s="183">
        <f t="shared" si="111"/>
        <v>584</v>
      </c>
      <c r="U293" s="183">
        <f t="shared" si="112"/>
        <v>292</v>
      </c>
      <c r="V293" s="183">
        <f t="shared" si="113"/>
        <v>584</v>
      </c>
      <c r="W293" s="12">
        <f>K293*属性价值参考!C$5+升级!L293*属性价值参考!C$6+升级!M293*属性价值参考!C$7+升级!N293*属性价值参考!C$8+升级!S293*属性价值参考!C$9+升级!T293*属性价值参考!C$10+升级!U293*属性价值参考!C$11+升级!V293*属性价值参考!C$12</f>
        <v>342621.12000000005</v>
      </c>
    </row>
    <row r="294" spans="1:23" x14ac:dyDescent="0.3">
      <c r="A294" s="22"/>
      <c r="B294" s="22"/>
      <c r="C294" s="24">
        <v>293</v>
      </c>
      <c r="D294" s="27" t="str">
        <f t="shared" si="99"/>
        <v>0#1#41020|0#2#1406|0#3#293|0#4#586|0#9#293|0#10#586|0#11#293|0#12#586</v>
      </c>
      <c r="E294" s="27" t="str">
        <f t="shared" si="100"/>
        <v>1#1#6836|1#2#70320|1#3#293|1#4#586|1#9#293|1#10#586|1#11#293|1#12#586</v>
      </c>
      <c r="F294" s="27" t="str">
        <f t="shared" si="101"/>
        <v>2#1#20510|2#2#35160|2#3#293|2#4#586|2#9#293|2#10#586|2#11#293|2#12#586</v>
      </c>
      <c r="G294" s="27" t="str">
        <f t="shared" si="102"/>
        <v>0#1#41020|0#2#1406|0#3#293|0#4#586|0#9#293|0#10#586|0#11#293|0#12#586|1#1#6836|1#2#70320|1#3#293|1#4#586|1#9#293|1#10#586|1#11#293|1#12#586|2#1#20510|2#2#35160|2#3#293|2#4#586|2#9#293|2#10#586|2#11#293|2#12#586</v>
      </c>
      <c r="H294" s="22"/>
      <c r="I294" s="25">
        <v>4200000000</v>
      </c>
      <c r="J294" s="197">
        <v>293</v>
      </c>
      <c r="K294" s="183">
        <f t="shared" si="87"/>
        <v>41020</v>
      </c>
      <c r="L294" s="183">
        <f t="shared" si="103"/>
        <v>70320</v>
      </c>
      <c r="M294" s="183">
        <f t="shared" si="104"/>
        <v>293</v>
      </c>
      <c r="N294" s="183">
        <f t="shared" si="105"/>
        <v>586</v>
      </c>
      <c r="O294" s="183">
        <f t="shared" si="106"/>
        <v>293</v>
      </c>
      <c r="P294" s="183">
        <f t="shared" si="107"/>
        <v>586</v>
      </c>
      <c r="Q294" s="183">
        <f t="shared" si="108"/>
        <v>293</v>
      </c>
      <c r="R294" s="183">
        <f t="shared" si="109"/>
        <v>586</v>
      </c>
      <c r="S294" s="183">
        <f t="shared" si="110"/>
        <v>293</v>
      </c>
      <c r="T294" s="183">
        <f t="shared" si="111"/>
        <v>586</v>
      </c>
      <c r="U294" s="183">
        <f t="shared" si="112"/>
        <v>293</v>
      </c>
      <c r="V294" s="183">
        <f t="shared" si="113"/>
        <v>586</v>
      </c>
      <c r="W294" s="12">
        <f>K294*属性价值参考!C$5+升级!L294*属性价值参考!C$6+升级!M294*属性价值参考!C$7+升级!N294*属性价值参考!C$8+升级!S294*属性价值参考!C$9+升级!T294*属性价值参考!C$10+升级!U294*属性价值参考!C$11+升级!V294*属性价值参考!C$12</f>
        <v>343794.47999999992</v>
      </c>
    </row>
    <row r="295" spans="1:23" x14ac:dyDescent="0.3">
      <c r="A295" s="22"/>
      <c r="B295" s="22"/>
      <c r="C295" s="27">
        <v>294</v>
      </c>
      <c r="D295" s="27" t="str">
        <f t="shared" si="99"/>
        <v>0#1#41160|0#2#1411|0#3#294|0#4#588|0#9#294|0#10#588|0#11#294|0#12#588</v>
      </c>
      <c r="E295" s="27" t="str">
        <f t="shared" si="100"/>
        <v>1#1#6860|1#2#70560|1#3#294|1#4#588|1#9#294|1#10#588|1#11#294|1#12#588</v>
      </c>
      <c r="F295" s="27" t="str">
        <f t="shared" si="101"/>
        <v>2#1#20580|2#2#35280|2#3#294|2#4#588|2#9#294|2#10#588|2#11#294|2#12#588</v>
      </c>
      <c r="G295" s="27" t="str">
        <f t="shared" si="102"/>
        <v>0#1#41160|0#2#1411|0#3#294|0#4#588|0#9#294|0#10#588|0#11#294|0#12#588|1#1#6860|1#2#70560|1#3#294|1#4#588|1#9#294|1#10#588|1#11#294|1#12#588|2#1#20580|2#2#35280|2#3#294|2#4#588|2#9#294|2#10#588|2#11#294|2#12#588</v>
      </c>
      <c r="H295" s="22"/>
      <c r="I295" s="28">
        <v>4200000000</v>
      </c>
      <c r="J295" s="198">
        <v>294</v>
      </c>
      <c r="K295" s="183">
        <f t="shared" si="87"/>
        <v>41160</v>
      </c>
      <c r="L295" s="183">
        <f t="shared" si="103"/>
        <v>70560</v>
      </c>
      <c r="M295" s="183">
        <f t="shared" si="104"/>
        <v>294</v>
      </c>
      <c r="N295" s="183">
        <f t="shared" si="105"/>
        <v>588</v>
      </c>
      <c r="O295" s="183">
        <f t="shared" si="106"/>
        <v>294</v>
      </c>
      <c r="P295" s="183">
        <f t="shared" si="107"/>
        <v>588</v>
      </c>
      <c r="Q295" s="183">
        <f t="shared" si="108"/>
        <v>294</v>
      </c>
      <c r="R295" s="183">
        <f t="shared" si="109"/>
        <v>588</v>
      </c>
      <c r="S295" s="183">
        <f t="shared" si="110"/>
        <v>294</v>
      </c>
      <c r="T295" s="183">
        <f t="shared" si="111"/>
        <v>588</v>
      </c>
      <c r="U295" s="183">
        <f t="shared" si="112"/>
        <v>294</v>
      </c>
      <c r="V295" s="183">
        <f t="shared" si="113"/>
        <v>588</v>
      </c>
      <c r="W295" s="12">
        <f>K295*属性价值参考!C$5+升级!L295*属性价值参考!C$6+升级!M295*属性价值参考!C$7+升级!N295*属性价值参考!C$8+升级!S295*属性价值参考!C$9+升级!T295*属性价值参考!C$10+升级!U295*属性价值参考!C$11+升级!V295*属性价值参考!C$12</f>
        <v>344967.83999999991</v>
      </c>
    </row>
    <row r="296" spans="1:23" x14ac:dyDescent="0.3">
      <c r="A296" s="22"/>
      <c r="B296" s="22"/>
      <c r="C296" s="24">
        <v>295</v>
      </c>
      <c r="D296" s="27" t="str">
        <f t="shared" si="99"/>
        <v>0#1#41300|0#2#1416|0#3#295|0#4#590|0#9#295|0#10#590|0#11#295|0#12#590</v>
      </c>
      <c r="E296" s="27" t="str">
        <f t="shared" si="100"/>
        <v>1#1#6883|1#2#70800|1#3#295|1#4#590|1#9#295|1#10#590|1#11#295|1#12#590</v>
      </c>
      <c r="F296" s="27" t="str">
        <f t="shared" si="101"/>
        <v>2#1#20650|2#2#35400|2#3#295|2#4#590|2#9#295|2#10#590|2#11#295|2#12#590</v>
      </c>
      <c r="G296" s="27" t="str">
        <f t="shared" si="102"/>
        <v>0#1#41300|0#2#1416|0#3#295|0#4#590|0#9#295|0#10#590|0#11#295|0#12#590|1#1#6883|1#2#70800|1#3#295|1#4#590|1#9#295|1#10#590|1#11#295|1#12#590|2#1#20650|2#2#35400|2#3#295|2#4#590|2#9#295|2#10#590|2#11#295|2#12#590</v>
      </c>
      <c r="H296" s="22"/>
      <c r="I296" s="25">
        <v>4200000000</v>
      </c>
      <c r="J296" s="197">
        <v>295</v>
      </c>
      <c r="K296" s="183">
        <f t="shared" si="87"/>
        <v>41300</v>
      </c>
      <c r="L296" s="183">
        <f t="shared" si="103"/>
        <v>70800</v>
      </c>
      <c r="M296" s="183">
        <f t="shared" si="104"/>
        <v>295</v>
      </c>
      <c r="N296" s="183">
        <f t="shared" si="105"/>
        <v>590</v>
      </c>
      <c r="O296" s="183">
        <f t="shared" si="106"/>
        <v>295</v>
      </c>
      <c r="P296" s="183">
        <f t="shared" si="107"/>
        <v>590</v>
      </c>
      <c r="Q296" s="183">
        <f t="shared" si="108"/>
        <v>295</v>
      </c>
      <c r="R296" s="183">
        <f t="shared" si="109"/>
        <v>590</v>
      </c>
      <c r="S296" s="183">
        <f t="shared" si="110"/>
        <v>295</v>
      </c>
      <c r="T296" s="183">
        <f t="shared" si="111"/>
        <v>590</v>
      </c>
      <c r="U296" s="183">
        <f t="shared" si="112"/>
        <v>295</v>
      </c>
      <c r="V296" s="183">
        <f t="shared" si="113"/>
        <v>590</v>
      </c>
      <c r="W296" s="12">
        <f>K296*属性价值参考!C$5+升级!L296*属性价值参考!C$6+升级!M296*属性价值参考!C$7+升级!N296*属性价值参考!C$8+升级!S296*属性价值参考!C$9+升级!T296*属性价值参考!C$10+升级!U296*属性价值参考!C$11+升级!V296*属性价值参考!C$12</f>
        <v>346141.2</v>
      </c>
    </row>
    <row r="297" spans="1:23" x14ac:dyDescent="0.3">
      <c r="A297" s="22"/>
      <c r="B297" s="22"/>
      <c r="C297" s="27">
        <v>296</v>
      </c>
      <c r="D297" s="27" t="str">
        <f t="shared" si="99"/>
        <v>0#1#41440|0#2#1420|0#3#296|0#4#592|0#9#296|0#10#592|0#11#296|0#12#592</v>
      </c>
      <c r="E297" s="27" t="str">
        <f t="shared" si="100"/>
        <v>1#1#6906|1#2#71040|1#3#296|1#4#592|1#9#296|1#10#592|1#11#296|1#12#592</v>
      </c>
      <c r="F297" s="27" t="str">
        <f t="shared" si="101"/>
        <v>2#1#20720|2#2#35520|2#3#296|2#4#592|2#9#296|2#10#592|2#11#296|2#12#592</v>
      </c>
      <c r="G297" s="27" t="str">
        <f t="shared" si="102"/>
        <v>0#1#41440|0#2#1420|0#3#296|0#4#592|0#9#296|0#10#592|0#11#296|0#12#592|1#1#6906|1#2#71040|1#3#296|1#4#592|1#9#296|1#10#592|1#11#296|1#12#592|2#1#20720|2#2#35520|2#3#296|2#4#592|2#9#296|2#10#592|2#11#296|2#12#592</v>
      </c>
      <c r="H297" s="22"/>
      <c r="I297" s="28">
        <v>4200000000</v>
      </c>
      <c r="J297" s="198">
        <v>296</v>
      </c>
      <c r="K297" s="183">
        <f t="shared" si="87"/>
        <v>41440</v>
      </c>
      <c r="L297" s="183">
        <f t="shared" si="103"/>
        <v>71040</v>
      </c>
      <c r="M297" s="183">
        <f t="shared" si="104"/>
        <v>296</v>
      </c>
      <c r="N297" s="183">
        <f t="shared" si="105"/>
        <v>592</v>
      </c>
      <c r="O297" s="183">
        <f t="shared" si="106"/>
        <v>296</v>
      </c>
      <c r="P297" s="183">
        <f t="shared" si="107"/>
        <v>592</v>
      </c>
      <c r="Q297" s="183">
        <f t="shared" si="108"/>
        <v>296</v>
      </c>
      <c r="R297" s="183">
        <f t="shared" si="109"/>
        <v>592</v>
      </c>
      <c r="S297" s="183">
        <f t="shared" si="110"/>
        <v>296</v>
      </c>
      <c r="T297" s="183">
        <f t="shared" si="111"/>
        <v>592</v>
      </c>
      <c r="U297" s="183">
        <f t="shared" si="112"/>
        <v>296</v>
      </c>
      <c r="V297" s="183">
        <f t="shared" si="113"/>
        <v>592</v>
      </c>
      <c r="W297" s="12">
        <f>K297*属性价值参考!C$5+升级!L297*属性价值参考!C$6+升级!M297*属性价值参考!C$7+升级!N297*属性价值参考!C$8+升级!S297*属性价值参考!C$9+升级!T297*属性价值参考!C$10+升级!U297*属性价值参考!C$11+升级!V297*属性价值参考!C$12</f>
        <v>347314.56000000011</v>
      </c>
    </row>
    <row r="298" spans="1:23" x14ac:dyDescent="0.3">
      <c r="A298" s="22"/>
      <c r="B298" s="22"/>
      <c r="C298" s="24">
        <v>297</v>
      </c>
      <c r="D298" s="27" t="str">
        <f t="shared" si="99"/>
        <v>0#1#41580|0#2#1425|0#3#297|0#4#594|0#9#297|0#10#594|0#11#297|0#12#594</v>
      </c>
      <c r="E298" s="27" t="str">
        <f t="shared" si="100"/>
        <v>1#1#6930|1#2#71280|1#3#297|1#4#594|1#9#297|1#10#594|1#11#297|1#12#594</v>
      </c>
      <c r="F298" s="27" t="str">
        <f t="shared" si="101"/>
        <v>2#1#20790|2#2#35640|2#3#297|2#4#594|2#9#297|2#10#594|2#11#297|2#12#594</v>
      </c>
      <c r="G298" s="27" t="str">
        <f t="shared" si="102"/>
        <v>0#1#41580|0#2#1425|0#3#297|0#4#594|0#9#297|0#10#594|0#11#297|0#12#594|1#1#6930|1#2#71280|1#3#297|1#4#594|1#9#297|1#10#594|1#11#297|1#12#594|2#1#20790|2#2#35640|2#3#297|2#4#594|2#9#297|2#10#594|2#11#297|2#12#594</v>
      </c>
      <c r="H298" s="22"/>
      <c r="I298" s="25">
        <v>4200000000</v>
      </c>
      <c r="J298" s="197">
        <v>297</v>
      </c>
      <c r="K298" s="183">
        <f t="shared" si="87"/>
        <v>41580</v>
      </c>
      <c r="L298" s="183">
        <f t="shared" si="103"/>
        <v>71280</v>
      </c>
      <c r="M298" s="183">
        <f t="shared" si="104"/>
        <v>297</v>
      </c>
      <c r="N298" s="183">
        <f t="shared" si="105"/>
        <v>594</v>
      </c>
      <c r="O298" s="183">
        <f t="shared" si="106"/>
        <v>297</v>
      </c>
      <c r="P298" s="183">
        <f t="shared" si="107"/>
        <v>594</v>
      </c>
      <c r="Q298" s="183">
        <f t="shared" si="108"/>
        <v>297</v>
      </c>
      <c r="R298" s="183">
        <f t="shared" si="109"/>
        <v>594</v>
      </c>
      <c r="S298" s="183">
        <f t="shared" si="110"/>
        <v>297</v>
      </c>
      <c r="T298" s="183">
        <f t="shared" si="111"/>
        <v>594</v>
      </c>
      <c r="U298" s="183">
        <f t="shared" si="112"/>
        <v>297</v>
      </c>
      <c r="V298" s="183">
        <f t="shared" si="113"/>
        <v>594</v>
      </c>
      <c r="W298" s="12">
        <f>K298*属性价值参考!C$5+升级!L298*属性价值参考!C$6+升级!M298*属性价值参考!C$7+升级!N298*属性价值参考!C$8+升级!S298*属性价值参考!C$9+升级!T298*属性价值参考!C$10+升级!U298*属性价值参考!C$11+升级!V298*属性价值参考!C$12</f>
        <v>348487.92000000004</v>
      </c>
    </row>
    <row r="299" spans="1:23" x14ac:dyDescent="0.3">
      <c r="A299" s="22"/>
      <c r="B299" s="22"/>
      <c r="C299" s="27">
        <v>298</v>
      </c>
      <c r="D299" s="27" t="str">
        <f t="shared" si="99"/>
        <v>0#1#41720|0#2#1430|0#3#298|0#4#596|0#9#298|0#10#596|0#11#298|0#12#596</v>
      </c>
      <c r="E299" s="27" t="str">
        <f t="shared" si="100"/>
        <v>1#1#6953|1#2#71520|1#3#298|1#4#596|1#9#298|1#10#596|1#11#298|1#12#596</v>
      </c>
      <c r="F299" s="27" t="str">
        <f t="shared" si="101"/>
        <v>2#1#20860|2#2#35760|2#3#298|2#4#596|2#9#298|2#10#596|2#11#298|2#12#596</v>
      </c>
      <c r="G299" s="27" t="str">
        <f t="shared" si="102"/>
        <v>0#1#41720|0#2#1430|0#3#298|0#4#596|0#9#298|0#10#596|0#11#298|0#12#596|1#1#6953|1#2#71520|1#3#298|1#4#596|1#9#298|1#10#596|1#11#298|1#12#596|2#1#20860|2#2#35760|2#3#298|2#4#596|2#9#298|2#10#596|2#11#298|2#12#596</v>
      </c>
      <c r="H299" s="22"/>
      <c r="I299" s="28">
        <v>4200000000</v>
      </c>
      <c r="J299" s="198">
        <v>298</v>
      </c>
      <c r="K299" s="183">
        <f t="shared" si="87"/>
        <v>41720</v>
      </c>
      <c r="L299" s="183">
        <f t="shared" si="103"/>
        <v>71520</v>
      </c>
      <c r="M299" s="183">
        <f t="shared" si="104"/>
        <v>298</v>
      </c>
      <c r="N299" s="183">
        <f t="shared" si="105"/>
        <v>596</v>
      </c>
      <c r="O299" s="183">
        <f t="shared" si="106"/>
        <v>298</v>
      </c>
      <c r="P299" s="183">
        <f t="shared" si="107"/>
        <v>596</v>
      </c>
      <c r="Q299" s="183">
        <f t="shared" si="108"/>
        <v>298</v>
      </c>
      <c r="R299" s="183">
        <f t="shared" si="109"/>
        <v>596</v>
      </c>
      <c r="S299" s="183">
        <f t="shared" si="110"/>
        <v>298</v>
      </c>
      <c r="T299" s="183">
        <f t="shared" si="111"/>
        <v>596</v>
      </c>
      <c r="U299" s="183">
        <f t="shared" si="112"/>
        <v>298</v>
      </c>
      <c r="V299" s="183">
        <f t="shared" si="113"/>
        <v>596</v>
      </c>
      <c r="W299" s="12">
        <f>K299*属性价值参考!C$5+升级!L299*属性价值参考!C$6+升级!M299*属性价值参考!C$7+升级!N299*属性价值参考!C$8+升级!S299*属性价值参考!C$9+升级!T299*属性价值参考!C$10+升级!U299*属性价值参考!C$11+升级!V299*属性价值参考!C$12</f>
        <v>349661.27999999997</v>
      </c>
    </row>
    <row r="300" spans="1:23" x14ac:dyDescent="0.3">
      <c r="A300" s="22"/>
      <c r="B300" s="22"/>
      <c r="C300" s="24">
        <v>299</v>
      </c>
      <c r="D300" s="27" t="str">
        <f t="shared" si="99"/>
        <v>0#1#41860|0#2#1435|0#3#299|0#4#598|0#9#299|0#10#598|0#11#299|0#12#598</v>
      </c>
      <c r="E300" s="27" t="str">
        <f t="shared" si="100"/>
        <v>1#1#6976|1#2#71760|1#3#299|1#4#598|1#9#299|1#10#598|1#11#299|1#12#598</v>
      </c>
      <c r="F300" s="27" t="str">
        <f t="shared" si="101"/>
        <v>2#1#20930|2#2#35880|2#3#299|2#4#598|2#9#299|2#10#598|2#11#299|2#12#598</v>
      </c>
      <c r="G300" s="27" t="str">
        <f t="shared" si="102"/>
        <v>0#1#41860|0#2#1435|0#3#299|0#4#598|0#9#299|0#10#598|0#11#299|0#12#598|1#1#6976|1#2#71760|1#3#299|1#4#598|1#9#299|1#10#598|1#11#299|1#12#598|2#1#20930|2#2#35880|2#3#299|2#4#598|2#9#299|2#10#598|2#11#299|2#12#598</v>
      </c>
      <c r="H300" s="22"/>
      <c r="I300" s="25">
        <v>4200000000</v>
      </c>
      <c r="J300" s="197">
        <v>299</v>
      </c>
      <c r="K300" s="183">
        <f t="shared" si="87"/>
        <v>41860</v>
      </c>
      <c r="L300" s="183">
        <f t="shared" si="103"/>
        <v>71760</v>
      </c>
      <c r="M300" s="183">
        <f t="shared" si="104"/>
        <v>299</v>
      </c>
      <c r="N300" s="183">
        <f t="shared" si="105"/>
        <v>598</v>
      </c>
      <c r="O300" s="183">
        <f t="shared" si="106"/>
        <v>299</v>
      </c>
      <c r="P300" s="183">
        <f t="shared" si="107"/>
        <v>598</v>
      </c>
      <c r="Q300" s="183">
        <f t="shared" si="108"/>
        <v>299</v>
      </c>
      <c r="R300" s="183">
        <f t="shared" si="109"/>
        <v>598</v>
      </c>
      <c r="S300" s="183">
        <f t="shared" si="110"/>
        <v>299</v>
      </c>
      <c r="T300" s="183">
        <f t="shared" si="111"/>
        <v>598</v>
      </c>
      <c r="U300" s="183">
        <f t="shared" si="112"/>
        <v>299</v>
      </c>
      <c r="V300" s="183">
        <f t="shared" si="113"/>
        <v>598</v>
      </c>
      <c r="W300" s="12">
        <f>K300*属性价值参考!C$5+升级!L300*属性价值参考!C$6+升级!M300*属性价值参考!C$7+升级!N300*属性价值参考!C$8+升级!S300*属性价值参考!C$9+升级!T300*属性价值参考!C$10+升级!U300*属性价值参考!C$11+升级!V300*属性价值参考!C$12</f>
        <v>350834.6399999999</v>
      </c>
    </row>
    <row r="301" spans="1:23" x14ac:dyDescent="0.3">
      <c r="A301" s="22"/>
      <c r="B301" s="22"/>
      <c r="C301" s="27">
        <v>300</v>
      </c>
      <c r="D301" s="27" t="str">
        <f t="shared" si="99"/>
        <v>0#1#42000|0#2#1440|0#3#300|0#4#600|0#9#300|0#10#600|0#11#300|0#12#600</v>
      </c>
      <c r="E301" s="27" t="str">
        <f t="shared" si="100"/>
        <v>1#1#7000|1#2#72000|1#3#300|1#4#600|1#9#300|1#10#600|1#11#300|1#12#600</v>
      </c>
      <c r="F301" s="27" t="str">
        <f t="shared" si="101"/>
        <v>2#1#21000|2#2#36000|2#3#300|2#4#600|2#9#300|2#10#600|2#11#300|2#12#600</v>
      </c>
      <c r="G301" s="27" t="str">
        <f t="shared" si="102"/>
        <v>0#1#42000|0#2#1440|0#3#300|0#4#600|0#9#300|0#10#600|0#11#300|0#12#600|1#1#7000|1#2#72000|1#3#300|1#4#600|1#9#300|1#10#600|1#11#300|1#12#600|2#1#21000|2#2#36000|2#3#300|2#4#600|2#9#300|2#10#600|2#11#300|2#12#600</v>
      </c>
      <c r="H301" s="22"/>
      <c r="I301" s="28">
        <v>4200000000</v>
      </c>
      <c r="J301" s="198">
        <v>300</v>
      </c>
      <c r="K301" s="183">
        <f t="shared" si="87"/>
        <v>42000</v>
      </c>
      <c r="L301" s="183">
        <f t="shared" si="103"/>
        <v>72000</v>
      </c>
      <c r="M301" s="183">
        <f t="shared" si="104"/>
        <v>300</v>
      </c>
      <c r="N301" s="183">
        <f t="shared" si="105"/>
        <v>600</v>
      </c>
      <c r="O301" s="183">
        <f t="shared" si="106"/>
        <v>300</v>
      </c>
      <c r="P301" s="183">
        <f t="shared" si="107"/>
        <v>600</v>
      </c>
      <c r="Q301" s="183">
        <f t="shared" si="108"/>
        <v>300</v>
      </c>
      <c r="R301" s="183">
        <f t="shared" si="109"/>
        <v>600</v>
      </c>
      <c r="S301" s="183">
        <f t="shared" si="110"/>
        <v>300</v>
      </c>
      <c r="T301" s="183">
        <f t="shared" si="111"/>
        <v>600</v>
      </c>
      <c r="U301" s="183">
        <f t="shared" si="112"/>
        <v>300</v>
      </c>
      <c r="V301" s="183">
        <f t="shared" si="113"/>
        <v>600</v>
      </c>
      <c r="W301" s="12">
        <f>K301*属性价值参考!C$5+升级!L301*属性价值参考!C$6+升级!M301*属性价值参考!C$7+升级!N301*属性价值参考!C$8+升级!S301*属性价值参考!C$9+升级!T301*属性价值参考!C$10+升级!U301*属性价值参考!C$11+升级!V301*属性价值参考!C$12</f>
        <v>352008</v>
      </c>
    </row>
    <row r="302" spans="1:23" x14ac:dyDescent="0.3">
      <c r="A302" s="22"/>
      <c r="B302" s="22"/>
      <c r="C302" s="24">
        <v>301</v>
      </c>
      <c r="D302" s="27" t="str">
        <f t="shared" si="99"/>
        <v>0#1#42140|0#2#1444|0#3#301|0#4#602|0#9#301|0#10#602|0#11#301|0#12#602</v>
      </c>
      <c r="E302" s="27" t="str">
        <f t="shared" si="100"/>
        <v>1#1#7023|1#2#72240|1#3#301|1#4#602|1#9#301|1#10#602|1#11#301|1#12#602</v>
      </c>
      <c r="F302" s="27" t="str">
        <f t="shared" si="101"/>
        <v>2#1#21070|2#2#36120|2#3#301|2#4#602|2#9#301|2#10#602|2#11#301|2#12#602</v>
      </c>
      <c r="G302" s="27" t="str">
        <f t="shared" si="102"/>
        <v>0#1#42140|0#2#1444|0#3#301|0#4#602|0#9#301|0#10#602|0#11#301|0#12#602|1#1#7023|1#2#72240|1#3#301|1#4#602|1#9#301|1#10#602|1#11#301|1#12#602|2#1#21070|2#2#36120|2#3#301|2#4#602|2#9#301|2#10#602|2#11#301|2#12#602</v>
      </c>
      <c r="H302" s="22"/>
      <c r="I302" s="25">
        <v>4200000000</v>
      </c>
      <c r="J302" s="197">
        <v>301</v>
      </c>
      <c r="K302" s="183">
        <f t="shared" si="87"/>
        <v>42140</v>
      </c>
      <c r="L302" s="183">
        <f t="shared" si="103"/>
        <v>72240</v>
      </c>
      <c r="M302" s="183">
        <f t="shared" si="104"/>
        <v>301</v>
      </c>
      <c r="N302" s="183">
        <f t="shared" si="105"/>
        <v>602</v>
      </c>
      <c r="O302" s="183">
        <f t="shared" si="106"/>
        <v>301</v>
      </c>
      <c r="P302" s="183">
        <f t="shared" si="107"/>
        <v>602</v>
      </c>
      <c r="Q302" s="183">
        <f t="shared" si="108"/>
        <v>301</v>
      </c>
      <c r="R302" s="183">
        <f t="shared" si="109"/>
        <v>602</v>
      </c>
      <c r="S302" s="183">
        <f t="shared" si="110"/>
        <v>301</v>
      </c>
      <c r="T302" s="183">
        <f t="shared" si="111"/>
        <v>602</v>
      </c>
      <c r="U302" s="183">
        <f t="shared" si="112"/>
        <v>301</v>
      </c>
      <c r="V302" s="183">
        <f t="shared" si="113"/>
        <v>602</v>
      </c>
      <c r="W302" s="12">
        <f>K302*属性价值参考!C$5+升级!L302*属性价值参考!C$6+升级!M302*属性价值参考!C$7+升级!N302*属性价值参考!C$8+升级!S302*属性价值参考!C$9+升级!T302*属性价值参考!C$10+升级!U302*属性价值参考!C$11+升级!V302*属性价值参考!C$12</f>
        <v>353181.3600000001</v>
      </c>
    </row>
    <row r="303" spans="1:23" x14ac:dyDescent="0.3">
      <c r="A303" s="22"/>
      <c r="B303" s="22"/>
      <c r="C303" s="27">
        <v>302</v>
      </c>
      <c r="D303" s="27" t="str">
        <f t="shared" si="99"/>
        <v>0#1#42280|0#2#1449|0#3#302|0#4#604|0#9#302|0#10#604|0#11#302|0#12#604</v>
      </c>
      <c r="E303" s="27" t="str">
        <f t="shared" si="100"/>
        <v>1#1#7046|1#2#72480|1#3#302|1#4#604|1#9#302|1#10#604|1#11#302|1#12#604</v>
      </c>
      <c r="F303" s="27" t="str">
        <f t="shared" si="101"/>
        <v>2#1#21140|2#2#36240|2#3#302|2#4#604|2#9#302|2#10#604|2#11#302|2#12#604</v>
      </c>
      <c r="G303" s="27" t="str">
        <f t="shared" si="102"/>
        <v>0#1#42280|0#2#1449|0#3#302|0#4#604|0#9#302|0#10#604|0#11#302|0#12#604|1#1#7046|1#2#72480|1#3#302|1#4#604|1#9#302|1#10#604|1#11#302|1#12#604|2#1#21140|2#2#36240|2#3#302|2#4#604|2#9#302|2#10#604|2#11#302|2#12#604</v>
      </c>
      <c r="H303" s="22"/>
      <c r="I303" s="28">
        <v>4200000000</v>
      </c>
      <c r="J303" s="198">
        <v>302</v>
      </c>
      <c r="K303" s="183">
        <f t="shared" si="87"/>
        <v>42280</v>
      </c>
      <c r="L303" s="183">
        <f t="shared" si="103"/>
        <v>72480</v>
      </c>
      <c r="M303" s="183">
        <f t="shared" si="104"/>
        <v>302</v>
      </c>
      <c r="N303" s="183">
        <f t="shared" si="105"/>
        <v>604</v>
      </c>
      <c r="O303" s="183">
        <f t="shared" si="106"/>
        <v>302</v>
      </c>
      <c r="P303" s="183">
        <f t="shared" si="107"/>
        <v>604</v>
      </c>
      <c r="Q303" s="183">
        <f t="shared" si="108"/>
        <v>302</v>
      </c>
      <c r="R303" s="183">
        <f t="shared" si="109"/>
        <v>604</v>
      </c>
      <c r="S303" s="183">
        <f t="shared" si="110"/>
        <v>302</v>
      </c>
      <c r="T303" s="183">
        <f t="shared" si="111"/>
        <v>604</v>
      </c>
      <c r="U303" s="183">
        <f t="shared" si="112"/>
        <v>302</v>
      </c>
      <c r="V303" s="183">
        <f t="shared" si="113"/>
        <v>604</v>
      </c>
      <c r="W303" s="12">
        <f>K303*属性价值参考!C$5+升级!L303*属性价值参考!C$6+升级!M303*属性价值参考!C$7+升级!N303*属性价值参考!C$8+升级!S303*属性价值参考!C$9+升级!T303*属性价值参考!C$10+升级!U303*属性价值参考!C$11+升级!V303*属性价值参考!C$12</f>
        <v>354354.72000000003</v>
      </c>
    </row>
    <row r="304" spans="1:23" x14ac:dyDescent="0.3">
      <c r="A304" s="22"/>
      <c r="B304" s="22"/>
      <c r="C304" s="24">
        <v>303</v>
      </c>
      <c r="D304" s="27" t="str">
        <f t="shared" si="99"/>
        <v>0#1#42420|0#2#1454|0#3#303|0#4#606|0#9#303|0#10#606|0#11#303|0#12#606</v>
      </c>
      <c r="E304" s="27" t="str">
        <f t="shared" si="100"/>
        <v>1#1#7070|1#2#72720|1#3#303|1#4#606|1#9#303|1#10#606|1#11#303|1#12#606</v>
      </c>
      <c r="F304" s="27" t="str">
        <f t="shared" si="101"/>
        <v>2#1#21210|2#2#36360|2#3#303|2#4#606|2#9#303|2#10#606|2#11#303|2#12#606</v>
      </c>
      <c r="G304" s="27" t="str">
        <f t="shared" si="102"/>
        <v>0#1#42420|0#2#1454|0#3#303|0#4#606|0#9#303|0#10#606|0#11#303|0#12#606|1#1#7070|1#2#72720|1#3#303|1#4#606|1#9#303|1#10#606|1#11#303|1#12#606|2#1#21210|2#2#36360|2#3#303|2#4#606|2#9#303|2#10#606|2#11#303|2#12#606</v>
      </c>
      <c r="H304" s="22"/>
      <c r="I304" s="25">
        <v>4200000000</v>
      </c>
      <c r="J304" s="197">
        <v>303</v>
      </c>
      <c r="K304" s="183">
        <f t="shared" si="87"/>
        <v>42420</v>
      </c>
      <c r="L304" s="183">
        <f t="shared" si="103"/>
        <v>72720</v>
      </c>
      <c r="M304" s="183">
        <f t="shared" si="104"/>
        <v>303</v>
      </c>
      <c r="N304" s="183">
        <f t="shared" si="105"/>
        <v>606</v>
      </c>
      <c r="O304" s="183">
        <f t="shared" si="106"/>
        <v>303</v>
      </c>
      <c r="P304" s="183">
        <f t="shared" si="107"/>
        <v>606</v>
      </c>
      <c r="Q304" s="183">
        <f t="shared" si="108"/>
        <v>303</v>
      </c>
      <c r="R304" s="183">
        <f t="shared" si="109"/>
        <v>606</v>
      </c>
      <c r="S304" s="183">
        <f t="shared" si="110"/>
        <v>303</v>
      </c>
      <c r="T304" s="183">
        <f t="shared" si="111"/>
        <v>606</v>
      </c>
      <c r="U304" s="183">
        <f t="shared" si="112"/>
        <v>303</v>
      </c>
      <c r="V304" s="183">
        <f t="shared" si="113"/>
        <v>606</v>
      </c>
      <c r="W304" s="12">
        <f>K304*属性价值参考!C$5+升级!L304*属性价值参考!C$6+升级!M304*属性价值参考!C$7+升级!N304*属性价值参考!C$8+升级!S304*属性价值参考!C$9+升级!T304*属性价值参考!C$10+升级!U304*属性价值参考!C$11+升级!V304*属性价值参考!C$12</f>
        <v>355528.0799999999</v>
      </c>
    </row>
    <row r="305" spans="1:23" x14ac:dyDescent="0.3">
      <c r="A305" s="22"/>
      <c r="B305" s="22"/>
      <c r="C305" s="27">
        <v>304</v>
      </c>
      <c r="D305" s="27" t="str">
        <f t="shared" si="99"/>
        <v>0#1#42560|0#2#1459|0#3#304|0#4#608|0#9#304|0#10#608|0#11#304|0#12#608</v>
      </c>
      <c r="E305" s="27" t="str">
        <f t="shared" si="100"/>
        <v>1#1#7093|1#2#72960|1#3#304|1#4#608|1#9#304|1#10#608|1#11#304|1#12#608</v>
      </c>
      <c r="F305" s="27" t="str">
        <f t="shared" si="101"/>
        <v>2#1#21280|2#2#36480|2#3#304|2#4#608|2#9#304|2#10#608|2#11#304|2#12#608</v>
      </c>
      <c r="G305" s="27" t="str">
        <f t="shared" si="102"/>
        <v>0#1#42560|0#2#1459|0#3#304|0#4#608|0#9#304|0#10#608|0#11#304|0#12#608|1#1#7093|1#2#72960|1#3#304|1#4#608|1#9#304|1#10#608|1#11#304|1#12#608|2#1#21280|2#2#36480|2#3#304|2#4#608|2#9#304|2#10#608|2#11#304|2#12#608</v>
      </c>
      <c r="H305" s="22"/>
      <c r="I305" s="28">
        <v>4200000000</v>
      </c>
      <c r="J305" s="198">
        <v>304</v>
      </c>
      <c r="K305" s="183">
        <f t="shared" si="87"/>
        <v>42560</v>
      </c>
      <c r="L305" s="183">
        <f t="shared" si="103"/>
        <v>72960</v>
      </c>
      <c r="M305" s="183">
        <f t="shared" si="104"/>
        <v>304</v>
      </c>
      <c r="N305" s="183">
        <f t="shared" si="105"/>
        <v>608</v>
      </c>
      <c r="O305" s="183">
        <f t="shared" si="106"/>
        <v>304</v>
      </c>
      <c r="P305" s="183">
        <f t="shared" si="107"/>
        <v>608</v>
      </c>
      <c r="Q305" s="183">
        <f t="shared" si="108"/>
        <v>304</v>
      </c>
      <c r="R305" s="183">
        <f t="shared" si="109"/>
        <v>608</v>
      </c>
      <c r="S305" s="183">
        <f t="shared" si="110"/>
        <v>304</v>
      </c>
      <c r="T305" s="183">
        <f t="shared" si="111"/>
        <v>608</v>
      </c>
      <c r="U305" s="183">
        <f t="shared" si="112"/>
        <v>304</v>
      </c>
      <c r="V305" s="183">
        <f t="shared" si="113"/>
        <v>608</v>
      </c>
      <c r="W305" s="12">
        <f>K305*属性价值参考!C$5+升级!L305*属性价值参考!C$6+升级!M305*属性价值参考!C$7+升级!N305*属性价值参考!C$8+升级!S305*属性价值参考!C$9+升级!T305*属性价值参考!C$10+升级!U305*属性价值参考!C$11+升级!V305*属性价值参考!C$12</f>
        <v>356701.43999999989</v>
      </c>
    </row>
    <row r="306" spans="1:23" x14ac:dyDescent="0.3">
      <c r="A306" s="22"/>
      <c r="B306" s="22"/>
      <c r="C306" s="24">
        <v>305</v>
      </c>
      <c r="D306" s="27" t="str">
        <f t="shared" si="99"/>
        <v>0#1#42700|0#2#1464|0#3#305|0#4#610|0#9#305|0#10#610|0#11#305|0#12#610</v>
      </c>
      <c r="E306" s="27" t="str">
        <f t="shared" si="100"/>
        <v>1#1#7116|1#2#73200|1#3#305|1#4#610|1#9#305|1#10#610|1#11#305|1#12#610</v>
      </c>
      <c r="F306" s="27" t="str">
        <f t="shared" si="101"/>
        <v>2#1#21350|2#2#36600|2#3#305|2#4#610|2#9#305|2#10#610|2#11#305|2#12#610</v>
      </c>
      <c r="G306" s="27" t="str">
        <f t="shared" si="102"/>
        <v>0#1#42700|0#2#1464|0#3#305|0#4#610|0#9#305|0#10#610|0#11#305|0#12#610|1#1#7116|1#2#73200|1#3#305|1#4#610|1#9#305|1#10#610|1#11#305|1#12#610|2#1#21350|2#2#36600|2#3#305|2#4#610|2#9#305|2#10#610|2#11#305|2#12#610</v>
      </c>
      <c r="H306" s="22"/>
      <c r="I306" s="25">
        <v>4200000000</v>
      </c>
      <c r="J306" s="197">
        <v>305</v>
      </c>
      <c r="K306" s="183">
        <f t="shared" si="87"/>
        <v>42700</v>
      </c>
      <c r="L306" s="183">
        <f t="shared" si="103"/>
        <v>73200</v>
      </c>
      <c r="M306" s="183">
        <f t="shared" si="104"/>
        <v>305</v>
      </c>
      <c r="N306" s="183">
        <f t="shared" si="105"/>
        <v>610</v>
      </c>
      <c r="O306" s="183">
        <f t="shared" si="106"/>
        <v>305</v>
      </c>
      <c r="P306" s="183">
        <f t="shared" si="107"/>
        <v>610</v>
      </c>
      <c r="Q306" s="183">
        <f t="shared" si="108"/>
        <v>305</v>
      </c>
      <c r="R306" s="183">
        <f t="shared" si="109"/>
        <v>610</v>
      </c>
      <c r="S306" s="183">
        <f t="shared" si="110"/>
        <v>305</v>
      </c>
      <c r="T306" s="183">
        <f t="shared" si="111"/>
        <v>610</v>
      </c>
      <c r="U306" s="183">
        <f t="shared" si="112"/>
        <v>305</v>
      </c>
      <c r="V306" s="183">
        <f t="shared" si="113"/>
        <v>610</v>
      </c>
      <c r="W306" s="12">
        <f>K306*属性价值参考!C$5+升级!L306*属性价值参考!C$6+升级!M306*属性价值参考!C$7+升级!N306*属性价值参考!C$8+升级!S306*属性价值参考!C$9+升级!T306*属性价值参考!C$10+升级!U306*属性价值参考!C$11+升级!V306*属性价值参考!C$12</f>
        <v>357874.8</v>
      </c>
    </row>
    <row r="307" spans="1:23" x14ac:dyDescent="0.3">
      <c r="A307" s="22"/>
      <c r="B307" s="22"/>
      <c r="C307" s="27">
        <v>306</v>
      </c>
      <c r="D307" s="27" t="str">
        <f t="shared" si="99"/>
        <v>0#1#42840|0#2#1468|0#3#306|0#4#612|0#9#306|0#10#612|0#11#306|0#12#612</v>
      </c>
      <c r="E307" s="27" t="str">
        <f t="shared" si="100"/>
        <v>1#1#7140|1#2#73440|1#3#306|1#4#612|1#9#306|1#10#612|1#11#306|1#12#612</v>
      </c>
      <c r="F307" s="27" t="str">
        <f t="shared" si="101"/>
        <v>2#1#21420|2#2#36720|2#3#306|2#4#612|2#9#306|2#10#612|2#11#306|2#12#612</v>
      </c>
      <c r="G307" s="27" t="str">
        <f t="shared" si="102"/>
        <v>0#1#42840|0#2#1468|0#3#306|0#4#612|0#9#306|0#10#612|0#11#306|0#12#612|1#1#7140|1#2#73440|1#3#306|1#4#612|1#9#306|1#10#612|1#11#306|1#12#612|2#1#21420|2#2#36720|2#3#306|2#4#612|2#9#306|2#10#612|2#11#306|2#12#612</v>
      </c>
      <c r="H307" s="22"/>
      <c r="I307" s="28">
        <v>4200000000</v>
      </c>
      <c r="J307" s="198">
        <v>306</v>
      </c>
      <c r="K307" s="183">
        <f t="shared" si="87"/>
        <v>42840</v>
      </c>
      <c r="L307" s="183">
        <f t="shared" si="103"/>
        <v>73440</v>
      </c>
      <c r="M307" s="183">
        <f t="shared" si="104"/>
        <v>306</v>
      </c>
      <c r="N307" s="183">
        <f t="shared" si="105"/>
        <v>612</v>
      </c>
      <c r="O307" s="183">
        <f t="shared" si="106"/>
        <v>306</v>
      </c>
      <c r="P307" s="183">
        <f t="shared" si="107"/>
        <v>612</v>
      </c>
      <c r="Q307" s="183">
        <f t="shared" si="108"/>
        <v>306</v>
      </c>
      <c r="R307" s="183">
        <f t="shared" si="109"/>
        <v>612</v>
      </c>
      <c r="S307" s="183">
        <f t="shared" si="110"/>
        <v>306</v>
      </c>
      <c r="T307" s="183">
        <f t="shared" si="111"/>
        <v>612</v>
      </c>
      <c r="U307" s="183">
        <f t="shared" si="112"/>
        <v>306</v>
      </c>
      <c r="V307" s="183">
        <f t="shared" si="113"/>
        <v>612</v>
      </c>
      <c r="W307" s="12">
        <f>K307*属性价值参考!C$5+升级!L307*属性价值参考!C$6+升级!M307*属性价值参考!C$7+升级!N307*属性价值参考!C$8+升级!S307*属性价值参考!C$9+升级!T307*属性价值参考!C$10+升级!U307*属性价值参考!C$11+升级!V307*属性价值参考!C$12</f>
        <v>359048.16000000009</v>
      </c>
    </row>
    <row r="308" spans="1:23" x14ac:dyDescent="0.3">
      <c r="A308" s="22"/>
      <c r="B308" s="22"/>
      <c r="C308" s="24">
        <v>307</v>
      </c>
      <c r="D308" s="27" t="str">
        <f t="shared" si="99"/>
        <v>0#1#42980|0#2#1473|0#3#307|0#4#614|0#9#307|0#10#614|0#11#307|0#12#614</v>
      </c>
      <c r="E308" s="27" t="str">
        <f t="shared" si="100"/>
        <v>1#1#7163|1#2#73680|1#3#307|1#4#614|1#9#307|1#10#614|1#11#307|1#12#614</v>
      </c>
      <c r="F308" s="27" t="str">
        <f t="shared" si="101"/>
        <v>2#1#21490|2#2#36840|2#3#307|2#4#614|2#9#307|2#10#614|2#11#307|2#12#614</v>
      </c>
      <c r="G308" s="27" t="str">
        <f t="shared" si="102"/>
        <v>0#1#42980|0#2#1473|0#3#307|0#4#614|0#9#307|0#10#614|0#11#307|0#12#614|1#1#7163|1#2#73680|1#3#307|1#4#614|1#9#307|1#10#614|1#11#307|1#12#614|2#1#21490|2#2#36840|2#3#307|2#4#614|2#9#307|2#10#614|2#11#307|2#12#614</v>
      </c>
      <c r="H308" s="22"/>
      <c r="I308" s="25">
        <v>4200000000</v>
      </c>
      <c r="J308" s="197">
        <v>307</v>
      </c>
      <c r="K308" s="183">
        <f t="shared" si="87"/>
        <v>42980</v>
      </c>
      <c r="L308" s="183">
        <f t="shared" si="103"/>
        <v>73680</v>
      </c>
      <c r="M308" s="183">
        <f t="shared" si="104"/>
        <v>307</v>
      </c>
      <c r="N308" s="183">
        <f t="shared" si="105"/>
        <v>614</v>
      </c>
      <c r="O308" s="183">
        <f t="shared" si="106"/>
        <v>307</v>
      </c>
      <c r="P308" s="183">
        <f t="shared" si="107"/>
        <v>614</v>
      </c>
      <c r="Q308" s="183">
        <f t="shared" si="108"/>
        <v>307</v>
      </c>
      <c r="R308" s="183">
        <f t="shared" si="109"/>
        <v>614</v>
      </c>
      <c r="S308" s="183">
        <f t="shared" si="110"/>
        <v>307</v>
      </c>
      <c r="T308" s="183">
        <f t="shared" si="111"/>
        <v>614</v>
      </c>
      <c r="U308" s="183">
        <f t="shared" si="112"/>
        <v>307</v>
      </c>
      <c r="V308" s="183">
        <f t="shared" si="113"/>
        <v>614</v>
      </c>
      <c r="W308" s="12">
        <f>K308*属性价值参考!C$5+升级!L308*属性价值参考!C$6+升级!M308*属性价值参考!C$7+升级!N308*属性价值参考!C$8+升级!S308*属性价值参考!C$9+升级!T308*属性价值参考!C$10+升级!U308*属性价值参考!C$11+升级!V308*属性价值参考!C$12</f>
        <v>360221.52</v>
      </c>
    </row>
    <row r="309" spans="1:23" x14ac:dyDescent="0.3">
      <c r="A309" s="22"/>
      <c r="B309" s="22"/>
      <c r="C309" s="27">
        <v>308</v>
      </c>
      <c r="D309" s="27" t="str">
        <f t="shared" si="99"/>
        <v>0#1#43120|0#2#1478|0#3#308|0#4#616|0#9#308|0#10#616|0#11#308|0#12#616</v>
      </c>
      <c r="E309" s="27" t="str">
        <f t="shared" si="100"/>
        <v>1#1#7186|1#2#73920|1#3#308|1#4#616|1#9#308|1#10#616|1#11#308|1#12#616</v>
      </c>
      <c r="F309" s="27" t="str">
        <f t="shared" si="101"/>
        <v>2#1#21560|2#2#36960|2#3#308|2#4#616|2#9#308|2#10#616|2#11#308|2#12#616</v>
      </c>
      <c r="G309" s="27" t="str">
        <f t="shared" si="102"/>
        <v>0#1#43120|0#2#1478|0#3#308|0#4#616|0#9#308|0#10#616|0#11#308|0#12#616|1#1#7186|1#2#73920|1#3#308|1#4#616|1#9#308|1#10#616|1#11#308|1#12#616|2#1#21560|2#2#36960|2#3#308|2#4#616|2#9#308|2#10#616|2#11#308|2#12#616</v>
      </c>
      <c r="H309" s="22"/>
      <c r="I309" s="28">
        <v>4200000000</v>
      </c>
      <c r="J309" s="198">
        <v>308</v>
      </c>
      <c r="K309" s="183">
        <f t="shared" si="87"/>
        <v>43120</v>
      </c>
      <c r="L309" s="183">
        <f t="shared" si="103"/>
        <v>73920</v>
      </c>
      <c r="M309" s="183">
        <f t="shared" si="104"/>
        <v>308</v>
      </c>
      <c r="N309" s="183">
        <f t="shared" si="105"/>
        <v>616</v>
      </c>
      <c r="O309" s="183">
        <f t="shared" si="106"/>
        <v>308</v>
      </c>
      <c r="P309" s="183">
        <f t="shared" si="107"/>
        <v>616</v>
      </c>
      <c r="Q309" s="183">
        <f t="shared" si="108"/>
        <v>308</v>
      </c>
      <c r="R309" s="183">
        <f t="shared" si="109"/>
        <v>616</v>
      </c>
      <c r="S309" s="183">
        <f t="shared" si="110"/>
        <v>308</v>
      </c>
      <c r="T309" s="183">
        <f t="shared" si="111"/>
        <v>616</v>
      </c>
      <c r="U309" s="183">
        <f t="shared" si="112"/>
        <v>308</v>
      </c>
      <c r="V309" s="183">
        <f t="shared" si="113"/>
        <v>616</v>
      </c>
      <c r="W309" s="12">
        <f>K309*属性价值参考!C$5+升级!L309*属性价值参考!C$6+升级!M309*属性价值参考!C$7+升级!N309*属性价值参考!C$8+升级!S309*属性价值参考!C$9+升级!T309*属性价值参考!C$10+升级!U309*属性价值参考!C$11+升级!V309*属性价值参考!C$12</f>
        <v>361394.87999999995</v>
      </c>
    </row>
    <row r="310" spans="1:23" x14ac:dyDescent="0.3">
      <c r="A310" s="22"/>
      <c r="B310" s="22"/>
      <c r="C310" s="24">
        <v>309</v>
      </c>
      <c r="D310" s="27" t="str">
        <f t="shared" si="99"/>
        <v>0#1#43260|0#2#1483|0#3#309|0#4#618|0#9#309|0#10#618|0#11#309|0#12#618</v>
      </c>
      <c r="E310" s="27" t="str">
        <f t="shared" si="100"/>
        <v>1#1#7210|1#2#74160|1#3#309|1#4#618|1#9#309|1#10#618|1#11#309|1#12#618</v>
      </c>
      <c r="F310" s="27" t="str">
        <f t="shared" si="101"/>
        <v>2#1#21630|2#2#37080|2#3#309|2#4#618|2#9#309|2#10#618|2#11#309|2#12#618</v>
      </c>
      <c r="G310" s="27" t="str">
        <f t="shared" si="102"/>
        <v>0#1#43260|0#2#1483|0#3#309|0#4#618|0#9#309|0#10#618|0#11#309|0#12#618|1#1#7210|1#2#74160|1#3#309|1#4#618|1#9#309|1#10#618|1#11#309|1#12#618|2#1#21630|2#2#37080|2#3#309|2#4#618|2#9#309|2#10#618|2#11#309|2#12#618</v>
      </c>
      <c r="H310" s="22"/>
      <c r="I310" s="25">
        <v>4200000000</v>
      </c>
      <c r="J310" s="197">
        <v>309</v>
      </c>
      <c r="K310" s="183">
        <f t="shared" si="87"/>
        <v>43260</v>
      </c>
      <c r="L310" s="183">
        <f t="shared" si="103"/>
        <v>74160</v>
      </c>
      <c r="M310" s="183">
        <f t="shared" si="104"/>
        <v>309</v>
      </c>
      <c r="N310" s="183">
        <f t="shared" si="105"/>
        <v>618</v>
      </c>
      <c r="O310" s="183">
        <f t="shared" si="106"/>
        <v>309</v>
      </c>
      <c r="P310" s="183">
        <f t="shared" si="107"/>
        <v>618</v>
      </c>
      <c r="Q310" s="183">
        <f t="shared" si="108"/>
        <v>309</v>
      </c>
      <c r="R310" s="183">
        <f t="shared" si="109"/>
        <v>618</v>
      </c>
      <c r="S310" s="183">
        <f t="shared" si="110"/>
        <v>309</v>
      </c>
      <c r="T310" s="183">
        <f t="shared" si="111"/>
        <v>618</v>
      </c>
      <c r="U310" s="183">
        <f t="shared" si="112"/>
        <v>309</v>
      </c>
      <c r="V310" s="183">
        <f t="shared" si="113"/>
        <v>618</v>
      </c>
      <c r="W310" s="12">
        <f>K310*属性价值参考!C$5+升级!L310*属性价值参考!C$6+升级!M310*属性价值参考!C$7+升级!N310*属性价值参考!C$8+升级!S310*属性价值参考!C$9+升级!T310*属性价值参考!C$10+升级!U310*属性价值参考!C$11+升级!V310*属性价值参考!C$12</f>
        <v>362568.23999999987</v>
      </c>
    </row>
    <row r="311" spans="1:23" x14ac:dyDescent="0.3">
      <c r="A311" s="22"/>
      <c r="B311" s="22"/>
      <c r="C311" s="27">
        <v>310</v>
      </c>
      <c r="D311" s="27" t="str">
        <f t="shared" si="99"/>
        <v>0#1#43400|0#2#1488|0#3#310|0#4#620|0#9#310|0#10#620|0#11#310|0#12#620</v>
      </c>
      <c r="E311" s="27" t="str">
        <f t="shared" si="100"/>
        <v>1#1#7233|1#2#74400|1#3#310|1#4#620|1#9#310|1#10#620|1#11#310|1#12#620</v>
      </c>
      <c r="F311" s="27" t="str">
        <f t="shared" si="101"/>
        <v>2#1#21700|2#2#37200|2#3#310|2#4#620|2#9#310|2#10#620|2#11#310|2#12#620</v>
      </c>
      <c r="G311" s="27" t="str">
        <f t="shared" si="102"/>
        <v>0#1#43400|0#2#1488|0#3#310|0#4#620|0#9#310|0#10#620|0#11#310|0#12#620|1#1#7233|1#2#74400|1#3#310|1#4#620|1#9#310|1#10#620|1#11#310|1#12#620|2#1#21700|2#2#37200|2#3#310|2#4#620|2#9#310|2#10#620|2#11#310|2#12#620</v>
      </c>
      <c r="H311" s="22"/>
      <c r="I311" s="28">
        <v>4200000000</v>
      </c>
      <c r="J311" s="198">
        <v>310</v>
      </c>
      <c r="K311" s="183">
        <f t="shared" si="87"/>
        <v>43400</v>
      </c>
      <c r="L311" s="183">
        <f t="shared" si="103"/>
        <v>74400</v>
      </c>
      <c r="M311" s="183">
        <f t="shared" si="104"/>
        <v>310</v>
      </c>
      <c r="N311" s="183">
        <f t="shared" si="105"/>
        <v>620</v>
      </c>
      <c r="O311" s="183">
        <f t="shared" si="106"/>
        <v>310</v>
      </c>
      <c r="P311" s="183">
        <f t="shared" si="107"/>
        <v>620</v>
      </c>
      <c r="Q311" s="183">
        <f t="shared" si="108"/>
        <v>310</v>
      </c>
      <c r="R311" s="183">
        <f t="shared" si="109"/>
        <v>620</v>
      </c>
      <c r="S311" s="183">
        <f t="shared" si="110"/>
        <v>310</v>
      </c>
      <c r="T311" s="183">
        <f t="shared" si="111"/>
        <v>620</v>
      </c>
      <c r="U311" s="183">
        <f t="shared" si="112"/>
        <v>310</v>
      </c>
      <c r="V311" s="183">
        <f t="shared" si="113"/>
        <v>620</v>
      </c>
      <c r="W311" s="12">
        <f>K311*属性价值参考!C$5+升级!L311*属性价值参考!C$6+升级!M311*属性价值参考!C$7+升级!N311*属性价值参考!C$8+升级!S311*属性价值参考!C$9+升级!T311*属性价值参考!C$10+升级!U311*属性价值参考!C$11+升级!V311*属性价值参考!C$12</f>
        <v>363741.6</v>
      </c>
    </row>
    <row r="312" spans="1:23" x14ac:dyDescent="0.3">
      <c r="A312" s="22"/>
      <c r="B312" s="22"/>
      <c r="C312" s="24">
        <v>311</v>
      </c>
      <c r="D312" s="27" t="str">
        <f t="shared" si="99"/>
        <v>0#1#43540|0#2#1492|0#3#311|0#4#622|0#9#311|0#10#622|0#11#311|0#12#622</v>
      </c>
      <c r="E312" s="27" t="str">
        <f t="shared" si="100"/>
        <v>1#1#7256|1#2#74640|1#3#311|1#4#622|1#9#311|1#10#622|1#11#311|1#12#622</v>
      </c>
      <c r="F312" s="27" t="str">
        <f t="shared" si="101"/>
        <v>2#1#21770|2#2#37320|2#3#311|2#4#622|2#9#311|2#10#622|2#11#311|2#12#622</v>
      </c>
      <c r="G312" s="27" t="str">
        <f t="shared" si="102"/>
        <v>0#1#43540|0#2#1492|0#3#311|0#4#622|0#9#311|0#10#622|0#11#311|0#12#622|1#1#7256|1#2#74640|1#3#311|1#4#622|1#9#311|1#10#622|1#11#311|1#12#622|2#1#21770|2#2#37320|2#3#311|2#4#622|2#9#311|2#10#622|2#11#311|2#12#622</v>
      </c>
      <c r="H312" s="22"/>
      <c r="I312" s="25">
        <v>4200000000</v>
      </c>
      <c r="J312" s="197">
        <v>311</v>
      </c>
      <c r="K312" s="183">
        <f t="shared" si="87"/>
        <v>43540</v>
      </c>
      <c r="L312" s="183">
        <f t="shared" si="103"/>
        <v>74640</v>
      </c>
      <c r="M312" s="183">
        <f t="shared" si="104"/>
        <v>311</v>
      </c>
      <c r="N312" s="183">
        <f t="shared" si="105"/>
        <v>622</v>
      </c>
      <c r="O312" s="183">
        <f t="shared" si="106"/>
        <v>311</v>
      </c>
      <c r="P312" s="183">
        <f t="shared" si="107"/>
        <v>622</v>
      </c>
      <c r="Q312" s="183">
        <f t="shared" si="108"/>
        <v>311</v>
      </c>
      <c r="R312" s="183">
        <f t="shared" si="109"/>
        <v>622</v>
      </c>
      <c r="S312" s="183">
        <f t="shared" si="110"/>
        <v>311</v>
      </c>
      <c r="T312" s="183">
        <f t="shared" si="111"/>
        <v>622</v>
      </c>
      <c r="U312" s="183">
        <f t="shared" si="112"/>
        <v>311</v>
      </c>
      <c r="V312" s="183">
        <f t="shared" si="113"/>
        <v>622</v>
      </c>
      <c r="W312" s="12">
        <f>K312*属性价值参考!C$5+升级!L312*属性价值参考!C$6+升级!M312*属性价值参考!C$7+升级!N312*属性价值参考!C$8+升级!S312*属性价值参考!C$9+升级!T312*属性价值参考!C$10+升级!U312*属性价值参考!C$11+升级!V312*属性价值参考!C$12</f>
        <v>364914.96000000008</v>
      </c>
    </row>
    <row r="313" spans="1:23" x14ac:dyDescent="0.3">
      <c r="A313" s="22"/>
      <c r="B313" s="22"/>
      <c r="C313" s="27">
        <v>312</v>
      </c>
      <c r="D313" s="27" t="str">
        <f t="shared" si="99"/>
        <v>0#1#43680|0#2#1497|0#3#312|0#4#624|0#9#312|0#10#624|0#11#312|0#12#624</v>
      </c>
      <c r="E313" s="27" t="str">
        <f t="shared" si="100"/>
        <v>1#1#7280|1#2#74880|1#3#312|1#4#624|1#9#312|1#10#624|1#11#312|1#12#624</v>
      </c>
      <c r="F313" s="27" t="str">
        <f t="shared" si="101"/>
        <v>2#1#21840|2#2#37440|2#3#312|2#4#624|2#9#312|2#10#624|2#11#312|2#12#624</v>
      </c>
      <c r="G313" s="27" t="str">
        <f t="shared" si="102"/>
        <v>0#1#43680|0#2#1497|0#3#312|0#4#624|0#9#312|0#10#624|0#11#312|0#12#624|1#1#7280|1#2#74880|1#3#312|1#4#624|1#9#312|1#10#624|1#11#312|1#12#624|2#1#21840|2#2#37440|2#3#312|2#4#624|2#9#312|2#10#624|2#11#312|2#12#624</v>
      </c>
      <c r="H313" s="22"/>
      <c r="I313" s="28">
        <v>4200000000</v>
      </c>
      <c r="J313" s="198">
        <v>312</v>
      </c>
      <c r="K313" s="183">
        <f t="shared" si="87"/>
        <v>43680</v>
      </c>
      <c r="L313" s="183">
        <f t="shared" si="103"/>
        <v>74880</v>
      </c>
      <c r="M313" s="183">
        <f t="shared" si="104"/>
        <v>312</v>
      </c>
      <c r="N313" s="183">
        <f t="shared" si="105"/>
        <v>624</v>
      </c>
      <c r="O313" s="183">
        <f t="shared" si="106"/>
        <v>312</v>
      </c>
      <c r="P313" s="183">
        <f t="shared" si="107"/>
        <v>624</v>
      </c>
      <c r="Q313" s="183">
        <f t="shared" si="108"/>
        <v>312</v>
      </c>
      <c r="R313" s="183">
        <f t="shared" si="109"/>
        <v>624</v>
      </c>
      <c r="S313" s="183">
        <f t="shared" si="110"/>
        <v>312</v>
      </c>
      <c r="T313" s="183">
        <f t="shared" si="111"/>
        <v>624</v>
      </c>
      <c r="U313" s="183">
        <f t="shared" si="112"/>
        <v>312</v>
      </c>
      <c r="V313" s="183">
        <f t="shared" si="113"/>
        <v>624</v>
      </c>
      <c r="W313" s="12">
        <f>K313*属性价值参考!C$5+升级!L313*属性价值参考!C$6+升级!M313*属性价值参考!C$7+升级!N313*属性价值参考!C$8+升级!S313*属性价值参考!C$9+升级!T313*属性价值参考!C$10+升级!U313*属性价值参考!C$11+升级!V313*属性价值参考!C$12</f>
        <v>366088.32</v>
      </c>
    </row>
    <row r="314" spans="1:23" x14ac:dyDescent="0.3">
      <c r="A314" s="22"/>
      <c r="B314" s="22"/>
      <c r="C314" s="24">
        <v>313</v>
      </c>
      <c r="D314" s="27" t="str">
        <f t="shared" si="99"/>
        <v>0#1#43820|0#2#1502|0#3#313|0#4#626|0#9#313|0#10#626|0#11#313|0#12#626</v>
      </c>
      <c r="E314" s="27" t="str">
        <f t="shared" si="100"/>
        <v>1#1#7303|1#2#75120|1#3#313|1#4#626|1#9#313|1#10#626|1#11#313|1#12#626</v>
      </c>
      <c r="F314" s="27" t="str">
        <f t="shared" si="101"/>
        <v>2#1#21910|2#2#37560|2#3#313|2#4#626|2#9#313|2#10#626|2#11#313|2#12#626</v>
      </c>
      <c r="G314" s="27" t="str">
        <f t="shared" si="102"/>
        <v>0#1#43820|0#2#1502|0#3#313|0#4#626|0#9#313|0#10#626|0#11#313|0#12#626|1#1#7303|1#2#75120|1#3#313|1#4#626|1#9#313|1#10#626|1#11#313|1#12#626|2#1#21910|2#2#37560|2#3#313|2#4#626|2#9#313|2#10#626|2#11#313|2#12#626</v>
      </c>
      <c r="H314" s="22"/>
      <c r="I314" s="25">
        <v>4200000000</v>
      </c>
      <c r="J314" s="197">
        <v>313</v>
      </c>
      <c r="K314" s="183">
        <f t="shared" si="87"/>
        <v>43820</v>
      </c>
      <c r="L314" s="183">
        <f t="shared" si="103"/>
        <v>75120</v>
      </c>
      <c r="M314" s="183">
        <f t="shared" si="104"/>
        <v>313</v>
      </c>
      <c r="N314" s="183">
        <f t="shared" si="105"/>
        <v>626</v>
      </c>
      <c r="O314" s="183">
        <f t="shared" si="106"/>
        <v>313</v>
      </c>
      <c r="P314" s="183">
        <f t="shared" si="107"/>
        <v>626</v>
      </c>
      <c r="Q314" s="183">
        <f t="shared" si="108"/>
        <v>313</v>
      </c>
      <c r="R314" s="183">
        <f t="shared" si="109"/>
        <v>626</v>
      </c>
      <c r="S314" s="183">
        <f t="shared" si="110"/>
        <v>313</v>
      </c>
      <c r="T314" s="183">
        <f t="shared" si="111"/>
        <v>626</v>
      </c>
      <c r="U314" s="183">
        <f t="shared" si="112"/>
        <v>313</v>
      </c>
      <c r="V314" s="183">
        <f t="shared" si="113"/>
        <v>626</v>
      </c>
      <c r="W314" s="12">
        <f>K314*属性价值参考!C$5+升级!L314*属性价值参考!C$6+升级!M314*属性价值参考!C$7+升级!N314*属性价值参考!C$8+升级!S314*属性价值参考!C$9+升级!T314*属性价值参考!C$10+升级!U314*属性价值参考!C$11+升级!V314*属性价值参考!C$12</f>
        <v>367261.67999999993</v>
      </c>
    </row>
    <row r="315" spans="1:23" x14ac:dyDescent="0.3">
      <c r="A315" s="22"/>
      <c r="B315" s="22"/>
      <c r="C315" s="27">
        <v>314</v>
      </c>
      <c r="D315" s="27" t="str">
        <f t="shared" si="99"/>
        <v>0#1#43960|0#2#1507|0#3#314|0#4#628|0#9#314|0#10#628|0#11#314|0#12#628</v>
      </c>
      <c r="E315" s="27" t="str">
        <f t="shared" si="100"/>
        <v>1#1#7326|1#2#75360|1#3#314|1#4#628|1#9#314|1#10#628|1#11#314|1#12#628</v>
      </c>
      <c r="F315" s="27" t="str">
        <f t="shared" si="101"/>
        <v>2#1#21980|2#2#37680|2#3#314|2#4#628|2#9#314|2#10#628|2#11#314|2#12#628</v>
      </c>
      <c r="G315" s="27" t="str">
        <f t="shared" si="102"/>
        <v>0#1#43960|0#2#1507|0#3#314|0#4#628|0#9#314|0#10#628|0#11#314|0#12#628|1#1#7326|1#2#75360|1#3#314|1#4#628|1#9#314|1#10#628|1#11#314|1#12#628|2#1#21980|2#2#37680|2#3#314|2#4#628|2#9#314|2#10#628|2#11#314|2#12#628</v>
      </c>
      <c r="H315" s="22"/>
      <c r="I315" s="28">
        <v>4200000000</v>
      </c>
      <c r="J315" s="198">
        <v>314</v>
      </c>
      <c r="K315" s="183">
        <f t="shared" si="87"/>
        <v>43960</v>
      </c>
      <c r="L315" s="183">
        <f t="shared" si="103"/>
        <v>75360</v>
      </c>
      <c r="M315" s="183">
        <f t="shared" si="104"/>
        <v>314</v>
      </c>
      <c r="N315" s="183">
        <f t="shared" si="105"/>
        <v>628</v>
      </c>
      <c r="O315" s="183">
        <f t="shared" si="106"/>
        <v>314</v>
      </c>
      <c r="P315" s="183">
        <f t="shared" si="107"/>
        <v>628</v>
      </c>
      <c r="Q315" s="183">
        <f t="shared" si="108"/>
        <v>314</v>
      </c>
      <c r="R315" s="183">
        <f t="shared" si="109"/>
        <v>628</v>
      </c>
      <c r="S315" s="183">
        <f t="shared" si="110"/>
        <v>314</v>
      </c>
      <c r="T315" s="183">
        <f t="shared" si="111"/>
        <v>628</v>
      </c>
      <c r="U315" s="183">
        <f t="shared" si="112"/>
        <v>314</v>
      </c>
      <c r="V315" s="183">
        <f t="shared" si="113"/>
        <v>628</v>
      </c>
      <c r="W315" s="12">
        <f>K315*属性价值参考!C$5+升级!L315*属性价值参考!C$6+升级!M315*属性价值参考!C$7+升级!N315*属性价值参考!C$8+升级!S315*属性价值参考!C$9+升级!T315*属性价值参考!C$10+升级!U315*属性价值参考!C$11+升级!V315*属性价值参考!C$12</f>
        <v>368435.03999999986</v>
      </c>
    </row>
    <row r="316" spans="1:23" x14ac:dyDescent="0.3">
      <c r="A316" s="22"/>
      <c r="B316" s="22"/>
      <c r="C316" s="24">
        <v>315</v>
      </c>
      <c r="D316" s="27" t="str">
        <f t="shared" si="99"/>
        <v>0#1#44100|0#2#1512|0#3#315|0#4#630|0#9#315|0#10#630|0#11#315|0#12#630</v>
      </c>
      <c r="E316" s="27" t="str">
        <f t="shared" si="100"/>
        <v>1#1#7350|1#2#75600|1#3#315|1#4#630|1#9#315|1#10#630|1#11#315|1#12#630</v>
      </c>
      <c r="F316" s="27" t="str">
        <f t="shared" si="101"/>
        <v>2#1#22050|2#2#37800|2#3#315|2#4#630|2#9#315|2#10#630|2#11#315|2#12#630</v>
      </c>
      <c r="G316" s="27" t="str">
        <f t="shared" si="102"/>
        <v>0#1#44100|0#2#1512|0#3#315|0#4#630|0#9#315|0#10#630|0#11#315|0#12#630|1#1#7350|1#2#75600|1#3#315|1#4#630|1#9#315|1#10#630|1#11#315|1#12#630|2#1#22050|2#2#37800|2#3#315|2#4#630|2#9#315|2#10#630|2#11#315|2#12#630</v>
      </c>
      <c r="H316" s="22"/>
      <c r="I316" s="25">
        <v>4200000000</v>
      </c>
      <c r="J316" s="197">
        <v>315</v>
      </c>
      <c r="K316" s="183">
        <f t="shared" si="87"/>
        <v>44100</v>
      </c>
      <c r="L316" s="183">
        <f t="shared" si="103"/>
        <v>75600</v>
      </c>
      <c r="M316" s="183">
        <f t="shared" si="104"/>
        <v>315</v>
      </c>
      <c r="N316" s="183">
        <f t="shared" si="105"/>
        <v>630</v>
      </c>
      <c r="O316" s="183">
        <f t="shared" si="106"/>
        <v>315</v>
      </c>
      <c r="P316" s="183">
        <f t="shared" si="107"/>
        <v>630</v>
      </c>
      <c r="Q316" s="183">
        <f t="shared" si="108"/>
        <v>315</v>
      </c>
      <c r="R316" s="183">
        <f t="shared" si="109"/>
        <v>630</v>
      </c>
      <c r="S316" s="183">
        <f t="shared" si="110"/>
        <v>315</v>
      </c>
      <c r="T316" s="183">
        <f t="shared" si="111"/>
        <v>630</v>
      </c>
      <c r="U316" s="183">
        <f t="shared" si="112"/>
        <v>315</v>
      </c>
      <c r="V316" s="183">
        <f t="shared" si="113"/>
        <v>630</v>
      </c>
      <c r="W316" s="12">
        <f>K316*属性价值参考!C$5+升级!L316*属性价值参考!C$6+升级!M316*属性价值参考!C$7+升级!N316*属性价值参考!C$8+升级!S316*属性价值参考!C$9+升级!T316*属性价值参考!C$10+升级!U316*属性价值参考!C$11+升级!V316*属性价值参考!C$12</f>
        <v>369608.4</v>
      </c>
    </row>
    <row r="317" spans="1:23" x14ac:dyDescent="0.3">
      <c r="A317" s="22"/>
      <c r="B317" s="22"/>
      <c r="C317" s="27">
        <v>316</v>
      </c>
      <c r="D317" s="27" t="str">
        <f t="shared" si="99"/>
        <v>0#1#44240|0#2#1516|0#3#316|0#4#632|0#9#316|0#10#632|0#11#316|0#12#632</v>
      </c>
      <c r="E317" s="27" t="str">
        <f t="shared" si="100"/>
        <v>1#1#7373|1#2#75840|1#3#316|1#4#632|1#9#316|1#10#632|1#11#316|1#12#632</v>
      </c>
      <c r="F317" s="27" t="str">
        <f t="shared" si="101"/>
        <v>2#1#22120|2#2#37920|2#3#316|2#4#632|2#9#316|2#10#632|2#11#316|2#12#632</v>
      </c>
      <c r="G317" s="27" t="str">
        <f t="shared" si="102"/>
        <v>0#1#44240|0#2#1516|0#3#316|0#4#632|0#9#316|0#10#632|0#11#316|0#12#632|1#1#7373|1#2#75840|1#3#316|1#4#632|1#9#316|1#10#632|1#11#316|1#12#632|2#1#22120|2#2#37920|2#3#316|2#4#632|2#9#316|2#10#632|2#11#316|2#12#632</v>
      </c>
      <c r="H317" s="22"/>
      <c r="I317" s="28">
        <v>4200000000</v>
      </c>
      <c r="J317" s="198">
        <v>316</v>
      </c>
      <c r="K317" s="183">
        <f t="shared" ref="K317:K380" si="114">INT(J317/250*K$251)</f>
        <v>44240</v>
      </c>
      <c r="L317" s="183">
        <f t="shared" si="103"/>
        <v>75840</v>
      </c>
      <c r="M317" s="183">
        <f t="shared" si="104"/>
        <v>316</v>
      </c>
      <c r="N317" s="183">
        <f t="shared" si="105"/>
        <v>632</v>
      </c>
      <c r="O317" s="183">
        <f t="shared" si="106"/>
        <v>316</v>
      </c>
      <c r="P317" s="183">
        <f t="shared" si="107"/>
        <v>632</v>
      </c>
      <c r="Q317" s="183">
        <f t="shared" si="108"/>
        <v>316</v>
      </c>
      <c r="R317" s="183">
        <f t="shared" si="109"/>
        <v>632</v>
      </c>
      <c r="S317" s="183">
        <f t="shared" si="110"/>
        <v>316</v>
      </c>
      <c r="T317" s="183">
        <f t="shared" si="111"/>
        <v>632</v>
      </c>
      <c r="U317" s="183">
        <f t="shared" si="112"/>
        <v>316</v>
      </c>
      <c r="V317" s="183">
        <f t="shared" si="113"/>
        <v>632</v>
      </c>
      <c r="W317" s="12">
        <f>K317*属性价值参考!C$5+升级!L317*属性价值参考!C$6+升级!M317*属性价值参考!C$7+升级!N317*属性价值参考!C$8+升级!S317*属性价值参考!C$9+升级!T317*属性价值参考!C$10+升级!U317*属性价值参考!C$11+升级!V317*属性价值参考!C$12</f>
        <v>370781.76000000007</v>
      </c>
    </row>
    <row r="318" spans="1:23" x14ac:dyDescent="0.3">
      <c r="A318" s="22"/>
      <c r="B318" s="22"/>
      <c r="C318" s="24">
        <v>317</v>
      </c>
      <c r="D318" s="27" t="str">
        <f t="shared" si="99"/>
        <v>0#1#44380|0#2#1521|0#3#317|0#4#634|0#9#317|0#10#634|0#11#317|0#12#634</v>
      </c>
      <c r="E318" s="27" t="str">
        <f t="shared" si="100"/>
        <v>1#1#7396|1#2#76080|1#3#317|1#4#634|1#9#317|1#10#634|1#11#317|1#12#634</v>
      </c>
      <c r="F318" s="27" t="str">
        <f t="shared" si="101"/>
        <v>2#1#22190|2#2#38040|2#3#317|2#4#634|2#9#317|2#10#634|2#11#317|2#12#634</v>
      </c>
      <c r="G318" s="27" t="str">
        <f t="shared" si="102"/>
        <v>0#1#44380|0#2#1521|0#3#317|0#4#634|0#9#317|0#10#634|0#11#317|0#12#634|1#1#7396|1#2#76080|1#3#317|1#4#634|1#9#317|1#10#634|1#11#317|1#12#634|2#1#22190|2#2#38040|2#3#317|2#4#634|2#9#317|2#10#634|2#11#317|2#12#634</v>
      </c>
      <c r="H318" s="22"/>
      <c r="I318" s="25">
        <v>4200000000</v>
      </c>
      <c r="J318" s="197">
        <v>317</v>
      </c>
      <c r="K318" s="183">
        <f t="shared" si="114"/>
        <v>44380</v>
      </c>
      <c r="L318" s="183">
        <f t="shared" si="103"/>
        <v>76080</v>
      </c>
      <c r="M318" s="183">
        <f t="shared" si="104"/>
        <v>317</v>
      </c>
      <c r="N318" s="183">
        <f t="shared" si="105"/>
        <v>634</v>
      </c>
      <c r="O318" s="183">
        <f t="shared" si="106"/>
        <v>317</v>
      </c>
      <c r="P318" s="183">
        <f t="shared" si="107"/>
        <v>634</v>
      </c>
      <c r="Q318" s="183">
        <f t="shared" si="108"/>
        <v>317</v>
      </c>
      <c r="R318" s="183">
        <f t="shared" si="109"/>
        <v>634</v>
      </c>
      <c r="S318" s="183">
        <f t="shared" si="110"/>
        <v>317</v>
      </c>
      <c r="T318" s="183">
        <f t="shared" si="111"/>
        <v>634</v>
      </c>
      <c r="U318" s="183">
        <f t="shared" si="112"/>
        <v>317</v>
      </c>
      <c r="V318" s="183">
        <f t="shared" si="113"/>
        <v>634</v>
      </c>
      <c r="W318" s="12">
        <f>K318*属性价值参考!C$5+升级!L318*属性价值参考!C$6+升级!M318*属性价值参考!C$7+升级!N318*属性价值参考!C$8+升级!S318*属性价值参考!C$9+升级!T318*属性价值参考!C$10+升级!U318*属性价值参考!C$11+升级!V318*属性价值参考!C$12</f>
        <v>371955.12000000005</v>
      </c>
    </row>
    <row r="319" spans="1:23" x14ac:dyDescent="0.3">
      <c r="A319" s="22"/>
      <c r="B319" s="22"/>
      <c r="C319" s="27">
        <v>318</v>
      </c>
      <c r="D319" s="27" t="str">
        <f t="shared" si="99"/>
        <v>0#1#44520|0#2#1526|0#3#318|0#4#636|0#9#318|0#10#636|0#11#318|0#12#636</v>
      </c>
      <c r="E319" s="27" t="str">
        <f t="shared" si="100"/>
        <v>1#1#7420|1#2#76320|1#3#318|1#4#636|1#9#318|1#10#636|1#11#318|1#12#636</v>
      </c>
      <c r="F319" s="27" t="str">
        <f t="shared" si="101"/>
        <v>2#1#22260|2#2#38160|2#3#318|2#4#636|2#9#318|2#10#636|2#11#318|2#12#636</v>
      </c>
      <c r="G319" s="27" t="str">
        <f t="shared" si="102"/>
        <v>0#1#44520|0#2#1526|0#3#318|0#4#636|0#9#318|0#10#636|0#11#318|0#12#636|1#1#7420|1#2#76320|1#3#318|1#4#636|1#9#318|1#10#636|1#11#318|1#12#636|2#1#22260|2#2#38160|2#3#318|2#4#636|2#9#318|2#10#636|2#11#318|2#12#636</v>
      </c>
      <c r="H319" s="22"/>
      <c r="I319" s="28">
        <v>4200000000</v>
      </c>
      <c r="J319" s="198">
        <v>318</v>
      </c>
      <c r="K319" s="183">
        <f t="shared" si="114"/>
        <v>44520</v>
      </c>
      <c r="L319" s="183">
        <f t="shared" si="103"/>
        <v>76320</v>
      </c>
      <c r="M319" s="183">
        <f t="shared" si="104"/>
        <v>318</v>
      </c>
      <c r="N319" s="183">
        <f t="shared" si="105"/>
        <v>636</v>
      </c>
      <c r="O319" s="183">
        <f t="shared" si="106"/>
        <v>318</v>
      </c>
      <c r="P319" s="183">
        <f t="shared" si="107"/>
        <v>636</v>
      </c>
      <c r="Q319" s="183">
        <f t="shared" si="108"/>
        <v>318</v>
      </c>
      <c r="R319" s="183">
        <f t="shared" si="109"/>
        <v>636</v>
      </c>
      <c r="S319" s="183">
        <f t="shared" si="110"/>
        <v>318</v>
      </c>
      <c r="T319" s="183">
        <f t="shared" si="111"/>
        <v>636</v>
      </c>
      <c r="U319" s="183">
        <f t="shared" si="112"/>
        <v>318</v>
      </c>
      <c r="V319" s="183">
        <f t="shared" si="113"/>
        <v>636</v>
      </c>
      <c r="W319" s="12">
        <f>K319*属性价值参考!C$5+升级!L319*属性价值参考!C$6+升级!M319*属性价值参考!C$7+升级!N319*属性价值参考!C$8+升级!S319*属性价值参考!C$9+升级!T319*属性价值参考!C$10+升级!U319*属性价值参考!C$11+升级!V319*属性价值参考!C$12</f>
        <v>373128.47999999992</v>
      </c>
    </row>
    <row r="320" spans="1:23" x14ac:dyDescent="0.3">
      <c r="A320" s="22"/>
      <c r="B320" s="22"/>
      <c r="C320" s="24">
        <v>319</v>
      </c>
      <c r="D320" s="27" t="str">
        <f t="shared" si="99"/>
        <v>0#1#44660|0#2#1531|0#3#319|0#4#638|0#9#319|0#10#638|0#11#319|0#12#638</v>
      </c>
      <c r="E320" s="27" t="str">
        <f t="shared" si="100"/>
        <v>1#1#7443|1#2#76560|1#3#319|1#4#638|1#9#319|1#10#638|1#11#319|1#12#638</v>
      </c>
      <c r="F320" s="27" t="str">
        <f t="shared" si="101"/>
        <v>2#1#22330|2#2#38280|2#3#319|2#4#638|2#9#319|2#10#638|2#11#319|2#12#638</v>
      </c>
      <c r="G320" s="27" t="str">
        <f t="shared" si="102"/>
        <v>0#1#44660|0#2#1531|0#3#319|0#4#638|0#9#319|0#10#638|0#11#319|0#12#638|1#1#7443|1#2#76560|1#3#319|1#4#638|1#9#319|1#10#638|1#11#319|1#12#638|2#1#22330|2#2#38280|2#3#319|2#4#638|2#9#319|2#10#638|2#11#319|2#12#638</v>
      </c>
      <c r="H320" s="22"/>
      <c r="I320" s="25">
        <v>4200000000</v>
      </c>
      <c r="J320" s="197">
        <v>319</v>
      </c>
      <c r="K320" s="183">
        <f t="shared" si="114"/>
        <v>44660</v>
      </c>
      <c r="L320" s="183">
        <f t="shared" si="103"/>
        <v>76560</v>
      </c>
      <c r="M320" s="183">
        <f t="shared" si="104"/>
        <v>319</v>
      </c>
      <c r="N320" s="183">
        <f t="shared" si="105"/>
        <v>638</v>
      </c>
      <c r="O320" s="183">
        <f t="shared" si="106"/>
        <v>319</v>
      </c>
      <c r="P320" s="183">
        <f t="shared" si="107"/>
        <v>638</v>
      </c>
      <c r="Q320" s="183">
        <f t="shared" si="108"/>
        <v>319</v>
      </c>
      <c r="R320" s="183">
        <f t="shared" si="109"/>
        <v>638</v>
      </c>
      <c r="S320" s="183">
        <f t="shared" si="110"/>
        <v>319</v>
      </c>
      <c r="T320" s="183">
        <f t="shared" si="111"/>
        <v>638</v>
      </c>
      <c r="U320" s="183">
        <f t="shared" si="112"/>
        <v>319</v>
      </c>
      <c r="V320" s="183">
        <f t="shared" si="113"/>
        <v>638</v>
      </c>
      <c r="W320" s="12">
        <f>K320*属性价值参考!C$5+升级!L320*属性价值参考!C$6+升级!M320*属性价值参考!C$7+升级!N320*属性价值参考!C$8+升级!S320*属性价值参考!C$9+升级!T320*属性价值参考!C$10+升级!U320*属性价值参考!C$11+升级!V320*属性价值参考!C$12</f>
        <v>374301.83999999991</v>
      </c>
    </row>
    <row r="321" spans="1:23" x14ac:dyDescent="0.3">
      <c r="A321" s="22"/>
      <c r="B321" s="22"/>
      <c r="C321" s="27">
        <v>320</v>
      </c>
      <c r="D321" s="27" t="str">
        <f t="shared" si="99"/>
        <v>0#1#44800|0#2#1536|0#3#320|0#4#640|0#9#320|0#10#640|0#11#320|0#12#640</v>
      </c>
      <c r="E321" s="27" t="str">
        <f t="shared" si="100"/>
        <v>1#1#7466|1#2#76800|1#3#320|1#4#640|1#9#320|1#10#640|1#11#320|1#12#640</v>
      </c>
      <c r="F321" s="27" t="str">
        <f t="shared" si="101"/>
        <v>2#1#22400|2#2#38400|2#3#320|2#4#640|2#9#320|2#10#640|2#11#320|2#12#640</v>
      </c>
      <c r="G321" s="27" t="str">
        <f t="shared" si="102"/>
        <v>0#1#44800|0#2#1536|0#3#320|0#4#640|0#9#320|0#10#640|0#11#320|0#12#640|1#1#7466|1#2#76800|1#3#320|1#4#640|1#9#320|1#10#640|1#11#320|1#12#640|2#1#22400|2#2#38400|2#3#320|2#4#640|2#9#320|2#10#640|2#11#320|2#12#640</v>
      </c>
      <c r="H321" s="22"/>
      <c r="I321" s="28">
        <v>4200000000</v>
      </c>
      <c r="J321" s="198">
        <v>320</v>
      </c>
      <c r="K321" s="183">
        <f t="shared" si="114"/>
        <v>44800</v>
      </c>
      <c r="L321" s="183">
        <f t="shared" si="103"/>
        <v>76800</v>
      </c>
      <c r="M321" s="183">
        <f t="shared" si="104"/>
        <v>320</v>
      </c>
      <c r="N321" s="183">
        <f t="shared" si="105"/>
        <v>640</v>
      </c>
      <c r="O321" s="183">
        <f t="shared" si="106"/>
        <v>320</v>
      </c>
      <c r="P321" s="183">
        <f t="shared" si="107"/>
        <v>640</v>
      </c>
      <c r="Q321" s="183">
        <f t="shared" si="108"/>
        <v>320</v>
      </c>
      <c r="R321" s="183">
        <f t="shared" si="109"/>
        <v>640</v>
      </c>
      <c r="S321" s="183">
        <f t="shared" si="110"/>
        <v>320</v>
      </c>
      <c r="T321" s="183">
        <f t="shared" si="111"/>
        <v>640</v>
      </c>
      <c r="U321" s="183">
        <f t="shared" si="112"/>
        <v>320</v>
      </c>
      <c r="V321" s="183">
        <f t="shared" si="113"/>
        <v>640</v>
      </c>
      <c r="W321" s="12">
        <f>K321*属性价值参考!C$5+升级!L321*属性价值参考!C$6+升级!M321*属性价值参考!C$7+升级!N321*属性价值参考!C$8+升级!S321*属性价值参考!C$9+升级!T321*属性价值参考!C$10+升级!U321*属性价值参考!C$11+升级!V321*属性价值参考!C$12</f>
        <v>375475.20000000001</v>
      </c>
    </row>
    <row r="322" spans="1:23" x14ac:dyDescent="0.3">
      <c r="A322" s="22"/>
      <c r="B322" s="22"/>
      <c r="C322" s="24">
        <v>321</v>
      </c>
      <c r="D322" s="27" t="str">
        <f t="shared" ref="D322:D385" si="115">"0#1#"&amp;INT(K322)&amp;"|"&amp;"0#2#"&amp;INT(0.02*L322)&amp;"|"&amp;"0#3#"&amp;INT(M322)&amp;"|"&amp;"0#4#"&amp;INT(N322)&amp;"|"&amp;"0#9#"&amp;INT(S322)&amp;"|"&amp;"0#10#"&amp;INT(T322)&amp;"|"&amp;"0#11#"&amp;INT(U322)&amp;"|"&amp;"0#12#"&amp;INT(V322)</f>
        <v>0#1#44940|0#2#1540|0#3#321|0#4#642|0#9#321|0#10#642|0#11#321|0#12#642</v>
      </c>
      <c r="E322" s="27" t="str">
        <f t="shared" ref="E322:E385" si="116">"1#1#"&amp;INT(1/6*K322)&amp;"|"&amp;"1#2#"&amp;INT(L322)&amp;"|"&amp;"1#3#"&amp;INT(O322)&amp;"|"&amp;"1#4#"&amp;INT(P322)&amp;"|"&amp;"1#9#"&amp;INT(S322)&amp;"|"&amp;"1#10#"&amp;INT(T322)&amp;"|"&amp;"1#11#"&amp;INT(U322)&amp;"|"&amp;"1#12#"&amp;INT(V322)</f>
        <v>1#1#7490|1#2#77040|1#3#321|1#4#642|1#9#321|1#10#642|1#11#321|1#12#642</v>
      </c>
      <c r="F322" s="27" t="str">
        <f t="shared" ref="F322:F385" si="117">"2#1#"&amp;INT(1/2*K322)&amp;"|"&amp;"2#2#"&amp;INT(1/2*L322)&amp;"|"&amp;"2#3#"&amp;INT(Q322)&amp;"|"&amp;"2#4#"&amp;INT(R322)&amp;"|"&amp;"2#9#"&amp;INT(S322)&amp;"|"&amp;"2#10#"&amp;INT(T322)&amp;"|"&amp;"2#11#"&amp;INT(U322)&amp;"|"&amp;"2#12#"&amp;INT(V322)</f>
        <v>2#1#22470|2#2#38520|2#3#321|2#4#642|2#9#321|2#10#642|2#11#321|2#12#642</v>
      </c>
      <c r="G322" s="27" t="str">
        <f t="shared" si="102"/>
        <v>0#1#44940|0#2#1540|0#3#321|0#4#642|0#9#321|0#10#642|0#11#321|0#12#642|1#1#7490|1#2#77040|1#3#321|1#4#642|1#9#321|1#10#642|1#11#321|1#12#642|2#1#22470|2#2#38520|2#3#321|2#4#642|2#9#321|2#10#642|2#11#321|2#12#642</v>
      </c>
      <c r="H322" s="22"/>
      <c r="I322" s="25">
        <v>4200000000</v>
      </c>
      <c r="J322" s="197">
        <v>321</v>
      </c>
      <c r="K322" s="183">
        <f t="shared" si="114"/>
        <v>44940</v>
      </c>
      <c r="L322" s="183">
        <f t="shared" si="103"/>
        <v>77040</v>
      </c>
      <c r="M322" s="183">
        <f t="shared" si="104"/>
        <v>321</v>
      </c>
      <c r="N322" s="183">
        <f t="shared" si="105"/>
        <v>642</v>
      </c>
      <c r="O322" s="183">
        <f t="shared" si="106"/>
        <v>321</v>
      </c>
      <c r="P322" s="183">
        <f t="shared" si="107"/>
        <v>642</v>
      </c>
      <c r="Q322" s="183">
        <f t="shared" si="108"/>
        <v>321</v>
      </c>
      <c r="R322" s="183">
        <f t="shared" si="109"/>
        <v>642</v>
      </c>
      <c r="S322" s="183">
        <f t="shared" si="110"/>
        <v>321</v>
      </c>
      <c r="T322" s="183">
        <f t="shared" si="111"/>
        <v>642</v>
      </c>
      <c r="U322" s="183">
        <f t="shared" si="112"/>
        <v>321</v>
      </c>
      <c r="V322" s="183">
        <f t="shared" si="113"/>
        <v>642</v>
      </c>
      <c r="W322" s="12">
        <f>K322*属性价值参考!C$5+升级!L322*属性价值参考!C$6+升级!M322*属性价值参考!C$7+升级!N322*属性价值参考!C$8+升级!S322*属性价值参考!C$9+升级!T322*属性价值参考!C$10+升级!U322*属性价值参考!C$11+升级!V322*属性价值参考!C$12</f>
        <v>376648.56000000011</v>
      </c>
    </row>
    <row r="323" spans="1:23" x14ac:dyDescent="0.3">
      <c r="A323" s="22"/>
      <c r="B323" s="22"/>
      <c r="C323" s="27">
        <v>322</v>
      </c>
      <c r="D323" s="27" t="str">
        <f t="shared" si="115"/>
        <v>0#1#45080|0#2#1545|0#3#322|0#4#644|0#9#322|0#10#644|0#11#322|0#12#644</v>
      </c>
      <c r="E323" s="27" t="str">
        <f t="shared" si="116"/>
        <v>1#1#7513|1#2#77280|1#3#322|1#4#644|1#9#322|1#10#644|1#11#322|1#12#644</v>
      </c>
      <c r="F323" s="27" t="str">
        <f t="shared" si="117"/>
        <v>2#1#22540|2#2#38640|2#3#322|2#4#644|2#9#322|2#10#644|2#11#322|2#12#644</v>
      </c>
      <c r="G323" s="27" t="str">
        <f t="shared" ref="G323:G386" si="118">D323&amp;"|"&amp;E323&amp;"|"&amp;F323</f>
        <v>0#1#45080|0#2#1545|0#3#322|0#4#644|0#9#322|0#10#644|0#11#322|0#12#644|1#1#7513|1#2#77280|1#3#322|1#4#644|1#9#322|1#10#644|1#11#322|1#12#644|2#1#22540|2#2#38640|2#3#322|2#4#644|2#9#322|2#10#644|2#11#322|2#12#644</v>
      </c>
      <c r="H323" s="22"/>
      <c r="I323" s="28">
        <v>4200000000</v>
      </c>
      <c r="J323" s="198">
        <v>322</v>
      </c>
      <c r="K323" s="183">
        <f t="shared" si="114"/>
        <v>45080</v>
      </c>
      <c r="L323" s="183">
        <f t="shared" ref="L323:L386" si="119">INT(J323/250*L$251)</f>
        <v>77280</v>
      </c>
      <c r="M323" s="183">
        <f t="shared" ref="M323:M386" si="120">INT(J323/250*M$251)</f>
        <v>322</v>
      </c>
      <c r="N323" s="183">
        <f t="shared" ref="N323:N386" si="121">INT(J323/250*N$251)</f>
        <v>644</v>
      </c>
      <c r="O323" s="183">
        <f t="shared" ref="O323:O386" si="122">INT(J323/250*O$251)</f>
        <v>322</v>
      </c>
      <c r="P323" s="183">
        <f t="shared" ref="P323:P386" si="123">INT(J323/250*P$251)</f>
        <v>644</v>
      </c>
      <c r="Q323" s="183">
        <f t="shared" ref="Q323:Q386" si="124">INT(J323/250*Q$251)</f>
        <v>322</v>
      </c>
      <c r="R323" s="183">
        <f t="shared" ref="R323:R386" si="125">INT(J323/250*R$251)</f>
        <v>644</v>
      </c>
      <c r="S323" s="183">
        <f t="shared" ref="S323:S386" si="126">INT(J323/250*S$251)</f>
        <v>322</v>
      </c>
      <c r="T323" s="183">
        <f t="shared" ref="T323:T386" si="127">INT(J323/250*T$251)</f>
        <v>644</v>
      </c>
      <c r="U323" s="183">
        <f t="shared" ref="U323:U386" si="128">INT(J323/250*U$251)</f>
        <v>322</v>
      </c>
      <c r="V323" s="183">
        <f t="shared" ref="V323:V386" si="129">INT(J323/250*V$251)</f>
        <v>644</v>
      </c>
      <c r="W323" s="12">
        <f>K323*属性价值参考!C$5+升级!L323*属性价值参考!C$6+升级!M323*属性价值参考!C$7+升级!N323*属性价值参考!C$8+升级!S323*属性价值参考!C$9+升级!T323*属性价值参考!C$10+升级!U323*属性价值参考!C$11+升级!V323*属性价值参考!C$12</f>
        <v>377821.92000000004</v>
      </c>
    </row>
    <row r="324" spans="1:23" x14ac:dyDescent="0.3">
      <c r="A324" s="22"/>
      <c r="B324" s="22"/>
      <c r="C324" s="24">
        <v>323</v>
      </c>
      <c r="D324" s="27" t="str">
        <f t="shared" si="115"/>
        <v>0#1#45220|0#2#1550|0#3#323|0#4#646|0#9#323|0#10#646|0#11#323|0#12#646</v>
      </c>
      <c r="E324" s="27" t="str">
        <f t="shared" si="116"/>
        <v>1#1#7536|1#2#77520|1#3#323|1#4#646|1#9#323|1#10#646|1#11#323|1#12#646</v>
      </c>
      <c r="F324" s="27" t="str">
        <f t="shared" si="117"/>
        <v>2#1#22610|2#2#38760|2#3#323|2#4#646|2#9#323|2#10#646|2#11#323|2#12#646</v>
      </c>
      <c r="G324" s="27" t="str">
        <f t="shared" si="118"/>
        <v>0#1#45220|0#2#1550|0#3#323|0#4#646|0#9#323|0#10#646|0#11#323|0#12#646|1#1#7536|1#2#77520|1#3#323|1#4#646|1#9#323|1#10#646|1#11#323|1#12#646|2#1#22610|2#2#38760|2#3#323|2#4#646|2#9#323|2#10#646|2#11#323|2#12#646</v>
      </c>
      <c r="H324" s="22"/>
      <c r="I324" s="25">
        <v>4200000000</v>
      </c>
      <c r="J324" s="197">
        <v>323</v>
      </c>
      <c r="K324" s="183">
        <f t="shared" si="114"/>
        <v>45220</v>
      </c>
      <c r="L324" s="183">
        <f t="shared" si="119"/>
        <v>77520</v>
      </c>
      <c r="M324" s="183">
        <f t="shared" si="120"/>
        <v>323</v>
      </c>
      <c r="N324" s="183">
        <f t="shared" si="121"/>
        <v>646</v>
      </c>
      <c r="O324" s="183">
        <f t="shared" si="122"/>
        <v>323</v>
      </c>
      <c r="P324" s="183">
        <f t="shared" si="123"/>
        <v>646</v>
      </c>
      <c r="Q324" s="183">
        <f t="shared" si="124"/>
        <v>323</v>
      </c>
      <c r="R324" s="183">
        <f t="shared" si="125"/>
        <v>646</v>
      </c>
      <c r="S324" s="183">
        <f t="shared" si="126"/>
        <v>323</v>
      </c>
      <c r="T324" s="183">
        <f t="shared" si="127"/>
        <v>646</v>
      </c>
      <c r="U324" s="183">
        <f t="shared" si="128"/>
        <v>323</v>
      </c>
      <c r="V324" s="183">
        <f t="shared" si="129"/>
        <v>646</v>
      </c>
      <c r="W324" s="12">
        <f>K324*属性价值参考!C$5+升级!L324*属性价值参考!C$6+升级!M324*属性价值参考!C$7+升级!N324*属性价值参考!C$8+升级!S324*属性价值参考!C$9+升级!T324*属性价值参考!C$10+升级!U324*属性价值参考!C$11+升级!V324*属性价值参考!C$12</f>
        <v>378995.27999999997</v>
      </c>
    </row>
    <row r="325" spans="1:23" x14ac:dyDescent="0.3">
      <c r="A325" s="22"/>
      <c r="B325" s="22"/>
      <c r="C325" s="27">
        <v>324</v>
      </c>
      <c r="D325" s="27" t="str">
        <f t="shared" si="115"/>
        <v>0#1#45360|0#2#1555|0#3#324|0#4#648|0#9#324|0#10#648|0#11#324|0#12#648</v>
      </c>
      <c r="E325" s="27" t="str">
        <f t="shared" si="116"/>
        <v>1#1#7560|1#2#77760|1#3#324|1#4#648|1#9#324|1#10#648|1#11#324|1#12#648</v>
      </c>
      <c r="F325" s="27" t="str">
        <f t="shared" si="117"/>
        <v>2#1#22680|2#2#38880|2#3#324|2#4#648|2#9#324|2#10#648|2#11#324|2#12#648</v>
      </c>
      <c r="G325" s="27" t="str">
        <f t="shared" si="118"/>
        <v>0#1#45360|0#2#1555|0#3#324|0#4#648|0#9#324|0#10#648|0#11#324|0#12#648|1#1#7560|1#2#77760|1#3#324|1#4#648|1#9#324|1#10#648|1#11#324|1#12#648|2#1#22680|2#2#38880|2#3#324|2#4#648|2#9#324|2#10#648|2#11#324|2#12#648</v>
      </c>
      <c r="H325" s="22"/>
      <c r="I325" s="28">
        <v>4200000000</v>
      </c>
      <c r="J325" s="198">
        <v>324</v>
      </c>
      <c r="K325" s="183">
        <f t="shared" si="114"/>
        <v>45360</v>
      </c>
      <c r="L325" s="183">
        <f t="shared" si="119"/>
        <v>77760</v>
      </c>
      <c r="M325" s="183">
        <f t="shared" si="120"/>
        <v>324</v>
      </c>
      <c r="N325" s="183">
        <f t="shared" si="121"/>
        <v>648</v>
      </c>
      <c r="O325" s="183">
        <f t="shared" si="122"/>
        <v>324</v>
      </c>
      <c r="P325" s="183">
        <f t="shared" si="123"/>
        <v>648</v>
      </c>
      <c r="Q325" s="183">
        <f t="shared" si="124"/>
        <v>324</v>
      </c>
      <c r="R325" s="183">
        <f t="shared" si="125"/>
        <v>648</v>
      </c>
      <c r="S325" s="183">
        <f t="shared" si="126"/>
        <v>324</v>
      </c>
      <c r="T325" s="183">
        <f t="shared" si="127"/>
        <v>648</v>
      </c>
      <c r="U325" s="183">
        <f t="shared" si="128"/>
        <v>324</v>
      </c>
      <c r="V325" s="183">
        <f t="shared" si="129"/>
        <v>648</v>
      </c>
      <c r="W325" s="12">
        <f>K325*属性价值参考!C$5+升级!L325*属性价值参考!C$6+升级!M325*属性价值参考!C$7+升级!N325*属性价值参考!C$8+升级!S325*属性价值参考!C$9+升级!T325*属性价值参考!C$10+升级!U325*属性价值参考!C$11+升级!V325*属性价值参考!C$12</f>
        <v>380168.6399999999</v>
      </c>
    </row>
    <row r="326" spans="1:23" x14ac:dyDescent="0.3">
      <c r="A326" s="22"/>
      <c r="B326" s="22"/>
      <c r="C326" s="24">
        <v>325</v>
      </c>
      <c r="D326" s="27" t="str">
        <f t="shared" si="115"/>
        <v>0#1#45500|0#2#1560|0#3#325|0#4#650|0#9#325|0#10#650|0#11#325|0#12#650</v>
      </c>
      <c r="E326" s="27" t="str">
        <f t="shared" si="116"/>
        <v>1#1#7583|1#2#78000|1#3#325|1#4#650|1#9#325|1#10#650|1#11#325|1#12#650</v>
      </c>
      <c r="F326" s="27" t="str">
        <f t="shared" si="117"/>
        <v>2#1#22750|2#2#39000|2#3#325|2#4#650|2#9#325|2#10#650|2#11#325|2#12#650</v>
      </c>
      <c r="G326" s="27" t="str">
        <f t="shared" si="118"/>
        <v>0#1#45500|0#2#1560|0#3#325|0#4#650|0#9#325|0#10#650|0#11#325|0#12#650|1#1#7583|1#2#78000|1#3#325|1#4#650|1#9#325|1#10#650|1#11#325|1#12#650|2#1#22750|2#2#39000|2#3#325|2#4#650|2#9#325|2#10#650|2#11#325|2#12#650</v>
      </c>
      <c r="H326" s="22"/>
      <c r="I326" s="25">
        <v>4200000000</v>
      </c>
      <c r="J326" s="197">
        <v>325</v>
      </c>
      <c r="K326" s="183">
        <f t="shared" si="114"/>
        <v>45500</v>
      </c>
      <c r="L326" s="183">
        <f t="shared" si="119"/>
        <v>78000</v>
      </c>
      <c r="M326" s="183">
        <f t="shared" si="120"/>
        <v>325</v>
      </c>
      <c r="N326" s="183">
        <f t="shared" si="121"/>
        <v>650</v>
      </c>
      <c r="O326" s="183">
        <f t="shared" si="122"/>
        <v>325</v>
      </c>
      <c r="P326" s="183">
        <f t="shared" si="123"/>
        <v>650</v>
      </c>
      <c r="Q326" s="183">
        <f t="shared" si="124"/>
        <v>325</v>
      </c>
      <c r="R326" s="183">
        <f t="shared" si="125"/>
        <v>650</v>
      </c>
      <c r="S326" s="183">
        <f t="shared" si="126"/>
        <v>325</v>
      </c>
      <c r="T326" s="183">
        <f t="shared" si="127"/>
        <v>650</v>
      </c>
      <c r="U326" s="183">
        <f t="shared" si="128"/>
        <v>325</v>
      </c>
      <c r="V326" s="183">
        <f t="shared" si="129"/>
        <v>650</v>
      </c>
      <c r="W326" s="12">
        <f>K326*属性价值参考!C$5+升级!L326*属性价值参考!C$6+升级!M326*属性价值参考!C$7+升级!N326*属性价值参考!C$8+升级!S326*属性价值参考!C$9+升级!T326*属性价值参考!C$10+升级!U326*属性价值参考!C$11+升级!V326*属性价值参考!C$12</f>
        <v>381342</v>
      </c>
    </row>
    <row r="327" spans="1:23" x14ac:dyDescent="0.3">
      <c r="A327" s="22"/>
      <c r="B327" s="22"/>
      <c r="C327" s="27">
        <v>326</v>
      </c>
      <c r="D327" s="27" t="str">
        <f t="shared" si="115"/>
        <v>0#1#45640|0#2#1564|0#3#326|0#4#652|0#9#326|0#10#652|0#11#326|0#12#652</v>
      </c>
      <c r="E327" s="27" t="str">
        <f t="shared" si="116"/>
        <v>1#1#7606|1#2#78240|1#3#326|1#4#652|1#9#326|1#10#652|1#11#326|1#12#652</v>
      </c>
      <c r="F327" s="27" t="str">
        <f t="shared" si="117"/>
        <v>2#1#22820|2#2#39120|2#3#326|2#4#652|2#9#326|2#10#652|2#11#326|2#12#652</v>
      </c>
      <c r="G327" s="27" t="str">
        <f t="shared" si="118"/>
        <v>0#1#45640|0#2#1564|0#3#326|0#4#652|0#9#326|0#10#652|0#11#326|0#12#652|1#1#7606|1#2#78240|1#3#326|1#4#652|1#9#326|1#10#652|1#11#326|1#12#652|2#1#22820|2#2#39120|2#3#326|2#4#652|2#9#326|2#10#652|2#11#326|2#12#652</v>
      </c>
      <c r="H327" s="22"/>
      <c r="I327" s="28">
        <v>4200000000</v>
      </c>
      <c r="J327" s="198">
        <v>326</v>
      </c>
      <c r="K327" s="183">
        <f t="shared" si="114"/>
        <v>45640</v>
      </c>
      <c r="L327" s="183">
        <f t="shared" si="119"/>
        <v>78240</v>
      </c>
      <c r="M327" s="183">
        <f t="shared" si="120"/>
        <v>326</v>
      </c>
      <c r="N327" s="183">
        <f t="shared" si="121"/>
        <v>652</v>
      </c>
      <c r="O327" s="183">
        <f t="shared" si="122"/>
        <v>326</v>
      </c>
      <c r="P327" s="183">
        <f t="shared" si="123"/>
        <v>652</v>
      </c>
      <c r="Q327" s="183">
        <f t="shared" si="124"/>
        <v>326</v>
      </c>
      <c r="R327" s="183">
        <f t="shared" si="125"/>
        <v>652</v>
      </c>
      <c r="S327" s="183">
        <f t="shared" si="126"/>
        <v>326</v>
      </c>
      <c r="T327" s="183">
        <f t="shared" si="127"/>
        <v>652</v>
      </c>
      <c r="U327" s="183">
        <f t="shared" si="128"/>
        <v>326</v>
      </c>
      <c r="V327" s="183">
        <f t="shared" si="129"/>
        <v>652</v>
      </c>
      <c r="W327" s="12">
        <f>K327*属性价值参考!C$5+升级!L327*属性价值参考!C$6+升级!M327*属性价值参考!C$7+升级!N327*属性价值参考!C$8+升级!S327*属性价值参考!C$9+升级!T327*属性价值参考!C$10+升级!U327*属性价值参考!C$11+升级!V327*属性价值参考!C$12</f>
        <v>382515.3600000001</v>
      </c>
    </row>
    <row r="328" spans="1:23" x14ac:dyDescent="0.3">
      <c r="A328" s="22"/>
      <c r="B328" s="22"/>
      <c r="C328" s="24">
        <v>327</v>
      </c>
      <c r="D328" s="27" t="str">
        <f t="shared" si="115"/>
        <v>0#1#45780|0#2#1569|0#3#327|0#4#654|0#9#327|0#10#654|0#11#327|0#12#654</v>
      </c>
      <c r="E328" s="27" t="str">
        <f t="shared" si="116"/>
        <v>1#1#7630|1#2#78480|1#3#327|1#4#654|1#9#327|1#10#654|1#11#327|1#12#654</v>
      </c>
      <c r="F328" s="27" t="str">
        <f t="shared" si="117"/>
        <v>2#1#22890|2#2#39240|2#3#327|2#4#654|2#9#327|2#10#654|2#11#327|2#12#654</v>
      </c>
      <c r="G328" s="27" t="str">
        <f t="shared" si="118"/>
        <v>0#1#45780|0#2#1569|0#3#327|0#4#654|0#9#327|0#10#654|0#11#327|0#12#654|1#1#7630|1#2#78480|1#3#327|1#4#654|1#9#327|1#10#654|1#11#327|1#12#654|2#1#22890|2#2#39240|2#3#327|2#4#654|2#9#327|2#10#654|2#11#327|2#12#654</v>
      </c>
      <c r="H328" s="22"/>
      <c r="I328" s="25">
        <v>4200000000</v>
      </c>
      <c r="J328" s="197">
        <v>327</v>
      </c>
      <c r="K328" s="183">
        <f t="shared" si="114"/>
        <v>45780</v>
      </c>
      <c r="L328" s="183">
        <f t="shared" si="119"/>
        <v>78480</v>
      </c>
      <c r="M328" s="183">
        <f t="shared" si="120"/>
        <v>327</v>
      </c>
      <c r="N328" s="183">
        <f t="shared" si="121"/>
        <v>654</v>
      </c>
      <c r="O328" s="183">
        <f t="shared" si="122"/>
        <v>327</v>
      </c>
      <c r="P328" s="183">
        <f t="shared" si="123"/>
        <v>654</v>
      </c>
      <c r="Q328" s="183">
        <f t="shared" si="124"/>
        <v>327</v>
      </c>
      <c r="R328" s="183">
        <f t="shared" si="125"/>
        <v>654</v>
      </c>
      <c r="S328" s="183">
        <f t="shared" si="126"/>
        <v>327</v>
      </c>
      <c r="T328" s="183">
        <f t="shared" si="127"/>
        <v>654</v>
      </c>
      <c r="U328" s="183">
        <f t="shared" si="128"/>
        <v>327</v>
      </c>
      <c r="V328" s="183">
        <f t="shared" si="129"/>
        <v>654</v>
      </c>
      <c r="W328" s="12">
        <f>K328*属性价值参考!C$5+升级!L328*属性价值参考!C$6+升级!M328*属性价值参考!C$7+升级!N328*属性价值参考!C$8+升级!S328*属性价值参考!C$9+升级!T328*属性价值参考!C$10+升级!U328*属性价值参考!C$11+升级!V328*属性价值参考!C$12</f>
        <v>383688.72000000003</v>
      </c>
    </row>
    <row r="329" spans="1:23" x14ac:dyDescent="0.3">
      <c r="A329" s="22"/>
      <c r="B329" s="22"/>
      <c r="C329" s="27">
        <v>328</v>
      </c>
      <c r="D329" s="27" t="str">
        <f t="shared" si="115"/>
        <v>0#1#45920|0#2#1574|0#3#328|0#4#656|0#9#328|0#10#656|0#11#328|0#12#656</v>
      </c>
      <c r="E329" s="27" t="str">
        <f t="shared" si="116"/>
        <v>1#1#7653|1#2#78720|1#3#328|1#4#656|1#9#328|1#10#656|1#11#328|1#12#656</v>
      </c>
      <c r="F329" s="27" t="str">
        <f t="shared" si="117"/>
        <v>2#1#22960|2#2#39360|2#3#328|2#4#656|2#9#328|2#10#656|2#11#328|2#12#656</v>
      </c>
      <c r="G329" s="27" t="str">
        <f t="shared" si="118"/>
        <v>0#1#45920|0#2#1574|0#3#328|0#4#656|0#9#328|0#10#656|0#11#328|0#12#656|1#1#7653|1#2#78720|1#3#328|1#4#656|1#9#328|1#10#656|1#11#328|1#12#656|2#1#22960|2#2#39360|2#3#328|2#4#656|2#9#328|2#10#656|2#11#328|2#12#656</v>
      </c>
      <c r="H329" s="22"/>
      <c r="I329" s="28">
        <v>4200000000</v>
      </c>
      <c r="J329" s="198">
        <v>328</v>
      </c>
      <c r="K329" s="183">
        <f t="shared" si="114"/>
        <v>45920</v>
      </c>
      <c r="L329" s="183">
        <f t="shared" si="119"/>
        <v>78720</v>
      </c>
      <c r="M329" s="183">
        <f t="shared" si="120"/>
        <v>328</v>
      </c>
      <c r="N329" s="183">
        <f t="shared" si="121"/>
        <v>656</v>
      </c>
      <c r="O329" s="183">
        <f t="shared" si="122"/>
        <v>328</v>
      </c>
      <c r="P329" s="183">
        <f t="shared" si="123"/>
        <v>656</v>
      </c>
      <c r="Q329" s="183">
        <f t="shared" si="124"/>
        <v>328</v>
      </c>
      <c r="R329" s="183">
        <f t="shared" si="125"/>
        <v>656</v>
      </c>
      <c r="S329" s="183">
        <f t="shared" si="126"/>
        <v>328</v>
      </c>
      <c r="T329" s="183">
        <f t="shared" si="127"/>
        <v>656</v>
      </c>
      <c r="U329" s="183">
        <f t="shared" si="128"/>
        <v>328</v>
      </c>
      <c r="V329" s="183">
        <f t="shared" si="129"/>
        <v>656</v>
      </c>
      <c r="W329" s="12">
        <f>K329*属性价值参考!C$5+升级!L329*属性价值参考!C$6+升级!M329*属性价值参考!C$7+升级!N329*属性价值参考!C$8+升级!S329*属性价值参考!C$9+升级!T329*属性价值参考!C$10+升级!U329*属性价值参考!C$11+升级!V329*属性价值参考!C$12</f>
        <v>384862.0799999999</v>
      </c>
    </row>
    <row r="330" spans="1:23" x14ac:dyDescent="0.3">
      <c r="A330" s="22"/>
      <c r="B330" s="22"/>
      <c r="C330" s="24">
        <v>329</v>
      </c>
      <c r="D330" s="27" t="str">
        <f t="shared" si="115"/>
        <v>0#1#46060|0#2#1579|0#3#329|0#4#658|0#9#329|0#10#658|0#11#329|0#12#658</v>
      </c>
      <c r="E330" s="27" t="str">
        <f t="shared" si="116"/>
        <v>1#1#7676|1#2#78960|1#3#329|1#4#658|1#9#329|1#10#658|1#11#329|1#12#658</v>
      </c>
      <c r="F330" s="27" t="str">
        <f t="shared" si="117"/>
        <v>2#1#23030|2#2#39480|2#3#329|2#4#658|2#9#329|2#10#658|2#11#329|2#12#658</v>
      </c>
      <c r="G330" s="27" t="str">
        <f t="shared" si="118"/>
        <v>0#1#46060|0#2#1579|0#3#329|0#4#658|0#9#329|0#10#658|0#11#329|0#12#658|1#1#7676|1#2#78960|1#3#329|1#4#658|1#9#329|1#10#658|1#11#329|1#12#658|2#1#23030|2#2#39480|2#3#329|2#4#658|2#9#329|2#10#658|2#11#329|2#12#658</v>
      </c>
      <c r="H330" s="22"/>
      <c r="I330" s="25">
        <v>4200000000</v>
      </c>
      <c r="J330" s="197">
        <v>329</v>
      </c>
      <c r="K330" s="183">
        <f t="shared" si="114"/>
        <v>46060</v>
      </c>
      <c r="L330" s="183">
        <f t="shared" si="119"/>
        <v>78960</v>
      </c>
      <c r="M330" s="183">
        <f t="shared" si="120"/>
        <v>329</v>
      </c>
      <c r="N330" s="183">
        <f t="shared" si="121"/>
        <v>658</v>
      </c>
      <c r="O330" s="183">
        <f t="shared" si="122"/>
        <v>329</v>
      </c>
      <c r="P330" s="183">
        <f t="shared" si="123"/>
        <v>658</v>
      </c>
      <c r="Q330" s="183">
        <f t="shared" si="124"/>
        <v>329</v>
      </c>
      <c r="R330" s="183">
        <f t="shared" si="125"/>
        <v>658</v>
      </c>
      <c r="S330" s="183">
        <f t="shared" si="126"/>
        <v>329</v>
      </c>
      <c r="T330" s="183">
        <f t="shared" si="127"/>
        <v>658</v>
      </c>
      <c r="U330" s="183">
        <f t="shared" si="128"/>
        <v>329</v>
      </c>
      <c r="V330" s="183">
        <f t="shared" si="129"/>
        <v>658</v>
      </c>
      <c r="W330" s="12">
        <f>K330*属性价值参考!C$5+升级!L330*属性价值参考!C$6+升级!M330*属性价值参考!C$7+升级!N330*属性价值参考!C$8+升级!S330*属性价值参考!C$9+升级!T330*属性价值参考!C$10+升级!U330*属性价值参考!C$11+升级!V330*属性价值参考!C$12</f>
        <v>386035.43999999989</v>
      </c>
    </row>
    <row r="331" spans="1:23" x14ac:dyDescent="0.3">
      <c r="A331" s="22"/>
      <c r="B331" s="22"/>
      <c r="C331" s="27">
        <v>330</v>
      </c>
      <c r="D331" s="27" t="str">
        <f t="shared" si="115"/>
        <v>0#1#46200|0#2#1584|0#3#330|0#4#660|0#9#330|0#10#660|0#11#330|0#12#660</v>
      </c>
      <c r="E331" s="27" t="str">
        <f t="shared" si="116"/>
        <v>1#1#7700|1#2#79200|1#3#330|1#4#660|1#9#330|1#10#660|1#11#330|1#12#660</v>
      </c>
      <c r="F331" s="27" t="str">
        <f t="shared" si="117"/>
        <v>2#1#23100|2#2#39600|2#3#330|2#4#660|2#9#330|2#10#660|2#11#330|2#12#660</v>
      </c>
      <c r="G331" s="27" t="str">
        <f t="shared" si="118"/>
        <v>0#1#46200|0#2#1584|0#3#330|0#4#660|0#9#330|0#10#660|0#11#330|0#12#660|1#1#7700|1#2#79200|1#3#330|1#4#660|1#9#330|1#10#660|1#11#330|1#12#660|2#1#23100|2#2#39600|2#3#330|2#4#660|2#9#330|2#10#660|2#11#330|2#12#660</v>
      </c>
      <c r="H331" s="22"/>
      <c r="I331" s="28">
        <v>4200000000</v>
      </c>
      <c r="J331" s="198">
        <v>330</v>
      </c>
      <c r="K331" s="183">
        <f t="shared" si="114"/>
        <v>46200</v>
      </c>
      <c r="L331" s="183">
        <f t="shared" si="119"/>
        <v>79200</v>
      </c>
      <c r="M331" s="183">
        <f t="shared" si="120"/>
        <v>330</v>
      </c>
      <c r="N331" s="183">
        <f t="shared" si="121"/>
        <v>660</v>
      </c>
      <c r="O331" s="183">
        <f t="shared" si="122"/>
        <v>330</v>
      </c>
      <c r="P331" s="183">
        <f t="shared" si="123"/>
        <v>660</v>
      </c>
      <c r="Q331" s="183">
        <f t="shared" si="124"/>
        <v>330</v>
      </c>
      <c r="R331" s="183">
        <f t="shared" si="125"/>
        <v>660</v>
      </c>
      <c r="S331" s="183">
        <f t="shared" si="126"/>
        <v>330</v>
      </c>
      <c r="T331" s="183">
        <f t="shared" si="127"/>
        <v>660</v>
      </c>
      <c r="U331" s="183">
        <f t="shared" si="128"/>
        <v>330</v>
      </c>
      <c r="V331" s="183">
        <f t="shared" si="129"/>
        <v>660</v>
      </c>
      <c r="W331" s="12">
        <f>K331*属性价值参考!C$5+升级!L331*属性价值参考!C$6+升级!M331*属性价值参考!C$7+升级!N331*属性价值参考!C$8+升级!S331*属性价值参考!C$9+升级!T331*属性价值参考!C$10+升级!U331*属性价值参考!C$11+升级!V331*属性价值参考!C$12</f>
        <v>387208.8</v>
      </c>
    </row>
    <row r="332" spans="1:23" x14ac:dyDescent="0.3">
      <c r="A332" s="22"/>
      <c r="B332" s="22"/>
      <c r="C332" s="24">
        <v>331</v>
      </c>
      <c r="D332" s="27" t="str">
        <f t="shared" si="115"/>
        <v>0#1#46340|0#2#1588|0#3#331|0#4#662|0#9#331|0#10#662|0#11#331|0#12#662</v>
      </c>
      <c r="E332" s="27" t="str">
        <f t="shared" si="116"/>
        <v>1#1#7723|1#2#79440|1#3#331|1#4#662|1#9#331|1#10#662|1#11#331|1#12#662</v>
      </c>
      <c r="F332" s="27" t="str">
        <f t="shared" si="117"/>
        <v>2#1#23170|2#2#39720|2#3#331|2#4#662|2#9#331|2#10#662|2#11#331|2#12#662</v>
      </c>
      <c r="G332" s="27" t="str">
        <f t="shared" si="118"/>
        <v>0#1#46340|0#2#1588|0#3#331|0#4#662|0#9#331|0#10#662|0#11#331|0#12#662|1#1#7723|1#2#79440|1#3#331|1#4#662|1#9#331|1#10#662|1#11#331|1#12#662|2#1#23170|2#2#39720|2#3#331|2#4#662|2#9#331|2#10#662|2#11#331|2#12#662</v>
      </c>
      <c r="H332" s="22"/>
      <c r="I332" s="25">
        <v>4200000000</v>
      </c>
      <c r="J332" s="197">
        <v>331</v>
      </c>
      <c r="K332" s="183">
        <f t="shared" si="114"/>
        <v>46340</v>
      </c>
      <c r="L332" s="183">
        <f t="shared" si="119"/>
        <v>79440</v>
      </c>
      <c r="M332" s="183">
        <f t="shared" si="120"/>
        <v>331</v>
      </c>
      <c r="N332" s="183">
        <f t="shared" si="121"/>
        <v>662</v>
      </c>
      <c r="O332" s="183">
        <f t="shared" si="122"/>
        <v>331</v>
      </c>
      <c r="P332" s="183">
        <f t="shared" si="123"/>
        <v>662</v>
      </c>
      <c r="Q332" s="183">
        <f t="shared" si="124"/>
        <v>331</v>
      </c>
      <c r="R332" s="183">
        <f t="shared" si="125"/>
        <v>662</v>
      </c>
      <c r="S332" s="183">
        <f t="shared" si="126"/>
        <v>331</v>
      </c>
      <c r="T332" s="183">
        <f t="shared" si="127"/>
        <v>662</v>
      </c>
      <c r="U332" s="183">
        <f t="shared" si="128"/>
        <v>331</v>
      </c>
      <c r="V332" s="183">
        <f t="shared" si="129"/>
        <v>662</v>
      </c>
      <c r="W332" s="12">
        <f>K332*属性价值参考!C$5+升级!L332*属性价值参考!C$6+升级!M332*属性价值参考!C$7+升级!N332*属性价值参考!C$8+升级!S332*属性价值参考!C$9+升级!T332*属性价值参考!C$10+升级!U332*属性价值参考!C$11+升级!V332*属性价值参考!C$12</f>
        <v>388382.16000000009</v>
      </c>
    </row>
    <row r="333" spans="1:23" x14ac:dyDescent="0.3">
      <c r="A333" s="22"/>
      <c r="B333" s="22"/>
      <c r="C333" s="27">
        <v>332</v>
      </c>
      <c r="D333" s="27" t="str">
        <f t="shared" si="115"/>
        <v>0#1#46480|0#2#1593|0#3#332|0#4#664|0#9#332|0#10#664|0#11#332|0#12#664</v>
      </c>
      <c r="E333" s="27" t="str">
        <f t="shared" si="116"/>
        <v>1#1#7746|1#2#79680|1#3#332|1#4#664|1#9#332|1#10#664|1#11#332|1#12#664</v>
      </c>
      <c r="F333" s="27" t="str">
        <f t="shared" si="117"/>
        <v>2#1#23240|2#2#39840|2#3#332|2#4#664|2#9#332|2#10#664|2#11#332|2#12#664</v>
      </c>
      <c r="G333" s="27" t="str">
        <f t="shared" si="118"/>
        <v>0#1#46480|0#2#1593|0#3#332|0#4#664|0#9#332|0#10#664|0#11#332|0#12#664|1#1#7746|1#2#79680|1#3#332|1#4#664|1#9#332|1#10#664|1#11#332|1#12#664|2#1#23240|2#2#39840|2#3#332|2#4#664|2#9#332|2#10#664|2#11#332|2#12#664</v>
      </c>
      <c r="H333" s="22"/>
      <c r="I333" s="28">
        <v>4200000000</v>
      </c>
      <c r="J333" s="198">
        <v>332</v>
      </c>
      <c r="K333" s="183">
        <f t="shared" si="114"/>
        <v>46480</v>
      </c>
      <c r="L333" s="183">
        <f t="shared" si="119"/>
        <v>79680</v>
      </c>
      <c r="M333" s="183">
        <f t="shared" si="120"/>
        <v>332</v>
      </c>
      <c r="N333" s="183">
        <f t="shared" si="121"/>
        <v>664</v>
      </c>
      <c r="O333" s="183">
        <f t="shared" si="122"/>
        <v>332</v>
      </c>
      <c r="P333" s="183">
        <f t="shared" si="123"/>
        <v>664</v>
      </c>
      <c r="Q333" s="183">
        <f t="shared" si="124"/>
        <v>332</v>
      </c>
      <c r="R333" s="183">
        <f t="shared" si="125"/>
        <v>664</v>
      </c>
      <c r="S333" s="183">
        <f t="shared" si="126"/>
        <v>332</v>
      </c>
      <c r="T333" s="183">
        <f t="shared" si="127"/>
        <v>664</v>
      </c>
      <c r="U333" s="183">
        <f t="shared" si="128"/>
        <v>332</v>
      </c>
      <c r="V333" s="183">
        <f t="shared" si="129"/>
        <v>664</v>
      </c>
      <c r="W333" s="12">
        <f>K333*属性价值参考!C$5+升级!L333*属性价值参考!C$6+升级!M333*属性价值参考!C$7+升级!N333*属性价值参考!C$8+升级!S333*属性价值参考!C$9+升级!T333*属性价值参考!C$10+升级!U333*属性价值参考!C$11+升级!V333*属性价值参考!C$12</f>
        <v>389555.52</v>
      </c>
    </row>
    <row r="334" spans="1:23" x14ac:dyDescent="0.3">
      <c r="A334" s="22"/>
      <c r="B334" s="22"/>
      <c r="C334" s="24">
        <v>333</v>
      </c>
      <c r="D334" s="27" t="str">
        <f t="shared" si="115"/>
        <v>0#1#46620|0#2#1598|0#3#333|0#4#666|0#9#333|0#10#666|0#11#333|0#12#666</v>
      </c>
      <c r="E334" s="27" t="str">
        <f t="shared" si="116"/>
        <v>1#1#7770|1#2#79920|1#3#333|1#4#666|1#9#333|1#10#666|1#11#333|1#12#666</v>
      </c>
      <c r="F334" s="27" t="str">
        <f t="shared" si="117"/>
        <v>2#1#23310|2#2#39960|2#3#333|2#4#666|2#9#333|2#10#666|2#11#333|2#12#666</v>
      </c>
      <c r="G334" s="27" t="str">
        <f t="shared" si="118"/>
        <v>0#1#46620|0#2#1598|0#3#333|0#4#666|0#9#333|0#10#666|0#11#333|0#12#666|1#1#7770|1#2#79920|1#3#333|1#4#666|1#9#333|1#10#666|1#11#333|1#12#666|2#1#23310|2#2#39960|2#3#333|2#4#666|2#9#333|2#10#666|2#11#333|2#12#666</v>
      </c>
      <c r="H334" s="22"/>
      <c r="I334" s="25">
        <v>4200000000</v>
      </c>
      <c r="J334" s="197">
        <v>333</v>
      </c>
      <c r="K334" s="183">
        <f t="shared" si="114"/>
        <v>46620</v>
      </c>
      <c r="L334" s="183">
        <f t="shared" si="119"/>
        <v>79920</v>
      </c>
      <c r="M334" s="183">
        <f t="shared" si="120"/>
        <v>333</v>
      </c>
      <c r="N334" s="183">
        <f t="shared" si="121"/>
        <v>666</v>
      </c>
      <c r="O334" s="183">
        <f t="shared" si="122"/>
        <v>333</v>
      </c>
      <c r="P334" s="183">
        <f t="shared" si="123"/>
        <v>666</v>
      </c>
      <c r="Q334" s="183">
        <f t="shared" si="124"/>
        <v>333</v>
      </c>
      <c r="R334" s="183">
        <f t="shared" si="125"/>
        <v>666</v>
      </c>
      <c r="S334" s="183">
        <f t="shared" si="126"/>
        <v>333</v>
      </c>
      <c r="T334" s="183">
        <f t="shared" si="127"/>
        <v>666</v>
      </c>
      <c r="U334" s="183">
        <f t="shared" si="128"/>
        <v>333</v>
      </c>
      <c r="V334" s="183">
        <f t="shared" si="129"/>
        <v>666</v>
      </c>
      <c r="W334" s="12">
        <f>K334*属性价值参考!C$5+升级!L334*属性价值参考!C$6+升级!M334*属性价值参考!C$7+升级!N334*属性价值参考!C$8+升级!S334*属性价值参考!C$9+升级!T334*属性价值参考!C$10+升级!U334*属性价值参考!C$11+升级!V334*属性价值参考!C$12</f>
        <v>390728.87999999995</v>
      </c>
    </row>
    <row r="335" spans="1:23" x14ac:dyDescent="0.3">
      <c r="A335" s="22"/>
      <c r="B335" s="22"/>
      <c r="C335" s="27">
        <v>334</v>
      </c>
      <c r="D335" s="27" t="str">
        <f t="shared" si="115"/>
        <v>0#1#46760|0#2#1603|0#3#334|0#4#668|0#9#334|0#10#668|0#11#334|0#12#668</v>
      </c>
      <c r="E335" s="27" t="str">
        <f t="shared" si="116"/>
        <v>1#1#7793|1#2#80160|1#3#334|1#4#668|1#9#334|1#10#668|1#11#334|1#12#668</v>
      </c>
      <c r="F335" s="27" t="str">
        <f t="shared" si="117"/>
        <v>2#1#23380|2#2#40080|2#3#334|2#4#668|2#9#334|2#10#668|2#11#334|2#12#668</v>
      </c>
      <c r="G335" s="27" t="str">
        <f t="shared" si="118"/>
        <v>0#1#46760|0#2#1603|0#3#334|0#4#668|0#9#334|0#10#668|0#11#334|0#12#668|1#1#7793|1#2#80160|1#3#334|1#4#668|1#9#334|1#10#668|1#11#334|1#12#668|2#1#23380|2#2#40080|2#3#334|2#4#668|2#9#334|2#10#668|2#11#334|2#12#668</v>
      </c>
      <c r="H335" s="22"/>
      <c r="I335" s="28">
        <v>4200000000</v>
      </c>
      <c r="J335" s="198">
        <v>334</v>
      </c>
      <c r="K335" s="183">
        <f t="shared" si="114"/>
        <v>46760</v>
      </c>
      <c r="L335" s="183">
        <f t="shared" si="119"/>
        <v>80160</v>
      </c>
      <c r="M335" s="183">
        <f t="shared" si="120"/>
        <v>334</v>
      </c>
      <c r="N335" s="183">
        <f t="shared" si="121"/>
        <v>668</v>
      </c>
      <c r="O335" s="183">
        <f t="shared" si="122"/>
        <v>334</v>
      </c>
      <c r="P335" s="183">
        <f t="shared" si="123"/>
        <v>668</v>
      </c>
      <c r="Q335" s="183">
        <f t="shared" si="124"/>
        <v>334</v>
      </c>
      <c r="R335" s="183">
        <f t="shared" si="125"/>
        <v>668</v>
      </c>
      <c r="S335" s="183">
        <f t="shared" si="126"/>
        <v>334</v>
      </c>
      <c r="T335" s="183">
        <f t="shared" si="127"/>
        <v>668</v>
      </c>
      <c r="U335" s="183">
        <f t="shared" si="128"/>
        <v>334</v>
      </c>
      <c r="V335" s="183">
        <f t="shared" si="129"/>
        <v>668</v>
      </c>
      <c r="W335" s="12">
        <f>K335*属性价值参考!C$5+升级!L335*属性价值参考!C$6+升级!M335*属性价值参考!C$7+升级!N335*属性价值参考!C$8+升级!S335*属性价值参考!C$9+升级!T335*属性价值参考!C$10+升级!U335*属性价值参考!C$11+升级!V335*属性价值参考!C$12</f>
        <v>391902.23999999987</v>
      </c>
    </row>
    <row r="336" spans="1:23" x14ac:dyDescent="0.3">
      <c r="A336" s="22"/>
      <c r="B336" s="22"/>
      <c r="C336" s="24">
        <v>335</v>
      </c>
      <c r="D336" s="27" t="str">
        <f t="shared" si="115"/>
        <v>0#1#46900|0#2#1608|0#3#335|0#4#670|0#9#335|0#10#670|0#11#335|0#12#670</v>
      </c>
      <c r="E336" s="27" t="str">
        <f t="shared" si="116"/>
        <v>1#1#7816|1#2#80400|1#3#335|1#4#670|1#9#335|1#10#670|1#11#335|1#12#670</v>
      </c>
      <c r="F336" s="27" t="str">
        <f t="shared" si="117"/>
        <v>2#1#23450|2#2#40200|2#3#335|2#4#670|2#9#335|2#10#670|2#11#335|2#12#670</v>
      </c>
      <c r="G336" s="27" t="str">
        <f t="shared" si="118"/>
        <v>0#1#46900|0#2#1608|0#3#335|0#4#670|0#9#335|0#10#670|0#11#335|0#12#670|1#1#7816|1#2#80400|1#3#335|1#4#670|1#9#335|1#10#670|1#11#335|1#12#670|2#1#23450|2#2#40200|2#3#335|2#4#670|2#9#335|2#10#670|2#11#335|2#12#670</v>
      </c>
      <c r="H336" s="22"/>
      <c r="I336" s="25">
        <v>4200000000</v>
      </c>
      <c r="J336" s="197">
        <v>335</v>
      </c>
      <c r="K336" s="183">
        <f t="shared" si="114"/>
        <v>46900</v>
      </c>
      <c r="L336" s="183">
        <f t="shared" si="119"/>
        <v>80400</v>
      </c>
      <c r="M336" s="183">
        <f t="shared" si="120"/>
        <v>335</v>
      </c>
      <c r="N336" s="183">
        <f t="shared" si="121"/>
        <v>670</v>
      </c>
      <c r="O336" s="183">
        <f t="shared" si="122"/>
        <v>335</v>
      </c>
      <c r="P336" s="183">
        <f t="shared" si="123"/>
        <v>670</v>
      </c>
      <c r="Q336" s="183">
        <f t="shared" si="124"/>
        <v>335</v>
      </c>
      <c r="R336" s="183">
        <f t="shared" si="125"/>
        <v>670</v>
      </c>
      <c r="S336" s="183">
        <f t="shared" si="126"/>
        <v>335</v>
      </c>
      <c r="T336" s="183">
        <f t="shared" si="127"/>
        <v>670</v>
      </c>
      <c r="U336" s="183">
        <f t="shared" si="128"/>
        <v>335</v>
      </c>
      <c r="V336" s="183">
        <f t="shared" si="129"/>
        <v>670</v>
      </c>
      <c r="W336" s="12">
        <f>K336*属性价值参考!C$5+升级!L336*属性价值参考!C$6+升级!M336*属性价值参考!C$7+升级!N336*属性价值参考!C$8+升级!S336*属性价值参考!C$9+升级!T336*属性价值参考!C$10+升级!U336*属性价值参考!C$11+升级!V336*属性价值参考!C$12</f>
        <v>393075.6</v>
      </c>
    </row>
    <row r="337" spans="1:23" x14ac:dyDescent="0.3">
      <c r="A337" s="22"/>
      <c r="B337" s="22"/>
      <c r="C337" s="27">
        <v>336</v>
      </c>
      <c r="D337" s="27" t="str">
        <f t="shared" si="115"/>
        <v>0#1#47040|0#2#1612|0#3#336|0#4#672|0#9#336|0#10#672|0#11#336|0#12#672</v>
      </c>
      <c r="E337" s="27" t="str">
        <f t="shared" si="116"/>
        <v>1#1#7840|1#2#80640|1#3#336|1#4#672|1#9#336|1#10#672|1#11#336|1#12#672</v>
      </c>
      <c r="F337" s="27" t="str">
        <f t="shared" si="117"/>
        <v>2#1#23520|2#2#40320|2#3#336|2#4#672|2#9#336|2#10#672|2#11#336|2#12#672</v>
      </c>
      <c r="G337" s="27" t="str">
        <f t="shared" si="118"/>
        <v>0#1#47040|0#2#1612|0#3#336|0#4#672|0#9#336|0#10#672|0#11#336|0#12#672|1#1#7840|1#2#80640|1#3#336|1#4#672|1#9#336|1#10#672|1#11#336|1#12#672|2#1#23520|2#2#40320|2#3#336|2#4#672|2#9#336|2#10#672|2#11#336|2#12#672</v>
      </c>
      <c r="H337" s="22"/>
      <c r="I337" s="28">
        <v>4200000000</v>
      </c>
      <c r="J337" s="198">
        <v>336</v>
      </c>
      <c r="K337" s="183">
        <f t="shared" si="114"/>
        <v>47040</v>
      </c>
      <c r="L337" s="183">
        <f t="shared" si="119"/>
        <v>80640</v>
      </c>
      <c r="M337" s="183">
        <f t="shared" si="120"/>
        <v>336</v>
      </c>
      <c r="N337" s="183">
        <f t="shared" si="121"/>
        <v>672</v>
      </c>
      <c r="O337" s="183">
        <f t="shared" si="122"/>
        <v>336</v>
      </c>
      <c r="P337" s="183">
        <f t="shared" si="123"/>
        <v>672</v>
      </c>
      <c r="Q337" s="183">
        <f t="shared" si="124"/>
        <v>336</v>
      </c>
      <c r="R337" s="183">
        <f t="shared" si="125"/>
        <v>672</v>
      </c>
      <c r="S337" s="183">
        <f t="shared" si="126"/>
        <v>336</v>
      </c>
      <c r="T337" s="183">
        <f t="shared" si="127"/>
        <v>672</v>
      </c>
      <c r="U337" s="183">
        <f t="shared" si="128"/>
        <v>336</v>
      </c>
      <c r="V337" s="183">
        <f t="shared" si="129"/>
        <v>672</v>
      </c>
      <c r="W337" s="12">
        <f>K337*属性价值参考!C$5+升级!L337*属性价值参考!C$6+升级!M337*属性价值参考!C$7+升级!N337*属性价值参考!C$8+升级!S337*属性价值参考!C$9+升级!T337*属性价值参考!C$10+升级!U337*属性价值参考!C$11+升级!V337*属性价值参考!C$12</f>
        <v>394248.96000000008</v>
      </c>
    </row>
    <row r="338" spans="1:23" x14ac:dyDescent="0.3">
      <c r="A338" s="22"/>
      <c r="B338" s="22"/>
      <c r="C338" s="24">
        <v>337</v>
      </c>
      <c r="D338" s="27" t="str">
        <f t="shared" si="115"/>
        <v>0#1#47180|0#2#1617|0#3#337|0#4#674|0#9#337|0#10#674|0#11#337|0#12#674</v>
      </c>
      <c r="E338" s="27" t="str">
        <f t="shared" si="116"/>
        <v>1#1#7863|1#2#80880|1#3#337|1#4#674|1#9#337|1#10#674|1#11#337|1#12#674</v>
      </c>
      <c r="F338" s="27" t="str">
        <f t="shared" si="117"/>
        <v>2#1#23590|2#2#40440|2#3#337|2#4#674|2#9#337|2#10#674|2#11#337|2#12#674</v>
      </c>
      <c r="G338" s="27" t="str">
        <f t="shared" si="118"/>
        <v>0#1#47180|0#2#1617|0#3#337|0#4#674|0#9#337|0#10#674|0#11#337|0#12#674|1#1#7863|1#2#80880|1#3#337|1#4#674|1#9#337|1#10#674|1#11#337|1#12#674|2#1#23590|2#2#40440|2#3#337|2#4#674|2#9#337|2#10#674|2#11#337|2#12#674</v>
      </c>
      <c r="H338" s="22"/>
      <c r="I338" s="25">
        <v>4200000000</v>
      </c>
      <c r="J338" s="197">
        <v>337</v>
      </c>
      <c r="K338" s="183">
        <f t="shared" si="114"/>
        <v>47180</v>
      </c>
      <c r="L338" s="183">
        <f t="shared" si="119"/>
        <v>80880</v>
      </c>
      <c r="M338" s="183">
        <f t="shared" si="120"/>
        <v>337</v>
      </c>
      <c r="N338" s="183">
        <f t="shared" si="121"/>
        <v>674</v>
      </c>
      <c r="O338" s="183">
        <f t="shared" si="122"/>
        <v>337</v>
      </c>
      <c r="P338" s="183">
        <f t="shared" si="123"/>
        <v>674</v>
      </c>
      <c r="Q338" s="183">
        <f t="shared" si="124"/>
        <v>337</v>
      </c>
      <c r="R338" s="183">
        <f t="shared" si="125"/>
        <v>674</v>
      </c>
      <c r="S338" s="183">
        <f t="shared" si="126"/>
        <v>337</v>
      </c>
      <c r="T338" s="183">
        <f t="shared" si="127"/>
        <v>674</v>
      </c>
      <c r="U338" s="183">
        <f t="shared" si="128"/>
        <v>337</v>
      </c>
      <c r="V338" s="183">
        <f t="shared" si="129"/>
        <v>674</v>
      </c>
      <c r="W338" s="12">
        <f>K338*属性价值参考!C$5+升级!L338*属性价值参考!C$6+升级!M338*属性价值参考!C$7+升级!N338*属性价值参考!C$8+升级!S338*属性价值参考!C$9+升级!T338*属性价值参考!C$10+升级!U338*属性价值参考!C$11+升级!V338*属性价值参考!C$12</f>
        <v>395422.32</v>
      </c>
    </row>
    <row r="339" spans="1:23" x14ac:dyDescent="0.3">
      <c r="A339" s="22"/>
      <c r="B339" s="22"/>
      <c r="C339" s="27">
        <v>338</v>
      </c>
      <c r="D339" s="27" t="str">
        <f t="shared" si="115"/>
        <v>0#1#47320|0#2#1622|0#3#338|0#4#676|0#9#338|0#10#676|0#11#338|0#12#676</v>
      </c>
      <c r="E339" s="27" t="str">
        <f t="shared" si="116"/>
        <v>1#1#7886|1#2#81120|1#3#338|1#4#676|1#9#338|1#10#676|1#11#338|1#12#676</v>
      </c>
      <c r="F339" s="27" t="str">
        <f t="shared" si="117"/>
        <v>2#1#23660|2#2#40560|2#3#338|2#4#676|2#9#338|2#10#676|2#11#338|2#12#676</v>
      </c>
      <c r="G339" s="27" t="str">
        <f t="shared" si="118"/>
        <v>0#1#47320|0#2#1622|0#3#338|0#4#676|0#9#338|0#10#676|0#11#338|0#12#676|1#1#7886|1#2#81120|1#3#338|1#4#676|1#9#338|1#10#676|1#11#338|1#12#676|2#1#23660|2#2#40560|2#3#338|2#4#676|2#9#338|2#10#676|2#11#338|2#12#676</v>
      </c>
      <c r="H339" s="22"/>
      <c r="I339" s="28">
        <v>4200000000</v>
      </c>
      <c r="J339" s="198">
        <v>338</v>
      </c>
      <c r="K339" s="183">
        <f t="shared" si="114"/>
        <v>47320</v>
      </c>
      <c r="L339" s="183">
        <f t="shared" si="119"/>
        <v>81120</v>
      </c>
      <c r="M339" s="183">
        <f t="shared" si="120"/>
        <v>338</v>
      </c>
      <c r="N339" s="183">
        <f t="shared" si="121"/>
        <v>676</v>
      </c>
      <c r="O339" s="183">
        <f t="shared" si="122"/>
        <v>338</v>
      </c>
      <c r="P339" s="183">
        <f t="shared" si="123"/>
        <v>676</v>
      </c>
      <c r="Q339" s="183">
        <f t="shared" si="124"/>
        <v>338</v>
      </c>
      <c r="R339" s="183">
        <f t="shared" si="125"/>
        <v>676</v>
      </c>
      <c r="S339" s="183">
        <f t="shared" si="126"/>
        <v>338</v>
      </c>
      <c r="T339" s="183">
        <f t="shared" si="127"/>
        <v>676</v>
      </c>
      <c r="U339" s="183">
        <f t="shared" si="128"/>
        <v>338</v>
      </c>
      <c r="V339" s="183">
        <f t="shared" si="129"/>
        <v>676</v>
      </c>
      <c r="W339" s="12">
        <f>K339*属性价值参考!C$5+升级!L339*属性价值参考!C$6+升级!M339*属性价值参考!C$7+升级!N339*属性价值参考!C$8+升级!S339*属性价值参考!C$9+升级!T339*属性价值参考!C$10+升级!U339*属性价值参考!C$11+升级!V339*属性价值参考!C$12</f>
        <v>396595.67999999993</v>
      </c>
    </row>
    <row r="340" spans="1:23" x14ac:dyDescent="0.3">
      <c r="A340" s="22"/>
      <c r="B340" s="22"/>
      <c r="C340" s="24">
        <v>339</v>
      </c>
      <c r="D340" s="27" t="str">
        <f t="shared" si="115"/>
        <v>0#1#47460|0#2#1627|0#3#339|0#4#678|0#9#339|0#10#678|0#11#339|0#12#678</v>
      </c>
      <c r="E340" s="27" t="str">
        <f t="shared" si="116"/>
        <v>1#1#7910|1#2#81360|1#3#339|1#4#678|1#9#339|1#10#678|1#11#339|1#12#678</v>
      </c>
      <c r="F340" s="27" t="str">
        <f t="shared" si="117"/>
        <v>2#1#23730|2#2#40680|2#3#339|2#4#678|2#9#339|2#10#678|2#11#339|2#12#678</v>
      </c>
      <c r="G340" s="27" t="str">
        <f t="shared" si="118"/>
        <v>0#1#47460|0#2#1627|0#3#339|0#4#678|0#9#339|0#10#678|0#11#339|0#12#678|1#1#7910|1#2#81360|1#3#339|1#4#678|1#9#339|1#10#678|1#11#339|1#12#678|2#1#23730|2#2#40680|2#3#339|2#4#678|2#9#339|2#10#678|2#11#339|2#12#678</v>
      </c>
      <c r="H340" s="22"/>
      <c r="I340" s="25">
        <v>4200000000</v>
      </c>
      <c r="J340" s="197">
        <v>339</v>
      </c>
      <c r="K340" s="183">
        <f t="shared" si="114"/>
        <v>47460</v>
      </c>
      <c r="L340" s="183">
        <f t="shared" si="119"/>
        <v>81360</v>
      </c>
      <c r="M340" s="183">
        <f t="shared" si="120"/>
        <v>339</v>
      </c>
      <c r="N340" s="183">
        <f t="shared" si="121"/>
        <v>678</v>
      </c>
      <c r="O340" s="183">
        <f t="shared" si="122"/>
        <v>339</v>
      </c>
      <c r="P340" s="183">
        <f t="shared" si="123"/>
        <v>678</v>
      </c>
      <c r="Q340" s="183">
        <f t="shared" si="124"/>
        <v>339</v>
      </c>
      <c r="R340" s="183">
        <f t="shared" si="125"/>
        <v>678</v>
      </c>
      <c r="S340" s="183">
        <f t="shared" si="126"/>
        <v>339</v>
      </c>
      <c r="T340" s="183">
        <f t="shared" si="127"/>
        <v>678</v>
      </c>
      <c r="U340" s="183">
        <f t="shared" si="128"/>
        <v>339</v>
      </c>
      <c r="V340" s="183">
        <f t="shared" si="129"/>
        <v>678</v>
      </c>
      <c r="W340" s="12">
        <f>K340*属性价值参考!C$5+升级!L340*属性价值参考!C$6+升级!M340*属性价值参考!C$7+升级!N340*属性价值参考!C$8+升级!S340*属性价值参考!C$9+升级!T340*属性价值参考!C$10+升级!U340*属性价值参考!C$11+升级!V340*属性价值参考!C$12</f>
        <v>397769.03999999986</v>
      </c>
    </row>
    <row r="341" spans="1:23" x14ac:dyDescent="0.3">
      <c r="A341" s="22"/>
      <c r="B341" s="22"/>
      <c r="C341" s="27">
        <v>340</v>
      </c>
      <c r="D341" s="27" t="str">
        <f t="shared" si="115"/>
        <v>0#1#47600|0#2#1632|0#3#340|0#4#680|0#9#340|0#10#680|0#11#340|0#12#680</v>
      </c>
      <c r="E341" s="27" t="str">
        <f t="shared" si="116"/>
        <v>1#1#7933|1#2#81600|1#3#340|1#4#680|1#9#340|1#10#680|1#11#340|1#12#680</v>
      </c>
      <c r="F341" s="27" t="str">
        <f t="shared" si="117"/>
        <v>2#1#23800|2#2#40800|2#3#340|2#4#680|2#9#340|2#10#680|2#11#340|2#12#680</v>
      </c>
      <c r="G341" s="27" t="str">
        <f t="shared" si="118"/>
        <v>0#1#47600|0#2#1632|0#3#340|0#4#680|0#9#340|0#10#680|0#11#340|0#12#680|1#1#7933|1#2#81600|1#3#340|1#4#680|1#9#340|1#10#680|1#11#340|1#12#680|2#1#23800|2#2#40800|2#3#340|2#4#680|2#9#340|2#10#680|2#11#340|2#12#680</v>
      </c>
      <c r="H341" s="22"/>
      <c r="I341" s="28">
        <v>4200000000</v>
      </c>
      <c r="J341" s="198">
        <v>340</v>
      </c>
      <c r="K341" s="183">
        <f t="shared" si="114"/>
        <v>47600</v>
      </c>
      <c r="L341" s="183">
        <f t="shared" si="119"/>
        <v>81600</v>
      </c>
      <c r="M341" s="183">
        <f t="shared" si="120"/>
        <v>340</v>
      </c>
      <c r="N341" s="183">
        <f t="shared" si="121"/>
        <v>680</v>
      </c>
      <c r="O341" s="183">
        <f t="shared" si="122"/>
        <v>340</v>
      </c>
      <c r="P341" s="183">
        <f t="shared" si="123"/>
        <v>680</v>
      </c>
      <c r="Q341" s="183">
        <f t="shared" si="124"/>
        <v>340</v>
      </c>
      <c r="R341" s="183">
        <f t="shared" si="125"/>
        <v>680</v>
      </c>
      <c r="S341" s="183">
        <f t="shared" si="126"/>
        <v>340</v>
      </c>
      <c r="T341" s="183">
        <f t="shared" si="127"/>
        <v>680</v>
      </c>
      <c r="U341" s="183">
        <f t="shared" si="128"/>
        <v>340</v>
      </c>
      <c r="V341" s="183">
        <f t="shared" si="129"/>
        <v>680</v>
      </c>
      <c r="W341" s="12">
        <f>K341*属性价值参考!C$5+升级!L341*属性价值参考!C$6+升级!M341*属性价值参考!C$7+升级!N341*属性价值参考!C$8+升级!S341*属性价值参考!C$9+升级!T341*属性价值参考!C$10+升级!U341*属性价值参考!C$11+升级!V341*属性价值参考!C$12</f>
        <v>398942.4</v>
      </c>
    </row>
    <row r="342" spans="1:23" x14ac:dyDescent="0.3">
      <c r="A342" s="22"/>
      <c r="B342" s="22"/>
      <c r="C342" s="24">
        <v>341</v>
      </c>
      <c r="D342" s="27" t="str">
        <f t="shared" si="115"/>
        <v>0#1#47740|0#2#1636|0#3#341|0#4#682|0#9#341|0#10#682|0#11#341|0#12#682</v>
      </c>
      <c r="E342" s="27" t="str">
        <f t="shared" si="116"/>
        <v>1#1#7956|1#2#81840|1#3#341|1#4#682|1#9#341|1#10#682|1#11#341|1#12#682</v>
      </c>
      <c r="F342" s="27" t="str">
        <f t="shared" si="117"/>
        <v>2#1#23870|2#2#40920|2#3#341|2#4#682|2#9#341|2#10#682|2#11#341|2#12#682</v>
      </c>
      <c r="G342" s="27" t="str">
        <f t="shared" si="118"/>
        <v>0#1#47740|0#2#1636|0#3#341|0#4#682|0#9#341|0#10#682|0#11#341|0#12#682|1#1#7956|1#2#81840|1#3#341|1#4#682|1#9#341|1#10#682|1#11#341|1#12#682|2#1#23870|2#2#40920|2#3#341|2#4#682|2#9#341|2#10#682|2#11#341|2#12#682</v>
      </c>
      <c r="H342" s="22"/>
      <c r="I342" s="25">
        <v>4200000000</v>
      </c>
      <c r="J342" s="197">
        <v>341</v>
      </c>
      <c r="K342" s="183">
        <f t="shared" si="114"/>
        <v>47740</v>
      </c>
      <c r="L342" s="183">
        <f t="shared" si="119"/>
        <v>81840</v>
      </c>
      <c r="M342" s="183">
        <f t="shared" si="120"/>
        <v>341</v>
      </c>
      <c r="N342" s="183">
        <f t="shared" si="121"/>
        <v>682</v>
      </c>
      <c r="O342" s="183">
        <f t="shared" si="122"/>
        <v>341</v>
      </c>
      <c r="P342" s="183">
        <f t="shared" si="123"/>
        <v>682</v>
      </c>
      <c r="Q342" s="183">
        <f t="shared" si="124"/>
        <v>341</v>
      </c>
      <c r="R342" s="183">
        <f t="shared" si="125"/>
        <v>682</v>
      </c>
      <c r="S342" s="183">
        <f t="shared" si="126"/>
        <v>341</v>
      </c>
      <c r="T342" s="183">
        <f t="shared" si="127"/>
        <v>682</v>
      </c>
      <c r="U342" s="183">
        <f t="shared" si="128"/>
        <v>341</v>
      </c>
      <c r="V342" s="183">
        <f t="shared" si="129"/>
        <v>682</v>
      </c>
      <c r="W342" s="12">
        <f>K342*属性价值参考!C$5+升级!L342*属性价值参考!C$6+升级!M342*属性价值参考!C$7+升级!N342*属性价值参考!C$8+升级!S342*属性价值参考!C$9+升级!T342*属性价值参考!C$10+升级!U342*属性价值参考!C$11+升级!V342*属性价值参考!C$12</f>
        <v>400115.76000000007</v>
      </c>
    </row>
    <row r="343" spans="1:23" x14ac:dyDescent="0.3">
      <c r="A343" s="22"/>
      <c r="B343" s="22"/>
      <c r="C343" s="27">
        <v>342</v>
      </c>
      <c r="D343" s="27" t="str">
        <f t="shared" si="115"/>
        <v>0#1#47880|0#2#1641|0#3#342|0#4#684|0#9#342|0#10#684|0#11#342|0#12#684</v>
      </c>
      <c r="E343" s="27" t="str">
        <f t="shared" si="116"/>
        <v>1#1#7980|1#2#82080|1#3#342|1#4#684|1#9#342|1#10#684|1#11#342|1#12#684</v>
      </c>
      <c r="F343" s="27" t="str">
        <f t="shared" si="117"/>
        <v>2#1#23940|2#2#41040|2#3#342|2#4#684|2#9#342|2#10#684|2#11#342|2#12#684</v>
      </c>
      <c r="G343" s="27" t="str">
        <f t="shared" si="118"/>
        <v>0#1#47880|0#2#1641|0#3#342|0#4#684|0#9#342|0#10#684|0#11#342|0#12#684|1#1#7980|1#2#82080|1#3#342|1#4#684|1#9#342|1#10#684|1#11#342|1#12#684|2#1#23940|2#2#41040|2#3#342|2#4#684|2#9#342|2#10#684|2#11#342|2#12#684</v>
      </c>
      <c r="H343" s="22"/>
      <c r="I343" s="28">
        <v>4200000000</v>
      </c>
      <c r="J343" s="198">
        <v>342</v>
      </c>
      <c r="K343" s="183">
        <f t="shared" si="114"/>
        <v>47880</v>
      </c>
      <c r="L343" s="183">
        <f t="shared" si="119"/>
        <v>82080</v>
      </c>
      <c r="M343" s="183">
        <f t="shared" si="120"/>
        <v>342</v>
      </c>
      <c r="N343" s="183">
        <f t="shared" si="121"/>
        <v>684</v>
      </c>
      <c r="O343" s="183">
        <f t="shared" si="122"/>
        <v>342</v>
      </c>
      <c r="P343" s="183">
        <f t="shared" si="123"/>
        <v>684</v>
      </c>
      <c r="Q343" s="183">
        <f t="shared" si="124"/>
        <v>342</v>
      </c>
      <c r="R343" s="183">
        <f t="shared" si="125"/>
        <v>684</v>
      </c>
      <c r="S343" s="183">
        <f t="shared" si="126"/>
        <v>342</v>
      </c>
      <c r="T343" s="183">
        <f t="shared" si="127"/>
        <v>684</v>
      </c>
      <c r="U343" s="183">
        <f t="shared" si="128"/>
        <v>342</v>
      </c>
      <c r="V343" s="183">
        <f t="shared" si="129"/>
        <v>684</v>
      </c>
      <c r="W343" s="12">
        <f>K343*属性价值参考!C$5+升级!L343*属性价值参考!C$6+升级!M343*属性价值参考!C$7+升级!N343*属性价值参考!C$8+升级!S343*属性价值参考!C$9+升级!T343*属性价值参考!C$10+升级!U343*属性价值参考!C$11+升级!V343*属性价值参考!C$12</f>
        <v>401289.12000000005</v>
      </c>
    </row>
    <row r="344" spans="1:23" x14ac:dyDescent="0.3">
      <c r="A344" s="22"/>
      <c r="B344" s="22"/>
      <c r="C344" s="24">
        <v>343</v>
      </c>
      <c r="D344" s="27" t="str">
        <f t="shared" si="115"/>
        <v>0#1#48020|0#2#1646|0#3#343|0#4#686|0#9#343|0#10#686|0#11#343|0#12#686</v>
      </c>
      <c r="E344" s="27" t="str">
        <f t="shared" si="116"/>
        <v>1#1#8003|1#2#82320|1#3#343|1#4#686|1#9#343|1#10#686|1#11#343|1#12#686</v>
      </c>
      <c r="F344" s="27" t="str">
        <f t="shared" si="117"/>
        <v>2#1#24010|2#2#41160|2#3#343|2#4#686|2#9#343|2#10#686|2#11#343|2#12#686</v>
      </c>
      <c r="G344" s="27" t="str">
        <f t="shared" si="118"/>
        <v>0#1#48020|0#2#1646|0#3#343|0#4#686|0#9#343|0#10#686|0#11#343|0#12#686|1#1#8003|1#2#82320|1#3#343|1#4#686|1#9#343|1#10#686|1#11#343|1#12#686|2#1#24010|2#2#41160|2#3#343|2#4#686|2#9#343|2#10#686|2#11#343|2#12#686</v>
      </c>
      <c r="H344" s="22"/>
      <c r="I344" s="25">
        <v>4200000000</v>
      </c>
      <c r="J344" s="197">
        <v>343</v>
      </c>
      <c r="K344" s="183">
        <f t="shared" si="114"/>
        <v>48020</v>
      </c>
      <c r="L344" s="183">
        <f t="shared" si="119"/>
        <v>82320</v>
      </c>
      <c r="M344" s="183">
        <f t="shared" si="120"/>
        <v>343</v>
      </c>
      <c r="N344" s="183">
        <f t="shared" si="121"/>
        <v>686</v>
      </c>
      <c r="O344" s="183">
        <f t="shared" si="122"/>
        <v>343</v>
      </c>
      <c r="P344" s="183">
        <f t="shared" si="123"/>
        <v>686</v>
      </c>
      <c r="Q344" s="183">
        <f t="shared" si="124"/>
        <v>343</v>
      </c>
      <c r="R344" s="183">
        <f t="shared" si="125"/>
        <v>686</v>
      </c>
      <c r="S344" s="183">
        <f t="shared" si="126"/>
        <v>343</v>
      </c>
      <c r="T344" s="183">
        <f t="shared" si="127"/>
        <v>686</v>
      </c>
      <c r="U344" s="183">
        <f t="shared" si="128"/>
        <v>343</v>
      </c>
      <c r="V344" s="183">
        <f t="shared" si="129"/>
        <v>686</v>
      </c>
      <c r="W344" s="12">
        <f>K344*属性价值参考!C$5+升级!L344*属性价值参考!C$6+升级!M344*属性价值参考!C$7+升级!N344*属性价值参考!C$8+升级!S344*属性价值参考!C$9+升级!T344*属性价值参考!C$10+升级!U344*属性价值参考!C$11+升级!V344*属性价值参考!C$12</f>
        <v>402462.47999999992</v>
      </c>
    </row>
    <row r="345" spans="1:23" x14ac:dyDescent="0.3">
      <c r="A345" s="22"/>
      <c r="B345" s="22"/>
      <c r="C345" s="27">
        <v>344</v>
      </c>
      <c r="D345" s="27" t="str">
        <f t="shared" si="115"/>
        <v>0#1#48160|0#2#1651|0#3#344|0#4#688|0#9#344|0#10#688|0#11#344|0#12#688</v>
      </c>
      <c r="E345" s="27" t="str">
        <f t="shared" si="116"/>
        <v>1#1#8026|1#2#82560|1#3#344|1#4#688|1#9#344|1#10#688|1#11#344|1#12#688</v>
      </c>
      <c r="F345" s="27" t="str">
        <f t="shared" si="117"/>
        <v>2#1#24080|2#2#41280|2#3#344|2#4#688|2#9#344|2#10#688|2#11#344|2#12#688</v>
      </c>
      <c r="G345" s="27" t="str">
        <f t="shared" si="118"/>
        <v>0#1#48160|0#2#1651|0#3#344|0#4#688|0#9#344|0#10#688|0#11#344|0#12#688|1#1#8026|1#2#82560|1#3#344|1#4#688|1#9#344|1#10#688|1#11#344|1#12#688|2#1#24080|2#2#41280|2#3#344|2#4#688|2#9#344|2#10#688|2#11#344|2#12#688</v>
      </c>
      <c r="H345" s="22"/>
      <c r="I345" s="28">
        <v>4200000000</v>
      </c>
      <c r="J345" s="198">
        <v>344</v>
      </c>
      <c r="K345" s="183">
        <f t="shared" si="114"/>
        <v>48160</v>
      </c>
      <c r="L345" s="183">
        <f t="shared" si="119"/>
        <v>82560</v>
      </c>
      <c r="M345" s="183">
        <f t="shared" si="120"/>
        <v>344</v>
      </c>
      <c r="N345" s="183">
        <f t="shared" si="121"/>
        <v>688</v>
      </c>
      <c r="O345" s="183">
        <f t="shared" si="122"/>
        <v>344</v>
      </c>
      <c r="P345" s="183">
        <f t="shared" si="123"/>
        <v>688</v>
      </c>
      <c r="Q345" s="183">
        <f t="shared" si="124"/>
        <v>344</v>
      </c>
      <c r="R345" s="183">
        <f t="shared" si="125"/>
        <v>688</v>
      </c>
      <c r="S345" s="183">
        <f t="shared" si="126"/>
        <v>344</v>
      </c>
      <c r="T345" s="183">
        <f t="shared" si="127"/>
        <v>688</v>
      </c>
      <c r="U345" s="183">
        <f t="shared" si="128"/>
        <v>344</v>
      </c>
      <c r="V345" s="183">
        <f t="shared" si="129"/>
        <v>688</v>
      </c>
      <c r="W345" s="12">
        <f>K345*属性价值参考!C$5+升级!L345*属性价值参考!C$6+升级!M345*属性价值参考!C$7+升级!N345*属性价值参考!C$8+升级!S345*属性价值参考!C$9+升级!T345*属性价值参考!C$10+升级!U345*属性价值参考!C$11+升级!V345*属性价值参考!C$12</f>
        <v>403635.83999999991</v>
      </c>
    </row>
    <row r="346" spans="1:23" x14ac:dyDescent="0.3">
      <c r="A346" s="22"/>
      <c r="B346" s="22"/>
      <c r="C346" s="24">
        <v>345</v>
      </c>
      <c r="D346" s="27" t="str">
        <f t="shared" si="115"/>
        <v>0#1#48300|0#2#1656|0#3#345|0#4#690|0#9#345|0#10#690|0#11#345|0#12#690</v>
      </c>
      <c r="E346" s="27" t="str">
        <f t="shared" si="116"/>
        <v>1#1#8050|1#2#82800|1#3#345|1#4#690|1#9#345|1#10#690|1#11#345|1#12#690</v>
      </c>
      <c r="F346" s="27" t="str">
        <f t="shared" si="117"/>
        <v>2#1#24150|2#2#41400|2#3#345|2#4#690|2#9#345|2#10#690|2#11#345|2#12#690</v>
      </c>
      <c r="G346" s="27" t="str">
        <f t="shared" si="118"/>
        <v>0#1#48300|0#2#1656|0#3#345|0#4#690|0#9#345|0#10#690|0#11#345|0#12#690|1#1#8050|1#2#82800|1#3#345|1#4#690|1#9#345|1#10#690|1#11#345|1#12#690|2#1#24150|2#2#41400|2#3#345|2#4#690|2#9#345|2#10#690|2#11#345|2#12#690</v>
      </c>
      <c r="H346" s="22"/>
      <c r="I346" s="25">
        <v>4200000000</v>
      </c>
      <c r="J346" s="197">
        <v>345</v>
      </c>
      <c r="K346" s="183">
        <f t="shared" si="114"/>
        <v>48300</v>
      </c>
      <c r="L346" s="183">
        <f t="shared" si="119"/>
        <v>82800</v>
      </c>
      <c r="M346" s="183">
        <f t="shared" si="120"/>
        <v>345</v>
      </c>
      <c r="N346" s="183">
        <f t="shared" si="121"/>
        <v>690</v>
      </c>
      <c r="O346" s="183">
        <f t="shared" si="122"/>
        <v>345</v>
      </c>
      <c r="P346" s="183">
        <f t="shared" si="123"/>
        <v>690</v>
      </c>
      <c r="Q346" s="183">
        <f t="shared" si="124"/>
        <v>345</v>
      </c>
      <c r="R346" s="183">
        <f t="shared" si="125"/>
        <v>690</v>
      </c>
      <c r="S346" s="183">
        <f t="shared" si="126"/>
        <v>345</v>
      </c>
      <c r="T346" s="183">
        <f t="shared" si="127"/>
        <v>690</v>
      </c>
      <c r="U346" s="183">
        <f t="shared" si="128"/>
        <v>345</v>
      </c>
      <c r="V346" s="183">
        <f t="shared" si="129"/>
        <v>690</v>
      </c>
      <c r="W346" s="12">
        <f>K346*属性价值参考!C$5+升级!L346*属性价值参考!C$6+升级!M346*属性价值参考!C$7+升级!N346*属性价值参考!C$8+升级!S346*属性价值参考!C$9+升级!T346*属性价值参考!C$10+升级!U346*属性价值参考!C$11+升级!V346*属性价值参考!C$12</f>
        <v>404809.2</v>
      </c>
    </row>
    <row r="347" spans="1:23" x14ac:dyDescent="0.3">
      <c r="A347" s="22"/>
      <c r="B347" s="22"/>
      <c r="C347" s="27">
        <v>346</v>
      </c>
      <c r="D347" s="27" t="str">
        <f t="shared" si="115"/>
        <v>0#1#48440|0#2#1660|0#3#346|0#4#692|0#9#346|0#10#692|0#11#346|0#12#692</v>
      </c>
      <c r="E347" s="27" t="str">
        <f t="shared" si="116"/>
        <v>1#1#8073|1#2#83040|1#3#346|1#4#692|1#9#346|1#10#692|1#11#346|1#12#692</v>
      </c>
      <c r="F347" s="27" t="str">
        <f t="shared" si="117"/>
        <v>2#1#24220|2#2#41520|2#3#346|2#4#692|2#9#346|2#10#692|2#11#346|2#12#692</v>
      </c>
      <c r="G347" s="27" t="str">
        <f t="shared" si="118"/>
        <v>0#1#48440|0#2#1660|0#3#346|0#4#692|0#9#346|0#10#692|0#11#346|0#12#692|1#1#8073|1#2#83040|1#3#346|1#4#692|1#9#346|1#10#692|1#11#346|1#12#692|2#1#24220|2#2#41520|2#3#346|2#4#692|2#9#346|2#10#692|2#11#346|2#12#692</v>
      </c>
      <c r="H347" s="22"/>
      <c r="I347" s="28">
        <v>4200000000</v>
      </c>
      <c r="J347" s="198">
        <v>346</v>
      </c>
      <c r="K347" s="183">
        <f t="shared" si="114"/>
        <v>48440</v>
      </c>
      <c r="L347" s="183">
        <f t="shared" si="119"/>
        <v>83040</v>
      </c>
      <c r="M347" s="183">
        <f t="shared" si="120"/>
        <v>346</v>
      </c>
      <c r="N347" s="183">
        <f t="shared" si="121"/>
        <v>692</v>
      </c>
      <c r="O347" s="183">
        <f t="shared" si="122"/>
        <v>346</v>
      </c>
      <c r="P347" s="183">
        <f t="shared" si="123"/>
        <v>692</v>
      </c>
      <c r="Q347" s="183">
        <f t="shared" si="124"/>
        <v>346</v>
      </c>
      <c r="R347" s="183">
        <f t="shared" si="125"/>
        <v>692</v>
      </c>
      <c r="S347" s="183">
        <f t="shared" si="126"/>
        <v>346</v>
      </c>
      <c r="T347" s="183">
        <f t="shared" si="127"/>
        <v>692</v>
      </c>
      <c r="U347" s="183">
        <f t="shared" si="128"/>
        <v>346</v>
      </c>
      <c r="V347" s="183">
        <f t="shared" si="129"/>
        <v>692</v>
      </c>
      <c r="W347" s="12">
        <f>K347*属性价值参考!C$5+升级!L347*属性价值参考!C$6+升级!M347*属性价值参考!C$7+升级!N347*属性价值参考!C$8+升级!S347*属性价值参考!C$9+升级!T347*属性价值参考!C$10+升级!U347*属性价值参考!C$11+升级!V347*属性价值参考!C$12</f>
        <v>405982.56000000011</v>
      </c>
    </row>
    <row r="348" spans="1:23" x14ac:dyDescent="0.3">
      <c r="A348" s="22"/>
      <c r="B348" s="22"/>
      <c r="C348" s="24">
        <v>347</v>
      </c>
      <c r="D348" s="27" t="str">
        <f t="shared" si="115"/>
        <v>0#1#48580|0#2#1665|0#3#347|0#4#694|0#9#347|0#10#694|0#11#347|0#12#694</v>
      </c>
      <c r="E348" s="27" t="str">
        <f t="shared" si="116"/>
        <v>1#1#8096|1#2#83280|1#3#347|1#4#694|1#9#347|1#10#694|1#11#347|1#12#694</v>
      </c>
      <c r="F348" s="27" t="str">
        <f t="shared" si="117"/>
        <v>2#1#24290|2#2#41640|2#3#347|2#4#694|2#9#347|2#10#694|2#11#347|2#12#694</v>
      </c>
      <c r="G348" s="27" t="str">
        <f t="shared" si="118"/>
        <v>0#1#48580|0#2#1665|0#3#347|0#4#694|0#9#347|0#10#694|0#11#347|0#12#694|1#1#8096|1#2#83280|1#3#347|1#4#694|1#9#347|1#10#694|1#11#347|1#12#694|2#1#24290|2#2#41640|2#3#347|2#4#694|2#9#347|2#10#694|2#11#347|2#12#694</v>
      </c>
      <c r="H348" s="22"/>
      <c r="I348" s="25">
        <v>4200000000</v>
      </c>
      <c r="J348" s="197">
        <v>347</v>
      </c>
      <c r="K348" s="183">
        <f t="shared" si="114"/>
        <v>48580</v>
      </c>
      <c r="L348" s="183">
        <f t="shared" si="119"/>
        <v>83280</v>
      </c>
      <c r="M348" s="183">
        <f t="shared" si="120"/>
        <v>347</v>
      </c>
      <c r="N348" s="183">
        <f t="shared" si="121"/>
        <v>694</v>
      </c>
      <c r="O348" s="183">
        <f t="shared" si="122"/>
        <v>347</v>
      </c>
      <c r="P348" s="183">
        <f t="shared" si="123"/>
        <v>694</v>
      </c>
      <c r="Q348" s="183">
        <f t="shared" si="124"/>
        <v>347</v>
      </c>
      <c r="R348" s="183">
        <f t="shared" si="125"/>
        <v>694</v>
      </c>
      <c r="S348" s="183">
        <f t="shared" si="126"/>
        <v>347</v>
      </c>
      <c r="T348" s="183">
        <f t="shared" si="127"/>
        <v>694</v>
      </c>
      <c r="U348" s="183">
        <f t="shared" si="128"/>
        <v>347</v>
      </c>
      <c r="V348" s="183">
        <f t="shared" si="129"/>
        <v>694</v>
      </c>
      <c r="W348" s="12">
        <f>K348*属性价值参考!C$5+升级!L348*属性价值参考!C$6+升级!M348*属性价值参考!C$7+升级!N348*属性价值参考!C$8+升级!S348*属性价值参考!C$9+升级!T348*属性价值参考!C$10+升级!U348*属性价值参考!C$11+升级!V348*属性价值参考!C$12</f>
        <v>407155.92000000004</v>
      </c>
    </row>
    <row r="349" spans="1:23" x14ac:dyDescent="0.3">
      <c r="A349" s="22"/>
      <c r="B349" s="22"/>
      <c r="C349" s="27">
        <v>348</v>
      </c>
      <c r="D349" s="27" t="str">
        <f t="shared" si="115"/>
        <v>0#1#48720|0#2#1670|0#3#348|0#4#696|0#9#348|0#10#696|0#11#348|0#12#696</v>
      </c>
      <c r="E349" s="27" t="str">
        <f t="shared" si="116"/>
        <v>1#1#8120|1#2#83520|1#3#348|1#4#696|1#9#348|1#10#696|1#11#348|1#12#696</v>
      </c>
      <c r="F349" s="27" t="str">
        <f t="shared" si="117"/>
        <v>2#1#24360|2#2#41760|2#3#348|2#4#696|2#9#348|2#10#696|2#11#348|2#12#696</v>
      </c>
      <c r="G349" s="27" t="str">
        <f t="shared" si="118"/>
        <v>0#1#48720|0#2#1670|0#3#348|0#4#696|0#9#348|0#10#696|0#11#348|0#12#696|1#1#8120|1#2#83520|1#3#348|1#4#696|1#9#348|1#10#696|1#11#348|1#12#696|2#1#24360|2#2#41760|2#3#348|2#4#696|2#9#348|2#10#696|2#11#348|2#12#696</v>
      </c>
      <c r="H349" s="22"/>
      <c r="I349" s="28">
        <v>4200000000</v>
      </c>
      <c r="J349" s="198">
        <v>348</v>
      </c>
      <c r="K349" s="183">
        <f t="shared" si="114"/>
        <v>48720</v>
      </c>
      <c r="L349" s="183">
        <f t="shared" si="119"/>
        <v>83520</v>
      </c>
      <c r="M349" s="183">
        <f t="shared" si="120"/>
        <v>348</v>
      </c>
      <c r="N349" s="183">
        <f t="shared" si="121"/>
        <v>696</v>
      </c>
      <c r="O349" s="183">
        <f t="shared" si="122"/>
        <v>348</v>
      </c>
      <c r="P349" s="183">
        <f t="shared" si="123"/>
        <v>696</v>
      </c>
      <c r="Q349" s="183">
        <f t="shared" si="124"/>
        <v>348</v>
      </c>
      <c r="R349" s="183">
        <f t="shared" si="125"/>
        <v>696</v>
      </c>
      <c r="S349" s="183">
        <f t="shared" si="126"/>
        <v>348</v>
      </c>
      <c r="T349" s="183">
        <f t="shared" si="127"/>
        <v>696</v>
      </c>
      <c r="U349" s="183">
        <f t="shared" si="128"/>
        <v>348</v>
      </c>
      <c r="V349" s="183">
        <f t="shared" si="129"/>
        <v>696</v>
      </c>
      <c r="W349" s="12">
        <f>K349*属性价值参考!C$5+升级!L349*属性价值参考!C$6+升级!M349*属性价值参考!C$7+升级!N349*属性价值参考!C$8+升级!S349*属性价值参考!C$9+升级!T349*属性价值参考!C$10+升级!U349*属性价值参考!C$11+升级!V349*属性价值参考!C$12</f>
        <v>408329.27999999997</v>
      </c>
    </row>
    <row r="350" spans="1:23" x14ac:dyDescent="0.3">
      <c r="A350" s="22"/>
      <c r="B350" s="22"/>
      <c r="C350" s="24">
        <v>349</v>
      </c>
      <c r="D350" s="27" t="str">
        <f t="shared" si="115"/>
        <v>0#1#48860|0#2#1675|0#3#349|0#4#698|0#9#349|0#10#698|0#11#349|0#12#698</v>
      </c>
      <c r="E350" s="27" t="str">
        <f t="shared" si="116"/>
        <v>1#1#8143|1#2#83760|1#3#349|1#4#698|1#9#349|1#10#698|1#11#349|1#12#698</v>
      </c>
      <c r="F350" s="27" t="str">
        <f t="shared" si="117"/>
        <v>2#1#24430|2#2#41880|2#3#349|2#4#698|2#9#349|2#10#698|2#11#349|2#12#698</v>
      </c>
      <c r="G350" s="27" t="str">
        <f t="shared" si="118"/>
        <v>0#1#48860|0#2#1675|0#3#349|0#4#698|0#9#349|0#10#698|0#11#349|0#12#698|1#1#8143|1#2#83760|1#3#349|1#4#698|1#9#349|1#10#698|1#11#349|1#12#698|2#1#24430|2#2#41880|2#3#349|2#4#698|2#9#349|2#10#698|2#11#349|2#12#698</v>
      </c>
      <c r="H350" s="22"/>
      <c r="I350" s="25">
        <v>4200000000</v>
      </c>
      <c r="J350" s="197">
        <v>349</v>
      </c>
      <c r="K350" s="183">
        <f t="shared" si="114"/>
        <v>48860</v>
      </c>
      <c r="L350" s="183">
        <f t="shared" si="119"/>
        <v>83760</v>
      </c>
      <c r="M350" s="183">
        <f t="shared" si="120"/>
        <v>349</v>
      </c>
      <c r="N350" s="183">
        <f t="shared" si="121"/>
        <v>698</v>
      </c>
      <c r="O350" s="183">
        <f t="shared" si="122"/>
        <v>349</v>
      </c>
      <c r="P350" s="183">
        <f t="shared" si="123"/>
        <v>698</v>
      </c>
      <c r="Q350" s="183">
        <f t="shared" si="124"/>
        <v>349</v>
      </c>
      <c r="R350" s="183">
        <f t="shared" si="125"/>
        <v>698</v>
      </c>
      <c r="S350" s="183">
        <f t="shared" si="126"/>
        <v>349</v>
      </c>
      <c r="T350" s="183">
        <f t="shared" si="127"/>
        <v>698</v>
      </c>
      <c r="U350" s="183">
        <f t="shared" si="128"/>
        <v>349</v>
      </c>
      <c r="V350" s="183">
        <f t="shared" si="129"/>
        <v>698</v>
      </c>
      <c r="W350" s="12">
        <f>K350*属性价值参考!C$5+升级!L350*属性价值参考!C$6+升级!M350*属性价值参考!C$7+升级!N350*属性价值参考!C$8+升级!S350*属性价值参考!C$9+升级!T350*属性价值参考!C$10+升级!U350*属性价值参考!C$11+升级!V350*属性价值参考!C$12</f>
        <v>409502.6399999999</v>
      </c>
    </row>
    <row r="351" spans="1:23" x14ac:dyDescent="0.3">
      <c r="A351" s="22"/>
      <c r="B351" s="22"/>
      <c r="C351" s="27">
        <v>350</v>
      </c>
      <c r="D351" s="27" t="str">
        <f t="shared" si="115"/>
        <v>0#1#49000|0#2#1680|0#3#350|0#4#700|0#9#350|0#10#700|0#11#350|0#12#700</v>
      </c>
      <c r="E351" s="27" t="str">
        <f t="shared" si="116"/>
        <v>1#1#8166|1#2#84000|1#3#350|1#4#700|1#9#350|1#10#700|1#11#350|1#12#700</v>
      </c>
      <c r="F351" s="27" t="str">
        <f t="shared" si="117"/>
        <v>2#1#24500|2#2#42000|2#3#350|2#4#700|2#9#350|2#10#700|2#11#350|2#12#700</v>
      </c>
      <c r="G351" s="27" t="str">
        <f t="shared" si="118"/>
        <v>0#1#49000|0#2#1680|0#3#350|0#4#700|0#9#350|0#10#700|0#11#350|0#12#700|1#1#8166|1#2#84000|1#3#350|1#4#700|1#9#350|1#10#700|1#11#350|1#12#700|2#1#24500|2#2#42000|2#3#350|2#4#700|2#9#350|2#10#700|2#11#350|2#12#700</v>
      </c>
      <c r="H351" s="22"/>
      <c r="I351" s="28">
        <v>4200000000</v>
      </c>
      <c r="J351" s="198">
        <v>350</v>
      </c>
      <c r="K351" s="183">
        <f t="shared" si="114"/>
        <v>49000</v>
      </c>
      <c r="L351" s="183">
        <f t="shared" si="119"/>
        <v>84000</v>
      </c>
      <c r="M351" s="183">
        <f t="shared" si="120"/>
        <v>350</v>
      </c>
      <c r="N351" s="183">
        <f t="shared" si="121"/>
        <v>700</v>
      </c>
      <c r="O351" s="183">
        <f t="shared" si="122"/>
        <v>350</v>
      </c>
      <c r="P351" s="183">
        <f t="shared" si="123"/>
        <v>700</v>
      </c>
      <c r="Q351" s="183">
        <f t="shared" si="124"/>
        <v>350</v>
      </c>
      <c r="R351" s="183">
        <f t="shared" si="125"/>
        <v>700</v>
      </c>
      <c r="S351" s="183">
        <f t="shared" si="126"/>
        <v>350</v>
      </c>
      <c r="T351" s="183">
        <f t="shared" si="127"/>
        <v>700</v>
      </c>
      <c r="U351" s="183">
        <f t="shared" si="128"/>
        <v>350</v>
      </c>
      <c r="V351" s="183">
        <f t="shared" si="129"/>
        <v>700</v>
      </c>
      <c r="W351" s="12">
        <f>K351*属性价值参考!C$5+升级!L351*属性价值参考!C$6+升级!M351*属性价值参考!C$7+升级!N351*属性价值参考!C$8+升级!S351*属性价值参考!C$9+升级!T351*属性价值参考!C$10+升级!U351*属性价值参考!C$11+升级!V351*属性价值参考!C$12</f>
        <v>410676</v>
      </c>
    </row>
    <row r="352" spans="1:23" x14ac:dyDescent="0.3">
      <c r="A352" s="22"/>
      <c r="B352" s="22"/>
      <c r="C352" s="24">
        <v>351</v>
      </c>
      <c r="D352" s="27" t="str">
        <f t="shared" si="115"/>
        <v>0#1#49140|0#2#1684|0#3#351|0#4#702|0#9#351|0#10#702|0#11#351|0#12#702</v>
      </c>
      <c r="E352" s="27" t="str">
        <f t="shared" si="116"/>
        <v>1#1#8190|1#2#84240|1#3#351|1#4#702|1#9#351|1#10#702|1#11#351|1#12#702</v>
      </c>
      <c r="F352" s="27" t="str">
        <f t="shared" si="117"/>
        <v>2#1#24570|2#2#42120|2#3#351|2#4#702|2#9#351|2#10#702|2#11#351|2#12#702</v>
      </c>
      <c r="G352" s="27" t="str">
        <f t="shared" si="118"/>
        <v>0#1#49140|0#2#1684|0#3#351|0#4#702|0#9#351|0#10#702|0#11#351|0#12#702|1#1#8190|1#2#84240|1#3#351|1#4#702|1#9#351|1#10#702|1#11#351|1#12#702|2#1#24570|2#2#42120|2#3#351|2#4#702|2#9#351|2#10#702|2#11#351|2#12#702</v>
      </c>
      <c r="H352" s="22"/>
      <c r="I352" s="25">
        <v>4200000000</v>
      </c>
      <c r="J352" s="197">
        <v>351</v>
      </c>
      <c r="K352" s="183">
        <f t="shared" si="114"/>
        <v>49140</v>
      </c>
      <c r="L352" s="183">
        <f t="shared" si="119"/>
        <v>84240</v>
      </c>
      <c r="M352" s="183">
        <f t="shared" si="120"/>
        <v>351</v>
      </c>
      <c r="N352" s="183">
        <f t="shared" si="121"/>
        <v>702</v>
      </c>
      <c r="O352" s="183">
        <f t="shared" si="122"/>
        <v>351</v>
      </c>
      <c r="P352" s="183">
        <f t="shared" si="123"/>
        <v>702</v>
      </c>
      <c r="Q352" s="183">
        <f t="shared" si="124"/>
        <v>351</v>
      </c>
      <c r="R352" s="183">
        <f t="shared" si="125"/>
        <v>702</v>
      </c>
      <c r="S352" s="183">
        <f t="shared" si="126"/>
        <v>351</v>
      </c>
      <c r="T352" s="183">
        <f t="shared" si="127"/>
        <v>702</v>
      </c>
      <c r="U352" s="183">
        <f t="shared" si="128"/>
        <v>351</v>
      </c>
      <c r="V352" s="183">
        <f t="shared" si="129"/>
        <v>702</v>
      </c>
      <c r="W352" s="12">
        <f>K352*属性价值参考!C$5+升级!L352*属性价值参考!C$6+升级!M352*属性价值参考!C$7+升级!N352*属性价值参考!C$8+升级!S352*属性价值参考!C$9+升级!T352*属性价值参考!C$10+升级!U352*属性价值参考!C$11+升级!V352*属性价值参考!C$12</f>
        <v>411849.3600000001</v>
      </c>
    </row>
    <row r="353" spans="1:23" x14ac:dyDescent="0.3">
      <c r="A353" s="22"/>
      <c r="B353" s="22"/>
      <c r="C353" s="27">
        <v>352</v>
      </c>
      <c r="D353" s="27" t="str">
        <f t="shared" si="115"/>
        <v>0#1#49280|0#2#1689|0#3#352|0#4#704|0#9#352|0#10#704|0#11#352|0#12#704</v>
      </c>
      <c r="E353" s="27" t="str">
        <f t="shared" si="116"/>
        <v>1#1#8213|1#2#84480|1#3#352|1#4#704|1#9#352|1#10#704|1#11#352|1#12#704</v>
      </c>
      <c r="F353" s="27" t="str">
        <f t="shared" si="117"/>
        <v>2#1#24640|2#2#42240|2#3#352|2#4#704|2#9#352|2#10#704|2#11#352|2#12#704</v>
      </c>
      <c r="G353" s="27" t="str">
        <f t="shared" si="118"/>
        <v>0#1#49280|0#2#1689|0#3#352|0#4#704|0#9#352|0#10#704|0#11#352|0#12#704|1#1#8213|1#2#84480|1#3#352|1#4#704|1#9#352|1#10#704|1#11#352|1#12#704|2#1#24640|2#2#42240|2#3#352|2#4#704|2#9#352|2#10#704|2#11#352|2#12#704</v>
      </c>
      <c r="H353" s="22"/>
      <c r="I353" s="28">
        <v>4200000000</v>
      </c>
      <c r="J353" s="198">
        <v>352</v>
      </c>
      <c r="K353" s="183">
        <f t="shared" si="114"/>
        <v>49280</v>
      </c>
      <c r="L353" s="183">
        <f t="shared" si="119"/>
        <v>84480</v>
      </c>
      <c r="M353" s="183">
        <f t="shared" si="120"/>
        <v>352</v>
      </c>
      <c r="N353" s="183">
        <f t="shared" si="121"/>
        <v>704</v>
      </c>
      <c r="O353" s="183">
        <f t="shared" si="122"/>
        <v>352</v>
      </c>
      <c r="P353" s="183">
        <f t="shared" si="123"/>
        <v>704</v>
      </c>
      <c r="Q353" s="183">
        <f t="shared" si="124"/>
        <v>352</v>
      </c>
      <c r="R353" s="183">
        <f t="shared" si="125"/>
        <v>704</v>
      </c>
      <c r="S353" s="183">
        <f t="shared" si="126"/>
        <v>352</v>
      </c>
      <c r="T353" s="183">
        <f t="shared" si="127"/>
        <v>704</v>
      </c>
      <c r="U353" s="183">
        <f t="shared" si="128"/>
        <v>352</v>
      </c>
      <c r="V353" s="183">
        <f t="shared" si="129"/>
        <v>704</v>
      </c>
      <c r="W353" s="12">
        <f>K353*属性价值参考!C$5+升级!L353*属性价值参考!C$6+升级!M353*属性价值参考!C$7+升级!N353*属性价值参考!C$8+升级!S353*属性价值参考!C$9+升级!T353*属性价值参考!C$10+升级!U353*属性价值参考!C$11+升级!V353*属性价值参考!C$12</f>
        <v>413022.72000000003</v>
      </c>
    </row>
    <row r="354" spans="1:23" x14ac:dyDescent="0.3">
      <c r="A354" s="22"/>
      <c r="B354" s="22"/>
      <c r="C354" s="24">
        <v>353</v>
      </c>
      <c r="D354" s="27" t="str">
        <f t="shared" si="115"/>
        <v>0#1#49420|0#2#1694|0#3#353|0#4#706|0#9#353|0#10#706|0#11#353|0#12#706</v>
      </c>
      <c r="E354" s="27" t="str">
        <f t="shared" si="116"/>
        <v>1#1#8236|1#2#84720|1#3#353|1#4#706|1#9#353|1#10#706|1#11#353|1#12#706</v>
      </c>
      <c r="F354" s="27" t="str">
        <f t="shared" si="117"/>
        <v>2#1#24710|2#2#42360|2#3#353|2#4#706|2#9#353|2#10#706|2#11#353|2#12#706</v>
      </c>
      <c r="G354" s="27" t="str">
        <f t="shared" si="118"/>
        <v>0#1#49420|0#2#1694|0#3#353|0#4#706|0#9#353|0#10#706|0#11#353|0#12#706|1#1#8236|1#2#84720|1#3#353|1#4#706|1#9#353|1#10#706|1#11#353|1#12#706|2#1#24710|2#2#42360|2#3#353|2#4#706|2#9#353|2#10#706|2#11#353|2#12#706</v>
      </c>
      <c r="H354" s="22"/>
      <c r="I354" s="25">
        <v>4200000000</v>
      </c>
      <c r="J354" s="197">
        <v>353</v>
      </c>
      <c r="K354" s="183">
        <f t="shared" si="114"/>
        <v>49420</v>
      </c>
      <c r="L354" s="183">
        <f t="shared" si="119"/>
        <v>84720</v>
      </c>
      <c r="M354" s="183">
        <f t="shared" si="120"/>
        <v>353</v>
      </c>
      <c r="N354" s="183">
        <f t="shared" si="121"/>
        <v>706</v>
      </c>
      <c r="O354" s="183">
        <f t="shared" si="122"/>
        <v>353</v>
      </c>
      <c r="P354" s="183">
        <f t="shared" si="123"/>
        <v>706</v>
      </c>
      <c r="Q354" s="183">
        <f t="shared" si="124"/>
        <v>353</v>
      </c>
      <c r="R354" s="183">
        <f t="shared" si="125"/>
        <v>706</v>
      </c>
      <c r="S354" s="183">
        <f t="shared" si="126"/>
        <v>353</v>
      </c>
      <c r="T354" s="183">
        <f t="shared" si="127"/>
        <v>706</v>
      </c>
      <c r="U354" s="183">
        <f t="shared" si="128"/>
        <v>353</v>
      </c>
      <c r="V354" s="183">
        <f t="shared" si="129"/>
        <v>706</v>
      </c>
      <c r="W354" s="12">
        <f>K354*属性价值参考!C$5+升级!L354*属性价值参考!C$6+升级!M354*属性价值参考!C$7+升级!N354*属性价值参考!C$8+升级!S354*属性价值参考!C$9+升级!T354*属性价值参考!C$10+升级!U354*属性价值参考!C$11+升级!V354*属性价值参考!C$12</f>
        <v>414196.0799999999</v>
      </c>
    </row>
    <row r="355" spans="1:23" x14ac:dyDescent="0.3">
      <c r="A355" s="22"/>
      <c r="B355" s="22"/>
      <c r="C355" s="27">
        <v>354</v>
      </c>
      <c r="D355" s="27" t="str">
        <f t="shared" si="115"/>
        <v>0#1#49560|0#2#1699|0#3#354|0#4#708|0#9#354|0#10#708|0#11#354|0#12#708</v>
      </c>
      <c r="E355" s="27" t="str">
        <f t="shared" si="116"/>
        <v>1#1#8260|1#2#84960|1#3#354|1#4#708|1#9#354|1#10#708|1#11#354|1#12#708</v>
      </c>
      <c r="F355" s="27" t="str">
        <f t="shared" si="117"/>
        <v>2#1#24780|2#2#42480|2#3#354|2#4#708|2#9#354|2#10#708|2#11#354|2#12#708</v>
      </c>
      <c r="G355" s="27" t="str">
        <f t="shared" si="118"/>
        <v>0#1#49560|0#2#1699|0#3#354|0#4#708|0#9#354|0#10#708|0#11#354|0#12#708|1#1#8260|1#2#84960|1#3#354|1#4#708|1#9#354|1#10#708|1#11#354|1#12#708|2#1#24780|2#2#42480|2#3#354|2#4#708|2#9#354|2#10#708|2#11#354|2#12#708</v>
      </c>
      <c r="H355" s="22"/>
      <c r="I355" s="28">
        <v>4200000000</v>
      </c>
      <c r="J355" s="198">
        <v>354</v>
      </c>
      <c r="K355" s="183">
        <f t="shared" si="114"/>
        <v>49560</v>
      </c>
      <c r="L355" s="183">
        <f t="shared" si="119"/>
        <v>84960</v>
      </c>
      <c r="M355" s="183">
        <f t="shared" si="120"/>
        <v>354</v>
      </c>
      <c r="N355" s="183">
        <f t="shared" si="121"/>
        <v>708</v>
      </c>
      <c r="O355" s="183">
        <f t="shared" si="122"/>
        <v>354</v>
      </c>
      <c r="P355" s="183">
        <f t="shared" si="123"/>
        <v>708</v>
      </c>
      <c r="Q355" s="183">
        <f t="shared" si="124"/>
        <v>354</v>
      </c>
      <c r="R355" s="183">
        <f t="shared" si="125"/>
        <v>708</v>
      </c>
      <c r="S355" s="183">
        <f t="shared" si="126"/>
        <v>354</v>
      </c>
      <c r="T355" s="183">
        <f t="shared" si="127"/>
        <v>708</v>
      </c>
      <c r="U355" s="183">
        <f t="shared" si="128"/>
        <v>354</v>
      </c>
      <c r="V355" s="183">
        <f t="shared" si="129"/>
        <v>708</v>
      </c>
      <c r="W355" s="12">
        <f>K355*属性价值参考!C$5+升级!L355*属性价值参考!C$6+升级!M355*属性价值参考!C$7+升级!N355*属性价值参考!C$8+升级!S355*属性价值参考!C$9+升级!T355*属性价值参考!C$10+升级!U355*属性价值参考!C$11+升级!V355*属性价值参考!C$12</f>
        <v>415369.43999999989</v>
      </c>
    </row>
    <row r="356" spans="1:23" x14ac:dyDescent="0.3">
      <c r="A356" s="22"/>
      <c r="B356" s="22"/>
      <c r="C356" s="24">
        <v>355</v>
      </c>
      <c r="D356" s="27" t="str">
        <f t="shared" si="115"/>
        <v>0#1#49700|0#2#1704|0#3#355|0#4#710|0#9#355|0#10#710|0#11#355|0#12#710</v>
      </c>
      <c r="E356" s="27" t="str">
        <f t="shared" si="116"/>
        <v>1#1#8283|1#2#85200|1#3#355|1#4#710|1#9#355|1#10#710|1#11#355|1#12#710</v>
      </c>
      <c r="F356" s="27" t="str">
        <f t="shared" si="117"/>
        <v>2#1#24850|2#2#42600|2#3#355|2#4#710|2#9#355|2#10#710|2#11#355|2#12#710</v>
      </c>
      <c r="G356" s="27" t="str">
        <f t="shared" si="118"/>
        <v>0#1#49700|0#2#1704|0#3#355|0#4#710|0#9#355|0#10#710|0#11#355|0#12#710|1#1#8283|1#2#85200|1#3#355|1#4#710|1#9#355|1#10#710|1#11#355|1#12#710|2#1#24850|2#2#42600|2#3#355|2#4#710|2#9#355|2#10#710|2#11#355|2#12#710</v>
      </c>
      <c r="H356" s="22"/>
      <c r="I356" s="25">
        <v>4200000000</v>
      </c>
      <c r="J356" s="197">
        <v>355</v>
      </c>
      <c r="K356" s="183">
        <f t="shared" si="114"/>
        <v>49700</v>
      </c>
      <c r="L356" s="183">
        <f t="shared" si="119"/>
        <v>85200</v>
      </c>
      <c r="M356" s="183">
        <f t="shared" si="120"/>
        <v>355</v>
      </c>
      <c r="N356" s="183">
        <f t="shared" si="121"/>
        <v>710</v>
      </c>
      <c r="O356" s="183">
        <f t="shared" si="122"/>
        <v>355</v>
      </c>
      <c r="P356" s="183">
        <f t="shared" si="123"/>
        <v>710</v>
      </c>
      <c r="Q356" s="183">
        <f t="shared" si="124"/>
        <v>355</v>
      </c>
      <c r="R356" s="183">
        <f t="shared" si="125"/>
        <v>710</v>
      </c>
      <c r="S356" s="183">
        <f t="shared" si="126"/>
        <v>355</v>
      </c>
      <c r="T356" s="183">
        <f t="shared" si="127"/>
        <v>710</v>
      </c>
      <c r="U356" s="183">
        <f t="shared" si="128"/>
        <v>355</v>
      </c>
      <c r="V356" s="183">
        <f t="shared" si="129"/>
        <v>710</v>
      </c>
      <c r="W356" s="12">
        <f>K356*属性价值参考!C$5+升级!L356*属性价值参考!C$6+升级!M356*属性价值参考!C$7+升级!N356*属性价值参考!C$8+升级!S356*属性价值参考!C$9+升级!T356*属性价值参考!C$10+升级!U356*属性价值参考!C$11+升级!V356*属性价值参考!C$12</f>
        <v>416542.8</v>
      </c>
    </row>
    <row r="357" spans="1:23" x14ac:dyDescent="0.3">
      <c r="A357" s="22"/>
      <c r="B357" s="22"/>
      <c r="C357" s="27">
        <v>356</v>
      </c>
      <c r="D357" s="27" t="str">
        <f t="shared" si="115"/>
        <v>0#1#49840|0#2#1708|0#3#356|0#4#712|0#9#356|0#10#712|0#11#356|0#12#712</v>
      </c>
      <c r="E357" s="27" t="str">
        <f t="shared" si="116"/>
        <v>1#1#8306|1#2#85440|1#3#356|1#4#712|1#9#356|1#10#712|1#11#356|1#12#712</v>
      </c>
      <c r="F357" s="27" t="str">
        <f t="shared" si="117"/>
        <v>2#1#24920|2#2#42720|2#3#356|2#4#712|2#9#356|2#10#712|2#11#356|2#12#712</v>
      </c>
      <c r="G357" s="27" t="str">
        <f t="shared" si="118"/>
        <v>0#1#49840|0#2#1708|0#3#356|0#4#712|0#9#356|0#10#712|0#11#356|0#12#712|1#1#8306|1#2#85440|1#3#356|1#4#712|1#9#356|1#10#712|1#11#356|1#12#712|2#1#24920|2#2#42720|2#3#356|2#4#712|2#9#356|2#10#712|2#11#356|2#12#712</v>
      </c>
      <c r="H357" s="22"/>
      <c r="I357" s="28">
        <v>4200000000</v>
      </c>
      <c r="J357" s="198">
        <v>356</v>
      </c>
      <c r="K357" s="183">
        <f t="shared" si="114"/>
        <v>49840</v>
      </c>
      <c r="L357" s="183">
        <f t="shared" si="119"/>
        <v>85440</v>
      </c>
      <c r="M357" s="183">
        <f t="shared" si="120"/>
        <v>356</v>
      </c>
      <c r="N357" s="183">
        <f t="shared" si="121"/>
        <v>712</v>
      </c>
      <c r="O357" s="183">
        <f t="shared" si="122"/>
        <v>356</v>
      </c>
      <c r="P357" s="183">
        <f t="shared" si="123"/>
        <v>712</v>
      </c>
      <c r="Q357" s="183">
        <f t="shared" si="124"/>
        <v>356</v>
      </c>
      <c r="R357" s="183">
        <f t="shared" si="125"/>
        <v>712</v>
      </c>
      <c r="S357" s="183">
        <f t="shared" si="126"/>
        <v>356</v>
      </c>
      <c r="T357" s="183">
        <f t="shared" si="127"/>
        <v>712</v>
      </c>
      <c r="U357" s="183">
        <f t="shared" si="128"/>
        <v>356</v>
      </c>
      <c r="V357" s="183">
        <f t="shared" si="129"/>
        <v>712</v>
      </c>
      <c r="W357" s="12">
        <f>K357*属性价值参考!C$5+升级!L357*属性价值参考!C$6+升级!M357*属性价值参考!C$7+升级!N357*属性价值参考!C$8+升级!S357*属性价值参考!C$9+升级!T357*属性价值参考!C$10+升级!U357*属性价值参考!C$11+升级!V357*属性价值参考!C$12</f>
        <v>417716.16000000009</v>
      </c>
    </row>
    <row r="358" spans="1:23" x14ac:dyDescent="0.3">
      <c r="A358" s="22"/>
      <c r="B358" s="22"/>
      <c r="C358" s="24">
        <v>357</v>
      </c>
      <c r="D358" s="27" t="str">
        <f t="shared" si="115"/>
        <v>0#1#49980|0#2#1713|0#3#357|0#4#714|0#9#357|0#10#714|0#11#357|0#12#714</v>
      </c>
      <c r="E358" s="27" t="str">
        <f t="shared" si="116"/>
        <v>1#1#8330|1#2#85680|1#3#357|1#4#714|1#9#357|1#10#714|1#11#357|1#12#714</v>
      </c>
      <c r="F358" s="27" t="str">
        <f t="shared" si="117"/>
        <v>2#1#24990|2#2#42840|2#3#357|2#4#714|2#9#357|2#10#714|2#11#357|2#12#714</v>
      </c>
      <c r="G358" s="27" t="str">
        <f t="shared" si="118"/>
        <v>0#1#49980|0#2#1713|0#3#357|0#4#714|0#9#357|0#10#714|0#11#357|0#12#714|1#1#8330|1#2#85680|1#3#357|1#4#714|1#9#357|1#10#714|1#11#357|1#12#714|2#1#24990|2#2#42840|2#3#357|2#4#714|2#9#357|2#10#714|2#11#357|2#12#714</v>
      </c>
      <c r="H358" s="22"/>
      <c r="I358" s="25">
        <v>4200000000</v>
      </c>
      <c r="J358" s="197">
        <v>357</v>
      </c>
      <c r="K358" s="183">
        <f t="shared" si="114"/>
        <v>49980</v>
      </c>
      <c r="L358" s="183">
        <f t="shared" si="119"/>
        <v>85680</v>
      </c>
      <c r="M358" s="183">
        <f t="shared" si="120"/>
        <v>357</v>
      </c>
      <c r="N358" s="183">
        <f t="shared" si="121"/>
        <v>714</v>
      </c>
      <c r="O358" s="183">
        <f t="shared" si="122"/>
        <v>357</v>
      </c>
      <c r="P358" s="183">
        <f t="shared" si="123"/>
        <v>714</v>
      </c>
      <c r="Q358" s="183">
        <f t="shared" si="124"/>
        <v>357</v>
      </c>
      <c r="R358" s="183">
        <f t="shared" si="125"/>
        <v>714</v>
      </c>
      <c r="S358" s="183">
        <f t="shared" si="126"/>
        <v>357</v>
      </c>
      <c r="T358" s="183">
        <f t="shared" si="127"/>
        <v>714</v>
      </c>
      <c r="U358" s="183">
        <f t="shared" si="128"/>
        <v>357</v>
      </c>
      <c r="V358" s="183">
        <f t="shared" si="129"/>
        <v>714</v>
      </c>
      <c r="W358" s="12">
        <f>K358*属性价值参考!C$5+升级!L358*属性价值参考!C$6+升级!M358*属性价值参考!C$7+升级!N358*属性价值参考!C$8+升级!S358*属性价值参考!C$9+升级!T358*属性价值参考!C$10+升级!U358*属性价值参考!C$11+升级!V358*属性价值参考!C$12</f>
        <v>418889.52</v>
      </c>
    </row>
    <row r="359" spans="1:23" x14ac:dyDescent="0.3">
      <c r="A359" s="22"/>
      <c r="B359" s="22"/>
      <c r="C359" s="27">
        <v>358</v>
      </c>
      <c r="D359" s="27" t="str">
        <f t="shared" si="115"/>
        <v>0#1#50120|0#2#1718|0#3#358|0#4#716|0#9#358|0#10#716|0#11#358|0#12#716</v>
      </c>
      <c r="E359" s="27" t="str">
        <f t="shared" si="116"/>
        <v>1#1#8353|1#2#85920|1#3#358|1#4#716|1#9#358|1#10#716|1#11#358|1#12#716</v>
      </c>
      <c r="F359" s="27" t="str">
        <f t="shared" si="117"/>
        <v>2#1#25060|2#2#42960|2#3#358|2#4#716|2#9#358|2#10#716|2#11#358|2#12#716</v>
      </c>
      <c r="G359" s="27" t="str">
        <f t="shared" si="118"/>
        <v>0#1#50120|0#2#1718|0#3#358|0#4#716|0#9#358|0#10#716|0#11#358|0#12#716|1#1#8353|1#2#85920|1#3#358|1#4#716|1#9#358|1#10#716|1#11#358|1#12#716|2#1#25060|2#2#42960|2#3#358|2#4#716|2#9#358|2#10#716|2#11#358|2#12#716</v>
      </c>
      <c r="H359" s="22"/>
      <c r="I359" s="28">
        <v>4200000000</v>
      </c>
      <c r="J359" s="198">
        <v>358</v>
      </c>
      <c r="K359" s="183">
        <f t="shared" si="114"/>
        <v>50120</v>
      </c>
      <c r="L359" s="183">
        <f t="shared" si="119"/>
        <v>85920</v>
      </c>
      <c r="M359" s="183">
        <f t="shared" si="120"/>
        <v>358</v>
      </c>
      <c r="N359" s="183">
        <f t="shared" si="121"/>
        <v>716</v>
      </c>
      <c r="O359" s="183">
        <f t="shared" si="122"/>
        <v>358</v>
      </c>
      <c r="P359" s="183">
        <f t="shared" si="123"/>
        <v>716</v>
      </c>
      <c r="Q359" s="183">
        <f t="shared" si="124"/>
        <v>358</v>
      </c>
      <c r="R359" s="183">
        <f t="shared" si="125"/>
        <v>716</v>
      </c>
      <c r="S359" s="183">
        <f t="shared" si="126"/>
        <v>358</v>
      </c>
      <c r="T359" s="183">
        <f t="shared" si="127"/>
        <v>716</v>
      </c>
      <c r="U359" s="183">
        <f t="shared" si="128"/>
        <v>358</v>
      </c>
      <c r="V359" s="183">
        <f t="shared" si="129"/>
        <v>716</v>
      </c>
      <c r="W359" s="12">
        <f>K359*属性价值参考!C$5+升级!L359*属性价值参考!C$6+升级!M359*属性价值参考!C$7+升级!N359*属性价值参考!C$8+升级!S359*属性价值参考!C$9+升级!T359*属性价值参考!C$10+升级!U359*属性价值参考!C$11+升级!V359*属性价值参考!C$12</f>
        <v>420062.87999999995</v>
      </c>
    </row>
    <row r="360" spans="1:23" x14ac:dyDescent="0.3">
      <c r="A360" s="22"/>
      <c r="B360" s="22"/>
      <c r="C360" s="24">
        <v>359</v>
      </c>
      <c r="D360" s="27" t="str">
        <f t="shared" si="115"/>
        <v>0#1#50260|0#2#1723|0#3#359|0#4#718|0#9#359|0#10#718|0#11#359|0#12#718</v>
      </c>
      <c r="E360" s="27" t="str">
        <f t="shared" si="116"/>
        <v>1#1#8376|1#2#86160|1#3#359|1#4#718|1#9#359|1#10#718|1#11#359|1#12#718</v>
      </c>
      <c r="F360" s="27" t="str">
        <f t="shared" si="117"/>
        <v>2#1#25130|2#2#43080|2#3#359|2#4#718|2#9#359|2#10#718|2#11#359|2#12#718</v>
      </c>
      <c r="G360" s="27" t="str">
        <f t="shared" si="118"/>
        <v>0#1#50260|0#2#1723|0#3#359|0#4#718|0#9#359|0#10#718|0#11#359|0#12#718|1#1#8376|1#2#86160|1#3#359|1#4#718|1#9#359|1#10#718|1#11#359|1#12#718|2#1#25130|2#2#43080|2#3#359|2#4#718|2#9#359|2#10#718|2#11#359|2#12#718</v>
      </c>
      <c r="H360" s="22"/>
      <c r="I360" s="25">
        <v>4200000000</v>
      </c>
      <c r="J360" s="197">
        <v>359</v>
      </c>
      <c r="K360" s="183">
        <f t="shared" si="114"/>
        <v>50260</v>
      </c>
      <c r="L360" s="183">
        <f t="shared" si="119"/>
        <v>86160</v>
      </c>
      <c r="M360" s="183">
        <f t="shared" si="120"/>
        <v>359</v>
      </c>
      <c r="N360" s="183">
        <f t="shared" si="121"/>
        <v>718</v>
      </c>
      <c r="O360" s="183">
        <f t="shared" si="122"/>
        <v>359</v>
      </c>
      <c r="P360" s="183">
        <f t="shared" si="123"/>
        <v>718</v>
      </c>
      <c r="Q360" s="183">
        <f t="shared" si="124"/>
        <v>359</v>
      </c>
      <c r="R360" s="183">
        <f t="shared" si="125"/>
        <v>718</v>
      </c>
      <c r="S360" s="183">
        <f t="shared" si="126"/>
        <v>359</v>
      </c>
      <c r="T360" s="183">
        <f t="shared" si="127"/>
        <v>718</v>
      </c>
      <c r="U360" s="183">
        <f t="shared" si="128"/>
        <v>359</v>
      </c>
      <c r="V360" s="183">
        <f t="shared" si="129"/>
        <v>718</v>
      </c>
      <c r="W360" s="12">
        <f>K360*属性价值参考!C$5+升级!L360*属性价值参考!C$6+升级!M360*属性价值参考!C$7+升级!N360*属性价值参考!C$8+升级!S360*属性价值参考!C$9+升级!T360*属性价值参考!C$10+升级!U360*属性价值参考!C$11+升级!V360*属性价值参考!C$12</f>
        <v>421236.23999999987</v>
      </c>
    </row>
    <row r="361" spans="1:23" x14ac:dyDescent="0.3">
      <c r="A361" s="22"/>
      <c r="B361" s="22"/>
      <c r="C361" s="27">
        <v>360</v>
      </c>
      <c r="D361" s="27" t="str">
        <f t="shared" si="115"/>
        <v>0#1#50400|0#2#1728|0#3#360|0#4#720|0#9#360|0#10#720|0#11#360|0#12#720</v>
      </c>
      <c r="E361" s="27" t="str">
        <f t="shared" si="116"/>
        <v>1#1#8400|1#2#86400|1#3#360|1#4#720|1#9#360|1#10#720|1#11#360|1#12#720</v>
      </c>
      <c r="F361" s="27" t="str">
        <f t="shared" si="117"/>
        <v>2#1#25200|2#2#43200|2#3#360|2#4#720|2#9#360|2#10#720|2#11#360|2#12#720</v>
      </c>
      <c r="G361" s="27" t="str">
        <f t="shared" si="118"/>
        <v>0#1#50400|0#2#1728|0#3#360|0#4#720|0#9#360|0#10#720|0#11#360|0#12#720|1#1#8400|1#2#86400|1#3#360|1#4#720|1#9#360|1#10#720|1#11#360|1#12#720|2#1#25200|2#2#43200|2#3#360|2#4#720|2#9#360|2#10#720|2#11#360|2#12#720</v>
      </c>
      <c r="H361" s="22"/>
      <c r="I361" s="28">
        <v>4200000000</v>
      </c>
      <c r="J361" s="198">
        <v>360</v>
      </c>
      <c r="K361" s="183">
        <f t="shared" si="114"/>
        <v>50400</v>
      </c>
      <c r="L361" s="183">
        <f t="shared" si="119"/>
        <v>86400</v>
      </c>
      <c r="M361" s="183">
        <f t="shared" si="120"/>
        <v>360</v>
      </c>
      <c r="N361" s="183">
        <f t="shared" si="121"/>
        <v>720</v>
      </c>
      <c r="O361" s="183">
        <f t="shared" si="122"/>
        <v>360</v>
      </c>
      <c r="P361" s="183">
        <f t="shared" si="123"/>
        <v>720</v>
      </c>
      <c r="Q361" s="183">
        <f t="shared" si="124"/>
        <v>360</v>
      </c>
      <c r="R361" s="183">
        <f t="shared" si="125"/>
        <v>720</v>
      </c>
      <c r="S361" s="183">
        <f t="shared" si="126"/>
        <v>360</v>
      </c>
      <c r="T361" s="183">
        <f t="shared" si="127"/>
        <v>720</v>
      </c>
      <c r="U361" s="183">
        <f t="shared" si="128"/>
        <v>360</v>
      </c>
      <c r="V361" s="183">
        <f t="shared" si="129"/>
        <v>720</v>
      </c>
      <c r="W361" s="12">
        <f>K361*属性价值参考!C$5+升级!L361*属性价值参考!C$6+升级!M361*属性价值参考!C$7+升级!N361*属性价值参考!C$8+升级!S361*属性价值参考!C$9+升级!T361*属性价值参考!C$10+升级!U361*属性价值参考!C$11+升级!V361*属性价值参考!C$12</f>
        <v>422409.6</v>
      </c>
    </row>
    <row r="362" spans="1:23" x14ac:dyDescent="0.3">
      <c r="A362" s="22"/>
      <c r="B362" s="22"/>
      <c r="C362" s="24">
        <v>361</v>
      </c>
      <c r="D362" s="27" t="str">
        <f t="shared" si="115"/>
        <v>0#1#50540|0#2#1732|0#3#361|0#4#722|0#9#361|0#10#722|0#11#361|0#12#722</v>
      </c>
      <c r="E362" s="27" t="str">
        <f t="shared" si="116"/>
        <v>1#1#8423|1#2#86640|1#3#361|1#4#722|1#9#361|1#10#722|1#11#361|1#12#722</v>
      </c>
      <c r="F362" s="27" t="str">
        <f t="shared" si="117"/>
        <v>2#1#25270|2#2#43320|2#3#361|2#4#722|2#9#361|2#10#722|2#11#361|2#12#722</v>
      </c>
      <c r="G362" s="27" t="str">
        <f t="shared" si="118"/>
        <v>0#1#50540|0#2#1732|0#3#361|0#4#722|0#9#361|0#10#722|0#11#361|0#12#722|1#1#8423|1#2#86640|1#3#361|1#4#722|1#9#361|1#10#722|1#11#361|1#12#722|2#1#25270|2#2#43320|2#3#361|2#4#722|2#9#361|2#10#722|2#11#361|2#12#722</v>
      </c>
      <c r="H362" s="22"/>
      <c r="I362" s="25">
        <v>4200000000</v>
      </c>
      <c r="J362" s="197">
        <v>361</v>
      </c>
      <c r="K362" s="183">
        <f t="shared" si="114"/>
        <v>50540</v>
      </c>
      <c r="L362" s="183">
        <f t="shared" si="119"/>
        <v>86640</v>
      </c>
      <c r="M362" s="183">
        <f t="shared" si="120"/>
        <v>361</v>
      </c>
      <c r="N362" s="183">
        <f t="shared" si="121"/>
        <v>722</v>
      </c>
      <c r="O362" s="183">
        <f t="shared" si="122"/>
        <v>361</v>
      </c>
      <c r="P362" s="183">
        <f t="shared" si="123"/>
        <v>722</v>
      </c>
      <c r="Q362" s="183">
        <f t="shared" si="124"/>
        <v>361</v>
      </c>
      <c r="R362" s="183">
        <f t="shared" si="125"/>
        <v>722</v>
      </c>
      <c r="S362" s="183">
        <f t="shared" si="126"/>
        <v>361</v>
      </c>
      <c r="T362" s="183">
        <f t="shared" si="127"/>
        <v>722</v>
      </c>
      <c r="U362" s="183">
        <f t="shared" si="128"/>
        <v>361</v>
      </c>
      <c r="V362" s="183">
        <f t="shared" si="129"/>
        <v>722</v>
      </c>
      <c r="W362" s="12">
        <f>K362*属性价值参考!C$5+升级!L362*属性价值参考!C$6+升级!M362*属性价值参考!C$7+升级!N362*属性价值参考!C$8+升级!S362*属性价值参考!C$9+升级!T362*属性价值参考!C$10+升级!U362*属性价值参考!C$11+升级!V362*属性价值参考!C$12</f>
        <v>423582.96000000008</v>
      </c>
    </row>
    <row r="363" spans="1:23" x14ac:dyDescent="0.3">
      <c r="A363" s="22"/>
      <c r="B363" s="22"/>
      <c r="C363" s="27">
        <v>362</v>
      </c>
      <c r="D363" s="27" t="str">
        <f t="shared" si="115"/>
        <v>0#1#50680|0#2#1737|0#3#362|0#4#724|0#9#362|0#10#724|0#11#362|0#12#724</v>
      </c>
      <c r="E363" s="27" t="str">
        <f t="shared" si="116"/>
        <v>1#1#8446|1#2#86880|1#3#362|1#4#724|1#9#362|1#10#724|1#11#362|1#12#724</v>
      </c>
      <c r="F363" s="27" t="str">
        <f t="shared" si="117"/>
        <v>2#1#25340|2#2#43440|2#3#362|2#4#724|2#9#362|2#10#724|2#11#362|2#12#724</v>
      </c>
      <c r="G363" s="27" t="str">
        <f t="shared" si="118"/>
        <v>0#1#50680|0#2#1737|0#3#362|0#4#724|0#9#362|0#10#724|0#11#362|0#12#724|1#1#8446|1#2#86880|1#3#362|1#4#724|1#9#362|1#10#724|1#11#362|1#12#724|2#1#25340|2#2#43440|2#3#362|2#4#724|2#9#362|2#10#724|2#11#362|2#12#724</v>
      </c>
      <c r="H363" s="22"/>
      <c r="I363" s="28">
        <v>4200000000</v>
      </c>
      <c r="J363" s="198">
        <v>362</v>
      </c>
      <c r="K363" s="183">
        <f t="shared" si="114"/>
        <v>50680</v>
      </c>
      <c r="L363" s="183">
        <f t="shared" si="119"/>
        <v>86880</v>
      </c>
      <c r="M363" s="183">
        <f t="shared" si="120"/>
        <v>362</v>
      </c>
      <c r="N363" s="183">
        <f t="shared" si="121"/>
        <v>724</v>
      </c>
      <c r="O363" s="183">
        <f t="shared" si="122"/>
        <v>362</v>
      </c>
      <c r="P363" s="183">
        <f t="shared" si="123"/>
        <v>724</v>
      </c>
      <c r="Q363" s="183">
        <f t="shared" si="124"/>
        <v>362</v>
      </c>
      <c r="R363" s="183">
        <f t="shared" si="125"/>
        <v>724</v>
      </c>
      <c r="S363" s="183">
        <f t="shared" si="126"/>
        <v>362</v>
      </c>
      <c r="T363" s="183">
        <f t="shared" si="127"/>
        <v>724</v>
      </c>
      <c r="U363" s="183">
        <f t="shared" si="128"/>
        <v>362</v>
      </c>
      <c r="V363" s="183">
        <f t="shared" si="129"/>
        <v>724</v>
      </c>
      <c r="W363" s="12">
        <f>K363*属性价值参考!C$5+升级!L363*属性价值参考!C$6+升级!M363*属性价值参考!C$7+升级!N363*属性价值参考!C$8+升级!S363*属性价值参考!C$9+升级!T363*属性价值参考!C$10+升级!U363*属性价值参考!C$11+升级!V363*属性价值参考!C$12</f>
        <v>424756.32</v>
      </c>
    </row>
    <row r="364" spans="1:23" x14ac:dyDescent="0.3">
      <c r="A364" s="22"/>
      <c r="B364" s="22"/>
      <c r="C364" s="24">
        <v>363</v>
      </c>
      <c r="D364" s="27" t="str">
        <f t="shared" si="115"/>
        <v>0#1#50820|0#2#1742|0#3#363|0#4#726|0#9#363|0#10#726|0#11#363|0#12#726</v>
      </c>
      <c r="E364" s="27" t="str">
        <f t="shared" si="116"/>
        <v>1#1#8470|1#2#87120|1#3#363|1#4#726|1#9#363|1#10#726|1#11#363|1#12#726</v>
      </c>
      <c r="F364" s="27" t="str">
        <f t="shared" si="117"/>
        <v>2#1#25410|2#2#43560|2#3#363|2#4#726|2#9#363|2#10#726|2#11#363|2#12#726</v>
      </c>
      <c r="G364" s="27" t="str">
        <f t="shared" si="118"/>
        <v>0#1#50820|0#2#1742|0#3#363|0#4#726|0#9#363|0#10#726|0#11#363|0#12#726|1#1#8470|1#2#87120|1#3#363|1#4#726|1#9#363|1#10#726|1#11#363|1#12#726|2#1#25410|2#2#43560|2#3#363|2#4#726|2#9#363|2#10#726|2#11#363|2#12#726</v>
      </c>
      <c r="H364" s="22"/>
      <c r="I364" s="25">
        <v>4200000000</v>
      </c>
      <c r="J364" s="197">
        <v>363</v>
      </c>
      <c r="K364" s="183">
        <f t="shared" si="114"/>
        <v>50820</v>
      </c>
      <c r="L364" s="183">
        <f t="shared" si="119"/>
        <v>87120</v>
      </c>
      <c r="M364" s="183">
        <f t="shared" si="120"/>
        <v>363</v>
      </c>
      <c r="N364" s="183">
        <f t="shared" si="121"/>
        <v>726</v>
      </c>
      <c r="O364" s="183">
        <f t="shared" si="122"/>
        <v>363</v>
      </c>
      <c r="P364" s="183">
        <f t="shared" si="123"/>
        <v>726</v>
      </c>
      <c r="Q364" s="183">
        <f t="shared" si="124"/>
        <v>363</v>
      </c>
      <c r="R364" s="183">
        <f t="shared" si="125"/>
        <v>726</v>
      </c>
      <c r="S364" s="183">
        <f t="shared" si="126"/>
        <v>363</v>
      </c>
      <c r="T364" s="183">
        <f t="shared" si="127"/>
        <v>726</v>
      </c>
      <c r="U364" s="183">
        <f t="shared" si="128"/>
        <v>363</v>
      </c>
      <c r="V364" s="183">
        <f t="shared" si="129"/>
        <v>726</v>
      </c>
      <c r="W364" s="12">
        <f>K364*属性价值参考!C$5+升级!L364*属性价值参考!C$6+升级!M364*属性价值参考!C$7+升级!N364*属性价值参考!C$8+升级!S364*属性价值参考!C$9+升级!T364*属性价值参考!C$10+升级!U364*属性价值参考!C$11+升级!V364*属性价值参考!C$12</f>
        <v>425929.67999999993</v>
      </c>
    </row>
    <row r="365" spans="1:23" x14ac:dyDescent="0.3">
      <c r="A365" s="22"/>
      <c r="B365" s="22"/>
      <c r="C365" s="27">
        <v>364</v>
      </c>
      <c r="D365" s="27" t="str">
        <f t="shared" si="115"/>
        <v>0#1#50960|0#2#1747|0#3#364|0#4#728|0#9#364|0#10#728|0#11#364|0#12#728</v>
      </c>
      <c r="E365" s="27" t="str">
        <f t="shared" si="116"/>
        <v>1#1#8493|1#2#87360|1#3#364|1#4#728|1#9#364|1#10#728|1#11#364|1#12#728</v>
      </c>
      <c r="F365" s="27" t="str">
        <f t="shared" si="117"/>
        <v>2#1#25480|2#2#43680|2#3#364|2#4#728|2#9#364|2#10#728|2#11#364|2#12#728</v>
      </c>
      <c r="G365" s="27" t="str">
        <f t="shared" si="118"/>
        <v>0#1#50960|0#2#1747|0#3#364|0#4#728|0#9#364|0#10#728|0#11#364|0#12#728|1#1#8493|1#2#87360|1#3#364|1#4#728|1#9#364|1#10#728|1#11#364|1#12#728|2#1#25480|2#2#43680|2#3#364|2#4#728|2#9#364|2#10#728|2#11#364|2#12#728</v>
      </c>
      <c r="H365" s="22"/>
      <c r="I365" s="28">
        <v>4200000000</v>
      </c>
      <c r="J365" s="198">
        <v>364</v>
      </c>
      <c r="K365" s="183">
        <f t="shared" si="114"/>
        <v>50960</v>
      </c>
      <c r="L365" s="183">
        <f t="shared" si="119"/>
        <v>87360</v>
      </c>
      <c r="M365" s="183">
        <f t="shared" si="120"/>
        <v>364</v>
      </c>
      <c r="N365" s="183">
        <f t="shared" si="121"/>
        <v>728</v>
      </c>
      <c r="O365" s="183">
        <f t="shared" si="122"/>
        <v>364</v>
      </c>
      <c r="P365" s="183">
        <f t="shared" si="123"/>
        <v>728</v>
      </c>
      <c r="Q365" s="183">
        <f t="shared" si="124"/>
        <v>364</v>
      </c>
      <c r="R365" s="183">
        <f t="shared" si="125"/>
        <v>728</v>
      </c>
      <c r="S365" s="183">
        <f t="shared" si="126"/>
        <v>364</v>
      </c>
      <c r="T365" s="183">
        <f t="shared" si="127"/>
        <v>728</v>
      </c>
      <c r="U365" s="183">
        <f t="shared" si="128"/>
        <v>364</v>
      </c>
      <c r="V365" s="183">
        <f t="shared" si="129"/>
        <v>728</v>
      </c>
      <c r="W365" s="12">
        <f>K365*属性价值参考!C$5+升级!L365*属性价值参考!C$6+升级!M365*属性价值参考!C$7+升级!N365*属性价值参考!C$8+升级!S365*属性价值参考!C$9+升级!T365*属性价值参考!C$10+升级!U365*属性价值参考!C$11+升级!V365*属性价值参考!C$12</f>
        <v>427103.03999999986</v>
      </c>
    </row>
    <row r="366" spans="1:23" x14ac:dyDescent="0.3">
      <c r="A366" s="22"/>
      <c r="B366" s="22"/>
      <c r="C366" s="24">
        <v>365</v>
      </c>
      <c r="D366" s="27" t="str">
        <f t="shared" si="115"/>
        <v>0#1#51100|0#2#1752|0#3#365|0#4#730|0#9#365|0#10#730|0#11#365|0#12#730</v>
      </c>
      <c r="E366" s="27" t="str">
        <f t="shared" si="116"/>
        <v>1#1#8516|1#2#87600|1#3#365|1#4#730|1#9#365|1#10#730|1#11#365|1#12#730</v>
      </c>
      <c r="F366" s="27" t="str">
        <f t="shared" si="117"/>
        <v>2#1#25550|2#2#43800|2#3#365|2#4#730|2#9#365|2#10#730|2#11#365|2#12#730</v>
      </c>
      <c r="G366" s="27" t="str">
        <f t="shared" si="118"/>
        <v>0#1#51100|0#2#1752|0#3#365|0#4#730|0#9#365|0#10#730|0#11#365|0#12#730|1#1#8516|1#2#87600|1#3#365|1#4#730|1#9#365|1#10#730|1#11#365|1#12#730|2#1#25550|2#2#43800|2#3#365|2#4#730|2#9#365|2#10#730|2#11#365|2#12#730</v>
      </c>
      <c r="H366" s="22"/>
      <c r="I366" s="25">
        <v>4200000000</v>
      </c>
      <c r="J366" s="197">
        <v>365</v>
      </c>
      <c r="K366" s="183">
        <f t="shared" si="114"/>
        <v>51100</v>
      </c>
      <c r="L366" s="183">
        <f t="shared" si="119"/>
        <v>87600</v>
      </c>
      <c r="M366" s="183">
        <f t="shared" si="120"/>
        <v>365</v>
      </c>
      <c r="N366" s="183">
        <f t="shared" si="121"/>
        <v>730</v>
      </c>
      <c r="O366" s="183">
        <f t="shared" si="122"/>
        <v>365</v>
      </c>
      <c r="P366" s="183">
        <f t="shared" si="123"/>
        <v>730</v>
      </c>
      <c r="Q366" s="183">
        <f t="shared" si="124"/>
        <v>365</v>
      </c>
      <c r="R366" s="183">
        <f t="shared" si="125"/>
        <v>730</v>
      </c>
      <c r="S366" s="183">
        <f t="shared" si="126"/>
        <v>365</v>
      </c>
      <c r="T366" s="183">
        <f t="shared" si="127"/>
        <v>730</v>
      </c>
      <c r="U366" s="183">
        <f t="shared" si="128"/>
        <v>365</v>
      </c>
      <c r="V366" s="183">
        <f t="shared" si="129"/>
        <v>730</v>
      </c>
      <c r="W366" s="12">
        <f>K366*属性价值参考!C$5+升级!L366*属性价值参考!C$6+升级!M366*属性价值参考!C$7+升级!N366*属性价值参考!C$8+升级!S366*属性价值参考!C$9+升级!T366*属性价值参考!C$10+升级!U366*属性价值参考!C$11+升级!V366*属性价值参考!C$12</f>
        <v>428276.4</v>
      </c>
    </row>
    <row r="367" spans="1:23" x14ac:dyDescent="0.3">
      <c r="A367" s="22"/>
      <c r="B367" s="22"/>
      <c r="C367" s="27">
        <v>366</v>
      </c>
      <c r="D367" s="27" t="str">
        <f t="shared" si="115"/>
        <v>0#1#51240|0#2#1756|0#3#366|0#4#732|0#9#366|0#10#732|0#11#366|0#12#732</v>
      </c>
      <c r="E367" s="27" t="str">
        <f t="shared" si="116"/>
        <v>1#1#8540|1#2#87840|1#3#366|1#4#732|1#9#366|1#10#732|1#11#366|1#12#732</v>
      </c>
      <c r="F367" s="27" t="str">
        <f t="shared" si="117"/>
        <v>2#1#25620|2#2#43920|2#3#366|2#4#732|2#9#366|2#10#732|2#11#366|2#12#732</v>
      </c>
      <c r="G367" s="27" t="str">
        <f t="shared" si="118"/>
        <v>0#1#51240|0#2#1756|0#3#366|0#4#732|0#9#366|0#10#732|0#11#366|0#12#732|1#1#8540|1#2#87840|1#3#366|1#4#732|1#9#366|1#10#732|1#11#366|1#12#732|2#1#25620|2#2#43920|2#3#366|2#4#732|2#9#366|2#10#732|2#11#366|2#12#732</v>
      </c>
      <c r="H367" s="22"/>
      <c r="I367" s="28">
        <v>4200000000</v>
      </c>
      <c r="J367" s="198">
        <v>366</v>
      </c>
      <c r="K367" s="183">
        <f t="shared" si="114"/>
        <v>51240</v>
      </c>
      <c r="L367" s="183">
        <f t="shared" si="119"/>
        <v>87840</v>
      </c>
      <c r="M367" s="183">
        <f t="shared" si="120"/>
        <v>366</v>
      </c>
      <c r="N367" s="183">
        <f t="shared" si="121"/>
        <v>732</v>
      </c>
      <c r="O367" s="183">
        <f t="shared" si="122"/>
        <v>366</v>
      </c>
      <c r="P367" s="183">
        <f t="shared" si="123"/>
        <v>732</v>
      </c>
      <c r="Q367" s="183">
        <f t="shared" si="124"/>
        <v>366</v>
      </c>
      <c r="R367" s="183">
        <f t="shared" si="125"/>
        <v>732</v>
      </c>
      <c r="S367" s="183">
        <f t="shared" si="126"/>
        <v>366</v>
      </c>
      <c r="T367" s="183">
        <f t="shared" si="127"/>
        <v>732</v>
      </c>
      <c r="U367" s="183">
        <f t="shared" si="128"/>
        <v>366</v>
      </c>
      <c r="V367" s="183">
        <f t="shared" si="129"/>
        <v>732</v>
      </c>
      <c r="W367" s="12">
        <f>K367*属性价值参考!C$5+升级!L367*属性价值参考!C$6+升级!M367*属性价值参考!C$7+升级!N367*属性价值参考!C$8+升级!S367*属性价值参考!C$9+升级!T367*属性价值参考!C$10+升级!U367*属性价值参考!C$11+升级!V367*属性价值参考!C$12</f>
        <v>429449.76000000007</v>
      </c>
    </row>
    <row r="368" spans="1:23" x14ac:dyDescent="0.3">
      <c r="A368" s="22"/>
      <c r="B368" s="22"/>
      <c r="C368" s="24">
        <v>367</v>
      </c>
      <c r="D368" s="27" t="str">
        <f t="shared" si="115"/>
        <v>0#1#51380|0#2#1761|0#3#367|0#4#734|0#9#367|0#10#734|0#11#367|0#12#734</v>
      </c>
      <c r="E368" s="27" t="str">
        <f t="shared" si="116"/>
        <v>1#1#8563|1#2#88080|1#3#367|1#4#734|1#9#367|1#10#734|1#11#367|1#12#734</v>
      </c>
      <c r="F368" s="27" t="str">
        <f t="shared" si="117"/>
        <v>2#1#25690|2#2#44040|2#3#367|2#4#734|2#9#367|2#10#734|2#11#367|2#12#734</v>
      </c>
      <c r="G368" s="27" t="str">
        <f t="shared" si="118"/>
        <v>0#1#51380|0#2#1761|0#3#367|0#4#734|0#9#367|0#10#734|0#11#367|0#12#734|1#1#8563|1#2#88080|1#3#367|1#4#734|1#9#367|1#10#734|1#11#367|1#12#734|2#1#25690|2#2#44040|2#3#367|2#4#734|2#9#367|2#10#734|2#11#367|2#12#734</v>
      </c>
      <c r="H368" s="22"/>
      <c r="I368" s="25">
        <v>4200000000</v>
      </c>
      <c r="J368" s="197">
        <v>367</v>
      </c>
      <c r="K368" s="183">
        <f t="shared" si="114"/>
        <v>51380</v>
      </c>
      <c r="L368" s="183">
        <f t="shared" si="119"/>
        <v>88080</v>
      </c>
      <c r="M368" s="183">
        <f t="shared" si="120"/>
        <v>367</v>
      </c>
      <c r="N368" s="183">
        <f t="shared" si="121"/>
        <v>734</v>
      </c>
      <c r="O368" s="183">
        <f t="shared" si="122"/>
        <v>367</v>
      </c>
      <c r="P368" s="183">
        <f t="shared" si="123"/>
        <v>734</v>
      </c>
      <c r="Q368" s="183">
        <f t="shared" si="124"/>
        <v>367</v>
      </c>
      <c r="R368" s="183">
        <f t="shared" si="125"/>
        <v>734</v>
      </c>
      <c r="S368" s="183">
        <f t="shared" si="126"/>
        <v>367</v>
      </c>
      <c r="T368" s="183">
        <f t="shared" si="127"/>
        <v>734</v>
      </c>
      <c r="U368" s="183">
        <f t="shared" si="128"/>
        <v>367</v>
      </c>
      <c r="V368" s="183">
        <f t="shared" si="129"/>
        <v>734</v>
      </c>
      <c r="W368" s="12">
        <f>K368*属性价值参考!C$5+升级!L368*属性价值参考!C$6+升级!M368*属性价值参考!C$7+升级!N368*属性价值参考!C$8+升级!S368*属性价值参考!C$9+升级!T368*属性价值参考!C$10+升级!U368*属性价值参考!C$11+升级!V368*属性价值参考!C$12</f>
        <v>430623.12000000005</v>
      </c>
    </row>
    <row r="369" spans="1:23" x14ac:dyDescent="0.3">
      <c r="A369" s="22"/>
      <c r="B369" s="22"/>
      <c r="C369" s="27">
        <v>368</v>
      </c>
      <c r="D369" s="27" t="str">
        <f t="shared" si="115"/>
        <v>0#1#51520|0#2#1766|0#3#368|0#4#736|0#9#368|0#10#736|0#11#368|0#12#736</v>
      </c>
      <c r="E369" s="27" t="str">
        <f t="shared" si="116"/>
        <v>1#1#8586|1#2#88320|1#3#368|1#4#736|1#9#368|1#10#736|1#11#368|1#12#736</v>
      </c>
      <c r="F369" s="27" t="str">
        <f t="shared" si="117"/>
        <v>2#1#25760|2#2#44160|2#3#368|2#4#736|2#9#368|2#10#736|2#11#368|2#12#736</v>
      </c>
      <c r="G369" s="27" t="str">
        <f t="shared" si="118"/>
        <v>0#1#51520|0#2#1766|0#3#368|0#4#736|0#9#368|0#10#736|0#11#368|0#12#736|1#1#8586|1#2#88320|1#3#368|1#4#736|1#9#368|1#10#736|1#11#368|1#12#736|2#1#25760|2#2#44160|2#3#368|2#4#736|2#9#368|2#10#736|2#11#368|2#12#736</v>
      </c>
      <c r="H369" s="22"/>
      <c r="I369" s="28">
        <v>4200000000</v>
      </c>
      <c r="J369" s="198">
        <v>368</v>
      </c>
      <c r="K369" s="183">
        <f t="shared" si="114"/>
        <v>51520</v>
      </c>
      <c r="L369" s="183">
        <f t="shared" si="119"/>
        <v>88320</v>
      </c>
      <c r="M369" s="183">
        <f t="shared" si="120"/>
        <v>368</v>
      </c>
      <c r="N369" s="183">
        <f t="shared" si="121"/>
        <v>736</v>
      </c>
      <c r="O369" s="183">
        <f t="shared" si="122"/>
        <v>368</v>
      </c>
      <c r="P369" s="183">
        <f t="shared" si="123"/>
        <v>736</v>
      </c>
      <c r="Q369" s="183">
        <f t="shared" si="124"/>
        <v>368</v>
      </c>
      <c r="R369" s="183">
        <f t="shared" si="125"/>
        <v>736</v>
      </c>
      <c r="S369" s="183">
        <f t="shared" si="126"/>
        <v>368</v>
      </c>
      <c r="T369" s="183">
        <f t="shared" si="127"/>
        <v>736</v>
      </c>
      <c r="U369" s="183">
        <f t="shared" si="128"/>
        <v>368</v>
      </c>
      <c r="V369" s="183">
        <f t="shared" si="129"/>
        <v>736</v>
      </c>
      <c r="W369" s="12">
        <f>K369*属性价值参考!C$5+升级!L369*属性价值参考!C$6+升级!M369*属性价值参考!C$7+升级!N369*属性价值参考!C$8+升级!S369*属性价值参考!C$9+升级!T369*属性价值参考!C$10+升级!U369*属性价值参考!C$11+升级!V369*属性价值参考!C$12</f>
        <v>431796.47999999992</v>
      </c>
    </row>
    <row r="370" spans="1:23" x14ac:dyDescent="0.3">
      <c r="A370" s="22"/>
      <c r="B370" s="22"/>
      <c r="C370" s="24">
        <v>369</v>
      </c>
      <c r="D370" s="27" t="str">
        <f t="shared" si="115"/>
        <v>0#1#51660|0#2#1771|0#3#369|0#4#738|0#9#369|0#10#738|0#11#369|0#12#738</v>
      </c>
      <c r="E370" s="27" t="str">
        <f t="shared" si="116"/>
        <v>1#1#8610|1#2#88560|1#3#369|1#4#738|1#9#369|1#10#738|1#11#369|1#12#738</v>
      </c>
      <c r="F370" s="27" t="str">
        <f t="shared" si="117"/>
        <v>2#1#25830|2#2#44280|2#3#369|2#4#738|2#9#369|2#10#738|2#11#369|2#12#738</v>
      </c>
      <c r="G370" s="27" t="str">
        <f t="shared" si="118"/>
        <v>0#1#51660|0#2#1771|0#3#369|0#4#738|0#9#369|0#10#738|0#11#369|0#12#738|1#1#8610|1#2#88560|1#3#369|1#4#738|1#9#369|1#10#738|1#11#369|1#12#738|2#1#25830|2#2#44280|2#3#369|2#4#738|2#9#369|2#10#738|2#11#369|2#12#738</v>
      </c>
      <c r="H370" s="22"/>
      <c r="I370" s="25">
        <v>4200000000</v>
      </c>
      <c r="J370" s="197">
        <v>369</v>
      </c>
      <c r="K370" s="183">
        <f t="shared" si="114"/>
        <v>51660</v>
      </c>
      <c r="L370" s="183">
        <f t="shared" si="119"/>
        <v>88560</v>
      </c>
      <c r="M370" s="183">
        <f t="shared" si="120"/>
        <v>369</v>
      </c>
      <c r="N370" s="183">
        <f t="shared" si="121"/>
        <v>738</v>
      </c>
      <c r="O370" s="183">
        <f t="shared" si="122"/>
        <v>369</v>
      </c>
      <c r="P370" s="183">
        <f t="shared" si="123"/>
        <v>738</v>
      </c>
      <c r="Q370" s="183">
        <f t="shared" si="124"/>
        <v>369</v>
      </c>
      <c r="R370" s="183">
        <f t="shared" si="125"/>
        <v>738</v>
      </c>
      <c r="S370" s="183">
        <f t="shared" si="126"/>
        <v>369</v>
      </c>
      <c r="T370" s="183">
        <f t="shared" si="127"/>
        <v>738</v>
      </c>
      <c r="U370" s="183">
        <f t="shared" si="128"/>
        <v>369</v>
      </c>
      <c r="V370" s="183">
        <f t="shared" si="129"/>
        <v>738</v>
      </c>
      <c r="W370" s="12">
        <f>K370*属性价值参考!C$5+升级!L370*属性价值参考!C$6+升级!M370*属性价值参考!C$7+升级!N370*属性价值参考!C$8+升级!S370*属性价值参考!C$9+升级!T370*属性价值参考!C$10+升级!U370*属性价值参考!C$11+升级!V370*属性价值参考!C$12</f>
        <v>432969.83999999991</v>
      </c>
    </row>
    <row r="371" spans="1:23" x14ac:dyDescent="0.3">
      <c r="A371" s="22"/>
      <c r="B371" s="22"/>
      <c r="C371" s="27">
        <v>370</v>
      </c>
      <c r="D371" s="27" t="str">
        <f t="shared" si="115"/>
        <v>0#1#51800|0#2#1776|0#3#370|0#4#740|0#9#370|0#10#740|0#11#370|0#12#740</v>
      </c>
      <c r="E371" s="27" t="str">
        <f t="shared" si="116"/>
        <v>1#1#8633|1#2#88800|1#3#370|1#4#740|1#9#370|1#10#740|1#11#370|1#12#740</v>
      </c>
      <c r="F371" s="27" t="str">
        <f t="shared" si="117"/>
        <v>2#1#25900|2#2#44400|2#3#370|2#4#740|2#9#370|2#10#740|2#11#370|2#12#740</v>
      </c>
      <c r="G371" s="27" t="str">
        <f t="shared" si="118"/>
        <v>0#1#51800|0#2#1776|0#3#370|0#4#740|0#9#370|0#10#740|0#11#370|0#12#740|1#1#8633|1#2#88800|1#3#370|1#4#740|1#9#370|1#10#740|1#11#370|1#12#740|2#1#25900|2#2#44400|2#3#370|2#4#740|2#9#370|2#10#740|2#11#370|2#12#740</v>
      </c>
      <c r="H371" s="22"/>
      <c r="I371" s="28">
        <v>4200000000</v>
      </c>
      <c r="J371" s="198">
        <v>370</v>
      </c>
      <c r="K371" s="183">
        <f t="shared" si="114"/>
        <v>51800</v>
      </c>
      <c r="L371" s="183">
        <f t="shared" si="119"/>
        <v>88800</v>
      </c>
      <c r="M371" s="183">
        <f t="shared" si="120"/>
        <v>370</v>
      </c>
      <c r="N371" s="183">
        <f t="shared" si="121"/>
        <v>740</v>
      </c>
      <c r="O371" s="183">
        <f t="shared" si="122"/>
        <v>370</v>
      </c>
      <c r="P371" s="183">
        <f t="shared" si="123"/>
        <v>740</v>
      </c>
      <c r="Q371" s="183">
        <f t="shared" si="124"/>
        <v>370</v>
      </c>
      <c r="R371" s="183">
        <f t="shared" si="125"/>
        <v>740</v>
      </c>
      <c r="S371" s="183">
        <f t="shared" si="126"/>
        <v>370</v>
      </c>
      <c r="T371" s="183">
        <f t="shared" si="127"/>
        <v>740</v>
      </c>
      <c r="U371" s="183">
        <f t="shared" si="128"/>
        <v>370</v>
      </c>
      <c r="V371" s="183">
        <f t="shared" si="129"/>
        <v>740</v>
      </c>
      <c r="W371" s="12">
        <f>K371*属性价值参考!C$5+升级!L371*属性价值参考!C$6+升级!M371*属性价值参考!C$7+升级!N371*属性价值参考!C$8+升级!S371*属性价值参考!C$9+升级!T371*属性价值参考!C$10+升级!U371*属性价值参考!C$11+升级!V371*属性价值参考!C$12</f>
        <v>434143.19999999995</v>
      </c>
    </row>
    <row r="372" spans="1:23" x14ac:dyDescent="0.3">
      <c r="A372" s="22"/>
      <c r="B372" s="22"/>
      <c r="C372" s="24">
        <v>371</v>
      </c>
      <c r="D372" s="27" t="str">
        <f t="shared" si="115"/>
        <v>0#1#51940|0#2#1780|0#3#371|0#4#742|0#9#371|0#10#742|0#11#371|0#12#742</v>
      </c>
      <c r="E372" s="27" t="str">
        <f t="shared" si="116"/>
        <v>1#1#8656|1#2#89040|1#3#371|1#4#742|1#9#371|1#10#742|1#11#371|1#12#742</v>
      </c>
      <c r="F372" s="27" t="str">
        <f t="shared" si="117"/>
        <v>2#1#25970|2#2#44520|2#3#371|2#4#742|2#9#371|2#10#742|2#11#371|2#12#742</v>
      </c>
      <c r="G372" s="27" t="str">
        <f t="shared" si="118"/>
        <v>0#1#51940|0#2#1780|0#3#371|0#4#742|0#9#371|0#10#742|0#11#371|0#12#742|1#1#8656|1#2#89040|1#3#371|1#4#742|1#9#371|1#10#742|1#11#371|1#12#742|2#1#25970|2#2#44520|2#3#371|2#4#742|2#9#371|2#10#742|2#11#371|2#12#742</v>
      </c>
      <c r="H372" s="22"/>
      <c r="I372" s="25">
        <v>4200000000</v>
      </c>
      <c r="J372" s="197">
        <v>371</v>
      </c>
      <c r="K372" s="183">
        <f t="shared" si="114"/>
        <v>51940</v>
      </c>
      <c r="L372" s="183">
        <f t="shared" si="119"/>
        <v>89040</v>
      </c>
      <c r="M372" s="183">
        <f t="shared" si="120"/>
        <v>371</v>
      </c>
      <c r="N372" s="183">
        <f t="shared" si="121"/>
        <v>742</v>
      </c>
      <c r="O372" s="183">
        <f t="shared" si="122"/>
        <v>371</v>
      </c>
      <c r="P372" s="183">
        <f t="shared" si="123"/>
        <v>742</v>
      </c>
      <c r="Q372" s="183">
        <f t="shared" si="124"/>
        <v>371</v>
      </c>
      <c r="R372" s="183">
        <f t="shared" si="125"/>
        <v>742</v>
      </c>
      <c r="S372" s="183">
        <f t="shared" si="126"/>
        <v>371</v>
      </c>
      <c r="T372" s="183">
        <f t="shared" si="127"/>
        <v>742</v>
      </c>
      <c r="U372" s="183">
        <f t="shared" si="128"/>
        <v>371</v>
      </c>
      <c r="V372" s="183">
        <f t="shared" si="129"/>
        <v>742</v>
      </c>
      <c r="W372" s="12">
        <f>K372*属性价值参考!C$5+升级!L372*属性价值参考!C$6+升级!M372*属性价值参考!C$7+升级!N372*属性价值参考!C$8+升级!S372*属性价值参考!C$9+升级!T372*属性价值参考!C$10+升级!U372*属性价值参考!C$11+升级!V372*属性价值参考!C$12</f>
        <v>435316.56000000011</v>
      </c>
    </row>
    <row r="373" spans="1:23" x14ac:dyDescent="0.3">
      <c r="A373" s="22"/>
      <c r="B373" s="22"/>
      <c r="C373" s="27">
        <v>372</v>
      </c>
      <c r="D373" s="27" t="str">
        <f t="shared" si="115"/>
        <v>0#1#52080|0#2#1785|0#3#372|0#4#744|0#9#372|0#10#744|0#11#372|0#12#744</v>
      </c>
      <c r="E373" s="27" t="str">
        <f t="shared" si="116"/>
        <v>1#1#8680|1#2#89280|1#3#372|1#4#744|1#9#372|1#10#744|1#11#372|1#12#744</v>
      </c>
      <c r="F373" s="27" t="str">
        <f t="shared" si="117"/>
        <v>2#1#26040|2#2#44640|2#3#372|2#4#744|2#9#372|2#10#744|2#11#372|2#12#744</v>
      </c>
      <c r="G373" s="27" t="str">
        <f t="shared" si="118"/>
        <v>0#1#52080|0#2#1785|0#3#372|0#4#744|0#9#372|0#10#744|0#11#372|0#12#744|1#1#8680|1#2#89280|1#3#372|1#4#744|1#9#372|1#10#744|1#11#372|1#12#744|2#1#26040|2#2#44640|2#3#372|2#4#744|2#9#372|2#10#744|2#11#372|2#12#744</v>
      </c>
      <c r="H373" s="22"/>
      <c r="I373" s="28">
        <v>4200000000</v>
      </c>
      <c r="J373" s="198">
        <v>372</v>
      </c>
      <c r="K373" s="183">
        <f t="shared" si="114"/>
        <v>52080</v>
      </c>
      <c r="L373" s="183">
        <f t="shared" si="119"/>
        <v>89280</v>
      </c>
      <c r="M373" s="183">
        <f t="shared" si="120"/>
        <v>372</v>
      </c>
      <c r="N373" s="183">
        <f t="shared" si="121"/>
        <v>744</v>
      </c>
      <c r="O373" s="183">
        <f t="shared" si="122"/>
        <v>372</v>
      </c>
      <c r="P373" s="183">
        <f t="shared" si="123"/>
        <v>744</v>
      </c>
      <c r="Q373" s="183">
        <f t="shared" si="124"/>
        <v>372</v>
      </c>
      <c r="R373" s="183">
        <f t="shared" si="125"/>
        <v>744</v>
      </c>
      <c r="S373" s="183">
        <f t="shared" si="126"/>
        <v>372</v>
      </c>
      <c r="T373" s="183">
        <f t="shared" si="127"/>
        <v>744</v>
      </c>
      <c r="U373" s="183">
        <f t="shared" si="128"/>
        <v>372</v>
      </c>
      <c r="V373" s="183">
        <f t="shared" si="129"/>
        <v>744</v>
      </c>
      <c r="W373" s="12">
        <f>K373*属性价值参考!C$5+升级!L373*属性价值参考!C$6+升级!M373*属性价值参考!C$7+升级!N373*属性价值参考!C$8+升级!S373*属性价值参考!C$9+升级!T373*属性价值参考!C$10+升级!U373*属性价值参考!C$11+升级!V373*属性价值参考!C$12</f>
        <v>436489.92000000004</v>
      </c>
    </row>
    <row r="374" spans="1:23" x14ac:dyDescent="0.3">
      <c r="A374" s="22"/>
      <c r="B374" s="22"/>
      <c r="C374" s="24">
        <v>373</v>
      </c>
      <c r="D374" s="27" t="str">
        <f t="shared" si="115"/>
        <v>0#1#52220|0#2#1790|0#3#373|0#4#746|0#9#373|0#10#746|0#11#373|0#12#746</v>
      </c>
      <c r="E374" s="27" t="str">
        <f t="shared" si="116"/>
        <v>1#1#8703|1#2#89520|1#3#373|1#4#746|1#9#373|1#10#746|1#11#373|1#12#746</v>
      </c>
      <c r="F374" s="27" t="str">
        <f t="shared" si="117"/>
        <v>2#1#26110|2#2#44760|2#3#373|2#4#746|2#9#373|2#10#746|2#11#373|2#12#746</v>
      </c>
      <c r="G374" s="27" t="str">
        <f t="shared" si="118"/>
        <v>0#1#52220|0#2#1790|0#3#373|0#4#746|0#9#373|0#10#746|0#11#373|0#12#746|1#1#8703|1#2#89520|1#3#373|1#4#746|1#9#373|1#10#746|1#11#373|1#12#746|2#1#26110|2#2#44760|2#3#373|2#4#746|2#9#373|2#10#746|2#11#373|2#12#746</v>
      </c>
      <c r="H374" s="22"/>
      <c r="I374" s="25">
        <v>4200000000</v>
      </c>
      <c r="J374" s="197">
        <v>373</v>
      </c>
      <c r="K374" s="183">
        <f t="shared" si="114"/>
        <v>52220</v>
      </c>
      <c r="L374" s="183">
        <f t="shared" si="119"/>
        <v>89520</v>
      </c>
      <c r="M374" s="183">
        <f t="shared" si="120"/>
        <v>373</v>
      </c>
      <c r="N374" s="183">
        <f t="shared" si="121"/>
        <v>746</v>
      </c>
      <c r="O374" s="183">
        <f t="shared" si="122"/>
        <v>373</v>
      </c>
      <c r="P374" s="183">
        <f t="shared" si="123"/>
        <v>746</v>
      </c>
      <c r="Q374" s="183">
        <f t="shared" si="124"/>
        <v>373</v>
      </c>
      <c r="R374" s="183">
        <f t="shared" si="125"/>
        <v>746</v>
      </c>
      <c r="S374" s="183">
        <f t="shared" si="126"/>
        <v>373</v>
      </c>
      <c r="T374" s="183">
        <f t="shared" si="127"/>
        <v>746</v>
      </c>
      <c r="U374" s="183">
        <f t="shared" si="128"/>
        <v>373</v>
      </c>
      <c r="V374" s="183">
        <f t="shared" si="129"/>
        <v>746</v>
      </c>
      <c r="W374" s="12">
        <f>K374*属性价值参考!C$5+升级!L374*属性价值参考!C$6+升级!M374*属性价值参考!C$7+升级!N374*属性价值参考!C$8+升级!S374*属性价值参考!C$9+升级!T374*属性价值参考!C$10+升级!U374*属性价值参考!C$11+升级!V374*属性价值参考!C$12</f>
        <v>437663.27999999997</v>
      </c>
    </row>
    <row r="375" spans="1:23" x14ac:dyDescent="0.3">
      <c r="A375" s="22"/>
      <c r="B375" s="22"/>
      <c r="C375" s="27">
        <v>374</v>
      </c>
      <c r="D375" s="27" t="str">
        <f t="shared" si="115"/>
        <v>0#1#52360|0#2#1795|0#3#374|0#4#748|0#9#374|0#10#748|0#11#374|0#12#748</v>
      </c>
      <c r="E375" s="27" t="str">
        <f t="shared" si="116"/>
        <v>1#1#8726|1#2#89760|1#3#374|1#4#748|1#9#374|1#10#748|1#11#374|1#12#748</v>
      </c>
      <c r="F375" s="27" t="str">
        <f t="shared" si="117"/>
        <v>2#1#26180|2#2#44880|2#3#374|2#4#748|2#9#374|2#10#748|2#11#374|2#12#748</v>
      </c>
      <c r="G375" s="27" t="str">
        <f t="shared" si="118"/>
        <v>0#1#52360|0#2#1795|0#3#374|0#4#748|0#9#374|0#10#748|0#11#374|0#12#748|1#1#8726|1#2#89760|1#3#374|1#4#748|1#9#374|1#10#748|1#11#374|1#12#748|2#1#26180|2#2#44880|2#3#374|2#4#748|2#9#374|2#10#748|2#11#374|2#12#748</v>
      </c>
      <c r="H375" s="22"/>
      <c r="I375" s="28">
        <v>4200000000</v>
      </c>
      <c r="J375" s="198">
        <v>374</v>
      </c>
      <c r="K375" s="183">
        <f t="shared" si="114"/>
        <v>52360</v>
      </c>
      <c r="L375" s="183">
        <f t="shared" si="119"/>
        <v>89760</v>
      </c>
      <c r="M375" s="183">
        <f t="shared" si="120"/>
        <v>374</v>
      </c>
      <c r="N375" s="183">
        <f t="shared" si="121"/>
        <v>748</v>
      </c>
      <c r="O375" s="183">
        <f t="shared" si="122"/>
        <v>374</v>
      </c>
      <c r="P375" s="183">
        <f t="shared" si="123"/>
        <v>748</v>
      </c>
      <c r="Q375" s="183">
        <f t="shared" si="124"/>
        <v>374</v>
      </c>
      <c r="R375" s="183">
        <f t="shared" si="125"/>
        <v>748</v>
      </c>
      <c r="S375" s="183">
        <f t="shared" si="126"/>
        <v>374</v>
      </c>
      <c r="T375" s="183">
        <f t="shared" si="127"/>
        <v>748</v>
      </c>
      <c r="U375" s="183">
        <f t="shared" si="128"/>
        <v>374</v>
      </c>
      <c r="V375" s="183">
        <f t="shared" si="129"/>
        <v>748</v>
      </c>
      <c r="W375" s="12">
        <f>K375*属性价值参考!C$5+升级!L375*属性价值参考!C$6+升级!M375*属性价值参考!C$7+升级!N375*属性价值参考!C$8+升级!S375*属性价值参考!C$9+升级!T375*属性价值参考!C$10+升级!U375*属性价值参考!C$11+升级!V375*属性价值参考!C$12</f>
        <v>438836.6399999999</v>
      </c>
    </row>
    <row r="376" spans="1:23" x14ac:dyDescent="0.3">
      <c r="A376" s="22"/>
      <c r="B376" s="22"/>
      <c r="C376" s="24">
        <v>375</v>
      </c>
      <c r="D376" s="27" t="str">
        <f t="shared" si="115"/>
        <v>0#1#52500|0#2#1800|0#3#375|0#4#750|0#9#375|0#10#750|0#11#375|0#12#750</v>
      </c>
      <c r="E376" s="27" t="str">
        <f t="shared" si="116"/>
        <v>1#1#8750|1#2#90000|1#3#375|1#4#750|1#9#375|1#10#750|1#11#375|1#12#750</v>
      </c>
      <c r="F376" s="27" t="str">
        <f t="shared" si="117"/>
        <v>2#1#26250|2#2#45000|2#3#375|2#4#750|2#9#375|2#10#750|2#11#375|2#12#750</v>
      </c>
      <c r="G376" s="27" t="str">
        <f t="shared" si="118"/>
        <v>0#1#52500|0#2#1800|0#3#375|0#4#750|0#9#375|0#10#750|0#11#375|0#12#750|1#1#8750|1#2#90000|1#3#375|1#4#750|1#9#375|1#10#750|1#11#375|1#12#750|2#1#26250|2#2#45000|2#3#375|2#4#750|2#9#375|2#10#750|2#11#375|2#12#750</v>
      </c>
      <c r="H376" s="22"/>
      <c r="I376" s="25">
        <v>4200000000</v>
      </c>
      <c r="J376" s="197">
        <v>375</v>
      </c>
      <c r="K376" s="183">
        <f t="shared" si="114"/>
        <v>52500</v>
      </c>
      <c r="L376" s="183">
        <f t="shared" si="119"/>
        <v>90000</v>
      </c>
      <c r="M376" s="183">
        <f t="shared" si="120"/>
        <v>375</v>
      </c>
      <c r="N376" s="183">
        <f t="shared" si="121"/>
        <v>750</v>
      </c>
      <c r="O376" s="183">
        <f t="shared" si="122"/>
        <v>375</v>
      </c>
      <c r="P376" s="183">
        <f t="shared" si="123"/>
        <v>750</v>
      </c>
      <c r="Q376" s="183">
        <f t="shared" si="124"/>
        <v>375</v>
      </c>
      <c r="R376" s="183">
        <f t="shared" si="125"/>
        <v>750</v>
      </c>
      <c r="S376" s="183">
        <f t="shared" si="126"/>
        <v>375</v>
      </c>
      <c r="T376" s="183">
        <f t="shared" si="127"/>
        <v>750</v>
      </c>
      <c r="U376" s="183">
        <f t="shared" si="128"/>
        <v>375</v>
      </c>
      <c r="V376" s="183">
        <f t="shared" si="129"/>
        <v>750</v>
      </c>
      <c r="W376" s="12">
        <f>K376*属性价值参考!C$5+升级!L376*属性价值参考!C$6+升级!M376*属性价值参考!C$7+升级!N376*属性价值参考!C$8+升级!S376*属性价值参考!C$9+升级!T376*属性价值参考!C$10+升级!U376*属性价值参考!C$11+升级!V376*属性价值参考!C$12</f>
        <v>440010</v>
      </c>
    </row>
    <row r="377" spans="1:23" x14ac:dyDescent="0.3">
      <c r="A377" s="22"/>
      <c r="B377" s="22"/>
      <c r="C377" s="27">
        <v>376</v>
      </c>
      <c r="D377" s="27" t="str">
        <f t="shared" si="115"/>
        <v>0#1#52640|0#2#1804|0#3#376|0#4#752|0#9#376|0#10#752|0#11#376|0#12#752</v>
      </c>
      <c r="E377" s="27" t="str">
        <f t="shared" si="116"/>
        <v>1#1#8773|1#2#90240|1#3#376|1#4#752|1#9#376|1#10#752|1#11#376|1#12#752</v>
      </c>
      <c r="F377" s="27" t="str">
        <f t="shared" si="117"/>
        <v>2#1#26320|2#2#45120|2#3#376|2#4#752|2#9#376|2#10#752|2#11#376|2#12#752</v>
      </c>
      <c r="G377" s="27" t="str">
        <f t="shared" si="118"/>
        <v>0#1#52640|0#2#1804|0#3#376|0#4#752|0#9#376|0#10#752|0#11#376|0#12#752|1#1#8773|1#2#90240|1#3#376|1#4#752|1#9#376|1#10#752|1#11#376|1#12#752|2#1#26320|2#2#45120|2#3#376|2#4#752|2#9#376|2#10#752|2#11#376|2#12#752</v>
      </c>
      <c r="H377" s="22"/>
      <c r="I377" s="28">
        <v>4200000000</v>
      </c>
      <c r="J377" s="198">
        <v>376</v>
      </c>
      <c r="K377" s="183">
        <f t="shared" si="114"/>
        <v>52640</v>
      </c>
      <c r="L377" s="183">
        <f t="shared" si="119"/>
        <v>90240</v>
      </c>
      <c r="M377" s="183">
        <f t="shared" si="120"/>
        <v>376</v>
      </c>
      <c r="N377" s="183">
        <f t="shared" si="121"/>
        <v>752</v>
      </c>
      <c r="O377" s="183">
        <f t="shared" si="122"/>
        <v>376</v>
      </c>
      <c r="P377" s="183">
        <f t="shared" si="123"/>
        <v>752</v>
      </c>
      <c r="Q377" s="183">
        <f t="shared" si="124"/>
        <v>376</v>
      </c>
      <c r="R377" s="183">
        <f t="shared" si="125"/>
        <v>752</v>
      </c>
      <c r="S377" s="183">
        <f t="shared" si="126"/>
        <v>376</v>
      </c>
      <c r="T377" s="183">
        <f t="shared" si="127"/>
        <v>752</v>
      </c>
      <c r="U377" s="183">
        <f t="shared" si="128"/>
        <v>376</v>
      </c>
      <c r="V377" s="183">
        <f t="shared" si="129"/>
        <v>752</v>
      </c>
      <c r="W377" s="12">
        <f>K377*属性价值参考!C$5+升级!L377*属性价值参考!C$6+升级!M377*属性价值参考!C$7+升级!N377*属性价值参考!C$8+升级!S377*属性价值参考!C$9+升级!T377*属性价值参考!C$10+升级!U377*属性价值参考!C$11+升级!V377*属性价值参考!C$12</f>
        <v>441183.36000000004</v>
      </c>
    </row>
    <row r="378" spans="1:23" x14ac:dyDescent="0.3">
      <c r="A378" s="22"/>
      <c r="B378" s="22"/>
      <c r="C378" s="24">
        <v>377</v>
      </c>
      <c r="D378" s="27" t="str">
        <f t="shared" si="115"/>
        <v>0#1#52780|0#2#1809|0#3#377|0#4#754|0#9#377|0#10#754|0#11#377|0#12#754</v>
      </c>
      <c r="E378" s="27" t="str">
        <f t="shared" si="116"/>
        <v>1#1#8796|1#2#90480|1#3#377|1#4#754|1#9#377|1#10#754|1#11#377|1#12#754</v>
      </c>
      <c r="F378" s="27" t="str">
        <f t="shared" si="117"/>
        <v>2#1#26390|2#2#45240|2#3#377|2#4#754|2#9#377|2#10#754|2#11#377|2#12#754</v>
      </c>
      <c r="G378" s="27" t="str">
        <f t="shared" si="118"/>
        <v>0#1#52780|0#2#1809|0#3#377|0#4#754|0#9#377|0#10#754|0#11#377|0#12#754|1#1#8796|1#2#90480|1#3#377|1#4#754|1#9#377|1#10#754|1#11#377|1#12#754|2#1#26390|2#2#45240|2#3#377|2#4#754|2#9#377|2#10#754|2#11#377|2#12#754</v>
      </c>
      <c r="H378" s="22"/>
      <c r="I378" s="25">
        <v>4200000000</v>
      </c>
      <c r="J378" s="197">
        <v>377</v>
      </c>
      <c r="K378" s="183">
        <f t="shared" si="114"/>
        <v>52780</v>
      </c>
      <c r="L378" s="183">
        <f t="shared" si="119"/>
        <v>90480</v>
      </c>
      <c r="M378" s="183">
        <f t="shared" si="120"/>
        <v>377</v>
      </c>
      <c r="N378" s="183">
        <f t="shared" si="121"/>
        <v>754</v>
      </c>
      <c r="O378" s="183">
        <f t="shared" si="122"/>
        <v>377</v>
      </c>
      <c r="P378" s="183">
        <f t="shared" si="123"/>
        <v>754</v>
      </c>
      <c r="Q378" s="183">
        <f t="shared" si="124"/>
        <v>377</v>
      </c>
      <c r="R378" s="183">
        <f t="shared" si="125"/>
        <v>754</v>
      </c>
      <c r="S378" s="183">
        <f t="shared" si="126"/>
        <v>377</v>
      </c>
      <c r="T378" s="183">
        <f t="shared" si="127"/>
        <v>754</v>
      </c>
      <c r="U378" s="183">
        <f t="shared" si="128"/>
        <v>377</v>
      </c>
      <c r="V378" s="183">
        <f t="shared" si="129"/>
        <v>754</v>
      </c>
      <c r="W378" s="12">
        <f>K378*属性价值参考!C$5+升级!L378*属性价值参考!C$6+升级!M378*属性价值参考!C$7+升级!N378*属性价值参考!C$8+升级!S378*属性价值参考!C$9+升级!T378*属性价值参考!C$10+升级!U378*属性价值参考!C$11+升级!V378*属性价值参考!C$12</f>
        <v>442356.72000000003</v>
      </c>
    </row>
    <row r="379" spans="1:23" x14ac:dyDescent="0.3">
      <c r="A379" s="22"/>
      <c r="B379" s="22"/>
      <c r="C379" s="27">
        <v>378</v>
      </c>
      <c r="D379" s="27" t="str">
        <f t="shared" si="115"/>
        <v>0#1#52920|0#2#1814|0#3#378|0#4#756|0#9#378|0#10#756|0#11#378|0#12#756</v>
      </c>
      <c r="E379" s="27" t="str">
        <f t="shared" si="116"/>
        <v>1#1#8820|1#2#90720|1#3#378|1#4#756|1#9#378|1#10#756|1#11#378|1#12#756</v>
      </c>
      <c r="F379" s="27" t="str">
        <f t="shared" si="117"/>
        <v>2#1#26460|2#2#45360|2#3#378|2#4#756|2#9#378|2#10#756|2#11#378|2#12#756</v>
      </c>
      <c r="G379" s="27" t="str">
        <f t="shared" si="118"/>
        <v>0#1#52920|0#2#1814|0#3#378|0#4#756|0#9#378|0#10#756|0#11#378|0#12#756|1#1#8820|1#2#90720|1#3#378|1#4#756|1#9#378|1#10#756|1#11#378|1#12#756|2#1#26460|2#2#45360|2#3#378|2#4#756|2#9#378|2#10#756|2#11#378|2#12#756</v>
      </c>
      <c r="H379" s="22"/>
      <c r="I379" s="28">
        <v>4200000000</v>
      </c>
      <c r="J379" s="198">
        <v>378</v>
      </c>
      <c r="K379" s="183">
        <f t="shared" si="114"/>
        <v>52920</v>
      </c>
      <c r="L379" s="183">
        <f t="shared" si="119"/>
        <v>90720</v>
      </c>
      <c r="M379" s="183">
        <f t="shared" si="120"/>
        <v>378</v>
      </c>
      <c r="N379" s="183">
        <f t="shared" si="121"/>
        <v>756</v>
      </c>
      <c r="O379" s="183">
        <f t="shared" si="122"/>
        <v>378</v>
      </c>
      <c r="P379" s="183">
        <f t="shared" si="123"/>
        <v>756</v>
      </c>
      <c r="Q379" s="183">
        <f t="shared" si="124"/>
        <v>378</v>
      </c>
      <c r="R379" s="183">
        <f t="shared" si="125"/>
        <v>756</v>
      </c>
      <c r="S379" s="183">
        <f t="shared" si="126"/>
        <v>378</v>
      </c>
      <c r="T379" s="183">
        <f t="shared" si="127"/>
        <v>756</v>
      </c>
      <c r="U379" s="183">
        <f t="shared" si="128"/>
        <v>378</v>
      </c>
      <c r="V379" s="183">
        <f t="shared" si="129"/>
        <v>756</v>
      </c>
      <c r="W379" s="12">
        <f>K379*属性价值参考!C$5+升级!L379*属性价值参考!C$6+升级!M379*属性价值参考!C$7+升级!N379*属性价值参考!C$8+升级!S379*属性价值参考!C$9+升级!T379*属性价值参考!C$10+升级!U379*属性价值参考!C$11+升级!V379*属性价值参考!C$12</f>
        <v>443530.0799999999</v>
      </c>
    </row>
    <row r="380" spans="1:23" x14ac:dyDescent="0.3">
      <c r="A380" s="22"/>
      <c r="B380" s="22"/>
      <c r="C380" s="24">
        <v>379</v>
      </c>
      <c r="D380" s="27" t="str">
        <f t="shared" si="115"/>
        <v>0#1#53060|0#2#1819|0#3#379|0#4#758|0#9#379|0#10#758|0#11#379|0#12#758</v>
      </c>
      <c r="E380" s="27" t="str">
        <f t="shared" si="116"/>
        <v>1#1#8843|1#2#90960|1#3#379|1#4#758|1#9#379|1#10#758|1#11#379|1#12#758</v>
      </c>
      <c r="F380" s="27" t="str">
        <f t="shared" si="117"/>
        <v>2#1#26530|2#2#45480|2#3#379|2#4#758|2#9#379|2#10#758|2#11#379|2#12#758</v>
      </c>
      <c r="G380" s="27" t="str">
        <f t="shared" si="118"/>
        <v>0#1#53060|0#2#1819|0#3#379|0#4#758|0#9#379|0#10#758|0#11#379|0#12#758|1#1#8843|1#2#90960|1#3#379|1#4#758|1#9#379|1#10#758|1#11#379|1#12#758|2#1#26530|2#2#45480|2#3#379|2#4#758|2#9#379|2#10#758|2#11#379|2#12#758</v>
      </c>
      <c r="H380" s="22"/>
      <c r="I380" s="25">
        <v>4200000000</v>
      </c>
      <c r="J380" s="197">
        <v>379</v>
      </c>
      <c r="K380" s="183">
        <f t="shared" si="114"/>
        <v>53060</v>
      </c>
      <c r="L380" s="183">
        <f t="shared" si="119"/>
        <v>90960</v>
      </c>
      <c r="M380" s="183">
        <f t="shared" si="120"/>
        <v>379</v>
      </c>
      <c r="N380" s="183">
        <f t="shared" si="121"/>
        <v>758</v>
      </c>
      <c r="O380" s="183">
        <f t="shared" si="122"/>
        <v>379</v>
      </c>
      <c r="P380" s="183">
        <f t="shared" si="123"/>
        <v>758</v>
      </c>
      <c r="Q380" s="183">
        <f t="shared" si="124"/>
        <v>379</v>
      </c>
      <c r="R380" s="183">
        <f t="shared" si="125"/>
        <v>758</v>
      </c>
      <c r="S380" s="183">
        <f t="shared" si="126"/>
        <v>379</v>
      </c>
      <c r="T380" s="183">
        <f t="shared" si="127"/>
        <v>758</v>
      </c>
      <c r="U380" s="183">
        <f t="shared" si="128"/>
        <v>379</v>
      </c>
      <c r="V380" s="183">
        <f t="shared" si="129"/>
        <v>758</v>
      </c>
      <c r="W380" s="12">
        <f>K380*属性价值参考!C$5+升级!L380*属性价值参考!C$6+升级!M380*属性价值参考!C$7+升级!N380*属性价值参考!C$8+升级!S380*属性价值参考!C$9+升级!T380*属性价值参考!C$10+升级!U380*属性价值参考!C$11+升级!V380*属性价值参考!C$12</f>
        <v>444703.43999999989</v>
      </c>
    </row>
    <row r="381" spans="1:23" x14ac:dyDescent="0.3">
      <c r="A381" s="22"/>
      <c r="B381" s="22"/>
      <c r="C381" s="27">
        <v>380</v>
      </c>
      <c r="D381" s="27" t="str">
        <f t="shared" si="115"/>
        <v>0#1#53200|0#2#1824|0#3#380|0#4#760|0#9#380|0#10#760|0#11#380|0#12#760</v>
      </c>
      <c r="E381" s="27" t="str">
        <f t="shared" si="116"/>
        <v>1#1#8866|1#2#91200|1#3#380|1#4#760|1#9#380|1#10#760|1#11#380|1#12#760</v>
      </c>
      <c r="F381" s="27" t="str">
        <f t="shared" si="117"/>
        <v>2#1#26600|2#2#45600|2#3#380|2#4#760|2#9#380|2#10#760|2#11#380|2#12#760</v>
      </c>
      <c r="G381" s="27" t="str">
        <f t="shared" si="118"/>
        <v>0#1#53200|0#2#1824|0#3#380|0#4#760|0#9#380|0#10#760|0#11#380|0#12#760|1#1#8866|1#2#91200|1#3#380|1#4#760|1#9#380|1#10#760|1#11#380|1#12#760|2#1#26600|2#2#45600|2#3#380|2#4#760|2#9#380|2#10#760|2#11#380|2#12#760</v>
      </c>
      <c r="H381" s="22"/>
      <c r="I381" s="28">
        <v>4200000000</v>
      </c>
      <c r="J381" s="198">
        <v>380</v>
      </c>
      <c r="K381" s="183">
        <f t="shared" ref="K381:K444" si="130">INT(J381/250*K$251)</f>
        <v>53200</v>
      </c>
      <c r="L381" s="183">
        <f t="shared" si="119"/>
        <v>91200</v>
      </c>
      <c r="M381" s="183">
        <f t="shared" si="120"/>
        <v>380</v>
      </c>
      <c r="N381" s="183">
        <f t="shared" si="121"/>
        <v>760</v>
      </c>
      <c r="O381" s="183">
        <f t="shared" si="122"/>
        <v>380</v>
      </c>
      <c r="P381" s="183">
        <f t="shared" si="123"/>
        <v>760</v>
      </c>
      <c r="Q381" s="183">
        <f t="shared" si="124"/>
        <v>380</v>
      </c>
      <c r="R381" s="183">
        <f t="shared" si="125"/>
        <v>760</v>
      </c>
      <c r="S381" s="183">
        <f t="shared" si="126"/>
        <v>380</v>
      </c>
      <c r="T381" s="183">
        <f t="shared" si="127"/>
        <v>760</v>
      </c>
      <c r="U381" s="183">
        <f t="shared" si="128"/>
        <v>380</v>
      </c>
      <c r="V381" s="183">
        <f t="shared" si="129"/>
        <v>760</v>
      </c>
      <c r="W381" s="12">
        <f>K381*属性价值参考!C$5+升级!L381*属性价值参考!C$6+升级!M381*属性价值参考!C$7+升级!N381*属性价值参考!C$8+升级!S381*属性价值参考!C$9+升级!T381*属性价值参考!C$10+升级!U381*属性价值参考!C$11+升级!V381*属性价值参考!C$12</f>
        <v>445876.79999999993</v>
      </c>
    </row>
    <row r="382" spans="1:23" x14ac:dyDescent="0.3">
      <c r="A382" s="22"/>
      <c r="B382" s="22"/>
      <c r="C382" s="24">
        <v>381</v>
      </c>
      <c r="D382" s="27" t="str">
        <f t="shared" si="115"/>
        <v>0#1#53340|0#2#1828|0#3#381|0#4#762|0#9#381|0#10#762|0#11#381|0#12#762</v>
      </c>
      <c r="E382" s="27" t="str">
        <f t="shared" si="116"/>
        <v>1#1#8890|1#2#91440|1#3#381|1#4#762|1#9#381|1#10#762|1#11#381|1#12#762</v>
      </c>
      <c r="F382" s="27" t="str">
        <f t="shared" si="117"/>
        <v>2#1#26670|2#2#45720|2#3#381|2#4#762|2#9#381|2#10#762|2#11#381|2#12#762</v>
      </c>
      <c r="G382" s="27" t="str">
        <f t="shared" si="118"/>
        <v>0#1#53340|0#2#1828|0#3#381|0#4#762|0#9#381|0#10#762|0#11#381|0#12#762|1#1#8890|1#2#91440|1#3#381|1#4#762|1#9#381|1#10#762|1#11#381|1#12#762|2#1#26670|2#2#45720|2#3#381|2#4#762|2#9#381|2#10#762|2#11#381|2#12#762</v>
      </c>
      <c r="H382" s="22"/>
      <c r="I382" s="25">
        <v>4200000000</v>
      </c>
      <c r="J382" s="197">
        <v>381</v>
      </c>
      <c r="K382" s="183">
        <f t="shared" si="130"/>
        <v>53340</v>
      </c>
      <c r="L382" s="183">
        <f t="shared" si="119"/>
        <v>91440</v>
      </c>
      <c r="M382" s="183">
        <f t="shared" si="120"/>
        <v>381</v>
      </c>
      <c r="N382" s="183">
        <f t="shared" si="121"/>
        <v>762</v>
      </c>
      <c r="O382" s="183">
        <f t="shared" si="122"/>
        <v>381</v>
      </c>
      <c r="P382" s="183">
        <f t="shared" si="123"/>
        <v>762</v>
      </c>
      <c r="Q382" s="183">
        <f t="shared" si="124"/>
        <v>381</v>
      </c>
      <c r="R382" s="183">
        <f t="shared" si="125"/>
        <v>762</v>
      </c>
      <c r="S382" s="183">
        <f t="shared" si="126"/>
        <v>381</v>
      </c>
      <c r="T382" s="183">
        <f t="shared" si="127"/>
        <v>762</v>
      </c>
      <c r="U382" s="183">
        <f t="shared" si="128"/>
        <v>381</v>
      </c>
      <c r="V382" s="183">
        <f t="shared" si="129"/>
        <v>762</v>
      </c>
      <c r="W382" s="12">
        <f>K382*属性价值参考!C$5+升级!L382*属性价值参考!C$6+升级!M382*属性价值参考!C$7+升级!N382*属性价值参考!C$8+升级!S382*属性价值参考!C$9+升级!T382*属性价值参考!C$10+升级!U382*属性价值参考!C$11+升级!V382*属性价值参考!C$12</f>
        <v>447050.16000000009</v>
      </c>
    </row>
    <row r="383" spans="1:23" x14ac:dyDescent="0.3">
      <c r="A383" s="22"/>
      <c r="B383" s="22"/>
      <c r="C383" s="27">
        <v>382</v>
      </c>
      <c r="D383" s="27" t="str">
        <f t="shared" si="115"/>
        <v>0#1#53480|0#2#1833|0#3#382|0#4#764|0#9#382|0#10#764|0#11#382|0#12#764</v>
      </c>
      <c r="E383" s="27" t="str">
        <f t="shared" si="116"/>
        <v>1#1#8913|1#2#91680|1#3#382|1#4#764|1#9#382|1#10#764|1#11#382|1#12#764</v>
      </c>
      <c r="F383" s="27" t="str">
        <f t="shared" si="117"/>
        <v>2#1#26740|2#2#45840|2#3#382|2#4#764|2#9#382|2#10#764|2#11#382|2#12#764</v>
      </c>
      <c r="G383" s="27" t="str">
        <f t="shared" si="118"/>
        <v>0#1#53480|0#2#1833|0#3#382|0#4#764|0#9#382|0#10#764|0#11#382|0#12#764|1#1#8913|1#2#91680|1#3#382|1#4#764|1#9#382|1#10#764|1#11#382|1#12#764|2#1#26740|2#2#45840|2#3#382|2#4#764|2#9#382|2#10#764|2#11#382|2#12#764</v>
      </c>
      <c r="H383" s="22"/>
      <c r="I383" s="28">
        <v>4200000000</v>
      </c>
      <c r="J383" s="198">
        <v>382</v>
      </c>
      <c r="K383" s="183">
        <f t="shared" si="130"/>
        <v>53480</v>
      </c>
      <c r="L383" s="183">
        <f t="shared" si="119"/>
        <v>91680</v>
      </c>
      <c r="M383" s="183">
        <f t="shared" si="120"/>
        <v>382</v>
      </c>
      <c r="N383" s="183">
        <f t="shared" si="121"/>
        <v>764</v>
      </c>
      <c r="O383" s="183">
        <f t="shared" si="122"/>
        <v>382</v>
      </c>
      <c r="P383" s="183">
        <f t="shared" si="123"/>
        <v>764</v>
      </c>
      <c r="Q383" s="183">
        <f t="shared" si="124"/>
        <v>382</v>
      </c>
      <c r="R383" s="183">
        <f t="shared" si="125"/>
        <v>764</v>
      </c>
      <c r="S383" s="183">
        <f t="shared" si="126"/>
        <v>382</v>
      </c>
      <c r="T383" s="183">
        <f t="shared" si="127"/>
        <v>764</v>
      </c>
      <c r="U383" s="183">
        <f t="shared" si="128"/>
        <v>382</v>
      </c>
      <c r="V383" s="183">
        <f t="shared" si="129"/>
        <v>764</v>
      </c>
      <c r="W383" s="12">
        <f>K383*属性价值参考!C$5+升级!L383*属性价值参考!C$6+升级!M383*属性价值参考!C$7+升级!N383*属性价值参考!C$8+升级!S383*属性价值参考!C$9+升级!T383*属性价值参考!C$10+升级!U383*属性价值参考!C$11+升级!V383*属性价值参考!C$12</f>
        <v>448223.52</v>
      </c>
    </row>
    <row r="384" spans="1:23" x14ac:dyDescent="0.3">
      <c r="A384" s="22"/>
      <c r="B384" s="22"/>
      <c r="C384" s="24">
        <v>383</v>
      </c>
      <c r="D384" s="27" t="str">
        <f t="shared" si="115"/>
        <v>0#1#53620|0#2#1838|0#3#383|0#4#766|0#9#383|0#10#766|0#11#383|0#12#766</v>
      </c>
      <c r="E384" s="27" t="str">
        <f t="shared" si="116"/>
        <v>1#1#8936|1#2#91920|1#3#383|1#4#766|1#9#383|1#10#766|1#11#383|1#12#766</v>
      </c>
      <c r="F384" s="27" t="str">
        <f t="shared" si="117"/>
        <v>2#1#26810|2#2#45960|2#3#383|2#4#766|2#9#383|2#10#766|2#11#383|2#12#766</v>
      </c>
      <c r="G384" s="27" t="str">
        <f t="shared" si="118"/>
        <v>0#1#53620|0#2#1838|0#3#383|0#4#766|0#9#383|0#10#766|0#11#383|0#12#766|1#1#8936|1#2#91920|1#3#383|1#4#766|1#9#383|1#10#766|1#11#383|1#12#766|2#1#26810|2#2#45960|2#3#383|2#4#766|2#9#383|2#10#766|2#11#383|2#12#766</v>
      </c>
      <c r="H384" s="22"/>
      <c r="I384" s="25">
        <v>4200000000</v>
      </c>
      <c r="J384" s="197">
        <v>383</v>
      </c>
      <c r="K384" s="183">
        <f t="shared" si="130"/>
        <v>53620</v>
      </c>
      <c r="L384" s="183">
        <f t="shared" si="119"/>
        <v>91920</v>
      </c>
      <c r="M384" s="183">
        <f t="shared" si="120"/>
        <v>383</v>
      </c>
      <c r="N384" s="183">
        <f t="shared" si="121"/>
        <v>766</v>
      </c>
      <c r="O384" s="183">
        <f t="shared" si="122"/>
        <v>383</v>
      </c>
      <c r="P384" s="183">
        <f t="shared" si="123"/>
        <v>766</v>
      </c>
      <c r="Q384" s="183">
        <f t="shared" si="124"/>
        <v>383</v>
      </c>
      <c r="R384" s="183">
        <f t="shared" si="125"/>
        <v>766</v>
      </c>
      <c r="S384" s="183">
        <f t="shared" si="126"/>
        <v>383</v>
      </c>
      <c r="T384" s="183">
        <f t="shared" si="127"/>
        <v>766</v>
      </c>
      <c r="U384" s="183">
        <f t="shared" si="128"/>
        <v>383</v>
      </c>
      <c r="V384" s="183">
        <f t="shared" si="129"/>
        <v>766</v>
      </c>
      <c r="W384" s="12">
        <f>K384*属性价值参考!C$5+升级!L384*属性价值参考!C$6+升级!M384*属性价值参考!C$7+升级!N384*属性价值参考!C$8+升级!S384*属性价值参考!C$9+升级!T384*属性价值参考!C$10+升级!U384*属性价值参考!C$11+升级!V384*属性价值参考!C$12</f>
        <v>449396.87999999995</v>
      </c>
    </row>
    <row r="385" spans="1:23" x14ac:dyDescent="0.3">
      <c r="A385" s="22"/>
      <c r="B385" s="22"/>
      <c r="C385" s="27">
        <v>384</v>
      </c>
      <c r="D385" s="27" t="str">
        <f t="shared" si="115"/>
        <v>0#1#53760|0#2#1843|0#3#384|0#4#768|0#9#384|0#10#768|0#11#384|0#12#768</v>
      </c>
      <c r="E385" s="27" t="str">
        <f t="shared" si="116"/>
        <v>1#1#8960|1#2#92160|1#3#384|1#4#768|1#9#384|1#10#768|1#11#384|1#12#768</v>
      </c>
      <c r="F385" s="27" t="str">
        <f t="shared" si="117"/>
        <v>2#1#26880|2#2#46080|2#3#384|2#4#768|2#9#384|2#10#768|2#11#384|2#12#768</v>
      </c>
      <c r="G385" s="27" t="str">
        <f t="shared" si="118"/>
        <v>0#1#53760|0#2#1843|0#3#384|0#4#768|0#9#384|0#10#768|0#11#384|0#12#768|1#1#8960|1#2#92160|1#3#384|1#4#768|1#9#384|1#10#768|1#11#384|1#12#768|2#1#26880|2#2#46080|2#3#384|2#4#768|2#9#384|2#10#768|2#11#384|2#12#768</v>
      </c>
      <c r="H385" s="22"/>
      <c r="I385" s="28">
        <v>4200000000</v>
      </c>
      <c r="J385" s="198">
        <v>384</v>
      </c>
      <c r="K385" s="183">
        <f t="shared" si="130"/>
        <v>53760</v>
      </c>
      <c r="L385" s="183">
        <f t="shared" si="119"/>
        <v>92160</v>
      </c>
      <c r="M385" s="183">
        <f t="shared" si="120"/>
        <v>384</v>
      </c>
      <c r="N385" s="183">
        <f t="shared" si="121"/>
        <v>768</v>
      </c>
      <c r="O385" s="183">
        <f t="shared" si="122"/>
        <v>384</v>
      </c>
      <c r="P385" s="183">
        <f t="shared" si="123"/>
        <v>768</v>
      </c>
      <c r="Q385" s="183">
        <f t="shared" si="124"/>
        <v>384</v>
      </c>
      <c r="R385" s="183">
        <f t="shared" si="125"/>
        <v>768</v>
      </c>
      <c r="S385" s="183">
        <f t="shared" si="126"/>
        <v>384</v>
      </c>
      <c r="T385" s="183">
        <f t="shared" si="127"/>
        <v>768</v>
      </c>
      <c r="U385" s="183">
        <f t="shared" si="128"/>
        <v>384</v>
      </c>
      <c r="V385" s="183">
        <f t="shared" si="129"/>
        <v>768</v>
      </c>
      <c r="W385" s="12">
        <f>K385*属性价值参考!C$5+升级!L385*属性价值参考!C$6+升级!M385*属性价值参考!C$7+升级!N385*属性价值参考!C$8+升级!S385*属性价值参考!C$9+升级!T385*属性价值参考!C$10+升级!U385*属性价值参考!C$11+升级!V385*属性价值参考!C$12</f>
        <v>450570.23999999987</v>
      </c>
    </row>
    <row r="386" spans="1:23" x14ac:dyDescent="0.3">
      <c r="A386" s="22"/>
      <c r="B386" s="22"/>
      <c r="C386" s="24">
        <v>385</v>
      </c>
      <c r="D386" s="27" t="str">
        <f t="shared" ref="D386:D449" si="131">"0#1#"&amp;INT(K386)&amp;"|"&amp;"0#2#"&amp;INT(0.02*L386)&amp;"|"&amp;"0#3#"&amp;INT(M386)&amp;"|"&amp;"0#4#"&amp;INT(N386)&amp;"|"&amp;"0#9#"&amp;INT(S386)&amp;"|"&amp;"0#10#"&amp;INT(T386)&amp;"|"&amp;"0#11#"&amp;INT(U386)&amp;"|"&amp;"0#12#"&amp;INT(V386)</f>
        <v>0#1#53900|0#2#1848|0#3#385|0#4#770|0#9#385|0#10#770|0#11#385|0#12#770</v>
      </c>
      <c r="E386" s="27" t="str">
        <f t="shared" ref="E386:E449" si="132">"1#1#"&amp;INT(1/6*K386)&amp;"|"&amp;"1#2#"&amp;INT(L386)&amp;"|"&amp;"1#3#"&amp;INT(O386)&amp;"|"&amp;"1#4#"&amp;INT(P386)&amp;"|"&amp;"1#9#"&amp;INT(S386)&amp;"|"&amp;"1#10#"&amp;INT(T386)&amp;"|"&amp;"1#11#"&amp;INT(U386)&amp;"|"&amp;"1#12#"&amp;INT(V386)</f>
        <v>1#1#8983|1#2#92400|1#3#385|1#4#770|1#9#385|1#10#770|1#11#385|1#12#770</v>
      </c>
      <c r="F386" s="27" t="str">
        <f t="shared" ref="F386:F449" si="133">"2#1#"&amp;INT(1/2*K386)&amp;"|"&amp;"2#2#"&amp;INT(1/2*L386)&amp;"|"&amp;"2#3#"&amp;INT(Q386)&amp;"|"&amp;"2#4#"&amp;INT(R386)&amp;"|"&amp;"2#9#"&amp;INT(S386)&amp;"|"&amp;"2#10#"&amp;INT(T386)&amp;"|"&amp;"2#11#"&amp;INT(U386)&amp;"|"&amp;"2#12#"&amp;INT(V386)</f>
        <v>2#1#26950|2#2#46200|2#3#385|2#4#770|2#9#385|2#10#770|2#11#385|2#12#770</v>
      </c>
      <c r="G386" s="27" t="str">
        <f t="shared" si="118"/>
        <v>0#1#53900|0#2#1848|0#3#385|0#4#770|0#9#385|0#10#770|0#11#385|0#12#770|1#1#8983|1#2#92400|1#3#385|1#4#770|1#9#385|1#10#770|1#11#385|1#12#770|2#1#26950|2#2#46200|2#3#385|2#4#770|2#9#385|2#10#770|2#11#385|2#12#770</v>
      </c>
      <c r="H386" s="22"/>
      <c r="I386" s="25">
        <v>4200000000</v>
      </c>
      <c r="J386" s="197">
        <v>385</v>
      </c>
      <c r="K386" s="183">
        <f t="shared" si="130"/>
        <v>53900</v>
      </c>
      <c r="L386" s="183">
        <f t="shared" si="119"/>
        <v>92400</v>
      </c>
      <c r="M386" s="183">
        <f t="shared" si="120"/>
        <v>385</v>
      </c>
      <c r="N386" s="183">
        <f t="shared" si="121"/>
        <v>770</v>
      </c>
      <c r="O386" s="183">
        <f t="shared" si="122"/>
        <v>385</v>
      </c>
      <c r="P386" s="183">
        <f t="shared" si="123"/>
        <v>770</v>
      </c>
      <c r="Q386" s="183">
        <f t="shared" si="124"/>
        <v>385</v>
      </c>
      <c r="R386" s="183">
        <f t="shared" si="125"/>
        <v>770</v>
      </c>
      <c r="S386" s="183">
        <f t="shared" si="126"/>
        <v>385</v>
      </c>
      <c r="T386" s="183">
        <f t="shared" si="127"/>
        <v>770</v>
      </c>
      <c r="U386" s="183">
        <f t="shared" si="128"/>
        <v>385</v>
      </c>
      <c r="V386" s="183">
        <f t="shared" si="129"/>
        <v>770</v>
      </c>
      <c r="W386" s="12">
        <f>K386*属性价值参考!C$5+升级!L386*属性价值参考!C$6+升级!M386*属性价值参考!C$7+升级!N386*属性价值参考!C$8+升级!S386*属性价值参考!C$9+升级!T386*属性价值参考!C$10+升级!U386*属性价值参考!C$11+升级!V386*属性价值参考!C$12</f>
        <v>451743.6</v>
      </c>
    </row>
    <row r="387" spans="1:23" x14ac:dyDescent="0.3">
      <c r="A387" s="22"/>
      <c r="B387" s="22"/>
      <c r="C387" s="27">
        <v>386</v>
      </c>
      <c r="D387" s="27" t="str">
        <f t="shared" si="131"/>
        <v>0#1#54040|0#2#1852|0#3#386|0#4#772|0#9#386|0#10#772|0#11#386|0#12#772</v>
      </c>
      <c r="E387" s="27" t="str">
        <f t="shared" si="132"/>
        <v>1#1#9006|1#2#92640|1#3#386|1#4#772|1#9#386|1#10#772|1#11#386|1#12#772</v>
      </c>
      <c r="F387" s="27" t="str">
        <f t="shared" si="133"/>
        <v>2#1#27020|2#2#46320|2#3#386|2#4#772|2#9#386|2#10#772|2#11#386|2#12#772</v>
      </c>
      <c r="G387" s="27" t="str">
        <f t="shared" ref="G387:G450" si="134">D387&amp;"|"&amp;E387&amp;"|"&amp;F387</f>
        <v>0#1#54040|0#2#1852|0#3#386|0#4#772|0#9#386|0#10#772|0#11#386|0#12#772|1#1#9006|1#2#92640|1#3#386|1#4#772|1#9#386|1#10#772|1#11#386|1#12#772|2#1#27020|2#2#46320|2#3#386|2#4#772|2#9#386|2#10#772|2#11#386|2#12#772</v>
      </c>
      <c r="H387" s="22"/>
      <c r="I387" s="28">
        <v>4200000000</v>
      </c>
      <c r="J387" s="198">
        <v>386</v>
      </c>
      <c r="K387" s="183">
        <f t="shared" si="130"/>
        <v>54040</v>
      </c>
      <c r="L387" s="183">
        <f t="shared" ref="L387:L450" si="135">INT(J387/250*L$251)</f>
        <v>92640</v>
      </c>
      <c r="M387" s="183">
        <f t="shared" ref="M387:M450" si="136">INT(J387/250*M$251)</f>
        <v>386</v>
      </c>
      <c r="N387" s="183">
        <f t="shared" ref="N387:N450" si="137">INT(J387/250*N$251)</f>
        <v>772</v>
      </c>
      <c r="O387" s="183">
        <f t="shared" ref="O387:O450" si="138">INT(J387/250*O$251)</f>
        <v>386</v>
      </c>
      <c r="P387" s="183">
        <f t="shared" ref="P387:P450" si="139">INT(J387/250*P$251)</f>
        <v>772</v>
      </c>
      <c r="Q387" s="183">
        <f t="shared" ref="Q387:Q450" si="140">INT(J387/250*Q$251)</f>
        <v>386</v>
      </c>
      <c r="R387" s="183">
        <f t="shared" ref="R387:R450" si="141">INT(J387/250*R$251)</f>
        <v>772</v>
      </c>
      <c r="S387" s="183">
        <f t="shared" ref="S387:S450" si="142">INT(J387/250*S$251)</f>
        <v>386</v>
      </c>
      <c r="T387" s="183">
        <f t="shared" ref="T387:T450" si="143">INT(J387/250*T$251)</f>
        <v>772</v>
      </c>
      <c r="U387" s="183">
        <f t="shared" ref="U387:U450" si="144">INT(J387/250*U$251)</f>
        <v>386</v>
      </c>
      <c r="V387" s="183">
        <f t="shared" ref="V387:V450" si="145">INT(J387/250*V$251)</f>
        <v>772</v>
      </c>
      <c r="W387" s="12">
        <f>K387*属性价值参考!C$5+升级!L387*属性价值参考!C$6+升级!M387*属性价值参考!C$7+升级!N387*属性价值参考!C$8+升级!S387*属性价值参考!C$9+升级!T387*属性价值参考!C$10+升级!U387*属性价值参考!C$11+升级!V387*属性价值参考!C$12</f>
        <v>452916.96000000008</v>
      </c>
    </row>
    <row r="388" spans="1:23" x14ac:dyDescent="0.3">
      <c r="A388" s="22"/>
      <c r="B388" s="22"/>
      <c r="C388" s="24">
        <v>387</v>
      </c>
      <c r="D388" s="27" t="str">
        <f t="shared" si="131"/>
        <v>0#1#54180|0#2#1857|0#3#387|0#4#774|0#9#387|0#10#774|0#11#387|0#12#774</v>
      </c>
      <c r="E388" s="27" t="str">
        <f t="shared" si="132"/>
        <v>1#1#9030|1#2#92880|1#3#387|1#4#774|1#9#387|1#10#774|1#11#387|1#12#774</v>
      </c>
      <c r="F388" s="27" t="str">
        <f t="shared" si="133"/>
        <v>2#1#27090|2#2#46440|2#3#387|2#4#774|2#9#387|2#10#774|2#11#387|2#12#774</v>
      </c>
      <c r="G388" s="27" t="str">
        <f t="shared" si="134"/>
        <v>0#1#54180|0#2#1857|0#3#387|0#4#774|0#9#387|0#10#774|0#11#387|0#12#774|1#1#9030|1#2#92880|1#3#387|1#4#774|1#9#387|1#10#774|1#11#387|1#12#774|2#1#27090|2#2#46440|2#3#387|2#4#774|2#9#387|2#10#774|2#11#387|2#12#774</v>
      </c>
      <c r="H388" s="22"/>
      <c r="I388" s="25">
        <v>4200000000</v>
      </c>
      <c r="J388" s="197">
        <v>387</v>
      </c>
      <c r="K388" s="183">
        <f t="shared" si="130"/>
        <v>54180</v>
      </c>
      <c r="L388" s="183">
        <f t="shared" si="135"/>
        <v>92880</v>
      </c>
      <c r="M388" s="183">
        <f t="shared" si="136"/>
        <v>387</v>
      </c>
      <c r="N388" s="183">
        <f t="shared" si="137"/>
        <v>774</v>
      </c>
      <c r="O388" s="183">
        <f t="shared" si="138"/>
        <v>387</v>
      </c>
      <c r="P388" s="183">
        <f t="shared" si="139"/>
        <v>774</v>
      </c>
      <c r="Q388" s="183">
        <f t="shared" si="140"/>
        <v>387</v>
      </c>
      <c r="R388" s="183">
        <f t="shared" si="141"/>
        <v>774</v>
      </c>
      <c r="S388" s="183">
        <f t="shared" si="142"/>
        <v>387</v>
      </c>
      <c r="T388" s="183">
        <f t="shared" si="143"/>
        <v>774</v>
      </c>
      <c r="U388" s="183">
        <f t="shared" si="144"/>
        <v>387</v>
      </c>
      <c r="V388" s="183">
        <f t="shared" si="145"/>
        <v>774</v>
      </c>
      <c r="W388" s="12">
        <f>K388*属性价值参考!C$5+升级!L388*属性价值参考!C$6+升级!M388*属性价值参考!C$7+升级!N388*属性价值参考!C$8+升级!S388*属性价值参考!C$9+升级!T388*属性价值参考!C$10+升级!U388*属性价值参考!C$11+升级!V388*属性价值参考!C$12</f>
        <v>454090.32</v>
      </c>
    </row>
    <row r="389" spans="1:23" x14ac:dyDescent="0.3">
      <c r="A389" s="22"/>
      <c r="B389" s="22"/>
      <c r="C389" s="27">
        <v>388</v>
      </c>
      <c r="D389" s="27" t="str">
        <f t="shared" si="131"/>
        <v>0#1#54320|0#2#1862|0#3#388|0#4#776|0#9#388|0#10#776|0#11#388|0#12#776</v>
      </c>
      <c r="E389" s="27" t="str">
        <f t="shared" si="132"/>
        <v>1#1#9053|1#2#93120|1#3#388|1#4#776|1#9#388|1#10#776|1#11#388|1#12#776</v>
      </c>
      <c r="F389" s="27" t="str">
        <f t="shared" si="133"/>
        <v>2#1#27160|2#2#46560|2#3#388|2#4#776|2#9#388|2#10#776|2#11#388|2#12#776</v>
      </c>
      <c r="G389" s="27" t="str">
        <f t="shared" si="134"/>
        <v>0#1#54320|0#2#1862|0#3#388|0#4#776|0#9#388|0#10#776|0#11#388|0#12#776|1#1#9053|1#2#93120|1#3#388|1#4#776|1#9#388|1#10#776|1#11#388|1#12#776|2#1#27160|2#2#46560|2#3#388|2#4#776|2#9#388|2#10#776|2#11#388|2#12#776</v>
      </c>
      <c r="H389" s="22"/>
      <c r="I389" s="28">
        <v>4200000000</v>
      </c>
      <c r="J389" s="198">
        <v>388</v>
      </c>
      <c r="K389" s="183">
        <f t="shared" si="130"/>
        <v>54320</v>
      </c>
      <c r="L389" s="183">
        <f t="shared" si="135"/>
        <v>93120</v>
      </c>
      <c r="M389" s="183">
        <f t="shared" si="136"/>
        <v>388</v>
      </c>
      <c r="N389" s="183">
        <f t="shared" si="137"/>
        <v>776</v>
      </c>
      <c r="O389" s="183">
        <f t="shared" si="138"/>
        <v>388</v>
      </c>
      <c r="P389" s="183">
        <f t="shared" si="139"/>
        <v>776</v>
      </c>
      <c r="Q389" s="183">
        <f t="shared" si="140"/>
        <v>388</v>
      </c>
      <c r="R389" s="183">
        <f t="shared" si="141"/>
        <v>776</v>
      </c>
      <c r="S389" s="183">
        <f t="shared" si="142"/>
        <v>388</v>
      </c>
      <c r="T389" s="183">
        <f t="shared" si="143"/>
        <v>776</v>
      </c>
      <c r="U389" s="183">
        <f t="shared" si="144"/>
        <v>388</v>
      </c>
      <c r="V389" s="183">
        <f t="shared" si="145"/>
        <v>776</v>
      </c>
      <c r="W389" s="12">
        <f>K389*属性价值参考!C$5+升级!L389*属性价值参考!C$6+升级!M389*属性价值参考!C$7+升级!N389*属性价值参考!C$8+升级!S389*属性价值参考!C$9+升级!T389*属性价值参考!C$10+升级!U389*属性价值参考!C$11+升级!V389*属性价值参考!C$12</f>
        <v>455263.67999999993</v>
      </c>
    </row>
    <row r="390" spans="1:23" x14ac:dyDescent="0.3">
      <c r="A390" s="22"/>
      <c r="B390" s="22"/>
      <c r="C390" s="24">
        <v>389</v>
      </c>
      <c r="D390" s="27" t="str">
        <f t="shared" si="131"/>
        <v>0#1#54460|0#2#1867|0#3#389|0#4#778|0#9#389|0#10#778|0#11#389|0#12#778</v>
      </c>
      <c r="E390" s="27" t="str">
        <f t="shared" si="132"/>
        <v>1#1#9076|1#2#93360|1#3#389|1#4#778|1#9#389|1#10#778|1#11#389|1#12#778</v>
      </c>
      <c r="F390" s="27" t="str">
        <f t="shared" si="133"/>
        <v>2#1#27230|2#2#46680|2#3#389|2#4#778|2#9#389|2#10#778|2#11#389|2#12#778</v>
      </c>
      <c r="G390" s="27" t="str">
        <f t="shared" si="134"/>
        <v>0#1#54460|0#2#1867|0#3#389|0#4#778|0#9#389|0#10#778|0#11#389|0#12#778|1#1#9076|1#2#93360|1#3#389|1#4#778|1#9#389|1#10#778|1#11#389|1#12#778|2#1#27230|2#2#46680|2#3#389|2#4#778|2#9#389|2#10#778|2#11#389|2#12#778</v>
      </c>
      <c r="H390" s="22"/>
      <c r="I390" s="25">
        <v>4200000000</v>
      </c>
      <c r="J390" s="197">
        <v>389</v>
      </c>
      <c r="K390" s="183">
        <f t="shared" si="130"/>
        <v>54460</v>
      </c>
      <c r="L390" s="183">
        <f t="shared" si="135"/>
        <v>93360</v>
      </c>
      <c r="M390" s="183">
        <f t="shared" si="136"/>
        <v>389</v>
      </c>
      <c r="N390" s="183">
        <f t="shared" si="137"/>
        <v>778</v>
      </c>
      <c r="O390" s="183">
        <f t="shared" si="138"/>
        <v>389</v>
      </c>
      <c r="P390" s="183">
        <f t="shared" si="139"/>
        <v>778</v>
      </c>
      <c r="Q390" s="183">
        <f t="shared" si="140"/>
        <v>389</v>
      </c>
      <c r="R390" s="183">
        <f t="shared" si="141"/>
        <v>778</v>
      </c>
      <c r="S390" s="183">
        <f t="shared" si="142"/>
        <v>389</v>
      </c>
      <c r="T390" s="183">
        <f t="shared" si="143"/>
        <v>778</v>
      </c>
      <c r="U390" s="183">
        <f t="shared" si="144"/>
        <v>389</v>
      </c>
      <c r="V390" s="183">
        <f t="shared" si="145"/>
        <v>778</v>
      </c>
      <c r="W390" s="12">
        <f>K390*属性价值参考!C$5+升级!L390*属性价值参考!C$6+升级!M390*属性价值参考!C$7+升级!N390*属性价值参考!C$8+升级!S390*属性价值参考!C$9+升级!T390*属性价值参考!C$10+升级!U390*属性价值参考!C$11+升级!V390*属性价值参考!C$12</f>
        <v>456437.03999999992</v>
      </c>
    </row>
    <row r="391" spans="1:23" x14ac:dyDescent="0.3">
      <c r="A391" s="22"/>
      <c r="B391" s="22"/>
      <c r="C391" s="27">
        <v>390</v>
      </c>
      <c r="D391" s="27" t="str">
        <f t="shared" si="131"/>
        <v>0#1#54600|0#2#1872|0#3#390|0#4#780|0#9#390|0#10#780|0#11#390|0#12#780</v>
      </c>
      <c r="E391" s="27" t="str">
        <f t="shared" si="132"/>
        <v>1#1#9100|1#2#93600|1#3#390|1#4#780|1#9#390|1#10#780|1#11#390|1#12#780</v>
      </c>
      <c r="F391" s="27" t="str">
        <f t="shared" si="133"/>
        <v>2#1#27300|2#2#46800|2#3#390|2#4#780|2#9#390|2#10#780|2#11#390|2#12#780</v>
      </c>
      <c r="G391" s="27" t="str">
        <f t="shared" si="134"/>
        <v>0#1#54600|0#2#1872|0#3#390|0#4#780|0#9#390|0#10#780|0#11#390|0#12#780|1#1#9100|1#2#93600|1#3#390|1#4#780|1#9#390|1#10#780|1#11#390|1#12#780|2#1#27300|2#2#46800|2#3#390|2#4#780|2#9#390|2#10#780|2#11#390|2#12#780</v>
      </c>
      <c r="H391" s="22"/>
      <c r="I391" s="28">
        <v>4200000000</v>
      </c>
      <c r="J391" s="198">
        <v>390</v>
      </c>
      <c r="K391" s="183">
        <f t="shared" si="130"/>
        <v>54600</v>
      </c>
      <c r="L391" s="183">
        <f t="shared" si="135"/>
        <v>93600</v>
      </c>
      <c r="M391" s="183">
        <f t="shared" si="136"/>
        <v>390</v>
      </c>
      <c r="N391" s="183">
        <f t="shared" si="137"/>
        <v>780</v>
      </c>
      <c r="O391" s="183">
        <f t="shared" si="138"/>
        <v>390</v>
      </c>
      <c r="P391" s="183">
        <f t="shared" si="139"/>
        <v>780</v>
      </c>
      <c r="Q391" s="183">
        <f t="shared" si="140"/>
        <v>390</v>
      </c>
      <c r="R391" s="183">
        <f t="shared" si="141"/>
        <v>780</v>
      </c>
      <c r="S391" s="183">
        <f t="shared" si="142"/>
        <v>390</v>
      </c>
      <c r="T391" s="183">
        <f t="shared" si="143"/>
        <v>780</v>
      </c>
      <c r="U391" s="183">
        <f t="shared" si="144"/>
        <v>390</v>
      </c>
      <c r="V391" s="183">
        <f t="shared" si="145"/>
        <v>780</v>
      </c>
      <c r="W391" s="12">
        <f>K391*属性价值参考!C$5+升级!L391*属性价值参考!C$6+升级!M391*属性价值参考!C$7+升级!N391*属性价值参考!C$8+升级!S391*属性价值参考!C$9+升级!T391*属性价值参考!C$10+升级!U391*属性价值参考!C$11+升级!V391*属性价值参考!C$12</f>
        <v>457610.39999999997</v>
      </c>
    </row>
    <row r="392" spans="1:23" x14ac:dyDescent="0.3">
      <c r="A392" s="22"/>
      <c r="B392" s="22"/>
      <c r="C392" s="24">
        <v>391</v>
      </c>
      <c r="D392" s="27" t="str">
        <f t="shared" si="131"/>
        <v>0#1#54740|0#2#1876|0#3#391|0#4#782|0#9#391|0#10#782|0#11#391|0#12#782</v>
      </c>
      <c r="E392" s="27" t="str">
        <f t="shared" si="132"/>
        <v>1#1#9123|1#2#93840|1#3#391|1#4#782|1#9#391|1#10#782|1#11#391|1#12#782</v>
      </c>
      <c r="F392" s="27" t="str">
        <f t="shared" si="133"/>
        <v>2#1#27370|2#2#46920|2#3#391|2#4#782|2#9#391|2#10#782|2#11#391|2#12#782</v>
      </c>
      <c r="G392" s="27" t="str">
        <f t="shared" si="134"/>
        <v>0#1#54740|0#2#1876|0#3#391|0#4#782|0#9#391|0#10#782|0#11#391|0#12#782|1#1#9123|1#2#93840|1#3#391|1#4#782|1#9#391|1#10#782|1#11#391|1#12#782|2#1#27370|2#2#46920|2#3#391|2#4#782|2#9#391|2#10#782|2#11#391|2#12#782</v>
      </c>
      <c r="H392" s="22"/>
      <c r="I392" s="25">
        <v>4200000000</v>
      </c>
      <c r="J392" s="197">
        <v>391</v>
      </c>
      <c r="K392" s="183">
        <f t="shared" si="130"/>
        <v>54740</v>
      </c>
      <c r="L392" s="183">
        <f t="shared" si="135"/>
        <v>93840</v>
      </c>
      <c r="M392" s="183">
        <f t="shared" si="136"/>
        <v>391</v>
      </c>
      <c r="N392" s="183">
        <f t="shared" si="137"/>
        <v>782</v>
      </c>
      <c r="O392" s="183">
        <f t="shared" si="138"/>
        <v>391</v>
      </c>
      <c r="P392" s="183">
        <f t="shared" si="139"/>
        <v>782</v>
      </c>
      <c r="Q392" s="183">
        <f t="shared" si="140"/>
        <v>391</v>
      </c>
      <c r="R392" s="183">
        <f t="shared" si="141"/>
        <v>782</v>
      </c>
      <c r="S392" s="183">
        <f t="shared" si="142"/>
        <v>391</v>
      </c>
      <c r="T392" s="183">
        <f t="shared" si="143"/>
        <v>782</v>
      </c>
      <c r="U392" s="183">
        <f t="shared" si="144"/>
        <v>391</v>
      </c>
      <c r="V392" s="183">
        <f t="shared" si="145"/>
        <v>782</v>
      </c>
      <c r="W392" s="12">
        <f>K392*属性价值参考!C$5+升级!L392*属性价值参考!C$6+升级!M392*属性价值参考!C$7+升级!N392*属性价值参考!C$8+升级!S392*属性价值参考!C$9+升级!T392*属性价值参考!C$10+升级!U392*属性价值参考!C$11+升级!V392*属性价值参考!C$12</f>
        <v>458783.76000000007</v>
      </c>
    </row>
    <row r="393" spans="1:23" x14ac:dyDescent="0.3">
      <c r="A393" s="22"/>
      <c r="B393" s="22"/>
      <c r="C393" s="27">
        <v>392</v>
      </c>
      <c r="D393" s="27" t="str">
        <f t="shared" si="131"/>
        <v>0#1#54880|0#2#1881|0#3#392|0#4#784|0#9#392|0#10#784|0#11#392|0#12#784</v>
      </c>
      <c r="E393" s="27" t="str">
        <f t="shared" si="132"/>
        <v>1#1#9146|1#2#94080|1#3#392|1#4#784|1#9#392|1#10#784|1#11#392|1#12#784</v>
      </c>
      <c r="F393" s="27" t="str">
        <f t="shared" si="133"/>
        <v>2#1#27440|2#2#47040|2#3#392|2#4#784|2#9#392|2#10#784|2#11#392|2#12#784</v>
      </c>
      <c r="G393" s="27" t="str">
        <f t="shared" si="134"/>
        <v>0#1#54880|0#2#1881|0#3#392|0#4#784|0#9#392|0#10#784|0#11#392|0#12#784|1#1#9146|1#2#94080|1#3#392|1#4#784|1#9#392|1#10#784|1#11#392|1#12#784|2#1#27440|2#2#47040|2#3#392|2#4#784|2#9#392|2#10#784|2#11#392|2#12#784</v>
      </c>
      <c r="H393" s="22"/>
      <c r="I393" s="28">
        <v>4200000000</v>
      </c>
      <c r="J393" s="198">
        <v>392</v>
      </c>
      <c r="K393" s="183">
        <f t="shared" si="130"/>
        <v>54880</v>
      </c>
      <c r="L393" s="183">
        <f t="shared" si="135"/>
        <v>94080</v>
      </c>
      <c r="M393" s="183">
        <f t="shared" si="136"/>
        <v>392</v>
      </c>
      <c r="N393" s="183">
        <f t="shared" si="137"/>
        <v>784</v>
      </c>
      <c r="O393" s="183">
        <f t="shared" si="138"/>
        <v>392</v>
      </c>
      <c r="P393" s="183">
        <f t="shared" si="139"/>
        <v>784</v>
      </c>
      <c r="Q393" s="183">
        <f t="shared" si="140"/>
        <v>392</v>
      </c>
      <c r="R393" s="183">
        <f t="shared" si="141"/>
        <v>784</v>
      </c>
      <c r="S393" s="183">
        <f t="shared" si="142"/>
        <v>392</v>
      </c>
      <c r="T393" s="183">
        <f t="shared" si="143"/>
        <v>784</v>
      </c>
      <c r="U393" s="183">
        <f t="shared" si="144"/>
        <v>392</v>
      </c>
      <c r="V393" s="183">
        <f t="shared" si="145"/>
        <v>784</v>
      </c>
      <c r="W393" s="12">
        <f>K393*属性价值参考!C$5+升级!L393*属性价值参考!C$6+升级!M393*属性价值参考!C$7+升级!N393*属性价值参考!C$8+升级!S393*属性价值参考!C$9+升级!T393*属性价值参考!C$10+升级!U393*属性价值参考!C$11+升级!V393*属性价值参考!C$12</f>
        <v>459957.12000000005</v>
      </c>
    </row>
    <row r="394" spans="1:23" x14ac:dyDescent="0.3">
      <c r="A394" s="22"/>
      <c r="B394" s="22"/>
      <c r="C394" s="24">
        <v>393</v>
      </c>
      <c r="D394" s="27" t="str">
        <f t="shared" si="131"/>
        <v>0#1#55020|0#2#1886|0#3#393|0#4#786|0#9#393|0#10#786|0#11#393|0#12#786</v>
      </c>
      <c r="E394" s="27" t="str">
        <f t="shared" si="132"/>
        <v>1#1#9170|1#2#94320|1#3#393|1#4#786|1#9#393|1#10#786|1#11#393|1#12#786</v>
      </c>
      <c r="F394" s="27" t="str">
        <f t="shared" si="133"/>
        <v>2#1#27510|2#2#47160|2#3#393|2#4#786|2#9#393|2#10#786|2#11#393|2#12#786</v>
      </c>
      <c r="G394" s="27" t="str">
        <f t="shared" si="134"/>
        <v>0#1#55020|0#2#1886|0#3#393|0#4#786|0#9#393|0#10#786|0#11#393|0#12#786|1#1#9170|1#2#94320|1#3#393|1#4#786|1#9#393|1#10#786|1#11#393|1#12#786|2#1#27510|2#2#47160|2#3#393|2#4#786|2#9#393|2#10#786|2#11#393|2#12#786</v>
      </c>
      <c r="H394" s="22"/>
      <c r="I394" s="25">
        <v>4200000000</v>
      </c>
      <c r="J394" s="197">
        <v>393</v>
      </c>
      <c r="K394" s="183">
        <f t="shared" si="130"/>
        <v>55020</v>
      </c>
      <c r="L394" s="183">
        <f t="shared" si="135"/>
        <v>94320</v>
      </c>
      <c r="M394" s="183">
        <f t="shared" si="136"/>
        <v>393</v>
      </c>
      <c r="N394" s="183">
        <f t="shared" si="137"/>
        <v>786</v>
      </c>
      <c r="O394" s="183">
        <f t="shared" si="138"/>
        <v>393</v>
      </c>
      <c r="P394" s="183">
        <f t="shared" si="139"/>
        <v>786</v>
      </c>
      <c r="Q394" s="183">
        <f t="shared" si="140"/>
        <v>393</v>
      </c>
      <c r="R394" s="183">
        <f t="shared" si="141"/>
        <v>786</v>
      </c>
      <c r="S394" s="183">
        <f t="shared" si="142"/>
        <v>393</v>
      </c>
      <c r="T394" s="183">
        <f t="shared" si="143"/>
        <v>786</v>
      </c>
      <c r="U394" s="183">
        <f t="shared" si="144"/>
        <v>393</v>
      </c>
      <c r="V394" s="183">
        <f t="shared" si="145"/>
        <v>786</v>
      </c>
      <c r="W394" s="12">
        <f>K394*属性价值参考!C$5+升级!L394*属性价值参考!C$6+升级!M394*属性价值参考!C$7+升级!N394*属性价值参考!C$8+升级!S394*属性价值参考!C$9+升级!T394*属性价值参考!C$10+升级!U394*属性价值参考!C$11+升级!V394*属性价值参考!C$12</f>
        <v>461130.47999999992</v>
      </c>
    </row>
    <row r="395" spans="1:23" x14ac:dyDescent="0.3">
      <c r="A395" s="22"/>
      <c r="B395" s="22"/>
      <c r="C395" s="27">
        <v>394</v>
      </c>
      <c r="D395" s="27" t="str">
        <f t="shared" si="131"/>
        <v>0#1#55160|0#2#1891|0#3#394|0#4#788|0#9#394|0#10#788|0#11#394|0#12#788</v>
      </c>
      <c r="E395" s="27" t="str">
        <f t="shared" si="132"/>
        <v>1#1#9193|1#2#94560|1#3#394|1#4#788|1#9#394|1#10#788|1#11#394|1#12#788</v>
      </c>
      <c r="F395" s="27" t="str">
        <f t="shared" si="133"/>
        <v>2#1#27580|2#2#47280|2#3#394|2#4#788|2#9#394|2#10#788|2#11#394|2#12#788</v>
      </c>
      <c r="G395" s="27" t="str">
        <f t="shared" si="134"/>
        <v>0#1#55160|0#2#1891|0#3#394|0#4#788|0#9#394|0#10#788|0#11#394|0#12#788|1#1#9193|1#2#94560|1#3#394|1#4#788|1#9#394|1#10#788|1#11#394|1#12#788|2#1#27580|2#2#47280|2#3#394|2#4#788|2#9#394|2#10#788|2#11#394|2#12#788</v>
      </c>
      <c r="H395" s="22"/>
      <c r="I395" s="28">
        <v>4200000000</v>
      </c>
      <c r="J395" s="198">
        <v>394</v>
      </c>
      <c r="K395" s="183">
        <f t="shared" si="130"/>
        <v>55160</v>
      </c>
      <c r="L395" s="183">
        <f t="shared" si="135"/>
        <v>94560</v>
      </c>
      <c r="M395" s="183">
        <f t="shared" si="136"/>
        <v>394</v>
      </c>
      <c r="N395" s="183">
        <f t="shared" si="137"/>
        <v>788</v>
      </c>
      <c r="O395" s="183">
        <f t="shared" si="138"/>
        <v>394</v>
      </c>
      <c r="P395" s="183">
        <f t="shared" si="139"/>
        <v>788</v>
      </c>
      <c r="Q395" s="183">
        <f t="shared" si="140"/>
        <v>394</v>
      </c>
      <c r="R395" s="183">
        <f t="shared" si="141"/>
        <v>788</v>
      </c>
      <c r="S395" s="183">
        <f t="shared" si="142"/>
        <v>394</v>
      </c>
      <c r="T395" s="183">
        <f t="shared" si="143"/>
        <v>788</v>
      </c>
      <c r="U395" s="183">
        <f t="shared" si="144"/>
        <v>394</v>
      </c>
      <c r="V395" s="183">
        <f t="shared" si="145"/>
        <v>788</v>
      </c>
      <c r="W395" s="12">
        <f>K395*属性价值参考!C$5+升级!L395*属性价值参考!C$6+升级!M395*属性价值参考!C$7+升级!N395*属性价值参考!C$8+升级!S395*属性价值参考!C$9+升级!T395*属性价值参考!C$10+升级!U395*属性价值参考!C$11+升级!V395*属性价值参考!C$12</f>
        <v>462303.83999999997</v>
      </c>
    </row>
    <row r="396" spans="1:23" x14ac:dyDescent="0.3">
      <c r="A396" s="22"/>
      <c r="B396" s="22"/>
      <c r="C396" s="24">
        <v>395</v>
      </c>
      <c r="D396" s="27" t="str">
        <f t="shared" si="131"/>
        <v>0#1#55300|0#2#1896|0#3#395|0#4#790|0#9#395|0#10#790|0#11#395|0#12#790</v>
      </c>
      <c r="E396" s="27" t="str">
        <f t="shared" si="132"/>
        <v>1#1#9216|1#2#94800|1#3#395|1#4#790|1#9#395|1#10#790|1#11#395|1#12#790</v>
      </c>
      <c r="F396" s="27" t="str">
        <f t="shared" si="133"/>
        <v>2#1#27650|2#2#47400|2#3#395|2#4#790|2#9#395|2#10#790|2#11#395|2#12#790</v>
      </c>
      <c r="G396" s="27" t="str">
        <f t="shared" si="134"/>
        <v>0#1#55300|0#2#1896|0#3#395|0#4#790|0#9#395|0#10#790|0#11#395|0#12#790|1#1#9216|1#2#94800|1#3#395|1#4#790|1#9#395|1#10#790|1#11#395|1#12#790|2#1#27650|2#2#47400|2#3#395|2#4#790|2#9#395|2#10#790|2#11#395|2#12#790</v>
      </c>
      <c r="H396" s="22"/>
      <c r="I396" s="25">
        <v>4200000000</v>
      </c>
      <c r="J396" s="197">
        <v>395</v>
      </c>
      <c r="K396" s="183">
        <f t="shared" si="130"/>
        <v>55300</v>
      </c>
      <c r="L396" s="183">
        <f t="shared" si="135"/>
        <v>94800</v>
      </c>
      <c r="M396" s="183">
        <f t="shared" si="136"/>
        <v>395</v>
      </c>
      <c r="N396" s="183">
        <f t="shared" si="137"/>
        <v>790</v>
      </c>
      <c r="O396" s="183">
        <f t="shared" si="138"/>
        <v>395</v>
      </c>
      <c r="P396" s="183">
        <f t="shared" si="139"/>
        <v>790</v>
      </c>
      <c r="Q396" s="183">
        <f t="shared" si="140"/>
        <v>395</v>
      </c>
      <c r="R396" s="183">
        <f t="shared" si="141"/>
        <v>790</v>
      </c>
      <c r="S396" s="183">
        <f t="shared" si="142"/>
        <v>395</v>
      </c>
      <c r="T396" s="183">
        <f t="shared" si="143"/>
        <v>790</v>
      </c>
      <c r="U396" s="183">
        <f t="shared" si="144"/>
        <v>395</v>
      </c>
      <c r="V396" s="183">
        <f t="shared" si="145"/>
        <v>790</v>
      </c>
      <c r="W396" s="12">
        <f>K396*属性价值参考!C$5+升级!L396*属性价值参考!C$6+升级!M396*属性价值参考!C$7+升级!N396*属性价值参考!C$8+升级!S396*属性价值参考!C$9+升级!T396*属性价值参考!C$10+升级!U396*属性价值参考!C$11+升级!V396*属性价值参考!C$12</f>
        <v>463477.19999999995</v>
      </c>
    </row>
    <row r="397" spans="1:23" x14ac:dyDescent="0.3">
      <c r="A397" s="22"/>
      <c r="B397" s="22"/>
      <c r="C397" s="27">
        <v>396</v>
      </c>
      <c r="D397" s="27" t="str">
        <f t="shared" si="131"/>
        <v>0#1#55440|0#2#1900|0#3#396|0#4#792|0#9#396|0#10#792|0#11#396|0#12#792</v>
      </c>
      <c r="E397" s="27" t="str">
        <f t="shared" si="132"/>
        <v>1#1#9240|1#2#95040|1#3#396|1#4#792|1#9#396|1#10#792|1#11#396|1#12#792</v>
      </c>
      <c r="F397" s="27" t="str">
        <f t="shared" si="133"/>
        <v>2#1#27720|2#2#47520|2#3#396|2#4#792|2#9#396|2#10#792|2#11#396|2#12#792</v>
      </c>
      <c r="G397" s="27" t="str">
        <f t="shared" si="134"/>
        <v>0#1#55440|0#2#1900|0#3#396|0#4#792|0#9#396|0#10#792|0#11#396|0#12#792|1#1#9240|1#2#95040|1#3#396|1#4#792|1#9#396|1#10#792|1#11#396|1#12#792|2#1#27720|2#2#47520|2#3#396|2#4#792|2#9#396|2#10#792|2#11#396|2#12#792</v>
      </c>
      <c r="H397" s="22"/>
      <c r="I397" s="28">
        <v>4200000000</v>
      </c>
      <c r="J397" s="198">
        <v>396</v>
      </c>
      <c r="K397" s="183">
        <f t="shared" si="130"/>
        <v>55440</v>
      </c>
      <c r="L397" s="183">
        <f t="shared" si="135"/>
        <v>95040</v>
      </c>
      <c r="M397" s="183">
        <f t="shared" si="136"/>
        <v>396</v>
      </c>
      <c r="N397" s="183">
        <f t="shared" si="137"/>
        <v>792</v>
      </c>
      <c r="O397" s="183">
        <f t="shared" si="138"/>
        <v>396</v>
      </c>
      <c r="P397" s="183">
        <f t="shared" si="139"/>
        <v>792</v>
      </c>
      <c r="Q397" s="183">
        <f t="shared" si="140"/>
        <v>396</v>
      </c>
      <c r="R397" s="183">
        <f t="shared" si="141"/>
        <v>792</v>
      </c>
      <c r="S397" s="183">
        <f t="shared" si="142"/>
        <v>396</v>
      </c>
      <c r="T397" s="183">
        <f t="shared" si="143"/>
        <v>792</v>
      </c>
      <c r="U397" s="183">
        <f t="shared" si="144"/>
        <v>396</v>
      </c>
      <c r="V397" s="183">
        <f t="shared" si="145"/>
        <v>792</v>
      </c>
      <c r="W397" s="12">
        <f>K397*属性价值参考!C$5+升级!L397*属性价值参考!C$6+升级!M397*属性价值参考!C$7+升级!N397*属性价值参考!C$8+升级!S397*属性价值参考!C$9+升级!T397*属性价值参考!C$10+升级!U397*属性价值参考!C$11+升级!V397*属性价值参考!C$12</f>
        <v>464650.56000000011</v>
      </c>
    </row>
    <row r="398" spans="1:23" x14ac:dyDescent="0.3">
      <c r="A398" s="22"/>
      <c r="B398" s="22"/>
      <c r="C398" s="24">
        <v>397</v>
      </c>
      <c r="D398" s="27" t="str">
        <f t="shared" si="131"/>
        <v>0#1#55580|0#2#1905|0#3#397|0#4#794|0#9#397|0#10#794|0#11#397|0#12#794</v>
      </c>
      <c r="E398" s="27" t="str">
        <f t="shared" si="132"/>
        <v>1#1#9263|1#2#95280|1#3#397|1#4#794|1#9#397|1#10#794|1#11#397|1#12#794</v>
      </c>
      <c r="F398" s="27" t="str">
        <f t="shared" si="133"/>
        <v>2#1#27790|2#2#47640|2#3#397|2#4#794|2#9#397|2#10#794|2#11#397|2#12#794</v>
      </c>
      <c r="G398" s="27" t="str">
        <f t="shared" si="134"/>
        <v>0#1#55580|0#2#1905|0#3#397|0#4#794|0#9#397|0#10#794|0#11#397|0#12#794|1#1#9263|1#2#95280|1#3#397|1#4#794|1#9#397|1#10#794|1#11#397|1#12#794|2#1#27790|2#2#47640|2#3#397|2#4#794|2#9#397|2#10#794|2#11#397|2#12#794</v>
      </c>
      <c r="H398" s="22"/>
      <c r="I398" s="25">
        <v>4200000000</v>
      </c>
      <c r="J398" s="197">
        <v>397</v>
      </c>
      <c r="K398" s="183">
        <f t="shared" si="130"/>
        <v>55580</v>
      </c>
      <c r="L398" s="183">
        <f t="shared" si="135"/>
        <v>95280</v>
      </c>
      <c r="M398" s="183">
        <f t="shared" si="136"/>
        <v>397</v>
      </c>
      <c r="N398" s="183">
        <f t="shared" si="137"/>
        <v>794</v>
      </c>
      <c r="O398" s="183">
        <f t="shared" si="138"/>
        <v>397</v>
      </c>
      <c r="P398" s="183">
        <f t="shared" si="139"/>
        <v>794</v>
      </c>
      <c r="Q398" s="183">
        <f t="shared" si="140"/>
        <v>397</v>
      </c>
      <c r="R398" s="183">
        <f t="shared" si="141"/>
        <v>794</v>
      </c>
      <c r="S398" s="183">
        <f t="shared" si="142"/>
        <v>397</v>
      </c>
      <c r="T398" s="183">
        <f t="shared" si="143"/>
        <v>794</v>
      </c>
      <c r="U398" s="183">
        <f t="shared" si="144"/>
        <v>397</v>
      </c>
      <c r="V398" s="183">
        <f t="shared" si="145"/>
        <v>794</v>
      </c>
      <c r="W398" s="12">
        <f>K398*属性价值参考!C$5+升级!L398*属性价值参考!C$6+升级!M398*属性价值参考!C$7+升级!N398*属性价值参考!C$8+升级!S398*属性价值参考!C$9+升级!T398*属性价值参考!C$10+升级!U398*属性价值参考!C$11+升级!V398*属性价值参考!C$12</f>
        <v>465823.92000000004</v>
      </c>
    </row>
    <row r="399" spans="1:23" x14ac:dyDescent="0.3">
      <c r="A399" s="22"/>
      <c r="B399" s="22"/>
      <c r="C399" s="27">
        <v>398</v>
      </c>
      <c r="D399" s="27" t="str">
        <f t="shared" si="131"/>
        <v>0#1#55720|0#2#1910|0#3#398|0#4#796|0#9#398|0#10#796|0#11#398|0#12#796</v>
      </c>
      <c r="E399" s="27" t="str">
        <f t="shared" si="132"/>
        <v>1#1#9286|1#2#95520|1#3#398|1#4#796|1#9#398|1#10#796|1#11#398|1#12#796</v>
      </c>
      <c r="F399" s="27" t="str">
        <f t="shared" si="133"/>
        <v>2#1#27860|2#2#47760|2#3#398|2#4#796|2#9#398|2#10#796|2#11#398|2#12#796</v>
      </c>
      <c r="G399" s="27" t="str">
        <f t="shared" si="134"/>
        <v>0#1#55720|0#2#1910|0#3#398|0#4#796|0#9#398|0#10#796|0#11#398|0#12#796|1#1#9286|1#2#95520|1#3#398|1#4#796|1#9#398|1#10#796|1#11#398|1#12#796|2#1#27860|2#2#47760|2#3#398|2#4#796|2#9#398|2#10#796|2#11#398|2#12#796</v>
      </c>
      <c r="H399" s="22"/>
      <c r="I399" s="28">
        <v>4200000000</v>
      </c>
      <c r="J399" s="198">
        <v>398</v>
      </c>
      <c r="K399" s="183">
        <f t="shared" si="130"/>
        <v>55720</v>
      </c>
      <c r="L399" s="183">
        <f t="shared" si="135"/>
        <v>95520</v>
      </c>
      <c r="M399" s="183">
        <f t="shared" si="136"/>
        <v>398</v>
      </c>
      <c r="N399" s="183">
        <f t="shared" si="137"/>
        <v>796</v>
      </c>
      <c r="O399" s="183">
        <f t="shared" si="138"/>
        <v>398</v>
      </c>
      <c r="P399" s="183">
        <f t="shared" si="139"/>
        <v>796</v>
      </c>
      <c r="Q399" s="183">
        <f t="shared" si="140"/>
        <v>398</v>
      </c>
      <c r="R399" s="183">
        <f t="shared" si="141"/>
        <v>796</v>
      </c>
      <c r="S399" s="183">
        <f t="shared" si="142"/>
        <v>398</v>
      </c>
      <c r="T399" s="183">
        <f t="shared" si="143"/>
        <v>796</v>
      </c>
      <c r="U399" s="183">
        <f t="shared" si="144"/>
        <v>398</v>
      </c>
      <c r="V399" s="183">
        <f t="shared" si="145"/>
        <v>796</v>
      </c>
      <c r="W399" s="12">
        <f>K399*属性价值参考!C$5+升级!L399*属性价值参考!C$6+升级!M399*属性价值参考!C$7+升级!N399*属性价值参考!C$8+升级!S399*属性价值参考!C$9+升级!T399*属性价值参考!C$10+升级!U399*属性价值参考!C$11+升级!V399*属性价值参考!C$12</f>
        <v>466997.27999999997</v>
      </c>
    </row>
    <row r="400" spans="1:23" x14ac:dyDescent="0.3">
      <c r="A400" s="22"/>
      <c r="B400" s="22"/>
      <c r="C400" s="24">
        <v>399</v>
      </c>
      <c r="D400" s="27" t="str">
        <f t="shared" si="131"/>
        <v>0#1#55860|0#2#1915|0#3#399|0#4#798|0#9#399|0#10#798|0#11#399|0#12#798</v>
      </c>
      <c r="E400" s="27" t="str">
        <f t="shared" si="132"/>
        <v>1#1#9310|1#2#95760|1#3#399|1#4#798|1#9#399|1#10#798|1#11#399|1#12#798</v>
      </c>
      <c r="F400" s="27" t="str">
        <f t="shared" si="133"/>
        <v>2#1#27930|2#2#47880|2#3#399|2#4#798|2#9#399|2#10#798|2#11#399|2#12#798</v>
      </c>
      <c r="G400" s="27" t="str">
        <f t="shared" si="134"/>
        <v>0#1#55860|0#2#1915|0#3#399|0#4#798|0#9#399|0#10#798|0#11#399|0#12#798|1#1#9310|1#2#95760|1#3#399|1#4#798|1#9#399|1#10#798|1#11#399|1#12#798|2#1#27930|2#2#47880|2#3#399|2#4#798|2#9#399|2#10#798|2#11#399|2#12#798</v>
      </c>
      <c r="H400" s="22"/>
      <c r="I400" s="25">
        <v>4200000000</v>
      </c>
      <c r="J400" s="197">
        <v>399</v>
      </c>
      <c r="K400" s="183">
        <f t="shared" si="130"/>
        <v>55860</v>
      </c>
      <c r="L400" s="183">
        <f t="shared" si="135"/>
        <v>95760</v>
      </c>
      <c r="M400" s="183">
        <f t="shared" si="136"/>
        <v>399</v>
      </c>
      <c r="N400" s="183">
        <f t="shared" si="137"/>
        <v>798</v>
      </c>
      <c r="O400" s="183">
        <f t="shared" si="138"/>
        <v>399</v>
      </c>
      <c r="P400" s="183">
        <f t="shared" si="139"/>
        <v>798</v>
      </c>
      <c r="Q400" s="183">
        <f t="shared" si="140"/>
        <v>399</v>
      </c>
      <c r="R400" s="183">
        <f t="shared" si="141"/>
        <v>798</v>
      </c>
      <c r="S400" s="183">
        <f t="shared" si="142"/>
        <v>399</v>
      </c>
      <c r="T400" s="183">
        <f t="shared" si="143"/>
        <v>798</v>
      </c>
      <c r="U400" s="183">
        <f t="shared" si="144"/>
        <v>399</v>
      </c>
      <c r="V400" s="183">
        <f t="shared" si="145"/>
        <v>798</v>
      </c>
      <c r="W400" s="12">
        <f>K400*属性价值参考!C$5+升级!L400*属性价值参考!C$6+升级!M400*属性价值参考!C$7+升级!N400*属性价值参考!C$8+升级!S400*属性价值参考!C$9+升级!T400*属性价值参考!C$10+升级!U400*属性价值参考!C$11+升级!V400*属性价值参考!C$12</f>
        <v>468170.6399999999</v>
      </c>
    </row>
    <row r="401" spans="1:23" x14ac:dyDescent="0.3">
      <c r="A401" s="22"/>
      <c r="B401" s="22"/>
      <c r="C401" s="27">
        <v>400</v>
      </c>
      <c r="D401" s="27" t="str">
        <f t="shared" si="131"/>
        <v>0#1#56000|0#2#1920|0#3#400|0#4#800|0#9#400|0#10#800|0#11#400|0#12#800</v>
      </c>
      <c r="E401" s="27" t="str">
        <f t="shared" si="132"/>
        <v>1#1#9333|1#2#96000|1#3#400|1#4#800|1#9#400|1#10#800|1#11#400|1#12#800</v>
      </c>
      <c r="F401" s="27" t="str">
        <f t="shared" si="133"/>
        <v>2#1#28000|2#2#48000|2#3#400|2#4#800|2#9#400|2#10#800|2#11#400|2#12#800</v>
      </c>
      <c r="G401" s="27" t="str">
        <f t="shared" si="134"/>
        <v>0#1#56000|0#2#1920|0#3#400|0#4#800|0#9#400|0#10#800|0#11#400|0#12#800|1#1#9333|1#2#96000|1#3#400|1#4#800|1#9#400|1#10#800|1#11#400|1#12#800|2#1#28000|2#2#48000|2#3#400|2#4#800|2#9#400|2#10#800|2#11#400|2#12#800</v>
      </c>
      <c r="H401" s="22"/>
      <c r="I401" s="28">
        <v>4200000000</v>
      </c>
      <c r="J401" s="198">
        <v>400</v>
      </c>
      <c r="K401" s="183">
        <f t="shared" si="130"/>
        <v>56000</v>
      </c>
      <c r="L401" s="183">
        <f t="shared" si="135"/>
        <v>96000</v>
      </c>
      <c r="M401" s="183">
        <f t="shared" si="136"/>
        <v>400</v>
      </c>
      <c r="N401" s="183">
        <f t="shared" si="137"/>
        <v>800</v>
      </c>
      <c r="O401" s="183">
        <f t="shared" si="138"/>
        <v>400</v>
      </c>
      <c r="P401" s="183">
        <f t="shared" si="139"/>
        <v>800</v>
      </c>
      <c r="Q401" s="183">
        <f t="shared" si="140"/>
        <v>400</v>
      </c>
      <c r="R401" s="183">
        <f t="shared" si="141"/>
        <v>800</v>
      </c>
      <c r="S401" s="183">
        <f t="shared" si="142"/>
        <v>400</v>
      </c>
      <c r="T401" s="183">
        <f t="shared" si="143"/>
        <v>800</v>
      </c>
      <c r="U401" s="183">
        <f t="shared" si="144"/>
        <v>400</v>
      </c>
      <c r="V401" s="183">
        <f t="shared" si="145"/>
        <v>800</v>
      </c>
      <c r="W401" s="12">
        <f>K401*属性价值参考!C$5+升级!L401*属性价值参考!C$6+升级!M401*属性价值参考!C$7+升级!N401*属性价值参考!C$8+升级!S401*属性价值参考!C$9+升级!T401*属性价值参考!C$10+升级!U401*属性价值参考!C$11+升级!V401*属性价值参考!C$12</f>
        <v>469343.99999999994</v>
      </c>
    </row>
    <row r="402" spans="1:23" x14ac:dyDescent="0.3">
      <c r="A402" s="22"/>
      <c r="B402" s="22"/>
      <c r="C402" s="24">
        <v>401</v>
      </c>
      <c r="D402" s="27" t="str">
        <f t="shared" si="131"/>
        <v>0#1#56140|0#2#1924|0#3#401|0#4#802|0#9#401|0#10#802|0#11#401|0#12#802</v>
      </c>
      <c r="E402" s="27" t="str">
        <f t="shared" si="132"/>
        <v>1#1#9356|1#2#96240|1#3#401|1#4#802|1#9#401|1#10#802|1#11#401|1#12#802</v>
      </c>
      <c r="F402" s="27" t="str">
        <f t="shared" si="133"/>
        <v>2#1#28070|2#2#48120|2#3#401|2#4#802|2#9#401|2#10#802|2#11#401|2#12#802</v>
      </c>
      <c r="G402" s="27" t="str">
        <f t="shared" si="134"/>
        <v>0#1#56140|0#2#1924|0#3#401|0#4#802|0#9#401|0#10#802|0#11#401|0#12#802|1#1#9356|1#2#96240|1#3#401|1#4#802|1#9#401|1#10#802|1#11#401|1#12#802|2#1#28070|2#2#48120|2#3#401|2#4#802|2#9#401|2#10#802|2#11#401|2#12#802</v>
      </c>
      <c r="H402" s="22"/>
      <c r="I402" s="25">
        <v>4200000000</v>
      </c>
      <c r="J402" s="197">
        <v>401</v>
      </c>
      <c r="K402" s="183">
        <f t="shared" si="130"/>
        <v>56140</v>
      </c>
      <c r="L402" s="183">
        <f t="shared" si="135"/>
        <v>96240</v>
      </c>
      <c r="M402" s="183">
        <f t="shared" si="136"/>
        <v>401</v>
      </c>
      <c r="N402" s="183">
        <f t="shared" si="137"/>
        <v>802</v>
      </c>
      <c r="O402" s="183">
        <f t="shared" si="138"/>
        <v>401</v>
      </c>
      <c r="P402" s="183">
        <f t="shared" si="139"/>
        <v>802</v>
      </c>
      <c r="Q402" s="183">
        <f t="shared" si="140"/>
        <v>401</v>
      </c>
      <c r="R402" s="183">
        <f t="shared" si="141"/>
        <v>802</v>
      </c>
      <c r="S402" s="183">
        <f t="shared" si="142"/>
        <v>401</v>
      </c>
      <c r="T402" s="183">
        <f t="shared" si="143"/>
        <v>802</v>
      </c>
      <c r="U402" s="183">
        <f t="shared" si="144"/>
        <v>401</v>
      </c>
      <c r="V402" s="183">
        <f t="shared" si="145"/>
        <v>802</v>
      </c>
      <c r="W402" s="12">
        <f>K402*属性价值参考!C$5+升级!L402*属性价值参考!C$6+升级!M402*属性价值参考!C$7+升级!N402*属性价值参考!C$8+升级!S402*属性价值参考!C$9+升级!T402*属性价值参考!C$10+升级!U402*属性价值参考!C$11+升级!V402*属性价值参考!C$12</f>
        <v>470517.3600000001</v>
      </c>
    </row>
    <row r="403" spans="1:23" x14ac:dyDescent="0.3">
      <c r="A403" s="22"/>
      <c r="B403" s="22"/>
      <c r="C403" s="27">
        <v>402</v>
      </c>
      <c r="D403" s="27" t="str">
        <f t="shared" si="131"/>
        <v>0#1#56280|0#2#1929|0#3#402|0#4#804|0#9#402|0#10#804|0#11#402|0#12#804</v>
      </c>
      <c r="E403" s="27" t="str">
        <f t="shared" si="132"/>
        <v>1#1#9380|1#2#96480|1#3#402|1#4#804|1#9#402|1#10#804|1#11#402|1#12#804</v>
      </c>
      <c r="F403" s="27" t="str">
        <f t="shared" si="133"/>
        <v>2#1#28140|2#2#48240|2#3#402|2#4#804|2#9#402|2#10#804|2#11#402|2#12#804</v>
      </c>
      <c r="G403" s="27" t="str">
        <f t="shared" si="134"/>
        <v>0#1#56280|0#2#1929|0#3#402|0#4#804|0#9#402|0#10#804|0#11#402|0#12#804|1#1#9380|1#2#96480|1#3#402|1#4#804|1#9#402|1#10#804|1#11#402|1#12#804|2#1#28140|2#2#48240|2#3#402|2#4#804|2#9#402|2#10#804|2#11#402|2#12#804</v>
      </c>
      <c r="H403" s="22"/>
      <c r="I403" s="28">
        <v>4200000000</v>
      </c>
      <c r="J403" s="198">
        <v>402</v>
      </c>
      <c r="K403" s="183">
        <f t="shared" si="130"/>
        <v>56280</v>
      </c>
      <c r="L403" s="183">
        <f t="shared" si="135"/>
        <v>96480</v>
      </c>
      <c r="M403" s="183">
        <f t="shared" si="136"/>
        <v>402</v>
      </c>
      <c r="N403" s="183">
        <f t="shared" si="137"/>
        <v>804</v>
      </c>
      <c r="O403" s="183">
        <f t="shared" si="138"/>
        <v>402</v>
      </c>
      <c r="P403" s="183">
        <f t="shared" si="139"/>
        <v>804</v>
      </c>
      <c r="Q403" s="183">
        <f t="shared" si="140"/>
        <v>402</v>
      </c>
      <c r="R403" s="183">
        <f t="shared" si="141"/>
        <v>804</v>
      </c>
      <c r="S403" s="183">
        <f t="shared" si="142"/>
        <v>402</v>
      </c>
      <c r="T403" s="183">
        <f t="shared" si="143"/>
        <v>804</v>
      </c>
      <c r="U403" s="183">
        <f t="shared" si="144"/>
        <v>402</v>
      </c>
      <c r="V403" s="183">
        <f t="shared" si="145"/>
        <v>804</v>
      </c>
      <c r="W403" s="12">
        <f>K403*属性价值参考!C$5+升级!L403*属性价值参考!C$6+升级!M403*属性价值参考!C$7+升级!N403*属性价值参考!C$8+升级!S403*属性价值参考!C$9+升级!T403*属性价值参考!C$10+升级!U403*属性价值参考!C$11+升级!V403*属性价值参考!C$12</f>
        <v>471690.72</v>
      </c>
    </row>
    <row r="404" spans="1:23" x14ac:dyDescent="0.3">
      <c r="A404" s="22"/>
      <c r="B404" s="22"/>
      <c r="C404" s="24">
        <v>403</v>
      </c>
      <c r="D404" s="27" t="str">
        <f t="shared" si="131"/>
        <v>0#1#56420|0#2#1934|0#3#403|0#4#806|0#9#403|0#10#806|0#11#403|0#12#806</v>
      </c>
      <c r="E404" s="27" t="str">
        <f t="shared" si="132"/>
        <v>1#1#9403|1#2#96720|1#3#403|1#4#806|1#9#403|1#10#806|1#11#403|1#12#806</v>
      </c>
      <c r="F404" s="27" t="str">
        <f t="shared" si="133"/>
        <v>2#1#28210|2#2#48360|2#3#403|2#4#806|2#9#403|2#10#806|2#11#403|2#12#806</v>
      </c>
      <c r="G404" s="27" t="str">
        <f t="shared" si="134"/>
        <v>0#1#56420|0#2#1934|0#3#403|0#4#806|0#9#403|0#10#806|0#11#403|0#12#806|1#1#9403|1#2#96720|1#3#403|1#4#806|1#9#403|1#10#806|1#11#403|1#12#806|2#1#28210|2#2#48360|2#3#403|2#4#806|2#9#403|2#10#806|2#11#403|2#12#806</v>
      </c>
      <c r="H404" s="22"/>
      <c r="I404" s="25">
        <v>4200000000</v>
      </c>
      <c r="J404" s="197">
        <v>403</v>
      </c>
      <c r="K404" s="183">
        <f t="shared" si="130"/>
        <v>56420</v>
      </c>
      <c r="L404" s="183">
        <f t="shared" si="135"/>
        <v>96720</v>
      </c>
      <c r="M404" s="183">
        <f t="shared" si="136"/>
        <v>403</v>
      </c>
      <c r="N404" s="183">
        <f t="shared" si="137"/>
        <v>806</v>
      </c>
      <c r="O404" s="183">
        <f t="shared" si="138"/>
        <v>403</v>
      </c>
      <c r="P404" s="183">
        <f t="shared" si="139"/>
        <v>806</v>
      </c>
      <c r="Q404" s="183">
        <f t="shared" si="140"/>
        <v>403</v>
      </c>
      <c r="R404" s="183">
        <f t="shared" si="141"/>
        <v>806</v>
      </c>
      <c r="S404" s="183">
        <f t="shared" si="142"/>
        <v>403</v>
      </c>
      <c r="T404" s="183">
        <f t="shared" si="143"/>
        <v>806</v>
      </c>
      <c r="U404" s="183">
        <f t="shared" si="144"/>
        <v>403</v>
      </c>
      <c r="V404" s="183">
        <f t="shared" si="145"/>
        <v>806</v>
      </c>
      <c r="W404" s="12">
        <f>K404*属性价值参考!C$5+升级!L404*属性价值参考!C$6+升级!M404*属性价值参考!C$7+升级!N404*属性价值参考!C$8+升级!S404*属性价值参考!C$9+升级!T404*属性价值参考!C$10+升级!U404*属性价值参考!C$11+升级!V404*属性价值参考!C$12</f>
        <v>472864.0799999999</v>
      </c>
    </row>
    <row r="405" spans="1:23" x14ac:dyDescent="0.3">
      <c r="A405" s="22"/>
      <c r="B405" s="22"/>
      <c r="C405" s="27">
        <v>404</v>
      </c>
      <c r="D405" s="27" t="str">
        <f t="shared" si="131"/>
        <v>0#1#56560|0#2#1939|0#3#404|0#4#808|0#9#404|0#10#808|0#11#404|0#12#808</v>
      </c>
      <c r="E405" s="27" t="str">
        <f t="shared" si="132"/>
        <v>1#1#9426|1#2#96960|1#3#404|1#4#808|1#9#404|1#10#808|1#11#404|1#12#808</v>
      </c>
      <c r="F405" s="27" t="str">
        <f t="shared" si="133"/>
        <v>2#1#28280|2#2#48480|2#3#404|2#4#808|2#9#404|2#10#808|2#11#404|2#12#808</v>
      </c>
      <c r="G405" s="27" t="str">
        <f t="shared" si="134"/>
        <v>0#1#56560|0#2#1939|0#3#404|0#4#808|0#9#404|0#10#808|0#11#404|0#12#808|1#1#9426|1#2#96960|1#3#404|1#4#808|1#9#404|1#10#808|1#11#404|1#12#808|2#1#28280|2#2#48480|2#3#404|2#4#808|2#9#404|2#10#808|2#11#404|2#12#808</v>
      </c>
      <c r="H405" s="22"/>
      <c r="I405" s="28">
        <v>4200000000</v>
      </c>
      <c r="J405" s="198">
        <v>404</v>
      </c>
      <c r="K405" s="183">
        <f t="shared" si="130"/>
        <v>56560</v>
      </c>
      <c r="L405" s="183">
        <f t="shared" si="135"/>
        <v>96960</v>
      </c>
      <c r="M405" s="183">
        <f t="shared" si="136"/>
        <v>404</v>
      </c>
      <c r="N405" s="183">
        <f t="shared" si="137"/>
        <v>808</v>
      </c>
      <c r="O405" s="183">
        <f t="shared" si="138"/>
        <v>404</v>
      </c>
      <c r="P405" s="183">
        <f t="shared" si="139"/>
        <v>808</v>
      </c>
      <c r="Q405" s="183">
        <f t="shared" si="140"/>
        <v>404</v>
      </c>
      <c r="R405" s="183">
        <f t="shared" si="141"/>
        <v>808</v>
      </c>
      <c r="S405" s="183">
        <f t="shared" si="142"/>
        <v>404</v>
      </c>
      <c r="T405" s="183">
        <f t="shared" si="143"/>
        <v>808</v>
      </c>
      <c r="U405" s="183">
        <f t="shared" si="144"/>
        <v>404</v>
      </c>
      <c r="V405" s="183">
        <f t="shared" si="145"/>
        <v>808</v>
      </c>
      <c r="W405" s="12">
        <f>K405*属性价值参考!C$5+升级!L405*属性价值参考!C$6+升级!M405*属性价值参考!C$7+升级!N405*属性价值参考!C$8+升级!S405*属性价值参考!C$9+升级!T405*属性价值参考!C$10+升级!U405*属性价值参考!C$11+升级!V405*属性价值参考!C$12</f>
        <v>474037.43999999994</v>
      </c>
    </row>
    <row r="406" spans="1:23" x14ac:dyDescent="0.3">
      <c r="A406" s="22"/>
      <c r="B406" s="22"/>
      <c r="C406" s="24">
        <v>405</v>
      </c>
      <c r="D406" s="27" t="str">
        <f t="shared" si="131"/>
        <v>0#1#56700|0#2#1944|0#3#405|0#4#810|0#9#405|0#10#810|0#11#405|0#12#810</v>
      </c>
      <c r="E406" s="27" t="str">
        <f t="shared" si="132"/>
        <v>1#1#9450|1#2#97200|1#3#405|1#4#810|1#9#405|1#10#810|1#11#405|1#12#810</v>
      </c>
      <c r="F406" s="27" t="str">
        <f t="shared" si="133"/>
        <v>2#1#28350|2#2#48600|2#3#405|2#4#810|2#9#405|2#10#810|2#11#405|2#12#810</v>
      </c>
      <c r="G406" s="27" t="str">
        <f t="shared" si="134"/>
        <v>0#1#56700|0#2#1944|0#3#405|0#4#810|0#9#405|0#10#810|0#11#405|0#12#810|1#1#9450|1#2#97200|1#3#405|1#4#810|1#9#405|1#10#810|1#11#405|1#12#810|2#1#28350|2#2#48600|2#3#405|2#4#810|2#9#405|2#10#810|2#11#405|2#12#810</v>
      </c>
      <c r="H406" s="22"/>
      <c r="I406" s="25">
        <v>4200000000</v>
      </c>
      <c r="J406" s="197">
        <v>405</v>
      </c>
      <c r="K406" s="183">
        <f t="shared" si="130"/>
        <v>56700</v>
      </c>
      <c r="L406" s="183">
        <f t="shared" si="135"/>
        <v>97200</v>
      </c>
      <c r="M406" s="183">
        <f t="shared" si="136"/>
        <v>405</v>
      </c>
      <c r="N406" s="183">
        <f t="shared" si="137"/>
        <v>810</v>
      </c>
      <c r="O406" s="183">
        <f t="shared" si="138"/>
        <v>405</v>
      </c>
      <c r="P406" s="183">
        <f t="shared" si="139"/>
        <v>810</v>
      </c>
      <c r="Q406" s="183">
        <f t="shared" si="140"/>
        <v>405</v>
      </c>
      <c r="R406" s="183">
        <f t="shared" si="141"/>
        <v>810</v>
      </c>
      <c r="S406" s="183">
        <f t="shared" si="142"/>
        <v>405</v>
      </c>
      <c r="T406" s="183">
        <f t="shared" si="143"/>
        <v>810</v>
      </c>
      <c r="U406" s="183">
        <f t="shared" si="144"/>
        <v>405</v>
      </c>
      <c r="V406" s="183">
        <f t="shared" si="145"/>
        <v>810</v>
      </c>
      <c r="W406" s="12">
        <f>K406*属性价值参考!C$5+升级!L406*属性价值参考!C$6+升级!M406*属性价值参考!C$7+升级!N406*属性价值参考!C$8+升级!S406*属性价值参考!C$9+升级!T406*属性价值参考!C$10+升级!U406*属性价值参考!C$11+升级!V406*属性价值参考!C$12</f>
        <v>475210.8</v>
      </c>
    </row>
    <row r="407" spans="1:23" x14ac:dyDescent="0.3">
      <c r="A407" s="22"/>
      <c r="B407" s="22"/>
      <c r="C407" s="27">
        <v>406</v>
      </c>
      <c r="D407" s="27" t="str">
        <f t="shared" si="131"/>
        <v>0#1#56840|0#2#1948|0#3#406|0#4#812|0#9#406|0#10#812|0#11#406|0#12#812</v>
      </c>
      <c r="E407" s="27" t="str">
        <f t="shared" si="132"/>
        <v>1#1#9473|1#2#97440|1#3#406|1#4#812|1#9#406|1#10#812|1#11#406|1#12#812</v>
      </c>
      <c r="F407" s="27" t="str">
        <f t="shared" si="133"/>
        <v>2#1#28420|2#2#48720|2#3#406|2#4#812|2#9#406|2#10#812|2#11#406|2#12#812</v>
      </c>
      <c r="G407" s="27" t="str">
        <f t="shared" si="134"/>
        <v>0#1#56840|0#2#1948|0#3#406|0#4#812|0#9#406|0#10#812|0#11#406|0#12#812|1#1#9473|1#2#97440|1#3#406|1#4#812|1#9#406|1#10#812|1#11#406|1#12#812|2#1#28420|2#2#48720|2#3#406|2#4#812|2#9#406|2#10#812|2#11#406|2#12#812</v>
      </c>
      <c r="H407" s="22"/>
      <c r="I407" s="28">
        <v>4200000000</v>
      </c>
      <c r="J407" s="198">
        <v>406</v>
      </c>
      <c r="K407" s="183">
        <f t="shared" si="130"/>
        <v>56840</v>
      </c>
      <c r="L407" s="183">
        <f t="shared" si="135"/>
        <v>97440</v>
      </c>
      <c r="M407" s="183">
        <f t="shared" si="136"/>
        <v>406</v>
      </c>
      <c r="N407" s="183">
        <f t="shared" si="137"/>
        <v>812</v>
      </c>
      <c r="O407" s="183">
        <f t="shared" si="138"/>
        <v>406</v>
      </c>
      <c r="P407" s="183">
        <f t="shared" si="139"/>
        <v>812</v>
      </c>
      <c r="Q407" s="183">
        <f t="shared" si="140"/>
        <v>406</v>
      </c>
      <c r="R407" s="183">
        <f t="shared" si="141"/>
        <v>812</v>
      </c>
      <c r="S407" s="183">
        <f t="shared" si="142"/>
        <v>406</v>
      </c>
      <c r="T407" s="183">
        <f t="shared" si="143"/>
        <v>812</v>
      </c>
      <c r="U407" s="183">
        <f t="shared" si="144"/>
        <v>406</v>
      </c>
      <c r="V407" s="183">
        <f t="shared" si="145"/>
        <v>812</v>
      </c>
      <c r="W407" s="12">
        <f>K407*属性价值参考!C$5+升级!L407*属性价值参考!C$6+升级!M407*属性价值参考!C$7+升级!N407*属性价值参考!C$8+升级!S407*属性价值参考!C$9+升级!T407*属性价值参考!C$10+升级!U407*属性价值参考!C$11+升级!V407*属性价值参考!C$12</f>
        <v>476384.16000000009</v>
      </c>
    </row>
    <row r="408" spans="1:23" x14ac:dyDescent="0.3">
      <c r="A408" s="22"/>
      <c r="B408" s="22"/>
      <c r="C408" s="24">
        <v>407</v>
      </c>
      <c r="D408" s="27" t="str">
        <f t="shared" si="131"/>
        <v>0#1#56980|0#2#1953|0#3#407|0#4#814|0#9#407|0#10#814|0#11#407|0#12#814</v>
      </c>
      <c r="E408" s="27" t="str">
        <f t="shared" si="132"/>
        <v>1#1#9496|1#2#97680|1#3#407|1#4#814|1#9#407|1#10#814|1#11#407|1#12#814</v>
      </c>
      <c r="F408" s="27" t="str">
        <f t="shared" si="133"/>
        <v>2#1#28490|2#2#48840|2#3#407|2#4#814|2#9#407|2#10#814|2#11#407|2#12#814</v>
      </c>
      <c r="G408" s="27" t="str">
        <f t="shared" si="134"/>
        <v>0#1#56980|0#2#1953|0#3#407|0#4#814|0#9#407|0#10#814|0#11#407|0#12#814|1#1#9496|1#2#97680|1#3#407|1#4#814|1#9#407|1#10#814|1#11#407|1#12#814|2#1#28490|2#2#48840|2#3#407|2#4#814|2#9#407|2#10#814|2#11#407|2#12#814</v>
      </c>
      <c r="H408" s="22"/>
      <c r="I408" s="25">
        <v>4200000000</v>
      </c>
      <c r="J408" s="197">
        <v>407</v>
      </c>
      <c r="K408" s="183">
        <f t="shared" si="130"/>
        <v>56980</v>
      </c>
      <c r="L408" s="183">
        <f t="shared" si="135"/>
        <v>97680</v>
      </c>
      <c r="M408" s="183">
        <f t="shared" si="136"/>
        <v>407</v>
      </c>
      <c r="N408" s="183">
        <f t="shared" si="137"/>
        <v>814</v>
      </c>
      <c r="O408" s="183">
        <f t="shared" si="138"/>
        <v>407</v>
      </c>
      <c r="P408" s="183">
        <f t="shared" si="139"/>
        <v>814</v>
      </c>
      <c r="Q408" s="183">
        <f t="shared" si="140"/>
        <v>407</v>
      </c>
      <c r="R408" s="183">
        <f t="shared" si="141"/>
        <v>814</v>
      </c>
      <c r="S408" s="183">
        <f t="shared" si="142"/>
        <v>407</v>
      </c>
      <c r="T408" s="183">
        <f t="shared" si="143"/>
        <v>814</v>
      </c>
      <c r="U408" s="183">
        <f t="shared" si="144"/>
        <v>407</v>
      </c>
      <c r="V408" s="183">
        <f t="shared" si="145"/>
        <v>814</v>
      </c>
      <c r="W408" s="12">
        <f>K408*属性价值参考!C$5+升级!L408*属性价值参考!C$6+升级!M408*属性价值参考!C$7+升级!N408*属性价值参考!C$8+升级!S408*属性价值参考!C$9+升级!T408*属性价值参考!C$10+升级!U408*属性价值参考!C$11+升级!V408*属性价值参考!C$12</f>
        <v>477557.51999999996</v>
      </c>
    </row>
    <row r="409" spans="1:23" x14ac:dyDescent="0.3">
      <c r="A409" s="22"/>
      <c r="B409" s="22"/>
      <c r="C409" s="27">
        <v>408</v>
      </c>
      <c r="D409" s="27" t="str">
        <f t="shared" si="131"/>
        <v>0#1#57120|0#2#1958|0#3#408|0#4#816|0#9#408|0#10#816|0#11#408|0#12#816</v>
      </c>
      <c r="E409" s="27" t="str">
        <f t="shared" si="132"/>
        <v>1#1#9520|1#2#97920|1#3#408|1#4#816|1#9#408|1#10#816|1#11#408|1#12#816</v>
      </c>
      <c r="F409" s="27" t="str">
        <f t="shared" si="133"/>
        <v>2#1#28560|2#2#48960|2#3#408|2#4#816|2#9#408|2#10#816|2#11#408|2#12#816</v>
      </c>
      <c r="G409" s="27" t="str">
        <f t="shared" si="134"/>
        <v>0#1#57120|0#2#1958|0#3#408|0#4#816|0#9#408|0#10#816|0#11#408|0#12#816|1#1#9520|1#2#97920|1#3#408|1#4#816|1#9#408|1#10#816|1#11#408|1#12#816|2#1#28560|2#2#48960|2#3#408|2#4#816|2#9#408|2#10#816|2#11#408|2#12#816</v>
      </c>
      <c r="H409" s="22"/>
      <c r="I409" s="28">
        <v>4200000000</v>
      </c>
      <c r="J409" s="198">
        <v>408</v>
      </c>
      <c r="K409" s="183">
        <f t="shared" si="130"/>
        <v>57120</v>
      </c>
      <c r="L409" s="183">
        <f t="shared" si="135"/>
        <v>97920</v>
      </c>
      <c r="M409" s="183">
        <f t="shared" si="136"/>
        <v>408</v>
      </c>
      <c r="N409" s="183">
        <f t="shared" si="137"/>
        <v>816</v>
      </c>
      <c r="O409" s="183">
        <f t="shared" si="138"/>
        <v>408</v>
      </c>
      <c r="P409" s="183">
        <f t="shared" si="139"/>
        <v>816</v>
      </c>
      <c r="Q409" s="183">
        <f t="shared" si="140"/>
        <v>408</v>
      </c>
      <c r="R409" s="183">
        <f t="shared" si="141"/>
        <v>816</v>
      </c>
      <c r="S409" s="183">
        <f t="shared" si="142"/>
        <v>408</v>
      </c>
      <c r="T409" s="183">
        <f t="shared" si="143"/>
        <v>816</v>
      </c>
      <c r="U409" s="183">
        <f t="shared" si="144"/>
        <v>408</v>
      </c>
      <c r="V409" s="183">
        <f t="shared" si="145"/>
        <v>816</v>
      </c>
      <c r="W409" s="12">
        <f>K409*属性价值参考!C$5+升级!L409*属性价值参考!C$6+升级!M409*属性价值参考!C$7+升级!N409*属性价值参考!C$8+升级!S409*属性价值参考!C$9+升级!T409*属性价值参考!C$10+升级!U409*属性价值参考!C$11+升级!V409*属性价值参考!C$12</f>
        <v>478730.87999999995</v>
      </c>
    </row>
    <row r="410" spans="1:23" x14ac:dyDescent="0.3">
      <c r="A410" s="22"/>
      <c r="B410" s="22"/>
      <c r="C410" s="24">
        <v>409</v>
      </c>
      <c r="D410" s="27" t="str">
        <f t="shared" si="131"/>
        <v>0#1#57260|0#2#1963|0#3#409|0#4#818|0#9#409|0#10#818|0#11#409|0#12#818</v>
      </c>
      <c r="E410" s="27" t="str">
        <f t="shared" si="132"/>
        <v>1#1#9543|1#2#98160|1#3#409|1#4#818|1#9#409|1#10#818|1#11#409|1#12#818</v>
      </c>
      <c r="F410" s="27" t="str">
        <f t="shared" si="133"/>
        <v>2#1#28630|2#2#49080|2#3#409|2#4#818|2#9#409|2#10#818|2#11#409|2#12#818</v>
      </c>
      <c r="G410" s="27" t="str">
        <f t="shared" si="134"/>
        <v>0#1#57260|0#2#1963|0#3#409|0#4#818|0#9#409|0#10#818|0#11#409|0#12#818|1#1#9543|1#2#98160|1#3#409|1#4#818|1#9#409|1#10#818|1#11#409|1#12#818|2#1#28630|2#2#49080|2#3#409|2#4#818|2#9#409|2#10#818|2#11#409|2#12#818</v>
      </c>
      <c r="H410" s="22"/>
      <c r="I410" s="25">
        <v>4200000000</v>
      </c>
      <c r="J410" s="197">
        <v>409</v>
      </c>
      <c r="K410" s="183">
        <f t="shared" si="130"/>
        <v>57260</v>
      </c>
      <c r="L410" s="183">
        <f t="shared" si="135"/>
        <v>98160</v>
      </c>
      <c r="M410" s="183">
        <f t="shared" si="136"/>
        <v>409</v>
      </c>
      <c r="N410" s="183">
        <f t="shared" si="137"/>
        <v>818</v>
      </c>
      <c r="O410" s="183">
        <f t="shared" si="138"/>
        <v>409</v>
      </c>
      <c r="P410" s="183">
        <f t="shared" si="139"/>
        <v>818</v>
      </c>
      <c r="Q410" s="183">
        <f t="shared" si="140"/>
        <v>409</v>
      </c>
      <c r="R410" s="183">
        <f t="shared" si="141"/>
        <v>818</v>
      </c>
      <c r="S410" s="183">
        <f t="shared" si="142"/>
        <v>409</v>
      </c>
      <c r="T410" s="183">
        <f t="shared" si="143"/>
        <v>818</v>
      </c>
      <c r="U410" s="183">
        <f t="shared" si="144"/>
        <v>409</v>
      </c>
      <c r="V410" s="183">
        <f t="shared" si="145"/>
        <v>818</v>
      </c>
      <c r="W410" s="12">
        <f>K410*属性价值参考!C$5+升级!L410*属性价值参考!C$6+升级!M410*属性价值参考!C$7+升级!N410*属性价值参考!C$8+升级!S410*属性价值参考!C$9+升级!T410*属性价值参考!C$10+升级!U410*属性价值参考!C$11+升级!V410*属性价值参考!C$12</f>
        <v>479904.23999999987</v>
      </c>
    </row>
    <row r="411" spans="1:23" x14ac:dyDescent="0.3">
      <c r="A411" s="22"/>
      <c r="B411" s="22"/>
      <c r="C411" s="27">
        <v>410</v>
      </c>
      <c r="D411" s="27" t="str">
        <f t="shared" si="131"/>
        <v>0#1#57400|0#2#1968|0#3#410|0#4#820|0#9#410|0#10#820|0#11#410|0#12#820</v>
      </c>
      <c r="E411" s="27" t="str">
        <f t="shared" si="132"/>
        <v>1#1#9566|1#2#98400|1#3#410|1#4#820|1#9#410|1#10#820|1#11#410|1#12#820</v>
      </c>
      <c r="F411" s="27" t="str">
        <f t="shared" si="133"/>
        <v>2#1#28700|2#2#49200|2#3#410|2#4#820|2#9#410|2#10#820|2#11#410|2#12#820</v>
      </c>
      <c r="G411" s="27" t="str">
        <f t="shared" si="134"/>
        <v>0#1#57400|0#2#1968|0#3#410|0#4#820|0#9#410|0#10#820|0#11#410|0#12#820|1#1#9566|1#2#98400|1#3#410|1#4#820|1#9#410|1#10#820|1#11#410|1#12#820|2#1#28700|2#2#49200|2#3#410|2#4#820|2#9#410|2#10#820|2#11#410|2#12#820</v>
      </c>
      <c r="H411" s="22"/>
      <c r="I411" s="28">
        <v>4200000000</v>
      </c>
      <c r="J411" s="198">
        <v>410</v>
      </c>
      <c r="K411" s="183">
        <f t="shared" si="130"/>
        <v>57400</v>
      </c>
      <c r="L411" s="183">
        <f t="shared" si="135"/>
        <v>98400</v>
      </c>
      <c r="M411" s="183">
        <f t="shared" si="136"/>
        <v>410</v>
      </c>
      <c r="N411" s="183">
        <f t="shared" si="137"/>
        <v>820</v>
      </c>
      <c r="O411" s="183">
        <f t="shared" si="138"/>
        <v>410</v>
      </c>
      <c r="P411" s="183">
        <f t="shared" si="139"/>
        <v>820</v>
      </c>
      <c r="Q411" s="183">
        <f t="shared" si="140"/>
        <v>410</v>
      </c>
      <c r="R411" s="183">
        <f t="shared" si="141"/>
        <v>820</v>
      </c>
      <c r="S411" s="183">
        <f t="shared" si="142"/>
        <v>410</v>
      </c>
      <c r="T411" s="183">
        <f t="shared" si="143"/>
        <v>820</v>
      </c>
      <c r="U411" s="183">
        <f t="shared" si="144"/>
        <v>410</v>
      </c>
      <c r="V411" s="183">
        <f t="shared" si="145"/>
        <v>820</v>
      </c>
      <c r="W411" s="12">
        <f>K411*属性价值参考!C$5+升级!L411*属性价值参考!C$6+升级!M411*属性价值参考!C$7+升级!N411*属性价值参考!C$8+升级!S411*属性价值参考!C$9+升级!T411*属性价值参考!C$10+升级!U411*属性价值参考!C$11+升级!V411*属性价值参考!C$12</f>
        <v>481077.6</v>
      </c>
    </row>
    <row r="412" spans="1:23" x14ac:dyDescent="0.3">
      <c r="A412" s="22"/>
      <c r="B412" s="22"/>
      <c r="C412" s="24">
        <v>411</v>
      </c>
      <c r="D412" s="27" t="str">
        <f t="shared" si="131"/>
        <v>0#1#57540|0#2#1972|0#3#411|0#4#822|0#9#411|0#10#822|0#11#411|0#12#822</v>
      </c>
      <c r="E412" s="27" t="str">
        <f t="shared" si="132"/>
        <v>1#1#9590|1#2#98640|1#3#411|1#4#822|1#9#411|1#10#822|1#11#411|1#12#822</v>
      </c>
      <c r="F412" s="27" t="str">
        <f t="shared" si="133"/>
        <v>2#1#28770|2#2#49320|2#3#411|2#4#822|2#9#411|2#10#822|2#11#411|2#12#822</v>
      </c>
      <c r="G412" s="27" t="str">
        <f t="shared" si="134"/>
        <v>0#1#57540|0#2#1972|0#3#411|0#4#822|0#9#411|0#10#822|0#11#411|0#12#822|1#1#9590|1#2#98640|1#3#411|1#4#822|1#9#411|1#10#822|1#11#411|1#12#822|2#1#28770|2#2#49320|2#3#411|2#4#822|2#9#411|2#10#822|2#11#411|2#12#822</v>
      </c>
      <c r="H412" s="22"/>
      <c r="I412" s="25">
        <v>4200000000</v>
      </c>
      <c r="J412" s="197">
        <v>411</v>
      </c>
      <c r="K412" s="183">
        <f t="shared" si="130"/>
        <v>57540</v>
      </c>
      <c r="L412" s="183">
        <f t="shared" si="135"/>
        <v>98640</v>
      </c>
      <c r="M412" s="183">
        <f t="shared" si="136"/>
        <v>411</v>
      </c>
      <c r="N412" s="183">
        <f t="shared" si="137"/>
        <v>822</v>
      </c>
      <c r="O412" s="183">
        <f t="shared" si="138"/>
        <v>411</v>
      </c>
      <c r="P412" s="183">
        <f t="shared" si="139"/>
        <v>822</v>
      </c>
      <c r="Q412" s="183">
        <f t="shared" si="140"/>
        <v>411</v>
      </c>
      <c r="R412" s="183">
        <f t="shared" si="141"/>
        <v>822</v>
      </c>
      <c r="S412" s="183">
        <f t="shared" si="142"/>
        <v>411</v>
      </c>
      <c r="T412" s="183">
        <f t="shared" si="143"/>
        <v>822</v>
      </c>
      <c r="U412" s="183">
        <f t="shared" si="144"/>
        <v>411</v>
      </c>
      <c r="V412" s="183">
        <f t="shared" si="145"/>
        <v>822</v>
      </c>
      <c r="W412" s="12">
        <f>K412*属性价值参考!C$5+升级!L412*属性价值参考!C$6+升级!M412*属性价值参考!C$7+升级!N412*属性价值参考!C$8+升级!S412*属性价值参考!C$9+升级!T412*属性价值参考!C$10+升级!U412*属性价值参考!C$11+升级!V412*属性价值参考!C$12</f>
        <v>482250.96000000014</v>
      </c>
    </row>
    <row r="413" spans="1:23" x14ac:dyDescent="0.3">
      <c r="A413" s="22"/>
      <c r="B413" s="22"/>
      <c r="C413" s="27">
        <v>412</v>
      </c>
      <c r="D413" s="27" t="str">
        <f t="shared" si="131"/>
        <v>0#1#57680|0#2#1977|0#3#412|0#4#824|0#9#412|0#10#824|0#11#412|0#12#824</v>
      </c>
      <c r="E413" s="27" t="str">
        <f t="shared" si="132"/>
        <v>1#1#9613|1#2#98880|1#3#412|1#4#824|1#9#412|1#10#824|1#11#412|1#12#824</v>
      </c>
      <c r="F413" s="27" t="str">
        <f t="shared" si="133"/>
        <v>2#1#28840|2#2#49440|2#3#412|2#4#824|2#9#412|2#10#824|2#11#412|2#12#824</v>
      </c>
      <c r="G413" s="27" t="str">
        <f t="shared" si="134"/>
        <v>0#1#57680|0#2#1977|0#3#412|0#4#824|0#9#412|0#10#824|0#11#412|0#12#824|1#1#9613|1#2#98880|1#3#412|1#4#824|1#9#412|1#10#824|1#11#412|1#12#824|2#1#28840|2#2#49440|2#3#412|2#4#824|2#9#412|2#10#824|2#11#412|2#12#824</v>
      </c>
      <c r="H413" s="22"/>
      <c r="I413" s="28">
        <v>4200000000</v>
      </c>
      <c r="J413" s="198">
        <v>412</v>
      </c>
      <c r="K413" s="183">
        <f t="shared" si="130"/>
        <v>57680</v>
      </c>
      <c r="L413" s="183">
        <f t="shared" si="135"/>
        <v>98880</v>
      </c>
      <c r="M413" s="183">
        <f t="shared" si="136"/>
        <v>412</v>
      </c>
      <c r="N413" s="183">
        <f t="shared" si="137"/>
        <v>824</v>
      </c>
      <c r="O413" s="183">
        <f t="shared" si="138"/>
        <v>412</v>
      </c>
      <c r="P413" s="183">
        <f t="shared" si="139"/>
        <v>824</v>
      </c>
      <c r="Q413" s="183">
        <f t="shared" si="140"/>
        <v>412</v>
      </c>
      <c r="R413" s="183">
        <f t="shared" si="141"/>
        <v>824</v>
      </c>
      <c r="S413" s="183">
        <f t="shared" si="142"/>
        <v>412</v>
      </c>
      <c r="T413" s="183">
        <f t="shared" si="143"/>
        <v>824</v>
      </c>
      <c r="U413" s="183">
        <f t="shared" si="144"/>
        <v>412</v>
      </c>
      <c r="V413" s="183">
        <f t="shared" si="145"/>
        <v>824</v>
      </c>
      <c r="W413" s="12">
        <f>K413*属性价值参考!C$5+升级!L413*属性价值参考!C$6+升级!M413*属性价值参考!C$7+升级!N413*属性价值参考!C$8+升级!S413*属性价值参考!C$9+升级!T413*属性价值参考!C$10+升级!U413*属性价值参考!C$11+升级!V413*属性价值参考!C$12</f>
        <v>483424.32</v>
      </c>
    </row>
    <row r="414" spans="1:23" x14ac:dyDescent="0.3">
      <c r="A414" s="22"/>
      <c r="B414" s="22"/>
      <c r="C414" s="24">
        <v>413</v>
      </c>
      <c r="D414" s="27" t="str">
        <f t="shared" si="131"/>
        <v>0#1#57820|0#2#1982|0#3#413|0#4#826|0#9#413|0#10#826|0#11#413|0#12#826</v>
      </c>
      <c r="E414" s="27" t="str">
        <f t="shared" si="132"/>
        <v>1#1#9636|1#2#99120|1#3#413|1#4#826|1#9#413|1#10#826|1#11#413|1#12#826</v>
      </c>
      <c r="F414" s="27" t="str">
        <f t="shared" si="133"/>
        <v>2#1#28910|2#2#49560|2#3#413|2#4#826|2#9#413|2#10#826|2#11#413|2#12#826</v>
      </c>
      <c r="G414" s="27" t="str">
        <f t="shared" si="134"/>
        <v>0#1#57820|0#2#1982|0#3#413|0#4#826|0#9#413|0#10#826|0#11#413|0#12#826|1#1#9636|1#2#99120|1#3#413|1#4#826|1#9#413|1#10#826|1#11#413|1#12#826|2#1#28910|2#2#49560|2#3#413|2#4#826|2#9#413|2#10#826|2#11#413|2#12#826</v>
      </c>
      <c r="H414" s="22"/>
      <c r="I414" s="25">
        <v>4200000000</v>
      </c>
      <c r="J414" s="197">
        <v>413</v>
      </c>
      <c r="K414" s="183">
        <f t="shared" si="130"/>
        <v>57820</v>
      </c>
      <c r="L414" s="183">
        <f t="shared" si="135"/>
        <v>99120</v>
      </c>
      <c r="M414" s="183">
        <f t="shared" si="136"/>
        <v>413</v>
      </c>
      <c r="N414" s="183">
        <f t="shared" si="137"/>
        <v>826</v>
      </c>
      <c r="O414" s="183">
        <f t="shared" si="138"/>
        <v>413</v>
      </c>
      <c r="P414" s="183">
        <f t="shared" si="139"/>
        <v>826</v>
      </c>
      <c r="Q414" s="183">
        <f t="shared" si="140"/>
        <v>413</v>
      </c>
      <c r="R414" s="183">
        <f t="shared" si="141"/>
        <v>826</v>
      </c>
      <c r="S414" s="183">
        <f t="shared" si="142"/>
        <v>413</v>
      </c>
      <c r="T414" s="183">
        <f t="shared" si="143"/>
        <v>826</v>
      </c>
      <c r="U414" s="183">
        <f t="shared" si="144"/>
        <v>413</v>
      </c>
      <c r="V414" s="183">
        <f t="shared" si="145"/>
        <v>826</v>
      </c>
      <c r="W414" s="12">
        <f>K414*属性价值参考!C$5+升级!L414*属性价值参考!C$6+升级!M414*属性价值参考!C$7+升级!N414*属性价值参考!C$8+升级!S414*属性价值参考!C$9+升级!T414*属性价值参考!C$10+升级!U414*属性价值参考!C$11+升级!V414*属性价值参考!C$12</f>
        <v>484597.67999999993</v>
      </c>
    </row>
    <row r="415" spans="1:23" x14ac:dyDescent="0.3">
      <c r="A415" s="22"/>
      <c r="B415" s="22"/>
      <c r="C415" s="27">
        <v>414</v>
      </c>
      <c r="D415" s="27" t="str">
        <f t="shared" si="131"/>
        <v>0#1#57960|0#2#1987|0#3#414|0#4#828|0#9#414|0#10#828|0#11#414|0#12#828</v>
      </c>
      <c r="E415" s="27" t="str">
        <f t="shared" si="132"/>
        <v>1#1#9660|1#2#99360|1#3#414|1#4#828|1#9#414|1#10#828|1#11#414|1#12#828</v>
      </c>
      <c r="F415" s="27" t="str">
        <f t="shared" si="133"/>
        <v>2#1#28980|2#2#49680|2#3#414|2#4#828|2#9#414|2#10#828|2#11#414|2#12#828</v>
      </c>
      <c r="G415" s="27" t="str">
        <f t="shared" si="134"/>
        <v>0#1#57960|0#2#1987|0#3#414|0#4#828|0#9#414|0#10#828|0#11#414|0#12#828|1#1#9660|1#2#99360|1#3#414|1#4#828|1#9#414|1#10#828|1#11#414|1#12#828|2#1#28980|2#2#49680|2#3#414|2#4#828|2#9#414|2#10#828|2#11#414|2#12#828</v>
      </c>
      <c r="H415" s="22"/>
      <c r="I415" s="28">
        <v>4200000000</v>
      </c>
      <c r="J415" s="198">
        <v>414</v>
      </c>
      <c r="K415" s="183">
        <f t="shared" si="130"/>
        <v>57960</v>
      </c>
      <c r="L415" s="183">
        <f t="shared" si="135"/>
        <v>99360</v>
      </c>
      <c r="M415" s="183">
        <f t="shared" si="136"/>
        <v>414</v>
      </c>
      <c r="N415" s="183">
        <f t="shared" si="137"/>
        <v>828</v>
      </c>
      <c r="O415" s="183">
        <f t="shared" si="138"/>
        <v>414</v>
      </c>
      <c r="P415" s="183">
        <f t="shared" si="139"/>
        <v>828</v>
      </c>
      <c r="Q415" s="183">
        <f t="shared" si="140"/>
        <v>414</v>
      </c>
      <c r="R415" s="183">
        <f t="shared" si="141"/>
        <v>828</v>
      </c>
      <c r="S415" s="183">
        <f t="shared" si="142"/>
        <v>414</v>
      </c>
      <c r="T415" s="183">
        <f t="shared" si="143"/>
        <v>828</v>
      </c>
      <c r="U415" s="183">
        <f t="shared" si="144"/>
        <v>414</v>
      </c>
      <c r="V415" s="183">
        <f t="shared" si="145"/>
        <v>828</v>
      </c>
      <c r="W415" s="12">
        <f>K415*属性价值参考!C$5+升级!L415*属性价值参考!C$6+升级!M415*属性价值参考!C$7+升级!N415*属性价值参考!C$8+升级!S415*属性价值参考!C$9+升级!T415*属性价值参考!C$10+升级!U415*属性价值参考!C$11+升级!V415*属性价值参考!C$12</f>
        <v>485771.03999999992</v>
      </c>
    </row>
    <row r="416" spans="1:23" x14ac:dyDescent="0.3">
      <c r="A416" s="22"/>
      <c r="B416" s="22"/>
      <c r="C416" s="24">
        <v>415</v>
      </c>
      <c r="D416" s="27" t="str">
        <f t="shared" si="131"/>
        <v>0#1#58100|0#2#1992|0#3#415|0#4#830|0#9#415|0#10#830|0#11#415|0#12#830</v>
      </c>
      <c r="E416" s="27" t="str">
        <f t="shared" si="132"/>
        <v>1#1#9683|1#2#99600|1#3#415|1#4#830|1#9#415|1#10#830|1#11#415|1#12#830</v>
      </c>
      <c r="F416" s="27" t="str">
        <f t="shared" si="133"/>
        <v>2#1#29050|2#2#49800|2#3#415|2#4#830|2#9#415|2#10#830|2#11#415|2#12#830</v>
      </c>
      <c r="G416" s="27" t="str">
        <f t="shared" si="134"/>
        <v>0#1#58100|0#2#1992|0#3#415|0#4#830|0#9#415|0#10#830|0#11#415|0#12#830|1#1#9683|1#2#99600|1#3#415|1#4#830|1#9#415|1#10#830|1#11#415|1#12#830|2#1#29050|2#2#49800|2#3#415|2#4#830|2#9#415|2#10#830|2#11#415|2#12#830</v>
      </c>
      <c r="H416" s="22"/>
      <c r="I416" s="25">
        <v>4200000000</v>
      </c>
      <c r="J416" s="197">
        <v>415</v>
      </c>
      <c r="K416" s="183">
        <f t="shared" si="130"/>
        <v>58100</v>
      </c>
      <c r="L416" s="183">
        <f t="shared" si="135"/>
        <v>99600</v>
      </c>
      <c r="M416" s="183">
        <f t="shared" si="136"/>
        <v>415</v>
      </c>
      <c r="N416" s="183">
        <f t="shared" si="137"/>
        <v>830</v>
      </c>
      <c r="O416" s="183">
        <f t="shared" si="138"/>
        <v>415</v>
      </c>
      <c r="P416" s="183">
        <f t="shared" si="139"/>
        <v>830</v>
      </c>
      <c r="Q416" s="183">
        <f t="shared" si="140"/>
        <v>415</v>
      </c>
      <c r="R416" s="183">
        <f t="shared" si="141"/>
        <v>830</v>
      </c>
      <c r="S416" s="183">
        <f t="shared" si="142"/>
        <v>415</v>
      </c>
      <c r="T416" s="183">
        <f t="shared" si="143"/>
        <v>830</v>
      </c>
      <c r="U416" s="183">
        <f t="shared" si="144"/>
        <v>415</v>
      </c>
      <c r="V416" s="183">
        <f t="shared" si="145"/>
        <v>830</v>
      </c>
      <c r="W416" s="12">
        <f>K416*属性价值参考!C$5+升级!L416*属性价值参考!C$6+升级!M416*属性价值参考!C$7+升级!N416*属性价值参考!C$8+升级!S416*属性价值参考!C$9+升级!T416*属性价值参考!C$10+升级!U416*属性价值参考!C$11+升级!V416*属性价值参考!C$12</f>
        <v>486944.4</v>
      </c>
    </row>
    <row r="417" spans="1:23" x14ac:dyDescent="0.3">
      <c r="A417" s="22"/>
      <c r="B417" s="22"/>
      <c r="C417" s="27">
        <v>416</v>
      </c>
      <c r="D417" s="27" t="str">
        <f t="shared" si="131"/>
        <v>0#1#58240|0#2#1996|0#3#416|0#4#832|0#9#416|0#10#832|0#11#416|0#12#832</v>
      </c>
      <c r="E417" s="27" t="str">
        <f t="shared" si="132"/>
        <v>1#1#9706|1#2#99840|1#3#416|1#4#832|1#9#416|1#10#832|1#11#416|1#12#832</v>
      </c>
      <c r="F417" s="27" t="str">
        <f t="shared" si="133"/>
        <v>2#1#29120|2#2#49920|2#3#416|2#4#832|2#9#416|2#10#832|2#11#416|2#12#832</v>
      </c>
      <c r="G417" s="27" t="str">
        <f t="shared" si="134"/>
        <v>0#1#58240|0#2#1996|0#3#416|0#4#832|0#9#416|0#10#832|0#11#416|0#12#832|1#1#9706|1#2#99840|1#3#416|1#4#832|1#9#416|1#10#832|1#11#416|1#12#832|2#1#29120|2#2#49920|2#3#416|2#4#832|2#9#416|2#10#832|2#11#416|2#12#832</v>
      </c>
      <c r="H417" s="22"/>
      <c r="I417" s="28">
        <v>4200000000</v>
      </c>
      <c r="J417" s="198">
        <v>416</v>
      </c>
      <c r="K417" s="183">
        <f t="shared" si="130"/>
        <v>58240</v>
      </c>
      <c r="L417" s="183">
        <f t="shared" si="135"/>
        <v>99840</v>
      </c>
      <c r="M417" s="183">
        <f t="shared" si="136"/>
        <v>416</v>
      </c>
      <c r="N417" s="183">
        <f t="shared" si="137"/>
        <v>832</v>
      </c>
      <c r="O417" s="183">
        <f t="shared" si="138"/>
        <v>416</v>
      </c>
      <c r="P417" s="183">
        <f t="shared" si="139"/>
        <v>832</v>
      </c>
      <c r="Q417" s="183">
        <f t="shared" si="140"/>
        <v>416</v>
      </c>
      <c r="R417" s="183">
        <f t="shared" si="141"/>
        <v>832</v>
      </c>
      <c r="S417" s="183">
        <f t="shared" si="142"/>
        <v>416</v>
      </c>
      <c r="T417" s="183">
        <f t="shared" si="143"/>
        <v>832</v>
      </c>
      <c r="U417" s="183">
        <f t="shared" si="144"/>
        <v>416</v>
      </c>
      <c r="V417" s="183">
        <f t="shared" si="145"/>
        <v>832</v>
      </c>
      <c r="W417" s="12">
        <f>K417*属性价值参考!C$5+升级!L417*属性价值参考!C$6+升级!M417*属性价值参考!C$7+升级!N417*属性价值参考!C$8+升级!S417*属性价值参考!C$9+升级!T417*属性价值参考!C$10+升级!U417*属性价值参考!C$11+升级!V417*属性价值参考!C$12</f>
        <v>488117.76000000013</v>
      </c>
    </row>
    <row r="418" spans="1:23" x14ac:dyDescent="0.3">
      <c r="A418" s="22"/>
      <c r="B418" s="22"/>
      <c r="C418" s="24">
        <v>417</v>
      </c>
      <c r="D418" s="27" t="str">
        <f t="shared" si="131"/>
        <v>0#1#58380|0#2#2001|0#3#417|0#4#834|0#9#417|0#10#834|0#11#417|0#12#834</v>
      </c>
      <c r="E418" s="27" t="str">
        <f t="shared" si="132"/>
        <v>1#1#9730|1#2#100080|1#3#417|1#4#834|1#9#417|1#10#834|1#11#417|1#12#834</v>
      </c>
      <c r="F418" s="27" t="str">
        <f t="shared" si="133"/>
        <v>2#1#29190|2#2#50040|2#3#417|2#4#834|2#9#417|2#10#834|2#11#417|2#12#834</v>
      </c>
      <c r="G418" s="27" t="str">
        <f t="shared" si="134"/>
        <v>0#1#58380|0#2#2001|0#3#417|0#4#834|0#9#417|0#10#834|0#11#417|0#12#834|1#1#9730|1#2#100080|1#3#417|1#4#834|1#9#417|1#10#834|1#11#417|1#12#834|2#1#29190|2#2#50040|2#3#417|2#4#834|2#9#417|2#10#834|2#11#417|2#12#834</v>
      </c>
      <c r="H418" s="22"/>
      <c r="I418" s="25">
        <v>4200000000</v>
      </c>
      <c r="J418" s="197">
        <v>417</v>
      </c>
      <c r="K418" s="183">
        <f t="shared" si="130"/>
        <v>58380</v>
      </c>
      <c r="L418" s="183">
        <f t="shared" si="135"/>
        <v>100080</v>
      </c>
      <c r="M418" s="183">
        <f t="shared" si="136"/>
        <v>417</v>
      </c>
      <c r="N418" s="183">
        <f t="shared" si="137"/>
        <v>834</v>
      </c>
      <c r="O418" s="183">
        <f t="shared" si="138"/>
        <v>417</v>
      </c>
      <c r="P418" s="183">
        <f t="shared" si="139"/>
        <v>834</v>
      </c>
      <c r="Q418" s="183">
        <f t="shared" si="140"/>
        <v>417</v>
      </c>
      <c r="R418" s="183">
        <f t="shared" si="141"/>
        <v>834</v>
      </c>
      <c r="S418" s="183">
        <f t="shared" si="142"/>
        <v>417</v>
      </c>
      <c r="T418" s="183">
        <f t="shared" si="143"/>
        <v>834</v>
      </c>
      <c r="U418" s="183">
        <f t="shared" si="144"/>
        <v>417</v>
      </c>
      <c r="V418" s="183">
        <f t="shared" si="145"/>
        <v>834</v>
      </c>
      <c r="W418" s="12">
        <f>K418*属性价值参考!C$5+升级!L418*属性价值参考!C$6+升级!M418*属性价值参考!C$7+升级!N418*属性价值参考!C$8+升级!S418*属性价值参考!C$9+升级!T418*属性价值参考!C$10+升级!U418*属性价值参考!C$11+升级!V418*属性价值参考!C$12</f>
        <v>489291.12</v>
      </c>
    </row>
    <row r="419" spans="1:23" x14ac:dyDescent="0.3">
      <c r="A419" s="22"/>
      <c r="B419" s="22"/>
      <c r="C419" s="27">
        <v>418</v>
      </c>
      <c r="D419" s="27" t="str">
        <f t="shared" si="131"/>
        <v>0#1#58520|0#2#2006|0#3#418|0#4#836|0#9#418|0#10#836|0#11#418|0#12#836</v>
      </c>
      <c r="E419" s="27" t="str">
        <f t="shared" si="132"/>
        <v>1#1#9753|1#2#100320|1#3#418|1#4#836|1#9#418|1#10#836|1#11#418|1#12#836</v>
      </c>
      <c r="F419" s="27" t="str">
        <f t="shared" si="133"/>
        <v>2#1#29260|2#2#50160|2#3#418|2#4#836|2#9#418|2#10#836|2#11#418|2#12#836</v>
      </c>
      <c r="G419" s="27" t="str">
        <f t="shared" si="134"/>
        <v>0#1#58520|0#2#2006|0#3#418|0#4#836|0#9#418|0#10#836|0#11#418|0#12#836|1#1#9753|1#2#100320|1#3#418|1#4#836|1#9#418|1#10#836|1#11#418|1#12#836|2#1#29260|2#2#50160|2#3#418|2#4#836|2#9#418|2#10#836|2#11#418|2#12#836</v>
      </c>
      <c r="H419" s="22"/>
      <c r="I419" s="28">
        <v>4200000000</v>
      </c>
      <c r="J419" s="198">
        <v>418</v>
      </c>
      <c r="K419" s="183">
        <f t="shared" si="130"/>
        <v>58520</v>
      </c>
      <c r="L419" s="183">
        <f t="shared" si="135"/>
        <v>100320</v>
      </c>
      <c r="M419" s="183">
        <f t="shared" si="136"/>
        <v>418</v>
      </c>
      <c r="N419" s="183">
        <f t="shared" si="137"/>
        <v>836</v>
      </c>
      <c r="O419" s="183">
        <f t="shared" si="138"/>
        <v>418</v>
      </c>
      <c r="P419" s="183">
        <f t="shared" si="139"/>
        <v>836</v>
      </c>
      <c r="Q419" s="183">
        <f t="shared" si="140"/>
        <v>418</v>
      </c>
      <c r="R419" s="183">
        <f t="shared" si="141"/>
        <v>836</v>
      </c>
      <c r="S419" s="183">
        <f t="shared" si="142"/>
        <v>418</v>
      </c>
      <c r="T419" s="183">
        <f t="shared" si="143"/>
        <v>836</v>
      </c>
      <c r="U419" s="183">
        <f t="shared" si="144"/>
        <v>418</v>
      </c>
      <c r="V419" s="183">
        <f t="shared" si="145"/>
        <v>836</v>
      </c>
      <c r="W419" s="12">
        <f>K419*属性价值参考!C$5+升级!L419*属性价值参考!C$6+升级!M419*属性价值参考!C$7+升级!N419*属性价值参考!C$8+升级!S419*属性价值参考!C$9+升级!T419*属性价值参考!C$10+升级!U419*属性价值参考!C$11+升级!V419*属性价值参考!C$12</f>
        <v>490464.47999999992</v>
      </c>
    </row>
    <row r="420" spans="1:23" x14ac:dyDescent="0.3">
      <c r="A420" s="22"/>
      <c r="B420" s="22"/>
      <c r="C420" s="24">
        <v>419</v>
      </c>
      <c r="D420" s="27" t="str">
        <f t="shared" si="131"/>
        <v>0#1#58660|0#2#2011|0#3#419|0#4#838|0#9#419|0#10#838|0#11#419|0#12#838</v>
      </c>
      <c r="E420" s="27" t="str">
        <f t="shared" si="132"/>
        <v>1#1#9776|1#2#100560|1#3#419|1#4#838|1#9#419|1#10#838|1#11#419|1#12#838</v>
      </c>
      <c r="F420" s="27" t="str">
        <f t="shared" si="133"/>
        <v>2#1#29330|2#2#50280|2#3#419|2#4#838|2#9#419|2#10#838|2#11#419|2#12#838</v>
      </c>
      <c r="G420" s="27" t="str">
        <f t="shared" si="134"/>
        <v>0#1#58660|0#2#2011|0#3#419|0#4#838|0#9#419|0#10#838|0#11#419|0#12#838|1#1#9776|1#2#100560|1#3#419|1#4#838|1#9#419|1#10#838|1#11#419|1#12#838|2#1#29330|2#2#50280|2#3#419|2#4#838|2#9#419|2#10#838|2#11#419|2#12#838</v>
      </c>
      <c r="H420" s="22"/>
      <c r="I420" s="25">
        <v>4200000000</v>
      </c>
      <c r="J420" s="197">
        <v>419</v>
      </c>
      <c r="K420" s="183">
        <f t="shared" si="130"/>
        <v>58660</v>
      </c>
      <c r="L420" s="183">
        <f t="shared" si="135"/>
        <v>100560</v>
      </c>
      <c r="M420" s="183">
        <f t="shared" si="136"/>
        <v>419</v>
      </c>
      <c r="N420" s="183">
        <f t="shared" si="137"/>
        <v>838</v>
      </c>
      <c r="O420" s="183">
        <f t="shared" si="138"/>
        <v>419</v>
      </c>
      <c r="P420" s="183">
        <f t="shared" si="139"/>
        <v>838</v>
      </c>
      <c r="Q420" s="183">
        <f t="shared" si="140"/>
        <v>419</v>
      </c>
      <c r="R420" s="183">
        <f t="shared" si="141"/>
        <v>838</v>
      </c>
      <c r="S420" s="183">
        <f t="shared" si="142"/>
        <v>419</v>
      </c>
      <c r="T420" s="183">
        <f t="shared" si="143"/>
        <v>838</v>
      </c>
      <c r="U420" s="183">
        <f t="shared" si="144"/>
        <v>419</v>
      </c>
      <c r="V420" s="183">
        <f t="shared" si="145"/>
        <v>838</v>
      </c>
      <c r="W420" s="12">
        <f>K420*属性价值参考!C$5+升级!L420*属性价值参考!C$6+升级!M420*属性价值参考!C$7+升级!N420*属性价值参考!C$8+升级!S420*属性价值参考!C$9+升级!T420*属性价值参考!C$10+升级!U420*属性价值参考!C$11+升级!V420*属性价值参考!C$12</f>
        <v>491637.83999999997</v>
      </c>
    </row>
    <row r="421" spans="1:23" x14ac:dyDescent="0.3">
      <c r="A421" s="22"/>
      <c r="B421" s="22"/>
      <c r="C421" s="27">
        <v>420</v>
      </c>
      <c r="D421" s="27" t="str">
        <f t="shared" si="131"/>
        <v>0#1#58800|0#2#2016|0#3#420|0#4#840|0#9#420|0#10#840|0#11#420|0#12#840</v>
      </c>
      <c r="E421" s="27" t="str">
        <f t="shared" si="132"/>
        <v>1#1#9800|1#2#100800|1#3#420|1#4#840|1#9#420|1#10#840|1#11#420|1#12#840</v>
      </c>
      <c r="F421" s="27" t="str">
        <f t="shared" si="133"/>
        <v>2#1#29400|2#2#50400|2#3#420|2#4#840|2#9#420|2#10#840|2#11#420|2#12#840</v>
      </c>
      <c r="G421" s="27" t="str">
        <f t="shared" si="134"/>
        <v>0#1#58800|0#2#2016|0#3#420|0#4#840|0#9#420|0#10#840|0#11#420|0#12#840|1#1#9800|1#2#100800|1#3#420|1#4#840|1#9#420|1#10#840|1#11#420|1#12#840|2#1#29400|2#2#50400|2#3#420|2#4#840|2#9#420|2#10#840|2#11#420|2#12#840</v>
      </c>
      <c r="H421" s="22"/>
      <c r="I421" s="28">
        <v>4200000000</v>
      </c>
      <c r="J421" s="198">
        <v>420</v>
      </c>
      <c r="K421" s="183">
        <f t="shared" si="130"/>
        <v>58800</v>
      </c>
      <c r="L421" s="183">
        <f t="shared" si="135"/>
        <v>100800</v>
      </c>
      <c r="M421" s="183">
        <f t="shared" si="136"/>
        <v>420</v>
      </c>
      <c r="N421" s="183">
        <f t="shared" si="137"/>
        <v>840</v>
      </c>
      <c r="O421" s="183">
        <f t="shared" si="138"/>
        <v>420</v>
      </c>
      <c r="P421" s="183">
        <f t="shared" si="139"/>
        <v>840</v>
      </c>
      <c r="Q421" s="183">
        <f t="shared" si="140"/>
        <v>420</v>
      </c>
      <c r="R421" s="183">
        <f t="shared" si="141"/>
        <v>840</v>
      </c>
      <c r="S421" s="183">
        <f t="shared" si="142"/>
        <v>420</v>
      </c>
      <c r="T421" s="183">
        <f t="shared" si="143"/>
        <v>840</v>
      </c>
      <c r="U421" s="183">
        <f t="shared" si="144"/>
        <v>420</v>
      </c>
      <c r="V421" s="183">
        <f t="shared" si="145"/>
        <v>840</v>
      </c>
      <c r="W421" s="12">
        <f>K421*属性价值参考!C$5+升级!L421*属性价值参考!C$6+升级!M421*属性价值参考!C$7+升级!N421*属性价值参考!C$8+升级!S421*属性价值参考!C$9+升级!T421*属性价值参考!C$10+升级!U421*属性价值参考!C$11+升级!V421*属性价值参考!C$12</f>
        <v>492811.2</v>
      </c>
    </row>
    <row r="422" spans="1:23" x14ac:dyDescent="0.3">
      <c r="A422" s="22"/>
      <c r="B422" s="22"/>
      <c r="C422" s="24">
        <v>421</v>
      </c>
      <c r="D422" s="27" t="str">
        <f t="shared" si="131"/>
        <v>0#1#58940|0#2#2020|0#3#421|0#4#842|0#9#421|0#10#842|0#11#421|0#12#842</v>
      </c>
      <c r="E422" s="27" t="str">
        <f t="shared" si="132"/>
        <v>1#1#9823|1#2#101040|1#3#421|1#4#842|1#9#421|1#10#842|1#11#421|1#12#842</v>
      </c>
      <c r="F422" s="27" t="str">
        <f t="shared" si="133"/>
        <v>2#1#29470|2#2#50520|2#3#421|2#4#842|2#9#421|2#10#842|2#11#421|2#12#842</v>
      </c>
      <c r="G422" s="27" t="str">
        <f t="shared" si="134"/>
        <v>0#1#58940|0#2#2020|0#3#421|0#4#842|0#9#421|0#10#842|0#11#421|0#12#842|1#1#9823|1#2#101040|1#3#421|1#4#842|1#9#421|1#10#842|1#11#421|1#12#842|2#1#29470|2#2#50520|2#3#421|2#4#842|2#9#421|2#10#842|2#11#421|2#12#842</v>
      </c>
      <c r="H422" s="22"/>
      <c r="I422" s="25">
        <v>4200000000</v>
      </c>
      <c r="J422" s="197">
        <v>421</v>
      </c>
      <c r="K422" s="183">
        <f t="shared" si="130"/>
        <v>58940</v>
      </c>
      <c r="L422" s="183">
        <f t="shared" si="135"/>
        <v>101040</v>
      </c>
      <c r="M422" s="183">
        <f t="shared" si="136"/>
        <v>421</v>
      </c>
      <c r="N422" s="183">
        <f t="shared" si="137"/>
        <v>842</v>
      </c>
      <c r="O422" s="183">
        <f t="shared" si="138"/>
        <v>421</v>
      </c>
      <c r="P422" s="183">
        <f t="shared" si="139"/>
        <v>842</v>
      </c>
      <c r="Q422" s="183">
        <f t="shared" si="140"/>
        <v>421</v>
      </c>
      <c r="R422" s="183">
        <f t="shared" si="141"/>
        <v>842</v>
      </c>
      <c r="S422" s="183">
        <f t="shared" si="142"/>
        <v>421</v>
      </c>
      <c r="T422" s="183">
        <f t="shared" si="143"/>
        <v>842</v>
      </c>
      <c r="U422" s="183">
        <f t="shared" si="144"/>
        <v>421</v>
      </c>
      <c r="V422" s="183">
        <f t="shared" si="145"/>
        <v>842</v>
      </c>
      <c r="W422" s="12">
        <f>K422*属性价值参考!C$5+升级!L422*属性价值参考!C$6+升级!M422*属性价值参考!C$7+升级!N422*属性价值参考!C$8+升级!S422*属性价值参考!C$9+升级!T422*属性价值参考!C$10+升级!U422*属性价值参考!C$11+升级!V422*属性价值参考!C$12</f>
        <v>493984.56000000011</v>
      </c>
    </row>
    <row r="423" spans="1:23" x14ac:dyDescent="0.3">
      <c r="A423" s="22"/>
      <c r="B423" s="22"/>
      <c r="C423" s="27">
        <v>422</v>
      </c>
      <c r="D423" s="27" t="str">
        <f t="shared" si="131"/>
        <v>0#1#59080|0#2#2025|0#3#422|0#4#844|0#9#422|0#10#844|0#11#422|0#12#844</v>
      </c>
      <c r="E423" s="27" t="str">
        <f t="shared" si="132"/>
        <v>1#1#9846|1#2#101280|1#3#422|1#4#844|1#9#422|1#10#844|1#11#422|1#12#844</v>
      </c>
      <c r="F423" s="27" t="str">
        <f t="shared" si="133"/>
        <v>2#1#29540|2#2#50640|2#3#422|2#4#844|2#9#422|2#10#844|2#11#422|2#12#844</v>
      </c>
      <c r="G423" s="27" t="str">
        <f t="shared" si="134"/>
        <v>0#1#59080|0#2#2025|0#3#422|0#4#844|0#9#422|0#10#844|0#11#422|0#12#844|1#1#9846|1#2#101280|1#3#422|1#4#844|1#9#422|1#10#844|1#11#422|1#12#844|2#1#29540|2#2#50640|2#3#422|2#4#844|2#9#422|2#10#844|2#11#422|2#12#844</v>
      </c>
      <c r="H423" s="22"/>
      <c r="I423" s="28">
        <v>4200000000</v>
      </c>
      <c r="J423" s="198">
        <v>422</v>
      </c>
      <c r="K423" s="183">
        <f t="shared" si="130"/>
        <v>59080</v>
      </c>
      <c r="L423" s="183">
        <f t="shared" si="135"/>
        <v>101280</v>
      </c>
      <c r="M423" s="183">
        <f t="shared" si="136"/>
        <v>422</v>
      </c>
      <c r="N423" s="183">
        <f t="shared" si="137"/>
        <v>844</v>
      </c>
      <c r="O423" s="183">
        <f t="shared" si="138"/>
        <v>422</v>
      </c>
      <c r="P423" s="183">
        <f t="shared" si="139"/>
        <v>844</v>
      </c>
      <c r="Q423" s="183">
        <f t="shared" si="140"/>
        <v>422</v>
      </c>
      <c r="R423" s="183">
        <f t="shared" si="141"/>
        <v>844</v>
      </c>
      <c r="S423" s="183">
        <f t="shared" si="142"/>
        <v>422</v>
      </c>
      <c r="T423" s="183">
        <f t="shared" si="143"/>
        <v>844</v>
      </c>
      <c r="U423" s="183">
        <f t="shared" si="144"/>
        <v>422</v>
      </c>
      <c r="V423" s="183">
        <f t="shared" si="145"/>
        <v>844</v>
      </c>
      <c r="W423" s="12">
        <f>K423*属性价值参考!C$5+升级!L423*属性价值参考!C$6+升级!M423*属性价值参考!C$7+升级!N423*属性价值参考!C$8+升级!S423*属性价值参考!C$9+升级!T423*属性价值参考!C$10+升级!U423*属性价值参考!C$11+升级!V423*属性价值参考!C$12</f>
        <v>495157.92</v>
      </c>
    </row>
    <row r="424" spans="1:23" x14ac:dyDescent="0.3">
      <c r="A424" s="22"/>
      <c r="B424" s="22"/>
      <c r="C424" s="24">
        <v>423</v>
      </c>
      <c r="D424" s="27" t="str">
        <f t="shared" si="131"/>
        <v>0#1#59220|0#2#2030|0#3#423|0#4#846|0#9#423|0#10#846|0#11#423|0#12#846</v>
      </c>
      <c r="E424" s="27" t="str">
        <f t="shared" si="132"/>
        <v>1#1#9870|1#2#101520|1#3#423|1#4#846|1#9#423|1#10#846|1#11#423|1#12#846</v>
      </c>
      <c r="F424" s="27" t="str">
        <f t="shared" si="133"/>
        <v>2#1#29610|2#2#50760|2#3#423|2#4#846|2#9#423|2#10#846|2#11#423|2#12#846</v>
      </c>
      <c r="G424" s="27" t="str">
        <f t="shared" si="134"/>
        <v>0#1#59220|0#2#2030|0#3#423|0#4#846|0#9#423|0#10#846|0#11#423|0#12#846|1#1#9870|1#2#101520|1#3#423|1#4#846|1#9#423|1#10#846|1#11#423|1#12#846|2#1#29610|2#2#50760|2#3#423|2#4#846|2#9#423|2#10#846|2#11#423|2#12#846</v>
      </c>
      <c r="H424" s="22"/>
      <c r="I424" s="25">
        <v>4200000000</v>
      </c>
      <c r="J424" s="197">
        <v>423</v>
      </c>
      <c r="K424" s="183">
        <f t="shared" si="130"/>
        <v>59220</v>
      </c>
      <c r="L424" s="183">
        <f t="shared" si="135"/>
        <v>101520</v>
      </c>
      <c r="M424" s="183">
        <f t="shared" si="136"/>
        <v>423</v>
      </c>
      <c r="N424" s="183">
        <f t="shared" si="137"/>
        <v>846</v>
      </c>
      <c r="O424" s="183">
        <f t="shared" si="138"/>
        <v>423</v>
      </c>
      <c r="P424" s="183">
        <f t="shared" si="139"/>
        <v>846</v>
      </c>
      <c r="Q424" s="183">
        <f t="shared" si="140"/>
        <v>423</v>
      </c>
      <c r="R424" s="183">
        <f t="shared" si="141"/>
        <v>846</v>
      </c>
      <c r="S424" s="183">
        <f t="shared" si="142"/>
        <v>423</v>
      </c>
      <c r="T424" s="183">
        <f t="shared" si="143"/>
        <v>846</v>
      </c>
      <c r="U424" s="183">
        <f t="shared" si="144"/>
        <v>423</v>
      </c>
      <c r="V424" s="183">
        <f t="shared" si="145"/>
        <v>846</v>
      </c>
      <c r="W424" s="12">
        <f>K424*属性价值参考!C$5+升级!L424*属性价值参考!C$6+升级!M424*属性价值参考!C$7+升级!N424*属性价值参考!C$8+升级!S424*属性价值参考!C$9+升级!T424*属性价值参考!C$10+升级!U424*属性价值参考!C$11+升级!V424*属性价值参考!C$12</f>
        <v>496331.27999999997</v>
      </c>
    </row>
    <row r="425" spans="1:23" x14ac:dyDescent="0.3">
      <c r="A425" s="22"/>
      <c r="B425" s="22"/>
      <c r="C425" s="27">
        <v>424</v>
      </c>
      <c r="D425" s="27" t="str">
        <f t="shared" si="131"/>
        <v>0#1#59360|0#2#2035|0#3#424|0#4#848|0#9#424|0#10#848|0#11#424|0#12#848</v>
      </c>
      <c r="E425" s="27" t="str">
        <f t="shared" si="132"/>
        <v>1#1#9893|1#2#101760|1#3#424|1#4#848|1#9#424|1#10#848|1#11#424|1#12#848</v>
      </c>
      <c r="F425" s="27" t="str">
        <f t="shared" si="133"/>
        <v>2#1#29680|2#2#50880|2#3#424|2#4#848|2#9#424|2#10#848|2#11#424|2#12#848</v>
      </c>
      <c r="G425" s="27" t="str">
        <f t="shared" si="134"/>
        <v>0#1#59360|0#2#2035|0#3#424|0#4#848|0#9#424|0#10#848|0#11#424|0#12#848|1#1#9893|1#2#101760|1#3#424|1#4#848|1#9#424|1#10#848|1#11#424|1#12#848|2#1#29680|2#2#50880|2#3#424|2#4#848|2#9#424|2#10#848|2#11#424|2#12#848</v>
      </c>
      <c r="H425" s="22"/>
      <c r="I425" s="28">
        <v>4200000000</v>
      </c>
      <c r="J425" s="198">
        <v>424</v>
      </c>
      <c r="K425" s="183">
        <f t="shared" si="130"/>
        <v>59360</v>
      </c>
      <c r="L425" s="183">
        <f t="shared" si="135"/>
        <v>101760</v>
      </c>
      <c r="M425" s="183">
        <f t="shared" si="136"/>
        <v>424</v>
      </c>
      <c r="N425" s="183">
        <f t="shared" si="137"/>
        <v>848</v>
      </c>
      <c r="O425" s="183">
        <f t="shared" si="138"/>
        <v>424</v>
      </c>
      <c r="P425" s="183">
        <f t="shared" si="139"/>
        <v>848</v>
      </c>
      <c r="Q425" s="183">
        <f t="shared" si="140"/>
        <v>424</v>
      </c>
      <c r="R425" s="183">
        <f t="shared" si="141"/>
        <v>848</v>
      </c>
      <c r="S425" s="183">
        <f t="shared" si="142"/>
        <v>424</v>
      </c>
      <c r="T425" s="183">
        <f t="shared" si="143"/>
        <v>848</v>
      </c>
      <c r="U425" s="183">
        <f t="shared" si="144"/>
        <v>424</v>
      </c>
      <c r="V425" s="183">
        <f t="shared" si="145"/>
        <v>848</v>
      </c>
      <c r="W425" s="12">
        <f>K425*属性价值参考!C$5+升级!L425*属性价值参考!C$6+升级!M425*属性价值参考!C$7+升级!N425*属性价值参考!C$8+升级!S425*属性价值参考!C$9+升级!T425*属性价值参考!C$10+升级!U425*属性价值参考!C$11+升级!V425*属性价值参考!C$12</f>
        <v>497504.6399999999</v>
      </c>
    </row>
    <row r="426" spans="1:23" x14ac:dyDescent="0.3">
      <c r="A426" s="22"/>
      <c r="B426" s="22"/>
      <c r="C426" s="24">
        <v>425</v>
      </c>
      <c r="D426" s="27" t="str">
        <f t="shared" si="131"/>
        <v>0#1#59500|0#2#2040|0#3#425|0#4#850|0#9#425|0#10#850|0#11#425|0#12#850</v>
      </c>
      <c r="E426" s="27" t="str">
        <f t="shared" si="132"/>
        <v>1#1#9916|1#2#102000|1#3#425|1#4#850|1#9#425|1#10#850|1#11#425|1#12#850</v>
      </c>
      <c r="F426" s="27" t="str">
        <f t="shared" si="133"/>
        <v>2#1#29750|2#2#51000|2#3#425|2#4#850|2#9#425|2#10#850|2#11#425|2#12#850</v>
      </c>
      <c r="G426" s="27" t="str">
        <f t="shared" si="134"/>
        <v>0#1#59500|0#2#2040|0#3#425|0#4#850|0#9#425|0#10#850|0#11#425|0#12#850|1#1#9916|1#2#102000|1#3#425|1#4#850|1#9#425|1#10#850|1#11#425|1#12#850|2#1#29750|2#2#51000|2#3#425|2#4#850|2#9#425|2#10#850|2#11#425|2#12#850</v>
      </c>
      <c r="H426" s="22"/>
      <c r="I426" s="25">
        <v>4200000000</v>
      </c>
      <c r="J426" s="197">
        <v>425</v>
      </c>
      <c r="K426" s="183">
        <f t="shared" si="130"/>
        <v>59500</v>
      </c>
      <c r="L426" s="183">
        <f t="shared" si="135"/>
        <v>102000</v>
      </c>
      <c r="M426" s="183">
        <f t="shared" si="136"/>
        <v>425</v>
      </c>
      <c r="N426" s="183">
        <f t="shared" si="137"/>
        <v>850</v>
      </c>
      <c r="O426" s="183">
        <f t="shared" si="138"/>
        <v>425</v>
      </c>
      <c r="P426" s="183">
        <f t="shared" si="139"/>
        <v>850</v>
      </c>
      <c r="Q426" s="183">
        <f t="shared" si="140"/>
        <v>425</v>
      </c>
      <c r="R426" s="183">
        <f t="shared" si="141"/>
        <v>850</v>
      </c>
      <c r="S426" s="183">
        <f t="shared" si="142"/>
        <v>425</v>
      </c>
      <c r="T426" s="183">
        <f t="shared" si="143"/>
        <v>850</v>
      </c>
      <c r="U426" s="183">
        <f t="shared" si="144"/>
        <v>425</v>
      </c>
      <c r="V426" s="183">
        <f t="shared" si="145"/>
        <v>850</v>
      </c>
      <c r="W426" s="12">
        <f>K426*属性价值参考!C$5+升级!L426*属性价值参考!C$6+升级!M426*属性价值参考!C$7+升级!N426*属性价值参考!C$8+升级!S426*属性价值参考!C$9+升级!T426*属性价值参考!C$10+升级!U426*属性价值参考!C$11+升级!V426*属性价值参考!C$12</f>
        <v>498678</v>
      </c>
    </row>
    <row r="427" spans="1:23" x14ac:dyDescent="0.3">
      <c r="A427" s="22"/>
      <c r="B427" s="22"/>
      <c r="C427" s="27">
        <v>426</v>
      </c>
      <c r="D427" s="27" t="str">
        <f t="shared" si="131"/>
        <v>0#1#59640|0#2#2044|0#3#426|0#4#852|0#9#426|0#10#852|0#11#426|0#12#852</v>
      </c>
      <c r="E427" s="27" t="str">
        <f t="shared" si="132"/>
        <v>1#1#9940|1#2#102240|1#3#426|1#4#852|1#9#426|1#10#852|1#11#426|1#12#852</v>
      </c>
      <c r="F427" s="27" t="str">
        <f t="shared" si="133"/>
        <v>2#1#29820|2#2#51120|2#3#426|2#4#852|2#9#426|2#10#852|2#11#426|2#12#852</v>
      </c>
      <c r="G427" s="27" t="str">
        <f t="shared" si="134"/>
        <v>0#1#59640|0#2#2044|0#3#426|0#4#852|0#9#426|0#10#852|0#11#426|0#12#852|1#1#9940|1#2#102240|1#3#426|1#4#852|1#9#426|1#10#852|1#11#426|1#12#852|2#1#29820|2#2#51120|2#3#426|2#4#852|2#9#426|2#10#852|2#11#426|2#12#852</v>
      </c>
      <c r="H427" s="22"/>
      <c r="I427" s="28">
        <v>4200000000</v>
      </c>
      <c r="J427" s="198">
        <v>426</v>
      </c>
      <c r="K427" s="183">
        <f t="shared" si="130"/>
        <v>59640</v>
      </c>
      <c r="L427" s="183">
        <f t="shared" si="135"/>
        <v>102240</v>
      </c>
      <c r="M427" s="183">
        <f t="shared" si="136"/>
        <v>426</v>
      </c>
      <c r="N427" s="183">
        <f t="shared" si="137"/>
        <v>852</v>
      </c>
      <c r="O427" s="183">
        <f t="shared" si="138"/>
        <v>426</v>
      </c>
      <c r="P427" s="183">
        <f t="shared" si="139"/>
        <v>852</v>
      </c>
      <c r="Q427" s="183">
        <f t="shared" si="140"/>
        <v>426</v>
      </c>
      <c r="R427" s="183">
        <f t="shared" si="141"/>
        <v>852</v>
      </c>
      <c r="S427" s="183">
        <f t="shared" si="142"/>
        <v>426</v>
      </c>
      <c r="T427" s="183">
        <f t="shared" si="143"/>
        <v>852</v>
      </c>
      <c r="U427" s="183">
        <f t="shared" si="144"/>
        <v>426</v>
      </c>
      <c r="V427" s="183">
        <f t="shared" si="145"/>
        <v>852</v>
      </c>
      <c r="W427" s="12">
        <f>K427*属性价值参考!C$5+升级!L427*属性价值参考!C$6+升级!M427*属性价值参考!C$7+升级!N427*属性价值参考!C$8+升级!S427*属性价值参考!C$9+升级!T427*属性价值参考!C$10+升级!U427*属性价值参考!C$11+升级!V427*属性价值参考!C$12</f>
        <v>499851.3600000001</v>
      </c>
    </row>
    <row r="428" spans="1:23" x14ac:dyDescent="0.3">
      <c r="A428" s="22"/>
      <c r="B428" s="22"/>
      <c r="C428" s="24">
        <v>427</v>
      </c>
      <c r="D428" s="27" t="str">
        <f t="shared" si="131"/>
        <v>0#1#59780|0#2#2049|0#3#427|0#4#854|0#9#427|0#10#854|0#11#427|0#12#854</v>
      </c>
      <c r="E428" s="27" t="str">
        <f t="shared" si="132"/>
        <v>1#1#9963|1#2#102480|1#3#427|1#4#854|1#9#427|1#10#854|1#11#427|1#12#854</v>
      </c>
      <c r="F428" s="27" t="str">
        <f t="shared" si="133"/>
        <v>2#1#29890|2#2#51240|2#3#427|2#4#854|2#9#427|2#10#854|2#11#427|2#12#854</v>
      </c>
      <c r="G428" s="27" t="str">
        <f t="shared" si="134"/>
        <v>0#1#59780|0#2#2049|0#3#427|0#4#854|0#9#427|0#10#854|0#11#427|0#12#854|1#1#9963|1#2#102480|1#3#427|1#4#854|1#9#427|1#10#854|1#11#427|1#12#854|2#1#29890|2#2#51240|2#3#427|2#4#854|2#9#427|2#10#854|2#11#427|2#12#854</v>
      </c>
      <c r="H428" s="22"/>
      <c r="I428" s="25">
        <v>4200000000</v>
      </c>
      <c r="J428" s="197">
        <v>427</v>
      </c>
      <c r="K428" s="183">
        <f t="shared" si="130"/>
        <v>59780</v>
      </c>
      <c r="L428" s="183">
        <f t="shared" si="135"/>
        <v>102480</v>
      </c>
      <c r="M428" s="183">
        <f t="shared" si="136"/>
        <v>427</v>
      </c>
      <c r="N428" s="183">
        <f t="shared" si="137"/>
        <v>854</v>
      </c>
      <c r="O428" s="183">
        <f t="shared" si="138"/>
        <v>427</v>
      </c>
      <c r="P428" s="183">
        <f t="shared" si="139"/>
        <v>854</v>
      </c>
      <c r="Q428" s="183">
        <f t="shared" si="140"/>
        <v>427</v>
      </c>
      <c r="R428" s="183">
        <f t="shared" si="141"/>
        <v>854</v>
      </c>
      <c r="S428" s="183">
        <f t="shared" si="142"/>
        <v>427</v>
      </c>
      <c r="T428" s="183">
        <f t="shared" si="143"/>
        <v>854</v>
      </c>
      <c r="U428" s="183">
        <f t="shared" si="144"/>
        <v>427</v>
      </c>
      <c r="V428" s="183">
        <f t="shared" si="145"/>
        <v>854</v>
      </c>
      <c r="W428" s="12">
        <f>K428*属性价值参考!C$5+升级!L428*属性价值参考!C$6+升级!M428*属性价值参考!C$7+升级!N428*属性价值参考!C$8+升级!S428*属性价值参考!C$9+升级!T428*属性价值参考!C$10+升级!U428*属性价值参考!C$11+升级!V428*属性价值参考!C$12</f>
        <v>501024.72</v>
      </c>
    </row>
    <row r="429" spans="1:23" x14ac:dyDescent="0.3">
      <c r="A429" s="22"/>
      <c r="B429" s="22"/>
      <c r="C429" s="27">
        <v>428</v>
      </c>
      <c r="D429" s="27" t="str">
        <f t="shared" si="131"/>
        <v>0#1#59920|0#2#2054|0#3#428|0#4#856|0#9#428|0#10#856|0#11#428|0#12#856</v>
      </c>
      <c r="E429" s="27" t="str">
        <f t="shared" si="132"/>
        <v>1#1#9986|1#2#102720|1#3#428|1#4#856|1#9#428|1#10#856|1#11#428|1#12#856</v>
      </c>
      <c r="F429" s="27" t="str">
        <f t="shared" si="133"/>
        <v>2#1#29960|2#2#51360|2#3#428|2#4#856|2#9#428|2#10#856|2#11#428|2#12#856</v>
      </c>
      <c r="G429" s="27" t="str">
        <f t="shared" si="134"/>
        <v>0#1#59920|0#2#2054|0#3#428|0#4#856|0#9#428|0#10#856|0#11#428|0#12#856|1#1#9986|1#2#102720|1#3#428|1#4#856|1#9#428|1#10#856|1#11#428|1#12#856|2#1#29960|2#2#51360|2#3#428|2#4#856|2#9#428|2#10#856|2#11#428|2#12#856</v>
      </c>
      <c r="H429" s="22"/>
      <c r="I429" s="28">
        <v>4200000000</v>
      </c>
      <c r="J429" s="198">
        <v>428</v>
      </c>
      <c r="K429" s="183">
        <f t="shared" si="130"/>
        <v>59920</v>
      </c>
      <c r="L429" s="183">
        <f t="shared" si="135"/>
        <v>102720</v>
      </c>
      <c r="M429" s="183">
        <f t="shared" si="136"/>
        <v>428</v>
      </c>
      <c r="N429" s="183">
        <f t="shared" si="137"/>
        <v>856</v>
      </c>
      <c r="O429" s="183">
        <f t="shared" si="138"/>
        <v>428</v>
      </c>
      <c r="P429" s="183">
        <f t="shared" si="139"/>
        <v>856</v>
      </c>
      <c r="Q429" s="183">
        <f t="shared" si="140"/>
        <v>428</v>
      </c>
      <c r="R429" s="183">
        <f t="shared" si="141"/>
        <v>856</v>
      </c>
      <c r="S429" s="183">
        <f t="shared" si="142"/>
        <v>428</v>
      </c>
      <c r="T429" s="183">
        <f t="shared" si="143"/>
        <v>856</v>
      </c>
      <c r="U429" s="183">
        <f t="shared" si="144"/>
        <v>428</v>
      </c>
      <c r="V429" s="183">
        <f t="shared" si="145"/>
        <v>856</v>
      </c>
      <c r="W429" s="12">
        <f>K429*属性价值参考!C$5+升级!L429*属性价值参考!C$6+升级!M429*属性价值参考!C$7+升级!N429*属性价值参考!C$8+升级!S429*属性价值参考!C$9+升级!T429*属性价值参考!C$10+升级!U429*属性价值参考!C$11+升级!V429*属性价值参考!C$12</f>
        <v>502198.0799999999</v>
      </c>
    </row>
    <row r="430" spans="1:23" x14ac:dyDescent="0.3">
      <c r="A430" s="22"/>
      <c r="B430" s="22"/>
      <c r="C430" s="24">
        <v>429</v>
      </c>
      <c r="D430" s="27" t="str">
        <f t="shared" si="131"/>
        <v>0#1#60060|0#2#2059|0#3#429|0#4#858|0#9#429|0#10#858|0#11#429|0#12#858</v>
      </c>
      <c r="E430" s="27" t="str">
        <f t="shared" si="132"/>
        <v>1#1#10010|1#2#102960|1#3#429|1#4#858|1#9#429|1#10#858|1#11#429|1#12#858</v>
      </c>
      <c r="F430" s="27" t="str">
        <f t="shared" si="133"/>
        <v>2#1#30030|2#2#51480|2#3#429|2#4#858|2#9#429|2#10#858|2#11#429|2#12#858</v>
      </c>
      <c r="G430" s="27" t="str">
        <f t="shared" si="134"/>
        <v>0#1#60060|0#2#2059|0#3#429|0#4#858|0#9#429|0#10#858|0#11#429|0#12#858|1#1#10010|1#2#102960|1#3#429|1#4#858|1#9#429|1#10#858|1#11#429|1#12#858|2#1#30030|2#2#51480|2#3#429|2#4#858|2#9#429|2#10#858|2#11#429|2#12#858</v>
      </c>
      <c r="H430" s="22"/>
      <c r="I430" s="25">
        <v>4200000000</v>
      </c>
      <c r="J430" s="197">
        <v>429</v>
      </c>
      <c r="K430" s="183">
        <f t="shared" si="130"/>
        <v>60060</v>
      </c>
      <c r="L430" s="183">
        <f t="shared" si="135"/>
        <v>102960</v>
      </c>
      <c r="M430" s="183">
        <f t="shared" si="136"/>
        <v>429</v>
      </c>
      <c r="N430" s="183">
        <f t="shared" si="137"/>
        <v>858</v>
      </c>
      <c r="O430" s="183">
        <f t="shared" si="138"/>
        <v>429</v>
      </c>
      <c r="P430" s="183">
        <f t="shared" si="139"/>
        <v>858</v>
      </c>
      <c r="Q430" s="183">
        <f t="shared" si="140"/>
        <v>429</v>
      </c>
      <c r="R430" s="183">
        <f t="shared" si="141"/>
        <v>858</v>
      </c>
      <c r="S430" s="183">
        <f t="shared" si="142"/>
        <v>429</v>
      </c>
      <c r="T430" s="183">
        <f t="shared" si="143"/>
        <v>858</v>
      </c>
      <c r="U430" s="183">
        <f t="shared" si="144"/>
        <v>429</v>
      </c>
      <c r="V430" s="183">
        <f t="shared" si="145"/>
        <v>858</v>
      </c>
      <c r="W430" s="12">
        <f>K430*属性价值参考!C$5+升级!L430*属性价值参考!C$6+升级!M430*属性价值参考!C$7+升级!N430*属性价值参考!C$8+升级!S430*属性价值参考!C$9+升级!T430*属性价值参考!C$10+升级!U430*属性价值参考!C$11+升级!V430*属性价值参考!C$12</f>
        <v>503371.43999999994</v>
      </c>
    </row>
    <row r="431" spans="1:23" x14ac:dyDescent="0.3">
      <c r="A431" s="22"/>
      <c r="B431" s="22"/>
      <c r="C431" s="27">
        <v>430</v>
      </c>
      <c r="D431" s="27" t="str">
        <f t="shared" si="131"/>
        <v>0#1#60200|0#2#2064|0#3#430|0#4#860|0#9#430|0#10#860|0#11#430|0#12#860</v>
      </c>
      <c r="E431" s="27" t="str">
        <f t="shared" si="132"/>
        <v>1#1#10033|1#2#103200|1#3#430|1#4#860|1#9#430|1#10#860|1#11#430|1#12#860</v>
      </c>
      <c r="F431" s="27" t="str">
        <f t="shared" si="133"/>
        <v>2#1#30100|2#2#51600|2#3#430|2#4#860|2#9#430|2#10#860|2#11#430|2#12#860</v>
      </c>
      <c r="G431" s="27" t="str">
        <f t="shared" si="134"/>
        <v>0#1#60200|0#2#2064|0#3#430|0#4#860|0#9#430|0#10#860|0#11#430|0#12#860|1#1#10033|1#2#103200|1#3#430|1#4#860|1#9#430|1#10#860|1#11#430|1#12#860|2#1#30100|2#2#51600|2#3#430|2#4#860|2#9#430|2#10#860|2#11#430|2#12#860</v>
      </c>
      <c r="H431" s="22"/>
      <c r="I431" s="28">
        <v>4200000000</v>
      </c>
      <c r="J431" s="198">
        <v>430</v>
      </c>
      <c r="K431" s="183">
        <f t="shared" si="130"/>
        <v>60200</v>
      </c>
      <c r="L431" s="183">
        <f t="shared" si="135"/>
        <v>103200</v>
      </c>
      <c r="M431" s="183">
        <f t="shared" si="136"/>
        <v>430</v>
      </c>
      <c r="N431" s="183">
        <f t="shared" si="137"/>
        <v>860</v>
      </c>
      <c r="O431" s="183">
        <f t="shared" si="138"/>
        <v>430</v>
      </c>
      <c r="P431" s="183">
        <f t="shared" si="139"/>
        <v>860</v>
      </c>
      <c r="Q431" s="183">
        <f t="shared" si="140"/>
        <v>430</v>
      </c>
      <c r="R431" s="183">
        <f t="shared" si="141"/>
        <v>860</v>
      </c>
      <c r="S431" s="183">
        <f t="shared" si="142"/>
        <v>430</v>
      </c>
      <c r="T431" s="183">
        <f t="shared" si="143"/>
        <v>860</v>
      </c>
      <c r="U431" s="183">
        <f t="shared" si="144"/>
        <v>430</v>
      </c>
      <c r="V431" s="183">
        <f t="shared" si="145"/>
        <v>860</v>
      </c>
      <c r="W431" s="12">
        <f>K431*属性价值参考!C$5+升级!L431*属性价值参考!C$6+升级!M431*属性价值参考!C$7+升级!N431*属性价值参考!C$8+升级!S431*属性价值参考!C$9+升级!T431*属性价值参考!C$10+升级!U431*属性价值参考!C$11+升级!V431*属性价值参考!C$12</f>
        <v>504544.8</v>
      </c>
    </row>
    <row r="432" spans="1:23" x14ac:dyDescent="0.3">
      <c r="A432" s="22"/>
      <c r="B432" s="22"/>
      <c r="C432" s="24">
        <v>431</v>
      </c>
      <c r="D432" s="27" t="str">
        <f t="shared" si="131"/>
        <v>0#1#60340|0#2#2068|0#3#431|0#4#862|0#9#431|0#10#862|0#11#431|0#12#862</v>
      </c>
      <c r="E432" s="27" t="str">
        <f t="shared" si="132"/>
        <v>1#1#10056|1#2#103440|1#3#431|1#4#862|1#9#431|1#10#862|1#11#431|1#12#862</v>
      </c>
      <c r="F432" s="27" t="str">
        <f t="shared" si="133"/>
        <v>2#1#30170|2#2#51720|2#3#431|2#4#862|2#9#431|2#10#862|2#11#431|2#12#862</v>
      </c>
      <c r="G432" s="27" t="str">
        <f t="shared" si="134"/>
        <v>0#1#60340|0#2#2068|0#3#431|0#4#862|0#9#431|0#10#862|0#11#431|0#12#862|1#1#10056|1#2#103440|1#3#431|1#4#862|1#9#431|1#10#862|1#11#431|1#12#862|2#1#30170|2#2#51720|2#3#431|2#4#862|2#9#431|2#10#862|2#11#431|2#12#862</v>
      </c>
      <c r="H432" s="22"/>
      <c r="I432" s="25">
        <v>4200000000</v>
      </c>
      <c r="J432" s="197">
        <v>431</v>
      </c>
      <c r="K432" s="183">
        <f t="shared" si="130"/>
        <v>60340</v>
      </c>
      <c r="L432" s="183">
        <f t="shared" si="135"/>
        <v>103440</v>
      </c>
      <c r="M432" s="183">
        <f t="shared" si="136"/>
        <v>431</v>
      </c>
      <c r="N432" s="183">
        <f t="shared" si="137"/>
        <v>862</v>
      </c>
      <c r="O432" s="183">
        <f t="shared" si="138"/>
        <v>431</v>
      </c>
      <c r="P432" s="183">
        <f t="shared" si="139"/>
        <v>862</v>
      </c>
      <c r="Q432" s="183">
        <f t="shared" si="140"/>
        <v>431</v>
      </c>
      <c r="R432" s="183">
        <f t="shared" si="141"/>
        <v>862</v>
      </c>
      <c r="S432" s="183">
        <f t="shared" si="142"/>
        <v>431</v>
      </c>
      <c r="T432" s="183">
        <f t="shared" si="143"/>
        <v>862</v>
      </c>
      <c r="U432" s="183">
        <f t="shared" si="144"/>
        <v>431</v>
      </c>
      <c r="V432" s="183">
        <f t="shared" si="145"/>
        <v>862</v>
      </c>
      <c r="W432" s="12">
        <f>K432*属性价值参考!C$5+升级!L432*属性价值参考!C$6+升级!M432*属性价值参考!C$7+升级!N432*属性价值参考!C$8+升级!S432*属性价值参考!C$9+升级!T432*属性价值参考!C$10+升级!U432*属性价值参考!C$11+升级!V432*属性价值参考!C$12</f>
        <v>505718.16000000009</v>
      </c>
    </row>
    <row r="433" spans="1:23" x14ac:dyDescent="0.3">
      <c r="A433" s="22"/>
      <c r="B433" s="22"/>
      <c r="C433" s="27">
        <v>432</v>
      </c>
      <c r="D433" s="27" t="str">
        <f t="shared" si="131"/>
        <v>0#1#60480|0#2#2073|0#3#432|0#4#864|0#9#432|0#10#864|0#11#432|0#12#864</v>
      </c>
      <c r="E433" s="27" t="str">
        <f t="shared" si="132"/>
        <v>1#1#10080|1#2#103680|1#3#432|1#4#864|1#9#432|1#10#864|1#11#432|1#12#864</v>
      </c>
      <c r="F433" s="27" t="str">
        <f t="shared" si="133"/>
        <v>2#1#30240|2#2#51840|2#3#432|2#4#864|2#9#432|2#10#864|2#11#432|2#12#864</v>
      </c>
      <c r="G433" s="27" t="str">
        <f t="shared" si="134"/>
        <v>0#1#60480|0#2#2073|0#3#432|0#4#864|0#9#432|0#10#864|0#11#432|0#12#864|1#1#10080|1#2#103680|1#3#432|1#4#864|1#9#432|1#10#864|1#11#432|1#12#864|2#1#30240|2#2#51840|2#3#432|2#4#864|2#9#432|2#10#864|2#11#432|2#12#864</v>
      </c>
      <c r="H433" s="22"/>
      <c r="I433" s="28">
        <v>4200000000</v>
      </c>
      <c r="J433" s="198">
        <v>432</v>
      </c>
      <c r="K433" s="183">
        <f t="shared" si="130"/>
        <v>60480</v>
      </c>
      <c r="L433" s="183">
        <f t="shared" si="135"/>
        <v>103680</v>
      </c>
      <c r="M433" s="183">
        <f t="shared" si="136"/>
        <v>432</v>
      </c>
      <c r="N433" s="183">
        <f t="shared" si="137"/>
        <v>864</v>
      </c>
      <c r="O433" s="183">
        <f t="shared" si="138"/>
        <v>432</v>
      </c>
      <c r="P433" s="183">
        <f t="shared" si="139"/>
        <v>864</v>
      </c>
      <c r="Q433" s="183">
        <f t="shared" si="140"/>
        <v>432</v>
      </c>
      <c r="R433" s="183">
        <f t="shared" si="141"/>
        <v>864</v>
      </c>
      <c r="S433" s="183">
        <f t="shared" si="142"/>
        <v>432</v>
      </c>
      <c r="T433" s="183">
        <f t="shared" si="143"/>
        <v>864</v>
      </c>
      <c r="U433" s="183">
        <f t="shared" si="144"/>
        <v>432</v>
      </c>
      <c r="V433" s="183">
        <f t="shared" si="145"/>
        <v>864</v>
      </c>
      <c r="W433" s="12">
        <f>K433*属性价值参考!C$5+升级!L433*属性价值参考!C$6+升级!M433*属性价值参考!C$7+升级!N433*属性价值参考!C$8+升级!S433*属性价值参考!C$9+升级!T433*属性价值参考!C$10+升级!U433*属性价值参考!C$11+升级!V433*属性价值参考!C$12</f>
        <v>506891.51999999996</v>
      </c>
    </row>
    <row r="434" spans="1:23" x14ac:dyDescent="0.3">
      <c r="A434" s="22"/>
      <c r="B434" s="22"/>
      <c r="C434" s="24">
        <v>433</v>
      </c>
      <c r="D434" s="27" t="str">
        <f t="shared" si="131"/>
        <v>0#1#60620|0#2#2078|0#3#433|0#4#866|0#9#433|0#10#866|0#11#433|0#12#866</v>
      </c>
      <c r="E434" s="27" t="str">
        <f t="shared" si="132"/>
        <v>1#1#10103|1#2#103920|1#3#433|1#4#866|1#9#433|1#10#866|1#11#433|1#12#866</v>
      </c>
      <c r="F434" s="27" t="str">
        <f t="shared" si="133"/>
        <v>2#1#30310|2#2#51960|2#3#433|2#4#866|2#9#433|2#10#866|2#11#433|2#12#866</v>
      </c>
      <c r="G434" s="27" t="str">
        <f t="shared" si="134"/>
        <v>0#1#60620|0#2#2078|0#3#433|0#4#866|0#9#433|0#10#866|0#11#433|0#12#866|1#1#10103|1#2#103920|1#3#433|1#4#866|1#9#433|1#10#866|1#11#433|1#12#866|2#1#30310|2#2#51960|2#3#433|2#4#866|2#9#433|2#10#866|2#11#433|2#12#866</v>
      </c>
      <c r="H434" s="22"/>
      <c r="I434" s="25">
        <v>4200000000</v>
      </c>
      <c r="J434" s="197">
        <v>433</v>
      </c>
      <c r="K434" s="183">
        <f t="shared" si="130"/>
        <v>60620</v>
      </c>
      <c r="L434" s="183">
        <f t="shared" si="135"/>
        <v>103920</v>
      </c>
      <c r="M434" s="183">
        <f t="shared" si="136"/>
        <v>433</v>
      </c>
      <c r="N434" s="183">
        <f t="shared" si="137"/>
        <v>866</v>
      </c>
      <c r="O434" s="183">
        <f t="shared" si="138"/>
        <v>433</v>
      </c>
      <c r="P434" s="183">
        <f t="shared" si="139"/>
        <v>866</v>
      </c>
      <c r="Q434" s="183">
        <f t="shared" si="140"/>
        <v>433</v>
      </c>
      <c r="R434" s="183">
        <f t="shared" si="141"/>
        <v>866</v>
      </c>
      <c r="S434" s="183">
        <f t="shared" si="142"/>
        <v>433</v>
      </c>
      <c r="T434" s="183">
        <f t="shared" si="143"/>
        <v>866</v>
      </c>
      <c r="U434" s="183">
        <f t="shared" si="144"/>
        <v>433</v>
      </c>
      <c r="V434" s="183">
        <f t="shared" si="145"/>
        <v>866</v>
      </c>
      <c r="W434" s="12">
        <f>K434*属性价值参考!C$5+升级!L434*属性价值参考!C$6+升级!M434*属性价值参考!C$7+升级!N434*属性价值参考!C$8+升级!S434*属性价值参考!C$9+升级!T434*属性价值参考!C$10+升级!U434*属性价值参考!C$11+升级!V434*属性价值参考!C$12</f>
        <v>508064.87999999995</v>
      </c>
    </row>
    <row r="435" spans="1:23" x14ac:dyDescent="0.3">
      <c r="A435" s="22"/>
      <c r="B435" s="22"/>
      <c r="C435" s="27">
        <v>434</v>
      </c>
      <c r="D435" s="27" t="str">
        <f t="shared" si="131"/>
        <v>0#1#60760|0#2#2083|0#3#434|0#4#868|0#9#434|0#10#868|0#11#434|0#12#868</v>
      </c>
      <c r="E435" s="27" t="str">
        <f t="shared" si="132"/>
        <v>1#1#10126|1#2#104160|1#3#434|1#4#868|1#9#434|1#10#868|1#11#434|1#12#868</v>
      </c>
      <c r="F435" s="27" t="str">
        <f t="shared" si="133"/>
        <v>2#1#30380|2#2#52080|2#3#434|2#4#868|2#9#434|2#10#868|2#11#434|2#12#868</v>
      </c>
      <c r="G435" s="27" t="str">
        <f t="shared" si="134"/>
        <v>0#1#60760|0#2#2083|0#3#434|0#4#868|0#9#434|0#10#868|0#11#434|0#12#868|1#1#10126|1#2#104160|1#3#434|1#4#868|1#9#434|1#10#868|1#11#434|1#12#868|2#1#30380|2#2#52080|2#3#434|2#4#868|2#9#434|2#10#868|2#11#434|2#12#868</v>
      </c>
      <c r="H435" s="22"/>
      <c r="I435" s="28">
        <v>4200000000</v>
      </c>
      <c r="J435" s="198">
        <v>434</v>
      </c>
      <c r="K435" s="183">
        <f t="shared" si="130"/>
        <v>60760</v>
      </c>
      <c r="L435" s="183">
        <f t="shared" si="135"/>
        <v>104160</v>
      </c>
      <c r="M435" s="183">
        <f t="shared" si="136"/>
        <v>434</v>
      </c>
      <c r="N435" s="183">
        <f t="shared" si="137"/>
        <v>868</v>
      </c>
      <c r="O435" s="183">
        <f t="shared" si="138"/>
        <v>434</v>
      </c>
      <c r="P435" s="183">
        <f t="shared" si="139"/>
        <v>868</v>
      </c>
      <c r="Q435" s="183">
        <f t="shared" si="140"/>
        <v>434</v>
      </c>
      <c r="R435" s="183">
        <f t="shared" si="141"/>
        <v>868</v>
      </c>
      <c r="S435" s="183">
        <f t="shared" si="142"/>
        <v>434</v>
      </c>
      <c r="T435" s="183">
        <f t="shared" si="143"/>
        <v>868</v>
      </c>
      <c r="U435" s="183">
        <f t="shared" si="144"/>
        <v>434</v>
      </c>
      <c r="V435" s="183">
        <f t="shared" si="145"/>
        <v>868</v>
      </c>
      <c r="W435" s="12">
        <f>K435*属性价值参考!C$5+升级!L435*属性价值参考!C$6+升级!M435*属性价值参考!C$7+升级!N435*属性价值参考!C$8+升级!S435*属性价值参考!C$9+升级!T435*属性价值参考!C$10+升级!U435*属性价值参考!C$11+升级!V435*属性价值参考!C$12</f>
        <v>509238.23999999987</v>
      </c>
    </row>
    <row r="436" spans="1:23" x14ac:dyDescent="0.3">
      <c r="A436" s="22"/>
      <c r="B436" s="22"/>
      <c r="C436" s="24">
        <v>435</v>
      </c>
      <c r="D436" s="27" t="str">
        <f t="shared" si="131"/>
        <v>0#1#60900|0#2#2088|0#3#435|0#4#870|0#9#435|0#10#870|0#11#435|0#12#870</v>
      </c>
      <c r="E436" s="27" t="str">
        <f t="shared" si="132"/>
        <v>1#1#10150|1#2#104400|1#3#435|1#4#870|1#9#435|1#10#870|1#11#435|1#12#870</v>
      </c>
      <c r="F436" s="27" t="str">
        <f t="shared" si="133"/>
        <v>2#1#30450|2#2#52200|2#3#435|2#4#870|2#9#435|2#10#870|2#11#435|2#12#870</v>
      </c>
      <c r="G436" s="27" t="str">
        <f t="shared" si="134"/>
        <v>0#1#60900|0#2#2088|0#3#435|0#4#870|0#9#435|0#10#870|0#11#435|0#12#870|1#1#10150|1#2#104400|1#3#435|1#4#870|1#9#435|1#10#870|1#11#435|1#12#870|2#1#30450|2#2#52200|2#3#435|2#4#870|2#9#435|2#10#870|2#11#435|2#12#870</v>
      </c>
      <c r="H436" s="22"/>
      <c r="I436" s="25">
        <v>4200000000</v>
      </c>
      <c r="J436" s="197">
        <v>435</v>
      </c>
      <c r="K436" s="183">
        <f t="shared" si="130"/>
        <v>60900</v>
      </c>
      <c r="L436" s="183">
        <f t="shared" si="135"/>
        <v>104400</v>
      </c>
      <c r="M436" s="183">
        <f t="shared" si="136"/>
        <v>435</v>
      </c>
      <c r="N436" s="183">
        <f t="shared" si="137"/>
        <v>870</v>
      </c>
      <c r="O436" s="183">
        <f t="shared" si="138"/>
        <v>435</v>
      </c>
      <c r="P436" s="183">
        <f t="shared" si="139"/>
        <v>870</v>
      </c>
      <c r="Q436" s="183">
        <f t="shared" si="140"/>
        <v>435</v>
      </c>
      <c r="R436" s="183">
        <f t="shared" si="141"/>
        <v>870</v>
      </c>
      <c r="S436" s="183">
        <f t="shared" si="142"/>
        <v>435</v>
      </c>
      <c r="T436" s="183">
        <f t="shared" si="143"/>
        <v>870</v>
      </c>
      <c r="U436" s="183">
        <f t="shared" si="144"/>
        <v>435</v>
      </c>
      <c r="V436" s="183">
        <f t="shared" si="145"/>
        <v>870</v>
      </c>
      <c r="W436" s="12">
        <f>K436*属性价值参考!C$5+升级!L436*属性价值参考!C$6+升级!M436*属性价值参考!C$7+升级!N436*属性价值参考!C$8+升级!S436*属性价值参考!C$9+升级!T436*属性价值参考!C$10+升级!U436*属性价值参考!C$11+升级!V436*属性价值参考!C$12</f>
        <v>510411.6</v>
      </c>
    </row>
    <row r="437" spans="1:23" x14ac:dyDescent="0.3">
      <c r="A437" s="22"/>
      <c r="B437" s="22"/>
      <c r="C437" s="27">
        <v>436</v>
      </c>
      <c r="D437" s="27" t="str">
        <f t="shared" si="131"/>
        <v>0#1#61040|0#2#2092|0#3#436|0#4#872|0#9#436|0#10#872|0#11#436|0#12#872</v>
      </c>
      <c r="E437" s="27" t="str">
        <f t="shared" si="132"/>
        <v>1#1#10173|1#2#104640|1#3#436|1#4#872|1#9#436|1#10#872|1#11#436|1#12#872</v>
      </c>
      <c r="F437" s="27" t="str">
        <f t="shared" si="133"/>
        <v>2#1#30520|2#2#52320|2#3#436|2#4#872|2#9#436|2#10#872|2#11#436|2#12#872</v>
      </c>
      <c r="G437" s="27" t="str">
        <f t="shared" si="134"/>
        <v>0#1#61040|0#2#2092|0#3#436|0#4#872|0#9#436|0#10#872|0#11#436|0#12#872|1#1#10173|1#2#104640|1#3#436|1#4#872|1#9#436|1#10#872|1#11#436|1#12#872|2#1#30520|2#2#52320|2#3#436|2#4#872|2#9#436|2#10#872|2#11#436|2#12#872</v>
      </c>
      <c r="H437" s="22"/>
      <c r="I437" s="28">
        <v>4200000000</v>
      </c>
      <c r="J437" s="198">
        <v>436</v>
      </c>
      <c r="K437" s="183">
        <f t="shared" si="130"/>
        <v>61040</v>
      </c>
      <c r="L437" s="183">
        <f t="shared" si="135"/>
        <v>104640</v>
      </c>
      <c r="M437" s="183">
        <f t="shared" si="136"/>
        <v>436</v>
      </c>
      <c r="N437" s="183">
        <f t="shared" si="137"/>
        <v>872</v>
      </c>
      <c r="O437" s="183">
        <f t="shared" si="138"/>
        <v>436</v>
      </c>
      <c r="P437" s="183">
        <f t="shared" si="139"/>
        <v>872</v>
      </c>
      <c r="Q437" s="183">
        <f t="shared" si="140"/>
        <v>436</v>
      </c>
      <c r="R437" s="183">
        <f t="shared" si="141"/>
        <v>872</v>
      </c>
      <c r="S437" s="183">
        <f t="shared" si="142"/>
        <v>436</v>
      </c>
      <c r="T437" s="183">
        <f t="shared" si="143"/>
        <v>872</v>
      </c>
      <c r="U437" s="183">
        <f t="shared" si="144"/>
        <v>436</v>
      </c>
      <c r="V437" s="183">
        <f t="shared" si="145"/>
        <v>872</v>
      </c>
      <c r="W437" s="12">
        <f>K437*属性价值参考!C$5+升级!L437*属性价值参考!C$6+升级!M437*属性价值参考!C$7+升级!N437*属性价值参考!C$8+升级!S437*属性价值参考!C$9+升级!T437*属性价值参考!C$10+升级!U437*属性价值参考!C$11+升级!V437*属性价值参考!C$12</f>
        <v>511584.96000000014</v>
      </c>
    </row>
    <row r="438" spans="1:23" x14ac:dyDescent="0.3">
      <c r="A438" s="22"/>
      <c r="B438" s="22"/>
      <c r="C438" s="24">
        <v>437</v>
      </c>
      <c r="D438" s="27" t="str">
        <f t="shared" si="131"/>
        <v>0#1#61180|0#2#2097|0#3#437|0#4#874|0#9#437|0#10#874|0#11#437|0#12#874</v>
      </c>
      <c r="E438" s="27" t="str">
        <f t="shared" si="132"/>
        <v>1#1#10196|1#2#104880|1#3#437|1#4#874|1#9#437|1#10#874|1#11#437|1#12#874</v>
      </c>
      <c r="F438" s="27" t="str">
        <f t="shared" si="133"/>
        <v>2#1#30590|2#2#52440|2#3#437|2#4#874|2#9#437|2#10#874|2#11#437|2#12#874</v>
      </c>
      <c r="G438" s="27" t="str">
        <f t="shared" si="134"/>
        <v>0#1#61180|0#2#2097|0#3#437|0#4#874|0#9#437|0#10#874|0#11#437|0#12#874|1#1#10196|1#2#104880|1#3#437|1#4#874|1#9#437|1#10#874|1#11#437|1#12#874|2#1#30590|2#2#52440|2#3#437|2#4#874|2#9#437|2#10#874|2#11#437|2#12#874</v>
      </c>
      <c r="H438" s="22"/>
      <c r="I438" s="25">
        <v>4200000000</v>
      </c>
      <c r="J438" s="197">
        <v>437</v>
      </c>
      <c r="K438" s="183">
        <f t="shared" si="130"/>
        <v>61180</v>
      </c>
      <c r="L438" s="183">
        <f t="shared" si="135"/>
        <v>104880</v>
      </c>
      <c r="M438" s="183">
        <f t="shared" si="136"/>
        <v>437</v>
      </c>
      <c r="N438" s="183">
        <f t="shared" si="137"/>
        <v>874</v>
      </c>
      <c r="O438" s="183">
        <f t="shared" si="138"/>
        <v>437</v>
      </c>
      <c r="P438" s="183">
        <f t="shared" si="139"/>
        <v>874</v>
      </c>
      <c r="Q438" s="183">
        <f t="shared" si="140"/>
        <v>437</v>
      </c>
      <c r="R438" s="183">
        <f t="shared" si="141"/>
        <v>874</v>
      </c>
      <c r="S438" s="183">
        <f t="shared" si="142"/>
        <v>437</v>
      </c>
      <c r="T438" s="183">
        <f t="shared" si="143"/>
        <v>874</v>
      </c>
      <c r="U438" s="183">
        <f t="shared" si="144"/>
        <v>437</v>
      </c>
      <c r="V438" s="183">
        <f t="shared" si="145"/>
        <v>874</v>
      </c>
      <c r="W438" s="12">
        <f>K438*属性价值参考!C$5+升级!L438*属性价值参考!C$6+升级!M438*属性价值参考!C$7+升级!N438*属性价值参考!C$8+升级!S438*属性价值参考!C$9+升级!T438*属性价值参考!C$10+升级!U438*属性价值参考!C$11+升级!V438*属性价值参考!C$12</f>
        <v>512758.32</v>
      </c>
    </row>
    <row r="439" spans="1:23" x14ac:dyDescent="0.3">
      <c r="A439" s="22"/>
      <c r="B439" s="22"/>
      <c r="C439" s="27">
        <v>438</v>
      </c>
      <c r="D439" s="27" t="str">
        <f t="shared" si="131"/>
        <v>0#1#61320|0#2#2102|0#3#438|0#4#876|0#9#438|0#10#876|0#11#438|0#12#876</v>
      </c>
      <c r="E439" s="27" t="str">
        <f t="shared" si="132"/>
        <v>1#1#10220|1#2#105120|1#3#438|1#4#876|1#9#438|1#10#876|1#11#438|1#12#876</v>
      </c>
      <c r="F439" s="27" t="str">
        <f t="shared" si="133"/>
        <v>2#1#30660|2#2#52560|2#3#438|2#4#876|2#9#438|2#10#876|2#11#438|2#12#876</v>
      </c>
      <c r="G439" s="27" t="str">
        <f t="shared" si="134"/>
        <v>0#1#61320|0#2#2102|0#3#438|0#4#876|0#9#438|0#10#876|0#11#438|0#12#876|1#1#10220|1#2#105120|1#3#438|1#4#876|1#9#438|1#10#876|1#11#438|1#12#876|2#1#30660|2#2#52560|2#3#438|2#4#876|2#9#438|2#10#876|2#11#438|2#12#876</v>
      </c>
      <c r="H439" s="22"/>
      <c r="I439" s="28">
        <v>4200000000</v>
      </c>
      <c r="J439" s="198">
        <v>438</v>
      </c>
      <c r="K439" s="183">
        <f t="shared" si="130"/>
        <v>61320</v>
      </c>
      <c r="L439" s="183">
        <f t="shared" si="135"/>
        <v>105120</v>
      </c>
      <c r="M439" s="183">
        <f t="shared" si="136"/>
        <v>438</v>
      </c>
      <c r="N439" s="183">
        <f t="shared" si="137"/>
        <v>876</v>
      </c>
      <c r="O439" s="183">
        <f t="shared" si="138"/>
        <v>438</v>
      </c>
      <c r="P439" s="183">
        <f t="shared" si="139"/>
        <v>876</v>
      </c>
      <c r="Q439" s="183">
        <f t="shared" si="140"/>
        <v>438</v>
      </c>
      <c r="R439" s="183">
        <f t="shared" si="141"/>
        <v>876</v>
      </c>
      <c r="S439" s="183">
        <f t="shared" si="142"/>
        <v>438</v>
      </c>
      <c r="T439" s="183">
        <f t="shared" si="143"/>
        <v>876</v>
      </c>
      <c r="U439" s="183">
        <f t="shared" si="144"/>
        <v>438</v>
      </c>
      <c r="V439" s="183">
        <f t="shared" si="145"/>
        <v>876</v>
      </c>
      <c r="W439" s="12">
        <f>K439*属性价值参考!C$5+升级!L439*属性价值参考!C$6+升级!M439*属性价值参考!C$7+升级!N439*属性价值参考!C$8+升级!S439*属性价值参考!C$9+升级!T439*属性价值参考!C$10+升级!U439*属性价值参考!C$11+升级!V439*属性价值参考!C$12</f>
        <v>513931.67999999993</v>
      </c>
    </row>
    <row r="440" spans="1:23" x14ac:dyDescent="0.3">
      <c r="A440" s="22"/>
      <c r="B440" s="22"/>
      <c r="C440" s="24">
        <v>439</v>
      </c>
      <c r="D440" s="27" t="str">
        <f t="shared" si="131"/>
        <v>0#1#61460|0#2#2107|0#3#439|0#4#878|0#9#439|0#10#878|0#11#439|0#12#878</v>
      </c>
      <c r="E440" s="27" t="str">
        <f t="shared" si="132"/>
        <v>1#1#10243|1#2#105360|1#3#439|1#4#878|1#9#439|1#10#878|1#11#439|1#12#878</v>
      </c>
      <c r="F440" s="27" t="str">
        <f t="shared" si="133"/>
        <v>2#1#30730|2#2#52680|2#3#439|2#4#878|2#9#439|2#10#878|2#11#439|2#12#878</v>
      </c>
      <c r="G440" s="27" t="str">
        <f t="shared" si="134"/>
        <v>0#1#61460|0#2#2107|0#3#439|0#4#878|0#9#439|0#10#878|0#11#439|0#12#878|1#1#10243|1#2#105360|1#3#439|1#4#878|1#9#439|1#10#878|1#11#439|1#12#878|2#1#30730|2#2#52680|2#3#439|2#4#878|2#9#439|2#10#878|2#11#439|2#12#878</v>
      </c>
      <c r="H440" s="22"/>
      <c r="I440" s="25">
        <v>4200000000</v>
      </c>
      <c r="J440" s="197">
        <v>439</v>
      </c>
      <c r="K440" s="183">
        <f t="shared" si="130"/>
        <v>61460</v>
      </c>
      <c r="L440" s="183">
        <f t="shared" si="135"/>
        <v>105360</v>
      </c>
      <c r="M440" s="183">
        <f t="shared" si="136"/>
        <v>439</v>
      </c>
      <c r="N440" s="183">
        <f t="shared" si="137"/>
        <v>878</v>
      </c>
      <c r="O440" s="183">
        <f t="shared" si="138"/>
        <v>439</v>
      </c>
      <c r="P440" s="183">
        <f t="shared" si="139"/>
        <v>878</v>
      </c>
      <c r="Q440" s="183">
        <f t="shared" si="140"/>
        <v>439</v>
      </c>
      <c r="R440" s="183">
        <f t="shared" si="141"/>
        <v>878</v>
      </c>
      <c r="S440" s="183">
        <f t="shared" si="142"/>
        <v>439</v>
      </c>
      <c r="T440" s="183">
        <f t="shared" si="143"/>
        <v>878</v>
      </c>
      <c r="U440" s="183">
        <f t="shared" si="144"/>
        <v>439</v>
      </c>
      <c r="V440" s="183">
        <f t="shared" si="145"/>
        <v>878</v>
      </c>
      <c r="W440" s="12">
        <f>K440*属性价值参考!C$5+升级!L440*属性价值参考!C$6+升级!M440*属性价值参考!C$7+升级!N440*属性价值参考!C$8+升级!S440*属性价值参考!C$9+升级!T440*属性价值参考!C$10+升级!U440*属性价值参考!C$11+升级!V440*属性价值参考!C$12</f>
        <v>515105.03999999992</v>
      </c>
    </row>
    <row r="441" spans="1:23" x14ac:dyDescent="0.3">
      <c r="A441" s="22"/>
      <c r="B441" s="22"/>
      <c r="C441" s="27">
        <v>440</v>
      </c>
      <c r="D441" s="27" t="str">
        <f t="shared" si="131"/>
        <v>0#1#61600|0#2#2112|0#3#440|0#4#880|0#9#440|0#10#880|0#11#440|0#12#880</v>
      </c>
      <c r="E441" s="27" t="str">
        <f t="shared" si="132"/>
        <v>1#1#10266|1#2#105600|1#3#440|1#4#880|1#9#440|1#10#880|1#11#440|1#12#880</v>
      </c>
      <c r="F441" s="27" t="str">
        <f t="shared" si="133"/>
        <v>2#1#30800|2#2#52800|2#3#440|2#4#880|2#9#440|2#10#880|2#11#440|2#12#880</v>
      </c>
      <c r="G441" s="27" t="str">
        <f t="shared" si="134"/>
        <v>0#1#61600|0#2#2112|0#3#440|0#4#880|0#9#440|0#10#880|0#11#440|0#12#880|1#1#10266|1#2#105600|1#3#440|1#4#880|1#9#440|1#10#880|1#11#440|1#12#880|2#1#30800|2#2#52800|2#3#440|2#4#880|2#9#440|2#10#880|2#11#440|2#12#880</v>
      </c>
      <c r="H441" s="22"/>
      <c r="I441" s="28">
        <v>4200000000</v>
      </c>
      <c r="J441" s="198">
        <v>440</v>
      </c>
      <c r="K441" s="183">
        <f t="shared" si="130"/>
        <v>61600</v>
      </c>
      <c r="L441" s="183">
        <f t="shared" si="135"/>
        <v>105600</v>
      </c>
      <c r="M441" s="183">
        <f t="shared" si="136"/>
        <v>440</v>
      </c>
      <c r="N441" s="183">
        <f t="shared" si="137"/>
        <v>880</v>
      </c>
      <c r="O441" s="183">
        <f t="shared" si="138"/>
        <v>440</v>
      </c>
      <c r="P441" s="183">
        <f t="shared" si="139"/>
        <v>880</v>
      </c>
      <c r="Q441" s="183">
        <f t="shared" si="140"/>
        <v>440</v>
      </c>
      <c r="R441" s="183">
        <f t="shared" si="141"/>
        <v>880</v>
      </c>
      <c r="S441" s="183">
        <f t="shared" si="142"/>
        <v>440</v>
      </c>
      <c r="T441" s="183">
        <f t="shared" si="143"/>
        <v>880</v>
      </c>
      <c r="U441" s="183">
        <f t="shared" si="144"/>
        <v>440</v>
      </c>
      <c r="V441" s="183">
        <f t="shared" si="145"/>
        <v>880</v>
      </c>
      <c r="W441" s="12">
        <f>K441*属性价值参考!C$5+升级!L441*属性价值参考!C$6+升级!M441*属性价值参考!C$7+升级!N441*属性价值参考!C$8+升级!S441*属性价值参考!C$9+升级!T441*属性价值参考!C$10+升级!U441*属性价值参考!C$11+升级!V441*属性价值参考!C$12</f>
        <v>516278.4</v>
      </c>
    </row>
    <row r="442" spans="1:23" x14ac:dyDescent="0.3">
      <c r="A442" s="22"/>
      <c r="B442" s="22"/>
      <c r="C442" s="24">
        <v>441</v>
      </c>
      <c r="D442" s="27" t="str">
        <f t="shared" si="131"/>
        <v>0#1#61740|0#2#2116|0#3#441|0#4#882|0#9#441|0#10#882|0#11#441|0#12#882</v>
      </c>
      <c r="E442" s="27" t="str">
        <f t="shared" si="132"/>
        <v>1#1#10290|1#2#105840|1#3#441|1#4#882|1#9#441|1#10#882|1#11#441|1#12#882</v>
      </c>
      <c r="F442" s="27" t="str">
        <f t="shared" si="133"/>
        <v>2#1#30870|2#2#52920|2#3#441|2#4#882|2#9#441|2#10#882|2#11#441|2#12#882</v>
      </c>
      <c r="G442" s="27" t="str">
        <f t="shared" si="134"/>
        <v>0#1#61740|0#2#2116|0#3#441|0#4#882|0#9#441|0#10#882|0#11#441|0#12#882|1#1#10290|1#2#105840|1#3#441|1#4#882|1#9#441|1#10#882|1#11#441|1#12#882|2#1#30870|2#2#52920|2#3#441|2#4#882|2#9#441|2#10#882|2#11#441|2#12#882</v>
      </c>
      <c r="H442" s="22"/>
      <c r="I442" s="25">
        <v>4200000000</v>
      </c>
      <c r="J442" s="197">
        <v>441</v>
      </c>
      <c r="K442" s="183">
        <f t="shared" si="130"/>
        <v>61740</v>
      </c>
      <c r="L442" s="183">
        <f t="shared" si="135"/>
        <v>105840</v>
      </c>
      <c r="M442" s="183">
        <f t="shared" si="136"/>
        <v>441</v>
      </c>
      <c r="N442" s="183">
        <f t="shared" si="137"/>
        <v>882</v>
      </c>
      <c r="O442" s="183">
        <f t="shared" si="138"/>
        <v>441</v>
      </c>
      <c r="P442" s="183">
        <f t="shared" si="139"/>
        <v>882</v>
      </c>
      <c r="Q442" s="183">
        <f t="shared" si="140"/>
        <v>441</v>
      </c>
      <c r="R442" s="183">
        <f t="shared" si="141"/>
        <v>882</v>
      </c>
      <c r="S442" s="183">
        <f t="shared" si="142"/>
        <v>441</v>
      </c>
      <c r="T442" s="183">
        <f t="shared" si="143"/>
        <v>882</v>
      </c>
      <c r="U442" s="183">
        <f t="shared" si="144"/>
        <v>441</v>
      </c>
      <c r="V442" s="183">
        <f t="shared" si="145"/>
        <v>882</v>
      </c>
      <c r="W442" s="12">
        <f>K442*属性价值参考!C$5+升级!L442*属性价值参考!C$6+升级!M442*属性价值参考!C$7+升级!N442*属性价值参考!C$8+升级!S442*属性价值参考!C$9+升级!T442*属性价值参考!C$10+升级!U442*属性价值参考!C$11+升级!V442*属性价值参考!C$12</f>
        <v>517451.76000000007</v>
      </c>
    </row>
    <row r="443" spans="1:23" x14ac:dyDescent="0.3">
      <c r="A443" s="22"/>
      <c r="B443" s="22"/>
      <c r="C443" s="27">
        <v>442</v>
      </c>
      <c r="D443" s="27" t="str">
        <f t="shared" si="131"/>
        <v>0#1#61880|0#2#2121|0#3#442|0#4#884|0#9#442|0#10#884|0#11#442|0#12#884</v>
      </c>
      <c r="E443" s="27" t="str">
        <f t="shared" si="132"/>
        <v>1#1#10313|1#2#106080|1#3#442|1#4#884|1#9#442|1#10#884|1#11#442|1#12#884</v>
      </c>
      <c r="F443" s="27" t="str">
        <f t="shared" si="133"/>
        <v>2#1#30940|2#2#53040|2#3#442|2#4#884|2#9#442|2#10#884|2#11#442|2#12#884</v>
      </c>
      <c r="G443" s="27" t="str">
        <f t="shared" si="134"/>
        <v>0#1#61880|0#2#2121|0#3#442|0#4#884|0#9#442|0#10#884|0#11#442|0#12#884|1#1#10313|1#2#106080|1#3#442|1#4#884|1#9#442|1#10#884|1#11#442|1#12#884|2#1#30940|2#2#53040|2#3#442|2#4#884|2#9#442|2#10#884|2#11#442|2#12#884</v>
      </c>
      <c r="H443" s="22"/>
      <c r="I443" s="28">
        <v>4200000000</v>
      </c>
      <c r="J443" s="198">
        <v>442</v>
      </c>
      <c r="K443" s="183">
        <f t="shared" si="130"/>
        <v>61880</v>
      </c>
      <c r="L443" s="183">
        <f t="shared" si="135"/>
        <v>106080</v>
      </c>
      <c r="M443" s="183">
        <f t="shared" si="136"/>
        <v>442</v>
      </c>
      <c r="N443" s="183">
        <f t="shared" si="137"/>
        <v>884</v>
      </c>
      <c r="O443" s="183">
        <f t="shared" si="138"/>
        <v>442</v>
      </c>
      <c r="P443" s="183">
        <f t="shared" si="139"/>
        <v>884</v>
      </c>
      <c r="Q443" s="183">
        <f t="shared" si="140"/>
        <v>442</v>
      </c>
      <c r="R443" s="183">
        <f t="shared" si="141"/>
        <v>884</v>
      </c>
      <c r="S443" s="183">
        <f t="shared" si="142"/>
        <v>442</v>
      </c>
      <c r="T443" s="183">
        <f t="shared" si="143"/>
        <v>884</v>
      </c>
      <c r="U443" s="183">
        <f t="shared" si="144"/>
        <v>442</v>
      </c>
      <c r="V443" s="183">
        <f t="shared" si="145"/>
        <v>884</v>
      </c>
      <c r="W443" s="12">
        <f>K443*属性价值参考!C$5+升级!L443*属性价值参考!C$6+升级!M443*属性价值参考!C$7+升级!N443*属性价值参考!C$8+升级!S443*属性价值参考!C$9+升级!T443*属性价值参考!C$10+升级!U443*属性价值参考!C$11+升级!V443*属性价值参考!C$12</f>
        <v>518625.12</v>
      </c>
    </row>
    <row r="444" spans="1:23" x14ac:dyDescent="0.3">
      <c r="A444" s="22"/>
      <c r="B444" s="22"/>
      <c r="C444" s="24">
        <v>443</v>
      </c>
      <c r="D444" s="27" t="str">
        <f t="shared" si="131"/>
        <v>0#1#62020|0#2#2126|0#3#443|0#4#886|0#9#443|0#10#886|0#11#443|0#12#886</v>
      </c>
      <c r="E444" s="27" t="str">
        <f t="shared" si="132"/>
        <v>1#1#10336|1#2#106320|1#3#443|1#4#886|1#9#443|1#10#886|1#11#443|1#12#886</v>
      </c>
      <c r="F444" s="27" t="str">
        <f t="shared" si="133"/>
        <v>2#1#31010|2#2#53160|2#3#443|2#4#886|2#9#443|2#10#886|2#11#443|2#12#886</v>
      </c>
      <c r="G444" s="27" t="str">
        <f t="shared" si="134"/>
        <v>0#1#62020|0#2#2126|0#3#443|0#4#886|0#9#443|0#10#886|0#11#443|0#12#886|1#1#10336|1#2#106320|1#3#443|1#4#886|1#9#443|1#10#886|1#11#443|1#12#886|2#1#31010|2#2#53160|2#3#443|2#4#886|2#9#443|2#10#886|2#11#443|2#12#886</v>
      </c>
      <c r="H444" s="22"/>
      <c r="I444" s="25">
        <v>4200000000</v>
      </c>
      <c r="J444" s="197">
        <v>443</v>
      </c>
      <c r="K444" s="183">
        <f t="shared" si="130"/>
        <v>62020</v>
      </c>
      <c r="L444" s="183">
        <f t="shared" si="135"/>
        <v>106320</v>
      </c>
      <c r="M444" s="183">
        <f t="shared" si="136"/>
        <v>443</v>
      </c>
      <c r="N444" s="183">
        <f t="shared" si="137"/>
        <v>886</v>
      </c>
      <c r="O444" s="183">
        <f t="shared" si="138"/>
        <v>443</v>
      </c>
      <c r="P444" s="183">
        <f t="shared" si="139"/>
        <v>886</v>
      </c>
      <c r="Q444" s="183">
        <f t="shared" si="140"/>
        <v>443</v>
      </c>
      <c r="R444" s="183">
        <f t="shared" si="141"/>
        <v>886</v>
      </c>
      <c r="S444" s="183">
        <f t="shared" si="142"/>
        <v>443</v>
      </c>
      <c r="T444" s="183">
        <f t="shared" si="143"/>
        <v>886</v>
      </c>
      <c r="U444" s="183">
        <f t="shared" si="144"/>
        <v>443</v>
      </c>
      <c r="V444" s="183">
        <f t="shared" si="145"/>
        <v>886</v>
      </c>
      <c r="W444" s="12">
        <f>K444*属性价值参考!C$5+升级!L444*属性价值参考!C$6+升级!M444*属性价值参考!C$7+升级!N444*属性价值参考!C$8+升级!S444*属性价值参考!C$9+升级!T444*属性价值参考!C$10+升级!U444*属性价值参考!C$11+升级!V444*属性价值参考!C$12</f>
        <v>519798.47999999992</v>
      </c>
    </row>
    <row r="445" spans="1:23" x14ac:dyDescent="0.3">
      <c r="A445" s="22"/>
      <c r="B445" s="22"/>
      <c r="C445" s="27">
        <v>444</v>
      </c>
      <c r="D445" s="27" t="str">
        <f t="shared" si="131"/>
        <v>0#1#62160|0#2#2131|0#3#444|0#4#888|0#9#444|0#10#888|0#11#444|0#12#888</v>
      </c>
      <c r="E445" s="27" t="str">
        <f t="shared" si="132"/>
        <v>1#1#10360|1#2#106560|1#3#444|1#4#888|1#9#444|1#10#888|1#11#444|1#12#888</v>
      </c>
      <c r="F445" s="27" t="str">
        <f t="shared" si="133"/>
        <v>2#1#31080|2#2#53280|2#3#444|2#4#888|2#9#444|2#10#888|2#11#444|2#12#888</v>
      </c>
      <c r="G445" s="27" t="str">
        <f t="shared" si="134"/>
        <v>0#1#62160|0#2#2131|0#3#444|0#4#888|0#9#444|0#10#888|0#11#444|0#12#888|1#1#10360|1#2#106560|1#3#444|1#4#888|1#9#444|1#10#888|1#11#444|1#12#888|2#1#31080|2#2#53280|2#3#444|2#4#888|2#9#444|2#10#888|2#11#444|2#12#888</v>
      </c>
      <c r="H445" s="22"/>
      <c r="I445" s="28">
        <v>4200000000</v>
      </c>
      <c r="J445" s="198">
        <v>444</v>
      </c>
      <c r="K445" s="183">
        <f t="shared" ref="K445:K501" si="146">INT(J445/250*K$251)</f>
        <v>62160</v>
      </c>
      <c r="L445" s="183">
        <f t="shared" si="135"/>
        <v>106560</v>
      </c>
      <c r="M445" s="183">
        <f t="shared" si="136"/>
        <v>444</v>
      </c>
      <c r="N445" s="183">
        <f t="shared" si="137"/>
        <v>888</v>
      </c>
      <c r="O445" s="183">
        <f t="shared" si="138"/>
        <v>444</v>
      </c>
      <c r="P445" s="183">
        <f t="shared" si="139"/>
        <v>888</v>
      </c>
      <c r="Q445" s="183">
        <f t="shared" si="140"/>
        <v>444</v>
      </c>
      <c r="R445" s="183">
        <f t="shared" si="141"/>
        <v>888</v>
      </c>
      <c r="S445" s="183">
        <f t="shared" si="142"/>
        <v>444</v>
      </c>
      <c r="T445" s="183">
        <f t="shared" si="143"/>
        <v>888</v>
      </c>
      <c r="U445" s="183">
        <f t="shared" si="144"/>
        <v>444</v>
      </c>
      <c r="V445" s="183">
        <f t="shared" si="145"/>
        <v>888</v>
      </c>
      <c r="W445" s="12">
        <f>K445*属性价值参考!C$5+升级!L445*属性价值参考!C$6+升级!M445*属性价值参考!C$7+升级!N445*属性价值参考!C$8+升级!S445*属性价值参考!C$9+升级!T445*属性价值参考!C$10+升级!U445*属性价值参考!C$11+升级!V445*属性价值参考!C$12</f>
        <v>520971.83999999997</v>
      </c>
    </row>
    <row r="446" spans="1:23" x14ac:dyDescent="0.3">
      <c r="A446" s="22"/>
      <c r="B446" s="22"/>
      <c r="C446" s="24">
        <v>445</v>
      </c>
      <c r="D446" s="27" t="str">
        <f t="shared" si="131"/>
        <v>0#1#62300|0#2#2136|0#3#445|0#4#890|0#9#445|0#10#890|0#11#445|0#12#890</v>
      </c>
      <c r="E446" s="27" t="str">
        <f t="shared" si="132"/>
        <v>1#1#10383|1#2#106800|1#3#445|1#4#890|1#9#445|1#10#890|1#11#445|1#12#890</v>
      </c>
      <c r="F446" s="27" t="str">
        <f t="shared" si="133"/>
        <v>2#1#31150|2#2#53400|2#3#445|2#4#890|2#9#445|2#10#890|2#11#445|2#12#890</v>
      </c>
      <c r="G446" s="27" t="str">
        <f t="shared" si="134"/>
        <v>0#1#62300|0#2#2136|0#3#445|0#4#890|0#9#445|0#10#890|0#11#445|0#12#890|1#1#10383|1#2#106800|1#3#445|1#4#890|1#9#445|1#10#890|1#11#445|1#12#890|2#1#31150|2#2#53400|2#3#445|2#4#890|2#9#445|2#10#890|2#11#445|2#12#890</v>
      </c>
      <c r="H446" s="22"/>
      <c r="I446" s="25">
        <v>4200000000</v>
      </c>
      <c r="J446" s="197">
        <v>445</v>
      </c>
      <c r="K446" s="183">
        <f t="shared" si="146"/>
        <v>62300</v>
      </c>
      <c r="L446" s="183">
        <f t="shared" si="135"/>
        <v>106800</v>
      </c>
      <c r="M446" s="183">
        <f t="shared" si="136"/>
        <v>445</v>
      </c>
      <c r="N446" s="183">
        <f t="shared" si="137"/>
        <v>890</v>
      </c>
      <c r="O446" s="183">
        <f t="shared" si="138"/>
        <v>445</v>
      </c>
      <c r="P446" s="183">
        <f t="shared" si="139"/>
        <v>890</v>
      </c>
      <c r="Q446" s="183">
        <f t="shared" si="140"/>
        <v>445</v>
      </c>
      <c r="R446" s="183">
        <f t="shared" si="141"/>
        <v>890</v>
      </c>
      <c r="S446" s="183">
        <f t="shared" si="142"/>
        <v>445</v>
      </c>
      <c r="T446" s="183">
        <f t="shared" si="143"/>
        <v>890</v>
      </c>
      <c r="U446" s="183">
        <f t="shared" si="144"/>
        <v>445</v>
      </c>
      <c r="V446" s="183">
        <f t="shared" si="145"/>
        <v>890</v>
      </c>
      <c r="W446" s="12">
        <f>K446*属性价值参考!C$5+升级!L446*属性价值参考!C$6+升级!M446*属性价值参考!C$7+升级!N446*属性价值参考!C$8+升级!S446*属性价值参考!C$9+升级!T446*属性价值参考!C$10+升级!U446*属性价值参考!C$11+升级!V446*属性价值参考!C$12</f>
        <v>522145.2</v>
      </c>
    </row>
    <row r="447" spans="1:23" x14ac:dyDescent="0.3">
      <c r="A447" s="22"/>
      <c r="B447" s="22"/>
      <c r="C447" s="27">
        <v>446</v>
      </c>
      <c r="D447" s="27" t="str">
        <f t="shared" si="131"/>
        <v>0#1#62440|0#2#2140|0#3#446|0#4#892|0#9#446|0#10#892|0#11#446|0#12#892</v>
      </c>
      <c r="E447" s="27" t="str">
        <f t="shared" si="132"/>
        <v>1#1#10406|1#2#107040|1#3#446|1#4#892|1#9#446|1#10#892|1#11#446|1#12#892</v>
      </c>
      <c r="F447" s="27" t="str">
        <f t="shared" si="133"/>
        <v>2#1#31220|2#2#53520|2#3#446|2#4#892|2#9#446|2#10#892|2#11#446|2#12#892</v>
      </c>
      <c r="G447" s="27" t="str">
        <f t="shared" si="134"/>
        <v>0#1#62440|0#2#2140|0#3#446|0#4#892|0#9#446|0#10#892|0#11#446|0#12#892|1#1#10406|1#2#107040|1#3#446|1#4#892|1#9#446|1#10#892|1#11#446|1#12#892|2#1#31220|2#2#53520|2#3#446|2#4#892|2#9#446|2#10#892|2#11#446|2#12#892</v>
      </c>
      <c r="H447" s="22"/>
      <c r="I447" s="28">
        <v>4200000000</v>
      </c>
      <c r="J447" s="198">
        <v>446</v>
      </c>
      <c r="K447" s="183">
        <f t="shared" si="146"/>
        <v>62440</v>
      </c>
      <c r="L447" s="183">
        <f t="shared" si="135"/>
        <v>107040</v>
      </c>
      <c r="M447" s="183">
        <f t="shared" si="136"/>
        <v>446</v>
      </c>
      <c r="N447" s="183">
        <f t="shared" si="137"/>
        <v>892</v>
      </c>
      <c r="O447" s="183">
        <f t="shared" si="138"/>
        <v>446</v>
      </c>
      <c r="P447" s="183">
        <f t="shared" si="139"/>
        <v>892</v>
      </c>
      <c r="Q447" s="183">
        <f t="shared" si="140"/>
        <v>446</v>
      </c>
      <c r="R447" s="183">
        <f t="shared" si="141"/>
        <v>892</v>
      </c>
      <c r="S447" s="183">
        <f t="shared" si="142"/>
        <v>446</v>
      </c>
      <c r="T447" s="183">
        <f t="shared" si="143"/>
        <v>892</v>
      </c>
      <c r="U447" s="183">
        <f t="shared" si="144"/>
        <v>446</v>
      </c>
      <c r="V447" s="183">
        <f t="shared" si="145"/>
        <v>892</v>
      </c>
      <c r="W447" s="12">
        <f>K447*属性价值参考!C$5+升级!L447*属性价值参考!C$6+升级!M447*属性价值参考!C$7+升级!N447*属性价值参考!C$8+升级!S447*属性价值参考!C$9+升级!T447*属性价值参考!C$10+升级!U447*属性价值参考!C$11+升级!V447*属性价值参考!C$12</f>
        <v>523318.56000000006</v>
      </c>
    </row>
    <row r="448" spans="1:23" x14ac:dyDescent="0.3">
      <c r="A448" s="22"/>
      <c r="B448" s="22"/>
      <c r="C448" s="24">
        <v>447</v>
      </c>
      <c r="D448" s="27" t="str">
        <f t="shared" si="131"/>
        <v>0#1#62580|0#2#2145|0#3#447|0#4#894|0#9#447|0#10#894|0#11#447|0#12#894</v>
      </c>
      <c r="E448" s="27" t="str">
        <f t="shared" si="132"/>
        <v>1#1#10430|1#2#107280|1#3#447|1#4#894|1#9#447|1#10#894|1#11#447|1#12#894</v>
      </c>
      <c r="F448" s="27" t="str">
        <f t="shared" si="133"/>
        <v>2#1#31290|2#2#53640|2#3#447|2#4#894|2#9#447|2#10#894|2#11#447|2#12#894</v>
      </c>
      <c r="G448" s="27" t="str">
        <f t="shared" si="134"/>
        <v>0#1#62580|0#2#2145|0#3#447|0#4#894|0#9#447|0#10#894|0#11#447|0#12#894|1#1#10430|1#2#107280|1#3#447|1#4#894|1#9#447|1#10#894|1#11#447|1#12#894|2#1#31290|2#2#53640|2#3#447|2#4#894|2#9#447|2#10#894|2#11#447|2#12#894</v>
      </c>
      <c r="H448" s="22"/>
      <c r="I448" s="25">
        <v>4200000000</v>
      </c>
      <c r="J448" s="197">
        <v>447</v>
      </c>
      <c r="K448" s="183">
        <f t="shared" si="146"/>
        <v>62580</v>
      </c>
      <c r="L448" s="183">
        <f t="shared" si="135"/>
        <v>107280</v>
      </c>
      <c r="M448" s="183">
        <f t="shared" si="136"/>
        <v>447</v>
      </c>
      <c r="N448" s="183">
        <f t="shared" si="137"/>
        <v>894</v>
      </c>
      <c r="O448" s="183">
        <f t="shared" si="138"/>
        <v>447</v>
      </c>
      <c r="P448" s="183">
        <f t="shared" si="139"/>
        <v>894</v>
      </c>
      <c r="Q448" s="183">
        <f t="shared" si="140"/>
        <v>447</v>
      </c>
      <c r="R448" s="183">
        <f t="shared" si="141"/>
        <v>894</v>
      </c>
      <c r="S448" s="183">
        <f t="shared" si="142"/>
        <v>447</v>
      </c>
      <c r="T448" s="183">
        <f t="shared" si="143"/>
        <v>894</v>
      </c>
      <c r="U448" s="183">
        <f t="shared" si="144"/>
        <v>447</v>
      </c>
      <c r="V448" s="183">
        <f t="shared" si="145"/>
        <v>894</v>
      </c>
      <c r="W448" s="12">
        <f>K448*属性价值参考!C$5+升级!L448*属性价值参考!C$6+升级!M448*属性价值参考!C$7+升级!N448*属性价值参考!C$8+升级!S448*属性价值参考!C$9+升级!T448*属性价值参考!C$10+升级!U448*属性价值参考!C$11+升级!V448*属性价值参考!C$12</f>
        <v>524491.91999999993</v>
      </c>
    </row>
    <row r="449" spans="1:23" x14ac:dyDescent="0.3">
      <c r="A449" s="22"/>
      <c r="B449" s="22"/>
      <c r="C449" s="27">
        <v>448</v>
      </c>
      <c r="D449" s="27" t="str">
        <f t="shared" si="131"/>
        <v>0#1#62720|0#2#2150|0#3#448|0#4#896|0#9#448|0#10#896|0#11#448|0#12#896</v>
      </c>
      <c r="E449" s="27" t="str">
        <f t="shared" si="132"/>
        <v>1#1#10453|1#2#107520|1#3#448|1#4#896|1#9#448|1#10#896|1#11#448|1#12#896</v>
      </c>
      <c r="F449" s="27" t="str">
        <f t="shared" si="133"/>
        <v>2#1#31360|2#2#53760|2#3#448|2#4#896|2#9#448|2#10#896|2#11#448|2#12#896</v>
      </c>
      <c r="G449" s="27" t="str">
        <f t="shared" si="134"/>
        <v>0#1#62720|0#2#2150|0#3#448|0#4#896|0#9#448|0#10#896|0#11#448|0#12#896|1#1#10453|1#2#107520|1#3#448|1#4#896|1#9#448|1#10#896|1#11#448|1#12#896|2#1#31360|2#2#53760|2#3#448|2#4#896|2#9#448|2#10#896|2#11#448|2#12#896</v>
      </c>
      <c r="H449" s="22"/>
      <c r="I449" s="28">
        <v>4200000000</v>
      </c>
      <c r="J449" s="198">
        <v>448</v>
      </c>
      <c r="K449" s="183">
        <f t="shared" si="146"/>
        <v>62720</v>
      </c>
      <c r="L449" s="183">
        <f t="shared" si="135"/>
        <v>107520</v>
      </c>
      <c r="M449" s="183">
        <f t="shared" si="136"/>
        <v>448</v>
      </c>
      <c r="N449" s="183">
        <f t="shared" si="137"/>
        <v>896</v>
      </c>
      <c r="O449" s="183">
        <f t="shared" si="138"/>
        <v>448</v>
      </c>
      <c r="P449" s="183">
        <f t="shared" si="139"/>
        <v>896</v>
      </c>
      <c r="Q449" s="183">
        <f t="shared" si="140"/>
        <v>448</v>
      </c>
      <c r="R449" s="183">
        <f t="shared" si="141"/>
        <v>896</v>
      </c>
      <c r="S449" s="183">
        <f t="shared" si="142"/>
        <v>448</v>
      </c>
      <c r="T449" s="183">
        <f t="shared" si="143"/>
        <v>896</v>
      </c>
      <c r="U449" s="183">
        <f t="shared" si="144"/>
        <v>448</v>
      </c>
      <c r="V449" s="183">
        <f t="shared" si="145"/>
        <v>896</v>
      </c>
      <c r="W449" s="12">
        <f>K449*属性价值参考!C$5+升级!L449*属性价值参考!C$6+升级!M449*属性价值参考!C$7+升级!N449*属性价值参考!C$8+升级!S449*属性价值参考!C$9+升级!T449*属性价值参考!C$10+升级!U449*属性价值参考!C$11+升级!V449*属性价值参考!C$12</f>
        <v>525665.28000000003</v>
      </c>
    </row>
    <row r="450" spans="1:23" x14ac:dyDescent="0.3">
      <c r="A450" s="22"/>
      <c r="B450" s="22"/>
      <c r="C450" s="24">
        <v>449</v>
      </c>
      <c r="D450" s="27" t="str">
        <f t="shared" ref="D450:D501" si="147">"0#1#"&amp;INT(K450)&amp;"|"&amp;"0#2#"&amp;INT(0.02*L450)&amp;"|"&amp;"0#3#"&amp;INT(M450)&amp;"|"&amp;"0#4#"&amp;INT(N450)&amp;"|"&amp;"0#9#"&amp;INT(S450)&amp;"|"&amp;"0#10#"&amp;INT(T450)&amp;"|"&amp;"0#11#"&amp;INT(U450)&amp;"|"&amp;"0#12#"&amp;INT(V450)</f>
        <v>0#1#62860|0#2#2155|0#3#449|0#4#898|0#9#449|0#10#898|0#11#449|0#12#898</v>
      </c>
      <c r="E450" s="27" t="str">
        <f t="shared" ref="E450:E501" si="148">"1#1#"&amp;INT(1/6*K450)&amp;"|"&amp;"1#2#"&amp;INT(L450)&amp;"|"&amp;"1#3#"&amp;INT(O450)&amp;"|"&amp;"1#4#"&amp;INT(P450)&amp;"|"&amp;"1#9#"&amp;INT(S450)&amp;"|"&amp;"1#10#"&amp;INT(T450)&amp;"|"&amp;"1#11#"&amp;INT(U450)&amp;"|"&amp;"1#12#"&amp;INT(V450)</f>
        <v>1#1#10476|1#2#107760|1#3#449|1#4#898|1#9#449|1#10#898|1#11#449|1#12#898</v>
      </c>
      <c r="F450" s="27" t="str">
        <f t="shared" ref="F450:F501" si="149">"2#1#"&amp;INT(1/2*K450)&amp;"|"&amp;"2#2#"&amp;INT(1/2*L450)&amp;"|"&amp;"2#3#"&amp;INT(Q450)&amp;"|"&amp;"2#4#"&amp;INT(R450)&amp;"|"&amp;"2#9#"&amp;INT(S450)&amp;"|"&amp;"2#10#"&amp;INT(T450)&amp;"|"&amp;"2#11#"&amp;INT(U450)&amp;"|"&amp;"2#12#"&amp;INT(V450)</f>
        <v>2#1#31430|2#2#53880|2#3#449|2#4#898|2#9#449|2#10#898|2#11#449|2#12#898</v>
      </c>
      <c r="G450" s="27" t="str">
        <f t="shared" si="134"/>
        <v>0#1#62860|0#2#2155|0#3#449|0#4#898|0#9#449|0#10#898|0#11#449|0#12#898|1#1#10476|1#2#107760|1#3#449|1#4#898|1#9#449|1#10#898|1#11#449|1#12#898|2#1#31430|2#2#53880|2#3#449|2#4#898|2#9#449|2#10#898|2#11#449|2#12#898</v>
      </c>
      <c r="H450" s="22"/>
      <c r="I450" s="25">
        <v>4200000000</v>
      </c>
      <c r="J450" s="197">
        <v>449</v>
      </c>
      <c r="K450" s="183">
        <f t="shared" si="146"/>
        <v>62860</v>
      </c>
      <c r="L450" s="183">
        <f t="shared" si="135"/>
        <v>107760</v>
      </c>
      <c r="M450" s="183">
        <f t="shared" si="136"/>
        <v>449</v>
      </c>
      <c r="N450" s="183">
        <f t="shared" si="137"/>
        <v>898</v>
      </c>
      <c r="O450" s="183">
        <f t="shared" si="138"/>
        <v>449</v>
      </c>
      <c r="P450" s="183">
        <f t="shared" si="139"/>
        <v>898</v>
      </c>
      <c r="Q450" s="183">
        <f t="shared" si="140"/>
        <v>449</v>
      </c>
      <c r="R450" s="183">
        <f t="shared" si="141"/>
        <v>898</v>
      </c>
      <c r="S450" s="183">
        <f t="shared" si="142"/>
        <v>449</v>
      </c>
      <c r="T450" s="183">
        <f t="shared" si="143"/>
        <v>898</v>
      </c>
      <c r="U450" s="183">
        <f t="shared" si="144"/>
        <v>449</v>
      </c>
      <c r="V450" s="183">
        <f t="shared" si="145"/>
        <v>898</v>
      </c>
      <c r="W450" s="12">
        <f>K450*属性价值参考!C$5+升级!L450*属性价值参考!C$6+升级!M450*属性价值参考!C$7+升级!N450*属性价值参考!C$8+升级!S450*属性价值参考!C$9+升级!T450*属性价值参考!C$10+升级!U450*属性价值参考!C$11+升级!V450*属性价值参考!C$12</f>
        <v>526838.6399999999</v>
      </c>
    </row>
    <row r="451" spans="1:23" x14ac:dyDescent="0.3">
      <c r="A451" s="22"/>
      <c r="B451" s="22"/>
      <c r="C451" s="27">
        <v>450</v>
      </c>
      <c r="D451" s="27" t="str">
        <f t="shared" si="147"/>
        <v>0#1#63000|0#2#2160|0#3#450|0#4#900|0#9#450|0#10#900|0#11#450|0#12#900</v>
      </c>
      <c r="E451" s="27" t="str">
        <f t="shared" si="148"/>
        <v>1#1#10500|1#2#108000|1#3#450|1#4#900|1#9#450|1#10#900|1#11#450|1#12#900</v>
      </c>
      <c r="F451" s="27" t="str">
        <f t="shared" si="149"/>
        <v>2#1#31500|2#2#54000|2#3#450|2#4#900|2#9#450|2#10#900|2#11#450|2#12#900</v>
      </c>
      <c r="G451" s="27" t="str">
        <f t="shared" ref="G451:G501" si="150">D451&amp;"|"&amp;E451&amp;"|"&amp;F451</f>
        <v>0#1#63000|0#2#2160|0#3#450|0#4#900|0#9#450|0#10#900|0#11#450|0#12#900|1#1#10500|1#2#108000|1#3#450|1#4#900|1#9#450|1#10#900|1#11#450|1#12#900|2#1#31500|2#2#54000|2#3#450|2#4#900|2#9#450|2#10#900|2#11#450|2#12#900</v>
      </c>
      <c r="H451" s="22"/>
      <c r="I451" s="28">
        <v>4200000000</v>
      </c>
      <c r="J451" s="198">
        <v>450</v>
      </c>
      <c r="K451" s="183">
        <f t="shared" si="146"/>
        <v>63000</v>
      </c>
      <c r="L451" s="183">
        <f t="shared" ref="L451:L501" si="151">INT(J451/250*L$251)</f>
        <v>108000</v>
      </c>
      <c r="M451" s="183">
        <f t="shared" ref="M451:M501" si="152">INT(J451/250*M$251)</f>
        <v>450</v>
      </c>
      <c r="N451" s="183">
        <f t="shared" ref="N451:N501" si="153">INT(J451/250*N$251)</f>
        <v>900</v>
      </c>
      <c r="O451" s="183">
        <f t="shared" ref="O451:O501" si="154">INT(J451/250*O$251)</f>
        <v>450</v>
      </c>
      <c r="P451" s="183">
        <f t="shared" ref="P451:P501" si="155">INT(J451/250*P$251)</f>
        <v>900</v>
      </c>
      <c r="Q451" s="183">
        <f t="shared" ref="Q451:Q501" si="156">INT(J451/250*Q$251)</f>
        <v>450</v>
      </c>
      <c r="R451" s="183">
        <f t="shared" ref="R451:R501" si="157">INT(J451/250*R$251)</f>
        <v>900</v>
      </c>
      <c r="S451" s="183">
        <f t="shared" ref="S451:S501" si="158">INT(J451/250*S$251)</f>
        <v>450</v>
      </c>
      <c r="T451" s="183">
        <f t="shared" ref="T451:T501" si="159">INT(J451/250*T$251)</f>
        <v>900</v>
      </c>
      <c r="U451" s="183">
        <f t="shared" ref="U451:U501" si="160">INT(J451/250*U$251)</f>
        <v>450</v>
      </c>
      <c r="V451" s="183">
        <f t="shared" ref="V451:V501" si="161">INT(J451/250*V$251)</f>
        <v>900</v>
      </c>
      <c r="W451" s="12">
        <f>K451*属性价值参考!C$5+升级!L451*属性价值参考!C$6+升级!M451*属性价值参考!C$7+升级!N451*属性价值参考!C$8+升级!S451*属性价值参考!C$9+升级!T451*属性价值参考!C$10+升级!U451*属性价值参考!C$11+升级!V451*属性价值参考!C$12</f>
        <v>528012</v>
      </c>
    </row>
    <row r="452" spans="1:23" x14ac:dyDescent="0.3">
      <c r="A452" s="22"/>
      <c r="B452" s="22"/>
      <c r="C452" s="24">
        <v>451</v>
      </c>
      <c r="D452" s="27" t="str">
        <f t="shared" si="147"/>
        <v>0#1#63140|0#2#2164|0#3#451|0#4#902|0#9#451|0#10#902|0#11#451|0#12#902</v>
      </c>
      <c r="E452" s="27" t="str">
        <f t="shared" si="148"/>
        <v>1#1#10523|1#2#108240|1#3#451|1#4#902|1#9#451|1#10#902|1#11#451|1#12#902</v>
      </c>
      <c r="F452" s="27" t="str">
        <f t="shared" si="149"/>
        <v>2#1#31570|2#2#54120|2#3#451|2#4#902|2#9#451|2#10#902|2#11#451|2#12#902</v>
      </c>
      <c r="G452" s="27" t="str">
        <f t="shared" si="150"/>
        <v>0#1#63140|0#2#2164|0#3#451|0#4#902|0#9#451|0#10#902|0#11#451|0#12#902|1#1#10523|1#2#108240|1#3#451|1#4#902|1#9#451|1#10#902|1#11#451|1#12#902|2#1#31570|2#2#54120|2#3#451|2#4#902|2#9#451|2#10#902|2#11#451|2#12#902</v>
      </c>
      <c r="H452" s="22"/>
      <c r="I452" s="25">
        <v>4200000000</v>
      </c>
      <c r="J452" s="197">
        <v>451</v>
      </c>
      <c r="K452" s="183">
        <f t="shared" si="146"/>
        <v>63140</v>
      </c>
      <c r="L452" s="183">
        <f t="shared" si="151"/>
        <v>108240</v>
      </c>
      <c r="M452" s="183">
        <f t="shared" si="152"/>
        <v>451</v>
      </c>
      <c r="N452" s="183">
        <f t="shared" si="153"/>
        <v>902</v>
      </c>
      <c r="O452" s="183">
        <f t="shared" si="154"/>
        <v>451</v>
      </c>
      <c r="P452" s="183">
        <f t="shared" si="155"/>
        <v>902</v>
      </c>
      <c r="Q452" s="183">
        <f t="shared" si="156"/>
        <v>451</v>
      </c>
      <c r="R452" s="183">
        <f t="shared" si="157"/>
        <v>902</v>
      </c>
      <c r="S452" s="183">
        <f t="shared" si="158"/>
        <v>451</v>
      </c>
      <c r="T452" s="183">
        <f t="shared" si="159"/>
        <v>902</v>
      </c>
      <c r="U452" s="183">
        <f t="shared" si="160"/>
        <v>451</v>
      </c>
      <c r="V452" s="183">
        <f t="shared" si="161"/>
        <v>902</v>
      </c>
      <c r="W452" s="12">
        <f>K452*属性价值参考!C$5+升级!L452*属性价值参考!C$6+升级!M452*属性价值参考!C$7+升级!N452*属性价值参考!C$8+升级!S452*属性价值参考!C$9+升级!T452*属性价值参考!C$10+升级!U452*属性价值参考!C$11+升级!V452*属性价值参考!C$12</f>
        <v>529185.36</v>
      </c>
    </row>
    <row r="453" spans="1:23" x14ac:dyDescent="0.3">
      <c r="A453" s="22"/>
      <c r="B453" s="22"/>
      <c r="C453" s="27">
        <v>452</v>
      </c>
      <c r="D453" s="27" t="str">
        <f t="shared" si="147"/>
        <v>0#1#63280|0#2#2169|0#3#452|0#4#904|0#9#452|0#10#904|0#11#452|0#12#904</v>
      </c>
      <c r="E453" s="27" t="str">
        <f t="shared" si="148"/>
        <v>1#1#10546|1#2#108480|1#3#452|1#4#904|1#9#452|1#10#904|1#11#452|1#12#904</v>
      </c>
      <c r="F453" s="27" t="str">
        <f t="shared" si="149"/>
        <v>2#1#31640|2#2#54240|2#3#452|2#4#904|2#9#452|2#10#904|2#11#452|2#12#904</v>
      </c>
      <c r="G453" s="27" t="str">
        <f t="shared" si="150"/>
        <v>0#1#63280|0#2#2169|0#3#452|0#4#904|0#9#452|0#10#904|0#11#452|0#12#904|1#1#10546|1#2#108480|1#3#452|1#4#904|1#9#452|1#10#904|1#11#452|1#12#904|2#1#31640|2#2#54240|2#3#452|2#4#904|2#9#452|2#10#904|2#11#452|2#12#904</v>
      </c>
      <c r="H453" s="22"/>
      <c r="I453" s="28">
        <v>4200000000</v>
      </c>
      <c r="J453" s="198">
        <v>452</v>
      </c>
      <c r="K453" s="183">
        <f t="shared" si="146"/>
        <v>63280</v>
      </c>
      <c r="L453" s="183">
        <f t="shared" si="151"/>
        <v>108480</v>
      </c>
      <c r="M453" s="183">
        <f t="shared" si="152"/>
        <v>452</v>
      </c>
      <c r="N453" s="183">
        <f t="shared" si="153"/>
        <v>904</v>
      </c>
      <c r="O453" s="183">
        <f t="shared" si="154"/>
        <v>452</v>
      </c>
      <c r="P453" s="183">
        <f t="shared" si="155"/>
        <v>904</v>
      </c>
      <c r="Q453" s="183">
        <f t="shared" si="156"/>
        <v>452</v>
      </c>
      <c r="R453" s="183">
        <f t="shared" si="157"/>
        <v>904</v>
      </c>
      <c r="S453" s="183">
        <f t="shared" si="158"/>
        <v>452</v>
      </c>
      <c r="T453" s="183">
        <f t="shared" si="159"/>
        <v>904</v>
      </c>
      <c r="U453" s="183">
        <f t="shared" si="160"/>
        <v>452</v>
      </c>
      <c r="V453" s="183">
        <f t="shared" si="161"/>
        <v>904</v>
      </c>
      <c r="W453" s="12">
        <f>K453*属性价值参考!C$5+升级!L453*属性价值参考!C$6+升级!M453*属性价值参考!C$7+升级!N453*属性价值参考!C$8+升级!S453*属性价值参考!C$9+升级!T453*属性价值参考!C$10+升级!U453*属性价值参考!C$11+升级!V453*属性价值参考!C$12</f>
        <v>530358.72</v>
      </c>
    </row>
    <row r="454" spans="1:23" x14ac:dyDescent="0.3">
      <c r="A454" s="22"/>
      <c r="B454" s="22"/>
      <c r="C454" s="24">
        <v>453</v>
      </c>
      <c r="D454" s="27" t="str">
        <f t="shared" si="147"/>
        <v>0#1#63420|0#2#2174|0#3#453|0#4#906|0#9#453|0#10#906|0#11#453|0#12#906</v>
      </c>
      <c r="E454" s="27" t="str">
        <f t="shared" si="148"/>
        <v>1#1#10570|1#2#108720|1#3#453|1#4#906|1#9#453|1#10#906|1#11#453|1#12#906</v>
      </c>
      <c r="F454" s="27" t="str">
        <f t="shared" si="149"/>
        <v>2#1#31710|2#2#54360|2#3#453|2#4#906|2#9#453|2#10#906|2#11#453|2#12#906</v>
      </c>
      <c r="G454" s="27" t="str">
        <f t="shared" si="150"/>
        <v>0#1#63420|0#2#2174|0#3#453|0#4#906|0#9#453|0#10#906|0#11#453|0#12#906|1#1#10570|1#2#108720|1#3#453|1#4#906|1#9#453|1#10#906|1#11#453|1#12#906|2#1#31710|2#2#54360|2#3#453|2#4#906|2#9#453|2#10#906|2#11#453|2#12#906</v>
      </c>
      <c r="H454" s="22"/>
      <c r="I454" s="25">
        <v>4200000000</v>
      </c>
      <c r="J454" s="197">
        <v>453</v>
      </c>
      <c r="K454" s="183">
        <f t="shared" si="146"/>
        <v>63420</v>
      </c>
      <c r="L454" s="183">
        <f t="shared" si="151"/>
        <v>108720</v>
      </c>
      <c r="M454" s="183">
        <f t="shared" si="152"/>
        <v>453</v>
      </c>
      <c r="N454" s="183">
        <f t="shared" si="153"/>
        <v>906</v>
      </c>
      <c r="O454" s="183">
        <f t="shared" si="154"/>
        <v>453</v>
      </c>
      <c r="P454" s="183">
        <f t="shared" si="155"/>
        <v>906</v>
      </c>
      <c r="Q454" s="183">
        <f t="shared" si="156"/>
        <v>453</v>
      </c>
      <c r="R454" s="183">
        <f t="shared" si="157"/>
        <v>906</v>
      </c>
      <c r="S454" s="183">
        <f t="shared" si="158"/>
        <v>453</v>
      </c>
      <c r="T454" s="183">
        <f t="shared" si="159"/>
        <v>906</v>
      </c>
      <c r="U454" s="183">
        <f t="shared" si="160"/>
        <v>453</v>
      </c>
      <c r="V454" s="183">
        <f t="shared" si="161"/>
        <v>906</v>
      </c>
      <c r="W454" s="12">
        <f>K454*属性价值参考!C$5+升级!L454*属性价值参考!C$6+升级!M454*属性价值参考!C$7+升级!N454*属性价值参考!C$8+升级!S454*属性价值参考!C$9+升级!T454*属性价值参考!C$10+升级!U454*属性价值参考!C$11+升级!V454*属性价值参考!C$12</f>
        <v>531532.07999999996</v>
      </c>
    </row>
    <row r="455" spans="1:23" x14ac:dyDescent="0.3">
      <c r="A455" s="22"/>
      <c r="B455" s="22"/>
      <c r="C455" s="27">
        <v>454</v>
      </c>
      <c r="D455" s="27" t="str">
        <f t="shared" si="147"/>
        <v>0#1#63560|0#2#2179|0#3#454|0#4#908|0#9#454|0#10#908|0#11#454|0#12#908</v>
      </c>
      <c r="E455" s="27" t="str">
        <f t="shared" si="148"/>
        <v>1#1#10593|1#2#108960|1#3#454|1#4#908|1#9#454|1#10#908|1#11#454|1#12#908</v>
      </c>
      <c r="F455" s="27" t="str">
        <f t="shared" si="149"/>
        <v>2#1#31780|2#2#54480|2#3#454|2#4#908|2#9#454|2#10#908|2#11#454|2#12#908</v>
      </c>
      <c r="G455" s="27" t="str">
        <f t="shared" si="150"/>
        <v>0#1#63560|0#2#2179|0#3#454|0#4#908|0#9#454|0#10#908|0#11#454|0#12#908|1#1#10593|1#2#108960|1#3#454|1#4#908|1#9#454|1#10#908|1#11#454|1#12#908|2#1#31780|2#2#54480|2#3#454|2#4#908|2#9#454|2#10#908|2#11#454|2#12#908</v>
      </c>
      <c r="H455" s="22"/>
      <c r="I455" s="28">
        <v>4200000000</v>
      </c>
      <c r="J455" s="198">
        <v>454</v>
      </c>
      <c r="K455" s="183">
        <f t="shared" si="146"/>
        <v>63560</v>
      </c>
      <c r="L455" s="183">
        <f t="shared" si="151"/>
        <v>108960</v>
      </c>
      <c r="M455" s="183">
        <f t="shared" si="152"/>
        <v>454</v>
      </c>
      <c r="N455" s="183">
        <f t="shared" si="153"/>
        <v>908</v>
      </c>
      <c r="O455" s="183">
        <f t="shared" si="154"/>
        <v>454</v>
      </c>
      <c r="P455" s="183">
        <f t="shared" si="155"/>
        <v>908</v>
      </c>
      <c r="Q455" s="183">
        <f t="shared" si="156"/>
        <v>454</v>
      </c>
      <c r="R455" s="183">
        <f t="shared" si="157"/>
        <v>908</v>
      </c>
      <c r="S455" s="183">
        <f t="shared" si="158"/>
        <v>454</v>
      </c>
      <c r="T455" s="183">
        <f t="shared" si="159"/>
        <v>908</v>
      </c>
      <c r="U455" s="183">
        <f t="shared" si="160"/>
        <v>454</v>
      </c>
      <c r="V455" s="183">
        <f t="shared" si="161"/>
        <v>908</v>
      </c>
      <c r="W455" s="12">
        <f>K455*属性价值参考!C$5+升级!L455*属性价值参考!C$6+升级!M455*属性价值参考!C$7+升级!N455*属性价值参考!C$8+升级!S455*属性价值参考!C$9+升级!T455*属性价值参考!C$10+升级!U455*属性价值参考!C$11+升级!V455*属性价值参考!C$12</f>
        <v>532705.43999999994</v>
      </c>
    </row>
    <row r="456" spans="1:23" x14ac:dyDescent="0.3">
      <c r="A456" s="22"/>
      <c r="B456" s="22"/>
      <c r="C456" s="24">
        <v>455</v>
      </c>
      <c r="D456" s="27" t="str">
        <f t="shared" si="147"/>
        <v>0#1#63700|0#2#2184|0#3#455|0#4#910|0#9#455|0#10#910|0#11#455|0#12#910</v>
      </c>
      <c r="E456" s="27" t="str">
        <f t="shared" si="148"/>
        <v>1#1#10616|1#2#109200|1#3#455|1#4#910|1#9#455|1#10#910|1#11#455|1#12#910</v>
      </c>
      <c r="F456" s="27" t="str">
        <f t="shared" si="149"/>
        <v>2#1#31850|2#2#54600|2#3#455|2#4#910|2#9#455|2#10#910|2#11#455|2#12#910</v>
      </c>
      <c r="G456" s="27" t="str">
        <f t="shared" si="150"/>
        <v>0#1#63700|0#2#2184|0#3#455|0#4#910|0#9#455|0#10#910|0#11#455|0#12#910|1#1#10616|1#2#109200|1#3#455|1#4#910|1#9#455|1#10#910|1#11#455|1#12#910|2#1#31850|2#2#54600|2#3#455|2#4#910|2#9#455|2#10#910|2#11#455|2#12#910</v>
      </c>
      <c r="H456" s="22"/>
      <c r="I456" s="25">
        <v>4200000000</v>
      </c>
      <c r="J456" s="197">
        <v>455</v>
      </c>
      <c r="K456" s="183">
        <f t="shared" si="146"/>
        <v>63700</v>
      </c>
      <c r="L456" s="183">
        <f t="shared" si="151"/>
        <v>109200</v>
      </c>
      <c r="M456" s="183">
        <f t="shared" si="152"/>
        <v>455</v>
      </c>
      <c r="N456" s="183">
        <f t="shared" si="153"/>
        <v>910</v>
      </c>
      <c r="O456" s="183">
        <f t="shared" si="154"/>
        <v>455</v>
      </c>
      <c r="P456" s="183">
        <f t="shared" si="155"/>
        <v>910</v>
      </c>
      <c r="Q456" s="183">
        <f t="shared" si="156"/>
        <v>455</v>
      </c>
      <c r="R456" s="183">
        <f t="shared" si="157"/>
        <v>910</v>
      </c>
      <c r="S456" s="183">
        <f t="shared" si="158"/>
        <v>455</v>
      </c>
      <c r="T456" s="183">
        <f t="shared" si="159"/>
        <v>910</v>
      </c>
      <c r="U456" s="183">
        <f t="shared" si="160"/>
        <v>455</v>
      </c>
      <c r="V456" s="183">
        <f t="shared" si="161"/>
        <v>910</v>
      </c>
      <c r="W456" s="12">
        <f>K456*属性价值参考!C$5+升级!L456*属性价值参考!C$6+升级!M456*属性价值参考!C$7+升级!N456*属性价值参考!C$8+升级!S456*属性价值参考!C$9+升级!T456*属性价值参考!C$10+升级!U456*属性价值参考!C$11+升级!V456*属性价值参考!C$12</f>
        <v>533878.80000000005</v>
      </c>
    </row>
    <row r="457" spans="1:23" x14ac:dyDescent="0.3">
      <c r="A457" s="22"/>
      <c r="B457" s="22"/>
      <c r="C457" s="27">
        <v>456</v>
      </c>
      <c r="D457" s="27" t="str">
        <f t="shared" si="147"/>
        <v>0#1#63840|0#2#2188|0#3#456|0#4#912|0#9#456|0#10#912|0#11#456|0#12#912</v>
      </c>
      <c r="E457" s="27" t="str">
        <f t="shared" si="148"/>
        <v>1#1#10640|1#2#109440|1#3#456|1#4#912|1#9#456|1#10#912|1#11#456|1#12#912</v>
      </c>
      <c r="F457" s="27" t="str">
        <f t="shared" si="149"/>
        <v>2#1#31920|2#2#54720|2#3#456|2#4#912|2#9#456|2#10#912|2#11#456|2#12#912</v>
      </c>
      <c r="G457" s="27" t="str">
        <f t="shared" si="150"/>
        <v>0#1#63840|0#2#2188|0#3#456|0#4#912|0#9#456|0#10#912|0#11#456|0#12#912|1#1#10640|1#2#109440|1#3#456|1#4#912|1#9#456|1#10#912|1#11#456|1#12#912|2#1#31920|2#2#54720|2#3#456|2#4#912|2#9#456|2#10#912|2#11#456|2#12#912</v>
      </c>
      <c r="H457" s="22"/>
      <c r="I457" s="28">
        <v>4200000000</v>
      </c>
      <c r="J457" s="198">
        <v>456</v>
      </c>
      <c r="K457" s="183">
        <f t="shared" si="146"/>
        <v>63840</v>
      </c>
      <c r="L457" s="183">
        <f t="shared" si="151"/>
        <v>109440</v>
      </c>
      <c r="M457" s="183">
        <f t="shared" si="152"/>
        <v>456</v>
      </c>
      <c r="N457" s="183">
        <f t="shared" si="153"/>
        <v>912</v>
      </c>
      <c r="O457" s="183">
        <f t="shared" si="154"/>
        <v>456</v>
      </c>
      <c r="P457" s="183">
        <f t="shared" si="155"/>
        <v>912</v>
      </c>
      <c r="Q457" s="183">
        <f t="shared" si="156"/>
        <v>456</v>
      </c>
      <c r="R457" s="183">
        <f t="shared" si="157"/>
        <v>912</v>
      </c>
      <c r="S457" s="183">
        <f t="shared" si="158"/>
        <v>456</v>
      </c>
      <c r="T457" s="183">
        <f t="shared" si="159"/>
        <v>912</v>
      </c>
      <c r="U457" s="183">
        <f t="shared" si="160"/>
        <v>456</v>
      </c>
      <c r="V457" s="183">
        <f t="shared" si="161"/>
        <v>912</v>
      </c>
      <c r="W457" s="12">
        <f>K457*属性价值参考!C$5+升级!L457*属性价值参考!C$6+升级!M457*属性价值参考!C$7+升级!N457*属性价值参考!C$8+升级!S457*属性价值参考!C$9+升级!T457*属性价值参考!C$10+升级!U457*属性价值参考!C$11+升级!V457*属性价值参考!C$12</f>
        <v>535052.16</v>
      </c>
    </row>
    <row r="458" spans="1:23" x14ac:dyDescent="0.3">
      <c r="A458" s="22"/>
      <c r="B458" s="22"/>
      <c r="C458" s="24">
        <v>457</v>
      </c>
      <c r="D458" s="27" t="str">
        <f t="shared" si="147"/>
        <v>0#1#63980|0#2#2193|0#3#457|0#4#914|0#9#457|0#10#914|0#11#457|0#12#914</v>
      </c>
      <c r="E458" s="27" t="str">
        <f t="shared" si="148"/>
        <v>1#1#10663|1#2#109680|1#3#457|1#4#914|1#9#457|1#10#914|1#11#457|1#12#914</v>
      </c>
      <c r="F458" s="27" t="str">
        <f t="shared" si="149"/>
        <v>2#1#31990|2#2#54840|2#3#457|2#4#914|2#9#457|2#10#914|2#11#457|2#12#914</v>
      </c>
      <c r="G458" s="27" t="str">
        <f t="shared" si="150"/>
        <v>0#1#63980|0#2#2193|0#3#457|0#4#914|0#9#457|0#10#914|0#11#457|0#12#914|1#1#10663|1#2#109680|1#3#457|1#4#914|1#9#457|1#10#914|1#11#457|1#12#914|2#1#31990|2#2#54840|2#3#457|2#4#914|2#9#457|2#10#914|2#11#457|2#12#914</v>
      </c>
      <c r="H458" s="22"/>
      <c r="I458" s="25">
        <v>4200000000</v>
      </c>
      <c r="J458" s="197">
        <v>457</v>
      </c>
      <c r="K458" s="183">
        <f t="shared" si="146"/>
        <v>63980</v>
      </c>
      <c r="L458" s="183">
        <f t="shared" si="151"/>
        <v>109680</v>
      </c>
      <c r="M458" s="183">
        <f t="shared" si="152"/>
        <v>457</v>
      </c>
      <c r="N458" s="183">
        <f t="shared" si="153"/>
        <v>914</v>
      </c>
      <c r="O458" s="183">
        <f t="shared" si="154"/>
        <v>457</v>
      </c>
      <c r="P458" s="183">
        <f t="shared" si="155"/>
        <v>914</v>
      </c>
      <c r="Q458" s="183">
        <f t="shared" si="156"/>
        <v>457</v>
      </c>
      <c r="R458" s="183">
        <f t="shared" si="157"/>
        <v>914</v>
      </c>
      <c r="S458" s="183">
        <f t="shared" si="158"/>
        <v>457</v>
      </c>
      <c r="T458" s="183">
        <f t="shared" si="159"/>
        <v>914</v>
      </c>
      <c r="U458" s="183">
        <f t="shared" si="160"/>
        <v>457</v>
      </c>
      <c r="V458" s="183">
        <f t="shared" si="161"/>
        <v>914</v>
      </c>
      <c r="W458" s="12">
        <f>K458*属性价值参考!C$5+升级!L458*属性价值参考!C$6+升级!M458*属性价值参考!C$7+升级!N458*属性价值参考!C$8+升级!S458*属性价值参考!C$9+升级!T458*属性价值参考!C$10+升级!U458*属性价值参考!C$11+升级!V458*属性价值参考!C$12</f>
        <v>536225.5199999999</v>
      </c>
    </row>
    <row r="459" spans="1:23" x14ac:dyDescent="0.3">
      <c r="A459" s="22"/>
      <c r="B459" s="22"/>
      <c r="C459" s="27">
        <v>458</v>
      </c>
      <c r="D459" s="27" t="str">
        <f t="shared" si="147"/>
        <v>0#1#64120|0#2#2198|0#3#458|0#4#916|0#9#458|0#10#916|0#11#458|0#12#916</v>
      </c>
      <c r="E459" s="27" t="str">
        <f t="shared" si="148"/>
        <v>1#1#10686|1#2#109920|1#3#458|1#4#916|1#9#458|1#10#916|1#11#458|1#12#916</v>
      </c>
      <c r="F459" s="27" t="str">
        <f t="shared" si="149"/>
        <v>2#1#32060|2#2#54960|2#3#458|2#4#916|2#9#458|2#10#916|2#11#458|2#12#916</v>
      </c>
      <c r="G459" s="27" t="str">
        <f t="shared" si="150"/>
        <v>0#1#64120|0#2#2198|0#3#458|0#4#916|0#9#458|0#10#916|0#11#458|0#12#916|1#1#10686|1#2#109920|1#3#458|1#4#916|1#9#458|1#10#916|1#11#458|1#12#916|2#1#32060|2#2#54960|2#3#458|2#4#916|2#9#458|2#10#916|2#11#458|2#12#916</v>
      </c>
      <c r="H459" s="22"/>
      <c r="I459" s="28">
        <v>4200000000</v>
      </c>
      <c r="J459" s="198">
        <v>458</v>
      </c>
      <c r="K459" s="183">
        <f t="shared" si="146"/>
        <v>64120</v>
      </c>
      <c r="L459" s="183">
        <f t="shared" si="151"/>
        <v>109920</v>
      </c>
      <c r="M459" s="183">
        <f t="shared" si="152"/>
        <v>458</v>
      </c>
      <c r="N459" s="183">
        <f t="shared" si="153"/>
        <v>916</v>
      </c>
      <c r="O459" s="183">
        <f t="shared" si="154"/>
        <v>458</v>
      </c>
      <c r="P459" s="183">
        <f t="shared" si="155"/>
        <v>916</v>
      </c>
      <c r="Q459" s="183">
        <f t="shared" si="156"/>
        <v>458</v>
      </c>
      <c r="R459" s="183">
        <f t="shared" si="157"/>
        <v>916</v>
      </c>
      <c r="S459" s="183">
        <f t="shared" si="158"/>
        <v>458</v>
      </c>
      <c r="T459" s="183">
        <f t="shared" si="159"/>
        <v>916</v>
      </c>
      <c r="U459" s="183">
        <f t="shared" si="160"/>
        <v>458</v>
      </c>
      <c r="V459" s="183">
        <f t="shared" si="161"/>
        <v>916</v>
      </c>
      <c r="W459" s="12">
        <f>K459*属性价值参考!C$5+升级!L459*属性价值参考!C$6+升级!M459*属性价值参考!C$7+升级!N459*属性价值参考!C$8+升级!S459*属性价值参考!C$9+升级!T459*属性价值参考!C$10+升级!U459*属性价值参考!C$11+升级!V459*属性价值参考!C$12</f>
        <v>537398.88</v>
      </c>
    </row>
    <row r="460" spans="1:23" x14ac:dyDescent="0.3">
      <c r="A460" s="22"/>
      <c r="B460" s="22"/>
      <c r="C460" s="24">
        <v>459</v>
      </c>
      <c r="D460" s="27" t="str">
        <f t="shared" si="147"/>
        <v>0#1#64260|0#2#2203|0#3#459|0#4#918|0#9#459|0#10#918|0#11#459|0#12#918</v>
      </c>
      <c r="E460" s="27" t="str">
        <f t="shared" si="148"/>
        <v>1#1#10710|1#2#110160|1#3#459|1#4#918|1#9#459|1#10#918|1#11#459|1#12#918</v>
      </c>
      <c r="F460" s="27" t="str">
        <f t="shared" si="149"/>
        <v>2#1#32130|2#2#55080|2#3#459|2#4#918|2#9#459|2#10#918|2#11#459|2#12#918</v>
      </c>
      <c r="G460" s="27" t="str">
        <f t="shared" si="150"/>
        <v>0#1#64260|0#2#2203|0#3#459|0#4#918|0#9#459|0#10#918|0#11#459|0#12#918|1#1#10710|1#2#110160|1#3#459|1#4#918|1#9#459|1#10#918|1#11#459|1#12#918|2#1#32130|2#2#55080|2#3#459|2#4#918|2#9#459|2#10#918|2#11#459|2#12#918</v>
      </c>
      <c r="H460" s="22"/>
      <c r="I460" s="25">
        <v>4200000000</v>
      </c>
      <c r="J460" s="197">
        <v>459</v>
      </c>
      <c r="K460" s="183">
        <f t="shared" si="146"/>
        <v>64260</v>
      </c>
      <c r="L460" s="183">
        <f t="shared" si="151"/>
        <v>110160</v>
      </c>
      <c r="M460" s="183">
        <f t="shared" si="152"/>
        <v>459</v>
      </c>
      <c r="N460" s="183">
        <f t="shared" si="153"/>
        <v>918</v>
      </c>
      <c r="O460" s="183">
        <f t="shared" si="154"/>
        <v>459</v>
      </c>
      <c r="P460" s="183">
        <f t="shared" si="155"/>
        <v>918</v>
      </c>
      <c r="Q460" s="183">
        <f t="shared" si="156"/>
        <v>459</v>
      </c>
      <c r="R460" s="183">
        <f t="shared" si="157"/>
        <v>918</v>
      </c>
      <c r="S460" s="183">
        <f t="shared" si="158"/>
        <v>459</v>
      </c>
      <c r="T460" s="183">
        <f t="shared" si="159"/>
        <v>918</v>
      </c>
      <c r="U460" s="183">
        <f t="shared" si="160"/>
        <v>459</v>
      </c>
      <c r="V460" s="183">
        <f t="shared" si="161"/>
        <v>918</v>
      </c>
      <c r="W460" s="12">
        <f>K460*属性价值参考!C$5+升级!L460*属性价值参考!C$6+升级!M460*属性价值参考!C$7+升级!N460*属性价值参考!C$8+升级!S460*属性价值参考!C$9+升级!T460*属性价值参考!C$10+升级!U460*属性价值参考!C$11+升级!V460*属性价值参考!C$12</f>
        <v>538572.23999999987</v>
      </c>
    </row>
    <row r="461" spans="1:23" x14ac:dyDescent="0.3">
      <c r="A461" s="22"/>
      <c r="B461" s="22"/>
      <c r="C461" s="27">
        <v>460</v>
      </c>
      <c r="D461" s="27" t="str">
        <f t="shared" si="147"/>
        <v>0#1#64400|0#2#2208|0#3#460|0#4#920|0#9#460|0#10#920|0#11#460|0#12#920</v>
      </c>
      <c r="E461" s="27" t="str">
        <f t="shared" si="148"/>
        <v>1#1#10733|1#2#110400|1#3#460|1#4#920|1#9#460|1#10#920|1#11#460|1#12#920</v>
      </c>
      <c r="F461" s="27" t="str">
        <f t="shared" si="149"/>
        <v>2#1#32200|2#2#55200|2#3#460|2#4#920|2#9#460|2#10#920|2#11#460|2#12#920</v>
      </c>
      <c r="G461" s="27" t="str">
        <f t="shared" si="150"/>
        <v>0#1#64400|0#2#2208|0#3#460|0#4#920|0#9#460|0#10#920|0#11#460|0#12#920|1#1#10733|1#2#110400|1#3#460|1#4#920|1#9#460|1#10#920|1#11#460|1#12#920|2#1#32200|2#2#55200|2#3#460|2#4#920|2#9#460|2#10#920|2#11#460|2#12#920</v>
      </c>
      <c r="H461" s="22"/>
      <c r="I461" s="28">
        <v>4200000000</v>
      </c>
      <c r="J461" s="198">
        <v>460</v>
      </c>
      <c r="K461" s="183">
        <f t="shared" si="146"/>
        <v>64400</v>
      </c>
      <c r="L461" s="183">
        <f t="shared" si="151"/>
        <v>110400</v>
      </c>
      <c r="M461" s="183">
        <f t="shared" si="152"/>
        <v>460</v>
      </c>
      <c r="N461" s="183">
        <f t="shared" si="153"/>
        <v>920</v>
      </c>
      <c r="O461" s="183">
        <f t="shared" si="154"/>
        <v>460</v>
      </c>
      <c r="P461" s="183">
        <f t="shared" si="155"/>
        <v>920</v>
      </c>
      <c r="Q461" s="183">
        <f t="shared" si="156"/>
        <v>460</v>
      </c>
      <c r="R461" s="183">
        <f t="shared" si="157"/>
        <v>920</v>
      </c>
      <c r="S461" s="183">
        <f t="shared" si="158"/>
        <v>460</v>
      </c>
      <c r="T461" s="183">
        <f t="shared" si="159"/>
        <v>920</v>
      </c>
      <c r="U461" s="183">
        <f t="shared" si="160"/>
        <v>460</v>
      </c>
      <c r="V461" s="183">
        <f t="shared" si="161"/>
        <v>920</v>
      </c>
      <c r="W461" s="12">
        <f>K461*属性价值参考!C$5+升级!L461*属性价值参考!C$6+升级!M461*属性价值参考!C$7+升级!N461*属性价值参考!C$8+升级!S461*属性价值参考!C$9+升级!T461*属性价值参考!C$10+升级!U461*属性价值参考!C$11+升级!V461*属性价值参考!C$12</f>
        <v>539745.6</v>
      </c>
    </row>
    <row r="462" spans="1:23" x14ac:dyDescent="0.3">
      <c r="A462" s="22"/>
      <c r="B462" s="22"/>
      <c r="C462" s="24">
        <v>461</v>
      </c>
      <c r="D462" s="27" t="str">
        <f t="shared" si="147"/>
        <v>0#1#64540|0#2#2212|0#3#461|0#4#922|0#9#461|0#10#922|0#11#461|0#12#922</v>
      </c>
      <c r="E462" s="27" t="str">
        <f t="shared" si="148"/>
        <v>1#1#10756|1#2#110640|1#3#461|1#4#922|1#9#461|1#10#922|1#11#461|1#12#922</v>
      </c>
      <c r="F462" s="27" t="str">
        <f t="shared" si="149"/>
        <v>2#1#32270|2#2#55320|2#3#461|2#4#922|2#9#461|2#10#922|2#11#461|2#12#922</v>
      </c>
      <c r="G462" s="27" t="str">
        <f t="shared" si="150"/>
        <v>0#1#64540|0#2#2212|0#3#461|0#4#922|0#9#461|0#10#922|0#11#461|0#12#922|1#1#10756|1#2#110640|1#3#461|1#4#922|1#9#461|1#10#922|1#11#461|1#12#922|2#1#32270|2#2#55320|2#3#461|2#4#922|2#9#461|2#10#922|2#11#461|2#12#922</v>
      </c>
      <c r="H462" s="22"/>
      <c r="I462" s="25">
        <v>4200000000</v>
      </c>
      <c r="J462" s="197">
        <v>461</v>
      </c>
      <c r="K462" s="183">
        <f t="shared" si="146"/>
        <v>64540</v>
      </c>
      <c r="L462" s="183">
        <f t="shared" si="151"/>
        <v>110640</v>
      </c>
      <c r="M462" s="183">
        <f t="shared" si="152"/>
        <v>461</v>
      </c>
      <c r="N462" s="183">
        <f t="shared" si="153"/>
        <v>922</v>
      </c>
      <c r="O462" s="183">
        <f t="shared" si="154"/>
        <v>461</v>
      </c>
      <c r="P462" s="183">
        <f t="shared" si="155"/>
        <v>922</v>
      </c>
      <c r="Q462" s="183">
        <f t="shared" si="156"/>
        <v>461</v>
      </c>
      <c r="R462" s="183">
        <f t="shared" si="157"/>
        <v>922</v>
      </c>
      <c r="S462" s="183">
        <f t="shared" si="158"/>
        <v>461</v>
      </c>
      <c r="T462" s="183">
        <f t="shared" si="159"/>
        <v>922</v>
      </c>
      <c r="U462" s="183">
        <f t="shared" si="160"/>
        <v>461</v>
      </c>
      <c r="V462" s="183">
        <f t="shared" si="161"/>
        <v>922</v>
      </c>
      <c r="W462" s="12">
        <f>K462*属性价值参考!C$5+升级!L462*属性价值参考!C$6+升级!M462*属性价值参考!C$7+升级!N462*属性价值参考!C$8+升级!S462*属性价值参考!C$9+升级!T462*属性价值参考!C$10+升级!U462*属性价值参考!C$11+升级!V462*属性价值参考!C$12</f>
        <v>540918.96</v>
      </c>
    </row>
    <row r="463" spans="1:23" x14ac:dyDescent="0.3">
      <c r="A463" s="22"/>
      <c r="B463" s="22"/>
      <c r="C463" s="27">
        <v>462</v>
      </c>
      <c r="D463" s="27" t="str">
        <f t="shared" si="147"/>
        <v>0#1#64680|0#2#2217|0#3#462|0#4#924|0#9#462|0#10#924|0#11#462|0#12#924</v>
      </c>
      <c r="E463" s="27" t="str">
        <f t="shared" si="148"/>
        <v>1#1#10780|1#2#110880|1#3#462|1#4#924|1#9#462|1#10#924|1#11#462|1#12#924</v>
      </c>
      <c r="F463" s="27" t="str">
        <f t="shared" si="149"/>
        <v>2#1#32340|2#2#55440|2#3#462|2#4#924|2#9#462|2#10#924|2#11#462|2#12#924</v>
      </c>
      <c r="G463" s="27" t="str">
        <f t="shared" si="150"/>
        <v>0#1#64680|0#2#2217|0#3#462|0#4#924|0#9#462|0#10#924|0#11#462|0#12#924|1#1#10780|1#2#110880|1#3#462|1#4#924|1#9#462|1#10#924|1#11#462|1#12#924|2#1#32340|2#2#55440|2#3#462|2#4#924|2#9#462|2#10#924|2#11#462|2#12#924</v>
      </c>
      <c r="H463" s="22"/>
      <c r="I463" s="28">
        <v>4200000000</v>
      </c>
      <c r="J463" s="198">
        <v>462</v>
      </c>
      <c r="K463" s="183">
        <f t="shared" si="146"/>
        <v>64680</v>
      </c>
      <c r="L463" s="183">
        <f t="shared" si="151"/>
        <v>110880</v>
      </c>
      <c r="M463" s="183">
        <f t="shared" si="152"/>
        <v>462</v>
      </c>
      <c r="N463" s="183">
        <f t="shared" si="153"/>
        <v>924</v>
      </c>
      <c r="O463" s="183">
        <f t="shared" si="154"/>
        <v>462</v>
      </c>
      <c r="P463" s="183">
        <f t="shared" si="155"/>
        <v>924</v>
      </c>
      <c r="Q463" s="183">
        <f t="shared" si="156"/>
        <v>462</v>
      </c>
      <c r="R463" s="183">
        <f t="shared" si="157"/>
        <v>924</v>
      </c>
      <c r="S463" s="183">
        <f t="shared" si="158"/>
        <v>462</v>
      </c>
      <c r="T463" s="183">
        <f t="shared" si="159"/>
        <v>924</v>
      </c>
      <c r="U463" s="183">
        <f t="shared" si="160"/>
        <v>462</v>
      </c>
      <c r="V463" s="183">
        <f t="shared" si="161"/>
        <v>924</v>
      </c>
      <c r="W463" s="12">
        <f>K463*属性价值参考!C$5+升级!L463*属性价值参考!C$6+升级!M463*属性价值参考!C$7+升级!N463*属性价值参考!C$8+升级!S463*属性价值参考!C$9+升级!T463*属性价值参考!C$10+升级!U463*属性价值参考!C$11+升级!V463*属性价值参考!C$12</f>
        <v>542092.31999999995</v>
      </c>
    </row>
    <row r="464" spans="1:23" x14ac:dyDescent="0.3">
      <c r="A464" s="22"/>
      <c r="B464" s="22"/>
      <c r="C464" s="24">
        <v>463</v>
      </c>
      <c r="D464" s="27" t="str">
        <f t="shared" si="147"/>
        <v>0#1#64820|0#2#2222|0#3#463|0#4#926|0#9#463|0#10#926|0#11#463|0#12#926</v>
      </c>
      <c r="E464" s="27" t="str">
        <f t="shared" si="148"/>
        <v>1#1#10803|1#2#111120|1#3#463|1#4#926|1#9#463|1#10#926|1#11#463|1#12#926</v>
      </c>
      <c r="F464" s="27" t="str">
        <f t="shared" si="149"/>
        <v>2#1#32410|2#2#55560|2#3#463|2#4#926|2#9#463|2#10#926|2#11#463|2#12#926</v>
      </c>
      <c r="G464" s="27" t="str">
        <f t="shared" si="150"/>
        <v>0#1#64820|0#2#2222|0#3#463|0#4#926|0#9#463|0#10#926|0#11#463|0#12#926|1#1#10803|1#2#111120|1#3#463|1#4#926|1#9#463|1#10#926|1#11#463|1#12#926|2#1#32410|2#2#55560|2#3#463|2#4#926|2#9#463|2#10#926|2#11#463|2#12#926</v>
      </c>
      <c r="H464" s="22"/>
      <c r="I464" s="25">
        <v>4200000000</v>
      </c>
      <c r="J464" s="197">
        <v>463</v>
      </c>
      <c r="K464" s="183">
        <f t="shared" si="146"/>
        <v>64820</v>
      </c>
      <c r="L464" s="183">
        <f t="shared" si="151"/>
        <v>111120</v>
      </c>
      <c r="M464" s="183">
        <f t="shared" si="152"/>
        <v>463</v>
      </c>
      <c r="N464" s="183">
        <f t="shared" si="153"/>
        <v>926</v>
      </c>
      <c r="O464" s="183">
        <f t="shared" si="154"/>
        <v>463</v>
      </c>
      <c r="P464" s="183">
        <f t="shared" si="155"/>
        <v>926</v>
      </c>
      <c r="Q464" s="183">
        <f t="shared" si="156"/>
        <v>463</v>
      </c>
      <c r="R464" s="183">
        <f t="shared" si="157"/>
        <v>926</v>
      </c>
      <c r="S464" s="183">
        <f t="shared" si="158"/>
        <v>463</v>
      </c>
      <c r="T464" s="183">
        <f t="shared" si="159"/>
        <v>926</v>
      </c>
      <c r="U464" s="183">
        <f t="shared" si="160"/>
        <v>463</v>
      </c>
      <c r="V464" s="183">
        <f t="shared" si="161"/>
        <v>926</v>
      </c>
      <c r="W464" s="12">
        <f>K464*属性价值参考!C$5+升级!L464*属性价值参考!C$6+升级!M464*属性价值参考!C$7+升级!N464*属性价值参考!C$8+升级!S464*属性价值参考!C$9+升级!T464*属性价值参考!C$10+升级!U464*属性价值参考!C$11+升级!V464*属性价值参考!C$12</f>
        <v>543265.67999999993</v>
      </c>
    </row>
    <row r="465" spans="1:23" x14ac:dyDescent="0.3">
      <c r="A465" s="22"/>
      <c r="B465" s="22"/>
      <c r="C465" s="27">
        <v>464</v>
      </c>
      <c r="D465" s="27" t="str">
        <f t="shared" si="147"/>
        <v>0#1#64960|0#2#2227|0#3#464|0#4#928|0#9#464|0#10#928|0#11#464|0#12#928</v>
      </c>
      <c r="E465" s="27" t="str">
        <f t="shared" si="148"/>
        <v>1#1#10826|1#2#111360|1#3#464|1#4#928|1#9#464|1#10#928|1#11#464|1#12#928</v>
      </c>
      <c r="F465" s="27" t="str">
        <f t="shared" si="149"/>
        <v>2#1#32480|2#2#55680|2#3#464|2#4#928|2#9#464|2#10#928|2#11#464|2#12#928</v>
      </c>
      <c r="G465" s="27" t="str">
        <f t="shared" si="150"/>
        <v>0#1#64960|0#2#2227|0#3#464|0#4#928|0#9#464|0#10#928|0#11#464|0#12#928|1#1#10826|1#2#111360|1#3#464|1#4#928|1#9#464|1#10#928|1#11#464|1#12#928|2#1#32480|2#2#55680|2#3#464|2#4#928|2#9#464|2#10#928|2#11#464|2#12#928</v>
      </c>
      <c r="H465" s="22"/>
      <c r="I465" s="28">
        <v>4200000000</v>
      </c>
      <c r="J465" s="198">
        <v>464</v>
      </c>
      <c r="K465" s="183">
        <f t="shared" si="146"/>
        <v>64960</v>
      </c>
      <c r="L465" s="183">
        <f t="shared" si="151"/>
        <v>111360</v>
      </c>
      <c r="M465" s="183">
        <f t="shared" si="152"/>
        <v>464</v>
      </c>
      <c r="N465" s="183">
        <f t="shared" si="153"/>
        <v>928</v>
      </c>
      <c r="O465" s="183">
        <f t="shared" si="154"/>
        <v>464</v>
      </c>
      <c r="P465" s="183">
        <f t="shared" si="155"/>
        <v>928</v>
      </c>
      <c r="Q465" s="183">
        <f t="shared" si="156"/>
        <v>464</v>
      </c>
      <c r="R465" s="183">
        <f t="shared" si="157"/>
        <v>928</v>
      </c>
      <c r="S465" s="183">
        <f t="shared" si="158"/>
        <v>464</v>
      </c>
      <c r="T465" s="183">
        <f t="shared" si="159"/>
        <v>928</v>
      </c>
      <c r="U465" s="183">
        <f t="shared" si="160"/>
        <v>464</v>
      </c>
      <c r="V465" s="183">
        <f t="shared" si="161"/>
        <v>928</v>
      </c>
      <c r="W465" s="12">
        <f>K465*属性价值参考!C$5+升级!L465*属性价值参考!C$6+升级!M465*属性价值参考!C$7+升级!N465*属性价值参考!C$8+升级!S465*属性价值参考!C$9+升级!T465*属性价值参考!C$10+升级!U465*属性价值参考!C$11+升级!V465*属性价值参考!C$12</f>
        <v>544439.04000000004</v>
      </c>
    </row>
    <row r="466" spans="1:23" x14ac:dyDescent="0.3">
      <c r="A466" s="22"/>
      <c r="B466" s="22"/>
      <c r="C466" s="24">
        <v>465</v>
      </c>
      <c r="D466" s="27" t="str">
        <f t="shared" si="147"/>
        <v>0#1#65100|0#2#2232|0#3#465|0#4#930|0#9#465|0#10#930|0#11#465|0#12#930</v>
      </c>
      <c r="E466" s="27" t="str">
        <f t="shared" si="148"/>
        <v>1#1#10850|1#2#111600|1#3#465|1#4#930|1#9#465|1#10#930|1#11#465|1#12#930</v>
      </c>
      <c r="F466" s="27" t="str">
        <f t="shared" si="149"/>
        <v>2#1#32550|2#2#55800|2#3#465|2#4#930|2#9#465|2#10#930|2#11#465|2#12#930</v>
      </c>
      <c r="G466" s="27" t="str">
        <f t="shared" si="150"/>
        <v>0#1#65100|0#2#2232|0#3#465|0#4#930|0#9#465|0#10#930|0#11#465|0#12#930|1#1#10850|1#2#111600|1#3#465|1#4#930|1#9#465|1#10#930|1#11#465|1#12#930|2#1#32550|2#2#55800|2#3#465|2#4#930|2#9#465|2#10#930|2#11#465|2#12#930</v>
      </c>
      <c r="H466" s="22"/>
      <c r="I466" s="25">
        <v>4200000000</v>
      </c>
      <c r="J466" s="197">
        <v>465</v>
      </c>
      <c r="K466" s="183">
        <f t="shared" si="146"/>
        <v>65100</v>
      </c>
      <c r="L466" s="183">
        <f t="shared" si="151"/>
        <v>111600</v>
      </c>
      <c r="M466" s="183">
        <f t="shared" si="152"/>
        <v>465</v>
      </c>
      <c r="N466" s="183">
        <f t="shared" si="153"/>
        <v>930</v>
      </c>
      <c r="O466" s="183">
        <f t="shared" si="154"/>
        <v>465</v>
      </c>
      <c r="P466" s="183">
        <f t="shared" si="155"/>
        <v>930</v>
      </c>
      <c r="Q466" s="183">
        <f t="shared" si="156"/>
        <v>465</v>
      </c>
      <c r="R466" s="183">
        <f t="shared" si="157"/>
        <v>930</v>
      </c>
      <c r="S466" s="183">
        <f t="shared" si="158"/>
        <v>465</v>
      </c>
      <c r="T466" s="183">
        <f t="shared" si="159"/>
        <v>930</v>
      </c>
      <c r="U466" s="183">
        <f t="shared" si="160"/>
        <v>465</v>
      </c>
      <c r="V466" s="183">
        <f t="shared" si="161"/>
        <v>930</v>
      </c>
      <c r="W466" s="12">
        <f>K466*属性价值参考!C$5+升级!L466*属性价值参考!C$6+升级!M466*属性价值参考!C$7+升级!N466*属性价值参考!C$8+升级!S466*属性价值参考!C$9+升级!T466*属性价值参考!C$10+升级!U466*属性价值参考!C$11+升级!V466*属性价值参考!C$12</f>
        <v>545612.4</v>
      </c>
    </row>
    <row r="467" spans="1:23" x14ac:dyDescent="0.3">
      <c r="A467" s="22"/>
      <c r="B467" s="22"/>
      <c r="C467" s="27">
        <v>466</v>
      </c>
      <c r="D467" s="27" t="str">
        <f t="shared" si="147"/>
        <v>0#1#65240|0#2#2236|0#3#466|0#4#932|0#9#466|0#10#932|0#11#466|0#12#932</v>
      </c>
      <c r="E467" s="27" t="str">
        <f t="shared" si="148"/>
        <v>1#1#10873|1#2#111840|1#3#466|1#4#932|1#9#466|1#10#932|1#11#466|1#12#932</v>
      </c>
      <c r="F467" s="27" t="str">
        <f t="shared" si="149"/>
        <v>2#1#32620|2#2#55920|2#3#466|2#4#932|2#9#466|2#10#932|2#11#466|2#12#932</v>
      </c>
      <c r="G467" s="27" t="str">
        <f t="shared" si="150"/>
        <v>0#1#65240|0#2#2236|0#3#466|0#4#932|0#9#466|0#10#932|0#11#466|0#12#932|1#1#10873|1#2#111840|1#3#466|1#4#932|1#9#466|1#10#932|1#11#466|1#12#932|2#1#32620|2#2#55920|2#3#466|2#4#932|2#9#466|2#10#932|2#11#466|2#12#932</v>
      </c>
      <c r="H467" s="22"/>
      <c r="I467" s="28">
        <v>4200000000</v>
      </c>
      <c r="J467" s="198">
        <v>466</v>
      </c>
      <c r="K467" s="183">
        <f t="shared" si="146"/>
        <v>65240</v>
      </c>
      <c r="L467" s="183">
        <f t="shared" si="151"/>
        <v>111840</v>
      </c>
      <c r="M467" s="183">
        <f t="shared" si="152"/>
        <v>466</v>
      </c>
      <c r="N467" s="183">
        <f t="shared" si="153"/>
        <v>932</v>
      </c>
      <c r="O467" s="183">
        <f t="shared" si="154"/>
        <v>466</v>
      </c>
      <c r="P467" s="183">
        <f t="shared" si="155"/>
        <v>932</v>
      </c>
      <c r="Q467" s="183">
        <f t="shared" si="156"/>
        <v>466</v>
      </c>
      <c r="R467" s="183">
        <f t="shared" si="157"/>
        <v>932</v>
      </c>
      <c r="S467" s="183">
        <f t="shared" si="158"/>
        <v>466</v>
      </c>
      <c r="T467" s="183">
        <f t="shared" si="159"/>
        <v>932</v>
      </c>
      <c r="U467" s="183">
        <f t="shared" si="160"/>
        <v>466</v>
      </c>
      <c r="V467" s="183">
        <f t="shared" si="161"/>
        <v>932</v>
      </c>
      <c r="W467" s="12">
        <f>K467*属性价值参考!C$5+升级!L467*属性价值参考!C$6+升级!M467*属性价值参考!C$7+升级!N467*属性价值参考!C$8+升级!S467*属性价值参考!C$9+升级!T467*属性价值参考!C$10+升级!U467*属性价值参考!C$11+升级!V467*属性价值参考!C$12</f>
        <v>546785.76</v>
      </c>
    </row>
    <row r="468" spans="1:23" x14ac:dyDescent="0.3">
      <c r="A468" s="22"/>
      <c r="B468" s="22"/>
      <c r="C468" s="24">
        <v>467</v>
      </c>
      <c r="D468" s="27" t="str">
        <f t="shared" si="147"/>
        <v>0#1#65380|0#2#2241|0#3#467|0#4#934|0#9#467|0#10#934|0#11#467|0#12#934</v>
      </c>
      <c r="E468" s="27" t="str">
        <f t="shared" si="148"/>
        <v>1#1#10896|1#2#112080|1#3#467|1#4#934|1#9#467|1#10#934|1#11#467|1#12#934</v>
      </c>
      <c r="F468" s="27" t="str">
        <f t="shared" si="149"/>
        <v>2#1#32690|2#2#56040|2#3#467|2#4#934|2#9#467|2#10#934|2#11#467|2#12#934</v>
      </c>
      <c r="G468" s="27" t="str">
        <f t="shared" si="150"/>
        <v>0#1#65380|0#2#2241|0#3#467|0#4#934|0#9#467|0#10#934|0#11#467|0#12#934|1#1#10896|1#2#112080|1#3#467|1#4#934|1#9#467|1#10#934|1#11#467|1#12#934|2#1#32690|2#2#56040|2#3#467|2#4#934|2#9#467|2#10#934|2#11#467|2#12#934</v>
      </c>
      <c r="H468" s="22"/>
      <c r="I468" s="25">
        <v>4200000000</v>
      </c>
      <c r="J468" s="197">
        <v>467</v>
      </c>
      <c r="K468" s="183">
        <f t="shared" si="146"/>
        <v>65380</v>
      </c>
      <c r="L468" s="183">
        <f t="shared" si="151"/>
        <v>112080</v>
      </c>
      <c r="M468" s="183">
        <f t="shared" si="152"/>
        <v>467</v>
      </c>
      <c r="N468" s="183">
        <f t="shared" si="153"/>
        <v>934</v>
      </c>
      <c r="O468" s="183">
        <f t="shared" si="154"/>
        <v>467</v>
      </c>
      <c r="P468" s="183">
        <f t="shared" si="155"/>
        <v>934</v>
      </c>
      <c r="Q468" s="183">
        <f t="shared" si="156"/>
        <v>467</v>
      </c>
      <c r="R468" s="183">
        <f t="shared" si="157"/>
        <v>934</v>
      </c>
      <c r="S468" s="183">
        <f t="shared" si="158"/>
        <v>467</v>
      </c>
      <c r="T468" s="183">
        <f t="shared" si="159"/>
        <v>934</v>
      </c>
      <c r="U468" s="183">
        <f t="shared" si="160"/>
        <v>467</v>
      </c>
      <c r="V468" s="183">
        <f t="shared" si="161"/>
        <v>934</v>
      </c>
      <c r="W468" s="12">
        <f>K468*属性价值参考!C$5+升级!L468*属性价值参考!C$6+升级!M468*属性价值参考!C$7+升级!N468*属性价值参考!C$8+升级!S468*属性价值参考!C$9+升级!T468*属性价值参考!C$10+升级!U468*属性价值参考!C$11+升级!V468*属性价值参考!C$12</f>
        <v>547959.12</v>
      </c>
    </row>
    <row r="469" spans="1:23" x14ac:dyDescent="0.3">
      <c r="A469" s="22"/>
      <c r="B469" s="22"/>
      <c r="C469" s="27">
        <v>468</v>
      </c>
      <c r="D469" s="27" t="str">
        <f t="shared" si="147"/>
        <v>0#1#65520|0#2#2246|0#3#468|0#4#936|0#9#468|0#10#936|0#11#468|0#12#936</v>
      </c>
      <c r="E469" s="27" t="str">
        <f t="shared" si="148"/>
        <v>1#1#10920|1#2#112320|1#3#468|1#4#936|1#9#468|1#10#936|1#11#468|1#12#936</v>
      </c>
      <c r="F469" s="27" t="str">
        <f t="shared" si="149"/>
        <v>2#1#32760|2#2#56160|2#3#468|2#4#936|2#9#468|2#10#936|2#11#468|2#12#936</v>
      </c>
      <c r="G469" s="27" t="str">
        <f t="shared" si="150"/>
        <v>0#1#65520|0#2#2246|0#3#468|0#4#936|0#9#468|0#10#936|0#11#468|0#12#936|1#1#10920|1#2#112320|1#3#468|1#4#936|1#9#468|1#10#936|1#11#468|1#12#936|2#1#32760|2#2#56160|2#3#468|2#4#936|2#9#468|2#10#936|2#11#468|2#12#936</v>
      </c>
      <c r="H469" s="22"/>
      <c r="I469" s="28">
        <v>4200000000</v>
      </c>
      <c r="J469" s="198">
        <v>468</v>
      </c>
      <c r="K469" s="183">
        <f t="shared" si="146"/>
        <v>65520</v>
      </c>
      <c r="L469" s="183">
        <f t="shared" si="151"/>
        <v>112320</v>
      </c>
      <c r="M469" s="183">
        <f t="shared" si="152"/>
        <v>468</v>
      </c>
      <c r="N469" s="183">
        <f t="shared" si="153"/>
        <v>936</v>
      </c>
      <c r="O469" s="183">
        <f t="shared" si="154"/>
        <v>468</v>
      </c>
      <c r="P469" s="183">
        <f t="shared" si="155"/>
        <v>936</v>
      </c>
      <c r="Q469" s="183">
        <f t="shared" si="156"/>
        <v>468</v>
      </c>
      <c r="R469" s="183">
        <f t="shared" si="157"/>
        <v>936</v>
      </c>
      <c r="S469" s="183">
        <f t="shared" si="158"/>
        <v>468</v>
      </c>
      <c r="T469" s="183">
        <f t="shared" si="159"/>
        <v>936</v>
      </c>
      <c r="U469" s="183">
        <f t="shared" si="160"/>
        <v>468</v>
      </c>
      <c r="V469" s="183">
        <f t="shared" si="161"/>
        <v>936</v>
      </c>
      <c r="W469" s="12">
        <f>K469*属性价值参考!C$5+升级!L469*属性价值参考!C$6+升级!M469*属性价值参考!C$7+升级!N469*属性价值参考!C$8+升级!S469*属性价值参考!C$9+升级!T469*属性价值参考!C$10+升级!U469*属性价值参考!C$11+升级!V469*属性价值参考!C$12</f>
        <v>549132.47999999986</v>
      </c>
    </row>
    <row r="470" spans="1:23" x14ac:dyDescent="0.3">
      <c r="A470" s="22"/>
      <c r="B470" s="22"/>
      <c r="C470" s="24">
        <v>469</v>
      </c>
      <c r="D470" s="27" t="str">
        <f t="shared" si="147"/>
        <v>0#1#65660|0#2#2251|0#3#469|0#4#938|0#9#469|0#10#938|0#11#469|0#12#938</v>
      </c>
      <c r="E470" s="27" t="str">
        <f t="shared" si="148"/>
        <v>1#1#10943|1#2#112560|1#3#469|1#4#938|1#9#469|1#10#938|1#11#469|1#12#938</v>
      </c>
      <c r="F470" s="27" t="str">
        <f t="shared" si="149"/>
        <v>2#1#32830|2#2#56280|2#3#469|2#4#938|2#9#469|2#10#938|2#11#469|2#12#938</v>
      </c>
      <c r="G470" s="27" t="str">
        <f t="shared" si="150"/>
        <v>0#1#65660|0#2#2251|0#3#469|0#4#938|0#9#469|0#10#938|0#11#469|0#12#938|1#1#10943|1#2#112560|1#3#469|1#4#938|1#9#469|1#10#938|1#11#469|1#12#938|2#1#32830|2#2#56280|2#3#469|2#4#938|2#9#469|2#10#938|2#11#469|2#12#938</v>
      </c>
      <c r="H470" s="22"/>
      <c r="I470" s="25">
        <v>4200000000</v>
      </c>
      <c r="J470" s="197">
        <v>469</v>
      </c>
      <c r="K470" s="183">
        <f t="shared" si="146"/>
        <v>65660</v>
      </c>
      <c r="L470" s="183">
        <f t="shared" si="151"/>
        <v>112560</v>
      </c>
      <c r="M470" s="183">
        <f t="shared" si="152"/>
        <v>469</v>
      </c>
      <c r="N470" s="183">
        <f t="shared" si="153"/>
        <v>938</v>
      </c>
      <c r="O470" s="183">
        <f t="shared" si="154"/>
        <v>469</v>
      </c>
      <c r="P470" s="183">
        <f t="shared" si="155"/>
        <v>938</v>
      </c>
      <c r="Q470" s="183">
        <f t="shared" si="156"/>
        <v>469</v>
      </c>
      <c r="R470" s="183">
        <f t="shared" si="157"/>
        <v>938</v>
      </c>
      <c r="S470" s="183">
        <f t="shared" si="158"/>
        <v>469</v>
      </c>
      <c r="T470" s="183">
        <f t="shared" si="159"/>
        <v>938</v>
      </c>
      <c r="U470" s="183">
        <f t="shared" si="160"/>
        <v>469</v>
      </c>
      <c r="V470" s="183">
        <f t="shared" si="161"/>
        <v>938</v>
      </c>
      <c r="W470" s="12">
        <f>K470*属性价值参考!C$5+升级!L470*属性价值参考!C$6+升级!M470*属性价值参考!C$7+升级!N470*属性价值参考!C$8+升级!S470*属性价值参考!C$9+升级!T470*属性价值参考!C$10+升级!U470*属性价值参考!C$11+升级!V470*属性价值参考!C$12</f>
        <v>550305.84000000008</v>
      </c>
    </row>
    <row r="471" spans="1:23" x14ac:dyDescent="0.3">
      <c r="A471" s="22"/>
      <c r="B471" s="22"/>
      <c r="C471" s="27">
        <v>470</v>
      </c>
      <c r="D471" s="27" t="str">
        <f t="shared" si="147"/>
        <v>0#1#65800|0#2#2256|0#3#470|0#4#940|0#9#470|0#10#940|0#11#470|0#12#940</v>
      </c>
      <c r="E471" s="27" t="str">
        <f t="shared" si="148"/>
        <v>1#1#10966|1#2#112800|1#3#470|1#4#940|1#9#470|1#10#940|1#11#470|1#12#940</v>
      </c>
      <c r="F471" s="27" t="str">
        <f t="shared" si="149"/>
        <v>2#1#32900|2#2#56400|2#3#470|2#4#940|2#9#470|2#10#940|2#11#470|2#12#940</v>
      </c>
      <c r="G471" s="27" t="str">
        <f t="shared" si="150"/>
        <v>0#1#65800|0#2#2256|0#3#470|0#4#940|0#9#470|0#10#940|0#11#470|0#12#940|1#1#10966|1#2#112800|1#3#470|1#4#940|1#9#470|1#10#940|1#11#470|1#12#940|2#1#32900|2#2#56400|2#3#470|2#4#940|2#9#470|2#10#940|2#11#470|2#12#940</v>
      </c>
      <c r="H471" s="22"/>
      <c r="I471" s="28">
        <v>4200000000</v>
      </c>
      <c r="J471" s="198">
        <v>470</v>
      </c>
      <c r="K471" s="183">
        <f t="shared" si="146"/>
        <v>65800</v>
      </c>
      <c r="L471" s="183">
        <f t="shared" si="151"/>
        <v>112800</v>
      </c>
      <c r="M471" s="183">
        <f t="shared" si="152"/>
        <v>470</v>
      </c>
      <c r="N471" s="183">
        <f t="shared" si="153"/>
        <v>940</v>
      </c>
      <c r="O471" s="183">
        <f t="shared" si="154"/>
        <v>470</v>
      </c>
      <c r="P471" s="183">
        <f t="shared" si="155"/>
        <v>940</v>
      </c>
      <c r="Q471" s="183">
        <f t="shared" si="156"/>
        <v>470</v>
      </c>
      <c r="R471" s="183">
        <f t="shared" si="157"/>
        <v>940</v>
      </c>
      <c r="S471" s="183">
        <f t="shared" si="158"/>
        <v>470</v>
      </c>
      <c r="T471" s="183">
        <f t="shared" si="159"/>
        <v>940</v>
      </c>
      <c r="U471" s="183">
        <f t="shared" si="160"/>
        <v>470</v>
      </c>
      <c r="V471" s="183">
        <f t="shared" si="161"/>
        <v>940</v>
      </c>
      <c r="W471" s="12">
        <f>K471*属性价值参考!C$5+升级!L471*属性价值参考!C$6+升级!M471*属性价值参考!C$7+升级!N471*属性价值参考!C$8+升级!S471*属性价值参考!C$9+升级!T471*属性价值参考!C$10+升级!U471*属性价值参考!C$11+升级!V471*属性价值参考!C$12</f>
        <v>551479.19999999995</v>
      </c>
    </row>
    <row r="472" spans="1:23" x14ac:dyDescent="0.3">
      <c r="A472" s="22"/>
      <c r="B472" s="22"/>
      <c r="C472" s="24">
        <v>471</v>
      </c>
      <c r="D472" s="27" t="str">
        <f t="shared" si="147"/>
        <v>0#1#65940|0#2#2260|0#3#471|0#4#942|0#9#471|0#10#942|0#11#471|0#12#942</v>
      </c>
      <c r="E472" s="27" t="str">
        <f t="shared" si="148"/>
        <v>1#1#10990|1#2#113040|1#3#471|1#4#942|1#9#471|1#10#942|1#11#471|1#12#942</v>
      </c>
      <c r="F472" s="27" t="str">
        <f t="shared" si="149"/>
        <v>2#1#32970|2#2#56520|2#3#471|2#4#942|2#9#471|2#10#942|2#11#471|2#12#942</v>
      </c>
      <c r="G472" s="27" t="str">
        <f t="shared" si="150"/>
        <v>0#1#65940|0#2#2260|0#3#471|0#4#942|0#9#471|0#10#942|0#11#471|0#12#942|1#1#10990|1#2#113040|1#3#471|1#4#942|1#9#471|1#10#942|1#11#471|1#12#942|2#1#32970|2#2#56520|2#3#471|2#4#942|2#9#471|2#10#942|2#11#471|2#12#942</v>
      </c>
      <c r="H472" s="22"/>
      <c r="I472" s="25">
        <v>4200000000</v>
      </c>
      <c r="J472" s="197">
        <v>471</v>
      </c>
      <c r="K472" s="183">
        <f t="shared" si="146"/>
        <v>65940</v>
      </c>
      <c r="L472" s="183">
        <f t="shared" si="151"/>
        <v>113040</v>
      </c>
      <c r="M472" s="183">
        <f t="shared" si="152"/>
        <v>471</v>
      </c>
      <c r="N472" s="183">
        <f t="shared" si="153"/>
        <v>942</v>
      </c>
      <c r="O472" s="183">
        <f t="shared" si="154"/>
        <v>471</v>
      </c>
      <c r="P472" s="183">
        <f t="shared" si="155"/>
        <v>942</v>
      </c>
      <c r="Q472" s="183">
        <f t="shared" si="156"/>
        <v>471</v>
      </c>
      <c r="R472" s="183">
        <f t="shared" si="157"/>
        <v>942</v>
      </c>
      <c r="S472" s="183">
        <f t="shared" si="158"/>
        <v>471</v>
      </c>
      <c r="T472" s="183">
        <f t="shared" si="159"/>
        <v>942</v>
      </c>
      <c r="U472" s="183">
        <f t="shared" si="160"/>
        <v>471</v>
      </c>
      <c r="V472" s="183">
        <f t="shared" si="161"/>
        <v>942</v>
      </c>
      <c r="W472" s="12">
        <f>K472*属性价值参考!C$5+升级!L472*属性价值参考!C$6+升级!M472*属性价值参考!C$7+升级!N472*属性价值参考!C$8+升级!S472*属性价值参考!C$9+升级!T472*属性价值参考!C$10+升级!U472*属性价值参考!C$11+升级!V472*属性价值参考!C$12</f>
        <v>552652.55999999994</v>
      </c>
    </row>
    <row r="473" spans="1:23" x14ac:dyDescent="0.3">
      <c r="A473" s="22"/>
      <c r="B473" s="22"/>
      <c r="C473" s="27">
        <v>472</v>
      </c>
      <c r="D473" s="27" t="str">
        <f t="shared" si="147"/>
        <v>0#1#66080|0#2#2265|0#3#472|0#4#944|0#9#472|0#10#944|0#11#472|0#12#944</v>
      </c>
      <c r="E473" s="27" t="str">
        <f t="shared" si="148"/>
        <v>1#1#11013|1#2#113280|1#3#472|1#4#944|1#9#472|1#10#944|1#11#472|1#12#944</v>
      </c>
      <c r="F473" s="27" t="str">
        <f t="shared" si="149"/>
        <v>2#1#33040|2#2#56640|2#3#472|2#4#944|2#9#472|2#10#944|2#11#472|2#12#944</v>
      </c>
      <c r="G473" s="27" t="str">
        <f t="shared" si="150"/>
        <v>0#1#66080|0#2#2265|0#3#472|0#4#944|0#9#472|0#10#944|0#11#472|0#12#944|1#1#11013|1#2#113280|1#3#472|1#4#944|1#9#472|1#10#944|1#11#472|1#12#944|2#1#33040|2#2#56640|2#3#472|2#4#944|2#9#472|2#10#944|2#11#472|2#12#944</v>
      </c>
      <c r="H473" s="22"/>
      <c r="I473" s="28">
        <v>4200000000</v>
      </c>
      <c r="J473" s="198">
        <v>472</v>
      </c>
      <c r="K473" s="183">
        <f t="shared" si="146"/>
        <v>66080</v>
      </c>
      <c r="L473" s="183">
        <f t="shared" si="151"/>
        <v>113280</v>
      </c>
      <c r="M473" s="183">
        <f t="shared" si="152"/>
        <v>472</v>
      </c>
      <c r="N473" s="183">
        <f t="shared" si="153"/>
        <v>944</v>
      </c>
      <c r="O473" s="183">
        <f t="shared" si="154"/>
        <v>472</v>
      </c>
      <c r="P473" s="183">
        <f t="shared" si="155"/>
        <v>944</v>
      </c>
      <c r="Q473" s="183">
        <f t="shared" si="156"/>
        <v>472</v>
      </c>
      <c r="R473" s="183">
        <f t="shared" si="157"/>
        <v>944</v>
      </c>
      <c r="S473" s="183">
        <f t="shared" si="158"/>
        <v>472</v>
      </c>
      <c r="T473" s="183">
        <f t="shared" si="159"/>
        <v>944</v>
      </c>
      <c r="U473" s="183">
        <f t="shared" si="160"/>
        <v>472</v>
      </c>
      <c r="V473" s="183">
        <f t="shared" si="161"/>
        <v>944</v>
      </c>
      <c r="W473" s="12">
        <f>K473*属性价值参考!C$5+升级!L473*属性价值参考!C$6+升级!M473*属性价值参考!C$7+升级!N473*属性价值参考!C$8+升级!S473*属性价值参考!C$9+升级!T473*属性价值参考!C$10+升级!U473*属性价值参考!C$11+升级!V473*属性价值参考!C$12</f>
        <v>553825.92000000004</v>
      </c>
    </row>
    <row r="474" spans="1:23" x14ac:dyDescent="0.3">
      <c r="A474" s="22"/>
      <c r="B474" s="22"/>
      <c r="C474" s="24">
        <v>473</v>
      </c>
      <c r="D474" s="27" t="str">
        <f t="shared" si="147"/>
        <v>0#1#66220|0#2#2270|0#3#473|0#4#946|0#9#473|0#10#946|0#11#473|0#12#946</v>
      </c>
      <c r="E474" s="27" t="str">
        <f t="shared" si="148"/>
        <v>1#1#11036|1#2#113520|1#3#473|1#4#946|1#9#473|1#10#946|1#11#473|1#12#946</v>
      </c>
      <c r="F474" s="27" t="str">
        <f t="shared" si="149"/>
        <v>2#1#33110|2#2#56760|2#3#473|2#4#946|2#9#473|2#10#946|2#11#473|2#12#946</v>
      </c>
      <c r="G474" s="27" t="str">
        <f t="shared" si="150"/>
        <v>0#1#66220|0#2#2270|0#3#473|0#4#946|0#9#473|0#10#946|0#11#473|0#12#946|1#1#11036|1#2#113520|1#3#473|1#4#946|1#9#473|1#10#946|1#11#473|1#12#946|2#1#33110|2#2#56760|2#3#473|2#4#946|2#9#473|2#10#946|2#11#473|2#12#946</v>
      </c>
      <c r="H474" s="22"/>
      <c r="I474" s="25">
        <v>4200000000</v>
      </c>
      <c r="J474" s="197">
        <v>473</v>
      </c>
      <c r="K474" s="183">
        <f t="shared" si="146"/>
        <v>66220</v>
      </c>
      <c r="L474" s="183">
        <f t="shared" si="151"/>
        <v>113520</v>
      </c>
      <c r="M474" s="183">
        <f t="shared" si="152"/>
        <v>473</v>
      </c>
      <c r="N474" s="183">
        <f t="shared" si="153"/>
        <v>946</v>
      </c>
      <c r="O474" s="183">
        <f t="shared" si="154"/>
        <v>473</v>
      </c>
      <c r="P474" s="183">
        <f t="shared" si="155"/>
        <v>946</v>
      </c>
      <c r="Q474" s="183">
        <f t="shared" si="156"/>
        <v>473</v>
      </c>
      <c r="R474" s="183">
        <f t="shared" si="157"/>
        <v>946</v>
      </c>
      <c r="S474" s="183">
        <f t="shared" si="158"/>
        <v>473</v>
      </c>
      <c r="T474" s="183">
        <f t="shared" si="159"/>
        <v>946</v>
      </c>
      <c r="U474" s="183">
        <f t="shared" si="160"/>
        <v>473</v>
      </c>
      <c r="V474" s="183">
        <f t="shared" si="161"/>
        <v>946</v>
      </c>
      <c r="W474" s="12">
        <f>K474*属性价值参考!C$5+升级!L474*属性价值参考!C$6+升级!M474*属性价值参考!C$7+升级!N474*属性价值参考!C$8+升级!S474*属性价值参考!C$9+升级!T474*属性价值参考!C$10+升级!U474*属性价值参考!C$11+升级!V474*属性价值参考!C$12</f>
        <v>554999.27999999991</v>
      </c>
    </row>
    <row r="475" spans="1:23" x14ac:dyDescent="0.3">
      <c r="A475" s="22"/>
      <c r="B475" s="22"/>
      <c r="C475" s="27">
        <v>474</v>
      </c>
      <c r="D475" s="27" t="str">
        <f t="shared" si="147"/>
        <v>0#1#66360|0#2#2275|0#3#474|0#4#948|0#9#474|0#10#948|0#11#474|0#12#948</v>
      </c>
      <c r="E475" s="27" t="str">
        <f t="shared" si="148"/>
        <v>1#1#11060|1#2#113760|1#3#474|1#4#948|1#9#474|1#10#948|1#11#474|1#12#948</v>
      </c>
      <c r="F475" s="27" t="str">
        <f t="shared" si="149"/>
        <v>2#1#33180|2#2#56880|2#3#474|2#4#948|2#9#474|2#10#948|2#11#474|2#12#948</v>
      </c>
      <c r="G475" s="27" t="str">
        <f t="shared" si="150"/>
        <v>0#1#66360|0#2#2275|0#3#474|0#4#948|0#9#474|0#10#948|0#11#474|0#12#948|1#1#11060|1#2#113760|1#3#474|1#4#948|1#9#474|1#10#948|1#11#474|1#12#948|2#1#33180|2#2#56880|2#3#474|2#4#948|2#9#474|2#10#948|2#11#474|2#12#948</v>
      </c>
      <c r="H475" s="22"/>
      <c r="I475" s="28">
        <v>4200000000</v>
      </c>
      <c r="J475" s="198">
        <v>474</v>
      </c>
      <c r="K475" s="183">
        <f t="shared" si="146"/>
        <v>66360</v>
      </c>
      <c r="L475" s="183">
        <f t="shared" si="151"/>
        <v>113760</v>
      </c>
      <c r="M475" s="183">
        <f t="shared" si="152"/>
        <v>474</v>
      </c>
      <c r="N475" s="183">
        <f t="shared" si="153"/>
        <v>948</v>
      </c>
      <c r="O475" s="183">
        <f t="shared" si="154"/>
        <v>474</v>
      </c>
      <c r="P475" s="183">
        <f t="shared" si="155"/>
        <v>948</v>
      </c>
      <c r="Q475" s="183">
        <f t="shared" si="156"/>
        <v>474</v>
      </c>
      <c r="R475" s="183">
        <f t="shared" si="157"/>
        <v>948</v>
      </c>
      <c r="S475" s="183">
        <f t="shared" si="158"/>
        <v>474</v>
      </c>
      <c r="T475" s="183">
        <f t="shared" si="159"/>
        <v>948</v>
      </c>
      <c r="U475" s="183">
        <f t="shared" si="160"/>
        <v>474</v>
      </c>
      <c r="V475" s="183">
        <f t="shared" si="161"/>
        <v>948</v>
      </c>
      <c r="W475" s="12">
        <f>K475*属性价值参考!C$5+升级!L475*属性价值参考!C$6+升级!M475*属性价值参考!C$7+升级!N475*属性价值参考!C$8+升级!S475*属性价值参考!C$9+升级!T475*属性价值参考!C$10+升级!U475*属性价值参考!C$11+升级!V475*属性价值参考!C$12</f>
        <v>556172.64</v>
      </c>
    </row>
    <row r="476" spans="1:23" x14ac:dyDescent="0.3">
      <c r="A476" s="22"/>
      <c r="B476" s="22"/>
      <c r="C476" s="24">
        <v>475</v>
      </c>
      <c r="D476" s="27" t="str">
        <f t="shared" si="147"/>
        <v>0#1#66500|0#2#2280|0#3#475|0#4#950|0#9#475|0#10#950|0#11#475|0#12#950</v>
      </c>
      <c r="E476" s="27" t="str">
        <f t="shared" si="148"/>
        <v>1#1#11083|1#2#114000|1#3#475|1#4#950|1#9#475|1#10#950|1#11#475|1#12#950</v>
      </c>
      <c r="F476" s="27" t="str">
        <f t="shared" si="149"/>
        <v>2#1#33250|2#2#57000|2#3#475|2#4#950|2#9#475|2#10#950|2#11#475|2#12#950</v>
      </c>
      <c r="G476" s="27" t="str">
        <f t="shared" si="150"/>
        <v>0#1#66500|0#2#2280|0#3#475|0#4#950|0#9#475|0#10#950|0#11#475|0#12#950|1#1#11083|1#2#114000|1#3#475|1#4#950|1#9#475|1#10#950|1#11#475|1#12#950|2#1#33250|2#2#57000|2#3#475|2#4#950|2#9#475|2#10#950|2#11#475|2#12#950</v>
      </c>
      <c r="H476" s="22"/>
      <c r="I476" s="25">
        <v>4200000000</v>
      </c>
      <c r="J476" s="197">
        <v>475</v>
      </c>
      <c r="K476" s="183">
        <f t="shared" si="146"/>
        <v>66500</v>
      </c>
      <c r="L476" s="183">
        <f t="shared" si="151"/>
        <v>114000</v>
      </c>
      <c r="M476" s="183">
        <f t="shared" si="152"/>
        <v>475</v>
      </c>
      <c r="N476" s="183">
        <f t="shared" si="153"/>
        <v>950</v>
      </c>
      <c r="O476" s="183">
        <f t="shared" si="154"/>
        <v>475</v>
      </c>
      <c r="P476" s="183">
        <f t="shared" si="155"/>
        <v>950</v>
      </c>
      <c r="Q476" s="183">
        <f t="shared" si="156"/>
        <v>475</v>
      </c>
      <c r="R476" s="183">
        <f t="shared" si="157"/>
        <v>950</v>
      </c>
      <c r="S476" s="183">
        <f t="shared" si="158"/>
        <v>475</v>
      </c>
      <c r="T476" s="183">
        <f t="shared" si="159"/>
        <v>950</v>
      </c>
      <c r="U476" s="183">
        <f t="shared" si="160"/>
        <v>475</v>
      </c>
      <c r="V476" s="183">
        <f t="shared" si="161"/>
        <v>950</v>
      </c>
      <c r="W476" s="12">
        <f>K476*属性价值参考!C$5+升级!L476*属性价值参考!C$6+升级!M476*属性价值参考!C$7+升级!N476*属性价值参考!C$8+升级!S476*属性价值参考!C$9+升级!T476*属性价值参考!C$10+升级!U476*属性价值参考!C$11+升级!V476*属性价值参考!C$12</f>
        <v>557346</v>
      </c>
    </row>
    <row r="477" spans="1:23" x14ac:dyDescent="0.3">
      <c r="A477" s="22"/>
      <c r="B477" s="22"/>
      <c r="C477" s="27">
        <v>476</v>
      </c>
      <c r="D477" s="27" t="str">
        <f t="shared" si="147"/>
        <v>0#1#66640|0#2#2284|0#3#476|0#4#952|0#9#476|0#10#952|0#11#476|0#12#952</v>
      </c>
      <c r="E477" s="27" t="str">
        <f t="shared" si="148"/>
        <v>1#1#11106|1#2#114240|1#3#476|1#4#952|1#9#476|1#10#952|1#11#476|1#12#952</v>
      </c>
      <c r="F477" s="27" t="str">
        <f t="shared" si="149"/>
        <v>2#1#33320|2#2#57120|2#3#476|2#4#952|2#9#476|2#10#952|2#11#476|2#12#952</v>
      </c>
      <c r="G477" s="27" t="str">
        <f t="shared" si="150"/>
        <v>0#1#66640|0#2#2284|0#3#476|0#4#952|0#9#476|0#10#952|0#11#476|0#12#952|1#1#11106|1#2#114240|1#3#476|1#4#952|1#9#476|1#10#952|1#11#476|1#12#952|2#1#33320|2#2#57120|2#3#476|2#4#952|2#9#476|2#10#952|2#11#476|2#12#952</v>
      </c>
      <c r="H477" s="22"/>
      <c r="I477" s="28">
        <v>4200000000</v>
      </c>
      <c r="J477" s="198">
        <v>476</v>
      </c>
      <c r="K477" s="183">
        <f t="shared" si="146"/>
        <v>66640</v>
      </c>
      <c r="L477" s="183">
        <f t="shared" si="151"/>
        <v>114240</v>
      </c>
      <c r="M477" s="183">
        <f t="shared" si="152"/>
        <v>476</v>
      </c>
      <c r="N477" s="183">
        <f t="shared" si="153"/>
        <v>952</v>
      </c>
      <c r="O477" s="183">
        <f t="shared" si="154"/>
        <v>476</v>
      </c>
      <c r="P477" s="183">
        <f t="shared" si="155"/>
        <v>952</v>
      </c>
      <c r="Q477" s="183">
        <f t="shared" si="156"/>
        <v>476</v>
      </c>
      <c r="R477" s="183">
        <f t="shared" si="157"/>
        <v>952</v>
      </c>
      <c r="S477" s="183">
        <f t="shared" si="158"/>
        <v>476</v>
      </c>
      <c r="T477" s="183">
        <f t="shared" si="159"/>
        <v>952</v>
      </c>
      <c r="U477" s="183">
        <f t="shared" si="160"/>
        <v>476</v>
      </c>
      <c r="V477" s="183">
        <f t="shared" si="161"/>
        <v>952</v>
      </c>
      <c r="W477" s="12">
        <f>K477*属性价值参考!C$5+升级!L477*属性价值参考!C$6+升级!M477*属性价值参考!C$7+升级!N477*属性价值参考!C$8+升级!S477*属性价值参考!C$9+升级!T477*属性价值参考!C$10+升级!U477*属性价值参考!C$11+升级!V477*属性价值参考!C$12</f>
        <v>558519.36</v>
      </c>
    </row>
    <row r="478" spans="1:23" x14ac:dyDescent="0.3">
      <c r="A478" s="22"/>
      <c r="B478" s="22"/>
      <c r="C478" s="24">
        <v>477</v>
      </c>
      <c r="D478" s="27" t="str">
        <f t="shared" si="147"/>
        <v>0#1#66780|0#2#2289|0#3#477|0#4#954|0#9#477|0#10#954|0#11#477|0#12#954</v>
      </c>
      <c r="E478" s="27" t="str">
        <f t="shared" si="148"/>
        <v>1#1#11130|1#2#114480|1#3#477|1#4#954|1#9#477|1#10#954|1#11#477|1#12#954</v>
      </c>
      <c r="F478" s="27" t="str">
        <f t="shared" si="149"/>
        <v>2#1#33390|2#2#57240|2#3#477|2#4#954|2#9#477|2#10#954|2#11#477|2#12#954</v>
      </c>
      <c r="G478" s="27" t="str">
        <f t="shared" si="150"/>
        <v>0#1#66780|0#2#2289|0#3#477|0#4#954|0#9#477|0#10#954|0#11#477|0#12#954|1#1#11130|1#2#114480|1#3#477|1#4#954|1#9#477|1#10#954|1#11#477|1#12#954|2#1#33390|2#2#57240|2#3#477|2#4#954|2#9#477|2#10#954|2#11#477|2#12#954</v>
      </c>
      <c r="H478" s="22"/>
      <c r="I478" s="25">
        <v>4200000000</v>
      </c>
      <c r="J478" s="197">
        <v>477</v>
      </c>
      <c r="K478" s="183">
        <f t="shared" si="146"/>
        <v>66780</v>
      </c>
      <c r="L478" s="183">
        <f t="shared" si="151"/>
        <v>114480</v>
      </c>
      <c r="M478" s="183">
        <f t="shared" si="152"/>
        <v>477</v>
      </c>
      <c r="N478" s="183">
        <f t="shared" si="153"/>
        <v>954</v>
      </c>
      <c r="O478" s="183">
        <f t="shared" si="154"/>
        <v>477</v>
      </c>
      <c r="P478" s="183">
        <f t="shared" si="155"/>
        <v>954</v>
      </c>
      <c r="Q478" s="183">
        <f t="shared" si="156"/>
        <v>477</v>
      </c>
      <c r="R478" s="183">
        <f t="shared" si="157"/>
        <v>954</v>
      </c>
      <c r="S478" s="183">
        <f t="shared" si="158"/>
        <v>477</v>
      </c>
      <c r="T478" s="183">
        <f t="shared" si="159"/>
        <v>954</v>
      </c>
      <c r="U478" s="183">
        <f t="shared" si="160"/>
        <v>477</v>
      </c>
      <c r="V478" s="183">
        <f t="shared" si="161"/>
        <v>954</v>
      </c>
      <c r="W478" s="12">
        <f>K478*属性价值参考!C$5+升级!L478*属性价值参考!C$6+升级!M478*属性价值参考!C$7+升级!N478*属性价值参考!C$8+升级!S478*属性价值参考!C$9+升级!T478*属性价值参考!C$10+升级!U478*属性价值参考!C$11+升级!V478*属性价值参考!C$12</f>
        <v>559692.72000000009</v>
      </c>
    </row>
    <row r="479" spans="1:23" x14ac:dyDescent="0.3">
      <c r="A479" s="22"/>
      <c r="B479" s="22"/>
      <c r="C479" s="27">
        <v>478</v>
      </c>
      <c r="D479" s="27" t="str">
        <f t="shared" si="147"/>
        <v>0#1#66920|0#2#2294|0#3#478|0#4#956|0#9#478|0#10#956|0#11#478|0#12#956</v>
      </c>
      <c r="E479" s="27" t="str">
        <f t="shared" si="148"/>
        <v>1#1#11153|1#2#114720|1#3#478|1#4#956|1#9#478|1#10#956|1#11#478|1#12#956</v>
      </c>
      <c r="F479" s="27" t="str">
        <f t="shared" si="149"/>
        <v>2#1#33460|2#2#57360|2#3#478|2#4#956|2#9#478|2#10#956|2#11#478|2#12#956</v>
      </c>
      <c r="G479" s="27" t="str">
        <f t="shared" si="150"/>
        <v>0#1#66920|0#2#2294|0#3#478|0#4#956|0#9#478|0#10#956|0#11#478|0#12#956|1#1#11153|1#2#114720|1#3#478|1#4#956|1#9#478|1#10#956|1#11#478|1#12#956|2#1#33460|2#2#57360|2#3#478|2#4#956|2#9#478|2#10#956|2#11#478|2#12#956</v>
      </c>
      <c r="H479" s="22"/>
      <c r="I479" s="28">
        <v>4200000000</v>
      </c>
      <c r="J479" s="198">
        <v>478</v>
      </c>
      <c r="K479" s="183">
        <f t="shared" si="146"/>
        <v>66920</v>
      </c>
      <c r="L479" s="183">
        <f t="shared" si="151"/>
        <v>114720</v>
      </c>
      <c r="M479" s="183">
        <f t="shared" si="152"/>
        <v>478</v>
      </c>
      <c r="N479" s="183">
        <f t="shared" si="153"/>
        <v>956</v>
      </c>
      <c r="O479" s="183">
        <f t="shared" si="154"/>
        <v>478</v>
      </c>
      <c r="P479" s="183">
        <f t="shared" si="155"/>
        <v>956</v>
      </c>
      <c r="Q479" s="183">
        <f t="shared" si="156"/>
        <v>478</v>
      </c>
      <c r="R479" s="183">
        <f t="shared" si="157"/>
        <v>956</v>
      </c>
      <c r="S479" s="183">
        <f t="shared" si="158"/>
        <v>478</v>
      </c>
      <c r="T479" s="183">
        <f t="shared" si="159"/>
        <v>956</v>
      </c>
      <c r="U479" s="183">
        <f t="shared" si="160"/>
        <v>478</v>
      </c>
      <c r="V479" s="183">
        <f t="shared" si="161"/>
        <v>956</v>
      </c>
      <c r="W479" s="12">
        <f>K479*属性价值参考!C$5+升级!L479*属性价值参考!C$6+升级!M479*属性价值参考!C$7+升级!N479*属性价值参考!C$8+升级!S479*属性价值参考!C$9+升级!T479*属性价值参考!C$10+升级!U479*属性价值参考!C$11+升级!V479*属性价值参考!C$12</f>
        <v>560866.07999999984</v>
      </c>
    </row>
    <row r="480" spans="1:23" x14ac:dyDescent="0.3">
      <c r="A480" s="22"/>
      <c r="B480" s="22"/>
      <c r="C480" s="24">
        <v>479</v>
      </c>
      <c r="D480" s="27" t="str">
        <f t="shared" si="147"/>
        <v>0#1#67060|0#2#2299|0#3#479|0#4#958|0#9#479|0#10#958|0#11#479|0#12#958</v>
      </c>
      <c r="E480" s="27" t="str">
        <f t="shared" si="148"/>
        <v>1#1#11176|1#2#114960|1#3#479|1#4#958|1#9#479|1#10#958|1#11#479|1#12#958</v>
      </c>
      <c r="F480" s="27" t="str">
        <f t="shared" si="149"/>
        <v>2#1#33530|2#2#57480|2#3#479|2#4#958|2#9#479|2#10#958|2#11#479|2#12#958</v>
      </c>
      <c r="G480" s="27" t="str">
        <f t="shared" si="150"/>
        <v>0#1#67060|0#2#2299|0#3#479|0#4#958|0#9#479|0#10#958|0#11#479|0#12#958|1#1#11176|1#2#114960|1#3#479|1#4#958|1#9#479|1#10#958|1#11#479|1#12#958|2#1#33530|2#2#57480|2#3#479|2#4#958|2#9#479|2#10#958|2#11#479|2#12#958</v>
      </c>
      <c r="H480" s="22"/>
      <c r="I480" s="25">
        <v>4200000000</v>
      </c>
      <c r="J480" s="197">
        <v>479</v>
      </c>
      <c r="K480" s="183">
        <f t="shared" si="146"/>
        <v>67060</v>
      </c>
      <c r="L480" s="183">
        <f t="shared" si="151"/>
        <v>114960</v>
      </c>
      <c r="M480" s="183">
        <f t="shared" si="152"/>
        <v>479</v>
      </c>
      <c r="N480" s="183">
        <f t="shared" si="153"/>
        <v>958</v>
      </c>
      <c r="O480" s="183">
        <f t="shared" si="154"/>
        <v>479</v>
      </c>
      <c r="P480" s="183">
        <f t="shared" si="155"/>
        <v>958</v>
      </c>
      <c r="Q480" s="183">
        <f t="shared" si="156"/>
        <v>479</v>
      </c>
      <c r="R480" s="183">
        <f t="shared" si="157"/>
        <v>958</v>
      </c>
      <c r="S480" s="183">
        <f t="shared" si="158"/>
        <v>479</v>
      </c>
      <c r="T480" s="183">
        <f t="shared" si="159"/>
        <v>958</v>
      </c>
      <c r="U480" s="183">
        <f t="shared" si="160"/>
        <v>479</v>
      </c>
      <c r="V480" s="183">
        <f t="shared" si="161"/>
        <v>958</v>
      </c>
      <c r="W480" s="12">
        <f>K480*属性价值参考!C$5+升级!L480*属性价值参考!C$6+升级!M480*属性价值参考!C$7+升级!N480*属性价值参考!C$8+升级!S480*属性价值参考!C$9+升级!T480*属性价值参考!C$10+升级!U480*属性价值参考!C$11+升级!V480*属性价值参考!C$12</f>
        <v>562039.44000000006</v>
      </c>
    </row>
    <row r="481" spans="1:23" x14ac:dyDescent="0.3">
      <c r="A481" s="22"/>
      <c r="B481" s="22"/>
      <c r="C481" s="27">
        <v>480</v>
      </c>
      <c r="D481" s="27" t="str">
        <f t="shared" si="147"/>
        <v>0#1#67200|0#2#2304|0#3#480|0#4#960|0#9#480|0#10#960|0#11#480|0#12#960</v>
      </c>
      <c r="E481" s="27" t="str">
        <f t="shared" si="148"/>
        <v>1#1#11200|1#2#115200|1#3#480|1#4#960|1#9#480|1#10#960|1#11#480|1#12#960</v>
      </c>
      <c r="F481" s="27" t="str">
        <f t="shared" si="149"/>
        <v>2#1#33600|2#2#57600|2#3#480|2#4#960|2#9#480|2#10#960|2#11#480|2#12#960</v>
      </c>
      <c r="G481" s="27" t="str">
        <f t="shared" si="150"/>
        <v>0#1#67200|0#2#2304|0#3#480|0#4#960|0#9#480|0#10#960|0#11#480|0#12#960|1#1#11200|1#2#115200|1#3#480|1#4#960|1#9#480|1#10#960|1#11#480|1#12#960|2#1#33600|2#2#57600|2#3#480|2#4#960|2#9#480|2#10#960|2#11#480|2#12#960</v>
      </c>
      <c r="H481" s="22"/>
      <c r="I481" s="28">
        <v>4200000000</v>
      </c>
      <c r="J481" s="198">
        <v>480</v>
      </c>
      <c r="K481" s="183">
        <f t="shared" si="146"/>
        <v>67200</v>
      </c>
      <c r="L481" s="183">
        <f t="shared" si="151"/>
        <v>115200</v>
      </c>
      <c r="M481" s="183">
        <f t="shared" si="152"/>
        <v>480</v>
      </c>
      <c r="N481" s="183">
        <f t="shared" si="153"/>
        <v>960</v>
      </c>
      <c r="O481" s="183">
        <f t="shared" si="154"/>
        <v>480</v>
      </c>
      <c r="P481" s="183">
        <f t="shared" si="155"/>
        <v>960</v>
      </c>
      <c r="Q481" s="183">
        <f t="shared" si="156"/>
        <v>480</v>
      </c>
      <c r="R481" s="183">
        <f t="shared" si="157"/>
        <v>960</v>
      </c>
      <c r="S481" s="183">
        <f t="shared" si="158"/>
        <v>480</v>
      </c>
      <c r="T481" s="183">
        <f t="shared" si="159"/>
        <v>960</v>
      </c>
      <c r="U481" s="183">
        <f t="shared" si="160"/>
        <v>480</v>
      </c>
      <c r="V481" s="183">
        <f t="shared" si="161"/>
        <v>960</v>
      </c>
      <c r="W481" s="12">
        <f>K481*属性价值参考!C$5+升级!L481*属性价值参考!C$6+升级!M481*属性价值参考!C$7+升级!N481*属性价值参考!C$8+升级!S481*属性价值参考!C$9+升级!T481*属性价值参考!C$10+升级!U481*属性价值参考!C$11+升级!V481*属性价值参考!C$12</f>
        <v>563212.80000000005</v>
      </c>
    </row>
    <row r="482" spans="1:23" x14ac:dyDescent="0.3">
      <c r="A482" s="22"/>
      <c r="B482" s="22"/>
      <c r="C482" s="24">
        <v>481</v>
      </c>
      <c r="D482" s="27" t="str">
        <f t="shared" si="147"/>
        <v>0#1#67340|0#2#2308|0#3#481|0#4#962|0#9#481|0#10#962|0#11#481|0#12#962</v>
      </c>
      <c r="E482" s="27" t="str">
        <f t="shared" si="148"/>
        <v>1#1#11223|1#2#115440|1#3#481|1#4#962|1#9#481|1#10#962|1#11#481|1#12#962</v>
      </c>
      <c r="F482" s="27" t="str">
        <f t="shared" si="149"/>
        <v>2#1#33670|2#2#57720|2#3#481|2#4#962|2#9#481|2#10#962|2#11#481|2#12#962</v>
      </c>
      <c r="G482" s="27" t="str">
        <f t="shared" si="150"/>
        <v>0#1#67340|0#2#2308|0#3#481|0#4#962|0#9#481|0#10#962|0#11#481|0#12#962|1#1#11223|1#2#115440|1#3#481|1#4#962|1#9#481|1#10#962|1#11#481|1#12#962|2#1#33670|2#2#57720|2#3#481|2#4#962|2#9#481|2#10#962|2#11#481|2#12#962</v>
      </c>
      <c r="H482" s="22"/>
      <c r="I482" s="25">
        <v>4200000000</v>
      </c>
      <c r="J482" s="197">
        <v>481</v>
      </c>
      <c r="K482" s="183">
        <f t="shared" si="146"/>
        <v>67340</v>
      </c>
      <c r="L482" s="183">
        <f t="shared" si="151"/>
        <v>115440</v>
      </c>
      <c r="M482" s="183">
        <f t="shared" si="152"/>
        <v>481</v>
      </c>
      <c r="N482" s="183">
        <f t="shared" si="153"/>
        <v>962</v>
      </c>
      <c r="O482" s="183">
        <f t="shared" si="154"/>
        <v>481</v>
      </c>
      <c r="P482" s="183">
        <f t="shared" si="155"/>
        <v>962</v>
      </c>
      <c r="Q482" s="183">
        <f t="shared" si="156"/>
        <v>481</v>
      </c>
      <c r="R482" s="183">
        <f t="shared" si="157"/>
        <v>962</v>
      </c>
      <c r="S482" s="183">
        <f t="shared" si="158"/>
        <v>481</v>
      </c>
      <c r="T482" s="183">
        <f t="shared" si="159"/>
        <v>962</v>
      </c>
      <c r="U482" s="183">
        <f t="shared" si="160"/>
        <v>481</v>
      </c>
      <c r="V482" s="183">
        <f t="shared" si="161"/>
        <v>962</v>
      </c>
      <c r="W482" s="12">
        <f>K482*属性价值参考!C$5+升级!L482*属性价值参考!C$6+升级!M482*属性价值参考!C$7+升级!N482*属性价值参考!C$8+升级!S482*属性价值参考!C$9+升级!T482*属性价值参考!C$10+升级!U482*属性价值参考!C$11+升级!V482*属性价值参考!C$12</f>
        <v>564386.16</v>
      </c>
    </row>
    <row r="483" spans="1:23" x14ac:dyDescent="0.3">
      <c r="A483" s="22"/>
      <c r="B483" s="22"/>
      <c r="C483" s="27">
        <v>482</v>
      </c>
      <c r="D483" s="27" t="str">
        <f t="shared" si="147"/>
        <v>0#1#67480|0#2#2313|0#3#482|0#4#964|0#9#482|0#10#964|0#11#482|0#12#964</v>
      </c>
      <c r="E483" s="27" t="str">
        <f t="shared" si="148"/>
        <v>1#1#11246|1#2#115680|1#3#482|1#4#964|1#9#482|1#10#964|1#11#482|1#12#964</v>
      </c>
      <c r="F483" s="27" t="str">
        <f t="shared" si="149"/>
        <v>2#1#33740|2#2#57840|2#3#482|2#4#964|2#9#482|2#10#964|2#11#482|2#12#964</v>
      </c>
      <c r="G483" s="27" t="str">
        <f t="shared" si="150"/>
        <v>0#1#67480|0#2#2313|0#3#482|0#4#964|0#9#482|0#10#964|0#11#482|0#12#964|1#1#11246|1#2#115680|1#3#482|1#4#964|1#9#482|1#10#964|1#11#482|1#12#964|2#1#33740|2#2#57840|2#3#482|2#4#964|2#9#482|2#10#964|2#11#482|2#12#964</v>
      </c>
      <c r="H483" s="22"/>
      <c r="I483" s="28">
        <v>4200000000</v>
      </c>
      <c r="J483" s="198">
        <v>482</v>
      </c>
      <c r="K483" s="183">
        <f t="shared" si="146"/>
        <v>67480</v>
      </c>
      <c r="L483" s="183">
        <f t="shared" si="151"/>
        <v>115680</v>
      </c>
      <c r="M483" s="183">
        <f t="shared" si="152"/>
        <v>482</v>
      </c>
      <c r="N483" s="183">
        <f t="shared" si="153"/>
        <v>964</v>
      </c>
      <c r="O483" s="183">
        <f t="shared" si="154"/>
        <v>482</v>
      </c>
      <c r="P483" s="183">
        <f t="shared" si="155"/>
        <v>964</v>
      </c>
      <c r="Q483" s="183">
        <f t="shared" si="156"/>
        <v>482</v>
      </c>
      <c r="R483" s="183">
        <f t="shared" si="157"/>
        <v>964</v>
      </c>
      <c r="S483" s="183">
        <f t="shared" si="158"/>
        <v>482</v>
      </c>
      <c r="T483" s="183">
        <f t="shared" si="159"/>
        <v>964</v>
      </c>
      <c r="U483" s="183">
        <f t="shared" si="160"/>
        <v>482</v>
      </c>
      <c r="V483" s="183">
        <f t="shared" si="161"/>
        <v>964</v>
      </c>
      <c r="W483" s="12">
        <f>K483*属性价值参考!C$5+升级!L483*属性价值参考!C$6+升级!M483*属性价值参考!C$7+升级!N483*属性价值参考!C$8+升级!S483*属性价值参考!C$9+升级!T483*属性价值参考!C$10+升级!U483*属性价值参考!C$11+升级!V483*属性价值参考!C$12</f>
        <v>565559.52</v>
      </c>
    </row>
    <row r="484" spans="1:23" x14ac:dyDescent="0.3">
      <c r="A484" s="22"/>
      <c r="B484" s="22"/>
      <c r="C484" s="24">
        <v>483</v>
      </c>
      <c r="D484" s="27" t="str">
        <f t="shared" si="147"/>
        <v>0#1#67620|0#2#2318|0#3#483|0#4#966|0#9#483|0#10#966|0#11#483|0#12#966</v>
      </c>
      <c r="E484" s="27" t="str">
        <f t="shared" si="148"/>
        <v>1#1#11270|1#2#115920|1#3#483|1#4#966|1#9#483|1#10#966|1#11#483|1#12#966</v>
      </c>
      <c r="F484" s="27" t="str">
        <f t="shared" si="149"/>
        <v>2#1#33810|2#2#57960|2#3#483|2#4#966|2#9#483|2#10#966|2#11#483|2#12#966</v>
      </c>
      <c r="G484" s="27" t="str">
        <f t="shared" si="150"/>
        <v>0#1#67620|0#2#2318|0#3#483|0#4#966|0#9#483|0#10#966|0#11#483|0#12#966|1#1#11270|1#2#115920|1#3#483|1#4#966|1#9#483|1#10#966|1#11#483|1#12#966|2#1#33810|2#2#57960|2#3#483|2#4#966|2#9#483|2#10#966|2#11#483|2#12#966</v>
      </c>
      <c r="H484" s="22"/>
      <c r="I484" s="25">
        <v>4200000000</v>
      </c>
      <c r="J484" s="197">
        <v>483</v>
      </c>
      <c r="K484" s="183">
        <f t="shared" si="146"/>
        <v>67620</v>
      </c>
      <c r="L484" s="183">
        <f t="shared" si="151"/>
        <v>115920</v>
      </c>
      <c r="M484" s="183">
        <f t="shared" si="152"/>
        <v>483</v>
      </c>
      <c r="N484" s="183">
        <f t="shared" si="153"/>
        <v>966</v>
      </c>
      <c r="O484" s="183">
        <f t="shared" si="154"/>
        <v>483</v>
      </c>
      <c r="P484" s="183">
        <f t="shared" si="155"/>
        <v>966</v>
      </c>
      <c r="Q484" s="183">
        <f t="shared" si="156"/>
        <v>483</v>
      </c>
      <c r="R484" s="183">
        <f t="shared" si="157"/>
        <v>966</v>
      </c>
      <c r="S484" s="183">
        <f t="shared" si="158"/>
        <v>483</v>
      </c>
      <c r="T484" s="183">
        <f t="shared" si="159"/>
        <v>966</v>
      </c>
      <c r="U484" s="183">
        <f t="shared" si="160"/>
        <v>483</v>
      </c>
      <c r="V484" s="183">
        <f t="shared" si="161"/>
        <v>966</v>
      </c>
      <c r="W484" s="12">
        <f>K484*属性价值参考!C$5+升级!L484*属性价值参考!C$6+升级!M484*属性价值参考!C$7+升级!N484*属性价值参考!C$8+升级!S484*属性价值参考!C$9+升级!T484*属性价值参考!C$10+升级!U484*属性价值参考!C$11+升级!V484*属性价值参考!C$12</f>
        <v>566732.87999999989</v>
      </c>
    </row>
    <row r="485" spans="1:23" x14ac:dyDescent="0.3">
      <c r="A485" s="22"/>
      <c r="B485" s="22"/>
      <c r="C485" s="27">
        <v>484</v>
      </c>
      <c r="D485" s="27" t="str">
        <f t="shared" si="147"/>
        <v>0#1#67760|0#2#2323|0#3#484|0#4#968|0#9#484|0#10#968|0#11#484|0#12#968</v>
      </c>
      <c r="E485" s="27" t="str">
        <f t="shared" si="148"/>
        <v>1#1#11293|1#2#116160|1#3#484|1#4#968|1#9#484|1#10#968|1#11#484|1#12#968</v>
      </c>
      <c r="F485" s="27" t="str">
        <f t="shared" si="149"/>
        <v>2#1#33880|2#2#58080|2#3#484|2#4#968|2#9#484|2#10#968|2#11#484|2#12#968</v>
      </c>
      <c r="G485" s="27" t="str">
        <f t="shared" si="150"/>
        <v>0#1#67760|0#2#2323|0#3#484|0#4#968|0#9#484|0#10#968|0#11#484|0#12#968|1#1#11293|1#2#116160|1#3#484|1#4#968|1#9#484|1#10#968|1#11#484|1#12#968|2#1#33880|2#2#58080|2#3#484|2#4#968|2#9#484|2#10#968|2#11#484|2#12#968</v>
      </c>
      <c r="H485" s="22"/>
      <c r="I485" s="28">
        <v>4200000000</v>
      </c>
      <c r="J485" s="198">
        <v>484</v>
      </c>
      <c r="K485" s="183">
        <f t="shared" si="146"/>
        <v>67760</v>
      </c>
      <c r="L485" s="183">
        <f t="shared" si="151"/>
        <v>116160</v>
      </c>
      <c r="M485" s="183">
        <f t="shared" si="152"/>
        <v>484</v>
      </c>
      <c r="N485" s="183">
        <f t="shared" si="153"/>
        <v>968</v>
      </c>
      <c r="O485" s="183">
        <f t="shared" si="154"/>
        <v>484</v>
      </c>
      <c r="P485" s="183">
        <f t="shared" si="155"/>
        <v>968</v>
      </c>
      <c r="Q485" s="183">
        <f t="shared" si="156"/>
        <v>484</v>
      </c>
      <c r="R485" s="183">
        <f t="shared" si="157"/>
        <v>968</v>
      </c>
      <c r="S485" s="183">
        <f t="shared" si="158"/>
        <v>484</v>
      </c>
      <c r="T485" s="183">
        <f t="shared" si="159"/>
        <v>968</v>
      </c>
      <c r="U485" s="183">
        <f t="shared" si="160"/>
        <v>484</v>
      </c>
      <c r="V485" s="183">
        <f t="shared" si="161"/>
        <v>968</v>
      </c>
      <c r="W485" s="12">
        <f>K485*属性价值参考!C$5+升级!L485*属性价值参考!C$6+升级!M485*属性价值参考!C$7+升级!N485*属性价值参考!C$8+升级!S485*属性价值参考!C$9+升级!T485*属性价值参考!C$10+升级!U485*属性价值参考!C$11+升级!V485*属性价值参考!C$12</f>
        <v>567906.24</v>
      </c>
    </row>
    <row r="486" spans="1:23" x14ac:dyDescent="0.3">
      <c r="A486" s="22"/>
      <c r="B486" s="22"/>
      <c r="C486" s="24">
        <v>485</v>
      </c>
      <c r="D486" s="27" t="str">
        <f t="shared" si="147"/>
        <v>0#1#67900|0#2#2328|0#3#485|0#4#970|0#9#485|0#10#970|0#11#485|0#12#970</v>
      </c>
      <c r="E486" s="27" t="str">
        <f t="shared" si="148"/>
        <v>1#1#11316|1#2#116400|1#3#485|1#4#970|1#9#485|1#10#970|1#11#485|1#12#970</v>
      </c>
      <c r="F486" s="27" t="str">
        <f t="shared" si="149"/>
        <v>2#1#33950|2#2#58200|2#3#485|2#4#970|2#9#485|2#10#970|2#11#485|2#12#970</v>
      </c>
      <c r="G486" s="27" t="str">
        <f t="shared" si="150"/>
        <v>0#1#67900|0#2#2328|0#3#485|0#4#970|0#9#485|0#10#970|0#11#485|0#12#970|1#1#11316|1#2#116400|1#3#485|1#4#970|1#9#485|1#10#970|1#11#485|1#12#970|2#1#33950|2#2#58200|2#3#485|2#4#970|2#9#485|2#10#970|2#11#485|2#12#970</v>
      </c>
      <c r="H486" s="22"/>
      <c r="I486" s="25">
        <v>4200000000</v>
      </c>
      <c r="J486" s="197">
        <v>485</v>
      </c>
      <c r="K486" s="183">
        <f t="shared" si="146"/>
        <v>67900</v>
      </c>
      <c r="L486" s="183">
        <f t="shared" si="151"/>
        <v>116400</v>
      </c>
      <c r="M486" s="183">
        <f t="shared" si="152"/>
        <v>485</v>
      </c>
      <c r="N486" s="183">
        <f t="shared" si="153"/>
        <v>970</v>
      </c>
      <c r="O486" s="183">
        <f t="shared" si="154"/>
        <v>485</v>
      </c>
      <c r="P486" s="183">
        <f t="shared" si="155"/>
        <v>970</v>
      </c>
      <c r="Q486" s="183">
        <f t="shared" si="156"/>
        <v>485</v>
      </c>
      <c r="R486" s="183">
        <f t="shared" si="157"/>
        <v>970</v>
      </c>
      <c r="S486" s="183">
        <f t="shared" si="158"/>
        <v>485</v>
      </c>
      <c r="T486" s="183">
        <f t="shared" si="159"/>
        <v>970</v>
      </c>
      <c r="U486" s="183">
        <f t="shared" si="160"/>
        <v>485</v>
      </c>
      <c r="V486" s="183">
        <f t="shared" si="161"/>
        <v>970</v>
      </c>
      <c r="W486" s="12">
        <f>K486*属性价值参考!C$5+升级!L486*属性价值参考!C$6+升级!M486*属性价值参考!C$7+升级!N486*属性价值参考!C$8+升级!S486*属性价值参考!C$9+升级!T486*属性价值参考!C$10+升级!U486*属性价值参考!C$11+升级!V486*属性价值参考!C$12</f>
        <v>569079.6</v>
      </c>
    </row>
    <row r="487" spans="1:23" x14ac:dyDescent="0.3">
      <c r="A487" s="22"/>
      <c r="B487" s="22"/>
      <c r="C487" s="27">
        <v>486</v>
      </c>
      <c r="D487" s="27" t="str">
        <f t="shared" si="147"/>
        <v>0#1#68040|0#2#2332|0#3#486|0#4#972|0#9#486|0#10#972|0#11#486|0#12#972</v>
      </c>
      <c r="E487" s="27" t="str">
        <f t="shared" si="148"/>
        <v>1#1#11340|1#2#116640|1#3#486|1#4#972|1#9#486|1#10#972|1#11#486|1#12#972</v>
      </c>
      <c r="F487" s="27" t="str">
        <f t="shared" si="149"/>
        <v>2#1#34020|2#2#58320|2#3#486|2#4#972|2#9#486|2#10#972|2#11#486|2#12#972</v>
      </c>
      <c r="G487" s="27" t="str">
        <f t="shared" si="150"/>
        <v>0#1#68040|0#2#2332|0#3#486|0#4#972|0#9#486|0#10#972|0#11#486|0#12#972|1#1#11340|1#2#116640|1#3#486|1#4#972|1#9#486|1#10#972|1#11#486|1#12#972|2#1#34020|2#2#58320|2#3#486|2#4#972|2#9#486|2#10#972|2#11#486|2#12#972</v>
      </c>
      <c r="H487" s="22"/>
      <c r="I487" s="28">
        <v>4200000000</v>
      </c>
      <c r="J487" s="198">
        <v>486</v>
      </c>
      <c r="K487" s="183">
        <f t="shared" si="146"/>
        <v>68040</v>
      </c>
      <c r="L487" s="183">
        <f t="shared" si="151"/>
        <v>116640</v>
      </c>
      <c r="M487" s="183">
        <f t="shared" si="152"/>
        <v>486</v>
      </c>
      <c r="N487" s="183">
        <f t="shared" si="153"/>
        <v>972</v>
      </c>
      <c r="O487" s="183">
        <f t="shared" si="154"/>
        <v>486</v>
      </c>
      <c r="P487" s="183">
        <f t="shared" si="155"/>
        <v>972</v>
      </c>
      <c r="Q487" s="183">
        <f t="shared" si="156"/>
        <v>486</v>
      </c>
      <c r="R487" s="183">
        <f t="shared" si="157"/>
        <v>972</v>
      </c>
      <c r="S487" s="183">
        <f t="shared" si="158"/>
        <v>486</v>
      </c>
      <c r="T487" s="183">
        <f t="shared" si="159"/>
        <v>972</v>
      </c>
      <c r="U487" s="183">
        <f t="shared" si="160"/>
        <v>486</v>
      </c>
      <c r="V487" s="183">
        <f t="shared" si="161"/>
        <v>972</v>
      </c>
      <c r="W487" s="12">
        <f>K487*属性价值参考!C$5+升级!L487*属性价值参考!C$6+升级!M487*属性价值参考!C$7+升级!N487*属性价值参考!C$8+升级!S487*属性价值参考!C$9+升级!T487*属性价值参考!C$10+升级!U487*属性价值参考!C$11+升级!V487*属性价值参考!C$12</f>
        <v>570252.96</v>
      </c>
    </row>
    <row r="488" spans="1:23" x14ac:dyDescent="0.3">
      <c r="A488" s="22"/>
      <c r="B488" s="22"/>
      <c r="C488" s="24">
        <v>487</v>
      </c>
      <c r="D488" s="27" t="str">
        <f t="shared" si="147"/>
        <v>0#1#68180|0#2#2337|0#3#487|0#4#974|0#9#487|0#10#974|0#11#487|0#12#974</v>
      </c>
      <c r="E488" s="27" t="str">
        <f t="shared" si="148"/>
        <v>1#1#11363|1#2#116880|1#3#487|1#4#974|1#9#487|1#10#974|1#11#487|1#12#974</v>
      </c>
      <c r="F488" s="27" t="str">
        <f t="shared" si="149"/>
        <v>2#1#34090|2#2#58440|2#3#487|2#4#974|2#9#487|2#10#974|2#11#487|2#12#974</v>
      </c>
      <c r="G488" s="27" t="str">
        <f t="shared" si="150"/>
        <v>0#1#68180|0#2#2337|0#3#487|0#4#974|0#9#487|0#10#974|0#11#487|0#12#974|1#1#11363|1#2#116880|1#3#487|1#4#974|1#9#487|1#10#974|1#11#487|1#12#974|2#1#34090|2#2#58440|2#3#487|2#4#974|2#9#487|2#10#974|2#11#487|2#12#974</v>
      </c>
      <c r="H488" s="22"/>
      <c r="I488" s="25">
        <v>4200000000</v>
      </c>
      <c r="J488" s="197">
        <v>487</v>
      </c>
      <c r="K488" s="183">
        <f t="shared" si="146"/>
        <v>68180</v>
      </c>
      <c r="L488" s="183">
        <f t="shared" si="151"/>
        <v>116880</v>
      </c>
      <c r="M488" s="183">
        <f t="shared" si="152"/>
        <v>487</v>
      </c>
      <c r="N488" s="183">
        <f t="shared" si="153"/>
        <v>974</v>
      </c>
      <c r="O488" s="183">
        <f t="shared" si="154"/>
        <v>487</v>
      </c>
      <c r="P488" s="183">
        <f t="shared" si="155"/>
        <v>974</v>
      </c>
      <c r="Q488" s="183">
        <f t="shared" si="156"/>
        <v>487</v>
      </c>
      <c r="R488" s="183">
        <f t="shared" si="157"/>
        <v>974</v>
      </c>
      <c r="S488" s="183">
        <f t="shared" si="158"/>
        <v>487</v>
      </c>
      <c r="T488" s="183">
        <f t="shared" si="159"/>
        <v>974</v>
      </c>
      <c r="U488" s="183">
        <f t="shared" si="160"/>
        <v>487</v>
      </c>
      <c r="V488" s="183">
        <f t="shared" si="161"/>
        <v>974</v>
      </c>
      <c r="W488" s="12">
        <f>K488*属性价值参考!C$5+升级!L488*属性价值参考!C$6+升级!M488*属性价值参考!C$7+升级!N488*属性价值参考!C$8+升级!S488*属性价值参考!C$9+升级!T488*属性价值参考!C$10+升级!U488*属性价值参考!C$11+升级!V488*属性价值参考!C$12</f>
        <v>571426.32000000007</v>
      </c>
    </row>
    <row r="489" spans="1:23" x14ac:dyDescent="0.3">
      <c r="A489" s="22"/>
      <c r="B489" s="22"/>
      <c r="C489" s="27">
        <v>488</v>
      </c>
      <c r="D489" s="27" t="str">
        <f t="shared" si="147"/>
        <v>0#1#68320|0#2#2342|0#3#488|0#4#976|0#9#488|0#10#976|0#11#488|0#12#976</v>
      </c>
      <c r="E489" s="27" t="str">
        <f t="shared" si="148"/>
        <v>1#1#11386|1#2#117120|1#3#488|1#4#976|1#9#488|1#10#976|1#11#488|1#12#976</v>
      </c>
      <c r="F489" s="27" t="str">
        <f t="shared" si="149"/>
        <v>2#1#34160|2#2#58560|2#3#488|2#4#976|2#9#488|2#10#976|2#11#488|2#12#976</v>
      </c>
      <c r="G489" s="27" t="str">
        <f t="shared" si="150"/>
        <v>0#1#68320|0#2#2342|0#3#488|0#4#976|0#9#488|0#10#976|0#11#488|0#12#976|1#1#11386|1#2#117120|1#3#488|1#4#976|1#9#488|1#10#976|1#11#488|1#12#976|2#1#34160|2#2#58560|2#3#488|2#4#976|2#9#488|2#10#976|2#11#488|2#12#976</v>
      </c>
      <c r="H489" s="22"/>
      <c r="I489" s="28">
        <v>4200000000</v>
      </c>
      <c r="J489" s="198">
        <v>488</v>
      </c>
      <c r="K489" s="183">
        <f t="shared" si="146"/>
        <v>68320</v>
      </c>
      <c r="L489" s="183">
        <f t="shared" si="151"/>
        <v>117120</v>
      </c>
      <c r="M489" s="183">
        <f t="shared" si="152"/>
        <v>488</v>
      </c>
      <c r="N489" s="183">
        <f t="shared" si="153"/>
        <v>976</v>
      </c>
      <c r="O489" s="183">
        <f t="shared" si="154"/>
        <v>488</v>
      </c>
      <c r="P489" s="183">
        <f t="shared" si="155"/>
        <v>976</v>
      </c>
      <c r="Q489" s="183">
        <f t="shared" si="156"/>
        <v>488</v>
      </c>
      <c r="R489" s="183">
        <f t="shared" si="157"/>
        <v>976</v>
      </c>
      <c r="S489" s="183">
        <f t="shared" si="158"/>
        <v>488</v>
      </c>
      <c r="T489" s="183">
        <f t="shared" si="159"/>
        <v>976</v>
      </c>
      <c r="U489" s="183">
        <f t="shared" si="160"/>
        <v>488</v>
      </c>
      <c r="V489" s="183">
        <f t="shared" si="161"/>
        <v>976</v>
      </c>
      <c r="W489" s="12">
        <f>K489*属性价值参考!C$5+升级!L489*属性价值参考!C$6+升级!M489*属性价值参考!C$7+升级!N489*属性价值参考!C$8+升级!S489*属性价值参考!C$9+升级!T489*属性价值参考!C$10+升级!U489*属性价值参考!C$11+升级!V489*属性价值参考!C$12</f>
        <v>572599.67999999982</v>
      </c>
    </row>
    <row r="490" spans="1:23" x14ac:dyDescent="0.3">
      <c r="A490" s="22"/>
      <c r="B490" s="22"/>
      <c r="C490" s="24">
        <v>489</v>
      </c>
      <c r="D490" s="27" t="str">
        <f t="shared" si="147"/>
        <v>0#1#68460|0#2#2347|0#3#489|0#4#978|0#9#489|0#10#978|0#11#489|0#12#978</v>
      </c>
      <c r="E490" s="27" t="str">
        <f t="shared" si="148"/>
        <v>1#1#11410|1#2#117360|1#3#489|1#4#978|1#9#489|1#10#978|1#11#489|1#12#978</v>
      </c>
      <c r="F490" s="27" t="str">
        <f t="shared" si="149"/>
        <v>2#1#34230|2#2#58680|2#3#489|2#4#978|2#9#489|2#10#978|2#11#489|2#12#978</v>
      </c>
      <c r="G490" s="27" t="str">
        <f t="shared" si="150"/>
        <v>0#1#68460|0#2#2347|0#3#489|0#4#978|0#9#489|0#10#978|0#11#489|0#12#978|1#1#11410|1#2#117360|1#3#489|1#4#978|1#9#489|1#10#978|1#11#489|1#12#978|2#1#34230|2#2#58680|2#3#489|2#4#978|2#9#489|2#10#978|2#11#489|2#12#978</v>
      </c>
      <c r="H490" s="22"/>
      <c r="I490" s="25">
        <v>4200000000</v>
      </c>
      <c r="J490" s="197">
        <v>489</v>
      </c>
      <c r="K490" s="183">
        <f t="shared" si="146"/>
        <v>68460</v>
      </c>
      <c r="L490" s="183">
        <f t="shared" si="151"/>
        <v>117360</v>
      </c>
      <c r="M490" s="183">
        <f t="shared" si="152"/>
        <v>489</v>
      </c>
      <c r="N490" s="183">
        <f t="shared" si="153"/>
        <v>978</v>
      </c>
      <c r="O490" s="183">
        <f t="shared" si="154"/>
        <v>489</v>
      </c>
      <c r="P490" s="183">
        <f t="shared" si="155"/>
        <v>978</v>
      </c>
      <c r="Q490" s="183">
        <f t="shared" si="156"/>
        <v>489</v>
      </c>
      <c r="R490" s="183">
        <f t="shared" si="157"/>
        <v>978</v>
      </c>
      <c r="S490" s="183">
        <f t="shared" si="158"/>
        <v>489</v>
      </c>
      <c r="T490" s="183">
        <f t="shared" si="159"/>
        <v>978</v>
      </c>
      <c r="U490" s="183">
        <f t="shared" si="160"/>
        <v>489</v>
      </c>
      <c r="V490" s="183">
        <f t="shared" si="161"/>
        <v>978</v>
      </c>
      <c r="W490" s="12">
        <f>K490*属性价值参考!C$5+升级!L490*属性价值参考!C$6+升级!M490*属性价值参考!C$7+升级!N490*属性价值参考!C$8+升级!S490*属性价值参考!C$9+升级!T490*属性价值参考!C$10+升级!U490*属性价值参考!C$11+升级!V490*属性价值参考!C$12</f>
        <v>573773.04</v>
      </c>
    </row>
    <row r="491" spans="1:23" x14ac:dyDescent="0.3">
      <c r="A491" s="22"/>
      <c r="B491" s="22"/>
      <c r="C491" s="27">
        <v>490</v>
      </c>
      <c r="D491" s="27" t="str">
        <f t="shared" si="147"/>
        <v>0#1#68600|0#2#2352|0#3#490|0#4#980|0#9#490|0#10#980|0#11#490|0#12#980</v>
      </c>
      <c r="E491" s="27" t="str">
        <f t="shared" si="148"/>
        <v>1#1#11433|1#2#117600|1#3#490|1#4#980|1#9#490|1#10#980|1#11#490|1#12#980</v>
      </c>
      <c r="F491" s="27" t="str">
        <f t="shared" si="149"/>
        <v>2#1#34300|2#2#58800|2#3#490|2#4#980|2#9#490|2#10#980|2#11#490|2#12#980</v>
      </c>
      <c r="G491" s="27" t="str">
        <f t="shared" si="150"/>
        <v>0#1#68600|0#2#2352|0#3#490|0#4#980|0#9#490|0#10#980|0#11#490|0#12#980|1#1#11433|1#2#117600|1#3#490|1#4#980|1#9#490|1#10#980|1#11#490|1#12#980|2#1#34300|2#2#58800|2#3#490|2#4#980|2#9#490|2#10#980|2#11#490|2#12#980</v>
      </c>
      <c r="H491" s="22"/>
      <c r="I491" s="28">
        <v>4200000000</v>
      </c>
      <c r="J491" s="198">
        <v>490</v>
      </c>
      <c r="K491" s="183">
        <f t="shared" si="146"/>
        <v>68600</v>
      </c>
      <c r="L491" s="183">
        <f t="shared" si="151"/>
        <v>117600</v>
      </c>
      <c r="M491" s="183">
        <f t="shared" si="152"/>
        <v>490</v>
      </c>
      <c r="N491" s="183">
        <f t="shared" si="153"/>
        <v>980</v>
      </c>
      <c r="O491" s="183">
        <f t="shared" si="154"/>
        <v>490</v>
      </c>
      <c r="P491" s="183">
        <f t="shared" si="155"/>
        <v>980</v>
      </c>
      <c r="Q491" s="183">
        <f t="shared" si="156"/>
        <v>490</v>
      </c>
      <c r="R491" s="183">
        <f t="shared" si="157"/>
        <v>980</v>
      </c>
      <c r="S491" s="183">
        <f t="shared" si="158"/>
        <v>490</v>
      </c>
      <c r="T491" s="183">
        <f t="shared" si="159"/>
        <v>980</v>
      </c>
      <c r="U491" s="183">
        <f t="shared" si="160"/>
        <v>490</v>
      </c>
      <c r="V491" s="183">
        <f t="shared" si="161"/>
        <v>980</v>
      </c>
      <c r="W491" s="12">
        <f>K491*属性价值参考!C$5+升级!L491*属性价值参考!C$6+升级!M491*属性价值参考!C$7+升级!N491*属性价值参考!C$8+升级!S491*属性价值参考!C$9+升级!T491*属性价值参考!C$10+升级!U491*属性价值参考!C$11+升级!V491*属性价值参考!C$12</f>
        <v>574946.4</v>
      </c>
    </row>
    <row r="492" spans="1:23" x14ac:dyDescent="0.3">
      <c r="A492" s="22"/>
      <c r="B492" s="22"/>
      <c r="C492" s="24">
        <v>491</v>
      </c>
      <c r="D492" s="27" t="str">
        <f t="shared" si="147"/>
        <v>0#1#68740|0#2#2356|0#3#491|0#4#982|0#9#491|0#10#982|0#11#491|0#12#982</v>
      </c>
      <c r="E492" s="27" t="str">
        <f t="shared" si="148"/>
        <v>1#1#11456|1#2#117840|1#3#491|1#4#982|1#9#491|1#10#982|1#11#491|1#12#982</v>
      </c>
      <c r="F492" s="27" t="str">
        <f t="shared" si="149"/>
        <v>2#1#34370|2#2#58920|2#3#491|2#4#982|2#9#491|2#10#982|2#11#491|2#12#982</v>
      </c>
      <c r="G492" s="27" t="str">
        <f t="shared" si="150"/>
        <v>0#1#68740|0#2#2356|0#3#491|0#4#982|0#9#491|0#10#982|0#11#491|0#12#982|1#1#11456|1#2#117840|1#3#491|1#4#982|1#9#491|1#10#982|1#11#491|1#12#982|2#1#34370|2#2#58920|2#3#491|2#4#982|2#9#491|2#10#982|2#11#491|2#12#982</v>
      </c>
      <c r="H492" s="22"/>
      <c r="I492" s="25">
        <v>4200000000</v>
      </c>
      <c r="J492" s="197">
        <v>491</v>
      </c>
      <c r="K492" s="183">
        <f t="shared" si="146"/>
        <v>68740</v>
      </c>
      <c r="L492" s="183">
        <f t="shared" si="151"/>
        <v>117840</v>
      </c>
      <c r="M492" s="183">
        <f t="shared" si="152"/>
        <v>491</v>
      </c>
      <c r="N492" s="183">
        <f t="shared" si="153"/>
        <v>982</v>
      </c>
      <c r="O492" s="183">
        <f t="shared" si="154"/>
        <v>491</v>
      </c>
      <c r="P492" s="183">
        <f t="shared" si="155"/>
        <v>982</v>
      </c>
      <c r="Q492" s="183">
        <f t="shared" si="156"/>
        <v>491</v>
      </c>
      <c r="R492" s="183">
        <f t="shared" si="157"/>
        <v>982</v>
      </c>
      <c r="S492" s="183">
        <f t="shared" si="158"/>
        <v>491</v>
      </c>
      <c r="T492" s="183">
        <f t="shared" si="159"/>
        <v>982</v>
      </c>
      <c r="U492" s="183">
        <f t="shared" si="160"/>
        <v>491</v>
      </c>
      <c r="V492" s="183">
        <f t="shared" si="161"/>
        <v>982</v>
      </c>
      <c r="W492" s="12">
        <f>K492*属性价值参考!C$5+升级!L492*属性价值参考!C$6+升级!M492*属性价值参考!C$7+升级!N492*属性价值参考!C$8+升级!S492*属性价值参考!C$9+升级!T492*属性价值参考!C$10+升级!U492*属性价值参考!C$11+升级!V492*属性价值参考!C$12</f>
        <v>576119.76</v>
      </c>
    </row>
    <row r="493" spans="1:23" x14ac:dyDescent="0.3">
      <c r="A493" s="22"/>
      <c r="B493" s="22"/>
      <c r="C493" s="27">
        <v>492</v>
      </c>
      <c r="D493" s="27" t="str">
        <f t="shared" si="147"/>
        <v>0#1#68880|0#2#2361|0#3#492|0#4#984|0#9#492|0#10#984|0#11#492|0#12#984</v>
      </c>
      <c r="E493" s="27" t="str">
        <f t="shared" si="148"/>
        <v>1#1#11480|1#2#118080|1#3#492|1#4#984|1#9#492|1#10#984|1#11#492|1#12#984</v>
      </c>
      <c r="F493" s="27" t="str">
        <f t="shared" si="149"/>
        <v>2#1#34440|2#2#59040|2#3#492|2#4#984|2#9#492|2#10#984|2#11#492|2#12#984</v>
      </c>
      <c r="G493" s="27" t="str">
        <f t="shared" si="150"/>
        <v>0#1#68880|0#2#2361|0#3#492|0#4#984|0#9#492|0#10#984|0#11#492|0#12#984|1#1#11480|1#2#118080|1#3#492|1#4#984|1#9#492|1#10#984|1#11#492|1#12#984|2#1#34440|2#2#59040|2#3#492|2#4#984|2#9#492|2#10#984|2#11#492|2#12#984</v>
      </c>
      <c r="H493" s="22"/>
      <c r="I493" s="28">
        <v>4200000000</v>
      </c>
      <c r="J493" s="198">
        <v>492</v>
      </c>
      <c r="K493" s="183">
        <f t="shared" si="146"/>
        <v>68880</v>
      </c>
      <c r="L493" s="183">
        <f t="shared" si="151"/>
        <v>118080</v>
      </c>
      <c r="M493" s="183">
        <f t="shared" si="152"/>
        <v>492</v>
      </c>
      <c r="N493" s="183">
        <f t="shared" si="153"/>
        <v>984</v>
      </c>
      <c r="O493" s="183">
        <f t="shared" si="154"/>
        <v>492</v>
      </c>
      <c r="P493" s="183">
        <f t="shared" si="155"/>
        <v>984</v>
      </c>
      <c r="Q493" s="183">
        <f t="shared" si="156"/>
        <v>492</v>
      </c>
      <c r="R493" s="183">
        <f t="shared" si="157"/>
        <v>984</v>
      </c>
      <c r="S493" s="183">
        <f t="shared" si="158"/>
        <v>492</v>
      </c>
      <c r="T493" s="183">
        <f t="shared" si="159"/>
        <v>984</v>
      </c>
      <c r="U493" s="183">
        <f t="shared" si="160"/>
        <v>492</v>
      </c>
      <c r="V493" s="183">
        <f t="shared" si="161"/>
        <v>984</v>
      </c>
      <c r="W493" s="12">
        <f>K493*属性价值参考!C$5+升级!L493*属性价值参考!C$6+升级!M493*属性价值参考!C$7+升级!N493*属性价值参考!C$8+升级!S493*属性价值参考!C$9+升级!T493*属性价值参考!C$10+升级!U493*属性价值参考!C$11+升级!V493*属性价值参考!C$12</f>
        <v>577293.12000000011</v>
      </c>
    </row>
    <row r="494" spans="1:23" x14ac:dyDescent="0.3">
      <c r="A494" s="22"/>
      <c r="B494" s="22"/>
      <c r="C494" s="24">
        <v>493</v>
      </c>
      <c r="D494" s="27" t="str">
        <f t="shared" si="147"/>
        <v>0#1#69020|0#2#2366|0#3#493|0#4#986|0#9#493|0#10#986|0#11#493|0#12#986</v>
      </c>
      <c r="E494" s="27" t="str">
        <f t="shared" si="148"/>
        <v>1#1#11503|1#2#118320|1#3#493|1#4#986|1#9#493|1#10#986|1#11#493|1#12#986</v>
      </c>
      <c r="F494" s="27" t="str">
        <f t="shared" si="149"/>
        <v>2#1#34510|2#2#59160|2#3#493|2#4#986|2#9#493|2#10#986|2#11#493|2#12#986</v>
      </c>
      <c r="G494" s="27" t="str">
        <f t="shared" si="150"/>
        <v>0#1#69020|0#2#2366|0#3#493|0#4#986|0#9#493|0#10#986|0#11#493|0#12#986|1#1#11503|1#2#118320|1#3#493|1#4#986|1#9#493|1#10#986|1#11#493|1#12#986|2#1#34510|2#2#59160|2#3#493|2#4#986|2#9#493|2#10#986|2#11#493|2#12#986</v>
      </c>
      <c r="H494" s="22"/>
      <c r="I494" s="25">
        <v>4200000000</v>
      </c>
      <c r="J494" s="197">
        <v>493</v>
      </c>
      <c r="K494" s="183">
        <f t="shared" si="146"/>
        <v>69020</v>
      </c>
      <c r="L494" s="183">
        <f t="shared" si="151"/>
        <v>118320</v>
      </c>
      <c r="M494" s="183">
        <f t="shared" si="152"/>
        <v>493</v>
      </c>
      <c r="N494" s="183">
        <f t="shared" si="153"/>
        <v>986</v>
      </c>
      <c r="O494" s="183">
        <f t="shared" si="154"/>
        <v>493</v>
      </c>
      <c r="P494" s="183">
        <f t="shared" si="155"/>
        <v>986</v>
      </c>
      <c r="Q494" s="183">
        <f t="shared" si="156"/>
        <v>493</v>
      </c>
      <c r="R494" s="183">
        <f t="shared" si="157"/>
        <v>986</v>
      </c>
      <c r="S494" s="183">
        <f t="shared" si="158"/>
        <v>493</v>
      </c>
      <c r="T494" s="183">
        <f t="shared" si="159"/>
        <v>986</v>
      </c>
      <c r="U494" s="183">
        <f t="shared" si="160"/>
        <v>493</v>
      </c>
      <c r="V494" s="183">
        <f t="shared" si="161"/>
        <v>986</v>
      </c>
      <c r="W494" s="12">
        <f>K494*属性价值参考!C$5+升级!L494*属性价值参考!C$6+升级!M494*属性价值参考!C$7+升级!N494*属性价值参考!C$8+升级!S494*属性价值参考!C$9+升级!T494*属性价值参考!C$10+升级!U494*属性价值参考!C$11+升级!V494*属性价值参考!C$12</f>
        <v>578466.47999999975</v>
      </c>
    </row>
    <row r="495" spans="1:23" x14ac:dyDescent="0.3">
      <c r="A495" s="22"/>
      <c r="B495" s="22"/>
      <c r="C495" s="27">
        <v>494</v>
      </c>
      <c r="D495" s="27" t="str">
        <f t="shared" si="147"/>
        <v>0#1#69160|0#2#2371|0#3#494|0#4#988|0#9#494|0#10#988|0#11#494|0#12#988</v>
      </c>
      <c r="E495" s="27" t="str">
        <f t="shared" si="148"/>
        <v>1#1#11526|1#2#118560|1#3#494|1#4#988|1#9#494|1#10#988|1#11#494|1#12#988</v>
      </c>
      <c r="F495" s="27" t="str">
        <f t="shared" si="149"/>
        <v>2#1#34580|2#2#59280|2#3#494|2#4#988|2#9#494|2#10#988|2#11#494|2#12#988</v>
      </c>
      <c r="G495" s="27" t="str">
        <f t="shared" si="150"/>
        <v>0#1#69160|0#2#2371|0#3#494|0#4#988|0#9#494|0#10#988|0#11#494|0#12#988|1#1#11526|1#2#118560|1#3#494|1#4#988|1#9#494|1#10#988|1#11#494|1#12#988|2#1#34580|2#2#59280|2#3#494|2#4#988|2#9#494|2#10#988|2#11#494|2#12#988</v>
      </c>
      <c r="H495" s="22"/>
      <c r="I495" s="28">
        <v>4200000000</v>
      </c>
      <c r="J495" s="198">
        <v>494</v>
      </c>
      <c r="K495" s="183">
        <f t="shared" si="146"/>
        <v>69160</v>
      </c>
      <c r="L495" s="183">
        <f t="shared" si="151"/>
        <v>118560</v>
      </c>
      <c r="M495" s="183">
        <f t="shared" si="152"/>
        <v>494</v>
      </c>
      <c r="N495" s="183">
        <f t="shared" si="153"/>
        <v>988</v>
      </c>
      <c r="O495" s="183">
        <f t="shared" si="154"/>
        <v>494</v>
      </c>
      <c r="P495" s="183">
        <f t="shared" si="155"/>
        <v>988</v>
      </c>
      <c r="Q495" s="183">
        <f t="shared" si="156"/>
        <v>494</v>
      </c>
      <c r="R495" s="183">
        <f t="shared" si="157"/>
        <v>988</v>
      </c>
      <c r="S495" s="183">
        <f t="shared" si="158"/>
        <v>494</v>
      </c>
      <c r="T495" s="183">
        <f t="shared" si="159"/>
        <v>988</v>
      </c>
      <c r="U495" s="183">
        <f t="shared" si="160"/>
        <v>494</v>
      </c>
      <c r="V495" s="183">
        <f t="shared" si="161"/>
        <v>988</v>
      </c>
      <c r="W495" s="12">
        <f>K495*属性价值参考!C$5+升级!L495*属性价值参考!C$6+升级!M495*属性价值参考!C$7+升级!N495*属性价值参考!C$8+升级!S495*属性价值参考!C$9+升级!T495*属性价值参考!C$10+升级!U495*属性价值参考!C$11+升级!V495*属性价值参考!C$12</f>
        <v>579639.84000000008</v>
      </c>
    </row>
    <row r="496" spans="1:23" x14ac:dyDescent="0.3">
      <c r="A496" s="22"/>
      <c r="B496" s="22"/>
      <c r="C496" s="24">
        <v>495</v>
      </c>
      <c r="D496" s="27" t="str">
        <f t="shared" si="147"/>
        <v>0#1#69300|0#2#2376|0#3#495|0#4#990|0#9#495|0#10#990|0#11#495|0#12#990</v>
      </c>
      <c r="E496" s="27" t="str">
        <f t="shared" si="148"/>
        <v>1#1#11550|1#2#118800|1#3#495|1#4#990|1#9#495|1#10#990|1#11#495|1#12#990</v>
      </c>
      <c r="F496" s="27" t="str">
        <f t="shared" si="149"/>
        <v>2#1#34650|2#2#59400|2#3#495|2#4#990|2#9#495|2#10#990|2#11#495|2#12#990</v>
      </c>
      <c r="G496" s="27" t="str">
        <f t="shared" si="150"/>
        <v>0#1#69300|0#2#2376|0#3#495|0#4#990|0#9#495|0#10#990|0#11#495|0#12#990|1#1#11550|1#2#118800|1#3#495|1#4#990|1#9#495|1#10#990|1#11#495|1#12#990|2#1#34650|2#2#59400|2#3#495|2#4#990|2#9#495|2#10#990|2#11#495|2#12#990</v>
      </c>
      <c r="H496" s="22"/>
      <c r="I496" s="25">
        <v>4200000000</v>
      </c>
      <c r="J496" s="197">
        <v>495</v>
      </c>
      <c r="K496" s="183">
        <f t="shared" si="146"/>
        <v>69300</v>
      </c>
      <c r="L496" s="183">
        <f t="shared" si="151"/>
        <v>118800</v>
      </c>
      <c r="M496" s="183">
        <f t="shared" si="152"/>
        <v>495</v>
      </c>
      <c r="N496" s="183">
        <f t="shared" si="153"/>
        <v>990</v>
      </c>
      <c r="O496" s="183">
        <f t="shared" si="154"/>
        <v>495</v>
      </c>
      <c r="P496" s="183">
        <f t="shared" si="155"/>
        <v>990</v>
      </c>
      <c r="Q496" s="183">
        <f t="shared" si="156"/>
        <v>495</v>
      </c>
      <c r="R496" s="183">
        <f t="shared" si="157"/>
        <v>990</v>
      </c>
      <c r="S496" s="183">
        <f t="shared" si="158"/>
        <v>495</v>
      </c>
      <c r="T496" s="183">
        <f t="shared" si="159"/>
        <v>990</v>
      </c>
      <c r="U496" s="183">
        <f t="shared" si="160"/>
        <v>495</v>
      </c>
      <c r="V496" s="183">
        <f t="shared" si="161"/>
        <v>990</v>
      </c>
      <c r="W496" s="12">
        <f>K496*属性价值参考!C$5+升级!L496*属性价值参考!C$6+升级!M496*属性价值参考!C$7+升级!N496*属性价值参考!C$8+升级!S496*属性价值参考!C$9+升级!T496*属性价值参考!C$10+升级!U496*属性价值参考!C$11+升级!V496*属性价值参考!C$12</f>
        <v>580813.19999999995</v>
      </c>
    </row>
    <row r="497" spans="1:23" x14ac:dyDescent="0.3">
      <c r="A497" s="22"/>
      <c r="B497" s="22"/>
      <c r="C497" s="27">
        <v>496</v>
      </c>
      <c r="D497" s="27" t="str">
        <f t="shared" si="147"/>
        <v>0#1#69440|0#2#2380|0#3#496|0#4#992|0#9#496|0#10#992|0#11#496|0#12#992</v>
      </c>
      <c r="E497" s="27" t="str">
        <f t="shared" si="148"/>
        <v>1#1#11573|1#2#119040|1#3#496|1#4#992|1#9#496|1#10#992|1#11#496|1#12#992</v>
      </c>
      <c r="F497" s="27" t="str">
        <f t="shared" si="149"/>
        <v>2#1#34720|2#2#59520|2#3#496|2#4#992|2#9#496|2#10#992|2#11#496|2#12#992</v>
      </c>
      <c r="G497" s="27" t="str">
        <f t="shared" si="150"/>
        <v>0#1#69440|0#2#2380|0#3#496|0#4#992|0#9#496|0#10#992|0#11#496|0#12#992|1#1#11573|1#2#119040|1#3#496|1#4#992|1#9#496|1#10#992|1#11#496|1#12#992|2#1#34720|2#2#59520|2#3#496|2#4#992|2#9#496|2#10#992|2#11#496|2#12#992</v>
      </c>
      <c r="H497" s="22"/>
      <c r="I497" s="28">
        <v>4200000000</v>
      </c>
      <c r="J497" s="198">
        <v>496</v>
      </c>
      <c r="K497" s="183">
        <f t="shared" si="146"/>
        <v>69440</v>
      </c>
      <c r="L497" s="183">
        <f t="shared" si="151"/>
        <v>119040</v>
      </c>
      <c r="M497" s="183">
        <f t="shared" si="152"/>
        <v>496</v>
      </c>
      <c r="N497" s="183">
        <f t="shared" si="153"/>
        <v>992</v>
      </c>
      <c r="O497" s="183">
        <f t="shared" si="154"/>
        <v>496</v>
      </c>
      <c r="P497" s="183">
        <f t="shared" si="155"/>
        <v>992</v>
      </c>
      <c r="Q497" s="183">
        <f t="shared" si="156"/>
        <v>496</v>
      </c>
      <c r="R497" s="183">
        <f t="shared" si="157"/>
        <v>992</v>
      </c>
      <c r="S497" s="183">
        <f t="shared" si="158"/>
        <v>496</v>
      </c>
      <c r="T497" s="183">
        <f t="shared" si="159"/>
        <v>992</v>
      </c>
      <c r="U497" s="183">
        <f t="shared" si="160"/>
        <v>496</v>
      </c>
      <c r="V497" s="183">
        <f t="shared" si="161"/>
        <v>992</v>
      </c>
      <c r="W497" s="12">
        <f>K497*属性价值参考!C$5+升级!L497*属性价值参考!C$6+升级!M497*属性价值参考!C$7+升级!N497*属性价值参考!C$8+升级!S497*属性价值参考!C$9+升级!T497*属性价值参考!C$10+升级!U497*属性价值参考!C$11+升级!V497*属性价值参考!C$12</f>
        <v>581986.55999999994</v>
      </c>
    </row>
    <row r="498" spans="1:23" x14ac:dyDescent="0.3">
      <c r="A498" s="22"/>
      <c r="B498" s="22"/>
      <c r="C498" s="24">
        <v>497</v>
      </c>
      <c r="D498" s="27" t="str">
        <f t="shared" si="147"/>
        <v>0#1#69580|0#2#2385|0#3#497|0#4#994|0#9#497|0#10#994|0#11#497|0#12#994</v>
      </c>
      <c r="E498" s="27" t="str">
        <f t="shared" si="148"/>
        <v>1#1#11596|1#2#119280|1#3#497|1#4#994|1#9#497|1#10#994|1#11#497|1#12#994</v>
      </c>
      <c r="F498" s="27" t="str">
        <f t="shared" si="149"/>
        <v>2#1#34790|2#2#59640|2#3#497|2#4#994|2#9#497|2#10#994|2#11#497|2#12#994</v>
      </c>
      <c r="G498" s="27" t="str">
        <f t="shared" si="150"/>
        <v>0#1#69580|0#2#2385|0#3#497|0#4#994|0#9#497|0#10#994|0#11#497|0#12#994|1#1#11596|1#2#119280|1#3#497|1#4#994|1#9#497|1#10#994|1#11#497|1#12#994|2#1#34790|2#2#59640|2#3#497|2#4#994|2#9#497|2#10#994|2#11#497|2#12#994</v>
      </c>
      <c r="H498" s="22"/>
      <c r="I498" s="25">
        <v>4200000000</v>
      </c>
      <c r="J498" s="197">
        <v>497</v>
      </c>
      <c r="K498" s="183">
        <f t="shared" si="146"/>
        <v>69580</v>
      </c>
      <c r="L498" s="183">
        <f t="shared" si="151"/>
        <v>119280</v>
      </c>
      <c r="M498" s="183">
        <f t="shared" si="152"/>
        <v>497</v>
      </c>
      <c r="N498" s="183">
        <f t="shared" si="153"/>
        <v>994</v>
      </c>
      <c r="O498" s="183">
        <f t="shared" si="154"/>
        <v>497</v>
      </c>
      <c r="P498" s="183">
        <f t="shared" si="155"/>
        <v>994</v>
      </c>
      <c r="Q498" s="183">
        <f t="shared" si="156"/>
        <v>497</v>
      </c>
      <c r="R498" s="183">
        <f t="shared" si="157"/>
        <v>994</v>
      </c>
      <c r="S498" s="183">
        <f t="shared" si="158"/>
        <v>497</v>
      </c>
      <c r="T498" s="183">
        <f t="shared" si="159"/>
        <v>994</v>
      </c>
      <c r="U498" s="183">
        <f t="shared" si="160"/>
        <v>497</v>
      </c>
      <c r="V498" s="183">
        <f t="shared" si="161"/>
        <v>994</v>
      </c>
      <c r="W498" s="12">
        <f>K498*属性价值参考!C$5+升级!L498*属性价值参考!C$6+升级!M498*属性价值参考!C$7+升级!N498*属性价值参考!C$8+升级!S498*属性价值参考!C$9+升级!T498*属性价值参考!C$10+升级!U498*属性价值参考!C$11+升级!V498*属性价值参考!C$12</f>
        <v>583159.92000000016</v>
      </c>
    </row>
    <row r="499" spans="1:23" x14ac:dyDescent="0.3">
      <c r="A499" s="22"/>
      <c r="B499" s="22"/>
      <c r="C499" s="27">
        <v>498</v>
      </c>
      <c r="D499" s="27" t="str">
        <f t="shared" si="147"/>
        <v>0#1#69720|0#2#2390|0#3#498|0#4#996|0#9#498|0#10#996|0#11#498|0#12#996</v>
      </c>
      <c r="E499" s="27" t="str">
        <f t="shared" si="148"/>
        <v>1#1#11620|1#2#119520|1#3#498|1#4#996|1#9#498|1#10#996|1#11#498|1#12#996</v>
      </c>
      <c r="F499" s="27" t="str">
        <f t="shared" si="149"/>
        <v>2#1#34860|2#2#59760|2#3#498|2#4#996|2#9#498|2#10#996|2#11#498|2#12#996</v>
      </c>
      <c r="G499" s="27" t="str">
        <f t="shared" si="150"/>
        <v>0#1#69720|0#2#2390|0#3#498|0#4#996|0#9#498|0#10#996|0#11#498|0#12#996|1#1#11620|1#2#119520|1#3#498|1#4#996|1#9#498|1#10#996|1#11#498|1#12#996|2#1#34860|2#2#59760|2#3#498|2#4#996|2#9#498|2#10#996|2#11#498|2#12#996</v>
      </c>
      <c r="H499" s="22"/>
      <c r="I499" s="28">
        <v>4200000000</v>
      </c>
      <c r="J499" s="198">
        <v>498</v>
      </c>
      <c r="K499" s="183">
        <f t="shared" si="146"/>
        <v>69720</v>
      </c>
      <c r="L499" s="183">
        <f t="shared" si="151"/>
        <v>119520</v>
      </c>
      <c r="M499" s="183">
        <f t="shared" si="152"/>
        <v>498</v>
      </c>
      <c r="N499" s="183">
        <f t="shared" si="153"/>
        <v>996</v>
      </c>
      <c r="O499" s="183">
        <f t="shared" si="154"/>
        <v>498</v>
      </c>
      <c r="P499" s="183">
        <f t="shared" si="155"/>
        <v>996</v>
      </c>
      <c r="Q499" s="183">
        <f t="shared" si="156"/>
        <v>498</v>
      </c>
      <c r="R499" s="183">
        <f t="shared" si="157"/>
        <v>996</v>
      </c>
      <c r="S499" s="183">
        <f t="shared" si="158"/>
        <v>498</v>
      </c>
      <c r="T499" s="183">
        <f t="shared" si="159"/>
        <v>996</v>
      </c>
      <c r="U499" s="183">
        <f t="shared" si="160"/>
        <v>498</v>
      </c>
      <c r="V499" s="183">
        <f t="shared" si="161"/>
        <v>996</v>
      </c>
      <c r="W499" s="12">
        <f>K499*属性价值参考!C$5+升级!L499*属性价值参考!C$6+升级!M499*属性价值参考!C$7+升级!N499*属性价值参考!C$8+升级!S499*属性价值参考!C$9+升级!T499*属性价值参考!C$10+升级!U499*属性价值参考!C$11+升级!V499*属性价值参考!C$12</f>
        <v>584333.2799999998</v>
      </c>
    </row>
    <row r="500" spans="1:23" x14ac:dyDescent="0.3">
      <c r="A500" s="22"/>
      <c r="B500" s="22"/>
      <c r="C500" s="24">
        <v>499</v>
      </c>
      <c r="D500" s="27" t="str">
        <f t="shared" si="147"/>
        <v>0#1#69860|0#2#2395|0#3#499|0#4#998|0#9#499|0#10#998|0#11#499|0#12#998</v>
      </c>
      <c r="E500" s="27" t="str">
        <f t="shared" si="148"/>
        <v>1#1#11643|1#2#119760|1#3#499|1#4#998|1#9#499|1#10#998|1#11#499|1#12#998</v>
      </c>
      <c r="F500" s="27" t="str">
        <f t="shared" si="149"/>
        <v>2#1#34930|2#2#59880|2#3#499|2#4#998|2#9#499|2#10#998|2#11#499|2#12#998</v>
      </c>
      <c r="G500" s="27" t="str">
        <f t="shared" si="150"/>
        <v>0#1#69860|0#2#2395|0#3#499|0#4#998|0#9#499|0#10#998|0#11#499|0#12#998|1#1#11643|1#2#119760|1#3#499|1#4#998|1#9#499|1#10#998|1#11#499|1#12#998|2#1#34930|2#2#59880|2#3#499|2#4#998|2#9#499|2#10#998|2#11#499|2#12#998</v>
      </c>
      <c r="H500" s="22"/>
      <c r="I500" s="25">
        <v>4200000000</v>
      </c>
      <c r="J500" s="197">
        <v>499</v>
      </c>
      <c r="K500" s="183">
        <f t="shared" si="146"/>
        <v>69860</v>
      </c>
      <c r="L500" s="183">
        <f t="shared" si="151"/>
        <v>119760</v>
      </c>
      <c r="M500" s="183">
        <f t="shared" si="152"/>
        <v>499</v>
      </c>
      <c r="N500" s="183">
        <f t="shared" si="153"/>
        <v>998</v>
      </c>
      <c r="O500" s="183">
        <f t="shared" si="154"/>
        <v>499</v>
      </c>
      <c r="P500" s="183">
        <f t="shared" si="155"/>
        <v>998</v>
      </c>
      <c r="Q500" s="183">
        <f t="shared" si="156"/>
        <v>499</v>
      </c>
      <c r="R500" s="183">
        <f t="shared" si="157"/>
        <v>998</v>
      </c>
      <c r="S500" s="183">
        <f t="shared" si="158"/>
        <v>499</v>
      </c>
      <c r="T500" s="183">
        <f t="shared" si="159"/>
        <v>998</v>
      </c>
      <c r="U500" s="183">
        <f t="shared" si="160"/>
        <v>499</v>
      </c>
      <c r="V500" s="183">
        <f t="shared" si="161"/>
        <v>998</v>
      </c>
      <c r="W500" s="12">
        <f>K500*属性价值参考!C$5+升级!L500*属性价值参考!C$6+升级!M500*属性价值参考!C$7+升级!N500*属性价值参考!C$8+升级!S500*属性价值参考!C$9+升级!T500*属性价值参考!C$10+升级!U500*属性价值参考!C$11+升级!V500*属性价值参考!C$12</f>
        <v>585506.64</v>
      </c>
    </row>
    <row r="501" spans="1:23" x14ac:dyDescent="0.3">
      <c r="A501" s="22"/>
      <c r="B501" s="22"/>
      <c r="C501" s="27">
        <v>500</v>
      </c>
      <c r="D501" s="27" t="str">
        <f t="shared" si="147"/>
        <v>0#1#70000|0#2#2400|0#3#500|0#4#1000|0#9#500|0#10#1000|0#11#500|0#12#1000</v>
      </c>
      <c r="E501" s="27" t="str">
        <f t="shared" si="148"/>
        <v>1#1#11666|1#2#120000|1#3#500|1#4#1000|1#9#500|1#10#1000|1#11#500|1#12#1000</v>
      </c>
      <c r="F501" s="27" t="str">
        <f t="shared" si="149"/>
        <v>2#1#35000|2#2#60000|2#3#500|2#4#1000|2#9#500|2#10#1000|2#11#500|2#12#1000</v>
      </c>
      <c r="G501" s="27" t="str">
        <f t="shared" si="150"/>
        <v>0#1#70000|0#2#2400|0#3#500|0#4#1000|0#9#500|0#10#1000|0#11#500|0#12#1000|1#1#11666|1#2#120000|1#3#500|1#4#1000|1#9#500|1#10#1000|1#11#500|1#12#1000|2#1#35000|2#2#60000|2#3#500|2#4#1000|2#9#500|2#10#1000|2#11#500|2#12#1000</v>
      </c>
      <c r="H501" s="22"/>
      <c r="I501" s="28">
        <v>4200000000</v>
      </c>
      <c r="J501" s="198">
        <v>500</v>
      </c>
      <c r="K501" s="183">
        <f t="shared" si="146"/>
        <v>70000</v>
      </c>
      <c r="L501" s="183">
        <f t="shared" si="151"/>
        <v>120000</v>
      </c>
      <c r="M501" s="183">
        <f t="shared" si="152"/>
        <v>500</v>
      </c>
      <c r="N501" s="183">
        <f t="shared" si="153"/>
        <v>1000</v>
      </c>
      <c r="O501" s="183">
        <f t="shared" si="154"/>
        <v>500</v>
      </c>
      <c r="P501" s="183">
        <f t="shared" si="155"/>
        <v>1000</v>
      </c>
      <c r="Q501" s="183">
        <f t="shared" si="156"/>
        <v>500</v>
      </c>
      <c r="R501" s="183">
        <f t="shared" si="157"/>
        <v>1000</v>
      </c>
      <c r="S501" s="183">
        <f t="shared" si="158"/>
        <v>500</v>
      </c>
      <c r="T501" s="183">
        <f t="shared" si="159"/>
        <v>1000</v>
      </c>
      <c r="U501" s="183">
        <f t="shared" si="160"/>
        <v>500</v>
      </c>
      <c r="V501" s="183">
        <f t="shared" si="161"/>
        <v>1000</v>
      </c>
      <c r="W501" s="12">
        <f>K501*属性价值参考!C$5+升级!L501*属性价值参考!C$6+升级!M501*属性价值参考!C$7+升级!N501*属性价值参考!C$8+升级!S501*属性价值参考!C$9+升级!T501*属性价值参考!C$10+升级!U501*属性价值参考!C$11+升级!V501*属性价值参考!C$12</f>
        <v>586680</v>
      </c>
    </row>
  </sheetData>
  <mergeCells count="1">
    <mergeCell ref="A2:A7"/>
  </mergeCells>
  <phoneticPr fontId="1" type="noConversion"/>
  <pageMargins left="0.7" right="0.7" top="0.75" bottom="0.75" header="0.3" footer="0.3"/>
  <ignoredErrors>
    <ignoredError sqref="N251 P251 R251 T25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86F9-0FF7-4AED-AB77-4B0F427080E7}">
  <dimension ref="A1:AD112"/>
  <sheetViews>
    <sheetView workbookViewId="0">
      <selection activeCell="I7" sqref="I7"/>
    </sheetView>
  </sheetViews>
  <sheetFormatPr defaultRowHeight="14.25" x14ac:dyDescent="0.2"/>
  <cols>
    <col min="3" max="3" width="17.75" customWidth="1"/>
    <col min="6" max="6" width="13.25" customWidth="1"/>
    <col min="7" max="7" width="12.75" customWidth="1"/>
    <col min="8" max="8" width="93.875" bestFit="1" customWidth="1"/>
    <col min="9" max="9" width="31.375" style="1" customWidth="1"/>
    <col min="12" max="12" width="9.75" bestFit="1" customWidth="1"/>
    <col min="13" max="13" width="9.75" customWidth="1"/>
    <col min="14" max="14" width="9.125" style="94" bestFit="1" customWidth="1"/>
    <col min="15" max="15" width="9" style="94"/>
    <col min="16" max="25" width="9.125" style="94" bestFit="1" customWidth="1"/>
    <col min="26" max="26" width="12" bestFit="1" customWidth="1"/>
    <col min="27" max="27" width="10.75" bestFit="1" customWidth="1"/>
    <col min="28" max="28" width="9.875" bestFit="1" customWidth="1"/>
    <col min="29" max="30" width="16.375" bestFit="1" customWidth="1"/>
  </cols>
  <sheetData>
    <row r="1" spans="1:30" s="31" customFormat="1" ht="18" x14ac:dyDescent="0.2">
      <c r="A1" s="21" t="s">
        <v>49</v>
      </c>
      <c r="B1" s="21" t="s">
        <v>50</v>
      </c>
      <c r="C1" s="21" t="s">
        <v>54</v>
      </c>
      <c r="D1" s="21" t="s">
        <v>55</v>
      </c>
      <c r="E1" s="21" t="s">
        <v>56</v>
      </c>
      <c r="F1" s="21" t="s">
        <v>98</v>
      </c>
      <c r="G1" s="21" t="s">
        <v>57</v>
      </c>
      <c r="H1" s="21" t="s">
        <v>77</v>
      </c>
      <c r="I1" s="21" t="s">
        <v>62</v>
      </c>
      <c r="J1" s="21" t="s">
        <v>61</v>
      </c>
      <c r="K1" s="21"/>
      <c r="L1" s="21" t="s">
        <v>55</v>
      </c>
      <c r="M1" s="21" t="s">
        <v>3468</v>
      </c>
      <c r="N1" s="63" t="s">
        <v>37</v>
      </c>
      <c r="O1" s="63" t="s">
        <v>38</v>
      </c>
      <c r="P1" s="63" t="s">
        <v>68</v>
      </c>
      <c r="Q1" s="63" t="s">
        <v>69</v>
      </c>
      <c r="R1" s="63" t="s">
        <v>70</v>
      </c>
      <c r="S1" s="63" t="s">
        <v>71</v>
      </c>
      <c r="T1" s="63" t="s">
        <v>67</v>
      </c>
      <c r="U1" s="63" t="s">
        <v>72</v>
      </c>
      <c r="V1" s="63" t="s">
        <v>73</v>
      </c>
      <c r="W1" s="63" t="s">
        <v>74</v>
      </c>
      <c r="X1" s="63" t="s">
        <v>75</v>
      </c>
      <c r="Y1" s="63" t="s">
        <v>76</v>
      </c>
      <c r="Z1" s="63" t="s">
        <v>3428</v>
      </c>
      <c r="AA1" s="63" t="s">
        <v>3447</v>
      </c>
      <c r="AB1" s="63" t="s">
        <v>3449</v>
      </c>
      <c r="AC1" s="63" t="s">
        <v>3469</v>
      </c>
      <c r="AD1" s="63" t="s">
        <v>3471</v>
      </c>
    </row>
    <row r="2" spans="1:30" ht="16.5" x14ac:dyDescent="0.3">
      <c r="A2" s="22" t="s">
        <v>29</v>
      </c>
      <c r="B2" s="22" t="s">
        <v>30</v>
      </c>
      <c r="C2" s="23" t="s">
        <v>99</v>
      </c>
      <c r="D2" s="22">
        <v>0</v>
      </c>
      <c r="E2" s="22"/>
      <c r="F2" s="22"/>
      <c r="G2" s="22"/>
      <c r="H2" s="22"/>
      <c r="I2" s="39"/>
      <c r="J2" s="22"/>
      <c r="K2" s="22"/>
      <c r="L2" s="22">
        <v>0</v>
      </c>
      <c r="M2" s="22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8">
        <f>N2*属性价值参考!C$5+官印!P2*属性价值参考!C$7+官印!Q2*属性价值参考!C$8+官印!V2*属性价值参考!C$9+官印!W2*属性价值参考!C$10+官印!X2*属性价值参考!C$11+官印!Y2*属性价值参考!C$12</f>
        <v>0</v>
      </c>
      <c r="AA2" s="8">
        <f t="shared" ref="AA2:AA65" si="0">Z2/0.6*100</f>
        <v>0</v>
      </c>
      <c r="AB2" s="8">
        <f t="shared" ref="AB2:AB65" si="1">Z2/0.6</f>
        <v>0</v>
      </c>
      <c r="AC2" s="8"/>
      <c r="AD2" s="8"/>
    </row>
    <row r="3" spans="1:30" ht="16.5" x14ac:dyDescent="0.3">
      <c r="A3" s="22" t="s">
        <v>29</v>
      </c>
      <c r="B3" s="22" t="s">
        <v>30</v>
      </c>
      <c r="C3" s="23" t="s">
        <v>100</v>
      </c>
      <c r="D3" s="22">
        <v>1</v>
      </c>
      <c r="E3" s="22"/>
      <c r="F3" s="22" t="s">
        <v>101</v>
      </c>
      <c r="G3" s="22"/>
      <c r="H3" s="62" t="str">
        <f t="shared" ref="H3:H66" si="2">"3#1#"&amp;N3&amp;"|"&amp;"3#3#"&amp;P3&amp;"|"&amp;"3#4#"&amp;Q3&amp;"|"&amp;"3#5#"&amp;R3&amp;"|"&amp;"3#6#"&amp;S3&amp;"|"&amp;"3#7#"&amp;T3&amp;"|"&amp;"3#6#"&amp;S3&amp;"|"&amp;"3#8#"&amp;U3&amp;"|"&amp;"3#9#"&amp;V3&amp;"|"&amp;"3#10#"&amp;W3&amp;"|"&amp;"3#11#"&amp;X3&amp;"|"&amp;"3#12#"&amp;Y3</f>
        <v>3#1#20|3#3#1|3#4#2|3#5#1|3#6#2|3#7#1|3#6#2|3#8#2|3#9#0|3#10#1|3#11#0|3#12#1</v>
      </c>
      <c r="I3" s="40" t="str">
        <f>"元宝"&amp;AC3&amp;"/声望"&amp;AD3</f>
        <v>元宝19400/声望290</v>
      </c>
      <c r="J3" s="22"/>
      <c r="K3" s="22"/>
      <c r="L3" s="22">
        <v>1</v>
      </c>
      <c r="M3" s="22">
        <f>材料产出!C4</f>
        <v>0.5</v>
      </c>
      <c r="N3" s="97">
        <f>INT(1/5*N7)</f>
        <v>20</v>
      </c>
      <c r="O3" s="97"/>
      <c r="P3" s="97">
        <f t="shared" ref="P3:Y3" si="3">INT(1/5*P7)</f>
        <v>1</v>
      </c>
      <c r="Q3" s="97">
        <f t="shared" si="3"/>
        <v>2</v>
      </c>
      <c r="R3" s="97">
        <f t="shared" si="3"/>
        <v>1</v>
      </c>
      <c r="S3" s="97">
        <f t="shared" si="3"/>
        <v>2</v>
      </c>
      <c r="T3" s="97">
        <f t="shared" si="3"/>
        <v>1</v>
      </c>
      <c r="U3" s="97">
        <f t="shared" si="3"/>
        <v>2</v>
      </c>
      <c r="V3" s="97">
        <f t="shared" si="3"/>
        <v>0</v>
      </c>
      <c r="W3" s="97">
        <f t="shared" si="3"/>
        <v>1</v>
      </c>
      <c r="X3" s="97">
        <f t="shared" si="3"/>
        <v>0</v>
      </c>
      <c r="Y3" s="97">
        <f t="shared" si="3"/>
        <v>1</v>
      </c>
      <c r="Z3" s="8">
        <f>N3*属性价值参考!C$5+官印!P3*属性价值参考!C$7+官印!Q3*属性价值参考!C$8+官印!V3*属性价值参考!C$9+官印!W3*属性价值参考!C$10+官印!X3*属性价值参考!C$11+官印!Y3*属性价值参考!C$12</f>
        <v>264</v>
      </c>
      <c r="AA3" s="8">
        <f t="shared" si="0"/>
        <v>44000</v>
      </c>
      <c r="AB3" s="8">
        <f t="shared" si="1"/>
        <v>440</v>
      </c>
      <c r="AC3" s="8">
        <f>ROUND($AA$105/材料产出!$K$31*SUM(材料产出!$K$4:$K$6)/100,0)*100</f>
        <v>19400</v>
      </c>
      <c r="AD3" s="8">
        <f>ROUND($AB$105/材料产出!$Q$31*SUM(材料产出!$P$4:$P$6)/10,0)*10</f>
        <v>290</v>
      </c>
    </row>
    <row r="4" spans="1:30" ht="16.5" x14ac:dyDescent="0.3">
      <c r="A4" s="22" t="s">
        <v>29</v>
      </c>
      <c r="B4" s="22" t="s">
        <v>30</v>
      </c>
      <c r="C4" s="23" t="s">
        <v>100</v>
      </c>
      <c r="D4" s="22">
        <v>2</v>
      </c>
      <c r="E4" s="22"/>
      <c r="F4" s="22" t="s">
        <v>101</v>
      </c>
      <c r="G4" s="22"/>
      <c r="H4" s="62" t="str">
        <f t="shared" si="2"/>
        <v>3#1#40|3#3#2|3#4#4|3#5#2|3#6#4|3#7#2|3#6#4|3#8#4|3#9#0|3#10#2|3#11#0|3#12#2</v>
      </c>
      <c r="I4" s="40" t="str">
        <f t="shared" ref="I4:I67" si="4">"元宝"&amp;AC4&amp;"/声望"&amp;AD4</f>
        <v>元宝19400/声望290</v>
      </c>
      <c r="J4" s="22"/>
      <c r="K4" s="22"/>
      <c r="L4" s="22">
        <v>1</v>
      </c>
      <c r="M4" s="22">
        <f>材料产出!C4</f>
        <v>0.5</v>
      </c>
      <c r="N4" s="97">
        <f>INT(2/5*N7)</f>
        <v>40</v>
      </c>
      <c r="O4" s="97"/>
      <c r="P4" s="97">
        <f t="shared" ref="P4:Y4" si="5">INT(2/5*P7)</f>
        <v>2</v>
      </c>
      <c r="Q4" s="97">
        <f t="shared" si="5"/>
        <v>4</v>
      </c>
      <c r="R4" s="97">
        <f t="shared" si="5"/>
        <v>2</v>
      </c>
      <c r="S4" s="97">
        <f t="shared" si="5"/>
        <v>4</v>
      </c>
      <c r="T4" s="97">
        <f t="shared" si="5"/>
        <v>2</v>
      </c>
      <c r="U4" s="97">
        <f t="shared" si="5"/>
        <v>4</v>
      </c>
      <c r="V4" s="97">
        <f t="shared" si="5"/>
        <v>0</v>
      </c>
      <c r="W4" s="97">
        <f t="shared" si="5"/>
        <v>2</v>
      </c>
      <c r="X4" s="97">
        <f t="shared" si="5"/>
        <v>0</v>
      </c>
      <c r="Y4" s="97">
        <f t="shared" si="5"/>
        <v>2</v>
      </c>
      <c r="Z4" s="8">
        <f>N4*属性价值参考!C$5+官印!P4*属性价值参考!C$7+官印!Q4*属性价值参考!C$8+官印!V4*属性价值参考!C$9+官印!W4*属性价值参考!C$10+官印!X4*属性价值参考!C$11+官印!Y4*属性价值参考!C$12</f>
        <v>528</v>
      </c>
      <c r="AA4" s="8">
        <f t="shared" si="0"/>
        <v>88000</v>
      </c>
      <c r="AB4" s="8">
        <f t="shared" si="1"/>
        <v>880</v>
      </c>
      <c r="AC4" s="8">
        <f>ROUND($AA$105/材料产出!$K$31*SUM(材料产出!$K$4:$K$6)/100,0)*100</f>
        <v>19400</v>
      </c>
      <c r="AD4" s="8">
        <f>ROUND($AB$105/材料产出!$Q$31*SUM(材料产出!$P$4:$P$6)/10,0)*10</f>
        <v>290</v>
      </c>
    </row>
    <row r="5" spans="1:30" ht="16.5" x14ac:dyDescent="0.3">
      <c r="A5" s="22" t="s">
        <v>29</v>
      </c>
      <c r="B5" s="22" t="s">
        <v>30</v>
      </c>
      <c r="C5" s="23" t="s">
        <v>100</v>
      </c>
      <c r="D5" s="22">
        <v>3</v>
      </c>
      <c r="E5" s="22"/>
      <c r="F5" s="22" t="s">
        <v>101</v>
      </c>
      <c r="G5" s="22"/>
      <c r="H5" s="62" t="str">
        <f t="shared" si="2"/>
        <v>3#1#60|3#3#3|3#4#6|3#5#3|3#6#6|3#7#3|3#6#6|3#8#6|3#9#1|3#10#3|3#11#1|3#12#3</v>
      </c>
      <c r="I5" s="40" t="str">
        <f t="shared" si="4"/>
        <v>元宝19400/声望290</v>
      </c>
      <c r="J5" s="22"/>
      <c r="K5" s="22"/>
      <c r="L5" s="22">
        <v>1</v>
      </c>
      <c r="M5" s="22">
        <f>材料产出!C4</f>
        <v>0.5</v>
      </c>
      <c r="N5" s="97">
        <f>INT(3/5*N7)</f>
        <v>60</v>
      </c>
      <c r="O5" s="97"/>
      <c r="P5" s="97">
        <f t="shared" ref="P5:Y5" si="6">INT(3/5*P7)</f>
        <v>3</v>
      </c>
      <c r="Q5" s="97">
        <f t="shared" si="6"/>
        <v>6</v>
      </c>
      <c r="R5" s="97">
        <f t="shared" si="6"/>
        <v>3</v>
      </c>
      <c r="S5" s="97">
        <f t="shared" si="6"/>
        <v>6</v>
      </c>
      <c r="T5" s="97">
        <f t="shared" si="6"/>
        <v>3</v>
      </c>
      <c r="U5" s="97">
        <f t="shared" si="6"/>
        <v>6</v>
      </c>
      <c r="V5" s="97">
        <f t="shared" si="6"/>
        <v>1</v>
      </c>
      <c r="W5" s="97">
        <f t="shared" si="6"/>
        <v>3</v>
      </c>
      <c r="X5" s="97">
        <f t="shared" si="6"/>
        <v>1</v>
      </c>
      <c r="Y5" s="97">
        <f t="shared" si="6"/>
        <v>3</v>
      </c>
      <c r="Z5" s="8">
        <f>N5*属性价值参考!C$5+官印!P5*属性价值参考!C$7+官印!Q5*属性价值参考!C$8+官印!V5*属性价值参考!C$9+官印!W5*属性价值参考!C$10+官印!X5*属性价值参考!C$11+官印!Y5*属性价值参考!C$12</f>
        <v>819.60000000000014</v>
      </c>
      <c r="AA5" s="8">
        <f t="shared" si="0"/>
        <v>136600.00000000003</v>
      </c>
      <c r="AB5" s="8">
        <f t="shared" si="1"/>
        <v>1366.0000000000002</v>
      </c>
      <c r="AC5" s="8">
        <f>ROUND($AA$105/材料产出!$K$31*SUM(材料产出!$K$4:$K$6)/100,0)*100</f>
        <v>19400</v>
      </c>
      <c r="AD5" s="8">
        <f>ROUND($AB$105/材料产出!$Q$31*SUM(材料产出!$P$4:$P$6)/10,0)*10</f>
        <v>290</v>
      </c>
    </row>
    <row r="6" spans="1:30" ht="16.5" x14ac:dyDescent="0.3">
      <c r="A6" s="22" t="s">
        <v>29</v>
      </c>
      <c r="B6" s="22" t="s">
        <v>30</v>
      </c>
      <c r="C6" s="23" t="s">
        <v>100</v>
      </c>
      <c r="D6" s="22">
        <v>4</v>
      </c>
      <c r="E6" s="22"/>
      <c r="F6" s="22" t="s">
        <v>101</v>
      </c>
      <c r="G6" s="22"/>
      <c r="H6" s="62" t="str">
        <f t="shared" si="2"/>
        <v>3#1#80|3#3#4|3#4#8|3#5#4|3#6#8|3#7#4|3#6#8|3#8#8|3#9#1|3#10#4|3#11#1|3#12#4</v>
      </c>
      <c r="I6" s="40" t="str">
        <f t="shared" si="4"/>
        <v>元宝19400/声望290</v>
      </c>
      <c r="J6" s="22"/>
      <c r="K6" s="22">
        <v>1</v>
      </c>
      <c r="L6" s="22">
        <v>1</v>
      </c>
      <c r="M6" s="22">
        <f>材料产出!C4</f>
        <v>0.5</v>
      </c>
      <c r="N6" s="97">
        <f>INT(4/5*N7)</f>
        <v>80</v>
      </c>
      <c r="O6" s="97"/>
      <c r="P6" s="97">
        <f t="shared" ref="P6:Y6" si="7">INT(4/5*P7)</f>
        <v>4</v>
      </c>
      <c r="Q6" s="97">
        <f t="shared" si="7"/>
        <v>8</v>
      </c>
      <c r="R6" s="97">
        <f t="shared" si="7"/>
        <v>4</v>
      </c>
      <c r="S6" s="97">
        <f t="shared" si="7"/>
        <v>8</v>
      </c>
      <c r="T6" s="97">
        <f t="shared" si="7"/>
        <v>4</v>
      </c>
      <c r="U6" s="97">
        <f t="shared" si="7"/>
        <v>8</v>
      </c>
      <c r="V6" s="97">
        <f t="shared" si="7"/>
        <v>1</v>
      </c>
      <c r="W6" s="97">
        <f t="shared" si="7"/>
        <v>4</v>
      </c>
      <c r="X6" s="97">
        <f t="shared" si="7"/>
        <v>1</v>
      </c>
      <c r="Y6" s="97">
        <f t="shared" si="7"/>
        <v>4</v>
      </c>
      <c r="Z6" s="8">
        <f>N6*属性价值参考!C$5+官印!P6*属性价值参考!C$7+官印!Q6*属性价值参考!C$8+官印!V6*属性价值参考!C$9+官印!W6*属性价值参考!C$10+官印!X6*属性价值参考!C$11+官印!Y6*属性价值参考!C$12</f>
        <v>1083.6000000000001</v>
      </c>
      <c r="AA6" s="8">
        <f t="shared" si="0"/>
        <v>180600.00000000003</v>
      </c>
      <c r="AB6" s="8">
        <f t="shared" si="1"/>
        <v>1806.0000000000002</v>
      </c>
      <c r="AC6" s="8">
        <f>ROUND($AA$105/材料产出!$K$31*SUM(材料产出!$K$4:$K$6)/100,0)*100</f>
        <v>19400</v>
      </c>
      <c r="AD6" s="8">
        <f>ROUND($AB$105/材料产出!$Q$31*SUM(材料产出!$P$4:$P$6)/10,0)*10</f>
        <v>290</v>
      </c>
    </row>
    <row r="7" spans="1:30" ht="16.5" x14ac:dyDescent="0.3">
      <c r="A7" s="22" t="s">
        <v>29</v>
      </c>
      <c r="B7" s="22" t="s">
        <v>30</v>
      </c>
      <c r="C7" s="23" t="s">
        <v>100</v>
      </c>
      <c r="D7" s="22">
        <v>5</v>
      </c>
      <c r="E7" s="22"/>
      <c r="F7" s="22" t="s">
        <v>101</v>
      </c>
      <c r="G7" s="22"/>
      <c r="H7" s="62" t="str">
        <f t="shared" si="2"/>
        <v>3#1#100|3#3#5|3#4#10|3#5#5|3#6#10|3#7#5|3#6#10|3#8#10|3#9#2|3#10#5|3#11#2|3#12#5</v>
      </c>
      <c r="I7" s="40" t="str">
        <f t="shared" si="4"/>
        <v>元宝19400/声望290</v>
      </c>
      <c r="J7" s="22"/>
      <c r="K7" s="22">
        <v>2</v>
      </c>
      <c r="L7" s="22">
        <v>1</v>
      </c>
      <c r="M7" s="22">
        <f>材料产出!C4</f>
        <v>0.5</v>
      </c>
      <c r="N7" s="97">
        <f t="shared" ref="N7:N70" si="8">INT(K7/100*N$105)</f>
        <v>100</v>
      </c>
      <c r="O7" s="97"/>
      <c r="P7" s="97">
        <f t="shared" ref="P7:P70" si="9">INT(0.5*Q7)</f>
        <v>5</v>
      </c>
      <c r="Q7" s="97">
        <f t="shared" ref="Q7:Q70" si="10">INT(K7/100*Q$105)</f>
        <v>10</v>
      </c>
      <c r="R7" s="97">
        <f t="shared" ref="R7:R70" si="11">INT(0.5*S7)</f>
        <v>5</v>
      </c>
      <c r="S7" s="97">
        <f t="shared" ref="S7:S70" si="12">INT(K7/100*S$105)</f>
        <v>10</v>
      </c>
      <c r="T7" s="97">
        <f t="shared" ref="T7:T70" si="13">INT(0.5*U7)</f>
        <v>5</v>
      </c>
      <c r="U7" s="97">
        <f t="shared" ref="U7:U70" si="14">INT(K7/100*U$105)</f>
        <v>10</v>
      </c>
      <c r="V7" s="97">
        <f t="shared" ref="V7:V70" si="15">INT(0.5*W7)</f>
        <v>2</v>
      </c>
      <c r="W7" s="97">
        <f t="shared" ref="W7:W70" si="16">INT(K7/100*W$105)</f>
        <v>5</v>
      </c>
      <c r="X7" s="97">
        <f t="shared" ref="X7:X70" si="17">INT(0.5*Y7)</f>
        <v>2</v>
      </c>
      <c r="Y7" s="97">
        <f t="shared" ref="Y7:Y70" si="18">INT(K7/100*Y$105)</f>
        <v>5</v>
      </c>
      <c r="Z7" s="8">
        <f>N7*属性价值参考!C$5+官印!P7*属性价值参考!C$7+官印!Q7*属性价值参考!C$8+官印!V7*属性价值参考!C$9+官印!W7*属性价值参考!C$10+官印!X7*属性价值参考!C$11+官印!Y7*属性价值参考!C$12</f>
        <v>1375.2</v>
      </c>
      <c r="AA7" s="8">
        <f t="shared" si="0"/>
        <v>229200</v>
      </c>
      <c r="AB7" s="8">
        <f t="shared" si="1"/>
        <v>2292</v>
      </c>
      <c r="AC7" s="8">
        <f>ROUND($AA$105/材料产出!$K$31*SUM(材料产出!$K$4:$K$6)/100,0)*100</f>
        <v>19400</v>
      </c>
      <c r="AD7" s="8">
        <f>ROUND($AB$105/材料产出!$Q$31*SUM(材料产出!$P$4:$P$6)/10,0)*10</f>
        <v>290</v>
      </c>
    </row>
    <row r="8" spans="1:30" ht="16.5" x14ac:dyDescent="0.3">
      <c r="A8" s="22" t="s">
        <v>29</v>
      </c>
      <c r="B8" s="22" t="s">
        <v>30</v>
      </c>
      <c r="C8" s="23" t="s">
        <v>100</v>
      </c>
      <c r="D8" s="22">
        <v>6</v>
      </c>
      <c r="E8" s="22"/>
      <c r="F8" s="22" t="s">
        <v>101</v>
      </c>
      <c r="G8" s="22"/>
      <c r="H8" s="62" t="str">
        <f t="shared" si="2"/>
        <v>3#1#150|3#3#7|3#4#15|3#5#7|3#6#15|3#7#7|3#6#15|3#8#15|3#9#3|3#10#7|3#11#3|3#12#7</v>
      </c>
      <c r="I8" s="40" t="str">
        <f t="shared" si="4"/>
        <v>元宝19400/声望290</v>
      </c>
      <c r="J8" s="22"/>
      <c r="K8" s="22">
        <v>3</v>
      </c>
      <c r="L8" s="22">
        <v>1</v>
      </c>
      <c r="M8" s="22">
        <f>材料产出!C4</f>
        <v>0.5</v>
      </c>
      <c r="N8" s="97">
        <f t="shared" si="8"/>
        <v>150</v>
      </c>
      <c r="O8" s="97"/>
      <c r="P8" s="97">
        <f t="shared" si="9"/>
        <v>7</v>
      </c>
      <c r="Q8" s="97">
        <f t="shared" si="10"/>
        <v>15</v>
      </c>
      <c r="R8" s="97">
        <f t="shared" si="11"/>
        <v>7</v>
      </c>
      <c r="S8" s="97">
        <f t="shared" si="12"/>
        <v>15</v>
      </c>
      <c r="T8" s="97">
        <f t="shared" si="13"/>
        <v>7</v>
      </c>
      <c r="U8" s="97">
        <f t="shared" si="14"/>
        <v>15</v>
      </c>
      <c r="V8" s="97">
        <f t="shared" si="15"/>
        <v>3</v>
      </c>
      <c r="W8" s="97">
        <f t="shared" si="16"/>
        <v>7</v>
      </c>
      <c r="X8" s="97">
        <f t="shared" si="17"/>
        <v>3</v>
      </c>
      <c r="Y8" s="97">
        <f t="shared" si="18"/>
        <v>7</v>
      </c>
      <c r="Z8" s="8">
        <f>N8*属性价值参考!C$5+官印!P8*属性价值参考!C$7+官印!Q8*属性价值参考!C$8+官印!V8*属性价值参考!C$9+官印!W8*属性价值参考!C$10+官印!X8*属性价值参考!C$11+官印!Y8*属性价值参考!C$12</f>
        <v>2020.8000000000002</v>
      </c>
      <c r="AA8" s="8">
        <f t="shared" si="0"/>
        <v>336800.00000000006</v>
      </c>
      <c r="AB8" s="8">
        <f t="shared" si="1"/>
        <v>3368.0000000000005</v>
      </c>
      <c r="AC8" s="8">
        <f>ROUND($AA$105/材料产出!$K$31*SUM(材料产出!$K$4:$K$6)/100,0)*100</f>
        <v>19400</v>
      </c>
      <c r="AD8" s="8">
        <f>ROUND($AB$105/材料产出!$Q$31*SUM(材料产出!$P$4:$P$6)/10,0)*10</f>
        <v>290</v>
      </c>
    </row>
    <row r="9" spans="1:30" ht="16.5" x14ac:dyDescent="0.3">
      <c r="A9" s="22" t="s">
        <v>29</v>
      </c>
      <c r="B9" s="22" t="s">
        <v>30</v>
      </c>
      <c r="C9" s="23" t="s">
        <v>100</v>
      </c>
      <c r="D9" s="22">
        <v>7</v>
      </c>
      <c r="E9" s="22"/>
      <c r="F9" s="22" t="s">
        <v>101</v>
      </c>
      <c r="G9" s="22"/>
      <c r="H9" s="62" t="str">
        <f t="shared" si="2"/>
        <v>3#1#200|3#3#10|3#4#20|3#5#10|3#6#20|3#7#10|3#6#20|3#8#20|3#9#5|3#10#10|3#11#5|3#12#10</v>
      </c>
      <c r="I9" s="40" t="str">
        <f t="shared" si="4"/>
        <v>元宝19400/声望290</v>
      </c>
      <c r="J9" s="22"/>
      <c r="K9" s="22">
        <v>4</v>
      </c>
      <c r="L9" s="22">
        <v>1</v>
      </c>
      <c r="M9" s="22">
        <f>材料产出!C4</f>
        <v>0.5</v>
      </c>
      <c r="N9" s="97">
        <f t="shared" si="8"/>
        <v>200</v>
      </c>
      <c r="O9" s="97"/>
      <c r="P9" s="97">
        <f t="shared" si="9"/>
        <v>10</v>
      </c>
      <c r="Q9" s="97">
        <f t="shared" si="10"/>
        <v>20</v>
      </c>
      <c r="R9" s="97">
        <f t="shared" si="11"/>
        <v>10</v>
      </c>
      <c r="S9" s="97">
        <f t="shared" si="12"/>
        <v>20</v>
      </c>
      <c r="T9" s="97">
        <f t="shared" si="13"/>
        <v>10</v>
      </c>
      <c r="U9" s="97">
        <f t="shared" si="14"/>
        <v>20</v>
      </c>
      <c r="V9" s="97">
        <f t="shared" si="15"/>
        <v>5</v>
      </c>
      <c r="W9" s="97">
        <f t="shared" si="16"/>
        <v>10</v>
      </c>
      <c r="X9" s="97">
        <f t="shared" si="17"/>
        <v>5</v>
      </c>
      <c r="Y9" s="97">
        <f t="shared" si="18"/>
        <v>10</v>
      </c>
      <c r="Z9" s="8">
        <f>N9*属性价值参考!C$5+官印!P9*属性价值参考!C$7+官印!Q9*属性价值参考!C$8+官印!V9*属性价值参考!C$9+官印!W9*属性价值参考!C$10+官印!X9*属性价值参考!C$11+官印!Y9*属性价值参考!C$12</f>
        <v>2778</v>
      </c>
      <c r="AA9" s="8">
        <f t="shared" si="0"/>
        <v>463000</v>
      </c>
      <c r="AB9" s="8">
        <f t="shared" si="1"/>
        <v>4630</v>
      </c>
      <c r="AC9" s="8">
        <f>ROUND($AA$105/材料产出!$K$31*SUM(材料产出!$K$4:$K$6)/100,0)*100</f>
        <v>19400</v>
      </c>
      <c r="AD9" s="8">
        <f>ROUND($AB$105/材料产出!$Q$31*SUM(材料产出!$P$4:$P$6)/10,0)*10</f>
        <v>290</v>
      </c>
    </row>
    <row r="10" spans="1:30" ht="16.5" x14ac:dyDescent="0.3">
      <c r="A10" s="22" t="s">
        <v>29</v>
      </c>
      <c r="B10" s="22" t="s">
        <v>30</v>
      </c>
      <c r="C10" s="23" t="s">
        <v>100</v>
      </c>
      <c r="D10" s="22">
        <v>8</v>
      </c>
      <c r="E10" s="22"/>
      <c r="F10" s="22" t="s">
        <v>101</v>
      </c>
      <c r="G10" s="22"/>
      <c r="H10" s="62" t="str">
        <f t="shared" si="2"/>
        <v>3#1#250|3#3#12|3#4#25|3#5#12|3#6#25|3#7#12|3#6#25|3#8#25|3#9#6|3#10#12|3#11#6|3#12#12</v>
      </c>
      <c r="I10" s="40" t="str">
        <f t="shared" si="4"/>
        <v>元宝19400/声望290</v>
      </c>
      <c r="J10" s="22"/>
      <c r="K10" s="22">
        <v>5</v>
      </c>
      <c r="L10" s="22">
        <v>1</v>
      </c>
      <c r="M10" s="22">
        <f>材料产出!C4</f>
        <v>0.5</v>
      </c>
      <c r="N10" s="97">
        <f t="shared" si="8"/>
        <v>250</v>
      </c>
      <c r="O10" s="97"/>
      <c r="P10" s="97">
        <f t="shared" si="9"/>
        <v>12</v>
      </c>
      <c r="Q10" s="97">
        <f t="shared" si="10"/>
        <v>25</v>
      </c>
      <c r="R10" s="97">
        <f t="shared" si="11"/>
        <v>12</v>
      </c>
      <c r="S10" s="97">
        <f t="shared" si="12"/>
        <v>25</v>
      </c>
      <c r="T10" s="97">
        <f t="shared" si="13"/>
        <v>12</v>
      </c>
      <c r="U10" s="97">
        <f t="shared" si="14"/>
        <v>25</v>
      </c>
      <c r="V10" s="97">
        <f t="shared" si="15"/>
        <v>6</v>
      </c>
      <c r="W10" s="97">
        <f t="shared" si="16"/>
        <v>12</v>
      </c>
      <c r="X10" s="97">
        <f t="shared" si="17"/>
        <v>6</v>
      </c>
      <c r="Y10" s="97">
        <f t="shared" si="18"/>
        <v>12</v>
      </c>
      <c r="Z10" s="8">
        <f>N10*属性价值参考!C$5+官印!P10*属性价值参考!C$7+官印!Q10*属性价值参考!C$8+官印!V10*属性价值参考!C$9+官印!W10*属性价值参考!C$10+官印!X10*属性价值参考!C$11+官印!Y10*属性价值参考!C$12</f>
        <v>3423.6000000000004</v>
      </c>
      <c r="AA10" s="8">
        <f t="shared" si="0"/>
        <v>570600.00000000012</v>
      </c>
      <c r="AB10" s="8">
        <f t="shared" si="1"/>
        <v>5706.0000000000009</v>
      </c>
      <c r="AC10" s="8">
        <f>ROUND($AA$105/材料产出!$K$31*SUM(材料产出!$K$4:$K$6)/100,0)*100</f>
        <v>19400</v>
      </c>
      <c r="AD10" s="8">
        <f>ROUND($AB$105/材料产出!$Q$31*SUM(材料产出!$P$4:$P$6)/10,0)*10</f>
        <v>290</v>
      </c>
    </row>
    <row r="11" spans="1:30" ht="16.5" x14ac:dyDescent="0.3">
      <c r="A11" s="22" t="s">
        <v>29</v>
      </c>
      <c r="B11" s="22" t="s">
        <v>30</v>
      </c>
      <c r="C11" s="23" t="s">
        <v>100</v>
      </c>
      <c r="D11" s="22">
        <v>9</v>
      </c>
      <c r="E11" s="22"/>
      <c r="F11" s="22" t="s">
        <v>101</v>
      </c>
      <c r="G11" s="22"/>
      <c r="H11" s="62" t="str">
        <f t="shared" si="2"/>
        <v>3#1#300|3#3#15|3#4#30|3#5#15|3#6#30|3#7#15|3#6#30|3#8#30|3#9#7|3#10#15|3#11#7|3#12#15</v>
      </c>
      <c r="I11" s="40"/>
      <c r="J11" s="22"/>
      <c r="K11" s="22">
        <v>6</v>
      </c>
      <c r="L11" s="22">
        <v>1</v>
      </c>
      <c r="M11" s="22">
        <f>材料产出!C4</f>
        <v>0.5</v>
      </c>
      <c r="N11" s="97">
        <f t="shared" si="8"/>
        <v>300</v>
      </c>
      <c r="O11" s="97"/>
      <c r="P11" s="97">
        <f t="shared" si="9"/>
        <v>15</v>
      </c>
      <c r="Q11" s="97">
        <f t="shared" si="10"/>
        <v>30</v>
      </c>
      <c r="R11" s="97">
        <f t="shared" si="11"/>
        <v>15</v>
      </c>
      <c r="S11" s="97">
        <f t="shared" si="12"/>
        <v>30</v>
      </c>
      <c r="T11" s="97">
        <f t="shared" si="13"/>
        <v>15</v>
      </c>
      <c r="U11" s="97">
        <f t="shared" si="14"/>
        <v>30</v>
      </c>
      <c r="V11" s="97">
        <f t="shared" si="15"/>
        <v>7</v>
      </c>
      <c r="W11" s="97">
        <f t="shared" si="16"/>
        <v>15</v>
      </c>
      <c r="X11" s="97">
        <f t="shared" si="17"/>
        <v>7</v>
      </c>
      <c r="Y11" s="97">
        <f t="shared" si="18"/>
        <v>15</v>
      </c>
      <c r="Z11" s="8">
        <f>N11*属性价值参考!C$5+官印!P11*属性价值参考!C$7+官印!Q11*属性价值参考!C$8+官印!V11*属性价值参考!C$9+官印!W11*属性价值参考!C$10+官印!X11*属性价值参考!C$11+官印!Y11*属性价值参考!C$12</f>
        <v>4153.2000000000007</v>
      </c>
      <c r="AA11" s="8">
        <f t="shared" si="0"/>
        <v>692200.00000000023</v>
      </c>
      <c r="AB11" s="8">
        <f t="shared" si="1"/>
        <v>6922.0000000000018</v>
      </c>
      <c r="AC11" s="8">
        <f>ROUND($AA$105/材料产出!$K$31*SUM(材料产出!$K$4:$K$6)/100,0)*100</f>
        <v>19400</v>
      </c>
      <c r="AD11" s="8">
        <f>ROUND($AB$105/材料产出!$Q$31*SUM(材料产出!$P$4:$P$6)/10,0)*10</f>
        <v>290</v>
      </c>
    </row>
    <row r="12" spans="1:30" ht="16.5" x14ac:dyDescent="0.3">
      <c r="A12" s="35" t="s">
        <v>29</v>
      </c>
      <c r="B12" s="35" t="s">
        <v>30</v>
      </c>
      <c r="C12" s="41" t="s">
        <v>102</v>
      </c>
      <c r="D12" s="35">
        <v>0</v>
      </c>
      <c r="E12" s="35"/>
      <c r="F12" s="35" t="s">
        <v>101</v>
      </c>
      <c r="G12" s="35"/>
      <c r="H12" s="61" t="str">
        <f t="shared" si="2"/>
        <v>3#1#350|3#3#17|3#4#35|3#5#17|3#6#35|3#7#17|3#6#35|3#8#35|3#9#8|3#10#17|3#11#8|3#12#17</v>
      </c>
      <c r="I12" s="42"/>
      <c r="J12" s="35"/>
      <c r="K12" s="22">
        <v>7</v>
      </c>
      <c r="L12" s="22"/>
      <c r="M12" s="22"/>
      <c r="N12" s="97">
        <f t="shared" si="8"/>
        <v>350</v>
      </c>
      <c r="O12" s="97"/>
      <c r="P12" s="97">
        <f t="shared" si="9"/>
        <v>17</v>
      </c>
      <c r="Q12" s="97">
        <f t="shared" si="10"/>
        <v>35</v>
      </c>
      <c r="R12" s="97">
        <f t="shared" si="11"/>
        <v>17</v>
      </c>
      <c r="S12" s="97">
        <f t="shared" si="12"/>
        <v>35</v>
      </c>
      <c r="T12" s="97">
        <f t="shared" si="13"/>
        <v>17</v>
      </c>
      <c r="U12" s="97">
        <f t="shared" si="14"/>
        <v>35</v>
      </c>
      <c r="V12" s="97">
        <f t="shared" si="15"/>
        <v>8</v>
      </c>
      <c r="W12" s="97">
        <f t="shared" si="16"/>
        <v>17</v>
      </c>
      <c r="X12" s="97">
        <f t="shared" si="17"/>
        <v>8</v>
      </c>
      <c r="Y12" s="97">
        <f t="shared" si="18"/>
        <v>17</v>
      </c>
      <c r="Z12" s="8">
        <f>N12*属性价值参考!C$5+官印!P12*属性价值参考!C$7+官印!Q12*属性价值参考!C$8+官印!V12*属性价值参考!C$9+官印!W12*属性价值参考!C$10+官印!X12*属性价值参考!C$11+官印!Y12*属性价值参考!C$12</f>
        <v>4798.7999999999993</v>
      </c>
      <c r="AA12" s="8">
        <f t="shared" si="0"/>
        <v>799799.99999999988</v>
      </c>
      <c r="AB12" s="8">
        <f t="shared" si="1"/>
        <v>7997.9999999999991</v>
      </c>
      <c r="AC12" s="8"/>
      <c r="AD12" s="8"/>
    </row>
    <row r="13" spans="1:30" ht="16.5" x14ac:dyDescent="0.3">
      <c r="A13" s="35" t="s">
        <v>29</v>
      </c>
      <c r="B13" s="35" t="s">
        <v>30</v>
      </c>
      <c r="C13" s="41" t="s">
        <v>103</v>
      </c>
      <c r="D13" s="35">
        <v>1</v>
      </c>
      <c r="E13" s="35"/>
      <c r="F13" s="35" t="s">
        <v>104</v>
      </c>
      <c r="G13" s="35"/>
      <c r="H13" s="61" t="str">
        <f t="shared" si="2"/>
        <v>3#1#400|3#3#20|3#4#40|3#5#20|3#6#40|3#7#20|3#6#40|3#8#40|3#9#10|3#10#20|3#11#10|3#12#20</v>
      </c>
      <c r="I13" s="43" t="str">
        <f t="shared" si="4"/>
        <v>元宝24100/声望320</v>
      </c>
      <c r="J13" s="35"/>
      <c r="K13" s="22">
        <v>8</v>
      </c>
      <c r="L13" s="22">
        <v>2</v>
      </c>
      <c r="M13" s="22">
        <f>材料产出!C7</f>
        <v>0.8</v>
      </c>
      <c r="N13" s="97">
        <f t="shared" si="8"/>
        <v>400</v>
      </c>
      <c r="O13" s="97"/>
      <c r="P13" s="97">
        <f t="shared" si="9"/>
        <v>20</v>
      </c>
      <c r="Q13" s="97">
        <f t="shared" si="10"/>
        <v>40</v>
      </c>
      <c r="R13" s="97">
        <f t="shared" si="11"/>
        <v>20</v>
      </c>
      <c r="S13" s="97">
        <f t="shared" si="12"/>
        <v>40</v>
      </c>
      <c r="T13" s="97">
        <f t="shared" si="13"/>
        <v>20</v>
      </c>
      <c r="U13" s="97">
        <f t="shared" si="14"/>
        <v>40</v>
      </c>
      <c r="V13" s="97">
        <f t="shared" si="15"/>
        <v>10</v>
      </c>
      <c r="W13" s="97">
        <f t="shared" si="16"/>
        <v>20</v>
      </c>
      <c r="X13" s="97">
        <f t="shared" si="17"/>
        <v>10</v>
      </c>
      <c r="Y13" s="97">
        <f t="shared" si="18"/>
        <v>20</v>
      </c>
      <c r="Z13" s="8">
        <f>N13*属性价值参考!C$5+官印!P13*属性价值参考!C$7+官印!Q13*属性价值参考!C$8+官印!V13*属性价值参考!C$9+官印!W13*属性价值参考!C$10+官印!X13*属性价值参考!C$11+官印!Y13*属性价值参考!C$12</f>
        <v>5556</v>
      </c>
      <c r="AA13" s="8">
        <f t="shared" si="0"/>
        <v>926000</v>
      </c>
      <c r="AB13" s="8">
        <f t="shared" si="1"/>
        <v>9260</v>
      </c>
      <c r="AC13" s="8">
        <f>ROUND($AA$105/材料产出!$K$31*SUM(材料产出!$K$7:$K$9)/100,0)*100</f>
        <v>24100</v>
      </c>
      <c r="AD13" s="8">
        <f>ROUND($AB$105/材料产出!$Q$31*SUM(材料产出!$P$7:$P$9)/10,0)*10</f>
        <v>320</v>
      </c>
    </row>
    <row r="14" spans="1:30" ht="16.5" x14ac:dyDescent="0.3">
      <c r="A14" s="35" t="s">
        <v>29</v>
      </c>
      <c r="B14" s="35" t="s">
        <v>30</v>
      </c>
      <c r="C14" s="41" t="s">
        <v>105</v>
      </c>
      <c r="D14" s="35">
        <v>2</v>
      </c>
      <c r="E14" s="35"/>
      <c r="F14" s="35" t="s">
        <v>104</v>
      </c>
      <c r="G14" s="35"/>
      <c r="H14" s="61" t="str">
        <f t="shared" si="2"/>
        <v>3#1#450|3#3#22|3#4#45|3#5#22|3#6#45|3#7#22|3#6#45|3#8#45|3#9#11|3#10#22|3#11#11|3#12#22</v>
      </c>
      <c r="I14" s="43" t="str">
        <f t="shared" si="4"/>
        <v>元宝24100/声望320</v>
      </c>
      <c r="J14" s="35"/>
      <c r="K14" s="22">
        <v>9</v>
      </c>
      <c r="L14" s="22">
        <v>2</v>
      </c>
      <c r="M14" s="22">
        <f>材料产出!C7</f>
        <v>0.8</v>
      </c>
      <c r="N14" s="97">
        <f t="shared" si="8"/>
        <v>450</v>
      </c>
      <c r="O14" s="97"/>
      <c r="P14" s="97">
        <f t="shared" si="9"/>
        <v>22</v>
      </c>
      <c r="Q14" s="97">
        <f t="shared" si="10"/>
        <v>45</v>
      </c>
      <c r="R14" s="97">
        <f t="shared" si="11"/>
        <v>22</v>
      </c>
      <c r="S14" s="97">
        <f t="shared" si="12"/>
        <v>45</v>
      </c>
      <c r="T14" s="97">
        <f t="shared" si="13"/>
        <v>22</v>
      </c>
      <c r="U14" s="97">
        <f t="shared" si="14"/>
        <v>45</v>
      </c>
      <c r="V14" s="97">
        <f t="shared" si="15"/>
        <v>11</v>
      </c>
      <c r="W14" s="97">
        <f t="shared" si="16"/>
        <v>22</v>
      </c>
      <c r="X14" s="97">
        <f t="shared" si="17"/>
        <v>11</v>
      </c>
      <c r="Y14" s="97">
        <f t="shared" si="18"/>
        <v>22</v>
      </c>
      <c r="Z14" s="8">
        <f>N14*属性价值参考!C$5+官印!P14*属性价值参考!C$7+官印!Q14*属性价值参考!C$8+官印!V14*属性价值参考!C$9+官印!W14*属性价值参考!C$10+官印!X14*属性价值参考!C$11+官印!Y14*属性价值参考!C$12</f>
        <v>6201.5999999999995</v>
      </c>
      <c r="AA14" s="8">
        <f t="shared" si="0"/>
        <v>1033600</v>
      </c>
      <c r="AB14" s="8">
        <f t="shared" si="1"/>
        <v>10336</v>
      </c>
      <c r="AC14" s="8">
        <f>ROUND($AA$105/材料产出!$K$31*SUM(材料产出!$K$7:$K$9)/100,0)*100</f>
        <v>24100</v>
      </c>
      <c r="AD14" s="8">
        <f>ROUND($AB$105/材料产出!$Q$31*SUM(材料产出!$P$7:$P$9)/10,0)*10</f>
        <v>320</v>
      </c>
    </row>
    <row r="15" spans="1:30" ht="16.5" x14ac:dyDescent="0.3">
      <c r="A15" s="35" t="s">
        <v>29</v>
      </c>
      <c r="B15" s="35" t="s">
        <v>30</v>
      </c>
      <c r="C15" s="41" t="s">
        <v>105</v>
      </c>
      <c r="D15" s="35">
        <v>3</v>
      </c>
      <c r="E15" s="35"/>
      <c r="F15" s="35" t="s">
        <v>104</v>
      </c>
      <c r="G15" s="35"/>
      <c r="H15" s="61" t="str">
        <f t="shared" si="2"/>
        <v>3#1#500|3#3#25|3#4#50|3#5#25|3#6#50|3#7#25|3#6#50|3#8#50|3#9#12|3#10#25|3#11#12|3#12#25</v>
      </c>
      <c r="I15" s="43" t="str">
        <f t="shared" si="4"/>
        <v>元宝24100/声望320</v>
      </c>
      <c r="J15" s="35"/>
      <c r="K15" s="22">
        <v>10</v>
      </c>
      <c r="L15" s="22">
        <v>2</v>
      </c>
      <c r="M15" s="22">
        <f>材料产出!C7</f>
        <v>0.8</v>
      </c>
      <c r="N15" s="97">
        <f t="shared" si="8"/>
        <v>500</v>
      </c>
      <c r="O15" s="97"/>
      <c r="P15" s="97">
        <f t="shared" si="9"/>
        <v>25</v>
      </c>
      <c r="Q15" s="97">
        <f t="shared" si="10"/>
        <v>50</v>
      </c>
      <c r="R15" s="97">
        <f t="shared" si="11"/>
        <v>25</v>
      </c>
      <c r="S15" s="97">
        <f t="shared" si="12"/>
        <v>50</v>
      </c>
      <c r="T15" s="97">
        <f t="shared" si="13"/>
        <v>25</v>
      </c>
      <c r="U15" s="97">
        <f t="shared" si="14"/>
        <v>50</v>
      </c>
      <c r="V15" s="97">
        <f t="shared" si="15"/>
        <v>12</v>
      </c>
      <c r="W15" s="97">
        <f t="shared" si="16"/>
        <v>25</v>
      </c>
      <c r="X15" s="97">
        <f t="shared" si="17"/>
        <v>12</v>
      </c>
      <c r="Y15" s="97">
        <f t="shared" si="18"/>
        <v>25</v>
      </c>
      <c r="Z15" s="8">
        <f>N15*属性价值参考!C$5+官印!P15*属性价值参考!C$7+官印!Q15*属性价值参考!C$8+官印!V15*属性价值参考!C$9+官印!W15*属性价值参考!C$10+官印!X15*属性价值参考!C$11+官印!Y15*属性价值参考!C$12</f>
        <v>6931.2</v>
      </c>
      <c r="AA15" s="8">
        <f t="shared" si="0"/>
        <v>1155200</v>
      </c>
      <c r="AB15" s="8">
        <f t="shared" si="1"/>
        <v>11552</v>
      </c>
      <c r="AC15" s="8">
        <f>ROUND($AA$105/材料产出!$K$31*SUM(材料产出!$K$7:$K$9)/100,0)*100</f>
        <v>24100</v>
      </c>
      <c r="AD15" s="8">
        <f>ROUND($AB$105/材料产出!$Q$31*SUM(材料产出!$P$7:$P$9)/10,0)*10</f>
        <v>320</v>
      </c>
    </row>
    <row r="16" spans="1:30" ht="16.5" x14ac:dyDescent="0.3">
      <c r="A16" s="35" t="s">
        <v>29</v>
      </c>
      <c r="B16" s="35" t="s">
        <v>30</v>
      </c>
      <c r="C16" s="41" t="s">
        <v>105</v>
      </c>
      <c r="D16" s="35">
        <v>4</v>
      </c>
      <c r="E16" s="35"/>
      <c r="F16" s="35" t="s">
        <v>104</v>
      </c>
      <c r="G16" s="35"/>
      <c r="H16" s="61" t="str">
        <f t="shared" si="2"/>
        <v>3#1#550|3#3#27|3#4#55|3#5#27|3#6#55|3#7#27|3#6#55|3#8#55|3#9#13|3#10#27|3#11#13|3#12#27</v>
      </c>
      <c r="I16" s="43" t="str">
        <f t="shared" si="4"/>
        <v>元宝24100/声望320</v>
      </c>
      <c r="J16" s="35"/>
      <c r="K16" s="22">
        <v>11</v>
      </c>
      <c r="L16" s="22">
        <v>2</v>
      </c>
      <c r="M16" s="22">
        <f>材料产出!C7</f>
        <v>0.8</v>
      </c>
      <c r="N16" s="97">
        <f t="shared" si="8"/>
        <v>550</v>
      </c>
      <c r="O16" s="97"/>
      <c r="P16" s="97">
        <f t="shared" si="9"/>
        <v>27</v>
      </c>
      <c r="Q16" s="97">
        <f t="shared" si="10"/>
        <v>55</v>
      </c>
      <c r="R16" s="97">
        <f t="shared" si="11"/>
        <v>27</v>
      </c>
      <c r="S16" s="97">
        <f t="shared" si="12"/>
        <v>55</v>
      </c>
      <c r="T16" s="97">
        <f t="shared" si="13"/>
        <v>27</v>
      </c>
      <c r="U16" s="97">
        <f t="shared" si="14"/>
        <v>55</v>
      </c>
      <c r="V16" s="97">
        <f t="shared" si="15"/>
        <v>13</v>
      </c>
      <c r="W16" s="97">
        <f t="shared" si="16"/>
        <v>27</v>
      </c>
      <c r="X16" s="97">
        <f t="shared" si="17"/>
        <v>13</v>
      </c>
      <c r="Y16" s="97">
        <f t="shared" si="18"/>
        <v>27</v>
      </c>
      <c r="Z16" s="8">
        <f>N16*属性价值参考!C$5+官印!P16*属性价值参考!C$7+官印!Q16*属性价值参考!C$8+官印!V16*属性价值参考!C$9+官印!W16*属性价值参考!C$10+官印!X16*属性价值参考!C$11+官印!Y16*属性价值参考!C$12</f>
        <v>7576.7999999999993</v>
      </c>
      <c r="AA16" s="8">
        <f t="shared" si="0"/>
        <v>1262800</v>
      </c>
      <c r="AB16" s="8">
        <f t="shared" si="1"/>
        <v>12628</v>
      </c>
      <c r="AC16" s="8">
        <f>ROUND($AA$105/材料产出!$K$31*SUM(材料产出!$K$7:$K$9)/100,0)*100</f>
        <v>24100</v>
      </c>
      <c r="AD16" s="8">
        <f>ROUND($AB$105/材料产出!$Q$31*SUM(材料产出!$P$7:$P$9)/10,0)*10</f>
        <v>320</v>
      </c>
    </row>
    <row r="17" spans="1:30" ht="16.5" x14ac:dyDescent="0.3">
      <c r="A17" s="35" t="s">
        <v>29</v>
      </c>
      <c r="B17" s="35" t="s">
        <v>30</v>
      </c>
      <c r="C17" s="41" t="s">
        <v>105</v>
      </c>
      <c r="D17" s="35">
        <v>5</v>
      </c>
      <c r="E17" s="35"/>
      <c r="F17" s="35" t="s">
        <v>104</v>
      </c>
      <c r="G17" s="35"/>
      <c r="H17" s="61" t="str">
        <f t="shared" si="2"/>
        <v>3#1#600|3#3#30|3#4#60|3#5#30|3#6#60|3#7#30|3#6#60|3#8#60|3#9#15|3#10#30|3#11#15|3#12#30</v>
      </c>
      <c r="I17" s="43" t="str">
        <f t="shared" si="4"/>
        <v>元宝24100/声望320</v>
      </c>
      <c r="J17" s="35"/>
      <c r="K17" s="22">
        <v>12</v>
      </c>
      <c r="L17" s="22">
        <v>2</v>
      </c>
      <c r="M17" s="22">
        <f>材料产出!C7</f>
        <v>0.8</v>
      </c>
      <c r="N17" s="97">
        <f t="shared" si="8"/>
        <v>600</v>
      </c>
      <c r="O17" s="97"/>
      <c r="P17" s="97">
        <f t="shared" si="9"/>
        <v>30</v>
      </c>
      <c r="Q17" s="97">
        <f t="shared" si="10"/>
        <v>60</v>
      </c>
      <c r="R17" s="97">
        <f t="shared" si="11"/>
        <v>30</v>
      </c>
      <c r="S17" s="97">
        <f t="shared" si="12"/>
        <v>60</v>
      </c>
      <c r="T17" s="97">
        <f t="shared" si="13"/>
        <v>30</v>
      </c>
      <c r="U17" s="97">
        <f t="shared" si="14"/>
        <v>60</v>
      </c>
      <c r="V17" s="97">
        <f t="shared" si="15"/>
        <v>15</v>
      </c>
      <c r="W17" s="97">
        <f t="shared" si="16"/>
        <v>30</v>
      </c>
      <c r="X17" s="97">
        <f t="shared" si="17"/>
        <v>15</v>
      </c>
      <c r="Y17" s="97">
        <f t="shared" si="18"/>
        <v>30</v>
      </c>
      <c r="Z17" s="8">
        <f>N17*属性价值参考!C$5+官印!P17*属性价值参考!C$7+官印!Q17*属性价值参考!C$8+官印!V17*属性价值参考!C$9+官印!W17*属性价值参考!C$10+官印!X17*属性价值参考!C$11+官印!Y17*属性价值参考!C$12</f>
        <v>8334</v>
      </c>
      <c r="AA17" s="8">
        <f t="shared" si="0"/>
        <v>1389000</v>
      </c>
      <c r="AB17" s="8">
        <f t="shared" si="1"/>
        <v>13890</v>
      </c>
      <c r="AC17" s="8">
        <f>ROUND($AA$105/材料产出!$K$31*SUM(材料产出!$K$7:$K$9)/100,0)*100</f>
        <v>24100</v>
      </c>
      <c r="AD17" s="8">
        <f>ROUND($AB$105/材料产出!$Q$31*SUM(材料产出!$P$7:$P$9)/10,0)*10</f>
        <v>320</v>
      </c>
    </row>
    <row r="18" spans="1:30" ht="16.5" x14ac:dyDescent="0.3">
      <c r="A18" s="35" t="s">
        <v>29</v>
      </c>
      <c r="B18" s="35" t="s">
        <v>30</v>
      </c>
      <c r="C18" s="41" t="s">
        <v>105</v>
      </c>
      <c r="D18" s="35">
        <v>6</v>
      </c>
      <c r="E18" s="35"/>
      <c r="F18" s="35" t="s">
        <v>104</v>
      </c>
      <c r="G18" s="35"/>
      <c r="H18" s="61" t="str">
        <f t="shared" si="2"/>
        <v>3#1#650|3#3#32|3#4#65|3#5#32|3#6#65|3#7#32|3#6#65|3#8#65|3#9#16|3#10#32|3#11#16|3#12#32</v>
      </c>
      <c r="I18" s="43" t="str">
        <f t="shared" si="4"/>
        <v>元宝24100/声望320</v>
      </c>
      <c r="J18" s="35"/>
      <c r="K18" s="22">
        <v>13</v>
      </c>
      <c r="L18" s="22">
        <v>2</v>
      </c>
      <c r="M18" s="22">
        <f>材料产出!C7</f>
        <v>0.8</v>
      </c>
      <c r="N18" s="97">
        <f t="shared" si="8"/>
        <v>650</v>
      </c>
      <c r="O18" s="97"/>
      <c r="P18" s="97">
        <f t="shared" si="9"/>
        <v>32</v>
      </c>
      <c r="Q18" s="97">
        <f t="shared" si="10"/>
        <v>65</v>
      </c>
      <c r="R18" s="97">
        <f t="shared" si="11"/>
        <v>32</v>
      </c>
      <c r="S18" s="97">
        <f t="shared" si="12"/>
        <v>65</v>
      </c>
      <c r="T18" s="97">
        <f t="shared" si="13"/>
        <v>32</v>
      </c>
      <c r="U18" s="97">
        <f t="shared" si="14"/>
        <v>65</v>
      </c>
      <c r="V18" s="97">
        <f t="shared" si="15"/>
        <v>16</v>
      </c>
      <c r="W18" s="97">
        <f t="shared" si="16"/>
        <v>32</v>
      </c>
      <c r="X18" s="97">
        <f t="shared" si="17"/>
        <v>16</v>
      </c>
      <c r="Y18" s="97">
        <f t="shared" si="18"/>
        <v>32</v>
      </c>
      <c r="Z18" s="8">
        <f>N18*属性价值参考!C$5+官印!P18*属性价值参考!C$7+官印!Q18*属性价值参考!C$8+官印!V18*属性价值参考!C$9+官印!W18*属性价值参考!C$10+官印!X18*属性价值参考!C$11+官印!Y18*属性价值参考!C$12</f>
        <v>8979.6</v>
      </c>
      <c r="AA18" s="8">
        <f t="shared" si="0"/>
        <v>1496600.0000000002</v>
      </c>
      <c r="AB18" s="8">
        <f t="shared" si="1"/>
        <v>14966.000000000002</v>
      </c>
      <c r="AC18" s="8">
        <f>ROUND($AA$105/材料产出!$K$31*SUM(材料产出!$K$7:$K$9)/100,0)*100</f>
        <v>24100</v>
      </c>
      <c r="AD18" s="8">
        <f>ROUND($AB$105/材料产出!$Q$31*SUM(材料产出!$P$7:$P$9)/10,0)*10</f>
        <v>320</v>
      </c>
    </row>
    <row r="19" spans="1:30" ht="16.5" x14ac:dyDescent="0.3">
      <c r="A19" s="35" t="s">
        <v>29</v>
      </c>
      <c r="B19" s="35" t="s">
        <v>30</v>
      </c>
      <c r="C19" s="41" t="s">
        <v>105</v>
      </c>
      <c r="D19" s="35">
        <v>7</v>
      </c>
      <c r="E19" s="35"/>
      <c r="F19" s="35" t="s">
        <v>104</v>
      </c>
      <c r="G19" s="35"/>
      <c r="H19" s="61" t="str">
        <f t="shared" si="2"/>
        <v>3#1#700|3#3#35|3#4#70|3#5#35|3#6#70|3#7#35|3#6#70|3#8#70|3#9#17|3#10#35|3#11#17|3#12#35</v>
      </c>
      <c r="I19" s="43" t="str">
        <f t="shared" si="4"/>
        <v>元宝24100/声望320</v>
      </c>
      <c r="J19" s="35"/>
      <c r="K19" s="22">
        <v>14</v>
      </c>
      <c r="L19" s="22">
        <v>2</v>
      </c>
      <c r="M19" s="22">
        <f>材料产出!C7</f>
        <v>0.8</v>
      </c>
      <c r="N19" s="97">
        <f t="shared" si="8"/>
        <v>700</v>
      </c>
      <c r="O19" s="97"/>
      <c r="P19" s="97">
        <f t="shared" si="9"/>
        <v>35</v>
      </c>
      <c r="Q19" s="97">
        <f t="shared" si="10"/>
        <v>70</v>
      </c>
      <c r="R19" s="97">
        <f t="shared" si="11"/>
        <v>35</v>
      </c>
      <c r="S19" s="97">
        <f t="shared" si="12"/>
        <v>70</v>
      </c>
      <c r="T19" s="97">
        <f t="shared" si="13"/>
        <v>35</v>
      </c>
      <c r="U19" s="97">
        <f t="shared" si="14"/>
        <v>70</v>
      </c>
      <c r="V19" s="97">
        <f t="shared" si="15"/>
        <v>17</v>
      </c>
      <c r="W19" s="97">
        <f t="shared" si="16"/>
        <v>35</v>
      </c>
      <c r="X19" s="97">
        <f t="shared" si="17"/>
        <v>17</v>
      </c>
      <c r="Y19" s="97">
        <f t="shared" si="18"/>
        <v>35</v>
      </c>
      <c r="Z19" s="8">
        <f>N19*属性价值参考!C$5+官印!P19*属性价值参考!C$7+官印!Q19*属性价值参考!C$8+官印!V19*属性价值参考!C$9+官印!W19*属性价值参考!C$10+官印!X19*属性价值参考!C$11+官印!Y19*属性价值参考!C$12</f>
        <v>9709.1999999999989</v>
      </c>
      <c r="AA19" s="8">
        <f t="shared" si="0"/>
        <v>1618199.9999999998</v>
      </c>
      <c r="AB19" s="8">
        <f t="shared" si="1"/>
        <v>16181.999999999998</v>
      </c>
      <c r="AC19" s="8">
        <f>ROUND($AA$105/材料产出!$K$31*SUM(材料产出!$K$7:$K$9)/100,0)*100</f>
        <v>24100</v>
      </c>
      <c r="AD19" s="8">
        <f>ROUND($AB$105/材料产出!$Q$31*SUM(材料产出!$P$7:$P$9)/10,0)*10</f>
        <v>320</v>
      </c>
    </row>
    <row r="20" spans="1:30" ht="16.5" x14ac:dyDescent="0.3">
      <c r="A20" s="35" t="s">
        <v>29</v>
      </c>
      <c r="B20" s="35" t="s">
        <v>30</v>
      </c>
      <c r="C20" s="41" t="s">
        <v>105</v>
      </c>
      <c r="D20" s="35">
        <v>8</v>
      </c>
      <c r="E20" s="35"/>
      <c r="F20" s="35" t="s">
        <v>104</v>
      </c>
      <c r="G20" s="35"/>
      <c r="H20" s="61" t="str">
        <f t="shared" si="2"/>
        <v>3#1#750|3#3#37|3#4#75|3#5#37|3#6#75|3#7#37|3#6#75|3#8#75|3#9#18|3#10#37|3#11#18|3#12#37</v>
      </c>
      <c r="I20" s="43" t="str">
        <f t="shared" si="4"/>
        <v>元宝24100/声望320</v>
      </c>
      <c r="J20" s="35"/>
      <c r="K20" s="22">
        <v>15</v>
      </c>
      <c r="L20" s="22">
        <v>2</v>
      </c>
      <c r="M20" s="22">
        <f>材料产出!C7</f>
        <v>0.8</v>
      </c>
      <c r="N20" s="97">
        <f t="shared" si="8"/>
        <v>750</v>
      </c>
      <c r="O20" s="97"/>
      <c r="P20" s="97">
        <f t="shared" si="9"/>
        <v>37</v>
      </c>
      <c r="Q20" s="97">
        <f t="shared" si="10"/>
        <v>75</v>
      </c>
      <c r="R20" s="97">
        <f t="shared" si="11"/>
        <v>37</v>
      </c>
      <c r="S20" s="97">
        <f t="shared" si="12"/>
        <v>75</v>
      </c>
      <c r="T20" s="97">
        <f t="shared" si="13"/>
        <v>37</v>
      </c>
      <c r="U20" s="97">
        <f t="shared" si="14"/>
        <v>75</v>
      </c>
      <c r="V20" s="97">
        <f t="shared" si="15"/>
        <v>18</v>
      </c>
      <c r="W20" s="97">
        <f t="shared" si="16"/>
        <v>37</v>
      </c>
      <c r="X20" s="97">
        <f t="shared" si="17"/>
        <v>18</v>
      </c>
      <c r="Y20" s="97">
        <f t="shared" si="18"/>
        <v>37</v>
      </c>
      <c r="Z20" s="8">
        <f>N20*属性价值参考!C$5+官印!P20*属性价值参考!C$7+官印!Q20*属性价值参考!C$8+官印!V20*属性价值参考!C$9+官印!W20*属性价值参考!C$10+官印!X20*属性价值参考!C$11+官印!Y20*属性价值参考!C$12</f>
        <v>10354.800000000001</v>
      </c>
      <c r="AA20" s="8">
        <f t="shared" si="0"/>
        <v>1725800.0000000005</v>
      </c>
      <c r="AB20" s="8">
        <f t="shared" si="1"/>
        <v>17258.000000000004</v>
      </c>
      <c r="AC20" s="8">
        <f>ROUND($AA$105/材料产出!$K$31*SUM(材料产出!$K$7:$K$9)/100,0)*100</f>
        <v>24100</v>
      </c>
      <c r="AD20" s="8">
        <f>ROUND($AB$105/材料产出!$Q$31*SUM(材料产出!$P$7:$P$9)/10,0)*10</f>
        <v>320</v>
      </c>
    </row>
    <row r="21" spans="1:30" ht="16.5" x14ac:dyDescent="0.3">
      <c r="A21" s="35" t="s">
        <v>29</v>
      </c>
      <c r="B21" s="35" t="s">
        <v>30</v>
      </c>
      <c r="C21" s="41" t="s">
        <v>105</v>
      </c>
      <c r="D21" s="35">
        <v>9</v>
      </c>
      <c r="E21" s="35"/>
      <c r="F21" s="35" t="s">
        <v>104</v>
      </c>
      <c r="G21" s="35"/>
      <c r="H21" s="61" t="str">
        <f t="shared" si="2"/>
        <v>3#1#800|3#3#40|3#4#80|3#5#40|3#6#80|3#7#40|3#6#80|3#8#80|3#9#20|3#10#40|3#11#20|3#12#40</v>
      </c>
      <c r="I21" s="43" t="str">
        <f t="shared" si="4"/>
        <v>元宝24100/声望320</v>
      </c>
      <c r="J21" s="35"/>
      <c r="K21" s="22">
        <v>16</v>
      </c>
      <c r="L21" s="22">
        <v>2</v>
      </c>
      <c r="M21" s="22">
        <f>材料产出!C7</f>
        <v>0.8</v>
      </c>
      <c r="N21" s="97">
        <f t="shared" si="8"/>
        <v>800</v>
      </c>
      <c r="O21" s="97"/>
      <c r="P21" s="97">
        <f t="shared" si="9"/>
        <v>40</v>
      </c>
      <c r="Q21" s="97">
        <f t="shared" si="10"/>
        <v>80</v>
      </c>
      <c r="R21" s="97">
        <f t="shared" si="11"/>
        <v>40</v>
      </c>
      <c r="S21" s="97">
        <f t="shared" si="12"/>
        <v>80</v>
      </c>
      <c r="T21" s="97">
        <f t="shared" si="13"/>
        <v>40</v>
      </c>
      <c r="U21" s="97">
        <f t="shared" si="14"/>
        <v>80</v>
      </c>
      <c r="V21" s="97">
        <f t="shared" si="15"/>
        <v>20</v>
      </c>
      <c r="W21" s="97">
        <f t="shared" si="16"/>
        <v>40</v>
      </c>
      <c r="X21" s="97">
        <f t="shared" si="17"/>
        <v>20</v>
      </c>
      <c r="Y21" s="97">
        <f t="shared" si="18"/>
        <v>40</v>
      </c>
      <c r="Z21" s="8">
        <f>N21*属性价值参考!C$5+官印!P21*属性价值参考!C$7+官印!Q21*属性价值参考!C$8+官印!V21*属性价值参考!C$9+官印!W21*属性价值参考!C$10+官印!X21*属性价值参考!C$11+官印!Y21*属性价值参考!C$12</f>
        <v>11112</v>
      </c>
      <c r="AA21" s="8">
        <f t="shared" si="0"/>
        <v>1852000</v>
      </c>
      <c r="AB21" s="8">
        <f t="shared" si="1"/>
        <v>18520</v>
      </c>
      <c r="AC21" s="8">
        <f>ROUND($AA$105/材料产出!$K$31*SUM(材料产出!$K$7:$K$9)/100,0)*100</f>
        <v>24100</v>
      </c>
      <c r="AD21" s="8">
        <f>ROUND($AB$105/材料产出!$Q$31*SUM(材料产出!$P$7:$P$9)/10,0)*10</f>
        <v>320</v>
      </c>
    </row>
    <row r="22" spans="1:30" ht="16.5" x14ac:dyDescent="0.3">
      <c r="A22" s="44" t="s">
        <v>29</v>
      </c>
      <c r="B22" s="44" t="s">
        <v>30</v>
      </c>
      <c r="C22" s="45" t="s">
        <v>106</v>
      </c>
      <c r="D22" s="44">
        <v>0</v>
      </c>
      <c r="E22" s="44"/>
      <c r="F22" s="44" t="s">
        <v>104</v>
      </c>
      <c r="G22" s="44"/>
      <c r="H22" s="60" t="str">
        <f t="shared" si="2"/>
        <v>3#1#850|3#3#42|3#4#85|3#5#42|3#6#85|3#7#42|3#6#85|3#8#85|3#9#21|3#10#42|3#11#21|3#12#42</v>
      </c>
      <c r="I22" s="46"/>
      <c r="J22" s="44"/>
      <c r="K22" s="22">
        <v>17</v>
      </c>
      <c r="L22" s="22"/>
      <c r="M22" s="22"/>
      <c r="N22" s="97">
        <f t="shared" si="8"/>
        <v>850</v>
      </c>
      <c r="O22" s="97"/>
      <c r="P22" s="97">
        <f t="shared" si="9"/>
        <v>42</v>
      </c>
      <c r="Q22" s="97">
        <f t="shared" si="10"/>
        <v>85</v>
      </c>
      <c r="R22" s="97">
        <f t="shared" si="11"/>
        <v>42</v>
      </c>
      <c r="S22" s="97">
        <f t="shared" si="12"/>
        <v>85</v>
      </c>
      <c r="T22" s="97">
        <f t="shared" si="13"/>
        <v>42</v>
      </c>
      <c r="U22" s="97">
        <f t="shared" si="14"/>
        <v>85</v>
      </c>
      <c r="V22" s="97">
        <f t="shared" si="15"/>
        <v>21</v>
      </c>
      <c r="W22" s="97">
        <f t="shared" si="16"/>
        <v>42</v>
      </c>
      <c r="X22" s="97">
        <f t="shared" si="17"/>
        <v>21</v>
      </c>
      <c r="Y22" s="97">
        <f t="shared" si="18"/>
        <v>42</v>
      </c>
      <c r="Z22" s="8">
        <f>N22*属性价值参考!C$5+官印!P22*属性价值参考!C$7+官印!Q22*属性价值参考!C$8+官印!V22*属性价值参考!C$9+官印!W22*属性价值参考!C$10+官印!X22*属性价值参考!C$11+官印!Y22*属性价值参考!C$12</f>
        <v>11757.6</v>
      </c>
      <c r="AA22" s="8">
        <f t="shared" si="0"/>
        <v>1959600</v>
      </c>
      <c r="AB22" s="8">
        <f t="shared" si="1"/>
        <v>19596</v>
      </c>
      <c r="AC22" s="8"/>
      <c r="AD22" s="8"/>
    </row>
    <row r="23" spans="1:30" ht="16.5" x14ac:dyDescent="0.3">
      <c r="A23" s="44" t="s">
        <v>29</v>
      </c>
      <c r="B23" s="44" t="s">
        <v>30</v>
      </c>
      <c r="C23" s="45" t="s">
        <v>107</v>
      </c>
      <c r="D23" s="44">
        <v>1</v>
      </c>
      <c r="E23" s="44"/>
      <c r="F23" s="44" t="s">
        <v>108</v>
      </c>
      <c r="G23" s="44"/>
      <c r="H23" s="60" t="str">
        <f t="shared" si="2"/>
        <v>3#1#900|3#3#45|3#4#90|3#5#45|3#6#90|3#7#45|3#6#90|3#8#90|3#9#22|3#10#45|3#11#22|3#12#45</v>
      </c>
      <c r="I23" s="46" t="str">
        <f t="shared" si="4"/>
        <v>元宝68600/声望860</v>
      </c>
      <c r="J23" s="44"/>
      <c r="K23" s="22">
        <v>18</v>
      </c>
      <c r="L23" s="22">
        <v>3</v>
      </c>
      <c r="M23" s="22">
        <f>材料产出!C$10</f>
        <v>1.1000000000000001</v>
      </c>
      <c r="N23" s="97">
        <f t="shared" si="8"/>
        <v>900</v>
      </c>
      <c r="O23" s="97"/>
      <c r="P23" s="97">
        <f t="shared" si="9"/>
        <v>45</v>
      </c>
      <c r="Q23" s="97">
        <f t="shared" si="10"/>
        <v>90</v>
      </c>
      <c r="R23" s="97">
        <f t="shared" si="11"/>
        <v>45</v>
      </c>
      <c r="S23" s="97">
        <f t="shared" si="12"/>
        <v>90</v>
      </c>
      <c r="T23" s="97">
        <f t="shared" si="13"/>
        <v>45</v>
      </c>
      <c r="U23" s="97">
        <f t="shared" si="14"/>
        <v>90</v>
      </c>
      <c r="V23" s="97">
        <f t="shared" si="15"/>
        <v>22</v>
      </c>
      <c r="W23" s="97">
        <f t="shared" si="16"/>
        <v>45</v>
      </c>
      <c r="X23" s="97">
        <f t="shared" si="17"/>
        <v>22</v>
      </c>
      <c r="Y23" s="97">
        <f t="shared" si="18"/>
        <v>45</v>
      </c>
      <c r="Z23" s="8">
        <f>N23*属性价值参考!C$5+官印!P23*属性价值参考!C$7+官印!Q23*属性价值参考!C$8+官印!V23*属性价值参考!C$9+官印!W23*属性价值参考!C$10+官印!X23*属性价值参考!C$11+官印!Y23*属性价值参考!C$12</f>
        <v>12487.199999999999</v>
      </c>
      <c r="AA23" s="8">
        <f t="shared" si="0"/>
        <v>2081200</v>
      </c>
      <c r="AB23" s="8">
        <f t="shared" si="1"/>
        <v>20812</v>
      </c>
      <c r="AC23" s="8">
        <f>ROUND($AA$105/材料产出!$K$31*SUM(材料产出!$K$10:$K$12)/100,0)*100</f>
        <v>68600</v>
      </c>
      <c r="AD23" s="8">
        <f>ROUND($AB$105/材料产出!$Q$31*SUM(材料产出!$P$10:$P$12)/10,0)*10</f>
        <v>860</v>
      </c>
    </row>
    <row r="24" spans="1:30" ht="16.5" x14ac:dyDescent="0.3">
      <c r="A24" s="44" t="s">
        <v>29</v>
      </c>
      <c r="B24" s="44" t="s">
        <v>30</v>
      </c>
      <c r="C24" s="45" t="s">
        <v>107</v>
      </c>
      <c r="D24" s="44">
        <v>2</v>
      </c>
      <c r="E24" s="44"/>
      <c r="F24" s="44" t="s">
        <v>108</v>
      </c>
      <c r="G24" s="44"/>
      <c r="H24" s="60" t="str">
        <f t="shared" si="2"/>
        <v>3#1#950|3#3#47|3#4#95|3#5#47|3#6#95|3#7#47|3#6#95|3#8#95|3#9#23|3#10#47|3#11#23|3#12#47</v>
      </c>
      <c r="I24" s="46" t="str">
        <f t="shared" si="4"/>
        <v>元宝68600/声望860</v>
      </c>
      <c r="J24" s="44"/>
      <c r="K24" s="22">
        <v>19</v>
      </c>
      <c r="L24" s="22">
        <v>3</v>
      </c>
      <c r="M24" s="22">
        <f>材料产出!C$10</f>
        <v>1.1000000000000001</v>
      </c>
      <c r="N24" s="97">
        <f t="shared" si="8"/>
        <v>950</v>
      </c>
      <c r="O24" s="97"/>
      <c r="P24" s="97">
        <f t="shared" si="9"/>
        <v>47</v>
      </c>
      <c r="Q24" s="97">
        <f t="shared" si="10"/>
        <v>95</v>
      </c>
      <c r="R24" s="97">
        <f t="shared" si="11"/>
        <v>47</v>
      </c>
      <c r="S24" s="97">
        <f t="shared" si="12"/>
        <v>95</v>
      </c>
      <c r="T24" s="97">
        <f t="shared" si="13"/>
        <v>47</v>
      </c>
      <c r="U24" s="97">
        <f t="shared" si="14"/>
        <v>95</v>
      </c>
      <c r="V24" s="97">
        <f t="shared" si="15"/>
        <v>23</v>
      </c>
      <c r="W24" s="97">
        <f t="shared" si="16"/>
        <v>47</v>
      </c>
      <c r="X24" s="97">
        <f t="shared" si="17"/>
        <v>23</v>
      </c>
      <c r="Y24" s="97">
        <f t="shared" si="18"/>
        <v>47</v>
      </c>
      <c r="Z24" s="8">
        <f>N24*属性价值参考!C$5+官印!P24*属性价值参考!C$7+官印!Q24*属性价值参考!C$8+官印!V24*属性价值参考!C$9+官印!W24*属性价值参考!C$10+官印!X24*属性价值参考!C$11+官印!Y24*属性价值参考!C$12</f>
        <v>13132.800000000001</v>
      </c>
      <c r="AA24" s="8">
        <f t="shared" si="0"/>
        <v>2188800.0000000005</v>
      </c>
      <c r="AB24" s="8">
        <f t="shared" si="1"/>
        <v>21888.000000000004</v>
      </c>
      <c r="AC24" s="8">
        <f>ROUND($AA$105/材料产出!$K$31*SUM(材料产出!$K$10:$K$12)/100,0)*100</f>
        <v>68600</v>
      </c>
      <c r="AD24" s="8">
        <f>ROUND($AB$105/材料产出!$Q$31*SUM(材料产出!$P$10:$P$12)/10,0)*10</f>
        <v>860</v>
      </c>
    </row>
    <row r="25" spans="1:30" ht="16.5" x14ac:dyDescent="0.3">
      <c r="A25" s="44" t="s">
        <v>29</v>
      </c>
      <c r="B25" s="44" t="s">
        <v>30</v>
      </c>
      <c r="C25" s="45" t="s">
        <v>107</v>
      </c>
      <c r="D25" s="44">
        <v>3</v>
      </c>
      <c r="E25" s="44"/>
      <c r="F25" s="44" t="s">
        <v>108</v>
      </c>
      <c r="G25" s="44"/>
      <c r="H25" s="60" t="str">
        <f t="shared" si="2"/>
        <v>3#1#1000|3#3#50|3#4#100|3#5#50|3#6#100|3#7#50|3#6#100|3#8#100|3#9#25|3#10#50|3#11#25|3#12#50</v>
      </c>
      <c r="I25" s="46" t="str">
        <f t="shared" si="4"/>
        <v>元宝68600/声望860</v>
      </c>
      <c r="J25" s="44"/>
      <c r="K25" s="22">
        <v>20</v>
      </c>
      <c r="L25" s="22">
        <v>3</v>
      </c>
      <c r="M25" s="22">
        <f>材料产出!C$10</f>
        <v>1.1000000000000001</v>
      </c>
      <c r="N25" s="97">
        <f t="shared" si="8"/>
        <v>1000</v>
      </c>
      <c r="O25" s="97"/>
      <c r="P25" s="97">
        <f t="shared" si="9"/>
        <v>50</v>
      </c>
      <c r="Q25" s="97">
        <f t="shared" si="10"/>
        <v>100</v>
      </c>
      <c r="R25" s="97">
        <f t="shared" si="11"/>
        <v>50</v>
      </c>
      <c r="S25" s="97">
        <f t="shared" si="12"/>
        <v>100</v>
      </c>
      <c r="T25" s="97">
        <f t="shared" si="13"/>
        <v>50</v>
      </c>
      <c r="U25" s="97">
        <f t="shared" si="14"/>
        <v>100</v>
      </c>
      <c r="V25" s="97">
        <f t="shared" si="15"/>
        <v>25</v>
      </c>
      <c r="W25" s="97">
        <f t="shared" si="16"/>
        <v>50</v>
      </c>
      <c r="X25" s="97">
        <f t="shared" si="17"/>
        <v>25</v>
      </c>
      <c r="Y25" s="97">
        <f t="shared" si="18"/>
        <v>50</v>
      </c>
      <c r="Z25" s="8">
        <f>N25*属性价值参考!C$5+官印!P25*属性价值参考!C$7+官印!Q25*属性价值参考!C$8+官印!V25*属性价值参考!C$9+官印!W25*属性价值参考!C$10+官印!X25*属性价值参考!C$11+官印!Y25*属性价值参考!C$12</f>
        <v>13890</v>
      </c>
      <c r="AA25" s="8">
        <f t="shared" si="0"/>
        <v>2315000</v>
      </c>
      <c r="AB25" s="8">
        <f t="shared" si="1"/>
        <v>23150</v>
      </c>
      <c r="AC25" s="8">
        <f>ROUND($AA$105/材料产出!$K$31*SUM(材料产出!$K$10:$K$12)/100,0)*100</f>
        <v>68600</v>
      </c>
      <c r="AD25" s="8">
        <f>ROUND($AB$105/材料产出!$Q$31*SUM(材料产出!$P$10:$P$12)/10,0)*10</f>
        <v>860</v>
      </c>
    </row>
    <row r="26" spans="1:30" ht="16.5" x14ac:dyDescent="0.3">
      <c r="A26" s="44" t="s">
        <v>29</v>
      </c>
      <c r="B26" s="44" t="s">
        <v>30</v>
      </c>
      <c r="C26" s="45" t="s">
        <v>107</v>
      </c>
      <c r="D26" s="44">
        <v>4</v>
      </c>
      <c r="E26" s="44"/>
      <c r="F26" s="44" t="s">
        <v>108</v>
      </c>
      <c r="G26" s="44"/>
      <c r="H26" s="60" t="str">
        <f t="shared" si="2"/>
        <v>3#1#1050|3#3#52|3#4#105|3#5#52|3#6#105|3#7#52|3#6#105|3#8#105|3#9#26|3#10#52|3#11#26|3#12#52</v>
      </c>
      <c r="I26" s="46" t="str">
        <f t="shared" si="4"/>
        <v>元宝68600/声望860</v>
      </c>
      <c r="J26" s="44"/>
      <c r="K26" s="22">
        <v>21</v>
      </c>
      <c r="L26" s="22">
        <v>3</v>
      </c>
      <c r="M26" s="22">
        <f>材料产出!C$10</f>
        <v>1.1000000000000001</v>
      </c>
      <c r="N26" s="97">
        <f t="shared" si="8"/>
        <v>1050</v>
      </c>
      <c r="O26" s="97"/>
      <c r="P26" s="97">
        <f t="shared" si="9"/>
        <v>52</v>
      </c>
      <c r="Q26" s="97">
        <f t="shared" si="10"/>
        <v>105</v>
      </c>
      <c r="R26" s="97">
        <f t="shared" si="11"/>
        <v>52</v>
      </c>
      <c r="S26" s="97">
        <f t="shared" si="12"/>
        <v>105</v>
      </c>
      <c r="T26" s="97">
        <f t="shared" si="13"/>
        <v>52</v>
      </c>
      <c r="U26" s="97">
        <f t="shared" si="14"/>
        <v>105</v>
      </c>
      <c r="V26" s="97">
        <f t="shared" si="15"/>
        <v>26</v>
      </c>
      <c r="W26" s="97">
        <f t="shared" si="16"/>
        <v>52</v>
      </c>
      <c r="X26" s="97">
        <f t="shared" si="17"/>
        <v>26</v>
      </c>
      <c r="Y26" s="97">
        <f t="shared" si="18"/>
        <v>52</v>
      </c>
      <c r="Z26" s="8">
        <f>N26*属性价值参考!C$5+官印!P26*属性价值参考!C$7+官印!Q26*属性价值参考!C$8+官印!V26*属性价值参考!C$9+官印!W26*属性价值参考!C$10+官印!X26*属性价值参考!C$11+官印!Y26*属性价值参考!C$12</f>
        <v>14535.6</v>
      </c>
      <c r="AA26" s="8">
        <f t="shared" si="0"/>
        <v>2422600</v>
      </c>
      <c r="AB26" s="8">
        <f t="shared" si="1"/>
        <v>24226</v>
      </c>
      <c r="AC26" s="8">
        <f>ROUND($AA$105/材料产出!$K$31*SUM(材料产出!$K$10:$K$12)/100,0)*100</f>
        <v>68600</v>
      </c>
      <c r="AD26" s="8">
        <f>ROUND($AB$105/材料产出!$Q$31*SUM(材料产出!$P$10:$P$12)/10,0)*10</f>
        <v>860</v>
      </c>
    </row>
    <row r="27" spans="1:30" ht="16.5" x14ac:dyDescent="0.3">
      <c r="A27" s="44" t="s">
        <v>29</v>
      </c>
      <c r="B27" s="44" t="s">
        <v>30</v>
      </c>
      <c r="C27" s="45" t="s">
        <v>107</v>
      </c>
      <c r="D27" s="44">
        <v>5</v>
      </c>
      <c r="E27" s="44"/>
      <c r="F27" s="44" t="s">
        <v>108</v>
      </c>
      <c r="G27" s="44"/>
      <c r="H27" s="60" t="str">
        <f t="shared" si="2"/>
        <v>3#1#1100|3#3#55|3#4#110|3#5#55|3#6#110|3#7#55|3#6#110|3#8#110|3#9#27|3#10#55|3#11#27|3#12#55</v>
      </c>
      <c r="I27" s="46" t="str">
        <f t="shared" si="4"/>
        <v>元宝68600/声望860</v>
      </c>
      <c r="J27" s="44"/>
      <c r="K27" s="22">
        <v>22</v>
      </c>
      <c r="L27" s="22">
        <v>3</v>
      </c>
      <c r="M27" s="22">
        <f>材料产出!C$10</f>
        <v>1.1000000000000001</v>
      </c>
      <c r="N27" s="97">
        <f t="shared" si="8"/>
        <v>1100</v>
      </c>
      <c r="O27" s="97"/>
      <c r="P27" s="97">
        <f t="shared" si="9"/>
        <v>55</v>
      </c>
      <c r="Q27" s="97">
        <f t="shared" si="10"/>
        <v>110</v>
      </c>
      <c r="R27" s="97">
        <f t="shared" si="11"/>
        <v>55</v>
      </c>
      <c r="S27" s="97">
        <f t="shared" si="12"/>
        <v>110</v>
      </c>
      <c r="T27" s="97">
        <f t="shared" si="13"/>
        <v>55</v>
      </c>
      <c r="U27" s="97">
        <f t="shared" si="14"/>
        <v>110</v>
      </c>
      <c r="V27" s="97">
        <f t="shared" si="15"/>
        <v>27</v>
      </c>
      <c r="W27" s="97">
        <f t="shared" si="16"/>
        <v>55</v>
      </c>
      <c r="X27" s="97">
        <f t="shared" si="17"/>
        <v>27</v>
      </c>
      <c r="Y27" s="97">
        <f t="shared" si="18"/>
        <v>55</v>
      </c>
      <c r="Z27" s="8">
        <f>N27*属性价值参考!C$5+官印!P27*属性价值参考!C$7+官印!Q27*属性价值参考!C$8+官印!V27*属性价值参考!C$9+官印!W27*属性价值参考!C$10+官印!X27*属性价值参考!C$11+官印!Y27*属性价值参考!C$12</f>
        <v>15265.199999999999</v>
      </c>
      <c r="AA27" s="8">
        <f t="shared" si="0"/>
        <v>2544200</v>
      </c>
      <c r="AB27" s="8">
        <f t="shared" si="1"/>
        <v>25442</v>
      </c>
      <c r="AC27" s="8">
        <f>ROUND($AA$105/材料产出!$K$31*SUM(材料产出!$K$10:$K$12)/100,0)*100</f>
        <v>68600</v>
      </c>
      <c r="AD27" s="8">
        <f>ROUND($AB$105/材料产出!$Q$31*SUM(材料产出!$P$10:$P$12)/10,0)*10</f>
        <v>860</v>
      </c>
    </row>
    <row r="28" spans="1:30" ht="16.5" x14ac:dyDescent="0.3">
      <c r="A28" s="44" t="s">
        <v>29</v>
      </c>
      <c r="B28" s="44" t="s">
        <v>30</v>
      </c>
      <c r="C28" s="45" t="s">
        <v>107</v>
      </c>
      <c r="D28" s="44">
        <v>6</v>
      </c>
      <c r="E28" s="44"/>
      <c r="F28" s="44" t="s">
        <v>108</v>
      </c>
      <c r="G28" s="44"/>
      <c r="H28" s="60" t="str">
        <f t="shared" si="2"/>
        <v>3#1#1150|3#3#57|3#4#115|3#5#57|3#6#115|3#7#57|3#6#115|3#8#115|3#9#28|3#10#57|3#11#28|3#12#57</v>
      </c>
      <c r="I28" s="46" t="str">
        <f t="shared" si="4"/>
        <v>元宝68600/声望860</v>
      </c>
      <c r="J28" s="44"/>
      <c r="K28" s="22">
        <v>23</v>
      </c>
      <c r="L28" s="22">
        <v>3</v>
      </c>
      <c r="M28" s="22">
        <f>材料产出!C$10</f>
        <v>1.1000000000000001</v>
      </c>
      <c r="N28" s="97">
        <f t="shared" si="8"/>
        <v>1150</v>
      </c>
      <c r="O28" s="97"/>
      <c r="P28" s="97">
        <f t="shared" si="9"/>
        <v>57</v>
      </c>
      <c r="Q28" s="97">
        <f t="shared" si="10"/>
        <v>115</v>
      </c>
      <c r="R28" s="97">
        <f t="shared" si="11"/>
        <v>57</v>
      </c>
      <c r="S28" s="97">
        <f t="shared" si="12"/>
        <v>115</v>
      </c>
      <c r="T28" s="97">
        <f t="shared" si="13"/>
        <v>57</v>
      </c>
      <c r="U28" s="97">
        <f t="shared" si="14"/>
        <v>115</v>
      </c>
      <c r="V28" s="97">
        <f t="shared" si="15"/>
        <v>28</v>
      </c>
      <c r="W28" s="97">
        <f t="shared" si="16"/>
        <v>57</v>
      </c>
      <c r="X28" s="97">
        <f t="shared" si="17"/>
        <v>28</v>
      </c>
      <c r="Y28" s="97">
        <f t="shared" si="18"/>
        <v>57</v>
      </c>
      <c r="Z28" s="8">
        <f>N28*属性价值参考!C$5+官印!P28*属性价值参考!C$7+官印!Q28*属性价值参考!C$8+官印!V28*属性价值参考!C$9+官印!W28*属性价值参考!C$10+官印!X28*属性价值参考!C$11+官印!Y28*属性价值参考!C$12</f>
        <v>15910.800000000001</v>
      </c>
      <c r="AA28" s="8">
        <f t="shared" si="0"/>
        <v>2651800.0000000005</v>
      </c>
      <c r="AB28" s="8">
        <f t="shared" si="1"/>
        <v>26518.000000000004</v>
      </c>
      <c r="AC28" s="8">
        <f>ROUND($AA$105/材料产出!$K$31*SUM(材料产出!$K$10:$K$12)/100,0)*100</f>
        <v>68600</v>
      </c>
      <c r="AD28" s="8">
        <f>ROUND($AB$105/材料产出!$Q$31*SUM(材料产出!$P$10:$P$12)/10,0)*10</f>
        <v>860</v>
      </c>
    </row>
    <row r="29" spans="1:30" ht="16.5" x14ac:dyDescent="0.3">
      <c r="A29" s="44" t="s">
        <v>29</v>
      </c>
      <c r="B29" s="44" t="s">
        <v>30</v>
      </c>
      <c r="C29" s="45" t="s">
        <v>107</v>
      </c>
      <c r="D29" s="44">
        <v>7</v>
      </c>
      <c r="E29" s="44"/>
      <c r="F29" s="44" t="s">
        <v>108</v>
      </c>
      <c r="G29" s="44"/>
      <c r="H29" s="60" t="str">
        <f t="shared" si="2"/>
        <v>3#1#1200|3#3#60|3#4#120|3#5#60|3#6#120|3#7#60|3#6#120|3#8#120|3#9#30|3#10#60|3#11#30|3#12#60</v>
      </c>
      <c r="I29" s="46" t="str">
        <f t="shared" si="4"/>
        <v>元宝68600/声望860</v>
      </c>
      <c r="J29" s="44"/>
      <c r="K29" s="22">
        <v>24</v>
      </c>
      <c r="L29" s="22">
        <v>3</v>
      </c>
      <c r="M29" s="22">
        <f>材料产出!C$10</f>
        <v>1.1000000000000001</v>
      </c>
      <c r="N29" s="97">
        <f t="shared" si="8"/>
        <v>1200</v>
      </c>
      <c r="O29" s="97"/>
      <c r="P29" s="97">
        <f t="shared" si="9"/>
        <v>60</v>
      </c>
      <c r="Q29" s="97">
        <f t="shared" si="10"/>
        <v>120</v>
      </c>
      <c r="R29" s="97">
        <f t="shared" si="11"/>
        <v>60</v>
      </c>
      <c r="S29" s="97">
        <f t="shared" si="12"/>
        <v>120</v>
      </c>
      <c r="T29" s="97">
        <f t="shared" si="13"/>
        <v>60</v>
      </c>
      <c r="U29" s="97">
        <f t="shared" si="14"/>
        <v>120</v>
      </c>
      <c r="V29" s="97">
        <f t="shared" si="15"/>
        <v>30</v>
      </c>
      <c r="W29" s="97">
        <f t="shared" si="16"/>
        <v>60</v>
      </c>
      <c r="X29" s="97">
        <f t="shared" si="17"/>
        <v>30</v>
      </c>
      <c r="Y29" s="97">
        <f t="shared" si="18"/>
        <v>60</v>
      </c>
      <c r="Z29" s="8">
        <f>N29*属性价值参考!C$5+官印!P29*属性价值参考!C$7+官印!Q29*属性价值参考!C$8+官印!V29*属性价值参考!C$9+官印!W29*属性价值参考!C$10+官印!X29*属性价值参考!C$11+官印!Y29*属性价值参考!C$12</f>
        <v>16668</v>
      </c>
      <c r="AA29" s="8">
        <f t="shared" si="0"/>
        <v>2778000</v>
      </c>
      <c r="AB29" s="8">
        <f t="shared" si="1"/>
        <v>27780</v>
      </c>
      <c r="AC29" s="8">
        <f>ROUND($AA$105/材料产出!$K$31*SUM(材料产出!$K$10:$K$12)/100,0)*100</f>
        <v>68600</v>
      </c>
      <c r="AD29" s="8">
        <f>ROUND($AB$105/材料产出!$Q$31*SUM(材料产出!$P$10:$P$12)/10,0)*10</f>
        <v>860</v>
      </c>
    </row>
    <row r="30" spans="1:30" ht="16.5" x14ac:dyDescent="0.3">
      <c r="A30" s="44" t="s">
        <v>29</v>
      </c>
      <c r="B30" s="44" t="s">
        <v>30</v>
      </c>
      <c r="C30" s="45" t="s">
        <v>107</v>
      </c>
      <c r="D30" s="44">
        <v>8</v>
      </c>
      <c r="E30" s="44"/>
      <c r="F30" s="44" t="s">
        <v>108</v>
      </c>
      <c r="G30" s="44"/>
      <c r="H30" s="60" t="str">
        <f t="shared" si="2"/>
        <v>3#1#1250|3#3#62|3#4#125|3#5#62|3#6#125|3#7#62|3#6#125|3#8#125|3#9#31|3#10#62|3#11#31|3#12#62</v>
      </c>
      <c r="I30" s="46" t="str">
        <f t="shared" si="4"/>
        <v>元宝68600/声望860</v>
      </c>
      <c r="J30" s="44"/>
      <c r="K30" s="22">
        <v>25</v>
      </c>
      <c r="L30" s="22">
        <v>3</v>
      </c>
      <c r="M30" s="22">
        <f>材料产出!C$10</f>
        <v>1.1000000000000001</v>
      </c>
      <c r="N30" s="97">
        <f t="shared" si="8"/>
        <v>1250</v>
      </c>
      <c r="O30" s="97"/>
      <c r="P30" s="97">
        <f t="shared" si="9"/>
        <v>62</v>
      </c>
      <c r="Q30" s="97">
        <f t="shared" si="10"/>
        <v>125</v>
      </c>
      <c r="R30" s="97">
        <f t="shared" si="11"/>
        <v>62</v>
      </c>
      <c r="S30" s="97">
        <f t="shared" si="12"/>
        <v>125</v>
      </c>
      <c r="T30" s="97">
        <f t="shared" si="13"/>
        <v>62</v>
      </c>
      <c r="U30" s="97">
        <f t="shared" si="14"/>
        <v>125</v>
      </c>
      <c r="V30" s="97">
        <f t="shared" si="15"/>
        <v>31</v>
      </c>
      <c r="W30" s="97">
        <f t="shared" si="16"/>
        <v>62</v>
      </c>
      <c r="X30" s="97">
        <f t="shared" si="17"/>
        <v>31</v>
      </c>
      <c r="Y30" s="97">
        <f t="shared" si="18"/>
        <v>62</v>
      </c>
      <c r="Z30" s="8">
        <f>N30*属性价值参考!C$5+官印!P30*属性价值参考!C$7+官印!Q30*属性价值参考!C$8+官印!V30*属性价值参考!C$9+官印!W30*属性价值参考!C$10+官印!X30*属性价值参考!C$11+官印!Y30*属性价值参考!C$12</f>
        <v>17313.599999999999</v>
      </c>
      <c r="AA30" s="8">
        <f t="shared" si="0"/>
        <v>2885600</v>
      </c>
      <c r="AB30" s="8">
        <f t="shared" si="1"/>
        <v>28856</v>
      </c>
      <c r="AC30" s="8">
        <f>ROUND($AA$105/材料产出!$K$31*SUM(材料产出!$K$10:$K$12)/100,0)*100</f>
        <v>68600</v>
      </c>
      <c r="AD30" s="8">
        <f>ROUND($AB$105/材料产出!$Q$31*SUM(材料产出!$P$10:$P$12)/10,0)*10</f>
        <v>860</v>
      </c>
    </row>
    <row r="31" spans="1:30" ht="16.5" x14ac:dyDescent="0.3">
      <c r="A31" s="44" t="s">
        <v>29</v>
      </c>
      <c r="B31" s="44" t="s">
        <v>30</v>
      </c>
      <c r="C31" s="45" t="s">
        <v>107</v>
      </c>
      <c r="D31" s="44">
        <v>9</v>
      </c>
      <c r="E31" s="44"/>
      <c r="F31" s="44" t="s">
        <v>108</v>
      </c>
      <c r="G31" s="44"/>
      <c r="H31" s="60" t="str">
        <f t="shared" si="2"/>
        <v>3#1#1300|3#3#65|3#4#130|3#5#65|3#6#130|3#7#65|3#6#130|3#8#130|3#9#32|3#10#65|3#11#32|3#12#65</v>
      </c>
      <c r="I31" s="46" t="str">
        <f t="shared" si="4"/>
        <v>元宝68600/声望860</v>
      </c>
      <c r="J31" s="44"/>
      <c r="K31" s="22">
        <v>26</v>
      </c>
      <c r="L31" s="22">
        <v>3</v>
      </c>
      <c r="M31" s="22">
        <f>材料产出!C$10</f>
        <v>1.1000000000000001</v>
      </c>
      <c r="N31" s="97">
        <f t="shared" si="8"/>
        <v>1300</v>
      </c>
      <c r="O31" s="97"/>
      <c r="P31" s="97">
        <f t="shared" si="9"/>
        <v>65</v>
      </c>
      <c r="Q31" s="97">
        <f t="shared" si="10"/>
        <v>130</v>
      </c>
      <c r="R31" s="97">
        <f t="shared" si="11"/>
        <v>65</v>
      </c>
      <c r="S31" s="97">
        <f t="shared" si="12"/>
        <v>130</v>
      </c>
      <c r="T31" s="97">
        <f t="shared" si="13"/>
        <v>65</v>
      </c>
      <c r="U31" s="97">
        <f t="shared" si="14"/>
        <v>130</v>
      </c>
      <c r="V31" s="97">
        <f t="shared" si="15"/>
        <v>32</v>
      </c>
      <c r="W31" s="97">
        <f t="shared" si="16"/>
        <v>65</v>
      </c>
      <c r="X31" s="97">
        <f t="shared" si="17"/>
        <v>32</v>
      </c>
      <c r="Y31" s="97">
        <f t="shared" si="18"/>
        <v>65</v>
      </c>
      <c r="Z31" s="8">
        <f>N31*属性价值参考!C$5+官印!P31*属性价值参考!C$7+官印!Q31*属性价值参考!C$8+官印!V31*属性价值参考!C$9+官印!W31*属性价值参考!C$10+官印!X31*属性价值参考!C$11+官印!Y31*属性价值参考!C$12</f>
        <v>18043.2</v>
      </c>
      <c r="AA31" s="8">
        <f t="shared" si="0"/>
        <v>3007200.0000000005</v>
      </c>
      <c r="AB31" s="8">
        <f t="shared" si="1"/>
        <v>30072.000000000004</v>
      </c>
      <c r="AC31" s="8">
        <f>ROUND($AA$105/材料产出!$K$31*SUM(材料产出!$K$10:$K$12)/100,0)*100</f>
        <v>68600</v>
      </c>
      <c r="AD31" s="8">
        <f>ROUND($AB$105/材料产出!$Q$31*SUM(材料产出!$P$10:$P$12)/10,0)*10</f>
        <v>860</v>
      </c>
    </row>
    <row r="32" spans="1:30" ht="16.5" x14ac:dyDescent="0.3">
      <c r="A32" s="47" t="s">
        <v>29</v>
      </c>
      <c r="B32" s="47" t="s">
        <v>30</v>
      </c>
      <c r="C32" s="48" t="s">
        <v>109</v>
      </c>
      <c r="D32" s="47">
        <v>0</v>
      </c>
      <c r="E32" s="47"/>
      <c r="F32" s="47" t="s">
        <v>108</v>
      </c>
      <c r="G32" s="47"/>
      <c r="H32" s="59" t="str">
        <f t="shared" si="2"/>
        <v>3#1#1350|3#3#67|3#4#135|3#5#67|3#6#135|3#7#67|3#6#135|3#8#135|3#9#33|3#10#67|3#11#33|3#12#67</v>
      </c>
      <c r="I32" s="49"/>
      <c r="J32" s="47"/>
      <c r="K32" s="22">
        <v>27</v>
      </c>
      <c r="L32" s="22"/>
      <c r="M32" s="22"/>
      <c r="N32" s="97">
        <f t="shared" si="8"/>
        <v>1350</v>
      </c>
      <c r="O32" s="97"/>
      <c r="P32" s="97">
        <f t="shared" si="9"/>
        <v>67</v>
      </c>
      <c r="Q32" s="97">
        <f t="shared" si="10"/>
        <v>135</v>
      </c>
      <c r="R32" s="97">
        <f t="shared" si="11"/>
        <v>67</v>
      </c>
      <c r="S32" s="97">
        <f t="shared" si="12"/>
        <v>135</v>
      </c>
      <c r="T32" s="97">
        <f t="shared" si="13"/>
        <v>67</v>
      </c>
      <c r="U32" s="97">
        <f t="shared" si="14"/>
        <v>135</v>
      </c>
      <c r="V32" s="97">
        <f t="shared" si="15"/>
        <v>33</v>
      </c>
      <c r="W32" s="97">
        <f t="shared" si="16"/>
        <v>67</v>
      </c>
      <c r="X32" s="97">
        <f t="shared" si="17"/>
        <v>33</v>
      </c>
      <c r="Y32" s="97">
        <f t="shared" si="18"/>
        <v>67</v>
      </c>
      <c r="Z32" s="8">
        <f>N32*属性价值参考!C$5+官印!P32*属性价值参考!C$7+官印!Q32*属性价值参考!C$8+官印!V32*属性价值参考!C$9+官印!W32*属性价值参考!C$10+官印!X32*属性价值参考!C$11+官印!Y32*属性价值参考!C$12</f>
        <v>18688.800000000003</v>
      </c>
      <c r="AA32" s="8">
        <f t="shared" si="0"/>
        <v>3114800.0000000009</v>
      </c>
      <c r="AB32" s="8">
        <f t="shared" si="1"/>
        <v>31148.000000000007</v>
      </c>
      <c r="AC32" s="8"/>
      <c r="AD32" s="8"/>
    </row>
    <row r="33" spans="1:30" ht="16.5" x14ac:dyDescent="0.3">
      <c r="A33" s="47" t="s">
        <v>29</v>
      </c>
      <c r="B33" s="47" t="s">
        <v>30</v>
      </c>
      <c r="C33" s="48" t="s">
        <v>110</v>
      </c>
      <c r="D33" s="47">
        <v>1</v>
      </c>
      <c r="E33" s="47"/>
      <c r="F33" s="47" t="s">
        <v>111</v>
      </c>
      <c r="G33" s="47"/>
      <c r="H33" s="59" t="str">
        <f t="shared" si="2"/>
        <v>3#1#1400|3#3#70|3#4#140|3#5#70|3#6#140|3#7#70|3#6#140|3#8#140|3#9#35|3#10#70|3#11#35|3#12#70</v>
      </c>
      <c r="I33" s="49" t="str">
        <f t="shared" si="4"/>
        <v>元宝395900/声望4240</v>
      </c>
      <c r="J33" s="47"/>
      <c r="K33" s="22">
        <v>28</v>
      </c>
      <c r="L33" s="22">
        <v>4</v>
      </c>
      <c r="M33" s="22">
        <f>材料产出!C$13</f>
        <v>1.5</v>
      </c>
      <c r="N33" s="97">
        <f t="shared" si="8"/>
        <v>1400</v>
      </c>
      <c r="O33" s="97"/>
      <c r="P33" s="97">
        <f t="shared" si="9"/>
        <v>70</v>
      </c>
      <c r="Q33" s="97">
        <f t="shared" si="10"/>
        <v>140</v>
      </c>
      <c r="R33" s="97">
        <f t="shared" si="11"/>
        <v>70</v>
      </c>
      <c r="S33" s="97">
        <f t="shared" si="12"/>
        <v>140</v>
      </c>
      <c r="T33" s="97">
        <f t="shared" si="13"/>
        <v>70</v>
      </c>
      <c r="U33" s="97">
        <f t="shared" si="14"/>
        <v>140</v>
      </c>
      <c r="V33" s="97">
        <f t="shared" si="15"/>
        <v>35</v>
      </c>
      <c r="W33" s="97">
        <f t="shared" si="16"/>
        <v>70</v>
      </c>
      <c r="X33" s="97">
        <f t="shared" si="17"/>
        <v>35</v>
      </c>
      <c r="Y33" s="97">
        <f t="shared" si="18"/>
        <v>70</v>
      </c>
      <c r="Z33" s="8">
        <f>N33*属性价值参考!C$5+官印!P33*属性价值参考!C$7+官印!Q33*属性价值参考!C$8+官印!V33*属性价值参考!C$9+官印!W33*属性价值参考!C$10+官印!X33*属性价值参考!C$11+官印!Y33*属性价值参考!C$12</f>
        <v>19446</v>
      </c>
      <c r="AA33" s="8">
        <f t="shared" si="0"/>
        <v>3241000</v>
      </c>
      <c r="AB33" s="8">
        <f t="shared" si="1"/>
        <v>32410</v>
      </c>
      <c r="AC33" s="8">
        <f>ROUND($AA$105/材料产出!$K$31*SUM(材料产出!$K$13:$K$15)/100,0)*100</f>
        <v>395900</v>
      </c>
      <c r="AD33" s="8">
        <f>ROUND($AB$105/材料产出!$Q$31*SUM(材料产出!$P$13:$P$15)/10,0)*10</f>
        <v>4240</v>
      </c>
    </row>
    <row r="34" spans="1:30" ht="16.5" x14ac:dyDescent="0.3">
      <c r="A34" s="47" t="s">
        <v>29</v>
      </c>
      <c r="B34" s="47" t="s">
        <v>30</v>
      </c>
      <c r="C34" s="48" t="s">
        <v>110</v>
      </c>
      <c r="D34" s="47">
        <v>2</v>
      </c>
      <c r="E34" s="47"/>
      <c r="F34" s="47" t="s">
        <v>111</v>
      </c>
      <c r="G34" s="47"/>
      <c r="H34" s="59" t="str">
        <f t="shared" si="2"/>
        <v>3#1#1450|3#3#72|3#4#145|3#5#72|3#6#145|3#7#72|3#6#145|3#8#145|3#9#36|3#10#72|3#11#36|3#12#72</v>
      </c>
      <c r="I34" s="49" t="str">
        <f t="shared" si="4"/>
        <v>元宝395900/声望4240</v>
      </c>
      <c r="J34" s="47"/>
      <c r="K34" s="22">
        <v>29</v>
      </c>
      <c r="L34" s="22">
        <v>4</v>
      </c>
      <c r="M34" s="22">
        <f>材料产出!C$13</f>
        <v>1.5</v>
      </c>
      <c r="N34" s="97">
        <f t="shared" si="8"/>
        <v>1450</v>
      </c>
      <c r="O34" s="97"/>
      <c r="P34" s="97">
        <f t="shared" si="9"/>
        <v>72</v>
      </c>
      <c r="Q34" s="97">
        <f t="shared" si="10"/>
        <v>145</v>
      </c>
      <c r="R34" s="97">
        <f t="shared" si="11"/>
        <v>72</v>
      </c>
      <c r="S34" s="97">
        <f t="shared" si="12"/>
        <v>145</v>
      </c>
      <c r="T34" s="97">
        <f t="shared" si="13"/>
        <v>72</v>
      </c>
      <c r="U34" s="97">
        <f t="shared" si="14"/>
        <v>145</v>
      </c>
      <c r="V34" s="97">
        <f t="shared" si="15"/>
        <v>36</v>
      </c>
      <c r="W34" s="97">
        <f t="shared" si="16"/>
        <v>72</v>
      </c>
      <c r="X34" s="97">
        <f t="shared" si="17"/>
        <v>36</v>
      </c>
      <c r="Y34" s="97">
        <f t="shared" si="18"/>
        <v>72</v>
      </c>
      <c r="Z34" s="8">
        <f>N34*属性价值参考!C$5+官印!P34*属性价值参考!C$7+官印!Q34*属性价值参考!C$8+官印!V34*属性价值参考!C$9+官印!W34*属性价值参考!C$10+官印!X34*属性价值参考!C$11+官印!Y34*属性价值参考!C$12</f>
        <v>20091.600000000002</v>
      </c>
      <c r="AA34" s="8">
        <f t="shared" si="0"/>
        <v>3348600.0000000009</v>
      </c>
      <c r="AB34" s="8">
        <f t="shared" si="1"/>
        <v>33486.000000000007</v>
      </c>
      <c r="AC34" s="8">
        <f>ROUND($AA$105/材料产出!$K$31*SUM(材料产出!$K$13:$K$15)/100,0)*100</f>
        <v>395900</v>
      </c>
      <c r="AD34" s="8">
        <f>ROUND($AB$105/材料产出!$Q$31*SUM(材料产出!$P$13:$P$15)/10,0)*10</f>
        <v>4240</v>
      </c>
    </row>
    <row r="35" spans="1:30" ht="16.5" x14ac:dyDescent="0.3">
      <c r="A35" s="47" t="s">
        <v>29</v>
      </c>
      <c r="B35" s="47" t="s">
        <v>30</v>
      </c>
      <c r="C35" s="48" t="s">
        <v>112</v>
      </c>
      <c r="D35" s="47">
        <v>3</v>
      </c>
      <c r="E35" s="47"/>
      <c r="F35" s="47" t="s">
        <v>111</v>
      </c>
      <c r="G35" s="47"/>
      <c r="H35" s="59" t="str">
        <f t="shared" si="2"/>
        <v>3#1#1500|3#3#75|3#4#150|3#5#75|3#6#150|3#7#75|3#6#150|3#8#150|3#9#37|3#10#75|3#11#37|3#12#75</v>
      </c>
      <c r="I35" s="49" t="str">
        <f t="shared" si="4"/>
        <v>元宝395900/声望4240</v>
      </c>
      <c r="J35" s="47"/>
      <c r="K35" s="22">
        <v>30</v>
      </c>
      <c r="L35" s="22">
        <v>4</v>
      </c>
      <c r="M35" s="22">
        <f>材料产出!C$13</f>
        <v>1.5</v>
      </c>
      <c r="N35" s="97">
        <f t="shared" si="8"/>
        <v>1500</v>
      </c>
      <c r="O35" s="97"/>
      <c r="P35" s="97">
        <f t="shared" si="9"/>
        <v>75</v>
      </c>
      <c r="Q35" s="97">
        <f t="shared" si="10"/>
        <v>150</v>
      </c>
      <c r="R35" s="97">
        <f t="shared" si="11"/>
        <v>75</v>
      </c>
      <c r="S35" s="97">
        <f t="shared" si="12"/>
        <v>150</v>
      </c>
      <c r="T35" s="97">
        <f t="shared" si="13"/>
        <v>75</v>
      </c>
      <c r="U35" s="97">
        <f t="shared" si="14"/>
        <v>150</v>
      </c>
      <c r="V35" s="97">
        <f t="shared" si="15"/>
        <v>37</v>
      </c>
      <c r="W35" s="97">
        <f t="shared" si="16"/>
        <v>75</v>
      </c>
      <c r="X35" s="97">
        <f t="shared" si="17"/>
        <v>37</v>
      </c>
      <c r="Y35" s="97">
        <f t="shared" si="18"/>
        <v>75</v>
      </c>
      <c r="Z35" s="8">
        <f>N35*属性价值参考!C$5+官印!P35*属性价值参考!C$7+官印!Q35*属性价值参考!C$8+官印!V35*属性价值参考!C$9+官印!W35*属性价值参考!C$10+官印!X35*属性价值参考!C$11+官印!Y35*属性价值参考!C$12</f>
        <v>20821.2</v>
      </c>
      <c r="AA35" s="8">
        <f t="shared" si="0"/>
        <v>3470200</v>
      </c>
      <c r="AB35" s="8">
        <f t="shared" si="1"/>
        <v>34702</v>
      </c>
      <c r="AC35" s="8">
        <f>ROUND($AA$105/材料产出!$K$31*SUM(材料产出!$K$13:$K$15)/100,0)*100</f>
        <v>395900</v>
      </c>
      <c r="AD35" s="8">
        <f>ROUND($AB$105/材料产出!$Q$31*SUM(材料产出!$P$13:$P$15)/10,0)*10</f>
        <v>4240</v>
      </c>
    </row>
    <row r="36" spans="1:30" ht="16.5" x14ac:dyDescent="0.3">
      <c r="A36" s="47" t="s">
        <v>29</v>
      </c>
      <c r="B36" s="47" t="s">
        <v>30</v>
      </c>
      <c r="C36" s="48" t="s">
        <v>110</v>
      </c>
      <c r="D36" s="47">
        <v>4</v>
      </c>
      <c r="E36" s="47"/>
      <c r="F36" s="47" t="s">
        <v>111</v>
      </c>
      <c r="G36" s="47"/>
      <c r="H36" s="59" t="str">
        <f t="shared" si="2"/>
        <v>3#1#1550|3#3#77|3#4#155|3#5#77|3#6#155|3#7#77|3#6#155|3#8#155|3#9#38|3#10#77|3#11#38|3#12#77</v>
      </c>
      <c r="I36" s="49" t="str">
        <f t="shared" si="4"/>
        <v>元宝395900/声望4240</v>
      </c>
      <c r="J36" s="47"/>
      <c r="K36" s="22">
        <v>31</v>
      </c>
      <c r="L36" s="22">
        <v>4</v>
      </c>
      <c r="M36" s="22">
        <f>材料产出!C$13</f>
        <v>1.5</v>
      </c>
      <c r="N36" s="97">
        <f t="shared" si="8"/>
        <v>1550</v>
      </c>
      <c r="O36" s="97"/>
      <c r="P36" s="97">
        <f t="shared" si="9"/>
        <v>77</v>
      </c>
      <c r="Q36" s="97">
        <f t="shared" si="10"/>
        <v>155</v>
      </c>
      <c r="R36" s="97">
        <f t="shared" si="11"/>
        <v>77</v>
      </c>
      <c r="S36" s="97">
        <f t="shared" si="12"/>
        <v>155</v>
      </c>
      <c r="T36" s="97">
        <f t="shared" si="13"/>
        <v>77</v>
      </c>
      <c r="U36" s="97">
        <f t="shared" si="14"/>
        <v>155</v>
      </c>
      <c r="V36" s="97">
        <f t="shared" si="15"/>
        <v>38</v>
      </c>
      <c r="W36" s="97">
        <f t="shared" si="16"/>
        <v>77</v>
      </c>
      <c r="X36" s="97">
        <f t="shared" si="17"/>
        <v>38</v>
      </c>
      <c r="Y36" s="97">
        <f t="shared" si="18"/>
        <v>77</v>
      </c>
      <c r="Z36" s="8">
        <f>N36*属性价值参考!C$5+官印!P36*属性价值参考!C$7+官印!Q36*属性价值参考!C$8+官印!V36*属性价值参考!C$9+官印!W36*属性价值参考!C$10+官印!X36*属性价值参考!C$11+官印!Y36*属性价值参考!C$12</f>
        <v>21466.800000000003</v>
      </c>
      <c r="AA36" s="8">
        <f t="shared" si="0"/>
        <v>3577800.0000000009</v>
      </c>
      <c r="AB36" s="8">
        <f t="shared" si="1"/>
        <v>35778.000000000007</v>
      </c>
      <c r="AC36" s="8">
        <f>ROUND($AA$105/材料产出!$K$31*SUM(材料产出!$K$13:$K$15)/100,0)*100</f>
        <v>395900</v>
      </c>
      <c r="AD36" s="8">
        <f>ROUND($AB$105/材料产出!$Q$31*SUM(材料产出!$P$13:$P$15)/10,0)*10</f>
        <v>4240</v>
      </c>
    </row>
    <row r="37" spans="1:30" ht="16.5" x14ac:dyDescent="0.3">
      <c r="A37" s="47" t="s">
        <v>29</v>
      </c>
      <c r="B37" s="47" t="s">
        <v>30</v>
      </c>
      <c r="C37" s="48" t="s">
        <v>110</v>
      </c>
      <c r="D37" s="47">
        <v>5</v>
      </c>
      <c r="E37" s="47"/>
      <c r="F37" s="47" t="s">
        <v>111</v>
      </c>
      <c r="G37" s="47"/>
      <c r="H37" s="59" t="str">
        <f t="shared" si="2"/>
        <v>3#1#1600|3#3#80|3#4#160|3#5#80|3#6#160|3#7#80|3#6#160|3#8#160|3#9#40|3#10#80|3#11#40|3#12#80</v>
      </c>
      <c r="I37" s="49" t="str">
        <f t="shared" si="4"/>
        <v>元宝395900/声望4240</v>
      </c>
      <c r="J37" s="47"/>
      <c r="K37" s="22">
        <v>32</v>
      </c>
      <c r="L37" s="22">
        <v>4</v>
      </c>
      <c r="M37" s="22">
        <f>材料产出!C$13</f>
        <v>1.5</v>
      </c>
      <c r="N37" s="97">
        <f t="shared" si="8"/>
        <v>1600</v>
      </c>
      <c r="O37" s="97"/>
      <c r="P37" s="97">
        <f t="shared" si="9"/>
        <v>80</v>
      </c>
      <c r="Q37" s="97">
        <f t="shared" si="10"/>
        <v>160</v>
      </c>
      <c r="R37" s="97">
        <f t="shared" si="11"/>
        <v>80</v>
      </c>
      <c r="S37" s="97">
        <f t="shared" si="12"/>
        <v>160</v>
      </c>
      <c r="T37" s="97">
        <f t="shared" si="13"/>
        <v>80</v>
      </c>
      <c r="U37" s="97">
        <f t="shared" si="14"/>
        <v>160</v>
      </c>
      <c r="V37" s="97">
        <f t="shared" si="15"/>
        <v>40</v>
      </c>
      <c r="W37" s="97">
        <f t="shared" si="16"/>
        <v>80</v>
      </c>
      <c r="X37" s="97">
        <f t="shared" si="17"/>
        <v>40</v>
      </c>
      <c r="Y37" s="97">
        <f t="shared" si="18"/>
        <v>80</v>
      </c>
      <c r="Z37" s="8">
        <f>N37*属性价值参考!C$5+官印!P37*属性价值参考!C$7+官印!Q37*属性价值参考!C$8+官印!V37*属性价值参考!C$9+官印!W37*属性价值参考!C$10+官印!X37*属性价值参考!C$11+官印!Y37*属性价值参考!C$12</f>
        <v>22224</v>
      </c>
      <c r="AA37" s="8">
        <f t="shared" si="0"/>
        <v>3704000</v>
      </c>
      <c r="AB37" s="8">
        <f t="shared" si="1"/>
        <v>37040</v>
      </c>
      <c r="AC37" s="8">
        <f>ROUND($AA$105/材料产出!$K$31*SUM(材料产出!$K$13:$K$15)/100,0)*100</f>
        <v>395900</v>
      </c>
      <c r="AD37" s="8">
        <f>ROUND($AB$105/材料产出!$Q$31*SUM(材料产出!$P$13:$P$15)/10,0)*10</f>
        <v>4240</v>
      </c>
    </row>
    <row r="38" spans="1:30" ht="16.5" x14ac:dyDescent="0.3">
      <c r="A38" s="47" t="s">
        <v>29</v>
      </c>
      <c r="B38" s="47" t="s">
        <v>30</v>
      </c>
      <c r="C38" s="48" t="s">
        <v>110</v>
      </c>
      <c r="D38" s="47">
        <v>6</v>
      </c>
      <c r="E38" s="47"/>
      <c r="F38" s="47" t="s">
        <v>111</v>
      </c>
      <c r="G38" s="47"/>
      <c r="H38" s="59" t="str">
        <f t="shared" si="2"/>
        <v>3#1#1650|3#3#82|3#4#165|3#5#82|3#6#165|3#7#82|3#6#165|3#8#165|3#9#41|3#10#82|3#11#41|3#12#82</v>
      </c>
      <c r="I38" s="49" t="str">
        <f t="shared" si="4"/>
        <v>元宝395900/声望4240</v>
      </c>
      <c r="J38" s="47"/>
      <c r="K38" s="22">
        <v>33</v>
      </c>
      <c r="L38" s="22">
        <v>4</v>
      </c>
      <c r="M38" s="22">
        <f>材料产出!C$13</f>
        <v>1.5</v>
      </c>
      <c r="N38" s="97">
        <f t="shared" si="8"/>
        <v>1650</v>
      </c>
      <c r="O38" s="97"/>
      <c r="P38" s="97">
        <f t="shared" si="9"/>
        <v>82</v>
      </c>
      <c r="Q38" s="97">
        <f t="shared" si="10"/>
        <v>165</v>
      </c>
      <c r="R38" s="97">
        <f t="shared" si="11"/>
        <v>82</v>
      </c>
      <c r="S38" s="97">
        <f t="shared" si="12"/>
        <v>165</v>
      </c>
      <c r="T38" s="97">
        <f t="shared" si="13"/>
        <v>82</v>
      </c>
      <c r="U38" s="97">
        <f t="shared" si="14"/>
        <v>165</v>
      </c>
      <c r="V38" s="97">
        <f t="shared" si="15"/>
        <v>41</v>
      </c>
      <c r="W38" s="97">
        <f t="shared" si="16"/>
        <v>82</v>
      </c>
      <c r="X38" s="97">
        <f t="shared" si="17"/>
        <v>41</v>
      </c>
      <c r="Y38" s="97">
        <f t="shared" si="18"/>
        <v>82</v>
      </c>
      <c r="Z38" s="8">
        <f>N38*属性价值参考!C$5+官印!P38*属性价值参考!C$7+官印!Q38*属性价值参考!C$8+官印!V38*属性价值参考!C$9+官印!W38*属性价值参考!C$10+官印!X38*属性价值参考!C$11+官印!Y38*属性价值参考!C$12</f>
        <v>22869.600000000006</v>
      </c>
      <c r="AA38" s="8">
        <f t="shared" si="0"/>
        <v>3811600.0000000014</v>
      </c>
      <c r="AB38" s="8">
        <f t="shared" si="1"/>
        <v>38116.000000000015</v>
      </c>
      <c r="AC38" s="8">
        <f>ROUND($AA$105/材料产出!$K$31*SUM(材料产出!$K$13:$K$15)/100,0)*100</f>
        <v>395900</v>
      </c>
      <c r="AD38" s="8">
        <f>ROUND($AB$105/材料产出!$Q$31*SUM(材料产出!$P$13:$P$15)/10,0)*10</f>
        <v>4240</v>
      </c>
    </row>
    <row r="39" spans="1:30" ht="16.5" x14ac:dyDescent="0.3">
      <c r="A39" s="47" t="s">
        <v>29</v>
      </c>
      <c r="B39" s="47" t="s">
        <v>30</v>
      </c>
      <c r="C39" s="48" t="s">
        <v>110</v>
      </c>
      <c r="D39" s="47">
        <v>7</v>
      </c>
      <c r="E39" s="47"/>
      <c r="F39" s="47" t="s">
        <v>111</v>
      </c>
      <c r="G39" s="47"/>
      <c r="H39" s="59" t="str">
        <f t="shared" si="2"/>
        <v>3#1#1700|3#3#85|3#4#170|3#5#85|3#6#170|3#7#85|3#6#170|3#8#170|3#9#42|3#10#85|3#11#42|3#12#85</v>
      </c>
      <c r="I39" s="49" t="str">
        <f t="shared" si="4"/>
        <v>元宝395900/声望4240</v>
      </c>
      <c r="J39" s="47"/>
      <c r="K39" s="22">
        <v>34</v>
      </c>
      <c r="L39" s="22">
        <v>4</v>
      </c>
      <c r="M39" s="22">
        <f>材料产出!C$13</f>
        <v>1.5</v>
      </c>
      <c r="N39" s="97">
        <f t="shared" si="8"/>
        <v>1700</v>
      </c>
      <c r="O39" s="97"/>
      <c r="P39" s="97">
        <f t="shared" si="9"/>
        <v>85</v>
      </c>
      <c r="Q39" s="97">
        <f t="shared" si="10"/>
        <v>170</v>
      </c>
      <c r="R39" s="97">
        <f t="shared" si="11"/>
        <v>85</v>
      </c>
      <c r="S39" s="97">
        <f t="shared" si="12"/>
        <v>170</v>
      </c>
      <c r="T39" s="97">
        <f t="shared" si="13"/>
        <v>85</v>
      </c>
      <c r="U39" s="97">
        <f t="shared" si="14"/>
        <v>170</v>
      </c>
      <c r="V39" s="97">
        <f t="shared" si="15"/>
        <v>42</v>
      </c>
      <c r="W39" s="97">
        <f t="shared" si="16"/>
        <v>85</v>
      </c>
      <c r="X39" s="97">
        <f t="shared" si="17"/>
        <v>42</v>
      </c>
      <c r="Y39" s="97">
        <f t="shared" si="18"/>
        <v>85</v>
      </c>
      <c r="Z39" s="8">
        <f>N39*属性价值参考!C$5+官印!P39*属性价值参考!C$7+官印!Q39*属性价值参考!C$8+官印!V39*属性价值参考!C$9+官印!W39*属性价值参考!C$10+官印!X39*属性价值参考!C$11+官印!Y39*属性价值参考!C$12</f>
        <v>23599.200000000001</v>
      </c>
      <c r="AA39" s="8">
        <f t="shared" si="0"/>
        <v>3933200</v>
      </c>
      <c r="AB39" s="8">
        <f t="shared" si="1"/>
        <v>39332</v>
      </c>
      <c r="AC39" s="8">
        <f>ROUND($AA$105/材料产出!$K$31*SUM(材料产出!$K$13:$K$15)/100,0)*100</f>
        <v>395900</v>
      </c>
      <c r="AD39" s="8">
        <f>ROUND($AB$105/材料产出!$Q$31*SUM(材料产出!$P$13:$P$15)/10,0)*10</f>
        <v>4240</v>
      </c>
    </row>
    <row r="40" spans="1:30" ht="16.5" x14ac:dyDescent="0.3">
      <c r="A40" s="47" t="s">
        <v>29</v>
      </c>
      <c r="B40" s="47" t="s">
        <v>30</v>
      </c>
      <c r="C40" s="48" t="s">
        <v>110</v>
      </c>
      <c r="D40" s="47">
        <v>8</v>
      </c>
      <c r="E40" s="47"/>
      <c r="F40" s="47" t="s">
        <v>111</v>
      </c>
      <c r="G40" s="47"/>
      <c r="H40" s="59" t="str">
        <f t="shared" si="2"/>
        <v>3#1#1750|3#3#87|3#4#175|3#5#87|3#6#175|3#7#87|3#6#175|3#8#175|3#9#43|3#10#87|3#11#43|3#12#87</v>
      </c>
      <c r="I40" s="49" t="str">
        <f t="shared" si="4"/>
        <v>元宝395900/声望4240</v>
      </c>
      <c r="J40" s="47"/>
      <c r="K40" s="22">
        <v>35</v>
      </c>
      <c r="L40" s="22">
        <v>4</v>
      </c>
      <c r="M40" s="22">
        <f>材料产出!C$13</f>
        <v>1.5</v>
      </c>
      <c r="N40" s="97">
        <f t="shared" si="8"/>
        <v>1750</v>
      </c>
      <c r="O40" s="97"/>
      <c r="P40" s="97">
        <f t="shared" si="9"/>
        <v>87</v>
      </c>
      <c r="Q40" s="97">
        <f t="shared" si="10"/>
        <v>175</v>
      </c>
      <c r="R40" s="97">
        <f t="shared" si="11"/>
        <v>87</v>
      </c>
      <c r="S40" s="97">
        <f t="shared" si="12"/>
        <v>175</v>
      </c>
      <c r="T40" s="97">
        <f t="shared" si="13"/>
        <v>87</v>
      </c>
      <c r="U40" s="97">
        <f t="shared" si="14"/>
        <v>175</v>
      </c>
      <c r="V40" s="97">
        <f t="shared" si="15"/>
        <v>43</v>
      </c>
      <c r="W40" s="97">
        <f t="shared" si="16"/>
        <v>87</v>
      </c>
      <c r="X40" s="97">
        <f t="shared" si="17"/>
        <v>43</v>
      </c>
      <c r="Y40" s="97">
        <f t="shared" si="18"/>
        <v>87</v>
      </c>
      <c r="Z40" s="8">
        <f>N40*属性价值参考!C$5+官印!P40*属性价值参考!C$7+官印!Q40*属性价值参考!C$8+官印!V40*属性价值参考!C$9+官印!W40*属性价值参考!C$10+官印!X40*属性价值参考!C$11+官印!Y40*属性价值参考!C$12</f>
        <v>24244.800000000003</v>
      </c>
      <c r="AA40" s="8">
        <f t="shared" si="0"/>
        <v>4040800.0000000009</v>
      </c>
      <c r="AB40" s="8">
        <f t="shared" si="1"/>
        <v>40408.000000000007</v>
      </c>
      <c r="AC40" s="8">
        <f>ROUND($AA$105/材料产出!$K$31*SUM(材料产出!$K$13:$K$15)/100,0)*100</f>
        <v>395900</v>
      </c>
      <c r="AD40" s="8">
        <f>ROUND($AB$105/材料产出!$Q$31*SUM(材料产出!$P$13:$P$15)/10,0)*10</f>
        <v>4240</v>
      </c>
    </row>
    <row r="41" spans="1:30" ht="16.5" x14ac:dyDescent="0.3">
      <c r="A41" s="47" t="s">
        <v>29</v>
      </c>
      <c r="B41" s="47" t="s">
        <v>30</v>
      </c>
      <c r="C41" s="48" t="s">
        <v>110</v>
      </c>
      <c r="D41" s="47">
        <v>9</v>
      </c>
      <c r="E41" s="47"/>
      <c r="F41" s="47" t="s">
        <v>111</v>
      </c>
      <c r="G41" s="47"/>
      <c r="H41" s="59" t="str">
        <f t="shared" si="2"/>
        <v>3#1#1800|3#3#90|3#4#180|3#5#90|3#6#180|3#7#90|3#6#180|3#8#180|3#9#45|3#10#90|3#11#45|3#12#90</v>
      </c>
      <c r="I41" s="49" t="str">
        <f t="shared" si="4"/>
        <v>元宝395900/声望4240</v>
      </c>
      <c r="J41" s="47"/>
      <c r="K41" s="22">
        <v>36</v>
      </c>
      <c r="L41" s="22">
        <v>4</v>
      </c>
      <c r="M41" s="22">
        <f>材料产出!C$13</f>
        <v>1.5</v>
      </c>
      <c r="N41" s="97">
        <f t="shared" si="8"/>
        <v>1800</v>
      </c>
      <c r="O41" s="97"/>
      <c r="P41" s="97">
        <f t="shared" si="9"/>
        <v>90</v>
      </c>
      <c r="Q41" s="97">
        <f t="shared" si="10"/>
        <v>180</v>
      </c>
      <c r="R41" s="97">
        <f t="shared" si="11"/>
        <v>90</v>
      </c>
      <c r="S41" s="97">
        <f t="shared" si="12"/>
        <v>180</v>
      </c>
      <c r="T41" s="97">
        <f t="shared" si="13"/>
        <v>90</v>
      </c>
      <c r="U41" s="97">
        <f t="shared" si="14"/>
        <v>180</v>
      </c>
      <c r="V41" s="97">
        <f t="shared" si="15"/>
        <v>45</v>
      </c>
      <c r="W41" s="97">
        <f t="shared" si="16"/>
        <v>90</v>
      </c>
      <c r="X41" s="97">
        <f t="shared" si="17"/>
        <v>45</v>
      </c>
      <c r="Y41" s="97">
        <f t="shared" si="18"/>
        <v>90</v>
      </c>
      <c r="Z41" s="8">
        <f>N41*属性价值参考!C$5+官印!P41*属性价值参考!C$7+官印!Q41*属性价值参考!C$8+官印!V41*属性价值参考!C$9+官印!W41*属性价值参考!C$10+官印!X41*属性价值参考!C$11+官印!Y41*属性价值参考!C$12</f>
        <v>25002</v>
      </c>
      <c r="AA41" s="8">
        <f t="shared" si="0"/>
        <v>4167000</v>
      </c>
      <c r="AB41" s="8">
        <f t="shared" si="1"/>
        <v>41670</v>
      </c>
      <c r="AC41" s="8">
        <f>ROUND($AA$105/材料产出!$K$31*SUM(材料产出!$K$13:$K$15)/100,0)*100</f>
        <v>395900</v>
      </c>
      <c r="AD41" s="8">
        <f>ROUND($AB$105/材料产出!$Q$31*SUM(材料产出!$P$13:$P$15)/10,0)*10</f>
        <v>4240</v>
      </c>
    </row>
    <row r="42" spans="1:30" ht="16.5" x14ac:dyDescent="0.3">
      <c r="A42" s="50" t="s">
        <v>29</v>
      </c>
      <c r="B42" s="50" t="s">
        <v>30</v>
      </c>
      <c r="C42" s="51" t="s">
        <v>113</v>
      </c>
      <c r="D42" s="50">
        <v>0</v>
      </c>
      <c r="E42" s="50"/>
      <c r="F42" s="50" t="s">
        <v>111</v>
      </c>
      <c r="G42" s="50"/>
      <c r="H42" s="58" t="str">
        <f t="shared" si="2"/>
        <v>3#1#1850|3#3#92|3#4#185|3#5#92|3#6#185|3#7#92|3#6#185|3#8#185|3#9#46|3#10#92|3#11#46|3#12#92</v>
      </c>
      <c r="I42" s="52"/>
      <c r="J42" s="50"/>
      <c r="K42" s="22">
        <v>37</v>
      </c>
      <c r="L42" s="22"/>
      <c r="M42" s="22"/>
      <c r="N42" s="97">
        <f t="shared" si="8"/>
        <v>1850</v>
      </c>
      <c r="O42" s="97"/>
      <c r="P42" s="97">
        <f t="shared" si="9"/>
        <v>92</v>
      </c>
      <c r="Q42" s="97">
        <f t="shared" si="10"/>
        <v>185</v>
      </c>
      <c r="R42" s="97">
        <f t="shared" si="11"/>
        <v>92</v>
      </c>
      <c r="S42" s="97">
        <f t="shared" si="12"/>
        <v>185</v>
      </c>
      <c r="T42" s="97">
        <f t="shared" si="13"/>
        <v>92</v>
      </c>
      <c r="U42" s="97">
        <f t="shared" si="14"/>
        <v>185</v>
      </c>
      <c r="V42" s="97">
        <f t="shared" si="15"/>
        <v>46</v>
      </c>
      <c r="W42" s="97">
        <f t="shared" si="16"/>
        <v>92</v>
      </c>
      <c r="X42" s="97">
        <f t="shared" si="17"/>
        <v>46</v>
      </c>
      <c r="Y42" s="97">
        <f t="shared" si="18"/>
        <v>92</v>
      </c>
      <c r="Z42" s="8">
        <f>N42*属性价值参考!C$5+官印!P42*属性价值参考!C$7+官印!Q42*属性价值参考!C$8+官印!V42*属性价值参考!C$9+官印!W42*属性价值参考!C$10+官印!X42*属性价值参考!C$11+官印!Y42*属性价值参考!C$12</f>
        <v>25647.600000000006</v>
      </c>
      <c r="AA42" s="8">
        <f t="shared" si="0"/>
        <v>4274600.0000000019</v>
      </c>
      <c r="AB42" s="8">
        <f t="shared" si="1"/>
        <v>42746.000000000015</v>
      </c>
      <c r="AC42" s="8"/>
      <c r="AD42" s="8"/>
    </row>
    <row r="43" spans="1:30" ht="16.5" x14ac:dyDescent="0.3">
      <c r="A43" s="50" t="s">
        <v>29</v>
      </c>
      <c r="B43" s="50" t="s">
        <v>30</v>
      </c>
      <c r="C43" s="51" t="s">
        <v>114</v>
      </c>
      <c r="D43" s="50">
        <v>1</v>
      </c>
      <c r="E43" s="50"/>
      <c r="F43" s="50" t="s">
        <v>115</v>
      </c>
      <c r="G43" s="50"/>
      <c r="H43" s="58" t="str">
        <f t="shared" si="2"/>
        <v>3#1#1900|3#3#95|3#4#190|3#5#95|3#6#190|3#7#95|3#6#190|3#8#190|3#9#47|3#10#95|3#11#47|3#12#95</v>
      </c>
      <c r="I43" s="52" t="str">
        <f t="shared" si="4"/>
        <v>元宝1266800/声望12670</v>
      </c>
      <c r="J43" s="50"/>
      <c r="K43" s="22">
        <v>38</v>
      </c>
      <c r="L43" s="22">
        <v>5</v>
      </c>
      <c r="M43" s="22">
        <f>材料产出!C$16</f>
        <v>2.5</v>
      </c>
      <c r="N43" s="97">
        <f t="shared" si="8"/>
        <v>1900</v>
      </c>
      <c r="O43" s="97"/>
      <c r="P43" s="97">
        <f t="shared" si="9"/>
        <v>95</v>
      </c>
      <c r="Q43" s="97">
        <f t="shared" si="10"/>
        <v>190</v>
      </c>
      <c r="R43" s="97">
        <f t="shared" si="11"/>
        <v>95</v>
      </c>
      <c r="S43" s="97">
        <f t="shared" si="12"/>
        <v>190</v>
      </c>
      <c r="T43" s="97">
        <f t="shared" si="13"/>
        <v>95</v>
      </c>
      <c r="U43" s="97">
        <f t="shared" si="14"/>
        <v>190</v>
      </c>
      <c r="V43" s="97">
        <f t="shared" si="15"/>
        <v>47</v>
      </c>
      <c r="W43" s="97">
        <f t="shared" si="16"/>
        <v>95</v>
      </c>
      <c r="X43" s="97">
        <f t="shared" si="17"/>
        <v>47</v>
      </c>
      <c r="Y43" s="97">
        <f t="shared" si="18"/>
        <v>95</v>
      </c>
      <c r="Z43" s="8">
        <f>N43*属性价值参考!C$5+官印!P43*属性价值参考!C$7+官印!Q43*属性价值参考!C$8+官印!V43*属性价值参考!C$9+官印!W43*属性价值参考!C$10+官印!X43*属性价值参考!C$11+官印!Y43*属性价值参考!C$12</f>
        <v>26377.200000000001</v>
      </c>
      <c r="AA43" s="8">
        <f t="shared" si="0"/>
        <v>4396200</v>
      </c>
      <c r="AB43" s="8">
        <f t="shared" si="1"/>
        <v>43962</v>
      </c>
      <c r="AC43" s="8">
        <f>ROUND($AA$105/材料产出!$K$31*SUM(材料产出!$K$16:$K$18)/100,0)*100</f>
        <v>1266800</v>
      </c>
      <c r="AD43" s="8">
        <f>ROUND($AB$105/材料产出!$Q$31*SUM(材料产出!$P$16:$P$18)/10,0)*10</f>
        <v>12670</v>
      </c>
    </row>
    <row r="44" spans="1:30" ht="16.5" x14ac:dyDescent="0.3">
      <c r="A44" s="50" t="s">
        <v>29</v>
      </c>
      <c r="B44" s="50" t="s">
        <v>30</v>
      </c>
      <c r="C44" s="51" t="s">
        <v>114</v>
      </c>
      <c r="D44" s="50">
        <v>2</v>
      </c>
      <c r="E44" s="50"/>
      <c r="F44" s="50" t="s">
        <v>115</v>
      </c>
      <c r="G44" s="50"/>
      <c r="H44" s="58" t="str">
        <f t="shared" si="2"/>
        <v>3#1#1950|3#3#97|3#4#195|3#5#97|3#6#195|3#7#97|3#6#195|3#8#195|3#9#48|3#10#97|3#11#48|3#12#97</v>
      </c>
      <c r="I44" s="52" t="str">
        <f t="shared" si="4"/>
        <v>元宝1266800/声望12670</v>
      </c>
      <c r="J44" s="50"/>
      <c r="K44" s="22">
        <v>39</v>
      </c>
      <c r="L44" s="22">
        <v>5</v>
      </c>
      <c r="M44" s="22">
        <f>材料产出!C$16</f>
        <v>2.5</v>
      </c>
      <c r="N44" s="97">
        <f t="shared" si="8"/>
        <v>1950</v>
      </c>
      <c r="O44" s="97"/>
      <c r="P44" s="97">
        <f t="shared" si="9"/>
        <v>97</v>
      </c>
      <c r="Q44" s="97">
        <f t="shared" si="10"/>
        <v>195</v>
      </c>
      <c r="R44" s="97">
        <f t="shared" si="11"/>
        <v>97</v>
      </c>
      <c r="S44" s="97">
        <f t="shared" si="12"/>
        <v>195</v>
      </c>
      <c r="T44" s="97">
        <f t="shared" si="13"/>
        <v>97</v>
      </c>
      <c r="U44" s="97">
        <f t="shared" si="14"/>
        <v>195</v>
      </c>
      <c r="V44" s="97">
        <f t="shared" si="15"/>
        <v>48</v>
      </c>
      <c r="W44" s="97">
        <f t="shared" si="16"/>
        <v>97</v>
      </c>
      <c r="X44" s="97">
        <f t="shared" si="17"/>
        <v>48</v>
      </c>
      <c r="Y44" s="97">
        <f t="shared" si="18"/>
        <v>97</v>
      </c>
      <c r="Z44" s="8">
        <f>N44*属性价值参考!C$5+官印!P44*属性价值参考!C$7+官印!Q44*属性价值参考!C$8+官印!V44*属性价值参考!C$9+官印!W44*属性价值参考!C$10+官印!X44*属性价值参考!C$11+官印!Y44*属性价值参考!C$12</f>
        <v>27022.800000000003</v>
      </c>
      <c r="AA44" s="8">
        <f t="shared" si="0"/>
        <v>4503800.0000000009</v>
      </c>
      <c r="AB44" s="8">
        <f t="shared" si="1"/>
        <v>45038.000000000007</v>
      </c>
      <c r="AC44" s="8">
        <f>ROUND($AA$105/材料产出!$K$31*SUM(材料产出!$K$16:$K$18)/100,0)*100</f>
        <v>1266800</v>
      </c>
      <c r="AD44" s="8">
        <f>ROUND($AB$105/材料产出!$Q$31*SUM(材料产出!$P$16:$P$18)/10,0)*10</f>
        <v>12670</v>
      </c>
    </row>
    <row r="45" spans="1:30" ht="16.5" x14ac:dyDescent="0.3">
      <c r="A45" s="50" t="s">
        <v>29</v>
      </c>
      <c r="B45" s="50" t="s">
        <v>30</v>
      </c>
      <c r="C45" s="51" t="s">
        <v>114</v>
      </c>
      <c r="D45" s="50">
        <v>3</v>
      </c>
      <c r="E45" s="50"/>
      <c r="F45" s="50" t="s">
        <v>115</v>
      </c>
      <c r="G45" s="50"/>
      <c r="H45" s="58" t="str">
        <f t="shared" si="2"/>
        <v>3#1#2000|3#3#100|3#4#200|3#5#100|3#6#200|3#7#100|3#6#200|3#8#200|3#9#50|3#10#100|3#11#50|3#12#100</v>
      </c>
      <c r="I45" s="52" t="str">
        <f t="shared" si="4"/>
        <v>元宝1266800/声望12670</v>
      </c>
      <c r="J45" s="50"/>
      <c r="K45" s="22">
        <v>40</v>
      </c>
      <c r="L45" s="22">
        <v>5</v>
      </c>
      <c r="M45" s="22">
        <f>材料产出!C$16</f>
        <v>2.5</v>
      </c>
      <c r="N45" s="97">
        <f t="shared" si="8"/>
        <v>2000</v>
      </c>
      <c r="O45" s="97"/>
      <c r="P45" s="97">
        <f t="shared" si="9"/>
        <v>100</v>
      </c>
      <c r="Q45" s="97">
        <f t="shared" si="10"/>
        <v>200</v>
      </c>
      <c r="R45" s="97">
        <f t="shared" si="11"/>
        <v>100</v>
      </c>
      <c r="S45" s="97">
        <f t="shared" si="12"/>
        <v>200</v>
      </c>
      <c r="T45" s="97">
        <f t="shared" si="13"/>
        <v>100</v>
      </c>
      <c r="U45" s="97">
        <f t="shared" si="14"/>
        <v>200</v>
      </c>
      <c r="V45" s="97">
        <f t="shared" si="15"/>
        <v>50</v>
      </c>
      <c r="W45" s="97">
        <f t="shared" si="16"/>
        <v>100</v>
      </c>
      <c r="X45" s="97">
        <f t="shared" si="17"/>
        <v>50</v>
      </c>
      <c r="Y45" s="97">
        <f t="shared" si="18"/>
        <v>100</v>
      </c>
      <c r="Z45" s="8">
        <f>N45*属性价值参考!C$5+官印!P45*属性价值参考!C$7+官印!Q45*属性价值参考!C$8+官印!V45*属性价值参考!C$9+官印!W45*属性价值参考!C$10+官印!X45*属性价值参考!C$11+官印!Y45*属性价值参考!C$12</f>
        <v>27780</v>
      </c>
      <c r="AA45" s="8">
        <f t="shared" si="0"/>
        <v>4630000</v>
      </c>
      <c r="AB45" s="8">
        <f t="shared" si="1"/>
        <v>46300</v>
      </c>
      <c r="AC45" s="8">
        <f>ROUND($AA$105/材料产出!$K$31*SUM(材料产出!$K$16:$K$18)/100,0)*100</f>
        <v>1266800</v>
      </c>
      <c r="AD45" s="8">
        <f>ROUND($AB$105/材料产出!$Q$31*SUM(材料产出!$P$16:$P$18)/10,0)*10</f>
        <v>12670</v>
      </c>
    </row>
    <row r="46" spans="1:30" ht="16.5" x14ac:dyDescent="0.3">
      <c r="A46" s="50" t="s">
        <v>29</v>
      </c>
      <c r="B46" s="50" t="s">
        <v>30</v>
      </c>
      <c r="C46" s="51" t="s">
        <v>114</v>
      </c>
      <c r="D46" s="50">
        <v>4</v>
      </c>
      <c r="E46" s="50"/>
      <c r="F46" s="50" t="s">
        <v>115</v>
      </c>
      <c r="G46" s="50"/>
      <c r="H46" s="58" t="str">
        <f t="shared" si="2"/>
        <v>3#1#2050|3#3#102|3#4#205|3#5#102|3#6#205|3#7#102|3#6#205|3#8#205|3#9#51|3#10#102|3#11#51|3#12#102</v>
      </c>
      <c r="I46" s="52" t="str">
        <f t="shared" si="4"/>
        <v>元宝1266800/声望12670</v>
      </c>
      <c r="J46" s="50"/>
      <c r="K46" s="22">
        <v>41</v>
      </c>
      <c r="L46" s="22">
        <v>5</v>
      </c>
      <c r="M46" s="22">
        <f>材料产出!C$16</f>
        <v>2.5</v>
      </c>
      <c r="N46" s="97">
        <f t="shared" si="8"/>
        <v>2050</v>
      </c>
      <c r="O46" s="97"/>
      <c r="P46" s="97">
        <f t="shared" si="9"/>
        <v>102</v>
      </c>
      <c r="Q46" s="97">
        <f t="shared" si="10"/>
        <v>205</v>
      </c>
      <c r="R46" s="97">
        <f t="shared" si="11"/>
        <v>102</v>
      </c>
      <c r="S46" s="97">
        <f t="shared" si="12"/>
        <v>205</v>
      </c>
      <c r="T46" s="97">
        <f t="shared" si="13"/>
        <v>102</v>
      </c>
      <c r="U46" s="97">
        <f t="shared" si="14"/>
        <v>205</v>
      </c>
      <c r="V46" s="97">
        <f t="shared" si="15"/>
        <v>51</v>
      </c>
      <c r="W46" s="97">
        <f t="shared" si="16"/>
        <v>102</v>
      </c>
      <c r="X46" s="97">
        <f t="shared" si="17"/>
        <v>51</v>
      </c>
      <c r="Y46" s="97">
        <f t="shared" si="18"/>
        <v>102</v>
      </c>
      <c r="Z46" s="8">
        <f>N46*属性价值参考!C$5+官印!P46*属性价值参考!C$7+官印!Q46*属性价值参考!C$8+官印!V46*属性价值参考!C$9+官印!W46*属性价值参考!C$10+官印!X46*属性价值参考!C$11+官印!Y46*属性价值参考!C$12</f>
        <v>28425.600000000006</v>
      </c>
      <c r="AA46" s="8">
        <f t="shared" si="0"/>
        <v>4737600.0000000019</v>
      </c>
      <c r="AB46" s="8">
        <f t="shared" si="1"/>
        <v>47376.000000000015</v>
      </c>
      <c r="AC46" s="8">
        <f>ROUND($AA$105/材料产出!$K$31*SUM(材料产出!$K$16:$K$18)/100,0)*100</f>
        <v>1266800</v>
      </c>
      <c r="AD46" s="8">
        <f>ROUND($AB$105/材料产出!$Q$31*SUM(材料产出!$P$16:$P$18)/10,0)*10</f>
        <v>12670</v>
      </c>
    </row>
    <row r="47" spans="1:30" ht="16.5" x14ac:dyDescent="0.3">
      <c r="A47" s="50" t="s">
        <v>29</v>
      </c>
      <c r="B47" s="50" t="s">
        <v>30</v>
      </c>
      <c r="C47" s="51" t="s">
        <v>114</v>
      </c>
      <c r="D47" s="50">
        <v>5</v>
      </c>
      <c r="E47" s="50"/>
      <c r="F47" s="50" t="s">
        <v>115</v>
      </c>
      <c r="G47" s="50"/>
      <c r="H47" s="58" t="str">
        <f t="shared" si="2"/>
        <v>3#1#2100|3#3#105|3#4#210|3#5#105|3#6#210|3#7#105|3#6#210|3#8#210|3#9#52|3#10#105|3#11#52|3#12#105</v>
      </c>
      <c r="I47" s="52" t="str">
        <f t="shared" si="4"/>
        <v>元宝1266800/声望12670</v>
      </c>
      <c r="J47" s="50"/>
      <c r="K47" s="22">
        <v>42</v>
      </c>
      <c r="L47" s="22">
        <v>5</v>
      </c>
      <c r="M47" s="22">
        <f>材料产出!C$16</f>
        <v>2.5</v>
      </c>
      <c r="N47" s="97">
        <f t="shared" si="8"/>
        <v>2100</v>
      </c>
      <c r="O47" s="97"/>
      <c r="P47" s="97">
        <f t="shared" si="9"/>
        <v>105</v>
      </c>
      <c r="Q47" s="97">
        <f t="shared" si="10"/>
        <v>210</v>
      </c>
      <c r="R47" s="97">
        <f t="shared" si="11"/>
        <v>105</v>
      </c>
      <c r="S47" s="97">
        <f t="shared" si="12"/>
        <v>210</v>
      </c>
      <c r="T47" s="97">
        <f t="shared" si="13"/>
        <v>105</v>
      </c>
      <c r="U47" s="97">
        <f t="shared" si="14"/>
        <v>210</v>
      </c>
      <c r="V47" s="97">
        <f t="shared" si="15"/>
        <v>52</v>
      </c>
      <c r="W47" s="97">
        <f t="shared" si="16"/>
        <v>105</v>
      </c>
      <c r="X47" s="97">
        <f t="shared" si="17"/>
        <v>52</v>
      </c>
      <c r="Y47" s="97">
        <f t="shared" si="18"/>
        <v>105</v>
      </c>
      <c r="Z47" s="8">
        <f>N47*属性价值参考!C$5+官印!P47*属性价值参考!C$7+官印!Q47*属性价值参考!C$8+官印!V47*属性价值参考!C$9+官印!W47*属性价值参考!C$10+官印!X47*属性价值参考!C$11+官印!Y47*属性价值参考!C$12</f>
        <v>29155.200000000001</v>
      </c>
      <c r="AA47" s="8">
        <f t="shared" si="0"/>
        <v>4859200</v>
      </c>
      <c r="AB47" s="8">
        <f t="shared" si="1"/>
        <v>48592</v>
      </c>
      <c r="AC47" s="8">
        <f>ROUND($AA$105/材料产出!$K$31*SUM(材料产出!$K$16:$K$18)/100,0)*100</f>
        <v>1266800</v>
      </c>
      <c r="AD47" s="8">
        <f>ROUND($AB$105/材料产出!$Q$31*SUM(材料产出!$P$16:$P$18)/10,0)*10</f>
        <v>12670</v>
      </c>
    </row>
    <row r="48" spans="1:30" ht="16.5" x14ac:dyDescent="0.3">
      <c r="A48" s="50" t="s">
        <v>29</v>
      </c>
      <c r="B48" s="50" t="s">
        <v>30</v>
      </c>
      <c r="C48" s="51" t="s">
        <v>114</v>
      </c>
      <c r="D48" s="50">
        <v>6</v>
      </c>
      <c r="E48" s="50"/>
      <c r="F48" s="50" t="s">
        <v>115</v>
      </c>
      <c r="G48" s="50"/>
      <c r="H48" s="58" t="str">
        <f t="shared" si="2"/>
        <v>3#1#2150|3#3#107|3#4#215|3#5#107|3#6#215|3#7#107|3#6#215|3#8#215|3#9#53|3#10#107|3#11#53|3#12#107</v>
      </c>
      <c r="I48" s="52" t="str">
        <f t="shared" si="4"/>
        <v>元宝1266800/声望12670</v>
      </c>
      <c r="J48" s="50"/>
      <c r="K48" s="22">
        <v>43</v>
      </c>
      <c r="L48" s="22">
        <v>5</v>
      </c>
      <c r="M48" s="22">
        <f>材料产出!C$16</f>
        <v>2.5</v>
      </c>
      <c r="N48" s="97">
        <f t="shared" si="8"/>
        <v>2150</v>
      </c>
      <c r="O48" s="97"/>
      <c r="P48" s="97">
        <f t="shared" si="9"/>
        <v>107</v>
      </c>
      <c r="Q48" s="97">
        <f t="shared" si="10"/>
        <v>215</v>
      </c>
      <c r="R48" s="97">
        <f t="shared" si="11"/>
        <v>107</v>
      </c>
      <c r="S48" s="97">
        <f t="shared" si="12"/>
        <v>215</v>
      </c>
      <c r="T48" s="97">
        <f t="shared" si="13"/>
        <v>107</v>
      </c>
      <c r="U48" s="97">
        <f t="shared" si="14"/>
        <v>215</v>
      </c>
      <c r="V48" s="97">
        <f t="shared" si="15"/>
        <v>53</v>
      </c>
      <c r="W48" s="97">
        <f t="shared" si="16"/>
        <v>107</v>
      </c>
      <c r="X48" s="97">
        <f t="shared" si="17"/>
        <v>53</v>
      </c>
      <c r="Y48" s="97">
        <f t="shared" si="18"/>
        <v>107</v>
      </c>
      <c r="Z48" s="8">
        <f>N48*属性价值参考!C$5+官印!P48*属性价值参考!C$7+官印!Q48*属性价值参考!C$8+官印!V48*属性价值参考!C$9+官印!W48*属性价值参考!C$10+官印!X48*属性价值参考!C$11+官印!Y48*属性价值参考!C$12</f>
        <v>29800.800000000003</v>
      </c>
      <c r="AA48" s="8">
        <f t="shared" si="0"/>
        <v>4966800.0000000009</v>
      </c>
      <c r="AB48" s="8">
        <f t="shared" si="1"/>
        <v>49668.000000000007</v>
      </c>
      <c r="AC48" s="8">
        <f>ROUND($AA$105/材料产出!$K$31*SUM(材料产出!$K$16:$K$18)/100,0)*100</f>
        <v>1266800</v>
      </c>
      <c r="AD48" s="8">
        <f>ROUND($AB$105/材料产出!$Q$31*SUM(材料产出!$P$16:$P$18)/10,0)*10</f>
        <v>12670</v>
      </c>
    </row>
    <row r="49" spans="1:30" ht="16.5" x14ac:dyDescent="0.3">
      <c r="A49" s="50" t="s">
        <v>29</v>
      </c>
      <c r="B49" s="50" t="s">
        <v>30</v>
      </c>
      <c r="C49" s="51" t="s">
        <v>114</v>
      </c>
      <c r="D49" s="50">
        <v>7</v>
      </c>
      <c r="E49" s="50"/>
      <c r="F49" s="50" t="s">
        <v>115</v>
      </c>
      <c r="G49" s="50"/>
      <c r="H49" s="58" t="str">
        <f t="shared" si="2"/>
        <v>3#1#2200|3#3#110|3#4#220|3#5#110|3#6#220|3#7#110|3#6#220|3#8#220|3#9#55|3#10#110|3#11#55|3#12#110</v>
      </c>
      <c r="I49" s="52" t="str">
        <f t="shared" si="4"/>
        <v>元宝1266800/声望12670</v>
      </c>
      <c r="J49" s="50"/>
      <c r="K49" s="22">
        <v>44</v>
      </c>
      <c r="L49" s="22">
        <v>5</v>
      </c>
      <c r="M49" s="22">
        <f>材料产出!C$16</f>
        <v>2.5</v>
      </c>
      <c r="N49" s="97">
        <f t="shared" si="8"/>
        <v>2200</v>
      </c>
      <c r="O49" s="97"/>
      <c r="P49" s="97">
        <f t="shared" si="9"/>
        <v>110</v>
      </c>
      <c r="Q49" s="97">
        <f t="shared" si="10"/>
        <v>220</v>
      </c>
      <c r="R49" s="97">
        <f t="shared" si="11"/>
        <v>110</v>
      </c>
      <c r="S49" s="97">
        <f t="shared" si="12"/>
        <v>220</v>
      </c>
      <c r="T49" s="97">
        <f t="shared" si="13"/>
        <v>110</v>
      </c>
      <c r="U49" s="97">
        <f t="shared" si="14"/>
        <v>220</v>
      </c>
      <c r="V49" s="97">
        <f t="shared" si="15"/>
        <v>55</v>
      </c>
      <c r="W49" s="97">
        <f t="shared" si="16"/>
        <v>110</v>
      </c>
      <c r="X49" s="97">
        <f t="shared" si="17"/>
        <v>55</v>
      </c>
      <c r="Y49" s="97">
        <f t="shared" si="18"/>
        <v>110</v>
      </c>
      <c r="Z49" s="8">
        <f>N49*属性价值参考!C$5+官印!P49*属性价值参考!C$7+官印!Q49*属性价值参考!C$8+官印!V49*属性价值参考!C$9+官印!W49*属性价值参考!C$10+官印!X49*属性价值参考!C$11+官印!Y49*属性价值参考!C$12</f>
        <v>30558</v>
      </c>
      <c r="AA49" s="8">
        <f t="shared" si="0"/>
        <v>5093000</v>
      </c>
      <c r="AB49" s="8">
        <f t="shared" si="1"/>
        <v>50930</v>
      </c>
      <c r="AC49" s="8">
        <f>ROUND($AA$105/材料产出!$K$31*SUM(材料产出!$K$16:$K$18)/100,0)*100</f>
        <v>1266800</v>
      </c>
      <c r="AD49" s="8">
        <f>ROUND($AB$105/材料产出!$Q$31*SUM(材料产出!$P$16:$P$18)/10,0)*10</f>
        <v>12670</v>
      </c>
    </row>
    <row r="50" spans="1:30" ht="16.5" x14ac:dyDescent="0.3">
      <c r="A50" s="50" t="s">
        <v>29</v>
      </c>
      <c r="B50" s="50" t="s">
        <v>30</v>
      </c>
      <c r="C50" s="51" t="s">
        <v>114</v>
      </c>
      <c r="D50" s="50">
        <v>8</v>
      </c>
      <c r="E50" s="50"/>
      <c r="F50" s="50" t="s">
        <v>115</v>
      </c>
      <c r="G50" s="50"/>
      <c r="H50" s="58" t="str">
        <f t="shared" si="2"/>
        <v>3#1#2250|3#3#112|3#4#225|3#5#112|3#6#225|3#7#112|3#6#225|3#8#225|3#9#56|3#10#112|3#11#56|3#12#112</v>
      </c>
      <c r="I50" s="52" t="str">
        <f t="shared" si="4"/>
        <v>元宝1266800/声望12670</v>
      </c>
      <c r="J50" s="50"/>
      <c r="K50" s="22">
        <v>45</v>
      </c>
      <c r="L50" s="22">
        <v>5</v>
      </c>
      <c r="M50" s="22">
        <f>材料产出!C$16</f>
        <v>2.5</v>
      </c>
      <c r="N50" s="97">
        <f t="shared" si="8"/>
        <v>2250</v>
      </c>
      <c r="O50" s="97"/>
      <c r="P50" s="97">
        <f t="shared" si="9"/>
        <v>112</v>
      </c>
      <c r="Q50" s="97">
        <f t="shared" si="10"/>
        <v>225</v>
      </c>
      <c r="R50" s="97">
        <f t="shared" si="11"/>
        <v>112</v>
      </c>
      <c r="S50" s="97">
        <f t="shared" si="12"/>
        <v>225</v>
      </c>
      <c r="T50" s="97">
        <f t="shared" si="13"/>
        <v>112</v>
      </c>
      <c r="U50" s="97">
        <f t="shared" si="14"/>
        <v>225</v>
      </c>
      <c r="V50" s="97">
        <f t="shared" si="15"/>
        <v>56</v>
      </c>
      <c r="W50" s="97">
        <f t="shared" si="16"/>
        <v>112</v>
      </c>
      <c r="X50" s="97">
        <f t="shared" si="17"/>
        <v>56</v>
      </c>
      <c r="Y50" s="97">
        <f t="shared" si="18"/>
        <v>112</v>
      </c>
      <c r="Z50" s="8">
        <f>N50*属性价值参考!C$5+官印!P50*属性价值参考!C$7+官印!Q50*属性价值参考!C$8+官印!V50*属性价值参考!C$9+官印!W50*属性价值参考!C$10+官印!X50*属性价值参考!C$11+官印!Y50*属性价值参考!C$12</f>
        <v>31203.600000000006</v>
      </c>
      <c r="AA50" s="8">
        <f t="shared" si="0"/>
        <v>5200600.0000000019</v>
      </c>
      <c r="AB50" s="8">
        <f t="shared" si="1"/>
        <v>52006.000000000015</v>
      </c>
      <c r="AC50" s="8">
        <f>ROUND($AA$105/材料产出!$K$31*SUM(材料产出!$K$16:$K$18)/100,0)*100</f>
        <v>1266800</v>
      </c>
      <c r="AD50" s="8">
        <f>ROUND($AB$105/材料产出!$Q$31*SUM(材料产出!$P$16:$P$18)/10,0)*10</f>
        <v>12670</v>
      </c>
    </row>
    <row r="51" spans="1:30" ht="16.5" x14ac:dyDescent="0.3">
      <c r="A51" s="50" t="s">
        <v>29</v>
      </c>
      <c r="B51" s="50" t="s">
        <v>30</v>
      </c>
      <c r="C51" s="51" t="s">
        <v>116</v>
      </c>
      <c r="D51" s="50">
        <v>9</v>
      </c>
      <c r="E51" s="50"/>
      <c r="F51" s="50" t="s">
        <v>115</v>
      </c>
      <c r="G51" s="50"/>
      <c r="H51" s="58" t="str">
        <f t="shared" si="2"/>
        <v>3#1#2300|3#3#115|3#4#230|3#5#115|3#6#230|3#7#115|3#6#230|3#8#230|3#9#57|3#10#115|3#11#57|3#12#115</v>
      </c>
      <c r="I51" s="52" t="str">
        <f t="shared" si="4"/>
        <v>元宝1266800/声望12670</v>
      </c>
      <c r="J51" s="50"/>
      <c r="K51" s="22">
        <v>46</v>
      </c>
      <c r="L51" s="22">
        <v>5</v>
      </c>
      <c r="M51" s="22">
        <f>材料产出!C$16</f>
        <v>2.5</v>
      </c>
      <c r="N51" s="97">
        <f t="shared" si="8"/>
        <v>2300</v>
      </c>
      <c r="O51" s="97"/>
      <c r="P51" s="97">
        <f t="shared" si="9"/>
        <v>115</v>
      </c>
      <c r="Q51" s="97">
        <f t="shared" si="10"/>
        <v>230</v>
      </c>
      <c r="R51" s="97">
        <f t="shared" si="11"/>
        <v>115</v>
      </c>
      <c r="S51" s="97">
        <f t="shared" si="12"/>
        <v>230</v>
      </c>
      <c r="T51" s="97">
        <f t="shared" si="13"/>
        <v>115</v>
      </c>
      <c r="U51" s="97">
        <f t="shared" si="14"/>
        <v>230</v>
      </c>
      <c r="V51" s="97">
        <f t="shared" si="15"/>
        <v>57</v>
      </c>
      <c r="W51" s="97">
        <f t="shared" si="16"/>
        <v>115</v>
      </c>
      <c r="X51" s="97">
        <f t="shared" si="17"/>
        <v>57</v>
      </c>
      <c r="Y51" s="97">
        <f t="shared" si="18"/>
        <v>115</v>
      </c>
      <c r="Z51" s="8">
        <f>N51*属性价值参考!C$5+官印!P51*属性价值参考!C$7+官印!Q51*属性价值参考!C$8+官印!V51*属性价值参考!C$9+官印!W51*属性价值参考!C$10+官印!X51*属性价值参考!C$11+官印!Y51*属性价值参考!C$12</f>
        <v>31933.200000000001</v>
      </c>
      <c r="AA51" s="8">
        <f t="shared" si="0"/>
        <v>5322200</v>
      </c>
      <c r="AB51" s="8">
        <f t="shared" si="1"/>
        <v>53222</v>
      </c>
      <c r="AC51" s="8">
        <f>ROUND($AA$105/材料产出!$K$31*SUM(材料产出!$K$16:$K$18)/100,0)*100</f>
        <v>1266800</v>
      </c>
      <c r="AD51" s="8">
        <f>ROUND($AB$105/材料产出!$Q$31*SUM(材料产出!$P$16:$P$18)/10,0)*10</f>
        <v>12670</v>
      </c>
    </row>
    <row r="52" spans="1:30" ht="16.5" x14ac:dyDescent="0.3">
      <c r="A52" s="53" t="s">
        <v>29</v>
      </c>
      <c r="B52" s="53" t="s">
        <v>30</v>
      </c>
      <c r="C52" s="54" t="s">
        <v>117</v>
      </c>
      <c r="D52" s="53">
        <v>0</v>
      </c>
      <c r="E52" s="53"/>
      <c r="F52" s="53" t="s">
        <v>115</v>
      </c>
      <c r="G52" s="53"/>
      <c r="H52" s="57" t="str">
        <f t="shared" si="2"/>
        <v>3#1#2350|3#3#117|3#4#235|3#5#117|3#6#235|3#7#117|3#6#235|3#8#235|3#9#58|3#10#117|3#11#58|3#12#117</v>
      </c>
      <c r="I52" s="56"/>
      <c r="J52" s="53"/>
      <c r="K52" s="22">
        <v>47</v>
      </c>
      <c r="L52" s="22"/>
      <c r="M52" s="22"/>
      <c r="N52" s="97">
        <f t="shared" si="8"/>
        <v>2350</v>
      </c>
      <c r="O52" s="97"/>
      <c r="P52" s="97">
        <f t="shared" si="9"/>
        <v>117</v>
      </c>
      <c r="Q52" s="97">
        <f t="shared" si="10"/>
        <v>235</v>
      </c>
      <c r="R52" s="97">
        <f t="shared" si="11"/>
        <v>117</v>
      </c>
      <c r="S52" s="97">
        <f t="shared" si="12"/>
        <v>235</v>
      </c>
      <c r="T52" s="97">
        <f t="shared" si="13"/>
        <v>117</v>
      </c>
      <c r="U52" s="97">
        <f t="shared" si="14"/>
        <v>235</v>
      </c>
      <c r="V52" s="97">
        <f t="shared" si="15"/>
        <v>58</v>
      </c>
      <c r="W52" s="97">
        <f t="shared" si="16"/>
        <v>117</v>
      </c>
      <c r="X52" s="97">
        <f t="shared" si="17"/>
        <v>58</v>
      </c>
      <c r="Y52" s="97">
        <f t="shared" si="18"/>
        <v>117</v>
      </c>
      <c r="Z52" s="8">
        <f>N52*属性价值参考!C$5+官印!P52*属性价值参考!C$7+官印!Q52*属性价值参考!C$8+官印!V52*属性价值参考!C$9+官印!W52*属性价值参考!C$10+官印!X52*属性价值参考!C$11+官印!Y52*属性价值参考!C$12</f>
        <v>32578.800000000003</v>
      </c>
      <c r="AA52" s="8">
        <f t="shared" si="0"/>
        <v>5429800.0000000009</v>
      </c>
      <c r="AB52" s="8">
        <f t="shared" si="1"/>
        <v>54298.000000000007</v>
      </c>
      <c r="AC52" s="8"/>
      <c r="AD52" s="8"/>
    </row>
    <row r="53" spans="1:30" ht="16.5" x14ac:dyDescent="0.3">
      <c r="A53" s="53" t="s">
        <v>29</v>
      </c>
      <c r="B53" s="53" t="s">
        <v>30</v>
      </c>
      <c r="C53" s="54" t="s">
        <v>118</v>
      </c>
      <c r="D53" s="53">
        <v>1</v>
      </c>
      <c r="E53" s="53"/>
      <c r="F53" s="53" t="s">
        <v>119</v>
      </c>
      <c r="G53" s="53"/>
      <c r="H53" s="57" t="str">
        <f t="shared" si="2"/>
        <v>3#1#2400|3#3#120|3#4#240|3#5#120|3#6#240|3#7#120|3#6#240|3#8#240|3#9#60|3#10#120|3#11#60|3#12#120</v>
      </c>
      <c r="I53" s="56" t="str">
        <f t="shared" si="4"/>
        <v>元宝4109900/声望41100</v>
      </c>
      <c r="J53" s="53"/>
      <c r="K53" s="22">
        <v>48</v>
      </c>
      <c r="L53" s="22">
        <v>6</v>
      </c>
      <c r="M53" s="22">
        <f>材料产出!C$19</f>
        <v>3.7</v>
      </c>
      <c r="N53" s="97">
        <f t="shared" si="8"/>
        <v>2400</v>
      </c>
      <c r="O53" s="97"/>
      <c r="P53" s="97">
        <f t="shared" si="9"/>
        <v>120</v>
      </c>
      <c r="Q53" s="97">
        <f t="shared" si="10"/>
        <v>240</v>
      </c>
      <c r="R53" s="97">
        <f t="shared" si="11"/>
        <v>120</v>
      </c>
      <c r="S53" s="97">
        <f t="shared" si="12"/>
        <v>240</v>
      </c>
      <c r="T53" s="97">
        <f t="shared" si="13"/>
        <v>120</v>
      </c>
      <c r="U53" s="97">
        <f t="shared" si="14"/>
        <v>240</v>
      </c>
      <c r="V53" s="97">
        <f t="shared" si="15"/>
        <v>60</v>
      </c>
      <c r="W53" s="97">
        <f t="shared" si="16"/>
        <v>120</v>
      </c>
      <c r="X53" s="97">
        <f t="shared" si="17"/>
        <v>60</v>
      </c>
      <c r="Y53" s="97">
        <f t="shared" si="18"/>
        <v>120</v>
      </c>
      <c r="Z53" s="8">
        <f>N53*属性价值参考!C$5+官印!P53*属性价值参考!C$7+官印!Q53*属性价值参考!C$8+官印!V53*属性价值参考!C$9+官印!W53*属性价值参考!C$10+官印!X53*属性价值参考!C$11+官印!Y53*属性价值参考!C$12</f>
        <v>33336</v>
      </c>
      <c r="AA53" s="8">
        <f t="shared" si="0"/>
        <v>5556000</v>
      </c>
      <c r="AB53" s="8">
        <f t="shared" si="1"/>
        <v>55560</v>
      </c>
      <c r="AC53" s="8">
        <f>ROUND($AA$105/材料产出!$K$31*SUM(材料产出!$K$19:$K$21)/100,0)*100</f>
        <v>4109900</v>
      </c>
      <c r="AD53" s="8">
        <f>ROUND($AB$105/材料产出!$Q$31*SUM(材料产出!$P$19:$P$21)/10,0)*10</f>
        <v>41100</v>
      </c>
    </row>
    <row r="54" spans="1:30" ht="16.5" x14ac:dyDescent="0.3">
      <c r="A54" s="53" t="s">
        <v>29</v>
      </c>
      <c r="B54" s="53" t="s">
        <v>30</v>
      </c>
      <c r="C54" s="54" t="s">
        <v>120</v>
      </c>
      <c r="D54" s="53">
        <v>2</v>
      </c>
      <c r="E54" s="53"/>
      <c r="F54" s="53" t="s">
        <v>119</v>
      </c>
      <c r="G54" s="53"/>
      <c r="H54" s="57" t="str">
        <f t="shared" si="2"/>
        <v>3#1#2450|3#3#122|3#4#245|3#5#122|3#6#245|3#7#122|3#6#245|3#8#245|3#9#61|3#10#122|3#11#61|3#12#122</v>
      </c>
      <c r="I54" s="56" t="str">
        <f t="shared" si="4"/>
        <v>元宝4109900/声望41100</v>
      </c>
      <c r="J54" s="53"/>
      <c r="K54" s="22">
        <v>49</v>
      </c>
      <c r="L54" s="22">
        <v>6</v>
      </c>
      <c r="M54" s="22">
        <f>材料产出!C$19</f>
        <v>3.7</v>
      </c>
      <c r="N54" s="97">
        <f t="shared" si="8"/>
        <v>2450</v>
      </c>
      <c r="O54" s="97"/>
      <c r="P54" s="97">
        <f t="shared" si="9"/>
        <v>122</v>
      </c>
      <c r="Q54" s="97">
        <f t="shared" si="10"/>
        <v>245</v>
      </c>
      <c r="R54" s="97">
        <f t="shared" si="11"/>
        <v>122</v>
      </c>
      <c r="S54" s="97">
        <f t="shared" si="12"/>
        <v>245</v>
      </c>
      <c r="T54" s="97">
        <f t="shared" si="13"/>
        <v>122</v>
      </c>
      <c r="U54" s="97">
        <f t="shared" si="14"/>
        <v>245</v>
      </c>
      <c r="V54" s="97">
        <f t="shared" si="15"/>
        <v>61</v>
      </c>
      <c r="W54" s="97">
        <f t="shared" si="16"/>
        <v>122</v>
      </c>
      <c r="X54" s="97">
        <f t="shared" si="17"/>
        <v>61</v>
      </c>
      <c r="Y54" s="97">
        <f t="shared" si="18"/>
        <v>122</v>
      </c>
      <c r="Z54" s="8">
        <f>N54*属性价值参考!C$5+官印!P54*属性价值参考!C$7+官印!Q54*属性价值参考!C$8+官印!V54*属性价值参考!C$9+官印!W54*属性价值参考!C$10+官印!X54*属性价值参考!C$11+官印!Y54*属性价值参考!C$12</f>
        <v>33981.600000000006</v>
      </c>
      <c r="AA54" s="8">
        <f t="shared" si="0"/>
        <v>5663600.0000000019</v>
      </c>
      <c r="AB54" s="8">
        <f t="shared" si="1"/>
        <v>56636.000000000015</v>
      </c>
      <c r="AC54" s="8">
        <f>ROUND($AA$105/材料产出!$K$31*SUM(材料产出!$K$19:$K$21)/100,0)*100</f>
        <v>4109900</v>
      </c>
      <c r="AD54" s="8">
        <f>ROUND($AB$105/材料产出!$Q$31*SUM(材料产出!$P$19:$P$21)/10,0)*10</f>
        <v>41100</v>
      </c>
    </row>
    <row r="55" spans="1:30" ht="16.5" x14ac:dyDescent="0.3">
      <c r="A55" s="53" t="s">
        <v>29</v>
      </c>
      <c r="B55" s="53" t="s">
        <v>30</v>
      </c>
      <c r="C55" s="54" t="s">
        <v>118</v>
      </c>
      <c r="D55" s="53">
        <v>3</v>
      </c>
      <c r="E55" s="53"/>
      <c r="F55" s="53" t="s">
        <v>119</v>
      </c>
      <c r="G55" s="53"/>
      <c r="H55" s="57" t="str">
        <f t="shared" si="2"/>
        <v>3#1#2500|3#3#125|3#4#250|3#5#125|3#6#250|3#7#125|3#6#250|3#8#250|3#9#62|3#10#125|3#11#62|3#12#125</v>
      </c>
      <c r="I55" s="56" t="str">
        <f t="shared" si="4"/>
        <v>元宝4109900/声望41100</v>
      </c>
      <c r="J55" s="53"/>
      <c r="K55" s="22">
        <v>50</v>
      </c>
      <c r="L55" s="22">
        <v>6</v>
      </c>
      <c r="M55" s="22">
        <f>材料产出!C$19</f>
        <v>3.7</v>
      </c>
      <c r="N55" s="97">
        <f t="shared" si="8"/>
        <v>2500</v>
      </c>
      <c r="O55" s="97"/>
      <c r="P55" s="97">
        <f t="shared" si="9"/>
        <v>125</v>
      </c>
      <c r="Q55" s="97">
        <f t="shared" si="10"/>
        <v>250</v>
      </c>
      <c r="R55" s="97">
        <f t="shared" si="11"/>
        <v>125</v>
      </c>
      <c r="S55" s="97">
        <f t="shared" si="12"/>
        <v>250</v>
      </c>
      <c r="T55" s="97">
        <f t="shared" si="13"/>
        <v>125</v>
      </c>
      <c r="U55" s="97">
        <f t="shared" si="14"/>
        <v>250</v>
      </c>
      <c r="V55" s="97">
        <f t="shared" si="15"/>
        <v>62</v>
      </c>
      <c r="W55" s="97">
        <f t="shared" si="16"/>
        <v>125</v>
      </c>
      <c r="X55" s="97">
        <f t="shared" si="17"/>
        <v>62</v>
      </c>
      <c r="Y55" s="97">
        <f t="shared" si="18"/>
        <v>125</v>
      </c>
      <c r="Z55" s="8">
        <f>N55*属性价值参考!C$5+官印!P55*属性价值参考!C$7+官印!Q55*属性价值参考!C$8+官印!V55*属性价值参考!C$9+官印!W55*属性价值参考!C$10+官印!X55*属性价值参考!C$11+官印!Y55*属性价值参考!C$12</f>
        <v>34711.199999999997</v>
      </c>
      <c r="AA55" s="8">
        <f t="shared" si="0"/>
        <v>5785200</v>
      </c>
      <c r="AB55" s="8">
        <f t="shared" si="1"/>
        <v>57852</v>
      </c>
      <c r="AC55" s="8">
        <f>ROUND($AA$105/材料产出!$K$31*SUM(材料产出!$K$19:$K$21)/100,0)*100</f>
        <v>4109900</v>
      </c>
      <c r="AD55" s="8">
        <f>ROUND($AB$105/材料产出!$Q$31*SUM(材料产出!$P$19:$P$21)/10,0)*10</f>
        <v>41100</v>
      </c>
    </row>
    <row r="56" spans="1:30" ht="16.5" x14ac:dyDescent="0.3">
      <c r="A56" s="53" t="s">
        <v>29</v>
      </c>
      <c r="B56" s="53" t="s">
        <v>30</v>
      </c>
      <c r="C56" s="54" t="s">
        <v>118</v>
      </c>
      <c r="D56" s="53">
        <v>4</v>
      </c>
      <c r="E56" s="53"/>
      <c r="F56" s="53" t="s">
        <v>119</v>
      </c>
      <c r="G56" s="53"/>
      <c r="H56" s="57" t="str">
        <f t="shared" si="2"/>
        <v>3#1#2550|3#3#127|3#4#255|3#5#127|3#6#255|3#7#127|3#6#255|3#8#255|3#9#63|3#10#127|3#11#63|3#12#127</v>
      </c>
      <c r="I56" s="56" t="str">
        <f t="shared" si="4"/>
        <v>元宝4109900/声望41100</v>
      </c>
      <c r="J56" s="53"/>
      <c r="K56" s="22">
        <v>51</v>
      </c>
      <c r="L56" s="22">
        <v>6</v>
      </c>
      <c r="M56" s="22">
        <f>材料产出!C$19</f>
        <v>3.7</v>
      </c>
      <c r="N56" s="97">
        <f t="shared" si="8"/>
        <v>2550</v>
      </c>
      <c r="O56" s="97"/>
      <c r="P56" s="97">
        <f t="shared" si="9"/>
        <v>127</v>
      </c>
      <c r="Q56" s="97">
        <f t="shared" si="10"/>
        <v>255</v>
      </c>
      <c r="R56" s="97">
        <f t="shared" si="11"/>
        <v>127</v>
      </c>
      <c r="S56" s="97">
        <f t="shared" si="12"/>
        <v>255</v>
      </c>
      <c r="T56" s="97">
        <f t="shared" si="13"/>
        <v>127</v>
      </c>
      <c r="U56" s="97">
        <f t="shared" si="14"/>
        <v>255</v>
      </c>
      <c r="V56" s="97">
        <f t="shared" si="15"/>
        <v>63</v>
      </c>
      <c r="W56" s="97">
        <f t="shared" si="16"/>
        <v>127</v>
      </c>
      <c r="X56" s="97">
        <f t="shared" si="17"/>
        <v>63</v>
      </c>
      <c r="Y56" s="97">
        <f t="shared" si="18"/>
        <v>127</v>
      </c>
      <c r="Z56" s="8">
        <f>N56*属性价值参考!C$5+官印!P56*属性价值参考!C$7+官印!Q56*属性价值参考!C$8+官印!V56*属性价值参考!C$9+官印!W56*属性价值参考!C$10+官印!X56*属性价值参考!C$11+官印!Y56*属性价值参考!C$12</f>
        <v>35356.800000000003</v>
      </c>
      <c r="AA56" s="8">
        <f t="shared" si="0"/>
        <v>5892800.0000000009</v>
      </c>
      <c r="AB56" s="8">
        <f t="shared" si="1"/>
        <v>58928.000000000007</v>
      </c>
      <c r="AC56" s="8">
        <f>ROUND($AA$105/材料产出!$K$31*SUM(材料产出!$K$19:$K$21)/100,0)*100</f>
        <v>4109900</v>
      </c>
      <c r="AD56" s="8">
        <f>ROUND($AB$105/材料产出!$Q$31*SUM(材料产出!$P$19:$P$21)/10,0)*10</f>
        <v>41100</v>
      </c>
    </row>
    <row r="57" spans="1:30" ht="16.5" x14ac:dyDescent="0.3">
      <c r="A57" s="53" t="s">
        <v>29</v>
      </c>
      <c r="B57" s="53" t="s">
        <v>30</v>
      </c>
      <c r="C57" s="54" t="s">
        <v>118</v>
      </c>
      <c r="D57" s="53">
        <v>5</v>
      </c>
      <c r="E57" s="53"/>
      <c r="F57" s="53" t="s">
        <v>119</v>
      </c>
      <c r="G57" s="53"/>
      <c r="H57" s="57" t="str">
        <f t="shared" si="2"/>
        <v>3#1#2600|3#3#130|3#4#260|3#5#130|3#6#260|3#7#130|3#6#260|3#8#260|3#9#65|3#10#130|3#11#65|3#12#130</v>
      </c>
      <c r="I57" s="56" t="str">
        <f t="shared" si="4"/>
        <v>元宝4109900/声望41100</v>
      </c>
      <c r="J57" s="53"/>
      <c r="K57" s="22">
        <v>52</v>
      </c>
      <c r="L57" s="22">
        <v>6</v>
      </c>
      <c r="M57" s="22">
        <f>材料产出!C$19</f>
        <v>3.7</v>
      </c>
      <c r="N57" s="97">
        <f t="shared" si="8"/>
        <v>2600</v>
      </c>
      <c r="O57" s="97"/>
      <c r="P57" s="97">
        <f t="shared" si="9"/>
        <v>130</v>
      </c>
      <c r="Q57" s="97">
        <f t="shared" si="10"/>
        <v>260</v>
      </c>
      <c r="R57" s="97">
        <f t="shared" si="11"/>
        <v>130</v>
      </c>
      <c r="S57" s="97">
        <f t="shared" si="12"/>
        <v>260</v>
      </c>
      <c r="T57" s="97">
        <f t="shared" si="13"/>
        <v>130</v>
      </c>
      <c r="U57" s="97">
        <f t="shared" si="14"/>
        <v>260</v>
      </c>
      <c r="V57" s="97">
        <f t="shared" si="15"/>
        <v>65</v>
      </c>
      <c r="W57" s="97">
        <f t="shared" si="16"/>
        <v>130</v>
      </c>
      <c r="X57" s="97">
        <f t="shared" si="17"/>
        <v>65</v>
      </c>
      <c r="Y57" s="97">
        <f t="shared" si="18"/>
        <v>130</v>
      </c>
      <c r="Z57" s="8">
        <f>N57*属性价值参考!C$5+官印!P57*属性价值参考!C$7+官印!Q57*属性价值参考!C$8+官印!V57*属性价值参考!C$9+官印!W57*属性价值参考!C$10+官印!X57*属性价值参考!C$11+官印!Y57*属性价值参考!C$12</f>
        <v>36114</v>
      </c>
      <c r="AA57" s="8">
        <f t="shared" si="0"/>
        <v>6019000</v>
      </c>
      <c r="AB57" s="8">
        <f t="shared" si="1"/>
        <v>60190</v>
      </c>
      <c r="AC57" s="8">
        <f>ROUND($AA$105/材料产出!$K$31*SUM(材料产出!$K$19:$K$21)/100,0)*100</f>
        <v>4109900</v>
      </c>
      <c r="AD57" s="8">
        <f>ROUND($AB$105/材料产出!$Q$31*SUM(材料产出!$P$19:$P$21)/10,0)*10</f>
        <v>41100</v>
      </c>
    </row>
    <row r="58" spans="1:30" ht="16.5" x14ac:dyDescent="0.3">
      <c r="A58" s="53" t="s">
        <v>29</v>
      </c>
      <c r="B58" s="53" t="s">
        <v>30</v>
      </c>
      <c r="C58" s="54" t="s">
        <v>118</v>
      </c>
      <c r="D58" s="53">
        <v>6</v>
      </c>
      <c r="E58" s="53"/>
      <c r="F58" s="53" t="s">
        <v>119</v>
      </c>
      <c r="G58" s="53"/>
      <c r="H58" s="57" t="str">
        <f t="shared" si="2"/>
        <v>3#1#2650|3#3#132|3#4#265|3#5#132|3#6#265|3#7#132|3#6#265|3#8#265|3#9#66|3#10#132|3#11#66|3#12#132</v>
      </c>
      <c r="I58" s="56" t="str">
        <f t="shared" si="4"/>
        <v>元宝4109900/声望41100</v>
      </c>
      <c r="J58" s="53"/>
      <c r="K58" s="22">
        <v>53</v>
      </c>
      <c r="L58" s="22">
        <v>6</v>
      </c>
      <c r="M58" s="22">
        <f>材料产出!C$19</f>
        <v>3.7</v>
      </c>
      <c r="N58" s="97">
        <f t="shared" si="8"/>
        <v>2650</v>
      </c>
      <c r="O58" s="97"/>
      <c r="P58" s="97">
        <f t="shared" si="9"/>
        <v>132</v>
      </c>
      <c r="Q58" s="97">
        <f t="shared" si="10"/>
        <v>265</v>
      </c>
      <c r="R58" s="97">
        <f t="shared" si="11"/>
        <v>132</v>
      </c>
      <c r="S58" s="97">
        <f t="shared" si="12"/>
        <v>265</v>
      </c>
      <c r="T58" s="97">
        <f t="shared" si="13"/>
        <v>132</v>
      </c>
      <c r="U58" s="97">
        <f t="shared" si="14"/>
        <v>265</v>
      </c>
      <c r="V58" s="97">
        <f t="shared" si="15"/>
        <v>66</v>
      </c>
      <c r="W58" s="97">
        <f t="shared" si="16"/>
        <v>132</v>
      </c>
      <c r="X58" s="97">
        <f t="shared" si="17"/>
        <v>66</v>
      </c>
      <c r="Y58" s="97">
        <f t="shared" si="18"/>
        <v>132</v>
      </c>
      <c r="Z58" s="8">
        <f>N58*属性价值参考!C$5+官印!P58*属性价值参考!C$7+官印!Q58*属性价值参考!C$8+官印!V58*属性价值参考!C$9+官印!W58*属性价值参考!C$10+官印!X58*属性价值参考!C$11+官印!Y58*属性价值参考!C$12</f>
        <v>36759.599999999999</v>
      </c>
      <c r="AA58" s="8">
        <f t="shared" si="0"/>
        <v>6126600</v>
      </c>
      <c r="AB58" s="8">
        <f t="shared" si="1"/>
        <v>61266</v>
      </c>
      <c r="AC58" s="8">
        <f>ROUND($AA$105/材料产出!$K$31*SUM(材料产出!$K$19:$K$21)/100,0)*100</f>
        <v>4109900</v>
      </c>
      <c r="AD58" s="8">
        <f>ROUND($AB$105/材料产出!$Q$31*SUM(材料产出!$P$19:$P$21)/10,0)*10</f>
        <v>41100</v>
      </c>
    </row>
    <row r="59" spans="1:30" ht="16.5" x14ac:dyDescent="0.3">
      <c r="A59" s="53" t="s">
        <v>29</v>
      </c>
      <c r="B59" s="53" t="s">
        <v>30</v>
      </c>
      <c r="C59" s="54" t="s">
        <v>118</v>
      </c>
      <c r="D59" s="53">
        <v>7</v>
      </c>
      <c r="E59" s="53"/>
      <c r="F59" s="53" t="s">
        <v>119</v>
      </c>
      <c r="G59" s="53"/>
      <c r="H59" s="57" t="str">
        <f t="shared" si="2"/>
        <v>3#1#2700|3#3#135|3#4#270|3#5#135|3#6#270|3#7#135|3#6#270|3#8#270|3#9#67|3#10#135|3#11#67|3#12#135</v>
      </c>
      <c r="I59" s="56" t="str">
        <f t="shared" si="4"/>
        <v>元宝4109900/声望41100</v>
      </c>
      <c r="J59" s="53"/>
      <c r="K59" s="22">
        <v>54</v>
      </c>
      <c r="L59" s="22">
        <v>6</v>
      </c>
      <c r="M59" s="22">
        <f>材料产出!C$19</f>
        <v>3.7</v>
      </c>
      <c r="N59" s="97">
        <f t="shared" si="8"/>
        <v>2700</v>
      </c>
      <c r="O59" s="97"/>
      <c r="P59" s="97">
        <f t="shared" si="9"/>
        <v>135</v>
      </c>
      <c r="Q59" s="97">
        <f t="shared" si="10"/>
        <v>270</v>
      </c>
      <c r="R59" s="97">
        <f t="shared" si="11"/>
        <v>135</v>
      </c>
      <c r="S59" s="97">
        <f t="shared" si="12"/>
        <v>270</v>
      </c>
      <c r="T59" s="97">
        <f t="shared" si="13"/>
        <v>135</v>
      </c>
      <c r="U59" s="97">
        <f t="shared" si="14"/>
        <v>270</v>
      </c>
      <c r="V59" s="97">
        <f t="shared" si="15"/>
        <v>67</v>
      </c>
      <c r="W59" s="97">
        <f t="shared" si="16"/>
        <v>135</v>
      </c>
      <c r="X59" s="97">
        <f t="shared" si="17"/>
        <v>67</v>
      </c>
      <c r="Y59" s="97">
        <f t="shared" si="18"/>
        <v>135</v>
      </c>
      <c r="Z59" s="8">
        <f>N59*属性价值参考!C$5+官印!P59*属性价值参考!C$7+官印!Q59*属性价值参考!C$8+官印!V59*属性价值参考!C$9+官印!W59*属性价值参考!C$10+官印!X59*属性价值参考!C$11+官印!Y59*属性价值参考!C$12</f>
        <v>37489.200000000004</v>
      </c>
      <c r="AA59" s="8">
        <f t="shared" si="0"/>
        <v>6248200.0000000009</v>
      </c>
      <c r="AB59" s="8">
        <f t="shared" si="1"/>
        <v>62482.000000000007</v>
      </c>
      <c r="AC59" s="8">
        <f>ROUND($AA$105/材料产出!$K$31*SUM(材料产出!$K$19:$K$21)/100,0)*100</f>
        <v>4109900</v>
      </c>
      <c r="AD59" s="8">
        <f>ROUND($AB$105/材料产出!$Q$31*SUM(材料产出!$P$19:$P$21)/10,0)*10</f>
        <v>41100</v>
      </c>
    </row>
    <row r="60" spans="1:30" ht="16.5" x14ac:dyDescent="0.3">
      <c r="A60" s="53" t="s">
        <v>29</v>
      </c>
      <c r="B60" s="53" t="s">
        <v>30</v>
      </c>
      <c r="C60" s="54" t="s">
        <v>118</v>
      </c>
      <c r="D60" s="53">
        <v>8</v>
      </c>
      <c r="E60" s="53"/>
      <c r="F60" s="53" t="s">
        <v>119</v>
      </c>
      <c r="G60" s="53"/>
      <c r="H60" s="57" t="str">
        <f t="shared" si="2"/>
        <v>3#1#2750|3#3#137|3#4#275|3#5#137|3#6#275|3#7#137|3#6#275|3#8#275|3#9#68|3#10#137|3#11#68|3#12#137</v>
      </c>
      <c r="I60" s="56" t="str">
        <f t="shared" si="4"/>
        <v>元宝4109900/声望41100</v>
      </c>
      <c r="J60" s="53"/>
      <c r="K60" s="22">
        <v>55</v>
      </c>
      <c r="L60" s="22">
        <v>6</v>
      </c>
      <c r="M60" s="22">
        <f>材料产出!C$19</f>
        <v>3.7</v>
      </c>
      <c r="N60" s="97">
        <f t="shared" si="8"/>
        <v>2750</v>
      </c>
      <c r="O60" s="97"/>
      <c r="P60" s="97">
        <f t="shared" si="9"/>
        <v>137</v>
      </c>
      <c r="Q60" s="97">
        <f t="shared" si="10"/>
        <v>275</v>
      </c>
      <c r="R60" s="97">
        <f t="shared" si="11"/>
        <v>137</v>
      </c>
      <c r="S60" s="97">
        <f t="shared" si="12"/>
        <v>275</v>
      </c>
      <c r="T60" s="97">
        <f t="shared" si="13"/>
        <v>137</v>
      </c>
      <c r="U60" s="97">
        <f t="shared" si="14"/>
        <v>275</v>
      </c>
      <c r="V60" s="97">
        <f t="shared" si="15"/>
        <v>68</v>
      </c>
      <c r="W60" s="97">
        <f t="shared" si="16"/>
        <v>137</v>
      </c>
      <c r="X60" s="97">
        <f t="shared" si="17"/>
        <v>68</v>
      </c>
      <c r="Y60" s="97">
        <f t="shared" si="18"/>
        <v>137</v>
      </c>
      <c r="Z60" s="8">
        <f>N60*属性价值参考!C$5+官印!P60*属性价值参考!C$7+官印!Q60*属性价值参考!C$8+官印!V60*属性价值参考!C$9+官印!W60*属性价值参考!C$10+官印!X60*属性价值参考!C$11+官印!Y60*属性价值参考!C$12</f>
        <v>38134.799999999996</v>
      </c>
      <c r="AA60" s="8">
        <f t="shared" si="0"/>
        <v>6355799.9999999991</v>
      </c>
      <c r="AB60" s="8">
        <f t="shared" si="1"/>
        <v>63557.999999999993</v>
      </c>
      <c r="AC60" s="8">
        <f>ROUND($AA$105/材料产出!$K$31*SUM(材料产出!$K$19:$K$21)/100,0)*100</f>
        <v>4109900</v>
      </c>
      <c r="AD60" s="8">
        <f>ROUND($AB$105/材料产出!$Q$31*SUM(材料产出!$P$19:$P$21)/10,0)*10</f>
        <v>41100</v>
      </c>
    </row>
    <row r="61" spans="1:30" ht="16.5" x14ac:dyDescent="0.3">
      <c r="A61" s="53" t="s">
        <v>29</v>
      </c>
      <c r="B61" s="53" t="s">
        <v>30</v>
      </c>
      <c r="C61" s="54" t="s">
        <v>118</v>
      </c>
      <c r="D61" s="53">
        <v>9</v>
      </c>
      <c r="E61" s="53"/>
      <c r="F61" s="53" t="s">
        <v>119</v>
      </c>
      <c r="G61" s="53"/>
      <c r="H61" s="57" t="str">
        <f t="shared" si="2"/>
        <v>3#1#2800|3#3#140|3#4#280|3#5#140|3#6#280|3#7#140|3#6#280|3#8#280|3#9#70|3#10#140|3#11#70|3#12#140</v>
      </c>
      <c r="I61" s="56" t="str">
        <f t="shared" si="4"/>
        <v>元宝4109900/声望41100</v>
      </c>
      <c r="J61" s="53"/>
      <c r="K61" s="22">
        <v>56</v>
      </c>
      <c r="L61" s="22">
        <v>6</v>
      </c>
      <c r="M61" s="22">
        <f>材料产出!C$19</f>
        <v>3.7</v>
      </c>
      <c r="N61" s="97">
        <f t="shared" si="8"/>
        <v>2800</v>
      </c>
      <c r="O61" s="97"/>
      <c r="P61" s="97">
        <f t="shared" si="9"/>
        <v>140</v>
      </c>
      <c r="Q61" s="97">
        <f t="shared" si="10"/>
        <v>280</v>
      </c>
      <c r="R61" s="97">
        <f t="shared" si="11"/>
        <v>140</v>
      </c>
      <c r="S61" s="97">
        <f t="shared" si="12"/>
        <v>280</v>
      </c>
      <c r="T61" s="97">
        <f t="shared" si="13"/>
        <v>140</v>
      </c>
      <c r="U61" s="97">
        <f t="shared" si="14"/>
        <v>280</v>
      </c>
      <c r="V61" s="97">
        <f t="shared" si="15"/>
        <v>70</v>
      </c>
      <c r="W61" s="97">
        <f t="shared" si="16"/>
        <v>140</v>
      </c>
      <c r="X61" s="97">
        <f t="shared" si="17"/>
        <v>70</v>
      </c>
      <c r="Y61" s="97">
        <f t="shared" si="18"/>
        <v>140</v>
      </c>
      <c r="Z61" s="8">
        <f>N61*属性价值参考!C$5+官印!P61*属性价值参考!C$7+官印!Q61*属性价值参考!C$8+官印!V61*属性价值参考!C$9+官印!W61*属性价值参考!C$10+官印!X61*属性价值参考!C$11+官印!Y61*属性价值参考!C$12</f>
        <v>38892</v>
      </c>
      <c r="AA61" s="8">
        <f t="shared" si="0"/>
        <v>6482000</v>
      </c>
      <c r="AB61" s="8">
        <f t="shared" si="1"/>
        <v>64820</v>
      </c>
      <c r="AC61" s="8">
        <f>ROUND($AA$105/材料产出!$K$31*SUM(材料产出!$K$19:$K$21)/100,0)*100</f>
        <v>4109900</v>
      </c>
      <c r="AD61" s="8">
        <f>ROUND($AB$105/材料产出!$Q$31*SUM(材料产出!$P$19:$P$21)/10,0)*10</f>
        <v>41100</v>
      </c>
    </row>
    <row r="62" spans="1:30" ht="16.5" x14ac:dyDescent="0.3">
      <c r="A62" s="53" t="s">
        <v>29</v>
      </c>
      <c r="B62" s="53" t="s">
        <v>30</v>
      </c>
      <c r="C62" s="54" t="s">
        <v>117</v>
      </c>
      <c r="D62" s="53">
        <v>10</v>
      </c>
      <c r="E62" s="53"/>
      <c r="F62" s="53" t="s">
        <v>119</v>
      </c>
      <c r="G62" s="53"/>
      <c r="H62" s="57" t="str">
        <f t="shared" si="2"/>
        <v>3#1#2850|3#3#142|3#4#285|3#5#142|3#6#285|3#7#142|3#6#285|3#8#285|3#9#71|3#10#142|3#11#71|3#12#142</v>
      </c>
      <c r="I62" s="56"/>
      <c r="J62" s="53"/>
      <c r="K62" s="22">
        <v>57</v>
      </c>
      <c r="L62" s="22"/>
      <c r="M62" s="22"/>
      <c r="N62" s="97">
        <f t="shared" si="8"/>
        <v>2850</v>
      </c>
      <c r="O62" s="97"/>
      <c r="P62" s="97">
        <f t="shared" si="9"/>
        <v>142</v>
      </c>
      <c r="Q62" s="97">
        <f t="shared" si="10"/>
        <v>285</v>
      </c>
      <c r="R62" s="97">
        <f t="shared" si="11"/>
        <v>142</v>
      </c>
      <c r="S62" s="97">
        <f t="shared" si="12"/>
        <v>285</v>
      </c>
      <c r="T62" s="97">
        <f t="shared" si="13"/>
        <v>142</v>
      </c>
      <c r="U62" s="97">
        <f t="shared" si="14"/>
        <v>285</v>
      </c>
      <c r="V62" s="97">
        <f t="shared" si="15"/>
        <v>71</v>
      </c>
      <c r="W62" s="97">
        <f t="shared" si="16"/>
        <v>142</v>
      </c>
      <c r="X62" s="97">
        <f t="shared" si="17"/>
        <v>71</v>
      </c>
      <c r="Y62" s="97">
        <f t="shared" si="18"/>
        <v>142</v>
      </c>
      <c r="Z62" s="8">
        <f>N62*属性价值参考!C$5+官印!P62*属性价值参考!C$7+官印!Q62*属性价值参考!C$8+官印!V62*属性价值参考!C$9+官印!W62*属性价值参考!C$10+官印!X62*属性价值参考!C$11+官印!Y62*属性价值参考!C$12</f>
        <v>39537.599999999999</v>
      </c>
      <c r="AA62" s="8">
        <f t="shared" si="0"/>
        <v>6589600</v>
      </c>
      <c r="AB62" s="8">
        <f t="shared" si="1"/>
        <v>65896</v>
      </c>
      <c r="AC62" s="8"/>
      <c r="AD62" s="8"/>
    </row>
    <row r="63" spans="1:30" ht="16.5" x14ac:dyDescent="0.3">
      <c r="A63" s="53" t="s">
        <v>29</v>
      </c>
      <c r="B63" s="53" t="s">
        <v>30</v>
      </c>
      <c r="C63" s="54" t="s">
        <v>120</v>
      </c>
      <c r="D63" s="53">
        <v>10</v>
      </c>
      <c r="E63" s="53"/>
      <c r="F63" s="53" t="s">
        <v>92</v>
      </c>
      <c r="G63" s="53"/>
      <c r="H63" s="57" t="str">
        <f t="shared" si="2"/>
        <v>3#1#2900|3#3#145|3#4#290|3#5#145|3#6#290|3#7#145|3#6#290|3#8#290|3#9#72|3#10#145|3#11#72|3#12#145</v>
      </c>
      <c r="I63" s="56"/>
      <c r="J63" s="53"/>
      <c r="K63" s="22">
        <v>58</v>
      </c>
      <c r="L63" s="22"/>
      <c r="M63" s="22"/>
      <c r="N63" s="97">
        <f t="shared" si="8"/>
        <v>2900</v>
      </c>
      <c r="O63" s="97"/>
      <c r="P63" s="97">
        <f t="shared" si="9"/>
        <v>145</v>
      </c>
      <c r="Q63" s="97">
        <f t="shared" si="10"/>
        <v>290</v>
      </c>
      <c r="R63" s="97">
        <f t="shared" si="11"/>
        <v>145</v>
      </c>
      <c r="S63" s="97">
        <f t="shared" si="12"/>
        <v>290</v>
      </c>
      <c r="T63" s="97">
        <f t="shared" si="13"/>
        <v>145</v>
      </c>
      <c r="U63" s="97">
        <f t="shared" si="14"/>
        <v>290</v>
      </c>
      <c r="V63" s="97">
        <f t="shared" si="15"/>
        <v>72</v>
      </c>
      <c r="W63" s="97">
        <f t="shared" si="16"/>
        <v>145</v>
      </c>
      <c r="X63" s="97">
        <f t="shared" si="17"/>
        <v>72</v>
      </c>
      <c r="Y63" s="97">
        <f t="shared" si="18"/>
        <v>145</v>
      </c>
      <c r="Z63" s="8">
        <f>N63*属性价值参考!C$5+官印!P63*属性价值参考!C$7+官印!Q63*属性价值参考!C$8+官印!V63*属性价值参考!C$9+官印!W63*属性价值参考!C$10+官印!X63*属性价值参考!C$11+官印!Y63*属性价值参考!C$12</f>
        <v>40267.200000000004</v>
      </c>
      <c r="AA63" s="8">
        <f t="shared" si="0"/>
        <v>6711200.0000000019</v>
      </c>
      <c r="AB63" s="8">
        <f t="shared" si="1"/>
        <v>67112.000000000015</v>
      </c>
      <c r="AC63" s="8"/>
      <c r="AD63" s="8"/>
    </row>
    <row r="64" spans="1:30" ht="16.5" x14ac:dyDescent="0.3">
      <c r="A64" s="35" t="s">
        <v>29</v>
      </c>
      <c r="B64" s="35" t="s">
        <v>121</v>
      </c>
      <c r="C64" s="41" t="s">
        <v>122</v>
      </c>
      <c r="D64" s="35">
        <v>0</v>
      </c>
      <c r="E64" s="35"/>
      <c r="F64" s="35" t="s">
        <v>92</v>
      </c>
      <c r="G64" s="35"/>
      <c r="H64" s="61" t="str">
        <f t="shared" si="2"/>
        <v>3#1#2950|3#3#147|3#4#295|3#5#147|3#6#295|3#7#147|3#6#295|3#8#295|3#9#73|3#10#147|3#11#73|3#12#147</v>
      </c>
      <c r="I64" s="43"/>
      <c r="J64" s="35"/>
      <c r="K64" s="22">
        <v>59</v>
      </c>
      <c r="L64" s="22"/>
      <c r="M64" s="22"/>
      <c r="N64" s="97">
        <f t="shared" si="8"/>
        <v>2950</v>
      </c>
      <c r="O64" s="97"/>
      <c r="P64" s="97">
        <f t="shared" si="9"/>
        <v>147</v>
      </c>
      <c r="Q64" s="97">
        <f t="shared" si="10"/>
        <v>295</v>
      </c>
      <c r="R64" s="97">
        <f t="shared" si="11"/>
        <v>147</v>
      </c>
      <c r="S64" s="97">
        <f t="shared" si="12"/>
        <v>295</v>
      </c>
      <c r="T64" s="97">
        <f t="shared" si="13"/>
        <v>147</v>
      </c>
      <c r="U64" s="97">
        <f t="shared" si="14"/>
        <v>295</v>
      </c>
      <c r="V64" s="97">
        <f t="shared" si="15"/>
        <v>73</v>
      </c>
      <c r="W64" s="97">
        <f t="shared" si="16"/>
        <v>147</v>
      </c>
      <c r="X64" s="97">
        <f t="shared" si="17"/>
        <v>73</v>
      </c>
      <c r="Y64" s="97">
        <f t="shared" si="18"/>
        <v>147</v>
      </c>
      <c r="Z64" s="8">
        <f>N64*属性价值参考!C$5+官印!P64*属性价值参考!C$7+官印!Q64*属性价值参考!C$8+官印!V64*属性价值参考!C$9+官印!W64*属性价值参考!C$10+官印!X64*属性价值参考!C$11+官印!Y64*属性价值参考!C$12</f>
        <v>40912.799999999996</v>
      </c>
      <c r="AA64" s="8">
        <f t="shared" si="0"/>
        <v>6818800</v>
      </c>
      <c r="AB64" s="8">
        <f t="shared" si="1"/>
        <v>68188</v>
      </c>
      <c r="AC64" s="8"/>
      <c r="AD64" s="8"/>
    </row>
    <row r="65" spans="1:30" ht="16.5" x14ac:dyDescent="0.3">
      <c r="A65" s="35" t="s">
        <v>29</v>
      </c>
      <c r="B65" s="35" t="s">
        <v>121</v>
      </c>
      <c r="C65" s="41" t="s">
        <v>123</v>
      </c>
      <c r="D65" s="35">
        <v>1</v>
      </c>
      <c r="E65" s="35"/>
      <c r="F65" s="35" t="s">
        <v>94</v>
      </c>
      <c r="G65" s="35"/>
      <c r="H65" s="61" t="str">
        <f t="shared" si="2"/>
        <v>3#1#3000|3#3#150|3#4#300|3#5#150|3#6#300|3#7#150|3#6#300|3#8#300|3#9#75|3#10#150|3#11#75|3#12#150</v>
      </c>
      <c r="I65" s="43" t="str">
        <f t="shared" si="4"/>
        <v>元宝10345200/声望103450</v>
      </c>
      <c r="J65" s="35"/>
      <c r="K65" s="22">
        <v>60</v>
      </c>
      <c r="L65" s="22">
        <v>7</v>
      </c>
      <c r="M65" s="22">
        <f>材料产出!C$22</f>
        <v>4.5999999999999996</v>
      </c>
      <c r="N65" s="97">
        <f t="shared" si="8"/>
        <v>3000</v>
      </c>
      <c r="O65" s="97"/>
      <c r="P65" s="97">
        <f t="shared" si="9"/>
        <v>150</v>
      </c>
      <c r="Q65" s="97">
        <f t="shared" si="10"/>
        <v>300</v>
      </c>
      <c r="R65" s="97">
        <f t="shared" si="11"/>
        <v>150</v>
      </c>
      <c r="S65" s="97">
        <f t="shared" si="12"/>
        <v>300</v>
      </c>
      <c r="T65" s="97">
        <f t="shared" si="13"/>
        <v>150</v>
      </c>
      <c r="U65" s="97">
        <f t="shared" si="14"/>
        <v>300</v>
      </c>
      <c r="V65" s="97">
        <f t="shared" si="15"/>
        <v>75</v>
      </c>
      <c r="W65" s="97">
        <f t="shared" si="16"/>
        <v>150</v>
      </c>
      <c r="X65" s="97">
        <f t="shared" si="17"/>
        <v>75</v>
      </c>
      <c r="Y65" s="97">
        <f t="shared" si="18"/>
        <v>150</v>
      </c>
      <c r="Z65" s="8">
        <f>N65*属性价值参考!C$5+官印!P65*属性价值参考!C$7+官印!Q65*属性价值参考!C$8+官印!V65*属性价值参考!C$9+官印!W65*属性价值参考!C$10+官印!X65*属性价值参考!C$11+官印!Y65*属性价值参考!C$12</f>
        <v>41670</v>
      </c>
      <c r="AA65" s="8">
        <f t="shared" si="0"/>
        <v>6945000</v>
      </c>
      <c r="AB65" s="8">
        <f t="shared" si="1"/>
        <v>69450</v>
      </c>
      <c r="AC65" s="8">
        <f>ROUND($AA$105/材料产出!$K$31*SUM(材料产出!$K$22:$K$24)/100,0)*100</f>
        <v>10345200</v>
      </c>
      <c r="AD65" s="8">
        <f>ROUND($AB$105/材料产出!$Q$31*SUM(材料产出!$P$22:$P$24)/10,0)*10</f>
        <v>103450</v>
      </c>
    </row>
    <row r="66" spans="1:30" ht="16.5" x14ac:dyDescent="0.3">
      <c r="A66" s="35" t="s">
        <v>29</v>
      </c>
      <c r="B66" s="35" t="s">
        <v>121</v>
      </c>
      <c r="C66" s="41" t="s">
        <v>123</v>
      </c>
      <c r="D66" s="35">
        <v>2</v>
      </c>
      <c r="E66" s="35"/>
      <c r="F66" s="35" t="s">
        <v>94</v>
      </c>
      <c r="G66" s="35"/>
      <c r="H66" s="61" t="str">
        <f t="shared" si="2"/>
        <v>3#1#3050|3#3#152|3#4#305|3#5#152|3#6#305|3#7#152|3#6#305|3#8#305|3#9#76|3#10#152|3#11#76|3#12#152</v>
      </c>
      <c r="I66" s="43" t="str">
        <f t="shared" si="4"/>
        <v>元宝10345200/声望103450</v>
      </c>
      <c r="J66" s="35"/>
      <c r="K66" s="22">
        <v>61</v>
      </c>
      <c r="L66" s="22">
        <v>7</v>
      </c>
      <c r="M66" s="22">
        <f>材料产出!C$22</f>
        <v>4.5999999999999996</v>
      </c>
      <c r="N66" s="97">
        <f t="shared" si="8"/>
        <v>3050</v>
      </c>
      <c r="O66" s="97"/>
      <c r="P66" s="97">
        <f t="shared" si="9"/>
        <v>152</v>
      </c>
      <c r="Q66" s="97">
        <f t="shared" si="10"/>
        <v>305</v>
      </c>
      <c r="R66" s="97">
        <f t="shared" si="11"/>
        <v>152</v>
      </c>
      <c r="S66" s="97">
        <f t="shared" si="12"/>
        <v>305</v>
      </c>
      <c r="T66" s="97">
        <f t="shared" si="13"/>
        <v>152</v>
      </c>
      <c r="U66" s="97">
        <f t="shared" si="14"/>
        <v>305</v>
      </c>
      <c r="V66" s="97">
        <f t="shared" si="15"/>
        <v>76</v>
      </c>
      <c r="W66" s="97">
        <f t="shared" si="16"/>
        <v>152</v>
      </c>
      <c r="X66" s="97">
        <f t="shared" si="17"/>
        <v>76</v>
      </c>
      <c r="Y66" s="97">
        <f t="shared" si="18"/>
        <v>152</v>
      </c>
      <c r="Z66" s="8">
        <f>N66*属性价值参考!C$5+官印!P66*属性价值参考!C$7+官印!Q66*属性价值参考!C$8+官印!V66*属性价值参考!C$9+官印!W66*属性价值参考!C$10+官印!X66*属性价值参考!C$11+官印!Y66*属性价值参考!C$12</f>
        <v>42315.6</v>
      </c>
      <c r="AA66" s="8">
        <f t="shared" ref="AA66:AA104" si="19">Z66/0.6*100</f>
        <v>7052600</v>
      </c>
      <c r="AB66" s="8">
        <f t="shared" ref="AB66:AB104" si="20">Z66/0.6</f>
        <v>70526</v>
      </c>
      <c r="AC66" s="8">
        <f>ROUND($AA$105/材料产出!$K$31*SUM(材料产出!$K$22:$K$24)/100,0)*100</f>
        <v>10345200</v>
      </c>
      <c r="AD66" s="8">
        <f>ROUND($AB$105/材料产出!$Q$31*SUM(材料产出!$P$22:$P$24)/10,0)*10</f>
        <v>103450</v>
      </c>
    </row>
    <row r="67" spans="1:30" ht="16.5" x14ac:dyDescent="0.3">
      <c r="A67" s="35" t="s">
        <v>29</v>
      </c>
      <c r="B67" s="35" t="s">
        <v>121</v>
      </c>
      <c r="C67" s="41" t="s">
        <v>123</v>
      </c>
      <c r="D67" s="35">
        <v>3</v>
      </c>
      <c r="E67" s="35"/>
      <c r="F67" s="35" t="s">
        <v>94</v>
      </c>
      <c r="G67" s="35"/>
      <c r="H67" s="61" t="str">
        <f t="shared" ref="H67:H104" si="21">"3#1#"&amp;N67&amp;"|"&amp;"3#3#"&amp;P67&amp;"|"&amp;"3#4#"&amp;Q67&amp;"|"&amp;"3#5#"&amp;R67&amp;"|"&amp;"3#6#"&amp;S67&amp;"|"&amp;"3#7#"&amp;T67&amp;"|"&amp;"3#6#"&amp;S67&amp;"|"&amp;"3#8#"&amp;U67&amp;"|"&amp;"3#9#"&amp;V67&amp;"|"&amp;"3#10#"&amp;W67&amp;"|"&amp;"3#11#"&amp;X67&amp;"|"&amp;"3#12#"&amp;Y67</f>
        <v>3#1#3100|3#3#155|3#4#310|3#5#155|3#6#310|3#7#155|3#6#310|3#8#310|3#9#77|3#10#155|3#11#77|3#12#155</v>
      </c>
      <c r="I67" s="43" t="str">
        <f t="shared" si="4"/>
        <v>元宝10345200/声望103450</v>
      </c>
      <c r="J67" s="35"/>
      <c r="K67" s="22">
        <v>62</v>
      </c>
      <c r="L67" s="22">
        <v>7</v>
      </c>
      <c r="M67" s="22">
        <f>材料产出!C$22</f>
        <v>4.5999999999999996</v>
      </c>
      <c r="N67" s="97">
        <f t="shared" si="8"/>
        <v>3100</v>
      </c>
      <c r="O67" s="97"/>
      <c r="P67" s="97">
        <f t="shared" si="9"/>
        <v>155</v>
      </c>
      <c r="Q67" s="97">
        <f t="shared" si="10"/>
        <v>310</v>
      </c>
      <c r="R67" s="97">
        <f t="shared" si="11"/>
        <v>155</v>
      </c>
      <c r="S67" s="97">
        <f t="shared" si="12"/>
        <v>310</v>
      </c>
      <c r="T67" s="97">
        <f t="shared" si="13"/>
        <v>155</v>
      </c>
      <c r="U67" s="97">
        <f t="shared" si="14"/>
        <v>310</v>
      </c>
      <c r="V67" s="97">
        <f t="shared" si="15"/>
        <v>77</v>
      </c>
      <c r="W67" s="97">
        <f t="shared" si="16"/>
        <v>155</v>
      </c>
      <c r="X67" s="97">
        <f t="shared" si="17"/>
        <v>77</v>
      </c>
      <c r="Y67" s="97">
        <f t="shared" si="18"/>
        <v>155</v>
      </c>
      <c r="Z67" s="8">
        <f>N67*属性价值参考!C$5+官印!P67*属性价值参考!C$7+官印!Q67*属性价值参考!C$8+官印!V67*属性价值参考!C$9+官印!W67*属性价值参考!C$10+官印!X67*属性价值参考!C$11+官印!Y67*属性价值参考!C$12</f>
        <v>43045.200000000004</v>
      </c>
      <c r="AA67" s="8">
        <f t="shared" si="19"/>
        <v>7174200.0000000019</v>
      </c>
      <c r="AB67" s="8">
        <f t="shared" si="20"/>
        <v>71742.000000000015</v>
      </c>
      <c r="AC67" s="8">
        <f>ROUND($AA$105/材料产出!$K$31*SUM(材料产出!$K$22:$K$24)/100,0)*100</f>
        <v>10345200</v>
      </c>
      <c r="AD67" s="8">
        <f>ROUND($AB$105/材料产出!$Q$31*SUM(材料产出!$P$22:$P$24)/10,0)*10</f>
        <v>103450</v>
      </c>
    </row>
    <row r="68" spans="1:30" ht="16.5" x14ac:dyDescent="0.3">
      <c r="A68" s="35" t="s">
        <v>29</v>
      </c>
      <c r="B68" s="35" t="s">
        <v>121</v>
      </c>
      <c r="C68" s="41" t="s">
        <v>123</v>
      </c>
      <c r="D68" s="35">
        <v>4</v>
      </c>
      <c r="E68" s="35"/>
      <c r="F68" s="35" t="s">
        <v>94</v>
      </c>
      <c r="G68" s="35"/>
      <c r="H68" s="61" t="str">
        <f t="shared" si="21"/>
        <v>3#1#3150|3#3#157|3#4#315|3#5#157|3#6#315|3#7#157|3#6#315|3#8#315|3#9#78|3#10#157|3#11#78|3#12#157</v>
      </c>
      <c r="I68" s="43" t="str">
        <f t="shared" ref="I68:I103" si="22">"元宝"&amp;AC68&amp;"/声望"&amp;AD68</f>
        <v>元宝10345200/声望103450</v>
      </c>
      <c r="J68" s="35"/>
      <c r="K68" s="22">
        <v>63</v>
      </c>
      <c r="L68" s="22">
        <v>7</v>
      </c>
      <c r="M68" s="22">
        <f>材料产出!C$22</f>
        <v>4.5999999999999996</v>
      </c>
      <c r="N68" s="97">
        <f t="shared" si="8"/>
        <v>3150</v>
      </c>
      <c r="O68" s="97"/>
      <c r="P68" s="97">
        <f t="shared" si="9"/>
        <v>157</v>
      </c>
      <c r="Q68" s="97">
        <f t="shared" si="10"/>
        <v>315</v>
      </c>
      <c r="R68" s="97">
        <f t="shared" si="11"/>
        <v>157</v>
      </c>
      <c r="S68" s="97">
        <f t="shared" si="12"/>
        <v>315</v>
      </c>
      <c r="T68" s="97">
        <f t="shared" si="13"/>
        <v>157</v>
      </c>
      <c r="U68" s="97">
        <f t="shared" si="14"/>
        <v>315</v>
      </c>
      <c r="V68" s="97">
        <f t="shared" si="15"/>
        <v>78</v>
      </c>
      <c r="W68" s="97">
        <f t="shared" si="16"/>
        <v>157</v>
      </c>
      <c r="X68" s="97">
        <f t="shared" si="17"/>
        <v>78</v>
      </c>
      <c r="Y68" s="97">
        <f t="shared" si="18"/>
        <v>157</v>
      </c>
      <c r="Z68" s="8">
        <f>N68*属性价值参考!C$5+官印!P68*属性价值参考!C$7+官印!Q68*属性价值参考!C$8+官印!V68*属性价值参考!C$9+官印!W68*属性价值参考!C$10+官印!X68*属性价值参考!C$11+官印!Y68*属性价值参考!C$12</f>
        <v>43690.799999999996</v>
      </c>
      <c r="AA68" s="8">
        <f t="shared" si="19"/>
        <v>7281800</v>
      </c>
      <c r="AB68" s="8">
        <f t="shared" si="20"/>
        <v>72818</v>
      </c>
      <c r="AC68" s="8">
        <f>ROUND($AA$105/材料产出!$K$31*SUM(材料产出!$K$22:$K$24)/100,0)*100</f>
        <v>10345200</v>
      </c>
      <c r="AD68" s="8">
        <f>ROUND($AB$105/材料产出!$Q$31*SUM(材料产出!$P$22:$P$24)/10,0)*10</f>
        <v>103450</v>
      </c>
    </row>
    <row r="69" spans="1:30" ht="16.5" x14ac:dyDescent="0.3">
      <c r="A69" s="35" t="s">
        <v>29</v>
      </c>
      <c r="B69" s="35" t="s">
        <v>121</v>
      </c>
      <c r="C69" s="41" t="s">
        <v>123</v>
      </c>
      <c r="D69" s="35">
        <v>5</v>
      </c>
      <c r="E69" s="35"/>
      <c r="F69" s="35" t="s">
        <v>94</v>
      </c>
      <c r="G69" s="35"/>
      <c r="H69" s="61" t="str">
        <f t="shared" si="21"/>
        <v>3#1#3200|3#3#160|3#4#320|3#5#160|3#6#320|3#7#160|3#6#320|3#8#320|3#9#80|3#10#160|3#11#80|3#12#160</v>
      </c>
      <c r="I69" s="43" t="str">
        <f t="shared" si="22"/>
        <v>元宝10345200/声望103450</v>
      </c>
      <c r="J69" s="35"/>
      <c r="K69" s="22">
        <v>64</v>
      </c>
      <c r="L69" s="22">
        <v>7</v>
      </c>
      <c r="M69" s="22">
        <f>材料产出!C$22</f>
        <v>4.5999999999999996</v>
      </c>
      <c r="N69" s="97">
        <f t="shared" si="8"/>
        <v>3200</v>
      </c>
      <c r="O69" s="97"/>
      <c r="P69" s="97">
        <f t="shared" si="9"/>
        <v>160</v>
      </c>
      <c r="Q69" s="97">
        <f t="shared" si="10"/>
        <v>320</v>
      </c>
      <c r="R69" s="97">
        <f t="shared" si="11"/>
        <v>160</v>
      </c>
      <c r="S69" s="97">
        <f t="shared" si="12"/>
        <v>320</v>
      </c>
      <c r="T69" s="97">
        <f t="shared" si="13"/>
        <v>160</v>
      </c>
      <c r="U69" s="97">
        <f t="shared" si="14"/>
        <v>320</v>
      </c>
      <c r="V69" s="97">
        <f t="shared" si="15"/>
        <v>80</v>
      </c>
      <c r="W69" s="97">
        <f t="shared" si="16"/>
        <v>160</v>
      </c>
      <c r="X69" s="97">
        <f t="shared" si="17"/>
        <v>80</v>
      </c>
      <c r="Y69" s="97">
        <f t="shared" si="18"/>
        <v>160</v>
      </c>
      <c r="Z69" s="8">
        <f>N69*属性价值参考!C$5+官印!P69*属性价值参考!C$7+官印!Q69*属性价值参考!C$8+官印!V69*属性价值参考!C$9+官印!W69*属性价值参考!C$10+官印!X69*属性价值参考!C$11+官印!Y69*属性价值参考!C$12</f>
        <v>44448</v>
      </c>
      <c r="AA69" s="8">
        <f t="shared" si="19"/>
        <v>7408000</v>
      </c>
      <c r="AB69" s="8">
        <f t="shared" si="20"/>
        <v>74080</v>
      </c>
      <c r="AC69" s="8">
        <f>ROUND($AA$105/材料产出!$K$31*SUM(材料产出!$K$22:$K$24)/100,0)*100</f>
        <v>10345200</v>
      </c>
      <c r="AD69" s="8">
        <f>ROUND($AB$105/材料产出!$Q$31*SUM(材料产出!$P$22:$P$24)/10,0)*10</f>
        <v>103450</v>
      </c>
    </row>
    <row r="70" spans="1:30" ht="16.5" x14ac:dyDescent="0.3">
      <c r="A70" s="35" t="s">
        <v>29</v>
      </c>
      <c r="B70" s="35" t="s">
        <v>121</v>
      </c>
      <c r="C70" s="41" t="s">
        <v>123</v>
      </c>
      <c r="D70" s="35">
        <v>6</v>
      </c>
      <c r="E70" s="35"/>
      <c r="F70" s="35" t="s">
        <v>94</v>
      </c>
      <c r="G70" s="35"/>
      <c r="H70" s="61" t="str">
        <f t="shared" si="21"/>
        <v>3#1#3250|3#3#162|3#4#325|3#5#162|3#6#325|3#7#162|3#6#325|3#8#325|3#9#81|3#10#162|3#11#81|3#12#162</v>
      </c>
      <c r="I70" s="43" t="str">
        <f t="shared" si="22"/>
        <v>元宝10345200/声望103450</v>
      </c>
      <c r="J70" s="35"/>
      <c r="K70" s="22">
        <v>65</v>
      </c>
      <c r="L70" s="22">
        <v>7</v>
      </c>
      <c r="M70" s="22">
        <f>材料产出!C$22</f>
        <v>4.5999999999999996</v>
      </c>
      <c r="N70" s="97">
        <f t="shared" si="8"/>
        <v>3250</v>
      </c>
      <c r="O70" s="97"/>
      <c r="P70" s="97">
        <f t="shared" si="9"/>
        <v>162</v>
      </c>
      <c r="Q70" s="97">
        <f t="shared" si="10"/>
        <v>325</v>
      </c>
      <c r="R70" s="97">
        <f t="shared" si="11"/>
        <v>162</v>
      </c>
      <c r="S70" s="97">
        <f t="shared" si="12"/>
        <v>325</v>
      </c>
      <c r="T70" s="97">
        <f t="shared" si="13"/>
        <v>162</v>
      </c>
      <c r="U70" s="97">
        <f t="shared" si="14"/>
        <v>325</v>
      </c>
      <c r="V70" s="97">
        <f t="shared" si="15"/>
        <v>81</v>
      </c>
      <c r="W70" s="97">
        <f t="shared" si="16"/>
        <v>162</v>
      </c>
      <c r="X70" s="97">
        <f t="shared" si="17"/>
        <v>81</v>
      </c>
      <c r="Y70" s="97">
        <f t="shared" si="18"/>
        <v>162</v>
      </c>
      <c r="Z70" s="8">
        <f>N70*属性价值参考!C$5+官印!P70*属性价值参考!C$7+官印!Q70*属性价值参考!C$8+官印!V70*属性价值参考!C$9+官印!W70*属性价值参考!C$10+官印!X70*属性价值参考!C$11+官印!Y70*属性价值参考!C$12</f>
        <v>45093.599999999999</v>
      </c>
      <c r="AA70" s="8">
        <f t="shared" si="19"/>
        <v>7515600</v>
      </c>
      <c r="AB70" s="8">
        <f t="shared" si="20"/>
        <v>75156</v>
      </c>
      <c r="AC70" s="8">
        <f>ROUND($AA$105/材料产出!$K$31*SUM(材料产出!$K$22:$K$24)/100,0)*100</f>
        <v>10345200</v>
      </c>
      <c r="AD70" s="8">
        <f>ROUND($AB$105/材料产出!$Q$31*SUM(材料产出!$P$22:$P$24)/10,0)*10</f>
        <v>103450</v>
      </c>
    </row>
    <row r="71" spans="1:30" ht="16.5" x14ac:dyDescent="0.3">
      <c r="A71" s="35" t="s">
        <v>29</v>
      </c>
      <c r="B71" s="35" t="s">
        <v>121</v>
      </c>
      <c r="C71" s="41" t="s">
        <v>123</v>
      </c>
      <c r="D71" s="35">
        <v>7</v>
      </c>
      <c r="E71" s="35"/>
      <c r="F71" s="35" t="s">
        <v>94</v>
      </c>
      <c r="G71" s="35"/>
      <c r="H71" s="61" t="str">
        <f t="shared" si="21"/>
        <v>3#1#3300|3#3#165|3#4#330|3#5#165|3#6#330|3#7#165|3#6#330|3#8#330|3#9#82|3#10#165|3#11#82|3#12#165</v>
      </c>
      <c r="I71" s="43" t="str">
        <f t="shared" si="22"/>
        <v>元宝10345200/声望103450</v>
      </c>
      <c r="J71" s="35"/>
      <c r="K71" s="22">
        <v>66</v>
      </c>
      <c r="L71" s="22">
        <v>7</v>
      </c>
      <c r="M71" s="22">
        <f>材料产出!C$22</f>
        <v>4.5999999999999996</v>
      </c>
      <c r="N71" s="97">
        <f t="shared" ref="N71:N101" si="23">INT(K71/100*N$105)</f>
        <v>3300</v>
      </c>
      <c r="O71" s="97"/>
      <c r="P71" s="97">
        <f t="shared" ref="P71:P101" si="24">INT(0.5*Q71)</f>
        <v>165</v>
      </c>
      <c r="Q71" s="97">
        <f t="shared" ref="Q71:Q101" si="25">INT(K71/100*Q$105)</f>
        <v>330</v>
      </c>
      <c r="R71" s="97">
        <f t="shared" ref="R71:R101" si="26">INT(0.5*S71)</f>
        <v>165</v>
      </c>
      <c r="S71" s="97">
        <f t="shared" ref="S71:S101" si="27">INT(K71/100*S$105)</f>
        <v>330</v>
      </c>
      <c r="T71" s="97">
        <f t="shared" ref="T71:T101" si="28">INT(0.5*U71)</f>
        <v>165</v>
      </c>
      <c r="U71" s="97">
        <f t="shared" ref="U71:U101" si="29">INT(K71/100*U$105)</f>
        <v>330</v>
      </c>
      <c r="V71" s="97">
        <f t="shared" ref="V71:V101" si="30">INT(0.5*W71)</f>
        <v>82</v>
      </c>
      <c r="W71" s="97">
        <f t="shared" ref="W71:W101" si="31">INT(K71/100*W$105)</f>
        <v>165</v>
      </c>
      <c r="X71" s="97">
        <f t="shared" ref="X71:X101" si="32">INT(0.5*Y71)</f>
        <v>82</v>
      </c>
      <c r="Y71" s="97">
        <f t="shared" ref="Y71:Y101" si="33">INT(K71/100*Y$105)</f>
        <v>165</v>
      </c>
      <c r="Z71" s="8">
        <f>N71*属性价值参考!C$5+官印!P71*属性价值参考!C$7+官印!Q71*属性价值参考!C$8+官印!V71*属性价值参考!C$9+官印!W71*属性价值参考!C$10+官印!X71*属性价值参考!C$11+官印!Y71*属性价值参考!C$12</f>
        <v>45823.200000000004</v>
      </c>
      <c r="AA71" s="8">
        <f t="shared" si="19"/>
        <v>7637200.0000000019</v>
      </c>
      <c r="AB71" s="8">
        <f t="shared" si="20"/>
        <v>76372.000000000015</v>
      </c>
      <c r="AC71" s="8">
        <f>ROUND($AA$105/材料产出!$K$31*SUM(材料产出!$K$22:$K$24)/100,0)*100</f>
        <v>10345200</v>
      </c>
      <c r="AD71" s="8">
        <f>ROUND($AB$105/材料产出!$Q$31*SUM(材料产出!$P$22:$P$24)/10,0)*10</f>
        <v>103450</v>
      </c>
    </row>
    <row r="72" spans="1:30" ht="16.5" x14ac:dyDescent="0.3">
      <c r="A72" s="35" t="s">
        <v>29</v>
      </c>
      <c r="B72" s="35" t="s">
        <v>121</v>
      </c>
      <c r="C72" s="41" t="s">
        <v>123</v>
      </c>
      <c r="D72" s="35">
        <v>8</v>
      </c>
      <c r="E72" s="35"/>
      <c r="F72" s="35" t="s">
        <v>94</v>
      </c>
      <c r="G72" s="35"/>
      <c r="H72" s="61" t="str">
        <f t="shared" si="21"/>
        <v>3#1#3350|3#3#167|3#4#335|3#5#167|3#6#335|3#7#167|3#6#335|3#8#335|3#9#83|3#10#167|3#11#83|3#12#167</v>
      </c>
      <c r="I72" s="43" t="str">
        <f t="shared" si="22"/>
        <v>元宝10345200/声望103450</v>
      </c>
      <c r="J72" s="35"/>
      <c r="K72" s="22">
        <v>67</v>
      </c>
      <c r="L72" s="22">
        <v>7</v>
      </c>
      <c r="M72" s="22">
        <f>材料产出!C$22</f>
        <v>4.5999999999999996</v>
      </c>
      <c r="N72" s="97">
        <f t="shared" si="23"/>
        <v>3350</v>
      </c>
      <c r="O72" s="97"/>
      <c r="P72" s="97">
        <f t="shared" si="24"/>
        <v>167</v>
      </c>
      <c r="Q72" s="97">
        <f t="shared" si="25"/>
        <v>335</v>
      </c>
      <c r="R72" s="97">
        <f t="shared" si="26"/>
        <v>167</v>
      </c>
      <c r="S72" s="97">
        <f t="shared" si="27"/>
        <v>335</v>
      </c>
      <c r="T72" s="97">
        <f t="shared" si="28"/>
        <v>167</v>
      </c>
      <c r="U72" s="97">
        <f t="shared" si="29"/>
        <v>335</v>
      </c>
      <c r="V72" s="97">
        <f t="shared" si="30"/>
        <v>83</v>
      </c>
      <c r="W72" s="97">
        <f t="shared" si="31"/>
        <v>167</v>
      </c>
      <c r="X72" s="97">
        <f t="shared" si="32"/>
        <v>83</v>
      </c>
      <c r="Y72" s="97">
        <f t="shared" si="33"/>
        <v>167</v>
      </c>
      <c r="Z72" s="8">
        <f>N72*属性价值参考!C$5+官印!P72*属性价值参考!C$7+官印!Q72*属性价值参考!C$8+官印!V72*属性价值参考!C$9+官印!W72*属性价值参考!C$10+官印!X72*属性价值参考!C$11+官印!Y72*属性价值参考!C$12</f>
        <v>46468.799999999996</v>
      </c>
      <c r="AA72" s="8">
        <f t="shared" si="19"/>
        <v>7744800</v>
      </c>
      <c r="AB72" s="8">
        <f t="shared" si="20"/>
        <v>77448</v>
      </c>
      <c r="AC72" s="8">
        <f>ROUND($AA$105/材料产出!$K$31*SUM(材料产出!$K$22:$K$24)/100,0)*100</f>
        <v>10345200</v>
      </c>
      <c r="AD72" s="8">
        <f>ROUND($AB$105/材料产出!$Q$31*SUM(材料产出!$P$22:$P$24)/10,0)*10</f>
        <v>103450</v>
      </c>
    </row>
    <row r="73" spans="1:30" ht="16.5" x14ac:dyDescent="0.3">
      <c r="A73" s="35" t="s">
        <v>29</v>
      </c>
      <c r="B73" s="35" t="s">
        <v>121</v>
      </c>
      <c r="C73" s="41" t="s">
        <v>123</v>
      </c>
      <c r="D73" s="35">
        <v>9</v>
      </c>
      <c r="E73" s="35"/>
      <c r="F73" s="35" t="s">
        <v>94</v>
      </c>
      <c r="G73" s="35"/>
      <c r="H73" s="61" t="str">
        <f t="shared" si="21"/>
        <v>3#1#3400|3#3#170|3#4#340|3#5#170|3#6#340|3#7#170|3#6#340|3#8#340|3#9#85|3#10#170|3#11#85|3#12#170</v>
      </c>
      <c r="I73" s="43" t="str">
        <f t="shared" si="22"/>
        <v>元宝10345200/声望103450</v>
      </c>
      <c r="J73" s="35"/>
      <c r="K73" s="22">
        <v>68</v>
      </c>
      <c r="L73" s="22">
        <v>7</v>
      </c>
      <c r="M73" s="22">
        <f>材料产出!C$22</f>
        <v>4.5999999999999996</v>
      </c>
      <c r="N73" s="97">
        <f t="shared" si="23"/>
        <v>3400</v>
      </c>
      <c r="O73" s="97"/>
      <c r="P73" s="97">
        <f t="shared" si="24"/>
        <v>170</v>
      </c>
      <c r="Q73" s="97">
        <f t="shared" si="25"/>
        <v>340</v>
      </c>
      <c r="R73" s="97">
        <f t="shared" si="26"/>
        <v>170</v>
      </c>
      <c r="S73" s="97">
        <f t="shared" si="27"/>
        <v>340</v>
      </c>
      <c r="T73" s="97">
        <f t="shared" si="28"/>
        <v>170</v>
      </c>
      <c r="U73" s="97">
        <f t="shared" si="29"/>
        <v>340</v>
      </c>
      <c r="V73" s="97">
        <f t="shared" si="30"/>
        <v>85</v>
      </c>
      <c r="W73" s="97">
        <f t="shared" si="31"/>
        <v>170</v>
      </c>
      <c r="X73" s="97">
        <f t="shared" si="32"/>
        <v>85</v>
      </c>
      <c r="Y73" s="97">
        <f t="shared" si="33"/>
        <v>170</v>
      </c>
      <c r="Z73" s="8">
        <f>N73*属性价值参考!C$5+官印!P73*属性价值参考!C$7+官印!Q73*属性价值参考!C$8+官印!V73*属性价值参考!C$9+官印!W73*属性价值参考!C$10+官印!X73*属性价值参考!C$11+官印!Y73*属性价值参考!C$12</f>
        <v>47226</v>
      </c>
      <c r="AA73" s="8">
        <f t="shared" si="19"/>
        <v>7871000</v>
      </c>
      <c r="AB73" s="8">
        <f t="shared" si="20"/>
        <v>78710</v>
      </c>
      <c r="AC73" s="8">
        <f>ROUND($AA$105/材料产出!$K$31*SUM(材料产出!$K$22:$K$24)/100,0)*100</f>
        <v>10345200</v>
      </c>
      <c r="AD73" s="8">
        <f>ROUND($AB$105/材料产出!$Q$31*SUM(材料产出!$P$22:$P$24)/10,0)*10</f>
        <v>103450</v>
      </c>
    </row>
    <row r="74" spans="1:30" ht="16.5" x14ac:dyDescent="0.3">
      <c r="A74" s="44" t="s">
        <v>29</v>
      </c>
      <c r="B74" s="44" t="s">
        <v>121</v>
      </c>
      <c r="C74" s="45" t="s">
        <v>124</v>
      </c>
      <c r="D74" s="44">
        <v>0</v>
      </c>
      <c r="E74" s="44"/>
      <c r="F74" s="44" t="s">
        <v>94</v>
      </c>
      <c r="G74" s="44"/>
      <c r="H74" s="60" t="str">
        <f t="shared" si="21"/>
        <v>3#1#3450|3#3#172|3#4#345|3#5#172|3#6#345|3#7#172|3#6#345|3#8#345|3#9#86|3#10#172|3#11#86|3#12#172</v>
      </c>
      <c r="I74" s="46"/>
      <c r="J74" s="44"/>
      <c r="K74" s="22">
        <v>69</v>
      </c>
      <c r="L74" s="22"/>
      <c r="M74" s="22"/>
      <c r="N74" s="97">
        <f t="shared" si="23"/>
        <v>3450</v>
      </c>
      <c r="O74" s="97"/>
      <c r="P74" s="97">
        <f t="shared" si="24"/>
        <v>172</v>
      </c>
      <c r="Q74" s="97">
        <f t="shared" si="25"/>
        <v>345</v>
      </c>
      <c r="R74" s="97">
        <f t="shared" si="26"/>
        <v>172</v>
      </c>
      <c r="S74" s="97">
        <f t="shared" si="27"/>
        <v>345</v>
      </c>
      <c r="T74" s="97">
        <f t="shared" si="28"/>
        <v>172</v>
      </c>
      <c r="U74" s="97">
        <f t="shared" si="29"/>
        <v>345</v>
      </c>
      <c r="V74" s="97">
        <f t="shared" si="30"/>
        <v>86</v>
      </c>
      <c r="W74" s="97">
        <f t="shared" si="31"/>
        <v>172</v>
      </c>
      <c r="X74" s="97">
        <f t="shared" si="32"/>
        <v>86</v>
      </c>
      <c r="Y74" s="97">
        <f t="shared" si="33"/>
        <v>172</v>
      </c>
      <c r="Z74" s="8">
        <f>N74*属性价值参考!C$5+官印!P74*属性价值参考!C$7+官印!Q74*属性价值参考!C$8+官印!V74*属性价值参考!C$9+官印!W74*属性价值参考!C$10+官印!X74*属性价值参考!C$11+官印!Y74*属性价值参考!C$12</f>
        <v>47871.6</v>
      </c>
      <c r="AA74" s="8">
        <f t="shared" si="19"/>
        <v>7978600</v>
      </c>
      <c r="AB74" s="8">
        <f t="shared" si="20"/>
        <v>79786</v>
      </c>
      <c r="AC74" s="8"/>
      <c r="AD74" s="8"/>
    </row>
    <row r="75" spans="1:30" ht="16.5" x14ac:dyDescent="0.3">
      <c r="A75" s="44" t="s">
        <v>29</v>
      </c>
      <c r="B75" s="44" t="s">
        <v>121</v>
      </c>
      <c r="C75" s="45" t="s">
        <v>125</v>
      </c>
      <c r="D75" s="44">
        <v>1</v>
      </c>
      <c r="E75" s="44"/>
      <c r="F75" s="44" t="s">
        <v>95</v>
      </c>
      <c r="G75" s="44"/>
      <c r="H75" s="60" t="str">
        <f t="shared" si="21"/>
        <v>3#1#3500|3#3#175|3#4#350|3#5#175|3#6#350|3#7#175|3#6#350|3#8#350|3#9#87|3#10#175|3#11#87|3#12#175</v>
      </c>
      <c r="I75" s="46" t="str">
        <f t="shared" si="22"/>
        <v>元宝12034200/声望120340</v>
      </c>
      <c r="J75" s="44"/>
      <c r="K75" s="22">
        <v>70</v>
      </c>
      <c r="L75" s="22">
        <v>8</v>
      </c>
      <c r="M75" s="22">
        <f>材料产出!C$25</f>
        <v>5.5</v>
      </c>
      <c r="N75" s="97">
        <f t="shared" si="23"/>
        <v>3500</v>
      </c>
      <c r="O75" s="97"/>
      <c r="P75" s="97">
        <f t="shared" si="24"/>
        <v>175</v>
      </c>
      <c r="Q75" s="97">
        <f t="shared" si="25"/>
        <v>350</v>
      </c>
      <c r="R75" s="97">
        <f t="shared" si="26"/>
        <v>175</v>
      </c>
      <c r="S75" s="97">
        <f t="shared" si="27"/>
        <v>350</v>
      </c>
      <c r="T75" s="97">
        <f t="shared" si="28"/>
        <v>175</v>
      </c>
      <c r="U75" s="97">
        <f t="shared" si="29"/>
        <v>350</v>
      </c>
      <c r="V75" s="97">
        <f t="shared" si="30"/>
        <v>87</v>
      </c>
      <c r="W75" s="97">
        <f t="shared" si="31"/>
        <v>175</v>
      </c>
      <c r="X75" s="97">
        <f t="shared" si="32"/>
        <v>87</v>
      </c>
      <c r="Y75" s="97">
        <f t="shared" si="33"/>
        <v>175</v>
      </c>
      <c r="Z75" s="8">
        <f>N75*属性价值参考!C$5+官印!P75*属性价值参考!C$7+官印!Q75*属性价值参考!C$8+官印!V75*属性价值参考!C$9+官印!W75*属性价值参考!C$10+官印!X75*属性价值参考!C$11+官印!Y75*属性价值参考!C$12</f>
        <v>48601.200000000004</v>
      </c>
      <c r="AA75" s="8">
        <f t="shared" si="19"/>
        <v>8100200.0000000019</v>
      </c>
      <c r="AB75" s="8">
        <f t="shared" si="20"/>
        <v>81002.000000000015</v>
      </c>
      <c r="AC75" s="8">
        <f>ROUND($AA$105/材料产出!$K$31*SUM(材料产出!$K$25:$K$26)/100,0)*100</f>
        <v>12034200</v>
      </c>
      <c r="AD75" s="8">
        <f>ROUND($AB$105/材料产出!$Q$31*SUM(材料产出!$P$25:$P$26)/10,0)*10</f>
        <v>120340</v>
      </c>
    </row>
    <row r="76" spans="1:30" ht="16.5" x14ac:dyDescent="0.3">
      <c r="A76" s="44" t="s">
        <v>29</v>
      </c>
      <c r="B76" s="44" t="s">
        <v>121</v>
      </c>
      <c r="C76" s="45" t="s">
        <v>125</v>
      </c>
      <c r="D76" s="44">
        <v>2</v>
      </c>
      <c r="E76" s="44"/>
      <c r="F76" s="44" t="s">
        <v>95</v>
      </c>
      <c r="G76" s="44"/>
      <c r="H76" s="60" t="str">
        <f t="shared" si="21"/>
        <v>3#1#3550|3#3#177|3#4#355|3#5#177|3#6#355|3#7#177|3#6#355|3#8#355|3#9#88|3#10#177|3#11#88|3#12#177</v>
      </c>
      <c r="I76" s="46" t="str">
        <f t="shared" si="22"/>
        <v>元宝12034200/声望120340</v>
      </c>
      <c r="J76" s="44"/>
      <c r="K76" s="22">
        <v>71</v>
      </c>
      <c r="L76" s="22">
        <v>8</v>
      </c>
      <c r="M76" s="22">
        <f>材料产出!C$25</f>
        <v>5.5</v>
      </c>
      <c r="N76" s="97">
        <f t="shared" si="23"/>
        <v>3550</v>
      </c>
      <c r="O76" s="97"/>
      <c r="P76" s="97">
        <f t="shared" si="24"/>
        <v>177</v>
      </c>
      <c r="Q76" s="97">
        <f t="shared" si="25"/>
        <v>355</v>
      </c>
      <c r="R76" s="97">
        <f t="shared" si="26"/>
        <v>177</v>
      </c>
      <c r="S76" s="97">
        <f t="shared" si="27"/>
        <v>355</v>
      </c>
      <c r="T76" s="97">
        <f t="shared" si="28"/>
        <v>177</v>
      </c>
      <c r="U76" s="97">
        <f t="shared" si="29"/>
        <v>355</v>
      </c>
      <c r="V76" s="97">
        <f t="shared" si="30"/>
        <v>88</v>
      </c>
      <c r="W76" s="97">
        <f t="shared" si="31"/>
        <v>177</v>
      </c>
      <c r="X76" s="97">
        <f t="shared" si="32"/>
        <v>88</v>
      </c>
      <c r="Y76" s="97">
        <f t="shared" si="33"/>
        <v>177</v>
      </c>
      <c r="Z76" s="8">
        <f>N76*属性价值参考!C$5+官印!P76*属性价值参考!C$7+官印!Q76*属性价值参考!C$8+官印!V76*属性价值参考!C$9+官印!W76*属性价值参考!C$10+官印!X76*属性价值参考!C$11+官印!Y76*属性价值参考!C$12</f>
        <v>49246.799999999996</v>
      </c>
      <c r="AA76" s="8">
        <f t="shared" si="19"/>
        <v>8207800</v>
      </c>
      <c r="AB76" s="8">
        <f t="shared" si="20"/>
        <v>82078</v>
      </c>
      <c r="AC76" s="8">
        <f>ROUND($AA$105/材料产出!$K$31*SUM(材料产出!$K$25:$K$26)/100,0)*100</f>
        <v>12034200</v>
      </c>
      <c r="AD76" s="8">
        <f>ROUND($AB$105/材料产出!$Q$31*SUM(材料产出!$P$25:$P$26)/10,0)*10</f>
        <v>120340</v>
      </c>
    </row>
    <row r="77" spans="1:30" ht="16.5" x14ac:dyDescent="0.3">
      <c r="A77" s="44" t="s">
        <v>29</v>
      </c>
      <c r="B77" s="44" t="s">
        <v>121</v>
      </c>
      <c r="C77" s="45" t="s">
        <v>125</v>
      </c>
      <c r="D77" s="44">
        <v>3</v>
      </c>
      <c r="E77" s="44"/>
      <c r="F77" s="44" t="s">
        <v>95</v>
      </c>
      <c r="G77" s="44"/>
      <c r="H77" s="60" t="str">
        <f t="shared" si="21"/>
        <v>3#1#3600|3#3#180|3#4#360|3#5#180|3#6#360|3#7#180|3#6#360|3#8#360|3#9#90|3#10#180|3#11#90|3#12#180</v>
      </c>
      <c r="I77" s="46" t="str">
        <f t="shared" si="22"/>
        <v>元宝12034200/声望120340</v>
      </c>
      <c r="J77" s="44"/>
      <c r="K77" s="22">
        <v>72</v>
      </c>
      <c r="L77" s="22">
        <v>8</v>
      </c>
      <c r="M77" s="22">
        <f>材料产出!C$25</f>
        <v>5.5</v>
      </c>
      <c r="N77" s="97">
        <f t="shared" si="23"/>
        <v>3600</v>
      </c>
      <c r="O77" s="97"/>
      <c r="P77" s="97">
        <f t="shared" si="24"/>
        <v>180</v>
      </c>
      <c r="Q77" s="97">
        <f t="shared" si="25"/>
        <v>360</v>
      </c>
      <c r="R77" s="97">
        <f t="shared" si="26"/>
        <v>180</v>
      </c>
      <c r="S77" s="97">
        <f t="shared" si="27"/>
        <v>360</v>
      </c>
      <c r="T77" s="97">
        <f t="shared" si="28"/>
        <v>180</v>
      </c>
      <c r="U77" s="97">
        <f t="shared" si="29"/>
        <v>360</v>
      </c>
      <c r="V77" s="97">
        <f t="shared" si="30"/>
        <v>90</v>
      </c>
      <c r="W77" s="97">
        <f t="shared" si="31"/>
        <v>180</v>
      </c>
      <c r="X77" s="97">
        <f t="shared" si="32"/>
        <v>90</v>
      </c>
      <c r="Y77" s="97">
        <f t="shared" si="33"/>
        <v>180</v>
      </c>
      <c r="Z77" s="8">
        <f>N77*属性价值参考!C$5+官印!P77*属性价值参考!C$7+官印!Q77*属性价值参考!C$8+官印!V77*属性价值参考!C$9+官印!W77*属性价值参考!C$10+官印!X77*属性价值参考!C$11+官印!Y77*属性价值参考!C$12</f>
        <v>50004</v>
      </c>
      <c r="AA77" s="8">
        <f t="shared" si="19"/>
        <v>8334000</v>
      </c>
      <c r="AB77" s="8">
        <f t="shared" si="20"/>
        <v>83340</v>
      </c>
      <c r="AC77" s="8">
        <f>ROUND($AA$105/材料产出!$K$31*SUM(材料产出!$K$25:$K$26)/100,0)*100</f>
        <v>12034200</v>
      </c>
      <c r="AD77" s="8">
        <f>ROUND($AB$105/材料产出!$Q$31*SUM(材料产出!$P$25:$P$26)/10,0)*10</f>
        <v>120340</v>
      </c>
    </row>
    <row r="78" spans="1:30" ht="16.5" x14ac:dyDescent="0.3">
      <c r="A78" s="44" t="s">
        <v>29</v>
      </c>
      <c r="B78" s="44" t="s">
        <v>121</v>
      </c>
      <c r="C78" s="45" t="s">
        <v>125</v>
      </c>
      <c r="D78" s="44">
        <v>4</v>
      </c>
      <c r="E78" s="44"/>
      <c r="F78" s="44" t="s">
        <v>95</v>
      </c>
      <c r="G78" s="44"/>
      <c r="H78" s="60" t="str">
        <f t="shared" si="21"/>
        <v>3#1#3650|3#3#182|3#4#365|3#5#182|3#6#365|3#7#182|3#6#365|3#8#365|3#9#91|3#10#182|3#11#91|3#12#182</v>
      </c>
      <c r="I78" s="46" t="str">
        <f t="shared" si="22"/>
        <v>元宝12034200/声望120340</v>
      </c>
      <c r="J78" s="44"/>
      <c r="K78" s="22">
        <v>73</v>
      </c>
      <c r="L78" s="22">
        <v>8</v>
      </c>
      <c r="M78" s="22">
        <f>材料产出!C$25</f>
        <v>5.5</v>
      </c>
      <c r="N78" s="97">
        <f t="shared" si="23"/>
        <v>3650</v>
      </c>
      <c r="O78" s="97"/>
      <c r="P78" s="97">
        <f t="shared" si="24"/>
        <v>182</v>
      </c>
      <c r="Q78" s="97">
        <f t="shared" si="25"/>
        <v>365</v>
      </c>
      <c r="R78" s="97">
        <f t="shared" si="26"/>
        <v>182</v>
      </c>
      <c r="S78" s="97">
        <f t="shared" si="27"/>
        <v>365</v>
      </c>
      <c r="T78" s="97">
        <f t="shared" si="28"/>
        <v>182</v>
      </c>
      <c r="U78" s="97">
        <f t="shared" si="29"/>
        <v>365</v>
      </c>
      <c r="V78" s="97">
        <f t="shared" si="30"/>
        <v>91</v>
      </c>
      <c r="W78" s="97">
        <f t="shared" si="31"/>
        <v>182</v>
      </c>
      <c r="X78" s="97">
        <f t="shared" si="32"/>
        <v>91</v>
      </c>
      <c r="Y78" s="97">
        <f t="shared" si="33"/>
        <v>182</v>
      </c>
      <c r="Z78" s="8">
        <f>N78*属性价值参考!C$5+官印!P78*属性价值参考!C$7+官印!Q78*属性价值参考!C$8+官印!V78*属性价值参考!C$9+官印!W78*属性价值参考!C$10+官印!X78*属性价值参考!C$11+官印!Y78*属性价值参考!C$12</f>
        <v>50649.599999999999</v>
      </c>
      <c r="AA78" s="8">
        <f t="shared" si="19"/>
        <v>8441600</v>
      </c>
      <c r="AB78" s="8">
        <f t="shared" si="20"/>
        <v>84416</v>
      </c>
      <c r="AC78" s="8">
        <f>ROUND($AA$105/材料产出!$K$31*SUM(材料产出!$K$25:$K$26)/100,0)*100</f>
        <v>12034200</v>
      </c>
      <c r="AD78" s="8">
        <f>ROUND($AB$105/材料产出!$Q$31*SUM(材料产出!$P$25:$P$26)/10,0)*10</f>
        <v>120340</v>
      </c>
    </row>
    <row r="79" spans="1:30" ht="16.5" x14ac:dyDescent="0.3">
      <c r="A79" s="44" t="s">
        <v>29</v>
      </c>
      <c r="B79" s="44" t="s">
        <v>121</v>
      </c>
      <c r="C79" s="45" t="s">
        <v>125</v>
      </c>
      <c r="D79" s="44">
        <v>5</v>
      </c>
      <c r="E79" s="44"/>
      <c r="F79" s="44" t="s">
        <v>95</v>
      </c>
      <c r="G79" s="44"/>
      <c r="H79" s="60" t="str">
        <f t="shared" si="21"/>
        <v>3#1#3700|3#3#185|3#4#370|3#5#185|3#6#370|3#7#185|3#6#370|3#8#370|3#9#92|3#10#185|3#11#92|3#12#185</v>
      </c>
      <c r="I79" s="46" t="str">
        <f t="shared" si="22"/>
        <v>元宝12034200/声望120340</v>
      </c>
      <c r="J79" s="44"/>
      <c r="K79" s="22">
        <v>74</v>
      </c>
      <c r="L79" s="22">
        <v>8</v>
      </c>
      <c r="M79" s="22">
        <f>材料产出!C$25</f>
        <v>5.5</v>
      </c>
      <c r="N79" s="97">
        <f t="shared" si="23"/>
        <v>3700</v>
      </c>
      <c r="O79" s="97"/>
      <c r="P79" s="97">
        <f t="shared" si="24"/>
        <v>185</v>
      </c>
      <c r="Q79" s="97">
        <f t="shared" si="25"/>
        <v>370</v>
      </c>
      <c r="R79" s="97">
        <f t="shared" si="26"/>
        <v>185</v>
      </c>
      <c r="S79" s="97">
        <f t="shared" si="27"/>
        <v>370</v>
      </c>
      <c r="T79" s="97">
        <f t="shared" si="28"/>
        <v>185</v>
      </c>
      <c r="U79" s="97">
        <f t="shared" si="29"/>
        <v>370</v>
      </c>
      <c r="V79" s="97">
        <f t="shared" si="30"/>
        <v>92</v>
      </c>
      <c r="W79" s="97">
        <f t="shared" si="31"/>
        <v>185</v>
      </c>
      <c r="X79" s="97">
        <f t="shared" si="32"/>
        <v>92</v>
      </c>
      <c r="Y79" s="97">
        <f t="shared" si="33"/>
        <v>185</v>
      </c>
      <c r="Z79" s="8">
        <f>N79*属性价值参考!C$5+官印!P79*属性价值参考!C$7+官印!Q79*属性价值参考!C$8+官印!V79*属性价值参考!C$9+官印!W79*属性价值参考!C$10+官印!X79*属性价值参考!C$11+官印!Y79*属性价值参考!C$12</f>
        <v>51379.200000000004</v>
      </c>
      <c r="AA79" s="8">
        <f t="shared" si="19"/>
        <v>8563200.0000000019</v>
      </c>
      <c r="AB79" s="8">
        <f t="shared" si="20"/>
        <v>85632.000000000015</v>
      </c>
      <c r="AC79" s="8">
        <f>ROUND($AA$105/材料产出!$K$31*SUM(材料产出!$K$25:$K$26)/100,0)*100</f>
        <v>12034200</v>
      </c>
      <c r="AD79" s="8">
        <f>ROUND($AB$105/材料产出!$Q$31*SUM(材料产出!$P$25:$P$26)/10,0)*10</f>
        <v>120340</v>
      </c>
    </row>
    <row r="80" spans="1:30" ht="16.5" x14ac:dyDescent="0.3">
      <c r="A80" s="44" t="s">
        <v>29</v>
      </c>
      <c r="B80" s="44" t="s">
        <v>121</v>
      </c>
      <c r="C80" s="45" t="s">
        <v>126</v>
      </c>
      <c r="D80" s="44">
        <v>6</v>
      </c>
      <c r="E80" s="44"/>
      <c r="F80" s="44" t="s">
        <v>95</v>
      </c>
      <c r="G80" s="44"/>
      <c r="H80" s="60" t="str">
        <f t="shared" si="21"/>
        <v>3#1#3750|3#3#187|3#4#375|3#5#187|3#6#375|3#7#187|3#6#375|3#8#375|3#9#93|3#10#187|3#11#93|3#12#187</v>
      </c>
      <c r="I80" s="46" t="str">
        <f t="shared" si="22"/>
        <v>元宝12034200/声望120340</v>
      </c>
      <c r="J80" s="44"/>
      <c r="K80" s="22">
        <v>75</v>
      </c>
      <c r="L80" s="22">
        <v>8</v>
      </c>
      <c r="M80" s="22">
        <f>材料产出!C$25</f>
        <v>5.5</v>
      </c>
      <c r="N80" s="97">
        <f t="shared" si="23"/>
        <v>3750</v>
      </c>
      <c r="O80" s="97"/>
      <c r="P80" s="97">
        <f t="shared" si="24"/>
        <v>187</v>
      </c>
      <c r="Q80" s="97">
        <f t="shared" si="25"/>
        <v>375</v>
      </c>
      <c r="R80" s="97">
        <f t="shared" si="26"/>
        <v>187</v>
      </c>
      <c r="S80" s="97">
        <f t="shared" si="27"/>
        <v>375</v>
      </c>
      <c r="T80" s="97">
        <f t="shared" si="28"/>
        <v>187</v>
      </c>
      <c r="U80" s="97">
        <f t="shared" si="29"/>
        <v>375</v>
      </c>
      <c r="V80" s="97">
        <f t="shared" si="30"/>
        <v>93</v>
      </c>
      <c r="W80" s="97">
        <f t="shared" si="31"/>
        <v>187</v>
      </c>
      <c r="X80" s="97">
        <f t="shared" si="32"/>
        <v>93</v>
      </c>
      <c r="Y80" s="97">
        <f t="shared" si="33"/>
        <v>187</v>
      </c>
      <c r="Z80" s="8">
        <f>N80*属性价值参考!C$5+官印!P80*属性价值参考!C$7+官印!Q80*属性价值参考!C$8+官印!V80*属性价值参考!C$9+官印!W80*属性价值参考!C$10+官印!X80*属性价值参考!C$11+官印!Y80*属性价值参考!C$12</f>
        <v>52024.799999999996</v>
      </c>
      <c r="AA80" s="8">
        <f t="shared" si="19"/>
        <v>8670800</v>
      </c>
      <c r="AB80" s="8">
        <f t="shared" si="20"/>
        <v>86708</v>
      </c>
      <c r="AC80" s="8">
        <f>ROUND($AA$105/材料产出!$K$31*SUM(材料产出!$K$25:$K$26)/100,0)*100</f>
        <v>12034200</v>
      </c>
      <c r="AD80" s="8">
        <f>ROUND($AB$105/材料产出!$Q$31*SUM(材料产出!$P$25:$P$26)/10,0)*10</f>
        <v>120340</v>
      </c>
    </row>
    <row r="81" spans="1:30" ht="16.5" x14ac:dyDescent="0.3">
      <c r="A81" s="44" t="s">
        <v>29</v>
      </c>
      <c r="B81" s="44" t="s">
        <v>121</v>
      </c>
      <c r="C81" s="45" t="s">
        <v>125</v>
      </c>
      <c r="D81" s="44">
        <v>7</v>
      </c>
      <c r="E81" s="44"/>
      <c r="F81" s="44" t="s">
        <v>95</v>
      </c>
      <c r="G81" s="44"/>
      <c r="H81" s="60" t="str">
        <f t="shared" si="21"/>
        <v>3#1#3800|3#3#190|3#4#380|3#5#190|3#6#380|3#7#190|3#6#380|3#8#380|3#9#95|3#10#190|3#11#95|3#12#190</v>
      </c>
      <c r="I81" s="46" t="str">
        <f t="shared" si="22"/>
        <v>元宝12034200/声望120340</v>
      </c>
      <c r="J81" s="44"/>
      <c r="K81" s="22">
        <v>76</v>
      </c>
      <c r="L81" s="22">
        <v>8</v>
      </c>
      <c r="M81" s="22">
        <f>材料产出!C$25</f>
        <v>5.5</v>
      </c>
      <c r="N81" s="97">
        <f t="shared" si="23"/>
        <v>3800</v>
      </c>
      <c r="O81" s="97"/>
      <c r="P81" s="97">
        <f t="shared" si="24"/>
        <v>190</v>
      </c>
      <c r="Q81" s="97">
        <f t="shared" si="25"/>
        <v>380</v>
      </c>
      <c r="R81" s="97">
        <f t="shared" si="26"/>
        <v>190</v>
      </c>
      <c r="S81" s="97">
        <f t="shared" si="27"/>
        <v>380</v>
      </c>
      <c r="T81" s="97">
        <f t="shared" si="28"/>
        <v>190</v>
      </c>
      <c r="U81" s="97">
        <f t="shared" si="29"/>
        <v>380</v>
      </c>
      <c r="V81" s="97">
        <f t="shared" si="30"/>
        <v>95</v>
      </c>
      <c r="W81" s="97">
        <f t="shared" si="31"/>
        <v>190</v>
      </c>
      <c r="X81" s="97">
        <f t="shared" si="32"/>
        <v>95</v>
      </c>
      <c r="Y81" s="97">
        <f t="shared" si="33"/>
        <v>190</v>
      </c>
      <c r="Z81" s="8">
        <f>N81*属性价值参考!C$5+官印!P81*属性价值参考!C$7+官印!Q81*属性价值参考!C$8+官印!V81*属性价值参考!C$9+官印!W81*属性价值参考!C$10+官印!X81*属性价值参考!C$11+官印!Y81*属性价值参考!C$12</f>
        <v>52782</v>
      </c>
      <c r="AA81" s="8">
        <f t="shared" si="19"/>
        <v>8797000</v>
      </c>
      <c r="AB81" s="8">
        <f t="shared" si="20"/>
        <v>87970</v>
      </c>
      <c r="AC81" s="8">
        <f>ROUND($AA$105/材料产出!$K$31*SUM(材料产出!$K$25:$K$26)/100,0)*100</f>
        <v>12034200</v>
      </c>
      <c r="AD81" s="8">
        <f>ROUND($AB$105/材料产出!$Q$31*SUM(材料产出!$P$25:$P$26)/10,0)*10</f>
        <v>120340</v>
      </c>
    </row>
    <row r="82" spans="1:30" ht="16.5" x14ac:dyDescent="0.3">
      <c r="A82" s="44" t="s">
        <v>29</v>
      </c>
      <c r="B82" s="44" t="s">
        <v>121</v>
      </c>
      <c r="C82" s="45" t="s">
        <v>125</v>
      </c>
      <c r="D82" s="44">
        <v>8</v>
      </c>
      <c r="E82" s="44"/>
      <c r="F82" s="44" t="s">
        <v>95</v>
      </c>
      <c r="G82" s="44"/>
      <c r="H82" s="60" t="str">
        <f t="shared" si="21"/>
        <v>3#1#3850|3#3#192|3#4#385|3#5#192|3#6#385|3#7#192|3#6#385|3#8#385|3#9#96|3#10#192|3#11#96|3#12#192</v>
      </c>
      <c r="I82" s="46" t="str">
        <f t="shared" si="22"/>
        <v>元宝12034200/声望120340</v>
      </c>
      <c r="J82" s="44"/>
      <c r="K82" s="22">
        <v>77</v>
      </c>
      <c r="L82" s="22">
        <v>8</v>
      </c>
      <c r="M82" s="22">
        <f>材料产出!C$25</f>
        <v>5.5</v>
      </c>
      <c r="N82" s="97">
        <f t="shared" si="23"/>
        <v>3850</v>
      </c>
      <c r="O82" s="97"/>
      <c r="P82" s="97">
        <f t="shared" si="24"/>
        <v>192</v>
      </c>
      <c r="Q82" s="97">
        <f t="shared" si="25"/>
        <v>385</v>
      </c>
      <c r="R82" s="97">
        <f t="shared" si="26"/>
        <v>192</v>
      </c>
      <c r="S82" s="97">
        <f t="shared" si="27"/>
        <v>385</v>
      </c>
      <c r="T82" s="97">
        <f t="shared" si="28"/>
        <v>192</v>
      </c>
      <c r="U82" s="97">
        <f t="shared" si="29"/>
        <v>385</v>
      </c>
      <c r="V82" s="97">
        <f t="shared" si="30"/>
        <v>96</v>
      </c>
      <c r="W82" s="97">
        <f t="shared" si="31"/>
        <v>192</v>
      </c>
      <c r="X82" s="97">
        <f t="shared" si="32"/>
        <v>96</v>
      </c>
      <c r="Y82" s="97">
        <f t="shared" si="33"/>
        <v>192</v>
      </c>
      <c r="Z82" s="8">
        <f>N82*属性价值参考!C$5+官印!P82*属性价值参考!C$7+官印!Q82*属性价值参考!C$8+官印!V82*属性价值参考!C$9+官印!W82*属性价值参考!C$10+官印!X82*属性价值参考!C$11+官印!Y82*属性价值参考!C$12</f>
        <v>53427.600000000006</v>
      </c>
      <c r="AA82" s="8">
        <f t="shared" si="19"/>
        <v>8904600.0000000019</v>
      </c>
      <c r="AB82" s="8">
        <f t="shared" si="20"/>
        <v>89046.000000000015</v>
      </c>
      <c r="AC82" s="8">
        <f>ROUND($AA$105/材料产出!$K$31*SUM(材料产出!$K$25:$K$26)/100,0)*100</f>
        <v>12034200</v>
      </c>
      <c r="AD82" s="8">
        <f>ROUND($AB$105/材料产出!$Q$31*SUM(材料产出!$P$25:$P$26)/10,0)*10</f>
        <v>120340</v>
      </c>
    </row>
    <row r="83" spans="1:30" ht="16.5" x14ac:dyDescent="0.3">
      <c r="A83" s="44" t="s">
        <v>29</v>
      </c>
      <c r="B83" s="44" t="s">
        <v>121</v>
      </c>
      <c r="C83" s="45" t="s">
        <v>125</v>
      </c>
      <c r="D83" s="44">
        <v>9</v>
      </c>
      <c r="E83" s="44"/>
      <c r="F83" s="44" t="s">
        <v>95</v>
      </c>
      <c r="G83" s="44"/>
      <c r="H83" s="60" t="str">
        <f t="shared" si="21"/>
        <v>3#1#3900|3#3#195|3#4#390|3#5#195|3#6#390|3#7#195|3#6#390|3#8#390|3#9#97|3#10#195|3#11#97|3#12#195</v>
      </c>
      <c r="I83" s="46" t="str">
        <f t="shared" si="22"/>
        <v>元宝12034200/声望120340</v>
      </c>
      <c r="J83" s="44"/>
      <c r="K83" s="22">
        <v>78</v>
      </c>
      <c r="L83" s="22">
        <v>8</v>
      </c>
      <c r="M83" s="22">
        <f>材料产出!C$25</f>
        <v>5.5</v>
      </c>
      <c r="N83" s="97">
        <f t="shared" si="23"/>
        <v>3900</v>
      </c>
      <c r="O83" s="97"/>
      <c r="P83" s="97">
        <f t="shared" si="24"/>
        <v>195</v>
      </c>
      <c r="Q83" s="97">
        <f t="shared" si="25"/>
        <v>390</v>
      </c>
      <c r="R83" s="97">
        <f t="shared" si="26"/>
        <v>195</v>
      </c>
      <c r="S83" s="97">
        <f t="shared" si="27"/>
        <v>390</v>
      </c>
      <c r="T83" s="97">
        <f t="shared" si="28"/>
        <v>195</v>
      </c>
      <c r="U83" s="97">
        <f t="shared" si="29"/>
        <v>390</v>
      </c>
      <c r="V83" s="97">
        <f t="shared" si="30"/>
        <v>97</v>
      </c>
      <c r="W83" s="97">
        <f t="shared" si="31"/>
        <v>195</v>
      </c>
      <c r="X83" s="97">
        <f t="shared" si="32"/>
        <v>97</v>
      </c>
      <c r="Y83" s="97">
        <f t="shared" si="33"/>
        <v>195</v>
      </c>
      <c r="Z83" s="8">
        <f>N83*属性价值参考!C$5+官印!P83*属性价值参考!C$7+官印!Q83*属性价值参考!C$8+官印!V83*属性价值参考!C$9+官印!W83*属性价值参考!C$10+官印!X83*属性价值参考!C$11+官印!Y83*属性价值参考!C$12</f>
        <v>54157.200000000004</v>
      </c>
      <c r="AA83" s="8">
        <f t="shared" si="19"/>
        <v>9026200.0000000019</v>
      </c>
      <c r="AB83" s="8">
        <f t="shared" si="20"/>
        <v>90262.000000000015</v>
      </c>
      <c r="AC83" s="8">
        <f>ROUND($AA$105/材料产出!$K$31*SUM(材料产出!$K$25:$K$26)/100,0)*100</f>
        <v>12034200</v>
      </c>
      <c r="AD83" s="8">
        <f>ROUND($AB$105/材料产出!$Q$31*SUM(材料产出!$P$25:$P$26)/10,0)*10</f>
        <v>120340</v>
      </c>
    </row>
    <row r="84" spans="1:30" ht="16.5" x14ac:dyDescent="0.3">
      <c r="A84" s="47" t="s">
        <v>29</v>
      </c>
      <c r="B84" s="47" t="s">
        <v>121</v>
      </c>
      <c r="C84" s="48" t="s">
        <v>127</v>
      </c>
      <c r="D84" s="47">
        <v>0</v>
      </c>
      <c r="E84" s="47"/>
      <c r="F84" s="47" t="s">
        <v>95</v>
      </c>
      <c r="G84" s="47"/>
      <c r="H84" s="59" t="str">
        <f t="shared" si="21"/>
        <v>3#1#3950|3#3#197|3#4#395|3#5#197|3#6#395|3#7#197|3#6#395|3#8#395|3#9#98|3#10#197|3#11#98|3#12#197</v>
      </c>
      <c r="I84" s="49"/>
      <c r="J84" s="47"/>
      <c r="K84" s="22">
        <v>79</v>
      </c>
      <c r="L84" s="22"/>
      <c r="M84" s="22"/>
      <c r="N84" s="97">
        <f t="shared" si="23"/>
        <v>3950</v>
      </c>
      <c r="O84" s="97"/>
      <c r="P84" s="97">
        <f t="shared" si="24"/>
        <v>197</v>
      </c>
      <c r="Q84" s="97">
        <f t="shared" si="25"/>
        <v>395</v>
      </c>
      <c r="R84" s="97">
        <f t="shared" si="26"/>
        <v>197</v>
      </c>
      <c r="S84" s="97">
        <f t="shared" si="27"/>
        <v>395</v>
      </c>
      <c r="T84" s="97">
        <f t="shared" si="28"/>
        <v>197</v>
      </c>
      <c r="U84" s="97">
        <f t="shared" si="29"/>
        <v>395</v>
      </c>
      <c r="V84" s="97">
        <f t="shared" si="30"/>
        <v>98</v>
      </c>
      <c r="W84" s="97">
        <f t="shared" si="31"/>
        <v>197</v>
      </c>
      <c r="X84" s="97">
        <f t="shared" si="32"/>
        <v>98</v>
      </c>
      <c r="Y84" s="97">
        <f t="shared" si="33"/>
        <v>197</v>
      </c>
      <c r="Z84" s="8">
        <f>N84*属性价值参考!C$5+官印!P84*属性价值参考!C$7+官印!Q84*属性价值参考!C$8+官印!V84*属性价值参考!C$9+官印!W84*属性价值参考!C$10+官印!X84*属性价值参考!C$11+官印!Y84*属性价值参考!C$12</f>
        <v>54802.8</v>
      </c>
      <c r="AA84" s="8">
        <f t="shared" si="19"/>
        <v>9133800.0000000019</v>
      </c>
      <c r="AB84" s="8">
        <f t="shared" si="20"/>
        <v>91338.000000000015</v>
      </c>
      <c r="AC84" s="8"/>
      <c r="AD84" s="8"/>
    </row>
    <row r="85" spans="1:30" ht="16.5" x14ac:dyDescent="0.3">
      <c r="A85" s="47" t="s">
        <v>29</v>
      </c>
      <c r="B85" s="47" t="s">
        <v>121</v>
      </c>
      <c r="C85" s="48" t="s">
        <v>128</v>
      </c>
      <c r="D85" s="47">
        <v>1</v>
      </c>
      <c r="E85" s="47"/>
      <c r="F85" s="47" t="s">
        <v>96</v>
      </c>
      <c r="G85" s="47"/>
      <c r="H85" s="59" t="str">
        <f t="shared" si="21"/>
        <v>3#1#4000|3#3#200|3#4#400|3#5#200|3#6#400|3#7#200|3#6#400|3#8#400|3#9#100|3#10#200|3#11#100|3#12#200</v>
      </c>
      <c r="I85" s="49" t="str">
        <f t="shared" si="22"/>
        <v>元宝17593900/声望175940</v>
      </c>
      <c r="J85" s="47"/>
      <c r="K85" s="22">
        <v>80</v>
      </c>
      <c r="L85" s="22">
        <v>9</v>
      </c>
      <c r="M85" s="22">
        <f>材料产出!C$28</f>
        <v>6.4</v>
      </c>
      <c r="N85" s="97">
        <f t="shared" si="23"/>
        <v>4000</v>
      </c>
      <c r="O85" s="97"/>
      <c r="P85" s="97">
        <f t="shared" si="24"/>
        <v>200</v>
      </c>
      <c r="Q85" s="97">
        <f t="shared" si="25"/>
        <v>400</v>
      </c>
      <c r="R85" s="97">
        <f t="shared" si="26"/>
        <v>200</v>
      </c>
      <c r="S85" s="97">
        <f t="shared" si="27"/>
        <v>400</v>
      </c>
      <c r="T85" s="97">
        <f t="shared" si="28"/>
        <v>200</v>
      </c>
      <c r="U85" s="97">
        <f t="shared" si="29"/>
        <v>400</v>
      </c>
      <c r="V85" s="97">
        <f t="shared" si="30"/>
        <v>100</v>
      </c>
      <c r="W85" s="97">
        <f t="shared" si="31"/>
        <v>200</v>
      </c>
      <c r="X85" s="97">
        <f t="shared" si="32"/>
        <v>100</v>
      </c>
      <c r="Y85" s="97">
        <f t="shared" si="33"/>
        <v>200</v>
      </c>
      <c r="Z85" s="8">
        <f>N85*属性价值参考!C$5+官印!P85*属性价值参考!C$7+官印!Q85*属性价值参考!C$8+官印!V85*属性价值参考!C$9+官印!W85*属性价值参考!C$10+官印!X85*属性价值参考!C$11+官印!Y85*属性价值参考!C$12</f>
        <v>55560</v>
      </c>
      <c r="AA85" s="8">
        <f t="shared" si="19"/>
        <v>9260000</v>
      </c>
      <c r="AB85" s="8">
        <f t="shared" si="20"/>
        <v>92600</v>
      </c>
      <c r="AC85" s="8">
        <f>ROUND($AA$105/材料产出!$K$31*SUM(材料产出!$K$27:$K$28)/100,0)*100</f>
        <v>17593900</v>
      </c>
      <c r="AD85" s="8">
        <f>ROUND($AB$105/材料产出!$Q$31*SUM(材料产出!$P$27:$P$28)/10,0)*10</f>
        <v>175940</v>
      </c>
    </row>
    <row r="86" spans="1:30" ht="16.5" x14ac:dyDescent="0.3">
      <c r="A86" s="47" t="s">
        <v>29</v>
      </c>
      <c r="B86" s="47" t="s">
        <v>121</v>
      </c>
      <c r="C86" s="48" t="s">
        <v>128</v>
      </c>
      <c r="D86" s="47">
        <v>2</v>
      </c>
      <c r="E86" s="47"/>
      <c r="F86" s="47" t="s">
        <v>96</v>
      </c>
      <c r="G86" s="47"/>
      <c r="H86" s="59" t="str">
        <f t="shared" si="21"/>
        <v>3#1#4050|3#3#202|3#4#405|3#5#202|3#6#405|3#7#202|3#6#405|3#8#405|3#9#101|3#10#202|3#11#101|3#12#202</v>
      </c>
      <c r="I86" s="49" t="str">
        <f t="shared" si="22"/>
        <v>元宝17593900/声望175940</v>
      </c>
      <c r="J86" s="47"/>
      <c r="K86" s="22">
        <v>81</v>
      </c>
      <c r="L86" s="22">
        <v>9</v>
      </c>
      <c r="M86" s="22">
        <f>材料产出!C$28</f>
        <v>6.4</v>
      </c>
      <c r="N86" s="97">
        <f t="shared" si="23"/>
        <v>4050</v>
      </c>
      <c r="O86" s="97"/>
      <c r="P86" s="97">
        <f t="shared" si="24"/>
        <v>202</v>
      </c>
      <c r="Q86" s="97">
        <f t="shared" si="25"/>
        <v>405</v>
      </c>
      <c r="R86" s="97">
        <f t="shared" si="26"/>
        <v>202</v>
      </c>
      <c r="S86" s="97">
        <f t="shared" si="27"/>
        <v>405</v>
      </c>
      <c r="T86" s="97">
        <f t="shared" si="28"/>
        <v>202</v>
      </c>
      <c r="U86" s="97">
        <f t="shared" si="29"/>
        <v>405</v>
      </c>
      <c r="V86" s="97">
        <f t="shared" si="30"/>
        <v>101</v>
      </c>
      <c r="W86" s="97">
        <f t="shared" si="31"/>
        <v>202</v>
      </c>
      <c r="X86" s="97">
        <f t="shared" si="32"/>
        <v>101</v>
      </c>
      <c r="Y86" s="97">
        <f t="shared" si="33"/>
        <v>202</v>
      </c>
      <c r="Z86" s="8">
        <f>N86*属性价值参考!C$5+官印!P86*属性价值参考!C$7+官印!Q86*属性价值参考!C$8+官印!V86*属性价值参考!C$9+官印!W86*属性价值参考!C$10+官印!X86*属性价值参考!C$11+官印!Y86*属性价值参考!C$12</f>
        <v>56205.600000000006</v>
      </c>
      <c r="AA86" s="8">
        <f t="shared" si="19"/>
        <v>9367600.0000000019</v>
      </c>
      <c r="AB86" s="8">
        <f t="shared" si="20"/>
        <v>93676.000000000015</v>
      </c>
      <c r="AC86" s="8">
        <f>ROUND($AA$105/材料产出!$K$31*SUM(材料产出!$K$27:$K$28)/100,0)*100</f>
        <v>17593900</v>
      </c>
      <c r="AD86" s="8">
        <f>ROUND($AB$105/材料产出!$Q$31*SUM(材料产出!$P$27:$P$28)/10,0)*10</f>
        <v>175940</v>
      </c>
    </row>
    <row r="87" spans="1:30" ht="16.5" x14ac:dyDescent="0.3">
      <c r="A87" s="47" t="s">
        <v>29</v>
      </c>
      <c r="B87" s="47" t="s">
        <v>121</v>
      </c>
      <c r="C87" s="48" t="s">
        <v>128</v>
      </c>
      <c r="D87" s="47">
        <v>3</v>
      </c>
      <c r="E87" s="47"/>
      <c r="F87" s="47" t="s">
        <v>96</v>
      </c>
      <c r="G87" s="47"/>
      <c r="H87" s="59" t="str">
        <f t="shared" si="21"/>
        <v>3#1#4100|3#3#205|3#4#410|3#5#205|3#6#410|3#7#205|3#6#410|3#8#410|3#9#102|3#10#205|3#11#102|3#12#205</v>
      </c>
      <c r="I87" s="49" t="str">
        <f t="shared" si="22"/>
        <v>元宝17593900/声望175940</v>
      </c>
      <c r="J87" s="47"/>
      <c r="K87" s="22">
        <v>82</v>
      </c>
      <c r="L87" s="22">
        <v>9</v>
      </c>
      <c r="M87" s="22">
        <f>材料产出!C$28</f>
        <v>6.4</v>
      </c>
      <c r="N87" s="97">
        <f t="shared" si="23"/>
        <v>4100</v>
      </c>
      <c r="O87" s="97"/>
      <c r="P87" s="97">
        <f t="shared" si="24"/>
        <v>205</v>
      </c>
      <c r="Q87" s="97">
        <f t="shared" si="25"/>
        <v>410</v>
      </c>
      <c r="R87" s="97">
        <f t="shared" si="26"/>
        <v>205</v>
      </c>
      <c r="S87" s="97">
        <f t="shared" si="27"/>
        <v>410</v>
      </c>
      <c r="T87" s="97">
        <f t="shared" si="28"/>
        <v>205</v>
      </c>
      <c r="U87" s="97">
        <f t="shared" si="29"/>
        <v>410</v>
      </c>
      <c r="V87" s="97">
        <f t="shared" si="30"/>
        <v>102</v>
      </c>
      <c r="W87" s="97">
        <f t="shared" si="31"/>
        <v>205</v>
      </c>
      <c r="X87" s="97">
        <f t="shared" si="32"/>
        <v>102</v>
      </c>
      <c r="Y87" s="97">
        <f t="shared" si="33"/>
        <v>205</v>
      </c>
      <c r="Z87" s="8">
        <f>N87*属性价值参考!C$5+官印!P87*属性价值参考!C$7+官印!Q87*属性价值参考!C$8+官印!V87*属性价值参考!C$9+官印!W87*属性价值参考!C$10+官印!X87*属性价值参考!C$11+官印!Y87*属性价值参考!C$12</f>
        <v>56935.200000000004</v>
      </c>
      <c r="AA87" s="8">
        <f t="shared" si="19"/>
        <v>9489200.0000000019</v>
      </c>
      <c r="AB87" s="8">
        <f t="shared" si="20"/>
        <v>94892.000000000015</v>
      </c>
      <c r="AC87" s="8">
        <f>ROUND($AA$105/材料产出!$K$31*SUM(材料产出!$K$27:$K$28)/100,0)*100</f>
        <v>17593900</v>
      </c>
      <c r="AD87" s="8">
        <f>ROUND($AB$105/材料产出!$Q$31*SUM(材料产出!$P$27:$P$28)/10,0)*10</f>
        <v>175940</v>
      </c>
    </row>
    <row r="88" spans="1:30" ht="16.5" x14ac:dyDescent="0.3">
      <c r="A88" s="47" t="s">
        <v>29</v>
      </c>
      <c r="B88" s="47" t="s">
        <v>121</v>
      </c>
      <c r="C88" s="48" t="s">
        <v>128</v>
      </c>
      <c r="D88" s="47">
        <v>4</v>
      </c>
      <c r="E88" s="47"/>
      <c r="F88" s="47" t="s">
        <v>96</v>
      </c>
      <c r="G88" s="47"/>
      <c r="H88" s="59" t="str">
        <f t="shared" si="21"/>
        <v>3#1#4150|3#3#207|3#4#415|3#5#207|3#6#415|3#7#207|3#6#415|3#8#415|3#9#103|3#10#207|3#11#103|3#12#207</v>
      </c>
      <c r="I88" s="49" t="str">
        <f t="shared" si="22"/>
        <v>元宝17593900/声望175940</v>
      </c>
      <c r="J88" s="47"/>
      <c r="K88" s="22">
        <v>83</v>
      </c>
      <c r="L88" s="22">
        <v>9</v>
      </c>
      <c r="M88" s="22">
        <f>材料产出!C$28</f>
        <v>6.4</v>
      </c>
      <c r="N88" s="97">
        <f t="shared" si="23"/>
        <v>4150</v>
      </c>
      <c r="O88" s="97"/>
      <c r="P88" s="97">
        <f t="shared" si="24"/>
        <v>207</v>
      </c>
      <c r="Q88" s="97">
        <f t="shared" si="25"/>
        <v>415</v>
      </c>
      <c r="R88" s="97">
        <f t="shared" si="26"/>
        <v>207</v>
      </c>
      <c r="S88" s="97">
        <f t="shared" si="27"/>
        <v>415</v>
      </c>
      <c r="T88" s="97">
        <f t="shared" si="28"/>
        <v>207</v>
      </c>
      <c r="U88" s="97">
        <f t="shared" si="29"/>
        <v>415</v>
      </c>
      <c r="V88" s="97">
        <f t="shared" si="30"/>
        <v>103</v>
      </c>
      <c r="W88" s="97">
        <f t="shared" si="31"/>
        <v>207</v>
      </c>
      <c r="X88" s="97">
        <f t="shared" si="32"/>
        <v>103</v>
      </c>
      <c r="Y88" s="97">
        <f t="shared" si="33"/>
        <v>207</v>
      </c>
      <c r="Z88" s="8">
        <f>N88*属性价值参考!C$5+官印!P88*属性价值参考!C$7+官印!Q88*属性价值参考!C$8+官印!V88*属性价值参考!C$9+官印!W88*属性价值参考!C$10+官印!X88*属性价值参考!C$11+官印!Y88*属性价值参考!C$12</f>
        <v>57580.800000000003</v>
      </c>
      <c r="AA88" s="8">
        <f t="shared" si="19"/>
        <v>9596800.0000000019</v>
      </c>
      <c r="AB88" s="8">
        <f t="shared" si="20"/>
        <v>95968.000000000015</v>
      </c>
      <c r="AC88" s="8">
        <f>ROUND($AA$105/材料产出!$K$31*SUM(材料产出!$K$27:$K$28)/100,0)*100</f>
        <v>17593900</v>
      </c>
      <c r="AD88" s="8">
        <f>ROUND($AB$105/材料产出!$Q$31*SUM(材料产出!$P$27:$P$28)/10,0)*10</f>
        <v>175940</v>
      </c>
    </row>
    <row r="89" spans="1:30" ht="16.5" x14ac:dyDescent="0.3">
      <c r="A89" s="47" t="s">
        <v>29</v>
      </c>
      <c r="B89" s="47" t="s">
        <v>121</v>
      </c>
      <c r="C89" s="48" t="s">
        <v>128</v>
      </c>
      <c r="D89" s="47">
        <v>5</v>
      </c>
      <c r="E89" s="47"/>
      <c r="F89" s="47" t="s">
        <v>96</v>
      </c>
      <c r="G89" s="47"/>
      <c r="H89" s="59" t="str">
        <f t="shared" si="21"/>
        <v>3#1#4200|3#3#210|3#4#420|3#5#210|3#6#420|3#7#210|3#6#420|3#8#420|3#9#105|3#10#210|3#11#105|3#12#210</v>
      </c>
      <c r="I89" s="49" t="str">
        <f t="shared" si="22"/>
        <v>元宝17593900/声望175940</v>
      </c>
      <c r="J89" s="47"/>
      <c r="K89" s="22">
        <v>84</v>
      </c>
      <c r="L89" s="22">
        <v>9</v>
      </c>
      <c r="M89" s="22">
        <f>材料产出!C$28</f>
        <v>6.4</v>
      </c>
      <c r="N89" s="97">
        <f t="shared" si="23"/>
        <v>4200</v>
      </c>
      <c r="O89" s="97"/>
      <c r="P89" s="97">
        <f t="shared" si="24"/>
        <v>210</v>
      </c>
      <c r="Q89" s="97">
        <f t="shared" si="25"/>
        <v>420</v>
      </c>
      <c r="R89" s="97">
        <f t="shared" si="26"/>
        <v>210</v>
      </c>
      <c r="S89" s="97">
        <f t="shared" si="27"/>
        <v>420</v>
      </c>
      <c r="T89" s="97">
        <f t="shared" si="28"/>
        <v>210</v>
      </c>
      <c r="U89" s="97">
        <f t="shared" si="29"/>
        <v>420</v>
      </c>
      <c r="V89" s="97">
        <f t="shared" si="30"/>
        <v>105</v>
      </c>
      <c r="W89" s="97">
        <f t="shared" si="31"/>
        <v>210</v>
      </c>
      <c r="X89" s="97">
        <f t="shared" si="32"/>
        <v>105</v>
      </c>
      <c r="Y89" s="97">
        <f t="shared" si="33"/>
        <v>210</v>
      </c>
      <c r="Z89" s="8">
        <f>N89*属性价值参考!C$5+官印!P89*属性价值参考!C$7+官印!Q89*属性价值参考!C$8+官印!V89*属性价值参考!C$9+官印!W89*属性价值参考!C$10+官印!X89*属性价值参考!C$11+官印!Y89*属性价值参考!C$12</f>
        <v>58338</v>
      </c>
      <c r="AA89" s="8">
        <f t="shared" si="19"/>
        <v>9723000</v>
      </c>
      <c r="AB89" s="8">
        <f t="shared" si="20"/>
        <v>97230</v>
      </c>
      <c r="AC89" s="8">
        <f>ROUND($AA$105/材料产出!$K$31*SUM(材料产出!$K$27:$K$28)/100,0)*100</f>
        <v>17593900</v>
      </c>
      <c r="AD89" s="8">
        <f>ROUND($AB$105/材料产出!$Q$31*SUM(材料产出!$P$27:$P$28)/10,0)*10</f>
        <v>175940</v>
      </c>
    </row>
    <row r="90" spans="1:30" ht="16.5" x14ac:dyDescent="0.3">
      <c r="A90" s="47" t="s">
        <v>29</v>
      </c>
      <c r="B90" s="47" t="s">
        <v>121</v>
      </c>
      <c r="C90" s="48" t="s">
        <v>128</v>
      </c>
      <c r="D90" s="47">
        <v>6</v>
      </c>
      <c r="E90" s="47"/>
      <c r="F90" s="47" t="s">
        <v>96</v>
      </c>
      <c r="G90" s="47"/>
      <c r="H90" s="59" t="str">
        <f t="shared" si="21"/>
        <v>3#1#4250|3#3#212|3#4#425|3#5#212|3#6#425|3#7#212|3#6#425|3#8#425|3#9#106|3#10#212|3#11#106|3#12#212</v>
      </c>
      <c r="I90" s="49" t="str">
        <f t="shared" si="22"/>
        <v>元宝17593900/声望175940</v>
      </c>
      <c r="J90" s="47"/>
      <c r="K90" s="22">
        <v>85</v>
      </c>
      <c r="L90" s="22">
        <v>9</v>
      </c>
      <c r="M90" s="22">
        <f>材料产出!C$28</f>
        <v>6.4</v>
      </c>
      <c r="N90" s="97">
        <f t="shared" si="23"/>
        <v>4250</v>
      </c>
      <c r="O90" s="97"/>
      <c r="P90" s="97">
        <f t="shared" si="24"/>
        <v>212</v>
      </c>
      <c r="Q90" s="97">
        <f t="shared" si="25"/>
        <v>425</v>
      </c>
      <c r="R90" s="97">
        <f t="shared" si="26"/>
        <v>212</v>
      </c>
      <c r="S90" s="97">
        <f t="shared" si="27"/>
        <v>425</v>
      </c>
      <c r="T90" s="97">
        <f t="shared" si="28"/>
        <v>212</v>
      </c>
      <c r="U90" s="97">
        <f t="shared" si="29"/>
        <v>425</v>
      </c>
      <c r="V90" s="97">
        <f t="shared" si="30"/>
        <v>106</v>
      </c>
      <c r="W90" s="97">
        <f t="shared" si="31"/>
        <v>212</v>
      </c>
      <c r="X90" s="97">
        <f t="shared" si="32"/>
        <v>106</v>
      </c>
      <c r="Y90" s="97">
        <f t="shared" si="33"/>
        <v>212</v>
      </c>
      <c r="Z90" s="8">
        <f>N90*属性价值参考!C$5+官印!P90*属性价值参考!C$7+官印!Q90*属性价值参考!C$8+官印!V90*属性价值参考!C$9+官印!W90*属性价值参考!C$10+官印!X90*属性价值参考!C$11+官印!Y90*属性价值参考!C$12</f>
        <v>58983.600000000006</v>
      </c>
      <c r="AA90" s="8">
        <f t="shared" si="19"/>
        <v>9830600.0000000019</v>
      </c>
      <c r="AB90" s="8">
        <f t="shared" si="20"/>
        <v>98306.000000000015</v>
      </c>
      <c r="AC90" s="8">
        <f>ROUND($AA$105/材料产出!$K$31*SUM(材料产出!$K$27:$K$28)/100,0)*100</f>
        <v>17593900</v>
      </c>
      <c r="AD90" s="8">
        <f>ROUND($AB$105/材料产出!$Q$31*SUM(材料产出!$P$27:$P$28)/10,0)*10</f>
        <v>175940</v>
      </c>
    </row>
    <row r="91" spans="1:30" ht="16.5" x14ac:dyDescent="0.3">
      <c r="A91" s="47" t="s">
        <v>29</v>
      </c>
      <c r="B91" s="47" t="s">
        <v>121</v>
      </c>
      <c r="C91" s="48" t="s">
        <v>128</v>
      </c>
      <c r="D91" s="47">
        <v>7</v>
      </c>
      <c r="E91" s="47"/>
      <c r="F91" s="47" t="s">
        <v>96</v>
      </c>
      <c r="G91" s="47"/>
      <c r="H91" s="59" t="str">
        <f t="shared" si="21"/>
        <v>3#1#4300|3#3#215|3#4#430|3#5#215|3#6#430|3#7#215|3#6#430|3#8#430|3#9#107|3#10#215|3#11#107|3#12#215</v>
      </c>
      <c r="I91" s="49" t="str">
        <f t="shared" si="22"/>
        <v>元宝17593900/声望175940</v>
      </c>
      <c r="J91" s="47"/>
      <c r="K91" s="22">
        <v>86</v>
      </c>
      <c r="L91" s="22">
        <v>9</v>
      </c>
      <c r="M91" s="22">
        <f>材料产出!C$28</f>
        <v>6.4</v>
      </c>
      <c r="N91" s="97">
        <f t="shared" si="23"/>
        <v>4300</v>
      </c>
      <c r="O91" s="97"/>
      <c r="P91" s="97">
        <f t="shared" si="24"/>
        <v>215</v>
      </c>
      <c r="Q91" s="97">
        <f t="shared" si="25"/>
        <v>430</v>
      </c>
      <c r="R91" s="97">
        <f t="shared" si="26"/>
        <v>215</v>
      </c>
      <c r="S91" s="97">
        <f t="shared" si="27"/>
        <v>430</v>
      </c>
      <c r="T91" s="97">
        <f t="shared" si="28"/>
        <v>215</v>
      </c>
      <c r="U91" s="97">
        <f t="shared" si="29"/>
        <v>430</v>
      </c>
      <c r="V91" s="97">
        <f t="shared" si="30"/>
        <v>107</v>
      </c>
      <c r="W91" s="97">
        <f t="shared" si="31"/>
        <v>215</v>
      </c>
      <c r="X91" s="97">
        <f t="shared" si="32"/>
        <v>107</v>
      </c>
      <c r="Y91" s="97">
        <f t="shared" si="33"/>
        <v>215</v>
      </c>
      <c r="Z91" s="8">
        <f>N91*属性价值参考!C$5+官印!P91*属性价值参考!C$7+官印!Q91*属性价值参考!C$8+官印!V91*属性价值参考!C$9+官印!W91*属性价值参考!C$10+官印!X91*属性价值参考!C$11+官印!Y91*属性价值参考!C$12</f>
        <v>59713.200000000004</v>
      </c>
      <c r="AA91" s="8">
        <f t="shared" si="19"/>
        <v>9952200.0000000019</v>
      </c>
      <c r="AB91" s="8">
        <f t="shared" si="20"/>
        <v>99522.000000000015</v>
      </c>
      <c r="AC91" s="8">
        <f>ROUND($AA$105/材料产出!$K$31*SUM(材料产出!$K$27:$K$28)/100,0)*100</f>
        <v>17593900</v>
      </c>
      <c r="AD91" s="8">
        <f>ROUND($AB$105/材料产出!$Q$31*SUM(材料产出!$P$27:$P$28)/10,0)*10</f>
        <v>175940</v>
      </c>
    </row>
    <row r="92" spans="1:30" ht="16.5" x14ac:dyDescent="0.3">
      <c r="A92" s="47" t="s">
        <v>29</v>
      </c>
      <c r="B92" s="47" t="s">
        <v>121</v>
      </c>
      <c r="C92" s="48" t="s">
        <v>128</v>
      </c>
      <c r="D92" s="47">
        <v>8</v>
      </c>
      <c r="E92" s="47"/>
      <c r="F92" s="47" t="s">
        <v>96</v>
      </c>
      <c r="G92" s="47"/>
      <c r="H92" s="59" t="str">
        <f t="shared" si="21"/>
        <v>3#1#4350|3#3#217|3#4#435|3#5#217|3#6#435|3#7#217|3#6#435|3#8#435|3#9#108|3#10#217|3#11#108|3#12#217</v>
      </c>
      <c r="I92" s="49" t="str">
        <f t="shared" si="22"/>
        <v>元宝17593900/声望175940</v>
      </c>
      <c r="J92" s="47"/>
      <c r="K92" s="22">
        <v>87</v>
      </c>
      <c r="L92" s="22">
        <v>9</v>
      </c>
      <c r="M92" s="22">
        <f>材料产出!C$28</f>
        <v>6.4</v>
      </c>
      <c r="N92" s="97">
        <f t="shared" si="23"/>
        <v>4350</v>
      </c>
      <c r="O92" s="97"/>
      <c r="P92" s="97">
        <f t="shared" si="24"/>
        <v>217</v>
      </c>
      <c r="Q92" s="97">
        <f t="shared" si="25"/>
        <v>435</v>
      </c>
      <c r="R92" s="97">
        <f t="shared" si="26"/>
        <v>217</v>
      </c>
      <c r="S92" s="97">
        <f t="shared" si="27"/>
        <v>435</v>
      </c>
      <c r="T92" s="97">
        <f t="shared" si="28"/>
        <v>217</v>
      </c>
      <c r="U92" s="97">
        <f t="shared" si="29"/>
        <v>435</v>
      </c>
      <c r="V92" s="97">
        <f t="shared" si="30"/>
        <v>108</v>
      </c>
      <c r="W92" s="97">
        <f t="shared" si="31"/>
        <v>217</v>
      </c>
      <c r="X92" s="97">
        <f t="shared" si="32"/>
        <v>108</v>
      </c>
      <c r="Y92" s="97">
        <f t="shared" si="33"/>
        <v>217</v>
      </c>
      <c r="Z92" s="8">
        <f>N92*属性价值参考!C$5+官印!P92*属性价值参考!C$7+官印!Q92*属性价值参考!C$8+官印!V92*属性价值参考!C$9+官印!W92*属性价值参考!C$10+官印!X92*属性价值参考!C$11+官印!Y92*属性价值参考!C$12</f>
        <v>60358.8</v>
      </c>
      <c r="AA92" s="8">
        <f t="shared" si="19"/>
        <v>10059800.000000002</v>
      </c>
      <c r="AB92" s="8">
        <f t="shared" si="20"/>
        <v>100598.00000000001</v>
      </c>
      <c r="AC92" s="8">
        <f>ROUND($AA$105/材料产出!$K$31*SUM(材料产出!$K$27:$K$28)/100,0)*100</f>
        <v>17593900</v>
      </c>
      <c r="AD92" s="8">
        <f>ROUND($AB$105/材料产出!$Q$31*SUM(材料产出!$P$27:$P$28)/10,0)*10</f>
        <v>175940</v>
      </c>
    </row>
    <row r="93" spans="1:30" ht="16.5" x14ac:dyDescent="0.3">
      <c r="A93" s="47" t="s">
        <v>29</v>
      </c>
      <c r="B93" s="47" t="s">
        <v>121</v>
      </c>
      <c r="C93" s="48" t="s">
        <v>128</v>
      </c>
      <c r="D93" s="47">
        <v>9</v>
      </c>
      <c r="E93" s="47"/>
      <c r="F93" s="47" t="s">
        <v>96</v>
      </c>
      <c r="G93" s="47"/>
      <c r="H93" s="59" t="str">
        <f t="shared" si="21"/>
        <v>3#1#4400|3#3#220|3#4#440|3#5#220|3#6#440|3#7#220|3#6#440|3#8#440|3#9#110|3#10#220|3#11#110|3#12#220</v>
      </c>
      <c r="I93" s="49" t="str">
        <f t="shared" si="22"/>
        <v>元宝17593900/声望175940</v>
      </c>
      <c r="J93" s="47"/>
      <c r="K93" s="22">
        <v>88</v>
      </c>
      <c r="L93" s="22">
        <v>9</v>
      </c>
      <c r="M93" s="22">
        <f>材料产出!C$28</f>
        <v>6.4</v>
      </c>
      <c r="N93" s="97">
        <f t="shared" si="23"/>
        <v>4400</v>
      </c>
      <c r="O93" s="97"/>
      <c r="P93" s="97">
        <f t="shared" si="24"/>
        <v>220</v>
      </c>
      <c r="Q93" s="97">
        <f t="shared" si="25"/>
        <v>440</v>
      </c>
      <c r="R93" s="97">
        <f t="shared" si="26"/>
        <v>220</v>
      </c>
      <c r="S93" s="97">
        <f t="shared" si="27"/>
        <v>440</v>
      </c>
      <c r="T93" s="97">
        <f t="shared" si="28"/>
        <v>220</v>
      </c>
      <c r="U93" s="97">
        <f t="shared" si="29"/>
        <v>440</v>
      </c>
      <c r="V93" s="97">
        <f t="shared" si="30"/>
        <v>110</v>
      </c>
      <c r="W93" s="97">
        <f t="shared" si="31"/>
        <v>220</v>
      </c>
      <c r="X93" s="97">
        <f t="shared" si="32"/>
        <v>110</v>
      </c>
      <c r="Y93" s="97">
        <f t="shared" si="33"/>
        <v>220</v>
      </c>
      <c r="Z93" s="8">
        <f>N93*属性价值参考!C$5+官印!P93*属性价值参考!C$7+官印!Q93*属性价值参考!C$8+官印!V93*属性价值参考!C$9+官印!W93*属性价值参考!C$10+官印!X93*属性价值参考!C$11+官印!Y93*属性价值参考!C$12</f>
        <v>61116</v>
      </c>
      <c r="AA93" s="8">
        <f t="shared" si="19"/>
        <v>10186000</v>
      </c>
      <c r="AB93" s="8">
        <f t="shared" si="20"/>
        <v>101860</v>
      </c>
      <c r="AC93" s="8">
        <f>ROUND($AA$105/材料产出!$K$31*SUM(材料产出!$K$27:$K$28)/100,0)*100</f>
        <v>17593900</v>
      </c>
      <c r="AD93" s="8">
        <f>ROUND($AB$105/材料产出!$Q$31*SUM(材料产出!$P$27:$P$28)/10,0)*10</f>
        <v>175940</v>
      </c>
    </row>
    <row r="94" spans="1:30" ht="16.5" x14ac:dyDescent="0.3">
      <c r="A94" s="50" t="s">
        <v>29</v>
      </c>
      <c r="B94" s="50" t="s">
        <v>121</v>
      </c>
      <c r="C94" s="51" t="s">
        <v>129</v>
      </c>
      <c r="D94" s="50">
        <v>0</v>
      </c>
      <c r="E94" s="50"/>
      <c r="F94" s="50" t="s">
        <v>96</v>
      </c>
      <c r="G94" s="50"/>
      <c r="H94" s="58" t="str">
        <f t="shared" si="21"/>
        <v>3#1#4450|3#3#222|3#4#445|3#5#222|3#6#445|3#7#222|3#6#445|3#8#445|3#9#111|3#10#222|3#11#111|3#12#222</v>
      </c>
      <c r="I94" s="52"/>
      <c r="J94" s="50"/>
      <c r="K94" s="22">
        <v>89</v>
      </c>
      <c r="L94" s="22"/>
      <c r="M94" s="22"/>
      <c r="N94" s="97">
        <f t="shared" si="23"/>
        <v>4450</v>
      </c>
      <c r="O94" s="97"/>
      <c r="P94" s="97">
        <f t="shared" si="24"/>
        <v>222</v>
      </c>
      <c r="Q94" s="97">
        <f t="shared" si="25"/>
        <v>445</v>
      </c>
      <c r="R94" s="97">
        <f t="shared" si="26"/>
        <v>222</v>
      </c>
      <c r="S94" s="97">
        <f t="shared" si="27"/>
        <v>445</v>
      </c>
      <c r="T94" s="97">
        <f t="shared" si="28"/>
        <v>222</v>
      </c>
      <c r="U94" s="97">
        <f t="shared" si="29"/>
        <v>445</v>
      </c>
      <c r="V94" s="97">
        <f t="shared" si="30"/>
        <v>111</v>
      </c>
      <c r="W94" s="97">
        <f t="shared" si="31"/>
        <v>222</v>
      </c>
      <c r="X94" s="97">
        <f t="shared" si="32"/>
        <v>111</v>
      </c>
      <c r="Y94" s="97">
        <f t="shared" si="33"/>
        <v>222</v>
      </c>
      <c r="Z94" s="8">
        <f>N94*属性价值参考!C$5+官印!P94*属性价值参考!C$7+官印!Q94*属性价值参考!C$8+官印!V94*属性价值参考!C$9+官印!W94*属性价值参考!C$10+官印!X94*属性价值参考!C$11+官印!Y94*属性价值参考!C$12</f>
        <v>61761.600000000006</v>
      </c>
      <c r="AA94" s="8">
        <f t="shared" si="19"/>
        <v>10293600.000000002</v>
      </c>
      <c r="AB94" s="8">
        <f t="shared" si="20"/>
        <v>102936.00000000001</v>
      </c>
      <c r="AC94" s="8"/>
      <c r="AD94" s="8"/>
    </row>
    <row r="95" spans="1:30" ht="16.5" x14ac:dyDescent="0.3">
      <c r="A95" s="50" t="s">
        <v>29</v>
      </c>
      <c r="B95" s="50" t="s">
        <v>121</v>
      </c>
      <c r="C95" s="51" t="s">
        <v>129</v>
      </c>
      <c r="D95" s="50">
        <v>1</v>
      </c>
      <c r="E95" s="50"/>
      <c r="F95" s="50" t="s">
        <v>97</v>
      </c>
      <c r="G95" s="50"/>
      <c r="H95" s="58" t="str">
        <f t="shared" si="21"/>
        <v>3#1#4500|3#3#225|3#4#450|3#5#225|3#6#450|3#7#225|3#6#450|3#8#450|3#9#112|3#10#225|3#11#112|3#12#225</v>
      </c>
      <c r="I95" s="52" t="str">
        <f t="shared" si="22"/>
        <v>元宝19282900/声望192830</v>
      </c>
      <c r="J95" s="50"/>
      <c r="K95" s="22">
        <v>90</v>
      </c>
      <c r="L95" s="22">
        <v>10</v>
      </c>
      <c r="M95" s="22">
        <f>材料产出!C$30</f>
        <v>7</v>
      </c>
      <c r="N95" s="97">
        <f t="shared" si="23"/>
        <v>4500</v>
      </c>
      <c r="O95" s="97"/>
      <c r="P95" s="97">
        <f t="shared" si="24"/>
        <v>225</v>
      </c>
      <c r="Q95" s="97">
        <f t="shared" si="25"/>
        <v>450</v>
      </c>
      <c r="R95" s="97">
        <f t="shared" si="26"/>
        <v>225</v>
      </c>
      <c r="S95" s="97">
        <f t="shared" si="27"/>
        <v>450</v>
      </c>
      <c r="T95" s="97">
        <f t="shared" si="28"/>
        <v>225</v>
      </c>
      <c r="U95" s="97">
        <f t="shared" si="29"/>
        <v>450</v>
      </c>
      <c r="V95" s="97">
        <f t="shared" si="30"/>
        <v>112</v>
      </c>
      <c r="W95" s="97">
        <f t="shared" si="31"/>
        <v>225</v>
      </c>
      <c r="X95" s="97">
        <f t="shared" si="32"/>
        <v>112</v>
      </c>
      <c r="Y95" s="97">
        <f t="shared" si="33"/>
        <v>225</v>
      </c>
      <c r="Z95" s="8">
        <f>N95*属性价值参考!C$5+官印!P95*属性价值参考!C$7+官印!Q95*属性价值参考!C$8+官印!V95*属性价值参考!C$9+官印!W95*属性价值参考!C$10+官印!X95*属性价值参考!C$11+官印!Y95*属性价值参考!C$12</f>
        <v>62491.200000000004</v>
      </c>
      <c r="AA95" s="8">
        <f t="shared" si="19"/>
        <v>10415200.000000002</v>
      </c>
      <c r="AB95" s="8">
        <f t="shared" si="20"/>
        <v>104152.00000000001</v>
      </c>
      <c r="AC95" s="8">
        <f>ROUND($AA$105/材料产出!$K$31*SUM(材料产出!$K$29:$K$30)/100,0)*100</f>
        <v>19282900</v>
      </c>
      <c r="AD95" s="8">
        <f>ROUND($AB$105/材料产出!$Q$31*SUM(材料产出!$P$29:$P$30)/10,0)*10</f>
        <v>192830</v>
      </c>
    </row>
    <row r="96" spans="1:30" ht="16.5" x14ac:dyDescent="0.3">
      <c r="A96" s="50" t="s">
        <v>29</v>
      </c>
      <c r="B96" s="50" t="s">
        <v>121</v>
      </c>
      <c r="C96" s="51" t="s">
        <v>129</v>
      </c>
      <c r="D96" s="50">
        <v>2</v>
      </c>
      <c r="E96" s="50"/>
      <c r="F96" s="50" t="s">
        <v>97</v>
      </c>
      <c r="G96" s="50"/>
      <c r="H96" s="58" t="str">
        <f t="shared" si="21"/>
        <v>3#1#4550|3#3#227|3#4#455|3#5#227|3#6#455|3#7#227|3#6#455|3#8#455|3#9#113|3#10#227|3#11#113|3#12#227</v>
      </c>
      <c r="I96" s="52" t="str">
        <f t="shared" si="22"/>
        <v>元宝19282900/声望192830</v>
      </c>
      <c r="J96" s="50"/>
      <c r="K96" s="22">
        <v>91</v>
      </c>
      <c r="L96" s="22">
        <v>10</v>
      </c>
      <c r="M96" s="22">
        <f>材料产出!C$30</f>
        <v>7</v>
      </c>
      <c r="N96" s="97">
        <f t="shared" si="23"/>
        <v>4550</v>
      </c>
      <c r="O96" s="97"/>
      <c r="P96" s="97">
        <f t="shared" si="24"/>
        <v>227</v>
      </c>
      <c r="Q96" s="97">
        <f t="shared" si="25"/>
        <v>455</v>
      </c>
      <c r="R96" s="97">
        <f t="shared" si="26"/>
        <v>227</v>
      </c>
      <c r="S96" s="97">
        <f t="shared" si="27"/>
        <v>455</v>
      </c>
      <c r="T96" s="97">
        <f t="shared" si="28"/>
        <v>227</v>
      </c>
      <c r="U96" s="97">
        <f t="shared" si="29"/>
        <v>455</v>
      </c>
      <c r="V96" s="97">
        <f t="shared" si="30"/>
        <v>113</v>
      </c>
      <c r="W96" s="97">
        <f t="shared" si="31"/>
        <v>227</v>
      </c>
      <c r="X96" s="97">
        <f t="shared" si="32"/>
        <v>113</v>
      </c>
      <c r="Y96" s="97">
        <f t="shared" si="33"/>
        <v>227</v>
      </c>
      <c r="Z96" s="8">
        <f>N96*属性价值参考!C$5+官印!P96*属性价值参考!C$7+官印!Q96*属性价值参考!C$8+官印!V96*属性价值参考!C$9+官印!W96*属性价值参考!C$10+官印!X96*属性价值参考!C$11+官印!Y96*属性价值参考!C$12</f>
        <v>63136.800000000003</v>
      </c>
      <c r="AA96" s="8">
        <f t="shared" si="19"/>
        <v>10522800.000000002</v>
      </c>
      <c r="AB96" s="8">
        <f t="shared" si="20"/>
        <v>105228.00000000001</v>
      </c>
      <c r="AC96" s="8">
        <f>ROUND($AA$105/材料产出!$K$31*SUM(材料产出!$K$29:$K$30)/100,0)*100</f>
        <v>19282900</v>
      </c>
      <c r="AD96" s="8">
        <f>ROUND($AB$105/材料产出!$Q$31*SUM(材料产出!$P$29:$P$30)/10,0)*10</f>
        <v>192830</v>
      </c>
    </row>
    <row r="97" spans="1:30" ht="16.5" x14ac:dyDescent="0.3">
      <c r="A97" s="50" t="s">
        <v>29</v>
      </c>
      <c r="B97" s="50" t="s">
        <v>121</v>
      </c>
      <c r="C97" s="51" t="s">
        <v>129</v>
      </c>
      <c r="D97" s="50">
        <v>3</v>
      </c>
      <c r="E97" s="50"/>
      <c r="F97" s="50" t="s">
        <v>97</v>
      </c>
      <c r="G97" s="50"/>
      <c r="H97" s="58" t="str">
        <f t="shared" si="21"/>
        <v>3#1#4600|3#3#230|3#4#460|3#5#230|3#6#460|3#7#230|3#6#460|3#8#460|3#9#115|3#10#230|3#11#115|3#12#230</v>
      </c>
      <c r="I97" s="52" t="str">
        <f t="shared" si="22"/>
        <v>元宝19282900/声望192830</v>
      </c>
      <c r="J97" s="50"/>
      <c r="K97" s="22">
        <v>92</v>
      </c>
      <c r="L97" s="22">
        <v>10</v>
      </c>
      <c r="M97" s="22">
        <f>材料产出!C$30</f>
        <v>7</v>
      </c>
      <c r="N97" s="97">
        <f t="shared" si="23"/>
        <v>4600</v>
      </c>
      <c r="O97" s="97"/>
      <c r="P97" s="97">
        <f t="shared" si="24"/>
        <v>230</v>
      </c>
      <c r="Q97" s="97">
        <f t="shared" si="25"/>
        <v>460</v>
      </c>
      <c r="R97" s="97">
        <f t="shared" si="26"/>
        <v>230</v>
      </c>
      <c r="S97" s="97">
        <f t="shared" si="27"/>
        <v>460</v>
      </c>
      <c r="T97" s="97">
        <f t="shared" si="28"/>
        <v>230</v>
      </c>
      <c r="U97" s="97">
        <f t="shared" si="29"/>
        <v>460</v>
      </c>
      <c r="V97" s="97">
        <f t="shared" si="30"/>
        <v>115</v>
      </c>
      <c r="W97" s="97">
        <f t="shared" si="31"/>
        <v>230</v>
      </c>
      <c r="X97" s="97">
        <f t="shared" si="32"/>
        <v>115</v>
      </c>
      <c r="Y97" s="97">
        <f t="shared" si="33"/>
        <v>230</v>
      </c>
      <c r="Z97" s="8">
        <f>N97*属性价值参考!C$5+官印!P97*属性价值参考!C$7+官印!Q97*属性价值参考!C$8+官印!V97*属性价值参考!C$9+官印!W97*属性价值参考!C$10+官印!X97*属性价值参考!C$11+官印!Y97*属性价值参考!C$12</f>
        <v>63894</v>
      </c>
      <c r="AA97" s="8">
        <f t="shared" si="19"/>
        <v>10649000</v>
      </c>
      <c r="AB97" s="8">
        <f t="shared" si="20"/>
        <v>106490</v>
      </c>
      <c r="AC97" s="8">
        <f>ROUND($AA$105/材料产出!$K$31*SUM(材料产出!$K$29:$K$30)/100,0)*100</f>
        <v>19282900</v>
      </c>
      <c r="AD97" s="8">
        <f>ROUND($AB$105/材料产出!$Q$31*SUM(材料产出!$P$29:$P$30)/10,0)*10</f>
        <v>192830</v>
      </c>
    </row>
    <row r="98" spans="1:30" ht="16.5" x14ac:dyDescent="0.3">
      <c r="A98" s="50" t="s">
        <v>29</v>
      </c>
      <c r="B98" s="50" t="s">
        <v>121</v>
      </c>
      <c r="C98" s="51" t="s">
        <v>129</v>
      </c>
      <c r="D98" s="50">
        <v>4</v>
      </c>
      <c r="E98" s="50"/>
      <c r="F98" s="50" t="s">
        <v>97</v>
      </c>
      <c r="G98" s="50"/>
      <c r="H98" s="58" t="str">
        <f t="shared" si="21"/>
        <v>3#1#4650|3#3#232|3#4#465|3#5#232|3#6#465|3#7#232|3#6#465|3#8#465|3#9#116|3#10#232|3#11#116|3#12#232</v>
      </c>
      <c r="I98" s="52" t="str">
        <f t="shared" si="22"/>
        <v>元宝19282900/声望192830</v>
      </c>
      <c r="J98" s="50"/>
      <c r="K98" s="22">
        <v>93</v>
      </c>
      <c r="L98" s="22">
        <v>10</v>
      </c>
      <c r="M98" s="22">
        <f>材料产出!C$30</f>
        <v>7</v>
      </c>
      <c r="N98" s="97">
        <f t="shared" si="23"/>
        <v>4650</v>
      </c>
      <c r="O98" s="97"/>
      <c r="P98" s="97">
        <f t="shared" si="24"/>
        <v>232</v>
      </c>
      <c r="Q98" s="97">
        <f t="shared" si="25"/>
        <v>465</v>
      </c>
      <c r="R98" s="97">
        <f t="shared" si="26"/>
        <v>232</v>
      </c>
      <c r="S98" s="97">
        <f t="shared" si="27"/>
        <v>465</v>
      </c>
      <c r="T98" s="97">
        <f t="shared" si="28"/>
        <v>232</v>
      </c>
      <c r="U98" s="97">
        <f t="shared" si="29"/>
        <v>465</v>
      </c>
      <c r="V98" s="97">
        <f t="shared" si="30"/>
        <v>116</v>
      </c>
      <c r="W98" s="97">
        <f t="shared" si="31"/>
        <v>232</v>
      </c>
      <c r="X98" s="97">
        <f t="shared" si="32"/>
        <v>116</v>
      </c>
      <c r="Y98" s="97">
        <f t="shared" si="33"/>
        <v>232</v>
      </c>
      <c r="Z98" s="8">
        <f>N98*属性价值参考!C$5+官印!P98*属性价值参考!C$7+官印!Q98*属性价值参考!C$8+官印!V98*属性价值参考!C$9+官印!W98*属性价值参考!C$10+官印!X98*属性价值参考!C$11+官印!Y98*属性价值参考!C$12</f>
        <v>64539.600000000006</v>
      </c>
      <c r="AA98" s="8">
        <f t="shared" si="19"/>
        <v>10756600.000000002</v>
      </c>
      <c r="AB98" s="8">
        <f t="shared" si="20"/>
        <v>107566.00000000001</v>
      </c>
      <c r="AC98" s="8">
        <f>ROUND($AA$105/材料产出!$K$31*SUM(材料产出!$K$29:$K$30)/100,0)*100</f>
        <v>19282900</v>
      </c>
      <c r="AD98" s="8">
        <f>ROUND($AB$105/材料产出!$Q$31*SUM(材料产出!$P$29:$P$30)/10,0)*10</f>
        <v>192830</v>
      </c>
    </row>
    <row r="99" spans="1:30" ht="16.5" x14ac:dyDescent="0.3">
      <c r="A99" s="50" t="s">
        <v>29</v>
      </c>
      <c r="B99" s="50" t="s">
        <v>121</v>
      </c>
      <c r="C99" s="51" t="s">
        <v>129</v>
      </c>
      <c r="D99" s="50">
        <v>5</v>
      </c>
      <c r="E99" s="50"/>
      <c r="F99" s="50" t="s">
        <v>97</v>
      </c>
      <c r="G99" s="50"/>
      <c r="H99" s="58" t="str">
        <f t="shared" si="21"/>
        <v>3#1#4700|3#3#235|3#4#470|3#5#235|3#6#470|3#7#235|3#6#470|3#8#470|3#9#117|3#10#235|3#11#117|3#12#235</v>
      </c>
      <c r="I99" s="52" t="str">
        <f t="shared" si="22"/>
        <v>元宝19282900/声望192830</v>
      </c>
      <c r="J99" s="50"/>
      <c r="K99" s="22">
        <v>94</v>
      </c>
      <c r="L99" s="22">
        <v>10</v>
      </c>
      <c r="M99" s="22">
        <f>材料产出!C$30</f>
        <v>7</v>
      </c>
      <c r="N99" s="97">
        <f t="shared" si="23"/>
        <v>4700</v>
      </c>
      <c r="O99" s="97"/>
      <c r="P99" s="97">
        <f t="shared" si="24"/>
        <v>235</v>
      </c>
      <c r="Q99" s="97">
        <f t="shared" si="25"/>
        <v>470</v>
      </c>
      <c r="R99" s="97">
        <f t="shared" si="26"/>
        <v>235</v>
      </c>
      <c r="S99" s="97">
        <f t="shared" si="27"/>
        <v>470</v>
      </c>
      <c r="T99" s="97">
        <f t="shared" si="28"/>
        <v>235</v>
      </c>
      <c r="U99" s="97">
        <f t="shared" si="29"/>
        <v>470</v>
      </c>
      <c r="V99" s="97">
        <f t="shared" si="30"/>
        <v>117</v>
      </c>
      <c r="W99" s="97">
        <f t="shared" si="31"/>
        <v>235</v>
      </c>
      <c r="X99" s="97">
        <f t="shared" si="32"/>
        <v>117</v>
      </c>
      <c r="Y99" s="97">
        <f t="shared" si="33"/>
        <v>235</v>
      </c>
      <c r="Z99" s="8">
        <f>N99*属性价值参考!C$5+官印!P99*属性价值参考!C$7+官印!Q99*属性价值参考!C$8+官印!V99*属性价值参考!C$9+官印!W99*属性价值参考!C$10+官印!X99*属性价值参考!C$11+官印!Y99*属性价值参考!C$12</f>
        <v>65269.200000000004</v>
      </c>
      <c r="AA99" s="8">
        <f t="shared" si="19"/>
        <v>10878200.000000002</v>
      </c>
      <c r="AB99" s="8">
        <f t="shared" si="20"/>
        <v>108782.00000000001</v>
      </c>
      <c r="AC99" s="8">
        <f>ROUND($AA$105/材料产出!$K$31*SUM(材料产出!$K$29:$K$30)/100,0)*100</f>
        <v>19282900</v>
      </c>
      <c r="AD99" s="8">
        <f>ROUND($AB$105/材料产出!$Q$31*SUM(材料产出!$P$29:$P$30)/10,0)*10</f>
        <v>192830</v>
      </c>
    </row>
    <row r="100" spans="1:30" ht="16.5" x14ac:dyDescent="0.3">
      <c r="A100" s="50" t="s">
        <v>29</v>
      </c>
      <c r="B100" s="50" t="s">
        <v>121</v>
      </c>
      <c r="C100" s="51" t="s">
        <v>129</v>
      </c>
      <c r="D100" s="50">
        <v>6</v>
      </c>
      <c r="E100" s="50"/>
      <c r="F100" s="50" t="s">
        <v>97</v>
      </c>
      <c r="G100" s="50"/>
      <c r="H100" s="58" t="str">
        <f t="shared" si="21"/>
        <v>3#1#4750|3#3#237|3#4#475|3#5#237|3#6#475|3#7#237|3#6#475|3#8#475|3#9#118|3#10#237|3#11#118|3#12#237</v>
      </c>
      <c r="I100" s="52" t="str">
        <f t="shared" si="22"/>
        <v>元宝19282900/声望192830</v>
      </c>
      <c r="J100" s="50"/>
      <c r="K100" s="22">
        <v>95</v>
      </c>
      <c r="L100" s="22">
        <v>10</v>
      </c>
      <c r="M100" s="22">
        <f>材料产出!C$30</f>
        <v>7</v>
      </c>
      <c r="N100" s="97">
        <f t="shared" si="23"/>
        <v>4750</v>
      </c>
      <c r="O100" s="97"/>
      <c r="P100" s="97">
        <f t="shared" si="24"/>
        <v>237</v>
      </c>
      <c r="Q100" s="97">
        <f t="shared" si="25"/>
        <v>475</v>
      </c>
      <c r="R100" s="97">
        <f t="shared" si="26"/>
        <v>237</v>
      </c>
      <c r="S100" s="97">
        <f t="shared" si="27"/>
        <v>475</v>
      </c>
      <c r="T100" s="97">
        <f t="shared" si="28"/>
        <v>237</v>
      </c>
      <c r="U100" s="97">
        <f t="shared" si="29"/>
        <v>475</v>
      </c>
      <c r="V100" s="97">
        <f t="shared" si="30"/>
        <v>118</v>
      </c>
      <c r="W100" s="97">
        <f t="shared" si="31"/>
        <v>237</v>
      </c>
      <c r="X100" s="97">
        <f t="shared" si="32"/>
        <v>118</v>
      </c>
      <c r="Y100" s="97">
        <f t="shared" si="33"/>
        <v>237</v>
      </c>
      <c r="Z100" s="8">
        <f>N100*属性价值参考!C$5+官印!P100*属性价值参考!C$7+官印!Q100*属性价值参考!C$8+官印!V100*属性价值参考!C$9+官印!W100*属性价值参考!C$10+官印!X100*属性价值参考!C$11+官印!Y100*属性价值参考!C$12</f>
        <v>65914.8</v>
      </c>
      <c r="AA100" s="8">
        <f t="shared" si="19"/>
        <v>10985800.000000002</v>
      </c>
      <c r="AB100" s="8">
        <f t="shared" si="20"/>
        <v>109858.00000000001</v>
      </c>
      <c r="AC100" s="8">
        <f>ROUND($AA$105/材料产出!$K$31*SUM(材料产出!$K$29:$K$30)/100,0)*100</f>
        <v>19282900</v>
      </c>
      <c r="AD100" s="8">
        <f>ROUND($AB$105/材料产出!$Q$31*SUM(材料产出!$P$29:$P$30)/10,0)*10</f>
        <v>192830</v>
      </c>
    </row>
    <row r="101" spans="1:30" ht="16.5" x14ac:dyDescent="0.3">
      <c r="A101" s="50" t="s">
        <v>29</v>
      </c>
      <c r="B101" s="50" t="s">
        <v>121</v>
      </c>
      <c r="C101" s="51" t="s">
        <v>129</v>
      </c>
      <c r="D101" s="50">
        <v>7</v>
      </c>
      <c r="E101" s="50"/>
      <c r="F101" s="50" t="s">
        <v>97</v>
      </c>
      <c r="G101" s="50"/>
      <c r="H101" s="58" t="str">
        <f t="shared" si="21"/>
        <v>3#1#4800|3#3#240|3#4#480|3#5#240|3#6#480|3#7#240|3#6#480|3#8#480|3#9#120|3#10#240|3#11#120|3#12#240</v>
      </c>
      <c r="I101" s="52" t="str">
        <f t="shared" si="22"/>
        <v>元宝19282900/声望192830</v>
      </c>
      <c r="J101" s="50"/>
      <c r="K101" s="22">
        <v>96</v>
      </c>
      <c r="L101" s="22">
        <v>10</v>
      </c>
      <c r="M101" s="22">
        <f>材料产出!C$30</f>
        <v>7</v>
      </c>
      <c r="N101" s="97">
        <f t="shared" si="23"/>
        <v>4800</v>
      </c>
      <c r="O101" s="97"/>
      <c r="P101" s="97">
        <f t="shared" si="24"/>
        <v>240</v>
      </c>
      <c r="Q101" s="97">
        <f t="shared" si="25"/>
        <v>480</v>
      </c>
      <c r="R101" s="97">
        <f t="shared" si="26"/>
        <v>240</v>
      </c>
      <c r="S101" s="97">
        <f t="shared" si="27"/>
        <v>480</v>
      </c>
      <c r="T101" s="97">
        <f t="shared" si="28"/>
        <v>240</v>
      </c>
      <c r="U101" s="97">
        <f t="shared" si="29"/>
        <v>480</v>
      </c>
      <c r="V101" s="97">
        <f t="shared" si="30"/>
        <v>120</v>
      </c>
      <c r="W101" s="97">
        <f t="shared" si="31"/>
        <v>240</v>
      </c>
      <c r="X101" s="97">
        <f t="shared" si="32"/>
        <v>120</v>
      </c>
      <c r="Y101" s="97">
        <f t="shared" si="33"/>
        <v>240</v>
      </c>
      <c r="Z101" s="8">
        <f>N101*属性价值参考!C$5+官印!P101*属性价值参考!C$7+官印!Q101*属性价值参考!C$8+官印!V101*属性价值参考!C$9+官印!W101*属性价值参考!C$10+官印!X101*属性价值参考!C$11+官印!Y101*属性价值参考!C$12</f>
        <v>66672</v>
      </c>
      <c r="AA101" s="8">
        <f t="shared" si="19"/>
        <v>11112000</v>
      </c>
      <c r="AB101" s="8">
        <f t="shared" si="20"/>
        <v>111120</v>
      </c>
      <c r="AC101" s="8">
        <f>ROUND($AA$105/材料产出!$K$31*SUM(材料产出!$K$29:$K$30)/100,0)*100</f>
        <v>19282900</v>
      </c>
      <c r="AD101" s="8">
        <f>ROUND($AB$105/材料产出!$Q$31*SUM(材料产出!$P$29:$P$30)/10,0)*10</f>
        <v>192830</v>
      </c>
    </row>
    <row r="102" spans="1:30" ht="16.5" x14ac:dyDescent="0.3">
      <c r="A102" s="50" t="s">
        <v>29</v>
      </c>
      <c r="B102" s="50" t="s">
        <v>121</v>
      </c>
      <c r="C102" s="51" t="s">
        <v>129</v>
      </c>
      <c r="D102" s="50">
        <v>8</v>
      </c>
      <c r="E102" s="50"/>
      <c r="F102" s="50" t="s">
        <v>97</v>
      </c>
      <c r="G102" s="50"/>
      <c r="H102" s="58" t="str">
        <f t="shared" si="21"/>
        <v>3#1#4850|3#3#242|3#4#485|3#5#242|3#6#485|3#7#242|3#6#485|3#8#485|3#9#121|3#10#242|3#11#121|3#12#242</v>
      </c>
      <c r="I102" s="52" t="str">
        <f t="shared" si="22"/>
        <v>元宝19282900/声望192830</v>
      </c>
      <c r="J102" s="50"/>
      <c r="K102" s="22">
        <v>97</v>
      </c>
      <c r="L102" s="22">
        <v>10</v>
      </c>
      <c r="M102" s="22">
        <f>材料产出!C$30</f>
        <v>7</v>
      </c>
      <c r="N102" s="97">
        <f>INT(K102/100*N$105)</f>
        <v>4850</v>
      </c>
      <c r="O102" s="97"/>
      <c r="P102" s="97">
        <f>INT(0.5*Q102)</f>
        <v>242</v>
      </c>
      <c r="Q102" s="97">
        <f>INT(K102/100*Q$105)</f>
        <v>485</v>
      </c>
      <c r="R102" s="97">
        <f>INT(0.5*S102)</f>
        <v>242</v>
      </c>
      <c r="S102" s="97">
        <f>INT(K102/100*S$105)</f>
        <v>485</v>
      </c>
      <c r="T102" s="97">
        <f>INT(0.5*U102)</f>
        <v>242</v>
      </c>
      <c r="U102" s="97">
        <f>INT(K102/100*U$105)</f>
        <v>485</v>
      </c>
      <c r="V102" s="97">
        <f>INT(0.5*W102)</f>
        <v>121</v>
      </c>
      <c r="W102" s="97">
        <f>INT(K102/100*W$105)</f>
        <v>242</v>
      </c>
      <c r="X102" s="97">
        <f>INT(0.5*Y102)</f>
        <v>121</v>
      </c>
      <c r="Y102" s="97">
        <f>INT(K102/100*Y$105)</f>
        <v>242</v>
      </c>
      <c r="Z102" s="8">
        <f>N102*属性价值参考!C$5+官印!P102*属性价值参考!C$7+官印!Q102*属性价值参考!C$8+官印!V102*属性价值参考!C$9+官印!W102*属性价值参考!C$10+官印!X102*属性价值参考!C$11+官印!Y102*属性价值参考!C$12</f>
        <v>67317.600000000006</v>
      </c>
      <c r="AA102" s="8">
        <f t="shared" si="19"/>
        <v>11219600.000000002</v>
      </c>
      <c r="AB102" s="8">
        <f t="shared" si="20"/>
        <v>112196.00000000001</v>
      </c>
      <c r="AC102" s="8">
        <f>ROUND($AA$105/材料产出!$K$31*SUM(材料产出!$K$29:$K$30)/100,0)*100</f>
        <v>19282900</v>
      </c>
      <c r="AD102" s="8">
        <f>ROUND($AB$105/材料产出!$Q$31*SUM(材料产出!$P$29:$P$30)/10,0)*10</f>
        <v>192830</v>
      </c>
    </row>
    <row r="103" spans="1:30" ht="16.5" x14ac:dyDescent="0.3">
      <c r="A103" s="50" t="s">
        <v>29</v>
      </c>
      <c r="B103" s="50" t="s">
        <v>121</v>
      </c>
      <c r="C103" s="51" t="s">
        <v>129</v>
      </c>
      <c r="D103" s="50">
        <v>9</v>
      </c>
      <c r="E103" s="50"/>
      <c r="F103" s="50" t="s">
        <v>97</v>
      </c>
      <c r="G103" s="50"/>
      <c r="H103" s="58" t="str">
        <f t="shared" si="21"/>
        <v>3#1#4900|3#3#245|3#4#490|3#5#245|3#6#490|3#7#245|3#6#490|3#8#490|3#9#122|3#10#245|3#11#122|3#12#245</v>
      </c>
      <c r="I103" s="52" t="str">
        <f t="shared" si="22"/>
        <v>元宝19282900/声望192830</v>
      </c>
      <c r="J103" s="50"/>
      <c r="K103" s="22">
        <v>98</v>
      </c>
      <c r="L103" s="22">
        <v>10</v>
      </c>
      <c r="M103" s="22">
        <f>材料产出!C$30</f>
        <v>7</v>
      </c>
      <c r="N103" s="97">
        <f>INT(K103/100*N$105)</f>
        <v>4900</v>
      </c>
      <c r="O103" s="97"/>
      <c r="P103" s="97">
        <f>INT(0.5*Q103)</f>
        <v>245</v>
      </c>
      <c r="Q103" s="97">
        <f>INT(K103/100*Q$105)</f>
        <v>490</v>
      </c>
      <c r="R103" s="97">
        <f>INT(0.5*S103)</f>
        <v>245</v>
      </c>
      <c r="S103" s="97">
        <f>INT(K103/100*S$105)</f>
        <v>490</v>
      </c>
      <c r="T103" s="97">
        <f>INT(0.5*U103)</f>
        <v>245</v>
      </c>
      <c r="U103" s="97">
        <f>INT(K103/100*U$105)</f>
        <v>490</v>
      </c>
      <c r="V103" s="97">
        <f>INT(0.5*W103)</f>
        <v>122</v>
      </c>
      <c r="W103" s="97">
        <f>INT(K103/100*W$105)</f>
        <v>245</v>
      </c>
      <c r="X103" s="97">
        <f>INT(0.5*Y103)</f>
        <v>122</v>
      </c>
      <c r="Y103" s="97">
        <f>INT(K103/100*Y$105)</f>
        <v>245</v>
      </c>
      <c r="Z103" s="8">
        <f>N103*属性价值参考!C$5+官印!P103*属性价值参考!C$7+官印!Q103*属性价值参考!C$8+官印!V103*属性价值参考!C$9+官印!W103*属性价值参考!C$10+官印!X103*属性价值参考!C$11+官印!Y103*属性价值参考!C$12</f>
        <v>68047.200000000012</v>
      </c>
      <c r="AA103" s="8">
        <f t="shared" si="19"/>
        <v>11341200.000000004</v>
      </c>
      <c r="AB103" s="8">
        <f t="shared" si="20"/>
        <v>113412.00000000003</v>
      </c>
      <c r="AC103" s="8">
        <f>ROUND($AA$105/材料产出!$K$31*SUM(材料产出!$K$29:$K$30)/100,0)*100</f>
        <v>19282900</v>
      </c>
      <c r="AD103" s="8">
        <f>ROUND($AB$105/材料产出!$Q$31*SUM(材料产出!$P$29:$P$30)/10,0)*10</f>
        <v>192830</v>
      </c>
    </row>
    <row r="104" spans="1:30" ht="16.5" x14ac:dyDescent="0.3">
      <c r="A104" s="57" t="s">
        <v>29</v>
      </c>
      <c r="B104" s="57" t="s">
        <v>121</v>
      </c>
      <c r="C104" s="57" t="s">
        <v>130</v>
      </c>
      <c r="D104" s="57">
        <v>0</v>
      </c>
      <c r="E104" s="57"/>
      <c r="F104" s="57" t="s">
        <v>92</v>
      </c>
      <c r="G104" s="57"/>
      <c r="H104" s="57" t="str">
        <f t="shared" si="21"/>
        <v>3#1#4950|3#3#247|3#4#495|3#5#247|3#6#495|3#7#247|3#6#495|3#8#495|3#9#123|3#10#247|3#11#123|3#12#247</v>
      </c>
      <c r="I104" s="55"/>
      <c r="J104" s="53"/>
      <c r="K104" s="22">
        <v>99</v>
      </c>
      <c r="L104" s="22"/>
      <c r="M104" s="22"/>
      <c r="N104" s="97">
        <f>INT(K104/100*N$105)</f>
        <v>4950</v>
      </c>
      <c r="O104" s="97"/>
      <c r="P104" s="97">
        <f>INT(0.5*Q104)</f>
        <v>247</v>
      </c>
      <c r="Q104" s="97">
        <f>INT(K104/100*Q$105)</f>
        <v>495</v>
      </c>
      <c r="R104" s="97">
        <f>INT(0.5*S104)</f>
        <v>247</v>
      </c>
      <c r="S104" s="97">
        <f>INT(K104/100*S$105)</f>
        <v>495</v>
      </c>
      <c r="T104" s="97">
        <f>INT(0.5*U104)</f>
        <v>247</v>
      </c>
      <c r="U104" s="97">
        <f>INT(K104/100*U$105)</f>
        <v>495</v>
      </c>
      <c r="V104" s="97">
        <f>INT(0.5*W104)</f>
        <v>123</v>
      </c>
      <c r="W104" s="97">
        <f>INT(K104/100*W$105)</f>
        <v>247</v>
      </c>
      <c r="X104" s="97">
        <f>INT(0.5*Y104)</f>
        <v>123</v>
      </c>
      <c r="Y104" s="97">
        <f>INT(K104/100*Y$105)</f>
        <v>247</v>
      </c>
      <c r="Z104" s="8">
        <f>N104*属性价值参考!C$5+官印!P104*属性价值参考!C$7+官印!Q104*属性价值参考!C$8+官印!V104*属性价值参考!C$9+官印!W104*属性价值参考!C$10+官印!X104*属性价值参考!C$11+官印!Y104*属性价值参考!C$12</f>
        <v>68692.800000000003</v>
      </c>
      <c r="AA104" s="8">
        <f t="shared" si="19"/>
        <v>11448800.000000002</v>
      </c>
      <c r="AB104" s="8">
        <f t="shared" si="20"/>
        <v>114488.00000000001</v>
      </c>
      <c r="AC104" s="8"/>
      <c r="AD104" s="8"/>
    </row>
    <row r="105" spans="1:30" ht="16.5" x14ac:dyDescent="0.3">
      <c r="A105" s="57" t="s">
        <v>29</v>
      </c>
      <c r="B105" s="57" t="s">
        <v>121</v>
      </c>
      <c r="C105" s="57" t="s">
        <v>129</v>
      </c>
      <c r="D105" s="57">
        <v>10</v>
      </c>
      <c r="E105" s="57"/>
      <c r="F105" s="57" t="s">
        <v>97</v>
      </c>
      <c r="G105" s="57"/>
      <c r="H105" s="57" t="str">
        <f>"3#1#"&amp;N105&amp;"|"&amp;"3#3#"&amp;P105&amp;"|"&amp;"3#4#"&amp;Q105&amp;"|"&amp;"3#5#"&amp;R105&amp;"|"&amp;"3#6#"&amp;S105&amp;"|"&amp;"3#7#"&amp;T105&amp;"|"&amp;"3#6#"&amp;S105&amp;"|"&amp;"3#8#"&amp;U105&amp;"|"&amp;"3#9#"&amp;V105&amp;"|"&amp;"3#10#"&amp;W105&amp;"|"&amp;"3#11#"&amp;X105&amp;"|"&amp;"3#12#"&amp;Y105</f>
        <v>3#1#5000|3#3#250|3#4#500|3#5#250|3#6#500|3#7#250|3#6#500|3#8#500|3#9#125|3#10#250|3#11#125|3#12#250</v>
      </c>
      <c r="I105" s="55"/>
      <c r="J105" s="53"/>
      <c r="K105" s="22">
        <v>100</v>
      </c>
      <c r="L105" s="22"/>
      <c r="M105" s="22"/>
      <c r="N105" s="97">
        <f>养成属性分配!P31</f>
        <v>5000</v>
      </c>
      <c r="O105" s="97"/>
      <c r="P105" s="97">
        <f>0.5*Q105</f>
        <v>250</v>
      </c>
      <c r="Q105" s="97">
        <f>养成属性分配!Q31</f>
        <v>500</v>
      </c>
      <c r="R105" s="97">
        <f>0.5*S105</f>
        <v>250</v>
      </c>
      <c r="S105" s="97">
        <f>养成属性分配!Q31</f>
        <v>500</v>
      </c>
      <c r="T105" s="97">
        <f>0.5*U105</f>
        <v>250</v>
      </c>
      <c r="U105" s="97">
        <f>养成属性分配!Q31</f>
        <v>500</v>
      </c>
      <c r="V105" s="97">
        <f>0.5*W105</f>
        <v>125</v>
      </c>
      <c r="W105" s="97">
        <f>养成属性分配!R31</f>
        <v>250</v>
      </c>
      <c r="X105" s="97">
        <f>0.5*Y105</f>
        <v>125</v>
      </c>
      <c r="Y105" s="97">
        <f>养成属性分配!R31</f>
        <v>250</v>
      </c>
      <c r="Z105" s="8">
        <f>N105*属性价值参考!C$5+官印!P105*属性价值参考!C$7+官印!Q105*属性价值参考!C$8+官印!V105*属性价值参考!C$9+官印!W105*属性价值参考!C$10+官印!X105*属性价值参考!C$11+官印!Y105*属性价值参考!C$12</f>
        <v>69450</v>
      </c>
      <c r="AA105" s="8">
        <f>Z105/0.6*100</f>
        <v>11575000</v>
      </c>
      <c r="AB105" s="8">
        <f>Z105/0.6</f>
        <v>115750</v>
      </c>
      <c r="AC105" s="8"/>
      <c r="AD105" s="8"/>
    </row>
    <row r="106" spans="1:30" x14ac:dyDescent="0.2">
      <c r="A106" s="2"/>
      <c r="B106" s="2"/>
      <c r="C106" s="2"/>
      <c r="D106" s="2"/>
      <c r="E106" s="2"/>
      <c r="F106" s="2"/>
      <c r="G106" s="2"/>
      <c r="H106" s="2"/>
      <c r="I106" s="3"/>
      <c r="J106" s="2"/>
    </row>
    <row r="107" spans="1:30" x14ac:dyDescent="0.2">
      <c r="A107" s="2"/>
      <c r="B107" s="2"/>
      <c r="C107" s="2"/>
      <c r="D107" s="2"/>
      <c r="E107" s="2"/>
      <c r="F107" s="2"/>
      <c r="G107" s="2"/>
      <c r="H107" s="2"/>
      <c r="I107" s="3"/>
      <c r="J107" s="2"/>
    </row>
    <row r="108" spans="1:30" x14ac:dyDescent="0.2">
      <c r="A108" s="2"/>
      <c r="B108" s="2"/>
      <c r="C108" s="2"/>
      <c r="D108" s="2"/>
      <c r="E108" s="2"/>
      <c r="F108" s="2"/>
      <c r="G108" s="2"/>
      <c r="H108" s="2"/>
      <c r="I108" s="3"/>
      <c r="J108" s="2"/>
    </row>
    <row r="109" spans="1:30" x14ac:dyDescent="0.2">
      <c r="A109" s="2"/>
      <c r="B109" s="2"/>
      <c r="C109" s="2"/>
      <c r="D109" s="2"/>
      <c r="E109" s="2"/>
      <c r="F109" s="2"/>
      <c r="G109" s="2"/>
      <c r="H109" s="2"/>
      <c r="I109" s="3"/>
      <c r="J109" s="2"/>
    </row>
    <row r="110" spans="1:30" x14ac:dyDescent="0.2">
      <c r="A110" s="2"/>
      <c r="B110" s="2"/>
      <c r="C110" s="2"/>
      <c r="D110" s="2"/>
      <c r="E110" s="2"/>
      <c r="F110" s="2"/>
      <c r="G110" s="2"/>
      <c r="H110" s="2"/>
      <c r="I110" s="3"/>
      <c r="J110" s="2"/>
    </row>
    <row r="111" spans="1:30" x14ac:dyDescent="0.2">
      <c r="A111" s="2"/>
      <c r="B111" s="2"/>
      <c r="C111" s="2"/>
      <c r="D111" s="2"/>
      <c r="E111" s="2"/>
      <c r="F111" s="2"/>
      <c r="G111" s="2"/>
      <c r="H111" s="2"/>
      <c r="I111" s="3"/>
      <c r="J111" s="2"/>
    </row>
    <row r="112" spans="1:30" x14ac:dyDescent="0.2">
      <c r="A112" s="2"/>
      <c r="B112" s="2"/>
      <c r="C112" s="2"/>
      <c r="D112" s="2"/>
      <c r="E112" s="2"/>
      <c r="F112" s="2"/>
      <c r="G112" s="2"/>
      <c r="H112" s="2"/>
      <c r="I112" s="3"/>
      <c r="J112" s="2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4622-8EC6-43B0-AD26-25A2F0544328}">
  <dimension ref="A1:AH17"/>
  <sheetViews>
    <sheetView workbookViewId="0">
      <selection activeCell="J21" sqref="J21"/>
    </sheetView>
  </sheetViews>
  <sheetFormatPr defaultRowHeight="14.25" x14ac:dyDescent="0.2"/>
  <cols>
    <col min="1" max="9" width="10.875" customWidth="1"/>
    <col min="10" max="10" width="50.625" customWidth="1"/>
    <col min="11" max="11" width="12.75" customWidth="1"/>
    <col min="12" max="12" width="37.375" customWidth="1"/>
    <col min="13" max="13" width="9.75" bestFit="1" customWidth="1"/>
    <col min="14" max="14" width="9.75" customWidth="1"/>
    <col min="15" max="15" width="9.5" style="94" bestFit="1" customWidth="1"/>
    <col min="16" max="26" width="9" style="94"/>
    <col min="27" max="27" width="11.875" bestFit="1" customWidth="1"/>
    <col min="28" max="28" width="16.375" bestFit="1" customWidth="1"/>
    <col min="29" max="29" width="9.75" bestFit="1" customWidth="1"/>
    <col min="30" max="30" width="14.125" bestFit="1" customWidth="1"/>
    <col min="31" max="31" width="16.375" bestFit="1" customWidth="1"/>
    <col min="32" max="32" width="20.75" bestFit="1" customWidth="1"/>
  </cols>
  <sheetData>
    <row r="1" spans="1:34" s="31" customFormat="1" ht="18" x14ac:dyDescent="0.2">
      <c r="A1" s="21" t="s">
        <v>49</v>
      </c>
      <c r="B1" s="21" t="s">
        <v>50</v>
      </c>
      <c r="C1" s="21" t="s">
        <v>51</v>
      </c>
      <c r="D1" s="21" t="s">
        <v>52</v>
      </c>
      <c r="E1" s="21" t="s">
        <v>53</v>
      </c>
      <c r="F1" s="21" t="s">
        <v>54</v>
      </c>
      <c r="G1" s="21" t="s">
        <v>55</v>
      </c>
      <c r="H1" s="21" t="s">
        <v>56</v>
      </c>
      <c r="I1" s="21" t="s">
        <v>57</v>
      </c>
      <c r="J1" s="21" t="s">
        <v>77</v>
      </c>
      <c r="K1" s="21" t="s">
        <v>61</v>
      </c>
      <c r="L1" s="21" t="s">
        <v>62</v>
      </c>
      <c r="M1" s="63" t="s">
        <v>55</v>
      </c>
      <c r="N1" s="63" t="s">
        <v>3468</v>
      </c>
      <c r="O1" s="63" t="s">
        <v>37</v>
      </c>
      <c r="P1" s="63" t="s">
        <v>38</v>
      </c>
      <c r="Q1" s="63" t="s">
        <v>68</v>
      </c>
      <c r="R1" s="63" t="s">
        <v>69</v>
      </c>
      <c r="S1" s="63" t="s">
        <v>70</v>
      </c>
      <c r="T1" s="63" t="s">
        <v>71</v>
      </c>
      <c r="U1" s="63" t="s">
        <v>67</v>
      </c>
      <c r="V1" s="63" t="s">
        <v>72</v>
      </c>
      <c r="W1" s="63" t="s">
        <v>73</v>
      </c>
      <c r="X1" s="63" t="s">
        <v>74</v>
      </c>
      <c r="Y1" s="63" t="s">
        <v>75</v>
      </c>
      <c r="Z1" s="63" t="s">
        <v>76</v>
      </c>
      <c r="AA1" s="63" t="s">
        <v>3428</v>
      </c>
      <c r="AB1" s="63" t="s">
        <v>3441</v>
      </c>
      <c r="AC1" s="63" t="s">
        <v>3447</v>
      </c>
      <c r="AD1" s="63" t="s">
        <v>3448</v>
      </c>
      <c r="AE1" s="63" t="s">
        <v>3469</v>
      </c>
      <c r="AF1" s="63" t="s">
        <v>3470</v>
      </c>
      <c r="AH1" s="63" t="s">
        <v>3442</v>
      </c>
    </row>
    <row r="2" spans="1:34" ht="16.5" x14ac:dyDescent="0.3">
      <c r="A2" s="22" t="s">
        <v>29</v>
      </c>
      <c r="B2" s="22" t="s">
        <v>29</v>
      </c>
      <c r="C2" s="22" t="s">
        <v>29</v>
      </c>
      <c r="D2" s="22"/>
      <c r="E2" s="22"/>
      <c r="F2" s="23" t="s">
        <v>78</v>
      </c>
      <c r="G2" s="22">
        <v>0</v>
      </c>
      <c r="H2" s="32"/>
      <c r="I2" s="22"/>
      <c r="J2" s="24"/>
      <c r="K2" s="22"/>
      <c r="L2" s="37" t="str">
        <f t="shared" ref="L2:L16" si="0">"火龙凭证"&amp;AF2&amp;"/元宝"&amp;AE2</f>
        <v>火龙凭证1/元宝1500</v>
      </c>
      <c r="M2" s="190">
        <v>1</v>
      </c>
      <c r="N2" s="190">
        <f>材料产出!C6</f>
        <v>0.7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0"/>
      <c r="AB2" s="10"/>
      <c r="AC2" s="10">
        <f t="shared" ref="AC2:AC16" si="1">(AA3+AB3)/16*1000</f>
        <v>148500</v>
      </c>
      <c r="AD2" s="10">
        <f t="shared" ref="AD2:AD16" si="2">(AA3+AB3)/16</f>
        <v>148.5</v>
      </c>
      <c r="AE2" s="10">
        <f>ROUND($AC$16/材料产出!$K$31*材料产出!$K6/100,0)*100</f>
        <v>1500</v>
      </c>
      <c r="AF2" s="10">
        <f>ROUND($AD$16/材料产出!$O$31*材料产出!$O6,0)</f>
        <v>1</v>
      </c>
      <c r="AG2" s="13"/>
      <c r="AH2" s="10"/>
    </row>
    <row r="3" spans="1:34" ht="16.5" x14ac:dyDescent="0.3">
      <c r="A3" s="22" t="s">
        <v>29</v>
      </c>
      <c r="B3" s="22" t="s">
        <v>29</v>
      </c>
      <c r="C3" s="22" t="s">
        <v>29</v>
      </c>
      <c r="D3" s="22"/>
      <c r="E3" s="22"/>
      <c r="F3" s="23" t="s">
        <v>79</v>
      </c>
      <c r="G3" s="22">
        <v>1</v>
      </c>
      <c r="H3" s="32"/>
      <c r="I3" s="22"/>
      <c r="J3" s="38" t="str">
        <f t="shared" ref="J3:J16" si="3">"3#3#"&amp;INT(Q3)&amp;"|"&amp;"3#4#"&amp;INT(R3)&amp;"|"&amp;"3#5#"&amp;INT(S3)&amp;"|"&amp;"3#6#"&amp;INT(T3)&amp;"|"&amp;"3#7#"&amp;INT(U3)&amp;"|"&amp;"3#8#"&amp;INT(V3)</f>
        <v>3#3#16|3#4#33|3#5#16|3#6#33|3#7#16|3#8#33</v>
      </c>
      <c r="K3" s="22" t="str">
        <f>$AH$1&amp;AH3&amp;"%"</f>
        <v>打怪爆率1%</v>
      </c>
      <c r="L3" s="37" t="str">
        <f t="shared" si="0"/>
        <v>火龙凭证2/元宝2100</v>
      </c>
      <c r="M3" s="42">
        <v>2</v>
      </c>
      <c r="N3" s="190">
        <f>材料产出!C9</f>
        <v>1</v>
      </c>
      <c r="O3" s="15"/>
      <c r="P3" s="15"/>
      <c r="Q3" s="15">
        <f t="shared" ref="Q3:Q15" si="4">INT(0.5*R3)</f>
        <v>16</v>
      </c>
      <c r="R3" s="15">
        <f t="shared" ref="R3:R15" si="5">INT(M2/M$16*R$17)</f>
        <v>33</v>
      </c>
      <c r="S3" s="15">
        <f t="shared" ref="S3:S15" si="6">INT(0.5*T3)</f>
        <v>16</v>
      </c>
      <c r="T3" s="15">
        <f t="shared" ref="T3:T15" si="7">INT(M2/M$16*T$17)</f>
        <v>33</v>
      </c>
      <c r="U3" s="15">
        <f t="shared" ref="U3:U16" si="8">INT(0.5*V3)</f>
        <v>16</v>
      </c>
      <c r="V3" s="15">
        <f t="shared" ref="V3:V15" si="9">INT(M2/M$16*V$17)</f>
        <v>33</v>
      </c>
      <c r="W3" s="15"/>
      <c r="X3" s="15"/>
      <c r="Y3" s="15"/>
      <c r="Z3" s="15"/>
      <c r="AA3" s="10">
        <f>Q3*属性价值参考!C$7+官职!R3*属性价值参考!C$8</f>
        <v>2116.8000000000002</v>
      </c>
      <c r="AB3" s="10">
        <f>AH3*属性价值参考!C$31</f>
        <v>259.2</v>
      </c>
      <c r="AC3" s="10">
        <f t="shared" si="1"/>
        <v>299700</v>
      </c>
      <c r="AD3" s="10">
        <f t="shared" si="2"/>
        <v>299.7</v>
      </c>
      <c r="AE3" s="10">
        <f>ROUND($AC$16/材料产出!$K$31*材料产出!$K9/100,0)*100</f>
        <v>2100</v>
      </c>
      <c r="AF3" s="10">
        <f>ROUND($AD$16/材料产出!$O$31*材料产出!$O9,0)</f>
        <v>2</v>
      </c>
      <c r="AG3" s="13"/>
      <c r="AH3" s="15">
        <f>1/20*$AH$17</f>
        <v>1</v>
      </c>
    </row>
    <row r="4" spans="1:34" ht="16.5" x14ac:dyDescent="0.3">
      <c r="A4" s="22" t="s">
        <v>29</v>
      </c>
      <c r="B4" s="22" t="s">
        <v>29</v>
      </c>
      <c r="C4" s="22" t="s">
        <v>29</v>
      </c>
      <c r="D4" s="22"/>
      <c r="E4" s="22"/>
      <c r="F4" s="22" t="s">
        <v>80</v>
      </c>
      <c r="G4" s="22">
        <v>2</v>
      </c>
      <c r="H4" s="22"/>
      <c r="I4" s="22"/>
      <c r="J4" s="38" t="str">
        <f t="shared" si="3"/>
        <v>3#3#33|3#4#66|3#5#33|3#6#66|3#7#33|3#8#66</v>
      </c>
      <c r="K4" s="22" t="str">
        <f t="shared" ref="K4:K17" si="10">$AH$1&amp;AH4&amp;"%"</f>
        <v>打怪爆率2%</v>
      </c>
      <c r="L4" s="37" t="str">
        <f t="shared" si="0"/>
        <v>火龙凭证6/元宝5900</v>
      </c>
      <c r="M4" s="190">
        <v>3</v>
      </c>
      <c r="N4" s="190">
        <f>材料产出!C12</f>
        <v>1.3</v>
      </c>
      <c r="O4" s="15"/>
      <c r="P4" s="15"/>
      <c r="Q4" s="15">
        <f t="shared" si="4"/>
        <v>33</v>
      </c>
      <c r="R4" s="15">
        <f t="shared" si="5"/>
        <v>66</v>
      </c>
      <c r="S4" s="15">
        <f t="shared" si="6"/>
        <v>33</v>
      </c>
      <c r="T4" s="15">
        <f t="shared" si="7"/>
        <v>66</v>
      </c>
      <c r="U4" s="15">
        <f t="shared" si="8"/>
        <v>33</v>
      </c>
      <c r="V4" s="15">
        <f t="shared" si="9"/>
        <v>66</v>
      </c>
      <c r="W4" s="15"/>
      <c r="X4" s="15"/>
      <c r="Y4" s="15"/>
      <c r="Z4" s="15"/>
      <c r="AA4" s="10">
        <f>Q4*属性价值参考!C$7+官职!R4*属性价值参考!C$8</f>
        <v>4276.8</v>
      </c>
      <c r="AB4" s="10">
        <f>AH4*属性价值参考!C$31</f>
        <v>518.4</v>
      </c>
      <c r="AC4" s="10">
        <f t="shared" si="1"/>
        <v>453600</v>
      </c>
      <c r="AD4" s="10">
        <f t="shared" si="2"/>
        <v>453.6</v>
      </c>
      <c r="AE4" s="10">
        <f>ROUND($AC$16/材料产出!$K$31*材料产出!$K12/100,0)*100</f>
        <v>5900</v>
      </c>
      <c r="AF4" s="10">
        <f>ROUND($AD$16/材料产出!$O$31*材料产出!$O12,0)</f>
        <v>6</v>
      </c>
      <c r="AG4" s="13"/>
      <c r="AH4" s="15">
        <f>2/20*$AH$17</f>
        <v>2</v>
      </c>
    </row>
    <row r="5" spans="1:34" ht="16.5" x14ac:dyDescent="0.3">
      <c r="A5" s="22" t="s">
        <v>29</v>
      </c>
      <c r="B5" s="22" t="s">
        <v>29</v>
      </c>
      <c r="C5" s="22" t="s">
        <v>29</v>
      </c>
      <c r="D5" s="22"/>
      <c r="E5" s="22"/>
      <c r="F5" s="22" t="s">
        <v>81</v>
      </c>
      <c r="G5" s="22">
        <v>3</v>
      </c>
      <c r="H5" s="22"/>
      <c r="I5" s="22"/>
      <c r="J5" s="38" t="str">
        <f t="shared" si="3"/>
        <v>3#3#50|3#4#100|3#5#50|3#6#100|3#7#50|3#8#100</v>
      </c>
      <c r="K5" s="22" t="str">
        <f t="shared" si="10"/>
        <v>打怪爆率3%</v>
      </c>
      <c r="L5" s="37" t="str">
        <f t="shared" si="0"/>
        <v>火龙凭证60/元宝60000</v>
      </c>
      <c r="M5" s="42">
        <v>4</v>
      </c>
      <c r="N5" s="190">
        <f>材料产出!C15</f>
        <v>2.1</v>
      </c>
      <c r="O5" s="15"/>
      <c r="P5" s="15"/>
      <c r="Q5" s="15">
        <f t="shared" si="4"/>
        <v>50</v>
      </c>
      <c r="R5" s="15">
        <f t="shared" si="5"/>
        <v>100</v>
      </c>
      <c r="S5" s="15">
        <f t="shared" si="6"/>
        <v>50</v>
      </c>
      <c r="T5" s="15">
        <f t="shared" si="7"/>
        <v>100</v>
      </c>
      <c r="U5" s="15">
        <f t="shared" si="8"/>
        <v>50</v>
      </c>
      <c r="V5" s="15">
        <f t="shared" si="9"/>
        <v>100</v>
      </c>
      <c r="W5" s="15"/>
      <c r="X5" s="15"/>
      <c r="Y5" s="15"/>
      <c r="Z5" s="15"/>
      <c r="AA5" s="10">
        <f>Q5*属性价值参考!C$7+官职!R5*属性价值参考!C$8</f>
        <v>6480</v>
      </c>
      <c r="AB5" s="10">
        <f>AH5*属性价值参考!C$31</f>
        <v>777.59999999999991</v>
      </c>
      <c r="AC5" s="10">
        <f t="shared" si="1"/>
        <v>618300.00000000012</v>
      </c>
      <c r="AD5" s="10">
        <f t="shared" si="2"/>
        <v>618.30000000000007</v>
      </c>
      <c r="AE5" s="10">
        <f>ROUND($AC$16/材料产出!$K$31*材料产出!$K15/100,0)*100</f>
        <v>60000</v>
      </c>
      <c r="AF5" s="10">
        <f>ROUND($AD$16/材料产出!$O$31*材料产出!$O15,0)</f>
        <v>60</v>
      </c>
      <c r="AG5" s="13"/>
      <c r="AH5" s="15">
        <f>3/20*$AH$17</f>
        <v>3</v>
      </c>
    </row>
    <row r="6" spans="1:34" ht="16.5" x14ac:dyDescent="0.3">
      <c r="A6" s="22" t="s">
        <v>29</v>
      </c>
      <c r="B6" s="22" t="s">
        <v>29</v>
      </c>
      <c r="C6" s="22" t="s">
        <v>29</v>
      </c>
      <c r="D6" s="22"/>
      <c r="E6" s="22"/>
      <c r="F6" s="22" t="s">
        <v>82</v>
      </c>
      <c r="G6" s="22">
        <v>4</v>
      </c>
      <c r="H6" s="22"/>
      <c r="I6" s="22"/>
      <c r="J6" s="38" t="str">
        <f t="shared" si="3"/>
        <v>3#3#66|3#4#133|3#5#66|3#6#133|3#7#66|3#8#133</v>
      </c>
      <c r="K6" s="22" t="str">
        <f t="shared" si="10"/>
        <v>打怪爆率5%</v>
      </c>
      <c r="L6" s="37" t="str">
        <f t="shared" si="0"/>
        <v>火龙凭证86/元宝85700</v>
      </c>
      <c r="M6" s="190">
        <v>5</v>
      </c>
      <c r="N6" s="190">
        <f>材料产出!C17</f>
        <v>3</v>
      </c>
      <c r="O6" s="15"/>
      <c r="P6" s="15"/>
      <c r="Q6" s="15">
        <f t="shared" si="4"/>
        <v>66</v>
      </c>
      <c r="R6" s="15">
        <f t="shared" si="5"/>
        <v>133</v>
      </c>
      <c r="S6" s="15">
        <f t="shared" si="6"/>
        <v>66</v>
      </c>
      <c r="T6" s="15">
        <f t="shared" si="7"/>
        <v>133</v>
      </c>
      <c r="U6" s="15">
        <f t="shared" si="8"/>
        <v>66</v>
      </c>
      <c r="V6" s="15">
        <f t="shared" si="9"/>
        <v>133</v>
      </c>
      <c r="W6" s="15"/>
      <c r="X6" s="15"/>
      <c r="Y6" s="15"/>
      <c r="Z6" s="15"/>
      <c r="AA6" s="10">
        <f>Q6*属性价值参考!C$7+官职!R6*属性价值参考!C$8</f>
        <v>8596.8000000000011</v>
      </c>
      <c r="AB6" s="10">
        <f>AH6*属性价值参考!C$31</f>
        <v>1296</v>
      </c>
      <c r="AC6" s="10">
        <f t="shared" si="1"/>
        <v>785700</v>
      </c>
      <c r="AD6" s="10">
        <f t="shared" si="2"/>
        <v>785.7</v>
      </c>
      <c r="AE6" s="10">
        <f>ROUND($AC$16/材料产出!$K$31*材料产出!$K17/100,0)*100</f>
        <v>85700</v>
      </c>
      <c r="AF6" s="10">
        <f>ROUND($AD$16/材料产出!$O$31*材料产出!$O17,0)</f>
        <v>86</v>
      </c>
      <c r="AG6" s="13"/>
      <c r="AH6" s="15">
        <f>5/20*$AH$17</f>
        <v>5</v>
      </c>
    </row>
    <row r="7" spans="1:34" ht="16.5" x14ac:dyDescent="0.3">
      <c r="A7" s="22" t="s">
        <v>29</v>
      </c>
      <c r="B7" s="22" t="s">
        <v>29</v>
      </c>
      <c r="C7" s="22" t="s">
        <v>29</v>
      </c>
      <c r="D7" s="22"/>
      <c r="E7" s="22"/>
      <c r="F7" s="22" t="s">
        <v>84</v>
      </c>
      <c r="G7" s="22">
        <v>5</v>
      </c>
      <c r="H7" s="22"/>
      <c r="I7" s="22"/>
      <c r="J7" s="38" t="str">
        <f t="shared" si="3"/>
        <v>3#3#83|3#4#166|3#5#83|3#6#166|3#7#83|3#8#166</v>
      </c>
      <c r="K7" s="22" t="str">
        <f t="shared" si="10"/>
        <v>打怪爆率7%</v>
      </c>
      <c r="L7" s="37" t="str">
        <f t="shared" si="0"/>
        <v>火龙凭证106/元宝105700</v>
      </c>
      <c r="M7" s="42">
        <v>6</v>
      </c>
      <c r="N7" s="190">
        <f>材料产出!C19</f>
        <v>3.7</v>
      </c>
      <c r="O7" s="15"/>
      <c r="P7" s="15"/>
      <c r="Q7" s="15">
        <f t="shared" si="4"/>
        <v>83</v>
      </c>
      <c r="R7" s="15">
        <f t="shared" si="5"/>
        <v>166</v>
      </c>
      <c r="S7" s="15">
        <f t="shared" si="6"/>
        <v>83</v>
      </c>
      <c r="T7" s="15">
        <f t="shared" si="7"/>
        <v>166</v>
      </c>
      <c r="U7" s="15">
        <f t="shared" si="8"/>
        <v>83</v>
      </c>
      <c r="V7" s="15">
        <f t="shared" si="9"/>
        <v>166</v>
      </c>
      <c r="W7" s="15"/>
      <c r="X7" s="15"/>
      <c r="Y7" s="15"/>
      <c r="Z7" s="15"/>
      <c r="AA7" s="10">
        <f>Q7*属性价值参考!C$7+官职!R7*属性价值参考!C$8</f>
        <v>10756.800000000001</v>
      </c>
      <c r="AB7" s="10">
        <f>AH7*属性价值参考!C$31</f>
        <v>1814.3999999999999</v>
      </c>
      <c r="AC7" s="10">
        <f t="shared" si="1"/>
        <v>955800</v>
      </c>
      <c r="AD7" s="10">
        <f t="shared" si="2"/>
        <v>955.8</v>
      </c>
      <c r="AE7" s="10">
        <f>ROUND($AC$16/材料产出!$K$31*材料产出!$K19/100,0)*100</f>
        <v>105700</v>
      </c>
      <c r="AF7" s="10">
        <f>ROUND($AD$16/材料产出!$O$31*材料产出!$O19,0)</f>
        <v>106</v>
      </c>
      <c r="AG7" s="13"/>
      <c r="AH7" s="15">
        <f>7/20*$AH$17</f>
        <v>7</v>
      </c>
    </row>
    <row r="8" spans="1:34" ht="16.5" x14ac:dyDescent="0.3">
      <c r="A8" s="22" t="s">
        <v>29</v>
      </c>
      <c r="B8" s="22" t="s">
        <v>29</v>
      </c>
      <c r="C8" s="22" t="s">
        <v>29</v>
      </c>
      <c r="D8" s="22"/>
      <c r="E8" s="22"/>
      <c r="F8" s="22" t="s">
        <v>86</v>
      </c>
      <c r="G8" s="22">
        <v>6</v>
      </c>
      <c r="H8" s="22"/>
      <c r="I8" s="22"/>
      <c r="J8" s="38" t="str">
        <f t="shared" si="3"/>
        <v>3#3#100|3#4#200|3#5#100|3#6#200|3#7#100|3#8#200</v>
      </c>
      <c r="K8" s="22" t="str">
        <f t="shared" si="10"/>
        <v>打怪爆率9%</v>
      </c>
      <c r="L8" s="37" t="str">
        <f t="shared" si="0"/>
        <v>火龙凭证614/元宝614100</v>
      </c>
      <c r="M8" s="190">
        <v>7</v>
      </c>
      <c r="N8" s="190">
        <f>材料产出!C21</f>
        <v>4.3</v>
      </c>
      <c r="O8" s="15"/>
      <c r="P8" s="15"/>
      <c r="Q8" s="15">
        <f t="shared" si="4"/>
        <v>100</v>
      </c>
      <c r="R8" s="15">
        <f t="shared" si="5"/>
        <v>200</v>
      </c>
      <c r="S8" s="15">
        <f t="shared" si="6"/>
        <v>100</v>
      </c>
      <c r="T8" s="15">
        <f t="shared" si="7"/>
        <v>200</v>
      </c>
      <c r="U8" s="15">
        <f t="shared" si="8"/>
        <v>100</v>
      </c>
      <c r="V8" s="15">
        <f t="shared" si="9"/>
        <v>200</v>
      </c>
      <c r="W8" s="15"/>
      <c r="X8" s="15"/>
      <c r="Y8" s="15"/>
      <c r="Z8" s="15"/>
      <c r="AA8" s="10">
        <f>Q8*属性价值参考!C$7+官职!R8*属性价值参考!C$8</f>
        <v>12960</v>
      </c>
      <c r="AB8" s="10">
        <f>AH8*属性价值参考!C$31</f>
        <v>2332.7999999999997</v>
      </c>
      <c r="AC8" s="10">
        <f t="shared" si="1"/>
        <v>1120500</v>
      </c>
      <c r="AD8" s="10">
        <f t="shared" si="2"/>
        <v>1120.5</v>
      </c>
      <c r="AE8" s="10">
        <f>ROUND($AC$16/材料产出!$K$31*材料产出!$K21/100,0)*100</f>
        <v>614100</v>
      </c>
      <c r="AF8" s="10">
        <f>ROUND($AD$16/材料产出!$O$31*材料产出!$O21,0)</f>
        <v>614</v>
      </c>
      <c r="AG8" s="13"/>
      <c r="AH8" s="15">
        <f>9/20*$AH$17</f>
        <v>9</v>
      </c>
    </row>
    <row r="9" spans="1:34" ht="16.5" x14ac:dyDescent="0.3">
      <c r="A9" s="22" t="s">
        <v>29</v>
      </c>
      <c r="B9" s="22" t="s">
        <v>29</v>
      </c>
      <c r="C9" s="22" t="s">
        <v>29</v>
      </c>
      <c r="D9" s="22"/>
      <c r="E9" s="22"/>
      <c r="F9" s="22" t="s">
        <v>88</v>
      </c>
      <c r="G9" s="22">
        <v>7</v>
      </c>
      <c r="H9" s="22"/>
      <c r="I9" s="22"/>
      <c r="J9" s="38" t="str">
        <f t="shared" si="3"/>
        <v>3#3#116|3#4#233|3#5#116|3#6#233|3#7#116|3#8#233</v>
      </c>
      <c r="K9" s="22" t="str">
        <f t="shared" si="10"/>
        <v>打怪爆率11%</v>
      </c>
      <c r="L9" s="37" t="str">
        <f t="shared" si="0"/>
        <v>火龙凭证657/元宝657000</v>
      </c>
      <c r="M9" s="42">
        <v>8</v>
      </c>
      <c r="N9" s="190">
        <f>材料产出!C22</f>
        <v>4.5999999999999996</v>
      </c>
      <c r="O9" s="15"/>
      <c r="P9" s="15"/>
      <c r="Q9" s="15">
        <f t="shared" si="4"/>
        <v>116</v>
      </c>
      <c r="R9" s="15">
        <f t="shared" si="5"/>
        <v>233</v>
      </c>
      <c r="S9" s="15">
        <f t="shared" si="6"/>
        <v>116</v>
      </c>
      <c r="T9" s="15">
        <f t="shared" si="7"/>
        <v>233</v>
      </c>
      <c r="U9" s="15">
        <f t="shared" si="8"/>
        <v>116</v>
      </c>
      <c r="V9" s="15">
        <f t="shared" si="9"/>
        <v>233</v>
      </c>
      <c r="W9" s="15"/>
      <c r="X9" s="15"/>
      <c r="Y9" s="15"/>
      <c r="Z9" s="15"/>
      <c r="AA9" s="10">
        <f>Q9*属性价值参考!C$7+官职!R9*属性价值参考!C$8</f>
        <v>15076.800000000001</v>
      </c>
      <c r="AB9" s="10">
        <f>AH9*属性价值参考!C$31</f>
        <v>2851.2</v>
      </c>
      <c r="AC9" s="10">
        <f t="shared" si="1"/>
        <v>1287900</v>
      </c>
      <c r="AD9" s="10">
        <f t="shared" si="2"/>
        <v>1287.9000000000001</v>
      </c>
      <c r="AE9" s="10">
        <f>ROUND($AC$16/材料产出!$K$31*材料产出!$K22/100,0)*100</f>
        <v>657000</v>
      </c>
      <c r="AF9" s="10">
        <f>ROUND($AD$16/材料产出!$O$31*材料产出!$O22,0)</f>
        <v>657</v>
      </c>
      <c r="AG9" s="13"/>
      <c r="AH9" s="15">
        <f>11/20*$AH$17</f>
        <v>11</v>
      </c>
    </row>
    <row r="10" spans="1:34" ht="16.5" x14ac:dyDescent="0.3">
      <c r="A10" s="22" t="s">
        <v>29</v>
      </c>
      <c r="B10" s="22" t="s">
        <v>29</v>
      </c>
      <c r="C10" s="22" t="s">
        <v>29</v>
      </c>
      <c r="D10" s="22"/>
      <c r="E10" s="22"/>
      <c r="F10" s="22" t="s">
        <v>89</v>
      </c>
      <c r="G10" s="22">
        <v>8</v>
      </c>
      <c r="H10" s="22"/>
      <c r="I10" s="22"/>
      <c r="J10" s="38" t="str">
        <f t="shared" si="3"/>
        <v>3#3#133|3#4#266|3#5#133|3#6#266|3#7#133|3#8#266</v>
      </c>
      <c r="K10" s="22" t="str">
        <f t="shared" si="10"/>
        <v>打怪爆率13%</v>
      </c>
      <c r="L10" s="37" t="str">
        <f t="shared" si="0"/>
        <v>火龙凭证700/元宝699800</v>
      </c>
      <c r="M10" s="190">
        <v>9</v>
      </c>
      <c r="N10" s="190">
        <f>材料产出!C23</f>
        <v>4.9000000000000004</v>
      </c>
      <c r="O10" s="15"/>
      <c r="P10" s="15"/>
      <c r="Q10" s="15">
        <f t="shared" si="4"/>
        <v>133</v>
      </c>
      <c r="R10" s="15">
        <f t="shared" si="5"/>
        <v>266</v>
      </c>
      <c r="S10" s="15">
        <f t="shared" si="6"/>
        <v>133</v>
      </c>
      <c r="T10" s="15">
        <f t="shared" si="7"/>
        <v>266</v>
      </c>
      <c r="U10" s="15">
        <f t="shared" si="8"/>
        <v>133</v>
      </c>
      <c r="V10" s="15">
        <f t="shared" si="9"/>
        <v>266</v>
      </c>
      <c r="W10" s="15"/>
      <c r="X10" s="15"/>
      <c r="Y10" s="15"/>
      <c r="Z10" s="15"/>
      <c r="AA10" s="10">
        <f>Q10*属性价值参考!C$7+官职!R10*属性价值参考!C$8</f>
        <v>17236.800000000003</v>
      </c>
      <c r="AB10" s="10">
        <f>AH10*属性价值参考!C$31</f>
        <v>3369.6</v>
      </c>
      <c r="AC10" s="10">
        <f t="shared" si="1"/>
        <v>1458000</v>
      </c>
      <c r="AD10" s="10">
        <f t="shared" si="2"/>
        <v>1458</v>
      </c>
      <c r="AE10" s="10">
        <f>ROUND($AC$16/材料产出!$K$31*材料产出!$K23/100,0)*100</f>
        <v>699800</v>
      </c>
      <c r="AF10" s="10">
        <f>ROUND($AD$16/材料产出!$O$31*材料产出!$O23,0)</f>
        <v>700</v>
      </c>
      <c r="AG10" s="13"/>
      <c r="AH10" s="15">
        <f>13/20*$AH$17</f>
        <v>13</v>
      </c>
    </row>
    <row r="11" spans="1:34" ht="16.5" x14ac:dyDescent="0.3">
      <c r="A11" s="22" t="s">
        <v>29</v>
      </c>
      <c r="B11" s="22" t="s">
        <v>29</v>
      </c>
      <c r="C11" s="22" t="s">
        <v>29</v>
      </c>
      <c r="D11" s="22"/>
      <c r="E11" s="22"/>
      <c r="F11" s="22" t="s">
        <v>90</v>
      </c>
      <c r="G11" s="22">
        <v>9</v>
      </c>
      <c r="H11" s="22"/>
      <c r="I11" s="22"/>
      <c r="J11" s="38" t="str">
        <f t="shared" si="3"/>
        <v>3#3#150|3#4#300|3#5#150|3#6#300|3#7#150|3#8#300</v>
      </c>
      <c r="K11" s="22" t="str">
        <f t="shared" si="10"/>
        <v>打怪爆率15%</v>
      </c>
      <c r="L11" s="37" t="str">
        <f t="shared" si="0"/>
        <v>火龙凭证743/元宝742700</v>
      </c>
      <c r="M11" s="42">
        <v>10</v>
      </c>
      <c r="N11" s="190">
        <f>材料产出!C24</f>
        <v>5.2</v>
      </c>
      <c r="O11" s="15"/>
      <c r="P11" s="15"/>
      <c r="Q11" s="15">
        <f t="shared" si="4"/>
        <v>150</v>
      </c>
      <c r="R11" s="15">
        <f t="shared" si="5"/>
        <v>300</v>
      </c>
      <c r="S11" s="15">
        <f t="shared" si="6"/>
        <v>150</v>
      </c>
      <c r="T11" s="15">
        <f t="shared" si="7"/>
        <v>300</v>
      </c>
      <c r="U11" s="15">
        <f t="shared" si="8"/>
        <v>150</v>
      </c>
      <c r="V11" s="15">
        <f t="shared" si="9"/>
        <v>300</v>
      </c>
      <c r="W11" s="15"/>
      <c r="X11" s="15"/>
      <c r="Y11" s="15"/>
      <c r="Z11" s="15"/>
      <c r="AA11" s="10">
        <f>Q11*属性价值参考!C$7+官职!R11*属性价值参考!C$8</f>
        <v>19440</v>
      </c>
      <c r="AB11" s="10">
        <f>AH11*属性价值参考!C$31</f>
        <v>3888</v>
      </c>
      <c r="AC11" s="10">
        <f t="shared" si="1"/>
        <v>1622700.0000000002</v>
      </c>
      <c r="AD11" s="10">
        <f t="shared" si="2"/>
        <v>1622.7000000000003</v>
      </c>
      <c r="AE11" s="10">
        <f>ROUND($AC$16/材料产出!$K$31*材料产出!$K24/100,0)*100</f>
        <v>742700</v>
      </c>
      <c r="AF11" s="10">
        <f>ROUND($AD$16/材料产出!$O$31*材料产出!$O24,0)</f>
        <v>743</v>
      </c>
      <c r="AG11" s="13"/>
      <c r="AH11" s="15">
        <f>15/20*$AH$17</f>
        <v>15</v>
      </c>
    </row>
    <row r="12" spans="1:34" ht="16.5" x14ac:dyDescent="0.3">
      <c r="A12" s="22" t="s">
        <v>29</v>
      </c>
      <c r="B12" s="22" t="s">
        <v>29</v>
      </c>
      <c r="C12" s="22" t="s">
        <v>29</v>
      </c>
      <c r="D12" s="22"/>
      <c r="E12" s="22"/>
      <c r="F12" s="22" t="s">
        <v>91</v>
      </c>
      <c r="G12" s="22">
        <v>10</v>
      </c>
      <c r="H12" s="22"/>
      <c r="I12" s="22"/>
      <c r="J12" s="38" t="str">
        <f t="shared" si="3"/>
        <v>3#3#166|3#4#333|3#5#166|3#6#333|3#7#166|3#8#333</v>
      </c>
      <c r="K12" s="22" t="str">
        <f t="shared" si="10"/>
        <v>打怪爆率17%</v>
      </c>
      <c r="L12" s="37" t="str">
        <f t="shared" si="0"/>
        <v>火龙凭证785/元宝785500</v>
      </c>
      <c r="M12" s="190">
        <v>11</v>
      </c>
      <c r="N12" s="190">
        <f>材料产出!C25</f>
        <v>5.5</v>
      </c>
      <c r="O12" s="15"/>
      <c r="P12" s="15"/>
      <c r="Q12" s="15">
        <f t="shared" si="4"/>
        <v>166</v>
      </c>
      <c r="R12" s="15">
        <f t="shared" si="5"/>
        <v>333</v>
      </c>
      <c r="S12" s="15">
        <f t="shared" si="6"/>
        <v>166</v>
      </c>
      <c r="T12" s="15">
        <f t="shared" si="7"/>
        <v>333</v>
      </c>
      <c r="U12" s="15">
        <f t="shared" si="8"/>
        <v>166</v>
      </c>
      <c r="V12" s="15">
        <f t="shared" si="9"/>
        <v>333</v>
      </c>
      <c r="W12" s="15"/>
      <c r="X12" s="15"/>
      <c r="Y12" s="15"/>
      <c r="Z12" s="15"/>
      <c r="AA12" s="10">
        <f>Q12*属性价值参考!C$7+官职!R12*属性价值参考!C$8</f>
        <v>21556.800000000003</v>
      </c>
      <c r="AB12" s="10">
        <f>AH12*属性价值参考!C$31</f>
        <v>4406.3999999999996</v>
      </c>
      <c r="AC12" s="10">
        <f t="shared" si="1"/>
        <v>1806300.0000000002</v>
      </c>
      <c r="AD12" s="10">
        <f t="shared" si="2"/>
        <v>1806.3000000000002</v>
      </c>
      <c r="AE12" s="10">
        <f>ROUND($AC$16/材料产出!$K$31*材料产出!$K25/100,0)*100</f>
        <v>785500</v>
      </c>
      <c r="AF12" s="10">
        <f>ROUND($AD$16/材料产出!$O$31*材料产出!$O25,0)</f>
        <v>785</v>
      </c>
      <c r="AG12" s="13"/>
      <c r="AH12" s="15">
        <f>17/20*$AH$17</f>
        <v>17</v>
      </c>
    </row>
    <row r="13" spans="1:34" ht="16.5" x14ac:dyDescent="0.3">
      <c r="A13" s="22" t="s">
        <v>29</v>
      </c>
      <c r="B13" s="22" t="s">
        <v>29</v>
      </c>
      <c r="C13" s="22" t="s">
        <v>29</v>
      </c>
      <c r="D13" s="22"/>
      <c r="E13" s="22"/>
      <c r="F13" s="22" t="s">
        <v>92</v>
      </c>
      <c r="G13" s="22">
        <v>11</v>
      </c>
      <c r="H13" s="22"/>
      <c r="I13" s="22"/>
      <c r="J13" s="38" t="str">
        <f t="shared" si="3"/>
        <v>3#3#183|3#4#366|3#5#183|3#6#366|3#7#183|3#8#366</v>
      </c>
      <c r="K13" s="22" t="str">
        <f t="shared" si="10"/>
        <v>打怪爆率20%</v>
      </c>
      <c r="L13" s="37" t="str">
        <f t="shared" si="0"/>
        <v>火龙凭证1657/元宝1656700</v>
      </c>
      <c r="M13" s="42">
        <v>12</v>
      </c>
      <c r="N13" s="190">
        <f>材料产出!C26</f>
        <v>5.8</v>
      </c>
      <c r="O13" s="15"/>
      <c r="P13" s="15"/>
      <c r="Q13" s="15">
        <f t="shared" si="4"/>
        <v>183</v>
      </c>
      <c r="R13" s="15">
        <f t="shared" si="5"/>
        <v>366</v>
      </c>
      <c r="S13" s="15">
        <f t="shared" si="6"/>
        <v>183</v>
      </c>
      <c r="T13" s="15">
        <f t="shared" si="7"/>
        <v>366</v>
      </c>
      <c r="U13" s="15">
        <f t="shared" si="8"/>
        <v>183</v>
      </c>
      <c r="V13" s="15">
        <f t="shared" si="9"/>
        <v>366</v>
      </c>
      <c r="W13" s="15"/>
      <c r="X13" s="15"/>
      <c r="Y13" s="15"/>
      <c r="Z13" s="15"/>
      <c r="AA13" s="10">
        <f>Q13*属性价值参考!C$7+官职!R13*属性价值参考!C$8</f>
        <v>23716.800000000003</v>
      </c>
      <c r="AB13" s="10">
        <f>AH13*属性价值参考!C$31</f>
        <v>5184</v>
      </c>
      <c r="AC13" s="10">
        <f t="shared" si="1"/>
        <v>1944000</v>
      </c>
      <c r="AD13" s="10">
        <f t="shared" si="2"/>
        <v>1944</v>
      </c>
      <c r="AE13" s="10">
        <f>ROUND($AC$16/材料产出!$K$31*材料产出!$K26/100,0)*100</f>
        <v>1656700</v>
      </c>
      <c r="AF13" s="10">
        <f>ROUND($AD$16/材料产出!$O$31*材料产出!$O26,0)</f>
        <v>1657</v>
      </c>
      <c r="AG13" s="13"/>
      <c r="AH13" s="15">
        <f>$AH$17</f>
        <v>20</v>
      </c>
    </row>
    <row r="14" spans="1:34" ht="16.5" x14ac:dyDescent="0.3">
      <c r="A14" s="22" t="s">
        <v>29</v>
      </c>
      <c r="B14" s="35" t="s">
        <v>29</v>
      </c>
      <c r="C14" s="35" t="s">
        <v>93</v>
      </c>
      <c r="D14" s="35"/>
      <c r="E14" s="35"/>
      <c r="F14" s="35" t="s">
        <v>94</v>
      </c>
      <c r="G14" s="35">
        <v>12</v>
      </c>
      <c r="H14" s="35"/>
      <c r="I14" s="35"/>
      <c r="J14" s="36" t="str">
        <f t="shared" si="3"/>
        <v>3#3#200|3#4#400|3#5#200|3#6#400|3#7#200|3#8#400</v>
      </c>
      <c r="K14" s="22" t="str">
        <f t="shared" si="10"/>
        <v>打怪爆率20%</v>
      </c>
      <c r="L14" s="37" t="str">
        <f t="shared" si="0"/>
        <v>火龙凭证1742/元宝1742400</v>
      </c>
      <c r="M14" s="190">
        <v>13</v>
      </c>
      <c r="N14" s="190">
        <f>材料产出!C27</f>
        <v>6.1</v>
      </c>
      <c r="O14" s="15"/>
      <c r="P14" s="15"/>
      <c r="Q14" s="15">
        <f t="shared" si="4"/>
        <v>200</v>
      </c>
      <c r="R14" s="15">
        <f t="shared" si="5"/>
        <v>400</v>
      </c>
      <c r="S14" s="15">
        <f t="shared" si="6"/>
        <v>200</v>
      </c>
      <c r="T14" s="15">
        <f t="shared" si="7"/>
        <v>400</v>
      </c>
      <c r="U14" s="15">
        <f t="shared" si="8"/>
        <v>200</v>
      </c>
      <c r="V14" s="15">
        <f t="shared" si="9"/>
        <v>400</v>
      </c>
      <c r="W14" s="15"/>
      <c r="X14" s="15"/>
      <c r="Y14" s="15"/>
      <c r="Z14" s="15"/>
      <c r="AA14" s="10">
        <f>Q14*属性价值参考!C$7+官职!R14*属性价值参考!C$8</f>
        <v>25920</v>
      </c>
      <c r="AB14" s="10">
        <f>AH14*属性价值参考!C$31</f>
        <v>5184</v>
      </c>
      <c r="AC14" s="10">
        <f t="shared" si="1"/>
        <v>2076300.0000000002</v>
      </c>
      <c r="AD14" s="10">
        <f t="shared" si="2"/>
        <v>2076.3000000000002</v>
      </c>
      <c r="AE14" s="10">
        <f>ROUND($AC$16/材料产出!$K$31*材料产出!$K27/100,0)*100</f>
        <v>1742400</v>
      </c>
      <c r="AF14" s="10">
        <f>ROUND($AD$16/材料产出!$O$31*材料产出!$O27,0)</f>
        <v>1742</v>
      </c>
      <c r="AG14" s="13"/>
      <c r="AH14" s="15">
        <f>$AH$17</f>
        <v>20</v>
      </c>
    </row>
    <row r="15" spans="1:34" ht="16.5" x14ac:dyDescent="0.3">
      <c r="A15" s="22" t="s">
        <v>29</v>
      </c>
      <c r="B15" s="35" t="s">
        <v>29</v>
      </c>
      <c r="C15" s="35" t="s">
        <v>93</v>
      </c>
      <c r="D15" s="35"/>
      <c r="E15" s="35"/>
      <c r="F15" s="35" t="s">
        <v>95</v>
      </c>
      <c r="G15" s="35">
        <v>13</v>
      </c>
      <c r="H15" s="35"/>
      <c r="I15" s="35"/>
      <c r="J15" s="36" t="str">
        <f t="shared" si="3"/>
        <v>3#3#216|3#4#433|3#5#216|3#6#433|3#7#216|3#8#433</v>
      </c>
      <c r="K15" s="22" t="str">
        <f t="shared" si="10"/>
        <v>打怪爆率20%</v>
      </c>
      <c r="L15" s="37" t="str">
        <f t="shared" si="0"/>
        <v>火龙凭证1828/元宝1828100</v>
      </c>
      <c r="M15" s="42">
        <v>14</v>
      </c>
      <c r="N15" s="190">
        <f>材料产出!C28</f>
        <v>6.4</v>
      </c>
      <c r="O15" s="15"/>
      <c r="P15" s="15"/>
      <c r="Q15" s="15">
        <f t="shared" si="4"/>
        <v>216</v>
      </c>
      <c r="R15" s="15">
        <f t="shared" si="5"/>
        <v>433</v>
      </c>
      <c r="S15" s="15">
        <f t="shared" si="6"/>
        <v>216</v>
      </c>
      <c r="T15" s="15">
        <f t="shared" si="7"/>
        <v>433</v>
      </c>
      <c r="U15" s="15">
        <f t="shared" si="8"/>
        <v>216</v>
      </c>
      <c r="V15" s="15">
        <f t="shared" si="9"/>
        <v>433</v>
      </c>
      <c r="W15" s="15"/>
      <c r="X15" s="15"/>
      <c r="Y15" s="15"/>
      <c r="Z15" s="15"/>
      <c r="AA15" s="10">
        <f>Q15*属性价值参考!C$7+官职!R15*属性价值参考!C$8</f>
        <v>28036.800000000003</v>
      </c>
      <c r="AB15" s="10">
        <f>AH15*属性价值参考!C$31</f>
        <v>5184</v>
      </c>
      <c r="AC15" s="10">
        <f t="shared" si="1"/>
        <v>2211300</v>
      </c>
      <c r="AD15" s="10">
        <f t="shared" si="2"/>
        <v>2211.3000000000002</v>
      </c>
      <c r="AE15" s="10">
        <f>ROUND($AC$16/材料产出!$K$31*材料产出!$K28/100,0)*100</f>
        <v>1828100</v>
      </c>
      <c r="AF15" s="10">
        <f>ROUND($AD$16/材料产出!$O$31*材料产出!$O28,0)</f>
        <v>1828</v>
      </c>
      <c r="AG15" s="13"/>
      <c r="AH15" s="15">
        <f>$AH$17</f>
        <v>20</v>
      </c>
    </row>
    <row r="16" spans="1:34" ht="16.5" x14ac:dyDescent="0.3">
      <c r="A16" s="22" t="s">
        <v>29</v>
      </c>
      <c r="B16" s="35" t="s">
        <v>29</v>
      </c>
      <c r="C16" s="35" t="s">
        <v>93</v>
      </c>
      <c r="D16" s="35"/>
      <c r="E16" s="35"/>
      <c r="F16" s="35" t="s">
        <v>96</v>
      </c>
      <c r="G16" s="35">
        <v>14</v>
      </c>
      <c r="H16" s="35"/>
      <c r="I16" s="35"/>
      <c r="J16" s="36" t="str">
        <f t="shared" si="3"/>
        <v>3#3#233|3#4#466|3#5#233|3#6#466|3#7#233|3#8#466</v>
      </c>
      <c r="K16" s="22" t="str">
        <f t="shared" si="10"/>
        <v>打怪爆率20%</v>
      </c>
      <c r="L16" s="37" t="str">
        <f t="shared" si="0"/>
        <v>火龙凭证1914/元宝1913800</v>
      </c>
      <c r="M16" s="190">
        <v>15</v>
      </c>
      <c r="N16" s="190">
        <f>材料产出!C29</f>
        <v>6.7</v>
      </c>
      <c r="O16" s="15"/>
      <c r="P16" s="15"/>
      <c r="Q16" s="15">
        <f>INT(0.5*R16)</f>
        <v>233</v>
      </c>
      <c r="R16" s="15">
        <f>INT(M15/M$16*R$17)</f>
        <v>466</v>
      </c>
      <c r="S16" s="15">
        <f>INT(0.5*T16)</f>
        <v>233</v>
      </c>
      <c r="T16" s="15">
        <f>INT(M15/M$16*T$17)</f>
        <v>466</v>
      </c>
      <c r="U16" s="15">
        <f t="shared" si="8"/>
        <v>233</v>
      </c>
      <c r="V16" s="15">
        <f>INT(M15/M$16*V$17)</f>
        <v>466</v>
      </c>
      <c r="W16" s="15"/>
      <c r="X16" s="15"/>
      <c r="Y16" s="15"/>
      <c r="Z16" s="15"/>
      <c r="AA16" s="10">
        <f>Q16*属性价值参考!C$7+官职!R16*属性价值参考!C$8</f>
        <v>30196.800000000003</v>
      </c>
      <c r="AB16" s="10">
        <f>AH16*属性价值参考!C$31</f>
        <v>5184</v>
      </c>
      <c r="AC16" s="10">
        <f t="shared" si="1"/>
        <v>2349000</v>
      </c>
      <c r="AD16" s="10">
        <f t="shared" si="2"/>
        <v>2349</v>
      </c>
      <c r="AE16" s="10">
        <f>ROUND($AC$16/材料产出!$K$31*材料产出!$K29/100,0)*100</f>
        <v>1913800</v>
      </c>
      <c r="AF16" s="10">
        <f>ROUND($AD$16/材料产出!$O$31*材料产出!$O29,0)</f>
        <v>1914</v>
      </c>
      <c r="AG16" s="13"/>
      <c r="AH16" s="15">
        <f>$AH$17</f>
        <v>20</v>
      </c>
    </row>
    <row r="17" spans="1:34" ht="16.5" x14ac:dyDescent="0.3">
      <c r="A17" s="22" t="s">
        <v>29</v>
      </c>
      <c r="B17" s="35" t="s">
        <v>29</v>
      </c>
      <c r="C17" s="35" t="s">
        <v>93</v>
      </c>
      <c r="D17" s="35"/>
      <c r="E17" s="35"/>
      <c r="F17" s="35" t="s">
        <v>97</v>
      </c>
      <c r="G17" s="35">
        <v>15</v>
      </c>
      <c r="H17" s="35"/>
      <c r="I17" s="35"/>
      <c r="J17" s="36" t="str">
        <f>"3#3#"&amp;INT(Q17)&amp;"|"&amp;"3#4#"&amp;INT(R17)&amp;"|"&amp;"3#5#"&amp;INT(S17)&amp;"|"&amp;"3#6#"&amp;INT(T17)&amp;"|"&amp;"3#7#"&amp;INT(U17)&amp;"|"&amp;"3#8#"&amp;INT(V17)</f>
        <v>3#3#250|3#4#500|3#5#250|3#6#500|3#7#250|3#8#500</v>
      </c>
      <c r="K17" s="22" t="str">
        <f t="shared" si="10"/>
        <v>打怪爆率20%</v>
      </c>
      <c r="L17" s="35"/>
      <c r="M17" s="42">
        <v>16</v>
      </c>
      <c r="N17" s="190"/>
      <c r="O17" s="15"/>
      <c r="P17" s="15"/>
      <c r="Q17" s="15">
        <f>INT(0.5*R17)</f>
        <v>250</v>
      </c>
      <c r="R17" s="15">
        <f>养成属性分配!O31</f>
        <v>500</v>
      </c>
      <c r="S17" s="15">
        <f>INT(0.5*T17)</f>
        <v>250</v>
      </c>
      <c r="T17" s="15">
        <f>养成属性分配!O31</f>
        <v>500</v>
      </c>
      <c r="U17" s="15">
        <f>INT(0.5*V17)</f>
        <v>250</v>
      </c>
      <c r="V17" s="15">
        <f>养成属性分配!O31</f>
        <v>500</v>
      </c>
      <c r="W17" s="15"/>
      <c r="X17" s="15"/>
      <c r="Y17" s="15"/>
      <c r="Z17" s="15"/>
      <c r="AA17" s="10">
        <f>Q17*属性价值参考!C$7+官职!R17*属性价值参考!C$8</f>
        <v>32400</v>
      </c>
      <c r="AB17" s="10">
        <f>AH17*属性价值参考!C$31</f>
        <v>5184</v>
      </c>
      <c r="AG17" s="13"/>
      <c r="AH17" s="15">
        <f>参数调整!AQ4</f>
        <v>20</v>
      </c>
    </row>
  </sheetData>
  <phoneticPr fontId="1" type="noConversion"/>
  <pageMargins left="0.7" right="0.7" top="0.75" bottom="0.75" header="0.3" footer="0.3"/>
  <ignoredErrors>
    <ignoredError sqref="S3:S15 R17:V17 U16 U3:U15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B3DD-54D7-4148-BE30-D090DDC606E5}">
  <dimension ref="A1:AE23"/>
  <sheetViews>
    <sheetView workbookViewId="0">
      <selection activeCell="G17" sqref="G17"/>
    </sheetView>
  </sheetViews>
  <sheetFormatPr defaultRowHeight="14.25" x14ac:dyDescent="0.2"/>
  <cols>
    <col min="2" max="3" width="0" hidden="1" customWidth="1"/>
    <col min="5" max="5" width="0" hidden="1" customWidth="1"/>
    <col min="6" max="6" width="39" customWidth="1"/>
    <col min="7" max="7" width="40.125" customWidth="1"/>
    <col min="8" max="8" width="39.375" customWidth="1"/>
    <col min="10" max="10" width="48.375" customWidth="1"/>
    <col min="11" max="12" width="9.75" bestFit="1" customWidth="1"/>
    <col min="13" max="24" width="9" style="94"/>
    <col min="25" max="25" width="11.875" bestFit="1" customWidth="1"/>
    <col min="26" max="26" width="9.625" bestFit="1" customWidth="1"/>
    <col min="27" max="28" width="14.125" bestFit="1" customWidth="1"/>
    <col min="29" max="29" width="16.375" bestFit="1" customWidth="1"/>
    <col min="30" max="31" width="20.75" bestFit="1" customWidth="1"/>
  </cols>
  <sheetData>
    <row r="1" spans="1:31" s="31" customFormat="1" ht="18" x14ac:dyDescent="0.2">
      <c r="A1" s="21" t="s">
        <v>51</v>
      </c>
      <c r="B1" s="21" t="s">
        <v>52</v>
      </c>
      <c r="C1" s="21" t="s">
        <v>53</v>
      </c>
      <c r="D1" s="21" t="s">
        <v>54</v>
      </c>
      <c r="E1" s="21" t="s">
        <v>55</v>
      </c>
      <c r="F1" s="280" t="s">
        <v>77</v>
      </c>
      <c r="G1" s="280"/>
      <c r="H1" s="280"/>
      <c r="I1" s="21" t="s">
        <v>61</v>
      </c>
      <c r="J1" s="21" t="s">
        <v>62</v>
      </c>
      <c r="K1" s="21" t="s">
        <v>55</v>
      </c>
      <c r="L1" s="21" t="s">
        <v>3468</v>
      </c>
      <c r="M1" s="63" t="s">
        <v>37</v>
      </c>
      <c r="N1" s="63" t="s">
        <v>38</v>
      </c>
      <c r="O1" s="63" t="s">
        <v>68</v>
      </c>
      <c r="P1" s="63" t="s">
        <v>69</v>
      </c>
      <c r="Q1" s="63" t="s">
        <v>70</v>
      </c>
      <c r="R1" s="63" t="s">
        <v>71</v>
      </c>
      <c r="S1" s="63" t="s">
        <v>67</v>
      </c>
      <c r="T1" s="63" t="s">
        <v>72</v>
      </c>
      <c r="U1" s="63" t="s">
        <v>73</v>
      </c>
      <c r="V1" s="63" t="s">
        <v>74</v>
      </c>
      <c r="W1" s="63" t="s">
        <v>75</v>
      </c>
      <c r="X1" s="63" t="s">
        <v>76</v>
      </c>
      <c r="Y1" s="63" t="s">
        <v>3428</v>
      </c>
      <c r="Z1" s="63" t="s">
        <v>3447</v>
      </c>
      <c r="AA1" s="63" t="s">
        <v>3448</v>
      </c>
      <c r="AB1" s="63" t="s">
        <v>3450</v>
      </c>
      <c r="AC1" s="63" t="s">
        <v>3469</v>
      </c>
      <c r="AD1" s="63" t="s">
        <v>3470</v>
      </c>
      <c r="AE1" s="63" t="s">
        <v>3472</v>
      </c>
    </row>
    <row r="2" spans="1:31" ht="16.5" x14ac:dyDescent="0.3">
      <c r="A2" s="22" t="s">
        <v>31</v>
      </c>
      <c r="B2" s="22"/>
      <c r="C2" s="22"/>
      <c r="D2" s="23" t="s">
        <v>131</v>
      </c>
      <c r="E2" s="22"/>
      <c r="F2" s="281"/>
      <c r="G2" s="281"/>
      <c r="H2" s="281"/>
      <c r="I2" s="22"/>
      <c r="J2" s="27" t="str">
        <f>"40/火龙凭证"&amp;AD2&amp;"/元宝"&amp;AC2&amp;"/等级1"</f>
        <v>40/火龙凭证5/元宝5296/等级1</v>
      </c>
      <c r="K2" s="27">
        <v>0</v>
      </c>
      <c r="L2" s="27">
        <f>材料产出!C4</f>
        <v>0.5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0">
        <f>M2*属性价值参考!C$5+转生!N2*属性价值参考!C$6+转生!O2*属性价值参考!C$7+转生!P2*属性价值参考!C$8</f>
        <v>0</v>
      </c>
      <c r="Z2" s="10">
        <f t="shared" ref="Z2:Z22" si="0">Y2/280*10000</f>
        <v>0</v>
      </c>
      <c r="AA2" s="10">
        <f t="shared" ref="AA2:AA22" si="1">Y2/280*10</f>
        <v>0</v>
      </c>
      <c r="AB2" s="10">
        <f t="shared" ref="AB2:AB22" si="2">Y2/280*1</f>
        <v>0</v>
      </c>
      <c r="AC2" s="10">
        <f>ROUND($Z$23/材料产出!$K$31*材料产出!J10,0)</f>
        <v>5296</v>
      </c>
      <c r="AD2" s="10">
        <f>ROUND($AA$23/材料产出!$O$31*材料产出!N10,0)</f>
        <v>5</v>
      </c>
      <c r="AE2" s="10"/>
    </row>
    <row r="3" spans="1:31" ht="16.5" x14ac:dyDescent="0.3">
      <c r="A3" s="22" t="s">
        <v>31</v>
      </c>
      <c r="B3" s="22"/>
      <c r="C3" s="22"/>
      <c r="D3" s="23" t="s">
        <v>132</v>
      </c>
      <c r="E3" s="22"/>
      <c r="F3" s="281" t="str">
        <f t="shared" ref="F3:F11" si="3">"3#1#"&amp;0.2*M3&amp;"|"&amp;"3#2#"&amp;N3&amp;"|"&amp;"3#3#"&amp;O3&amp;"|"&amp;"3#4#"&amp;P3&amp;"|"&amp;"3#5#"&amp;Q3&amp;"|"&amp;"3#6#"&amp;R3&amp;"|"&amp;"3#7#"&amp;S3&amp;"|"&amp;"3#8#"&amp;T3</f>
        <v>3#1#40|3#2#400|3#3#5|3#4#10|3#5#5|3#6#10|3#7#5|3#8#10</v>
      </c>
      <c r="G3" s="281"/>
      <c r="H3" s="281"/>
      <c r="I3" s="22"/>
      <c r="J3" s="27" t="str">
        <f>"55/火龙凭证"&amp;AD3&amp;"/元宝"&amp;AC3&amp;"/等级2"</f>
        <v>55/火龙凭证10/元宝10347/等级2</v>
      </c>
      <c r="K3" s="27">
        <v>1</v>
      </c>
      <c r="L3" s="27">
        <f>材料产出!C7</f>
        <v>0.8</v>
      </c>
      <c r="M3" s="15">
        <f>INT(2/100*M23)</f>
        <v>200</v>
      </c>
      <c r="N3" s="15">
        <f t="shared" ref="N3:T3" si="4">INT(2/100*N23)</f>
        <v>400</v>
      </c>
      <c r="O3" s="15">
        <f t="shared" si="4"/>
        <v>5</v>
      </c>
      <c r="P3" s="15">
        <f t="shared" si="4"/>
        <v>10</v>
      </c>
      <c r="Q3" s="15">
        <f t="shared" si="4"/>
        <v>5</v>
      </c>
      <c r="R3" s="15">
        <f t="shared" si="4"/>
        <v>10</v>
      </c>
      <c r="S3" s="15">
        <f t="shared" si="4"/>
        <v>5</v>
      </c>
      <c r="T3" s="15">
        <f t="shared" si="4"/>
        <v>10</v>
      </c>
      <c r="U3" s="15"/>
      <c r="V3" s="15"/>
      <c r="W3" s="15"/>
      <c r="X3" s="15"/>
      <c r="Y3" s="10">
        <f>M3*属性价值参考!C$5+转生!N3*属性价值参考!C$6+转生!O3*属性价值参考!C$7+转生!P3*属性价值参考!C$8</f>
        <v>2049.6</v>
      </c>
      <c r="Z3" s="10">
        <f t="shared" si="0"/>
        <v>73200</v>
      </c>
      <c r="AA3" s="10">
        <f t="shared" si="1"/>
        <v>73.199999999999989</v>
      </c>
      <c r="AB3" s="10">
        <f t="shared" si="2"/>
        <v>7.3199999999999994</v>
      </c>
      <c r="AC3" s="10">
        <f>ROUND($Z$23/材料产出!$K$31*材料产出!J11,0)</f>
        <v>10347</v>
      </c>
      <c r="AD3" s="10">
        <f>ROUND($AA$23/材料产出!$O$31*材料产出!N11,0)</f>
        <v>10</v>
      </c>
      <c r="AE3" s="10"/>
    </row>
    <row r="4" spans="1:31" ht="16.5" x14ac:dyDescent="0.3">
      <c r="A4" s="22" t="s">
        <v>31</v>
      </c>
      <c r="B4" s="22"/>
      <c r="C4" s="22"/>
      <c r="D4" s="23" t="s">
        <v>133</v>
      </c>
      <c r="E4" s="22"/>
      <c r="F4" s="281" t="str">
        <f t="shared" si="3"/>
        <v>3#1#90|3#2#900|3#3#11|3#4#22|3#5#11|3#6#22|3#7#11|3#8#22</v>
      </c>
      <c r="G4" s="281"/>
      <c r="H4" s="281"/>
      <c r="I4" s="22"/>
      <c r="J4" s="27" t="str">
        <f>"70/火龙凭证"&amp;AD4&amp;"/元宝"&amp;AC4&amp;"/等级3"</f>
        <v>70/火龙凭证11/元宝11393/等级3</v>
      </c>
      <c r="K4" s="27">
        <v>2</v>
      </c>
      <c r="L4" s="27">
        <f>材料产出!C9</f>
        <v>1</v>
      </c>
      <c r="M4" s="15">
        <f>INT(4.5/100*M23)</f>
        <v>450</v>
      </c>
      <c r="N4" s="15">
        <f t="shared" ref="N4:T4" si="5">INT(4.5/100*N23)</f>
        <v>900</v>
      </c>
      <c r="O4" s="15">
        <f t="shared" si="5"/>
        <v>11</v>
      </c>
      <c r="P4" s="15">
        <f t="shared" si="5"/>
        <v>22</v>
      </c>
      <c r="Q4" s="15">
        <f t="shared" si="5"/>
        <v>11</v>
      </c>
      <c r="R4" s="15">
        <f t="shared" si="5"/>
        <v>22</v>
      </c>
      <c r="S4" s="15">
        <f t="shared" si="5"/>
        <v>11</v>
      </c>
      <c r="T4" s="15">
        <f t="shared" si="5"/>
        <v>22</v>
      </c>
      <c r="U4" s="15"/>
      <c r="V4" s="15"/>
      <c r="W4" s="15"/>
      <c r="X4" s="15"/>
      <c r="Y4" s="10">
        <f>M4*属性价值参考!C$5+转生!N4*属性价值参考!C$6+转生!O4*属性价值参考!C$7+转生!P4*属性价值参考!C$8</f>
        <v>4579.2000000000007</v>
      </c>
      <c r="Z4" s="10">
        <f t="shared" si="0"/>
        <v>163542.85714285716</v>
      </c>
      <c r="AA4" s="10">
        <f t="shared" si="1"/>
        <v>163.54285714285714</v>
      </c>
      <c r="AB4" s="10">
        <f t="shared" si="2"/>
        <v>16.354285714285716</v>
      </c>
      <c r="AC4" s="10">
        <f>ROUND($Z$23/材料产出!$K$31*材料产出!J12,0)</f>
        <v>11393</v>
      </c>
      <c r="AD4" s="10">
        <f>ROUND($AA$23/材料产出!$O$31*材料产出!N12,0)</f>
        <v>11</v>
      </c>
      <c r="AE4" s="10"/>
    </row>
    <row r="5" spans="1:31" ht="16.5" x14ac:dyDescent="0.3">
      <c r="A5" s="22" t="s">
        <v>31</v>
      </c>
      <c r="B5" s="22"/>
      <c r="C5" s="22"/>
      <c r="D5" s="23" t="s">
        <v>134</v>
      </c>
      <c r="E5" s="22"/>
      <c r="F5" s="281" t="str">
        <f t="shared" si="3"/>
        <v>3#1#140|3#2#1400|3#3#17|3#4#35|3#5#17|3#6#35|3#7#17|3#8#35</v>
      </c>
      <c r="G5" s="281"/>
      <c r="H5" s="281"/>
      <c r="I5" s="22"/>
      <c r="J5" s="27" t="str">
        <f>"90/火龙凭证"&amp;AD5&amp;"/元宝"&amp;AC5&amp;"/等级4"</f>
        <v>90/火龙凭证14/元宝14019/等级4</v>
      </c>
      <c r="K5" s="27">
        <v>3</v>
      </c>
      <c r="L5" s="27">
        <f>材料产出!C11</f>
        <v>1.2</v>
      </c>
      <c r="M5" s="15">
        <f>INT(7/100*M23)</f>
        <v>700</v>
      </c>
      <c r="N5" s="15">
        <f t="shared" ref="N5:T5" si="6">INT(7/100*N23)</f>
        <v>1400</v>
      </c>
      <c r="O5" s="15">
        <f t="shared" si="6"/>
        <v>17</v>
      </c>
      <c r="P5" s="15">
        <f t="shared" si="6"/>
        <v>35</v>
      </c>
      <c r="Q5" s="15">
        <f t="shared" si="6"/>
        <v>17</v>
      </c>
      <c r="R5" s="15">
        <f t="shared" si="6"/>
        <v>35</v>
      </c>
      <c r="S5" s="15">
        <f t="shared" si="6"/>
        <v>17</v>
      </c>
      <c r="T5" s="15">
        <f t="shared" si="6"/>
        <v>35</v>
      </c>
      <c r="U5" s="15"/>
      <c r="V5" s="15"/>
      <c r="W5" s="15"/>
      <c r="X5" s="15"/>
      <c r="Y5" s="10">
        <f>M5*属性价值参考!C$5+转生!N5*属性价值参考!C$6+转生!O5*属性价值参考!C$7+转生!P5*属性价值参考!C$8</f>
        <v>7152</v>
      </c>
      <c r="Z5" s="10">
        <f t="shared" si="0"/>
        <v>255428.57142857145</v>
      </c>
      <c r="AA5" s="10">
        <f t="shared" si="1"/>
        <v>255.42857142857144</v>
      </c>
      <c r="AB5" s="10">
        <f t="shared" si="2"/>
        <v>25.542857142857144</v>
      </c>
      <c r="AC5" s="10">
        <f>ROUND($Z$23/材料产出!$K$31*材料产出!J13,0)</f>
        <v>14019</v>
      </c>
      <c r="AD5" s="10">
        <f>ROUND($AA$23/材料产出!$O$31*材料产出!N13,0)</f>
        <v>14</v>
      </c>
      <c r="AE5" s="10"/>
    </row>
    <row r="6" spans="1:31" ht="16.5" x14ac:dyDescent="0.3">
      <c r="A6" s="22" t="s">
        <v>31</v>
      </c>
      <c r="B6" s="22"/>
      <c r="C6" s="22"/>
      <c r="D6" s="23" t="s">
        <v>135</v>
      </c>
      <c r="E6" s="22"/>
      <c r="F6" s="281" t="str">
        <f t="shared" si="3"/>
        <v>3#1#200|3#2#2000|3#3#25|3#4#50|3#5#25|3#6#50|3#7#25|3#8#50</v>
      </c>
      <c r="G6" s="281"/>
      <c r="H6" s="281"/>
      <c r="I6" s="22"/>
      <c r="J6" s="27" t="str">
        <f>"100/火龙凭证"&amp;AD6&amp;"/元宝"&amp;AC6&amp;"/等级6"</f>
        <v>100/火龙凭证22/元宝22253/等级6</v>
      </c>
      <c r="K6" s="27">
        <v>4</v>
      </c>
      <c r="L6" s="27">
        <f>材料产出!C13</f>
        <v>1.5</v>
      </c>
      <c r="M6" s="15">
        <f>INT(10/100*M23)</f>
        <v>1000</v>
      </c>
      <c r="N6" s="15">
        <f t="shared" ref="N6:T6" si="7">INT(10/100*N23)</f>
        <v>2000</v>
      </c>
      <c r="O6" s="15">
        <f t="shared" si="7"/>
        <v>25</v>
      </c>
      <c r="P6" s="15">
        <f t="shared" si="7"/>
        <v>50</v>
      </c>
      <c r="Q6" s="15">
        <f t="shared" si="7"/>
        <v>25</v>
      </c>
      <c r="R6" s="15">
        <f t="shared" si="7"/>
        <v>50</v>
      </c>
      <c r="S6" s="15">
        <f t="shared" si="7"/>
        <v>25</v>
      </c>
      <c r="T6" s="15">
        <f t="shared" si="7"/>
        <v>50</v>
      </c>
      <c r="U6" s="15"/>
      <c r="V6" s="15"/>
      <c r="W6" s="15"/>
      <c r="X6" s="15"/>
      <c r="Y6" s="10">
        <f>M6*属性价值参考!C$5+转生!N6*属性价值参考!C$6+转生!O6*属性价值参考!C$7+转生!P6*属性价值参考!C$8</f>
        <v>10248</v>
      </c>
      <c r="Z6" s="10">
        <f t="shared" si="0"/>
        <v>366000</v>
      </c>
      <c r="AA6" s="10">
        <f t="shared" si="1"/>
        <v>366</v>
      </c>
      <c r="AB6" s="10">
        <f t="shared" si="2"/>
        <v>36.6</v>
      </c>
      <c r="AC6" s="10">
        <f>ROUND($Z$23/材料产出!$K$31*材料产出!J14,0)</f>
        <v>22253</v>
      </c>
      <c r="AD6" s="10">
        <f>ROUND($AA$23/材料产出!$O$31*材料产出!N14,0)</f>
        <v>22</v>
      </c>
      <c r="AE6" s="10"/>
    </row>
    <row r="7" spans="1:31" ht="16.5" x14ac:dyDescent="0.3">
      <c r="A7" s="22" t="s">
        <v>31</v>
      </c>
      <c r="B7" s="22"/>
      <c r="C7" s="22"/>
      <c r="D7" s="23" t="s">
        <v>136</v>
      </c>
      <c r="E7" s="22"/>
      <c r="F7" s="281" t="str">
        <f t="shared" si="3"/>
        <v>3#1#300|3#2#3000|3#3#37|3#4#75|3#5#37|3#6#75|3#7#37|3#8#75</v>
      </c>
      <c r="G7" s="281"/>
      <c r="H7" s="281"/>
      <c r="I7" s="22"/>
      <c r="J7" s="27" t="str">
        <f>"110/火龙凭证"&amp;AD7&amp;"/元宝"&amp;AC7&amp;"/等级8"</f>
        <v>110/火龙凭证98/元宝97912/等级8</v>
      </c>
      <c r="K7" s="27">
        <v>5</v>
      </c>
      <c r="L7" s="27">
        <f>材料产出!C15</f>
        <v>2.1</v>
      </c>
      <c r="M7" s="15">
        <f>INT(15/100*M23)</f>
        <v>1500</v>
      </c>
      <c r="N7" s="15">
        <f t="shared" ref="N7:T7" si="8">INT(15/100*N23)</f>
        <v>3000</v>
      </c>
      <c r="O7" s="15">
        <f t="shared" si="8"/>
        <v>37</v>
      </c>
      <c r="P7" s="15">
        <f t="shared" si="8"/>
        <v>75</v>
      </c>
      <c r="Q7" s="15">
        <f t="shared" si="8"/>
        <v>37</v>
      </c>
      <c r="R7" s="15">
        <f t="shared" si="8"/>
        <v>75</v>
      </c>
      <c r="S7" s="15">
        <f t="shared" si="8"/>
        <v>37</v>
      </c>
      <c r="T7" s="15">
        <f t="shared" si="8"/>
        <v>75</v>
      </c>
      <c r="U7" s="15"/>
      <c r="V7" s="15"/>
      <c r="W7" s="15"/>
      <c r="X7" s="15"/>
      <c r="Y7" s="10">
        <f>M7*属性价值参考!C$5+转生!N7*属性价值参考!C$6+转生!O7*属性价值参考!C$7+转生!P7*属性价值参考!C$8</f>
        <v>15350.4</v>
      </c>
      <c r="Z7" s="10">
        <f t="shared" si="0"/>
        <v>548228.57142857136</v>
      </c>
      <c r="AA7" s="10">
        <f t="shared" si="1"/>
        <v>548.2285714285714</v>
      </c>
      <c r="AB7" s="10">
        <f t="shared" si="2"/>
        <v>54.822857142857139</v>
      </c>
      <c r="AC7" s="10">
        <f>ROUND($Z$23/材料产出!$K$31*材料产出!J15,0)</f>
        <v>97912</v>
      </c>
      <c r="AD7" s="10">
        <f>ROUND($AA$23/材料产出!$O$31*材料产出!N15,0)</f>
        <v>98</v>
      </c>
      <c r="AE7" s="10"/>
    </row>
    <row r="8" spans="1:31" ht="16.5" x14ac:dyDescent="0.3">
      <c r="A8" s="22" t="s">
        <v>31</v>
      </c>
      <c r="B8" s="22"/>
      <c r="C8" s="22"/>
      <c r="D8" s="23" t="s">
        <v>137</v>
      </c>
      <c r="E8" s="22"/>
      <c r="F8" s="281" t="str">
        <f t="shared" si="3"/>
        <v>3#1#400|3#2#4000|3#3#50|3#4#100|3#5#50|3#6#100|3#7#50|3#8#100</v>
      </c>
      <c r="G8" s="281"/>
      <c r="H8" s="281"/>
      <c r="I8" s="22"/>
      <c r="J8" s="27" t="str">
        <f>"120/火龙凭证"&amp;AD8&amp;"/元宝"&amp;AC8&amp;"/等级10"</f>
        <v>120/火龙凭证111/元宝111263/等级10</v>
      </c>
      <c r="K8" s="27">
        <v>6</v>
      </c>
      <c r="L8" s="27">
        <f>材料产出!C17</f>
        <v>3</v>
      </c>
      <c r="M8" s="15">
        <f>INT(20/100*M23)</f>
        <v>2000</v>
      </c>
      <c r="N8" s="15">
        <f t="shared" ref="N8:T8" si="9">INT(20/100*N23)</f>
        <v>4000</v>
      </c>
      <c r="O8" s="15">
        <f t="shared" si="9"/>
        <v>50</v>
      </c>
      <c r="P8" s="15">
        <f t="shared" si="9"/>
        <v>100</v>
      </c>
      <c r="Q8" s="15">
        <f t="shared" si="9"/>
        <v>50</v>
      </c>
      <c r="R8" s="15">
        <f t="shared" si="9"/>
        <v>100</v>
      </c>
      <c r="S8" s="15">
        <f t="shared" si="9"/>
        <v>50</v>
      </c>
      <c r="T8" s="15">
        <f t="shared" si="9"/>
        <v>100</v>
      </c>
      <c r="U8" s="15"/>
      <c r="V8" s="15"/>
      <c r="W8" s="15"/>
      <c r="X8" s="15"/>
      <c r="Y8" s="10">
        <f>M8*属性价值参考!C$5+转生!N8*属性价值参考!C$6+转生!O8*属性价值参考!C$7+转生!P8*属性价值参考!C$8</f>
        <v>20496</v>
      </c>
      <c r="Z8" s="10">
        <f t="shared" si="0"/>
        <v>732000</v>
      </c>
      <c r="AA8" s="10">
        <f t="shared" si="1"/>
        <v>732</v>
      </c>
      <c r="AB8" s="10">
        <f t="shared" si="2"/>
        <v>73.2</v>
      </c>
      <c r="AC8" s="10">
        <f>ROUND($Z$23/材料产出!$K$31*材料产出!J16,0)</f>
        <v>111263</v>
      </c>
      <c r="AD8" s="10">
        <f>ROUND($AA$23/材料产出!$O$31*材料产出!N16,0)</f>
        <v>111</v>
      </c>
      <c r="AE8" s="10"/>
    </row>
    <row r="9" spans="1:31" ht="16.5" x14ac:dyDescent="0.3">
      <c r="A9" s="22" t="s">
        <v>31</v>
      </c>
      <c r="B9" s="22"/>
      <c r="C9" s="22"/>
      <c r="D9" s="23" t="s">
        <v>138</v>
      </c>
      <c r="E9" s="22"/>
      <c r="F9" s="281" t="str">
        <f t="shared" si="3"/>
        <v>3#1#500|3#2#5000|3#3#62|3#4#125|3#5#62|3#6#125|3#7#62|3#8#125</v>
      </c>
      <c r="G9" s="281"/>
      <c r="H9" s="281"/>
      <c r="I9" s="22"/>
      <c r="J9" s="27" t="str">
        <f>"135/火龙凭证"&amp;AD9&amp;"/元宝"&amp;AC9&amp;"/等级12"</f>
        <v>135/火龙凭证134/元宝133516/等级12</v>
      </c>
      <c r="K9" s="27">
        <v>7</v>
      </c>
      <c r="L9" s="27">
        <f>材料产出!C18</f>
        <v>3.5</v>
      </c>
      <c r="M9" s="15">
        <f>INT(25/100*M23)</f>
        <v>2500</v>
      </c>
      <c r="N9" s="15">
        <f t="shared" ref="N9:T9" si="10">INT(25/100*N23)</f>
        <v>5000</v>
      </c>
      <c r="O9" s="15">
        <f t="shared" si="10"/>
        <v>62</v>
      </c>
      <c r="P9" s="15">
        <f t="shared" si="10"/>
        <v>125</v>
      </c>
      <c r="Q9" s="15">
        <f t="shared" si="10"/>
        <v>62</v>
      </c>
      <c r="R9" s="15">
        <f t="shared" si="10"/>
        <v>125</v>
      </c>
      <c r="S9" s="15">
        <f t="shared" si="10"/>
        <v>62</v>
      </c>
      <c r="T9" s="15">
        <f t="shared" si="10"/>
        <v>125</v>
      </c>
      <c r="U9" s="15"/>
      <c r="V9" s="15"/>
      <c r="W9" s="15"/>
      <c r="X9" s="15"/>
      <c r="Y9" s="10">
        <f>M9*属性价值参考!C$5+转生!N9*属性价值参考!C$6+转生!O9*属性价值参考!C$7+转生!P9*属性价值参考!C$8</f>
        <v>25598.400000000001</v>
      </c>
      <c r="Z9" s="10">
        <f t="shared" si="0"/>
        <v>914228.57142857159</v>
      </c>
      <c r="AA9" s="10">
        <f t="shared" si="1"/>
        <v>914.22857142857151</v>
      </c>
      <c r="AB9" s="10">
        <f t="shared" si="2"/>
        <v>91.422857142857154</v>
      </c>
      <c r="AC9" s="10">
        <f>ROUND($Z$23/材料产出!$K$31*材料产出!J17,0)</f>
        <v>133516</v>
      </c>
      <c r="AD9" s="10">
        <f>ROUND($AA$23/材料产出!$O$31*材料产出!N17,0)</f>
        <v>134</v>
      </c>
      <c r="AE9" s="10"/>
    </row>
    <row r="10" spans="1:31" ht="16.5" x14ac:dyDescent="0.3">
      <c r="A10" s="22" t="s">
        <v>31</v>
      </c>
      <c r="B10" s="22"/>
      <c r="C10" s="22"/>
      <c r="D10" s="23" t="s">
        <v>139</v>
      </c>
      <c r="E10" s="22"/>
      <c r="F10" s="281" t="str">
        <f t="shared" si="3"/>
        <v>3#1#600|3#2#6000|3#3#75|3#4#150|3#5#75|3#6#150|3#7#75|3#8#150</v>
      </c>
      <c r="G10" s="281"/>
      <c r="H10" s="281"/>
      <c r="I10" s="22"/>
      <c r="J10" s="27" t="str">
        <f>"155/火龙凭证"&amp;AD10&amp;"/元宝"&amp;AC10&amp;"/等级15"</f>
        <v>155/火龙凭证156/元宝155768/等级15</v>
      </c>
      <c r="K10" s="27">
        <v>8</v>
      </c>
      <c r="L10" s="27">
        <f>材料产出!C19</f>
        <v>3.7</v>
      </c>
      <c r="M10" s="15">
        <f>INT(30/100*M23)</f>
        <v>3000</v>
      </c>
      <c r="N10" s="15">
        <f t="shared" ref="N10:T10" si="11">INT(30/100*N23)</f>
        <v>6000</v>
      </c>
      <c r="O10" s="15">
        <f t="shared" si="11"/>
        <v>75</v>
      </c>
      <c r="P10" s="15">
        <f t="shared" si="11"/>
        <v>150</v>
      </c>
      <c r="Q10" s="15">
        <f t="shared" si="11"/>
        <v>75</v>
      </c>
      <c r="R10" s="15">
        <f t="shared" si="11"/>
        <v>150</v>
      </c>
      <c r="S10" s="15">
        <f t="shared" si="11"/>
        <v>75</v>
      </c>
      <c r="T10" s="15">
        <f t="shared" si="11"/>
        <v>150</v>
      </c>
      <c r="U10" s="15"/>
      <c r="V10" s="15"/>
      <c r="W10" s="15"/>
      <c r="X10" s="15"/>
      <c r="Y10" s="10">
        <f>M10*属性价值参考!C$5+转生!N10*属性价值参考!C$6+转生!O10*属性价值参考!C$7+转生!P10*属性价值参考!C$8</f>
        <v>30744</v>
      </c>
      <c r="Z10" s="10">
        <f t="shared" si="0"/>
        <v>1098000</v>
      </c>
      <c r="AA10" s="10">
        <f t="shared" si="1"/>
        <v>1098</v>
      </c>
      <c r="AB10" s="10">
        <f t="shared" si="2"/>
        <v>109.8</v>
      </c>
      <c r="AC10" s="10">
        <f>ROUND($Z$23/材料产出!$K$31*材料产出!J18,0)</f>
        <v>155768</v>
      </c>
      <c r="AD10" s="10">
        <f>ROUND($AA$23/材料产出!$O$31*材料产出!N18,0)</f>
        <v>156</v>
      </c>
      <c r="AE10" s="10"/>
    </row>
    <row r="11" spans="1:31" ht="16.5" x14ac:dyDescent="0.3">
      <c r="A11" s="22" t="s">
        <v>31</v>
      </c>
      <c r="B11" s="22"/>
      <c r="C11" s="22"/>
      <c r="D11" s="23" t="s">
        <v>140</v>
      </c>
      <c r="E11" s="22"/>
      <c r="F11" s="281" t="str">
        <f t="shared" si="3"/>
        <v>3#1#700|3#2#7000|3#3#87|3#4#175|3#5#87|3#6#175|3#7#87|3#8#175</v>
      </c>
      <c r="G11" s="281"/>
      <c r="H11" s="281"/>
      <c r="I11" s="22"/>
      <c r="J11" s="27" t="str">
        <f>"190/火龙凭证"&amp;AD11&amp;"/元宝"&amp;AC11&amp;"/等级20"</f>
        <v>190/火龙凭证165/元宝164669/等级20</v>
      </c>
      <c r="K11" s="27">
        <v>9</v>
      </c>
      <c r="L11" s="27">
        <f>材料产出!C20</f>
        <v>4</v>
      </c>
      <c r="M11" s="15">
        <f>INT(35/100*M23)</f>
        <v>3500</v>
      </c>
      <c r="N11" s="15">
        <f t="shared" ref="N11:T11" si="12">INT(35/100*N23)</f>
        <v>7000</v>
      </c>
      <c r="O11" s="15">
        <f t="shared" si="12"/>
        <v>87</v>
      </c>
      <c r="P11" s="15">
        <f t="shared" si="12"/>
        <v>175</v>
      </c>
      <c r="Q11" s="15">
        <f t="shared" si="12"/>
        <v>87</v>
      </c>
      <c r="R11" s="15">
        <f t="shared" si="12"/>
        <v>175</v>
      </c>
      <c r="S11" s="15">
        <f t="shared" si="12"/>
        <v>87</v>
      </c>
      <c r="T11" s="15">
        <f t="shared" si="12"/>
        <v>175</v>
      </c>
      <c r="U11" s="15"/>
      <c r="V11" s="15"/>
      <c r="W11" s="15"/>
      <c r="X11" s="15"/>
      <c r="Y11" s="10">
        <f>M11*属性价值参考!C$5+转生!N11*属性价值参考!C$6+转生!O11*属性价值参考!C$7+转生!P11*属性价值参考!C$8</f>
        <v>35846.400000000001</v>
      </c>
      <c r="Z11" s="10">
        <f t="shared" si="0"/>
        <v>1280228.5714285714</v>
      </c>
      <c r="AA11" s="10">
        <f t="shared" si="1"/>
        <v>1280.2285714285713</v>
      </c>
      <c r="AB11" s="10">
        <f t="shared" si="2"/>
        <v>128.02285714285713</v>
      </c>
      <c r="AC11" s="10">
        <f>ROUND($Z$23/材料产出!$K$31*材料产出!J19,0)</f>
        <v>164669</v>
      </c>
      <c r="AD11" s="10">
        <f>ROUND($AA$23/材料产出!$O$31*材料产出!N19,0)</f>
        <v>165</v>
      </c>
      <c r="AE11" s="10"/>
    </row>
    <row r="12" spans="1:31" ht="16.5" x14ac:dyDescent="0.3">
      <c r="A12" s="22" t="s">
        <v>31</v>
      </c>
      <c r="B12" s="22"/>
      <c r="C12" s="22"/>
      <c r="D12" s="23" t="s">
        <v>141</v>
      </c>
      <c r="E12" s="22"/>
      <c r="F12" s="281" t="str">
        <f>"3#1#"&amp;0.2*M12&amp;"|"&amp;"3#2#"&amp;N12&amp;"|"&amp;"3#3#"&amp;O12&amp;"|"&amp;"3#4#"&amp;P12&amp;"|"&amp;"3#5#"&amp;Q12&amp;"|"&amp;"3#6#"&amp;R12&amp;"|"&amp;"3#7#"&amp;S12&amp;"|"&amp;"3#8#"&amp;T12</f>
        <v>3#1#800|3#2#8000|3#3#100|3#4#200|3#5#100|3#6#200|3#7#100|3#8#200</v>
      </c>
      <c r="G12" s="281"/>
      <c r="H12" s="281"/>
      <c r="I12" s="22"/>
      <c r="J12" s="27" t="str">
        <f>"200/火龙凭证"&amp;AD12&amp;"/转生精华"&amp;AE12&amp;"/元宝"&amp;AC12</f>
        <v>200/火龙凭证178/转生精华18/元宝178021</v>
      </c>
      <c r="K12" s="27">
        <v>10</v>
      </c>
      <c r="L12" s="27">
        <f>材料产出!C21</f>
        <v>4.3</v>
      </c>
      <c r="M12" s="15">
        <f>INT(40/100*M23)</f>
        <v>4000</v>
      </c>
      <c r="N12" s="15">
        <f t="shared" ref="N12:T12" si="13">INT(40/100*N23)</f>
        <v>8000</v>
      </c>
      <c r="O12" s="15">
        <f t="shared" si="13"/>
        <v>100</v>
      </c>
      <c r="P12" s="15">
        <f t="shared" si="13"/>
        <v>200</v>
      </c>
      <c r="Q12" s="15">
        <f t="shared" si="13"/>
        <v>100</v>
      </c>
      <c r="R12" s="15">
        <f t="shared" si="13"/>
        <v>200</v>
      </c>
      <c r="S12" s="15">
        <f t="shared" si="13"/>
        <v>100</v>
      </c>
      <c r="T12" s="15">
        <f t="shared" si="13"/>
        <v>200</v>
      </c>
      <c r="U12" s="15"/>
      <c r="V12" s="15"/>
      <c r="W12" s="15"/>
      <c r="X12" s="15"/>
      <c r="Y12" s="10">
        <f>M12*属性价值参考!C$5+转生!N12*属性价值参考!C$6+转生!O12*属性价值参考!C$7+转生!P12*属性价值参考!C$8</f>
        <v>40992</v>
      </c>
      <c r="Z12" s="10">
        <f t="shared" si="0"/>
        <v>1464000</v>
      </c>
      <c r="AA12" s="10">
        <f t="shared" si="1"/>
        <v>1464</v>
      </c>
      <c r="AB12" s="10">
        <f t="shared" si="2"/>
        <v>146.4</v>
      </c>
      <c r="AC12" s="10">
        <f>ROUND($Z$23/材料产出!$K$31*材料产出!J20,0)</f>
        <v>178021</v>
      </c>
      <c r="AD12" s="10">
        <f>ROUND($AA$23/材料产出!$O$31*材料产出!N20,0)</f>
        <v>178</v>
      </c>
      <c r="AE12" s="10">
        <f>ROUND(材料产出!S20,0)</f>
        <v>18</v>
      </c>
    </row>
    <row r="13" spans="1:31" s="31" customFormat="1" ht="18" x14ac:dyDescent="0.2">
      <c r="A13" s="21" t="s">
        <v>51</v>
      </c>
      <c r="B13" s="21" t="s">
        <v>52</v>
      </c>
      <c r="C13" s="21" t="s">
        <v>53</v>
      </c>
      <c r="D13" s="21" t="s">
        <v>54</v>
      </c>
      <c r="E13" s="21" t="s">
        <v>55</v>
      </c>
      <c r="F13" s="21" t="s">
        <v>58</v>
      </c>
      <c r="G13" s="21" t="s">
        <v>59</v>
      </c>
      <c r="H13" s="21" t="s">
        <v>60</v>
      </c>
      <c r="I13" s="21" t="s">
        <v>61</v>
      </c>
      <c r="J13" s="21" t="s">
        <v>62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 ht="16.5" x14ac:dyDescent="0.3">
      <c r="A14" s="22" t="s">
        <v>142</v>
      </c>
      <c r="B14" s="22"/>
      <c r="C14" s="22"/>
      <c r="D14" s="23" t="s">
        <v>143</v>
      </c>
      <c r="E14" s="22"/>
      <c r="F14" s="24" t="str">
        <f t="shared" ref="F14:F22" si="14">"0#1#"&amp;M14&amp;"|"&amp;"0#2#"&amp;0.025*N14&amp;"|"&amp;"0#3#"&amp;O14&amp;"|"&amp;"3#4#"&amp;P14</f>
        <v>0#1#4800|0#2#240|0#3#120|3#4#240</v>
      </c>
      <c r="G14" s="24" t="str">
        <f t="shared" ref="G14:G22" si="15">"1#1#"&amp;0.2*M14&amp;"|"&amp;"1#2#"&amp;N14&amp;"|"&amp;"1#3#"&amp;O14&amp;"|"&amp;"1#4#"&amp;P14</f>
        <v>1#1#960|1#2#9600|1#3#120|1#4#240</v>
      </c>
      <c r="H14" s="24" t="str">
        <f t="shared" ref="H14:H22" si="16">"2#1#"&amp;0.2*M14&amp;"|"&amp;"2#2#"&amp;N14&amp;"|"&amp;"2#3#"&amp;S14&amp;"|"&amp;"2#4#"&amp;T14</f>
        <v>2#1#960|2#2#9600|2#3#120|2#4#240</v>
      </c>
      <c r="I14" s="22"/>
      <c r="J14" s="27" t="str">
        <f>"200/火龙凭证"&amp;AD14&amp;"/转生精华"&amp;AE14&amp;"/元宝"&amp;AC14</f>
        <v>200/火龙凭证957/转生精华96/元宝956863</v>
      </c>
      <c r="K14" s="27">
        <v>11</v>
      </c>
      <c r="L14" s="27">
        <f>材料产出!C22</f>
        <v>4.5999999999999996</v>
      </c>
      <c r="M14" s="15">
        <f>INT(48/100*M23)</f>
        <v>4800</v>
      </c>
      <c r="N14" s="15">
        <f t="shared" ref="N14:T14" si="17">INT(48/100*N23)</f>
        <v>9600</v>
      </c>
      <c r="O14" s="15">
        <f t="shared" si="17"/>
        <v>120</v>
      </c>
      <c r="P14" s="15">
        <f t="shared" si="17"/>
        <v>240</v>
      </c>
      <c r="Q14" s="15">
        <f t="shared" si="17"/>
        <v>120</v>
      </c>
      <c r="R14" s="15">
        <f t="shared" si="17"/>
        <v>240</v>
      </c>
      <c r="S14" s="15">
        <f t="shared" si="17"/>
        <v>120</v>
      </c>
      <c r="T14" s="15">
        <f t="shared" si="17"/>
        <v>240</v>
      </c>
      <c r="U14" s="15"/>
      <c r="V14" s="15"/>
      <c r="W14" s="15"/>
      <c r="X14" s="15"/>
      <c r="Y14" s="10">
        <f>M14*属性价值参考!C$5+转生!N14*属性价值参考!C$6+转生!O14*属性价值参考!C$7+转生!P14*属性价值参考!C$8</f>
        <v>49190.400000000001</v>
      </c>
      <c r="Z14" s="10">
        <f t="shared" si="0"/>
        <v>1756800</v>
      </c>
      <c r="AA14" s="10">
        <f t="shared" si="1"/>
        <v>1756.8000000000002</v>
      </c>
      <c r="AB14" s="10">
        <f t="shared" si="2"/>
        <v>175.68</v>
      </c>
      <c r="AC14" s="10">
        <f>ROUND($Z$23/材料产出!$K$31*材料产出!J21,0)</f>
        <v>956863</v>
      </c>
      <c r="AD14" s="10">
        <f>ROUND($AA$23/材料产出!$O$31*材料产出!N21,0)</f>
        <v>957</v>
      </c>
      <c r="AE14" s="10">
        <f>ROUND(材料产出!S21,0)</f>
        <v>96</v>
      </c>
    </row>
    <row r="15" spans="1:31" ht="16.5" x14ac:dyDescent="0.3">
      <c r="A15" s="22" t="s">
        <v>142</v>
      </c>
      <c r="B15" s="22"/>
      <c r="C15" s="22"/>
      <c r="D15" s="23" t="s">
        <v>144</v>
      </c>
      <c r="E15" s="22"/>
      <c r="F15" s="24" t="str">
        <f t="shared" si="14"/>
        <v>0#1#5200|0#2#260|0#3#130|3#4#260</v>
      </c>
      <c r="G15" s="24" t="str">
        <f t="shared" si="15"/>
        <v>1#1#1040|1#2#10400|1#3#130|1#4#260</v>
      </c>
      <c r="H15" s="24" t="str">
        <f t="shared" si="16"/>
        <v>2#1#1040|2#2#10400|2#3#130|2#4#260</v>
      </c>
      <c r="I15" s="22"/>
      <c r="J15" s="27" t="str">
        <f>"210/火龙凭证"&amp;AD15&amp;"/转生精华"&amp;AE15&amp;"/元宝"&amp;AC15</f>
        <v>210/火龙凭证1024/转生精华102/元宝1023621</v>
      </c>
      <c r="K15" s="27">
        <v>12</v>
      </c>
      <c r="L15" s="27">
        <f>材料产出!C23</f>
        <v>4.9000000000000004</v>
      </c>
      <c r="M15" s="15">
        <f>INT(52/100*M23)</f>
        <v>5200</v>
      </c>
      <c r="N15" s="15">
        <f t="shared" ref="N15:T15" si="18">INT(52/100*N23)</f>
        <v>10400</v>
      </c>
      <c r="O15" s="15">
        <f t="shared" si="18"/>
        <v>130</v>
      </c>
      <c r="P15" s="15">
        <f t="shared" si="18"/>
        <v>260</v>
      </c>
      <c r="Q15" s="15">
        <f t="shared" si="18"/>
        <v>130</v>
      </c>
      <c r="R15" s="15">
        <f t="shared" si="18"/>
        <v>260</v>
      </c>
      <c r="S15" s="15">
        <f t="shared" si="18"/>
        <v>130</v>
      </c>
      <c r="T15" s="15">
        <f t="shared" si="18"/>
        <v>260</v>
      </c>
      <c r="U15" s="15"/>
      <c r="V15" s="15"/>
      <c r="W15" s="15"/>
      <c r="X15" s="15"/>
      <c r="Y15" s="10">
        <f>M15*属性价值参考!C$5+转生!N15*属性价值参考!C$6+转生!O15*属性价值参考!C$7+转生!P15*属性价值参考!C$8</f>
        <v>53289.599999999999</v>
      </c>
      <c r="Z15" s="10">
        <f t="shared" si="0"/>
        <v>1903200</v>
      </c>
      <c r="AA15" s="10">
        <f t="shared" si="1"/>
        <v>1903.1999999999998</v>
      </c>
      <c r="AB15" s="10">
        <f t="shared" si="2"/>
        <v>190.32</v>
      </c>
      <c r="AC15" s="10">
        <f>ROUND($Z$23/材料产出!$K$31*材料产出!J22,0)</f>
        <v>1023621</v>
      </c>
      <c r="AD15" s="10">
        <f>ROUND($AA$23/材料产出!$O$31*材料产出!N22,0)</f>
        <v>1024</v>
      </c>
      <c r="AE15" s="10">
        <f>ROUND(材料产出!S22,0)</f>
        <v>102</v>
      </c>
    </row>
    <row r="16" spans="1:31" ht="16.5" x14ac:dyDescent="0.3">
      <c r="A16" s="22" t="s">
        <v>142</v>
      </c>
      <c r="B16" s="22"/>
      <c r="C16" s="22"/>
      <c r="D16" s="23" t="s">
        <v>145</v>
      </c>
      <c r="E16" s="22"/>
      <c r="F16" s="24" t="str">
        <f t="shared" si="14"/>
        <v>0#1#5600|0#2#280|0#3#140|3#4#280</v>
      </c>
      <c r="G16" s="24" t="str">
        <f t="shared" si="15"/>
        <v>1#1#1120|1#2#11200|1#3#140|1#4#280</v>
      </c>
      <c r="H16" s="24" t="str">
        <f t="shared" si="16"/>
        <v>2#1#1120|2#2#11200|2#3#140|2#4#280</v>
      </c>
      <c r="I16" s="22"/>
      <c r="J16" s="27" t="str">
        <f>"210/火龙凭证"&amp;AD16&amp;"/转生精华"&amp;AE16&amp;"/元宝"&amp;AC16</f>
        <v>210/火龙凭证1090/转生精华109/元宝1090378</v>
      </c>
      <c r="K16" s="27">
        <v>13</v>
      </c>
      <c r="L16" s="27">
        <f>材料产出!C24</f>
        <v>5.2</v>
      </c>
      <c r="M16" s="15">
        <f>INT(56/100*M23)</f>
        <v>5600</v>
      </c>
      <c r="N16" s="15">
        <f t="shared" ref="N16:T16" si="19">INT(56/100*N23)</f>
        <v>11200</v>
      </c>
      <c r="O16" s="15">
        <f t="shared" si="19"/>
        <v>140</v>
      </c>
      <c r="P16" s="15">
        <f t="shared" si="19"/>
        <v>280</v>
      </c>
      <c r="Q16" s="15">
        <f t="shared" si="19"/>
        <v>140</v>
      </c>
      <c r="R16" s="15">
        <f t="shared" si="19"/>
        <v>280</v>
      </c>
      <c r="S16" s="15">
        <f t="shared" si="19"/>
        <v>140</v>
      </c>
      <c r="T16" s="15">
        <f t="shared" si="19"/>
        <v>280</v>
      </c>
      <c r="U16" s="15"/>
      <c r="V16" s="15"/>
      <c r="W16" s="15"/>
      <c r="X16" s="15"/>
      <c r="Y16" s="10">
        <f>M16*属性价值参考!C$5+转生!N16*属性价值参考!C$6+转生!O16*属性价值参考!C$7+转生!P16*属性价值参考!C$8</f>
        <v>57388.800000000003</v>
      </c>
      <c r="Z16" s="10">
        <f t="shared" si="0"/>
        <v>2049600</v>
      </c>
      <c r="AA16" s="10">
        <f t="shared" si="1"/>
        <v>2049.6</v>
      </c>
      <c r="AB16" s="10">
        <f t="shared" si="2"/>
        <v>204.96</v>
      </c>
      <c r="AC16" s="10">
        <f>ROUND($Z$23/材料产出!$K$31*材料产出!J23,0)</f>
        <v>1090378</v>
      </c>
      <c r="AD16" s="10">
        <f>ROUND($AA$23/材料产出!$O$31*材料产出!N23,0)</f>
        <v>1090</v>
      </c>
      <c r="AE16" s="10">
        <f>ROUND(材料产出!S23,0)</f>
        <v>109</v>
      </c>
    </row>
    <row r="17" spans="1:31" ht="16.5" x14ac:dyDescent="0.3">
      <c r="A17" s="22" t="s">
        <v>142</v>
      </c>
      <c r="B17" s="22"/>
      <c r="C17" s="22"/>
      <c r="D17" s="23" t="s">
        <v>146</v>
      </c>
      <c r="E17" s="22"/>
      <c r="F17" s="24" t="str">
        <f t="shared" si="14"/>
        <v>0#1#6000|0#2#300|0#3#150|3#4#300</v>
      </c>
      <c r="G17" s="24" t="str">
        <f t="shared" si="15"/>
        <v>1#1#1200|1#2#12000|1#3#150|1#4#300</v>
      </c>
      <c r="H17" s="24" t="str">
        <f t="shared" si="16"/>
        <v>2#1#1200|2#2#12000|2#3#150|2#4#300</v>
      </c>
      <c r="I17" s="22"/>
      <c r="J17" s="27" t="str">
        <f>"220/火龙凭证"&amp;AD17&amp;"/转生精华"&amp;AE17&amp;"/元宝"&amp;AC17</f>
        <v>220/火龙凭证1157/转生精华116/元宝1157136</v>
      </c>
      <c r="K17" s="27">
        <v>14</v>
      </c>
      <c r="L17" s="27">
        <f>材料产出!C25</f>
        <v>5.5</v>
      </c>
      <c r="M17" s="15">
        <f>INT(60/100*M23)</f>
        <v>6000</v>
      </c>
      <c r="N17" s="15">
        <f t="shared" ref="N17:T17" si="20">INT(60/100*N23)</f>
        <v>12000</v>
      </c>
      <c r="O17" s="15">
        <f t="shared" si="20"/>
        <v>150</v>
      </c>
      <c r="P17" s="15">
        <f t="shared" si="20"/>
        <v>300</v>
      </c>
      <c r="Q17" s="15">
        <f t="shared" si="20"/>
        <v>150</v>
      </c>
      <c r="R17" s="15">
        <f t="shared" si="20"/>
        <v>300</v>
      </c>
      <c r="S17" s="15">
        <f t="shared" si="20"/>
        <v>150</v>
      </c>
      <c r="T17" s="15">
        <f t="shared" si="20"/>
        <v>300</v>
      </c>
      <c r="U17" s="15"/>
      <c r="V17" s="15"/>
      <c r="W17" s="15"/>
      <c r="X17" s="15"/>
      <c r="Y17" s="10">
        <f>M17*属性价值参考!C$5+转生!N17*属性价值参考!C$6+转生!O17*属性价值参考!C$7+转生!P17*属性价值参考!C$8</f>
        <v>61488</v>
      </c>
      <c r="Z17" s="10">
        <f t="shared" si="0"/>
        <v>2196000</v>
      </c>
      <c r="AA17" s="10">
        <f t="shared" si="1"/>
        <v>2196</v>
      </c>
      <c r="AB17" s="10">
        <f t="shared" si="2"/>
        <v>219.6</v>
      </c>
      <c r="AC17" s="10">
        <f>ROUND($Z$23/材料产出!$K$31*材料产出!J24,0)</f>
        <v>1157136</v>
      </c>
      <c r="AD17" s="10">
        <f>ROUND($AA$23/材料产出!$O$31*材料产出!N24,0)</f>
        <v>1157</v>
      </c>
      <c r="AE17" s="10">
        <f>ROUND(材料产出!S24,0)</f>
        <v>116</v>
      </c>
    </row>
    <row r="18" spans="1:31" ht="16.5" x14ac:dyDescent="0.3">
      <c r="A18" s="22" t="s">
        <v>142</v>
      </c>
      <c r="B18" s="22"/>
      <c r="C18" s="22"/>
      <c r="D18" s="23" t="s">
        <v>147</v>
      </c>
      <c r="E18" s="22"/>
      <c r="F18" s="24" t="str">
        <f t="shared" si="14"/>
        <v>0#1#6400|0#2#320|0#3#160|3#4#320</v>
      </c>
      <c r="G18" s="24" t="str">
        <f t="shared" si="15"/>
        <v>1#1#1280|1#2#12800|1#3#160|1#4#320</v>
      </c>
      <c r="H18" s="24" t="str">
        <f t="shared" si="16"/>
        <v>2#1#1280|2#2#12800|2#3#160|2#4#320</v>
      </c>
      <c r="I18" s="22"/>
      <c r="J18" s="27" t="str">
        <f>"220/火龙凭证"&amp;AD18&amp;"/转生精华"&amp;AE18&amp;"/元宝"&amp;AC18</f>
        <v>220/火龙凭证1224/转生精华122/元宝1223894</v>
      </c>
      <c r="K18" s="27">
        <v>15</v>
      </c>
      <c r="L18" s="27">
        <f>材料产出!C26</f>
        <v>5.8</v>
      </c>
      <c r="M18" s="15">
        <f>INT(64/100*M23)</f>
        <v>6400</v>
      </c>
      <c r="N18" s="15">
        <f t="shared" ref="N18:T18" si="21">INT(64/100*N23)</f>
        <v>12800</v>
      </c>
      <c r="O18" s="15">
        <f t="shared" si="21"/>
        <v>160</v>
      </c>
      <c r="P18" s="15">
        <f t="shared" si="21"/>
        <v>320</v>
      </c>
      <c r="Q18" s="15">
        <f t="shared" si="21"/>
        <v>160</v>
      </c>
      <c r="R18" s="15">
        <f t="shared" si="21"/>
        <v>320</v>
      </c>
      <c r="S18" s="15">
        <f t="shared" si="21"/>
        <v>160</v>
      </c>
      <c r="T18" s="15">
        <f t="shared" si="21"/>
        <v>320</v>
      </c>
      <c r="U18" s="15"/>
      <c r="V18" s="15"/>
      <c r="W18" s="15"/>
      <c r="X18" s="15"/>
      <c r="Y18" s="10">
        <f>M18*属性价值参考!C$5+转生!N18*属性价值参考!C$6+转生!O18*属性价值参考!C$7+转生!P18*属性价值参考!C$8</f>
        <v>65587.199999999997</v>
      </c>
      <c r="Z18" s="10">
        <f t="shared" si="0"/>
        <v>2342400</v>
      </c>
      <c r="AA18" s="10">
        <f t="shared" si="1"/>
        <v>2342.3999999999996</v>
      </c>
      <c r="AB18" s="10">
        <f t="shared" si="2"/>
        <v>234.23999999999998</v>
      </c>
      <c r="AC18" s="10">
        <f>ROUND($Z$23/材料产出!$K$31*材料产出!J25,0)</f>
        <v>1223894</v>
      </c>
      <c r="AD18" s="10">
        <f>ROUND($AA$23/材料产出!$O$31*材料产出!N25,0)</f>
        <v>1224</v>
      </c>
      <c r="AE18" s="10">
        <f>ROUND(材料产出!S25,0)</f>
        <v>122</v>
      </c>
    </row>
    <row r="19" spans="1:31" ht="16.5" x14ac:dyDescent="0.3">
      <c r="A19" s="22" t="s">
        <v>142</v>
      </c>
      <c r="B19" s="22"/>
      <c r="C19" s="22"/>
      <c r="D19" s="23" t="s">
        <v>148</v>
      </c>
      <c r="E19" s="22"/>
      <c r="F19" s="24" t="str">
        <f t="shared" si="14"/>
        <v>0#1#7100|0#2#355|0#3#177|3#4#355</v>
      </c>
      <c r="G19" s="24" t="str">
        <f t="shared" si="15"/>
        <v>1#1#1420|1#2#14200|1#3#177|1#4#355</v>
      </c>
      <c r="H19" s="24" t="str">
        <f t="shared" si="16"/>
        <v>2#1#1420|2#2#14200|2#3#177|2#4#355</v>
      </c>
      <c r="I19" s="22"/>
      <c r="J19" s="27" t="str">
        <f>"230/火龙凭证"&amp;AD19&amp;"/转生精华"&amp;AE19&amp;"/元宝"&amp;AC19</f>
        <v>230/火龙凭证2581/转生精华258/元宝2581304</v>
      </c>
      <c r="K19" s="27">
        <v>16</v>
      </c>
      <c r="L19" s="27">
        <f>材料产出!C27</f>
        <v>6.1</v>
      </c>
      <c r="M19" s="15">
        <f>INT(71/100*M23)</f>
        <v>7100</v>
      </c>
      <c r="N19" s="15">
        <f t="shared" ref="N19:T19" si="22">INT(71/100*N23)</f>
        <v>14200</v>
      </c>
      <c r="O19" s="15">
        <f t="shared" si="22"/>
        <v>177</v>
      </c>
      <c r="P19" s="15">
        <f t="shared" si="22"/>
        <v>355</v>
      </c>
      <c r="Q19" s="15">
        <f t="shared" si="22"/>
        <v>177</v>
      </c>
      <c r="R19" s="15">
        <f t="shared" si="22"/>
        <v>355</v>
      </c>
      <c r="S19" s="15">
        <f t="shared" si="22"/>
        <v>177</v>
      </c>
      <c r="T19" s="15">
        <f t="shared" si="22"/>
        <v>355</v>
      </c>
      <c r="U19" s="15"/>
      <c r="V19" s="15"/>
      <c r="W19" s="15"/>
      <c r="X19" s="15"/>
      <c r="Y19" s="10">
        <f>M19*属性价值参考!C$5+转生!N19*属性价值参考!C$6+转生!O19*属性价值参考!C$7+转生!P19*属性价值参考!C$8</f>
        <v>72739.200000000012</v>
      </c>
      <c r="Z19" s="10">
        <f t="shared" si="0"/>
        <v>2597828.5714285723</v>
      </c>
      <c r="AA19" s="10">
        <f t="shared" si="1"/>
        <v>2597.8285714285721</v>
      </c>
      <c r="AB19" s="10">
        <f t="shared" si="2"/>
        <v>259.78285714285721</v>
      </c>
      <c r="AC19" s="10">
        <f>ROUND($Z$23/材料产出!$K$31*材料产出!J26,0)</f>
        <v>2581304</v>
      </c>
      <c r="AD19" s="10">
        <f>ROUND($AA$23/材料产出!$O$31*材料产出!N26,0)</f>
        <v>2581</v>
      </c>
      <c r="AE19" s="10">
        <f>ROUND(材料产出!S26,0)</f>
        <v>258</v>
      </c>
    </row>
    <row r="20" spans="1:31" ht="16.5" x14ac:dyDescent="0.3">
      <c r="A20" s="22" t="s">
        <v>142</v>
      </c>
      <c r="B20" s="22"/>
      <c r="C20" s="22"/>
      <c r="D20" s="23" t="s">
        <v>149</v>
      </c>
      <c r="E20" s="22"/>
      <c r="F20" s="24" t="str">
        <f t="shared" si="14"/>
        <v>0#1#7800|0#2#390|0#3#195|3#4#390</v>
      </c>
      <c r="G20" s="24" t="str">
        <f t="shared" si="15"/>
        <v>1#1#1560|1#2#15600|1#3#195|1#4#390</v>
      </c>
      <c r="H20" s="24" t="str">
        <f t="shared" si="16"/>
        <v>2#1#1560|2#2#15600|2#3#195|2#4#390</v>
      </c>
      <c r="I20" s="22"/>
      <c r="J20" s="27" t="str">
        <f>"230/火龙凭证"&amp;AD20&amp;"/转生精华"&amp;AE20&amp;"/元宝"&amp;AC20</f>
        <v>230/火龙凭证2715/转生精华271/元宝2714820</v>
      </c>
      <c r="K20" s="27">
        <v>17</v>
      </c>
      <c r="L20" s="27">
        <f>材料产出!C28</f>
        <v>6.4</v>
      </c>
      <c r="M20" s="15">
        <f>INT(78/100*M23)</f>
        <v>7800</v>
      </c>
      <c r="N20" s="15">
        <f t="shared" ref="N20:T20" si="23">INT(78/100*N23)</f>
        <v>15600</v>
      </c>
      <c r="O20" s="15">
        <f t="shared" si="23"/>
        <v>195</v>
      </c>
      <c r="P20" s="15">
        <f t="shared" si="23"/>
        <v>390</v>
      </c>
      <c r="Q20" s="15">
        <f t="shared" si="23"/>
        <v>195</v>
      </c>
      <c r="R20" s="15">
        <f t="shared" si="23"/>
        <v>390</v>
      </c>
      <c r="S20" s="15">
        <f t="shared" si="23"/>
        <v>195</v>
      </c>
      <c r="T20" s="15">
        <f t="shared" si="23"/>
        <v>390</v>
      </c>
      <c r="U20" s="15"/>
      <c r="V20" s="15"/>
      <c r="W20" s="15"/>
      <c r="X20" s="15"/>
      <c r="Y20" s="10">
        <f>M20*属性价值参考!C$5+转生!N20*属性价值参考!C$6+转生!O20*属性价值参考!C$7+转生!P20*属性价值参考!C$8</f>
        <v>79934.399999999994</v>
      </c>
      <c r="Z20" s="10">
        <f t="shared" si="0"/>
        <v>2854799.9999999995</v>
      </c>
      <c r="AA20" s="10">
        <f t="shared" si="1"/>
        <v>2854.7999999999997</v>
      </c>
      <c r="AB20" s="10">
        <f t="shared" si="2"/>
        <v>285.47999999999996</v>
      </c>
      <c r="AC20" s="10">
        <f>ROUND($Z$23/材料产出!$K$31*材料产出!J27,0)</f>
        <v>2714820</v>
      </c>
      <c r="AD20" s="10">
        <f>ROUND($AA$23/材料产出!$O$31*材料产出!N27,0)</f>
        <v>2715</v>
      </c>
      <c r="AE20" s="10">
        <f>ROUND(材料产出!S27,0)</f>
        <v>271</v>
      </c>
    </row>
    <row r="21" spans="1:31" ht="16.5" x14ac:dyDescent="0.3">
      <c r="A21" s="22" t="s">
        <v>142</v>
      </c>
      <c r="B21" s="22"/>
      <c r="C21" s="22"/>
      <c r="D21" s="23" t="s">
        <v>150</v>
      </c>
      <c r="E21" s="22"/>
      <c r="F21" s="24" t="str">
        <f t="shared" si="14"/>
        <v>0#1#8500|0#2#425|0#3#212|3#4#425</v>
      </c>
      <c r="G21" s="24" t="str">
        <f t="shared" si="15"/>
        <v>1#1#1700|1#2#17000|1#3#212|1#4#425</v>
      </c>
      <c r="H21" s="24" t="str">
        <f t="shared" si="16"/>
        <v>2#1#1700|2#2#17000|2#3#212|2#4#425</v>
      </c>
      <c r="I21" s="22"/>
      <c r="J21" s="27" t="str">
        <f>"240/火龙凭证"&amp;AD21&amp;"/转生精华"&amp;AE21&amp;"/元宝"&amp;AC21</f>
        <v>240/火龙凭证2848/转生精华285/元宝2848336</v>
      </c>
      <c r="K21" s="27">
        <v>18</v>
      </c>
      <c r="L21" s="27">
        <f>材料产出!C29</f>
        <v>6.7</v>
      </c>
      <c r="M21" s="15">
        <f>INT(85/100*M23)</f>
        <v>8500</v>
      </c>
      <c r="N21" s="15">
        <f t="shared" ref="N21:T21" si="24">INT(85/100*N23)</f>
        <v>17000</v>
      </c>
      <c r="O21" s="15">
        <f t="shared" si="24"/>
        <v>212</v>
      </c>
      <c r="P21" s="15">
        <f t="shared" si="24"/>
        <v>425</v>
      </c>
      <c r="Q21" s="15">
        <f t="shared" si="24"/>
        <v>212</v>
      </c>
      <c r="R21" s="15">
        <f t="shared" si="24"/>
        <v>425</v>
      </c>
      <c r="S21" s="15">
        <f t="shared" si="24"/>
        <v>212</v>
      </c>
      <c r="T21" s="15">
        <f t="shared" si="24"/>
        <v>425</v>
      </c>
      <c r="U21" s="15"/>
      <c r="V21" s="15"/>
      <c r="W21" s="15"/>
      <c r="X21" s="15"/>
      <c r="Y21" s="10">
        <f>M21*属性价值参考!C$5+转生!N21*属性价值参考!C$6+转生!O21*属性价值参考!C$7+转生!P21*属性价值参考!C$8</f>
        <v>87086.399999999994</v>
      </c>
      <c r="Z21" s="10">
        <f t="shared" si="0"/>
        <v>3110228.5714285709</v>
      </c>
      <c r="AA21" s="10">
        <f t="shared" si="1"/>
        <v>3110.2285714285708</v>
      </c>
      <c r="AB21" s="10">
        <f t="shared" si="2"/>
        <v>311.02285714285711</v>
      </c>
      <c r="AC21" s="10">
        <f>ROUND($Z$23/材料产出!$K$31*材料产出!J28,0)</f>
        <v>2848336</v>
      </c>
      <c r="AD21" s="10">
        <f>ROUND($AA$23/材料产出!$O$31*材料产出!N28,0)</f>
        <v>2848</v>
      </c>
      <c r="AE21" s="10">
        <f>ROUND(材料产出!S28,0)</f>
        <v>285</v>
      </c>
    </row>
    <row r="22" spans="1:31" ht="16.5" x14ac:dyDescent="0.3">
      <c r="A22" s="22" t="s">
        <v>142</v>
      </c>
      <c r="B22" s="22"/>
      <c r="C22" s="22"/>
      <c r="D22" s="23" t="s">
        <v>151</v>
      </c>
      <c r="E22" s="22"/>
      <c r="F22" s="24" t="str">
        <f t="shared" si="14"/>
        <v>0#1#9200|0#2#460|0#3#230|3#4#460</v>
      </c>
      <c r="G22" s="24" t="str">
        <f t="shared" si="15"/>
        <v>1#1#1840|1#2#18400|1#3#230|1#4#460</v>
      </c>
      <c r="H22" s="24" t="str">
        <f t="shared" si="16"/>
        <v>2#1#1840|2#2#18400|2#3#230|2#4#460</v>
      </c>
      <c r="I22" s="22"/>
      <c r="J22" s="27" t="str">
        <f>"240/火龙凭证"&amp;AD22&amp;"/转生精华"&amp;AE22&amp;"/元宝"&amp;AC22</f>
        <v>240/火龙凭证2982/转生精华298/元宝2981851</v>
      </c>
      <c r="K22" s="27">
        <v>19</v>
      </c>
      <c r="L22" s="27">
        <f>材料产出!C30</f>
        <v>7</v>
      </c>
      <c r="M22" s="15">
        <f>23/25*M23</f>
        <v>9200</v>
      </c>
      <c r="N22" s="15">
        <f t="shared" ref="N22:T22" si="25">23/25*N23</f>
        <v>18400</v>
      </c>
      <c r="O22" s="15">
        <f t="shared" si="25"/>
        <v>230</v>
      </c>
      <c r="P22" s="15">
        <f t="shared" si="25"/>
        <v>460</v>
      </c>
      <c r="Q22" s="15">
        <f t="shared" si="25"/>
        <v>230</v>
      </c>
      <c r="R22" s="15">
        <f t="shared" si="25"/>
        <v>460</v>
      </c>
      <c r="S22" s="15">
        <f t="shared" si="25"/>
        <v>230</v>
      </c>
      <c r="T22" s="15">
        <f t="shared" si="25"/>
        <v>460</v>
      </c>
      <c r="U22" s="15"/>
      <c r="V22" s="15"/>
      <c r="W22" s="15"/>
      <c r="X22" s="15"/>
      <c r="Y22" s="10">
        <f>M22*属性价值参考!C$5+转生!N22*属性价值参考!C$6+转生!O22*属性价值参考!C$7+转生!P22*属性价值参考!C$8</f>
        <v>94281.600000000006</v>
      </c>
      <c r="Z22" s="10">
        <f t="shared" si="0"/>
        <v>3367200.0000000005</v>
      </c>
      <c r="AA22" s="10">
        <f t="shared" si="1"/>
        <v>3367.2000000000003</v>
      </c>
      <c r="AB22" s="10">
        <f t="shared" si="2"/>
        <v>336.72</v>
      </c>
      <c r="AC22" s="10">
        <f>ROUND($Z$23/材料产出!$K$31*材料产出!J29,0)</f>
        <v>2981851</v>
      </c>
      <c r="AD22" s="10">
        <f>ROUND($AA$23/材料产出!$O$31*材料产出!N29,0)</f>
        <v>2982</v>
      </c>
      <c r="AE22" s="10">
        <f>ROUND(材料产出!S29,0)</f>
        <v>298</v>
      </c>
    </row>
    <row r="23" spans="1:31" ht="16.5" x14ac:dyDescent="0.3">
      <c r="A23" s="22" t="s">
        <v>142</v>
      </c>
      <c r="B23" s="34"/>
      <c r="C23" s="34"/>
      <c r="D23" s="23" t="s">
        <v>152</v>
      </c>
      <c r="E23" s="22"/>
      <c r="F23" s="24" t="str">
        <f>"0#1#"&amp;M23&amp;"|"&amp;"0#2#"&amp;0.025*N23&amp;"|"&amp;"0#3#"&amp;O23&amp;"|"&amp;"0#4#"&amp;P23</f>
        <v>0#1#10000|0#2#500|0#3#250|0#4#500</v>
      </c>
      <c r="G23" s="24" t="str">
        <f>"1#1#"&amp;0.2*M23&amp;"|"&amp;"1#2#"&amp;N23&amp;"|"&amp;"1#3#"&amp;Q23&amp;"|"&amp;"1#4#"&amp;R23</f>
        <v>1#1#2000|1#2#20000|1#3#250|1#4#500</v>
      </c>
      <c r="H23" s="24" t="str">
        <f>"2#1#"&amp;0.2*M23&amp;"|"&amp;"2#2#"&amp;N23&amp;"|"&amp;"2#3#"&amp;S23&amp;"|"&amp;"2#4#"&amp;T23</f>
        <v>2#1#2000|2#2#20000|2#3#250|2#4#500</v>
      </c>
      <c r="I23" s="22"/>
      <c r="J23" s="22"/>
      <c r="K23" s="27">
        <v>20</v>
      </c>
      <c r="L23" s="27"/>
      <c r="M23" s="15">
        <f>养成属性分配!S31</f>
        <v>10000</v>
      </c>
      <c r="N23" s="15">
        <f>养成属性分配!T31</f>
        <v>20000</v>
      </c>
      <c r="O23" s="15">
        <f>0.5*P23</f>
        <v>250</v>
      </c>
      <c r="P23" s="15">
        <f>养成属性分配!U31</f>
        <v>500</v>
      </c>
      <c r="Q23" s="15">
        <f>0.5*R23</f>
        <v>250</v>
      </c>
      <c r="R23" s="15">
        <f>养成属性分配!U31</f>
        <v>500</v>
      </c>
      <c r="S23" s="15">
        <f>0.5*T23</f>
        <v>250</v>
      </c>
      <c r="T23" s="15">
        <f>养成属性分配!U31</f>
        <v>500</v>
      </c>
      <c r="U23" s="15"/>
      <c r="V23" s="15"/>
      <c r="W23" s="15"/>
      <c r="X23" s="15"/>
      <c r="Y23" s="10">
        <f>M23*属性价值参考!C$5+转生!N23*属性价值参考!C$6+转生!O23*属性价值参考!C$7+转生!P23*属性价值参考!C$8</f>
        <v>102480</v>
      </c>
      <c r="Z23" s="10">
        <f>Y23/280*10000</f>
        <v>3660000</v>
      </c>
      <c r="AA23" s="10">
        <f>Y23/280*10</f>
        <v>3660</v>
      </c>
      <c r="AB23" s="10">
        <f>Y23/280*1</f>
        <v>366</v>
      </c>
      <c r="AC23" s="10"/>
      <c r="AD23" s="10"/>
      <c r="AE23" s="10"/>
    </row>
  </sheetData>
  <mergeCells count="12">
    <mergeCell ref="F12:H12"/>
    <mergeCell ref="F6:H6"/>
    <mergeCell ref="F7:H7"/>
    <mergeCell ref="F8:H8"/>
    <mergeCell ref="F9:H9"/>
    <mergeCell ref="F10:H10"/>
    <mergeCell ref="F11:H11"/>
    <mergeCell ref="F1:H1"/>
    <mergeCell ref="F2:H2"/>
    <mergeCell ref="F3:H3"/>
    <mergeCell ref="F4:H4"/>
    <mergeCell ref="F5:H5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29A-2639-4C1F-A132-53B317C25706}">
  <dimension ref="A1:CZ841"/>
  <sheetViews>
    <sheetView topLeftCell="AL10" workbookViewId="0">
      <selection activeCell="AX17" sqref="AX17"/>
    </sheetView>
  </sheetViews>
  <sheetFormatPr defaultRowHeight="16.5" x14ac:dyDescent="0.3"/>
  <cols>
    <col min="1" max="4" width="9" style="12"/>
    <col min="5" max="5" width="17.625" style="12" bestFit="1" customWidth="1"/>
    <col min="6" max="6" width="9" style="12"/>
    <col min="7" max="7" width="10.125" style="12" customWidth="1"/>
    <col min="8" max="8" width="14.5" style="12" customWidth="1"/>
    <col min="9" max="9" width="17.625" style="12" customWidth="1"/>
    <col min="10" max="10" width="16" style="12" customWidth="1"/>
    <col min="11" max="11" width="13.25" style="12" customWidth="1"/>
    <col min="12" max="23" width="9" style="12"/>
    <col min="24" max="24" width="11.875" style="12" bestFit="1" customWidth="1"/>
    <col min="25" max="25" width="16.375" style="12" bestFit="1" customWidth="1"/>
    <col min="26" max="26" width="9" style="86"/>
    <col min="27" max="30" width="9" style="12"/>
    <col min="31" max="31" width="9" style="86"/>
    <col min="32" max="36" width="9" style="12"/>
    <col min="37" max="37" width="16.375" style="12" bestFit="1" customWidth="1"/>
    <col min="38" max="43" width="9" style="12"/>
    <col min="44" max="44" width="18.875" style="12" bestFit="1" customWidth="1"/>
    <col min="45" max="48" width="9" style="12"/>
    <col min="49" max="49" width="18.875" style="12" bestFit="1" customWidth="1"/>
    <col min="50" max="53" width="9" style="12"/>
    <col min="54" max="55" width="18.875" style="12" bestFit="1" customWidth="1"/>
    <col min="56" max="56" width="9" style="12"/>
    <col min="57" max="74" width="11.75" style="12" customWidth="1"/>
    <col min="75" max="75" width="17.625" style="12" customWidth="1"/>
    <col min="76" max="76" width="9" style="12"/>
    <col min="77" max="77" width="14.25" style="12" customWidth="1"/>
    <col min="78" max="16384" width="9" style="12"/>
  </cols>
  <sheetData>
    <row r="1" spans="1:104" ht="18" x14ac:dyDescent="0.3">
      <c r="A1" s="282" t="s">
        <v>1960</v>
      </c>
      <c r="B1" s="283"/>
      <c r="C1" s="283"/>
      <c r="D1" s="283"/>
      <c r="E1" s="283"/>
      <c r="F1" s="283"/>
      <c r="G1" s="283"/>
      <c r="H1" s="283"/>
      <c r="I1" s="283"/>
      <c r="J1" s="284"/>
      <c r="K1" s="292" t="s">
        <v>1901</v>
      </c>
      <c r="L1" s="293"/>
      <c r="M1" s="293"/>
      <c r="N1" s="293"/>
      <c r="O1" s="293"/>
      <c r="P1" s="293"/>
      <c r="Q1" s="293"/>
      <c r="R1" s="293"/>
      <c r="S1" s="293"/>
      <c r="T1" s="293"/>
      <c r="U1" s="293"/>
      <c r="V1" s="293"/>
      <c r="W1" s="293"/>
      <c r="X1" s="293"/>
      <c r="Y1" s="294"/>
      <c r="Z1" s="85"/>
      <c r="AA1" s="287" t="s">
        <v>1925</v>
      </c>
      <c r="AB1" s="287"/>
      <c r="AC1" s="287"/>
      <c r="AD1" s="287"/>
      <c r="AE1" s="87"/>
      <c r="AF1" s="289" t="s">
        <v>1900</v>
      </c>
      <c r="AG1" s="290"/>
      <c r="AH1" s="290"/>
      <c r="AI1" s="290"/>
      <c r="AJ1" s="290"/>
      <c r="AK1" s="291"/>
      <c r="AL1" s="289" t="s">
        <v>1902</v>
      </c>
      <c r="AM1" s="290"/>
      <c r="AN1" s="290"/>
      <c r="AO1" s="290"/>
      <c r="AP1" s="290"/>
      <c r="AQ1" s="290"/>
      <c r="AR1" s="291"/>
      <c r="AS1" s="289" t="s">
        <v>1904</v>
      </c>
      <c r="AT1" s="290"/>
      <c r="AU1" s="290"/>
      <c r="AV1" s="290"/>
      <c r="AW1" s="291"/>
      <c r="AX1" s="285" t="s">
        <v>1905</v>
      </c>
      <c r="AY1" s="286"/>
      <c r="AZ1" s="286"/>
      <c r="BA1" s="286"/>
      <c r="BB1" s="286"/>
      <c r="BC1" s="286"/>
      <c r="BE1" s="288" t="s">
        <v>1918</v>
      </c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Y1" s="288" t="s">
        <v>1914</v>
      </c>
      <c r="BZ1" s="288"/>
      <c r="CA1" s="288"/>
      <c r="CB1" s="288"/>
      <c r="CC1" s="288"/>
      <c r="CD1" s="288"/>
      <c r="CE1" s="288"/>
      <c r="CF1" s="288"/>
      <c r="CG1" s="288"/>
      <c r="CH1" s="288"/>
      <c r="CI1" s="288"/>
      <c r="CJ1" s="288"/>
      <c r="CK1" s="288"/>
      <c r="CL1" s="288"/>
      <c r="CM1" s="288"/>
      <c r="CN1" s="288"/>
      <c r="CO1" s="288"/>
      <c r="CP1" s="288"/>
      <c r="CQ1" s="288"/>
      <c r="CR1" s="288"/>
      <c r="CS1" s="288"/>
      <c r="CT1" s="288"/>
      <c r="CU1" s="288"/>
      <c r="CV1" s="288"/>
      <c r="CW1" s="288"/>
      <c r="CX1" s="288"/>
      <c r="CY1" s="288"/>
      <c r="CZ1" s="288"/>
    </row>
    <row r="2" spans="1:104" ht="18" x14ac:dyDescent="0.3">
      <c r="A2" s="21" t="s">
        <v>153</v>
      </c>
      <c r="B2" s="21" t="s">
        <v>154</v>
      </c>
      <c r="C2" s="21" t="s">
        <v>155</v>
      </c>
      <c r="D2" s="21" t="s">
        <v>156</v>
      </c>
      <c r="E2" s="21" t="s">
        <v>157</v>
      </c>
      <c r="F2" s="21" t="s">
        <v>158</v>
      </c>
      <c r="G2" s="21" t="s">
        <v>159</v>
      </c>
      <c r="H2" s="21" t="s">
        <v>160</v>
      </c>
      <c r="I2" s="21" t="s">
        <v>161</v>
      </c>
      <c r="J2" s="21" t="s">
        <v>162</v>
      </c>
      <c r="K2" s="63" t="s">
        <v>55</v>
      </c>
      <c r="L2" s="63" t="s">
        <v>37</v>
      </c>
      <c r="M2" s="63" t="s">
        <v>38</v>
      </c>
      <c r="N2" s="63" t="s">
        <v>68</v>
      </c>
      <c r="O2" s="63" t="s">
        <v>69</v>
      </c>
      <c r="P2" s="63" t="s">
        <v>70</v>
      </c>
      <c r="Q2" s="63" t="s">
        <v>71</v>
      </c>
      <c r="R2" s="63" t="s">
        <v>67</v>
      </c>
      <c r="S2" s="63" t="s">
        <v>72</v>
      </c>
      <c r="T2" s="63" t="s">
        <v>73</v>
      </c>
      <c r="U2" s="63" t="s">
        <v>74</v>
      </c>
      <c r="V2" s="63" t="s">
        <v>75</v>
      </c>
      <c r="W2" s="63" t="s">
        <v>76</v>
      </c>
      <c r="X2" s="63" t="s">
        <v>3428</v>
      </c>
      <c r="Y2" s="63" t="s">
        <v>3441</v>
      </c>
      <c r="Z2" s="85"/>
      <c r="AA2" s="78" t="s">
        <v>36</v>
      </c>
      <c r="AB2" s="78" t="s">
        <v>1903</v>
      </c>
      <c r="AC2" s="78" t="s">
        <v>3</v>
      </c>
      <c r="AD2" s="78" t="s">
        <v>2</v>
      </c>
      <c r="AE2" s="85"/>
      <c r="AF2" s="79" t="s">
        <v>3</v>
      </c>
      <c r="AG2" s="84" t="s">
        <v>1919</v>
      </c>
      <c r="AH2" s="84" t="s">
        <v>1920</v>
      </c>
      <c r="AI2" s="84" t="s">
        <v>1921</v>
      </c>
      <c r="AJ2" s="84" t="s">
        <v>1922</v>
      </c>
      <c r="AK2" s="84" t="s">
        <v>1948</v>
      </c>
      <c r="AL2" s="79" t="s">
        <v>36</v>
      </c>
      <c r="AM2" s="79" t="s">
        <v>1903</v>
      </c>
      <c r="AN2" s="79" t="s">
        <v>3</v>
      </c>
      <c r="AO2" s="79" t="s">
        <v>2</v>
      </c>
      <c r="AP2" s="84" t="s">
        <v>1923</v>
      </c>
      <c r="AQ2" s="84" t="s">
        <v>1924</v>
      </c>
      <c r="AR2" s="84" t="s">
        <v>1949</v>
      </c>
      <c r="AS2" s="79" t="s">
        <v>36</v>
      </c>
      <c r="AT2" s="79" t="s">
        <v>1903</v>
      </c>
      <c r="AU2" s="79" t="s">
        <v>3</v>
      </c>
      <c r="AV2" s="79" t="s">
        <v>2</v>
      </c>
      <c r="AW2" s="84" t="s">
        <v>1949</v>
      </c>
      <c r="AX2" s="79" t="s">
        <v>36</v>
      </c>
      <c r="AY2" s="79" t="s">
        <v>1903</v>
      </c>
      <c r="AZ2" s="79" t="s">
        <v>3</v>
      </c>
      <c r="BA2" s="79" t="s">
        <v>2</v>
      </c>
      <c r="BB2" s="84" t="s">
        <v>1948</v>
      </c>
      <c r="BC2" s="84" t="s">
        <v>1950</v>
      </c>
      <c r="BE2" s="80" t="s">
        <v>55</v>
      </c>
      <c r="BF2" s="80" t="s">
        <v>1900</v>
      </c>
      <c r="BG2" s="92" t="s">
        <v>1953</v>
      </c>
      <c r="BH2" s="80" t="s">
        <v>1902</v>
      </c>
      <c r="BI2" s="92" t="s">
        <v>1954</v>
      </c>
      <c r="BJ2" s="92" t="s">
        <v>1906</v>
      </c>
      <c r="BK2" s="92" t="s">
        <v>1955</v>
      </c>
      <c r="BL2" s="92" t="s">
        <v>1907</v>
      </c>
      <c r="BM2" s="92" t="s">
        <v>1956</v>
      </c>
      <c r="BN2" s="92" t="s">
        <v>1913</v>
      </c>
      <c r="BO2" s="92" t="s">
        <v>1957</v>
      </c>
      <c r="BP2" s="92" t="s">
        <v>1912</v>
      </c>
      <c r="BQ2" s="92" t="s">
        <v>1958</v>
      </c>
      <c r="BR2" s="92" t="s">
        <v>1910</v>
      </c>
      <c r="BS2" s="92" t="s">
        <v>1959</v>
      </c>
      <c r="BT2" s="92" t="s">
        <v>1911</v>
      </c>
      <c r="BU2" s="92" t="s">
        <v>1952</v>
      </c>
      <c r="BV2" s="92" t="s">
        <v>1904</v>
      </c>
      <c r="BW2" s="92" t="s">
        <v>1951</v>
      </c>
      <c r="BY2" s="80" t="s">
        <v>1926</v>
      </c>
      <c r="BZ2" s="88">
        <v>35</v>
      </c>
      <c r="CA2" s="88">
        <v>40</v>
      </c>
      <c r="CB2" s="88">
        <v>50</v>
      </c>
      <c r="CC2" s="88">
        <v>60</v>
      </c>
      <c r="CD2" s="88">
        <v>65</v>
      </c>
      <c r="CE2" s="88">
        <v>70</v>
      </c>
      <c r="CF2" s="88">
        <v>75</v>
      </c>
      <c r="CG2" s="88" t="s">
        <v>1927</v>
      </c>
      <c r="CH2" s="88" t="s">
        <v>1928</v>
      </c>
      <c r="CI2" s="88" t="s">
        <v>1929</v>
      </c>
      <c r="CJ2" s="88" t="s">
        <v>1930</v>
      </c>
      <c r="CK2" s="88" t="s">
        <v>1931</v>
      </c>
      <c r="CL2" s="88" t="s">
        <v>1932</v>
      </c>
      <c r="CM2" s="88" t="s">
        <v>1933</v>
      </c>
      <c r="CN2" s="88" t="s">
        <v>1934</v>
      </c>
      <c r="CO2" s="88" t="s">
        <v>1935</v>
      </c>
      <c r="CP2" s="88" t="s">
        <v>1936</v>
      </c>
      <c r="CQ2" s="88" t="s">
        <v>1937</v>
      </c>
      <c r="CR2" s="88" t="s">
        <v>1938</v>
      </c>
      <c r="CS2" s="88" t="s">
        <v>1939</v>
      </c>
      <c r="CT2" s="88" t="s">
        <v>1940</v>
      </c>
      <c r="CU2" s="88" t="s">
        <v>1941</v>
      </c>
      <c r="CV2" s="88" t="s">
        <v>1942</v>
      </c>
      <c r="CW2" s="88" t="s">
        <v>1943</v>
      </c>
      <c r="CX2" s="88" t="s">
        <v>1944</v>
      </c>
      <c r="CY2" s="88" t="s">
        <v>1945</v>
      </c>
      <c r="CZ2" s="88" t="s">
        <v>1946</v>
      </c>
    </row>
    <row r="3" spans="1:104" ht="18" x14ac:dyDescent="0.3">
      <c r="A3" s="29" t="s">
        <v>163</v>
      </c>
      <c r="B3" s="29" t="s">
        <v>164</v>
      </c>
      <c r="C3" s="29" t="s">
        <v>202</v>
      </c>
      <c r="D3" s="29"/>
      <c r="E3" s="29" t="s">
        <v>203</v>
      </c>
      <c r="F3" s="29">
        <v>1</v>
      </c>
      <c r="G3" s="29">
        <v>35</v>
      </c>
      <c r="H3" s="29"/>
      <c r="I3" s="22" t="s">
        <v>204</v>
      </c>
      <c r="J3" s="22" t="s">
        <v>205</v>
      </c>
      <c r="K3" s="90">
        <v>1</v>
      </c>
      <c r="L3" s="91">
        <f>INT(3/150*L29)</f>
        <v>300</v>
      </c>
      <c r="M3" s="91">
        <f t="shared" ref="M3:W3" si="0">INT(3/150*M29)</f>
        <v>1200</v>
      </c>
      <c r="N3" s="91">
        <f t="shared" si="0"/>
        <v>20</v>
      </c>
      <c r="O3" s="91">
        <f t="shared" si="0"/>
        <v>40</v>
      </c>
      <c r="P3" s="91">
        <f t="shared" si="0"/>
        <v>20</v>
      </c>
      <c r="Q3" s="91">
        <f t="shared" si="0"/>
        <v>40</v>
      </c>
      <c r="R3" s="91">
        <f t="shared" si="0"/>
        <v>20</v>
      </c>
      <c r="S3" s="91">
        <f t="shared" si="0"/>
        <v>40</v>
      </c>
      <c r="T3" s="91">
        <f t="shared" si="0"/>
        <v>15</v>
      </c>
      <c r="U3" s="91">
        <f t="shared" si="0"/>
        <v>30</v>
      </c>
      <c r="V3" s="91">
        <f t="shared" si="0"/>
        <v>15</v>
      </c>
      <c r="W3" s="91">
        <f t="shared" si="0"/>
        <v>30</v>
      </c>
      <c r="X3" s="91">
        <f>L3*属性价值参考!C$5+基本装备!M3*属性价值参考!C$6+基本装备!N3*属性价值参考!C$7+基本装备!O3*属性价值参考!C$8+基本装备!T3*属性价值参考!C$9+基本装备!U3*属性价值参考!C$10+基本装备!V3*属性价值参考!C$11+基本装备!W3*属性价值参考!C$12</f>
        <v>7030.8</v>
      </c>
      <c r="Y3" s="91">
        <f>基本装备!AG3*属性价值参考!C$13+基本装备!AH3*属性价值参考!C$36+基本装备!AI3*属性价值参考!C$19+基本装备!AJ3*属性价值参考!C$15+基本装备!AK3*属性价值参考!C$27+基本装备!AP3*属性价值参考!C$20+基本装备!AQ3*属性价值参考!C$21+基本装备!AR3*属性价值参考!C$26+8*(基本装备!AW3*属性价值参考!C$26+基本装备!BB3*属性价值参考!C$27+基本装备!BC3*(属性价值参考!C$28+属性价值参考!C$29))</f>
        <v>4212</v>
      </c>
      <c r="Z3" s="9"/>
      <c r="AA3" s="81">
        <f t="shared" ref="AA3:AA28" si="1">AL3+AS3+AX3*8</f>
        <v>300</v>
      </c>
      <c r="AB3" s="81">
        <f t="shared" ref="AB3:AB28" si="2">AM3+AT3+AY3*8</f>
        <v>1200</v>
      </c>
      <c r="AC3" s="81">
        <f t="shared" ref="AC3:AC28" si="3">AF3+AN3+AU3+AZ3*8</f>
        <v>40</v>
      </c>
      <c r="AD3" s="81">
        <f t="shared" ref="AD3:AD28" si="4">AO3+AV3+BA3*8</f>
        <v>30</v>
      </c>
      <c r="AE3" s="9"/>
      <c r="AF3" s="82">
        <f t="shared" ref="AF3:AF28" si="5">1/4*O3</f>
        <v>10</v>
      </c>
      <c r="AG3" s="82"/>
      <c r="AH3" s="82"/>
      <c r="AI3" s="82"/>
      <c r="AJ3" s="82"/>
      <c r="AK3" s="82">
        <f>ROUND(1/52*$AK$29,0)</f>
        <v>1</v>
      </c>
      <c r="AL3" s="82">
        <f t="shared" ref="AL3:AL28" si="6">4/15*L3</f>
        <v>80</v>
      </c>
      <c r="AM3" s="82">
        <f t="shared" ref="AM3:AM28" si="7">4/15*M3</f>
        <v>320</v>
      </c>
      <c r="AN3" s="82">
        <f t="shared" ref="AN3:AN28" si="8">2/25*O3</f>
        <v>3.2</v>
      </c>
      <c r="AO3" s="82">
        <f t="shared" ref="AO3:AO28" si="9">7/25*U3</f>
        <v>8.4</v>
      </c>
      <c r="AP3" s="82"/>
      <c r="AQ3" s="82"/>
      <c r="AR3" s="82">
        <f>ROUND(1/110*$AR$29,0)</f>
        <v>1</v>
      </c>
      <c r="AS3" s="82">
        <f t="shared" ref="AS3:AS28" si="10">7/75*L3</f>
        <v>28</v>
      </c>
      <c r="AT3" s="82">
        <f t="shared" ref="AT3:AT28" si="11">1/15*M3</f>
        <v>80</v>
      </c>
      <c r="AU3" s="82">
        <f t="shared" ref="AU3:AU28" si="12">140/2000*O3</f>
        <v>2.8000000000000003</v>
      </c>
      <c r="AV3" s="82">
        <f t="shared" ref="AV3:AV28" si="13">2/25*U3</f>
        <v>2.4</v>
      </c>
      <c r="AW3" s="82">
        <f>ROUND(1/44*$AW$29,0)</f>
        <v>1</v>
      </c>
      <c r="AX3" s="82">
        <f t="shared" ref="AX3:AX28" si="14">2/25*L3</f>
        <v>24</v>
      </c>
      <c r="AY3" s="82">
        <f t="shared" ref="AY3:AY28" si="15">1/12*M3</f>
        <v>100</v>
      </c>
      <c r="AZ3" s="82">
        <f t="shared" ref="AZ3:AZ28" si="16">3/40*O3</f>
        <v>3</v>
      </c>
      <c r="BA3" s="82">
        <f t="shared" ref="BA3:BA28" si="17">2/25*U3</f>
        <v>2.4</v>
      </c>
      <c r="BB3" s="89">
        <f t="shared" ref="BB3:BB5" si="18">ROUND(1/16*$BB$29,0)</f>
        <v>1</v>
      </c>
      <c r="BC3" s="89">
        <f>ROUND(1/10*$BC$29,0)</f>
        <v>1</v>
      </c>
      <c r="BE3" s="83">
        <v>1</v>
      </c>
      <c r="BF3" s="83" t="str">
        <f>"3#3#"&amp;INT(0.5*AF3)&amp;"|"&amp;"3#4#"&amp;INT(AF3)&amp;"|"&amp;"3#5#"&amp;INT(0.5*AF3)&amp;"|"&amp;"3#6#"&amp;INT(AF3)&amp;"|"&amp;"3#7#"&amp;INT(0.5*AF3)&amp;"|"&amp;"3#8#"&amp;INT(AF3)</f>
        <v>3#3#5|3#4#10|3#5#5|3#6#10|3#7#5|3#8#10</v>
      </c>
      <c r="BG3" s="83" t="str">
        <f t="shared" ref="BG3:BG28" si="19">"3#35#"&amp;100*AK3</f>
        <v>3#35#100</v>
      </c>
      <c r="BH3" s="83" t="str">
        <f>"3#9#"&amp;INT(0.5*AO3)&amp;"|"&amp;"3#10#"&amp;INT(AO3)&amp;"|"&amp;"3#11#"&amp;INT(0.5*AO3)&amp;"|"&amp;"3#12#"&amp;INT(AO3)&amp;"|"&amp;"3#3#"&amp;INT(0.5*AN3)&amp;"|"&amp;"3#4#"&amp;INT(AN3)&amp;"|"&amp;"3#5#"&amp;INT(0.5*AN3)&amp;"|"&amp;"3#6#"&amp;INT(AN3)&amp;"|"&amp;"3#7#"&amp;INT(0.5*AN3)&amp;"|"&amp;"3#8#"&amp;INT(AN3)&amp;"|"&amp;"0#1#"&amp;INT(AL3)&amp;"|"&amp;"0#2#"&amp;INT(0.1*AM3)&amp;"|"&amp;"1#1#"&amp;INT(0.3*AL3)&amp;"|"&amp;"1#2#"&amp;INT(AM3)&amp;"|"&amp;"2#1#"&amp;INT(0.6*AL3)&amp;"|"&amp;"2#2#"&amp;INT(0.8*AM3)</f>
        <v>3#9#4|3#10#8|3#11#4|3#12#8|3#3#1|3#4#3|3#5#1|3#6#3|3#7#1|3#8#3|0#1#80|0#2#32|1#1#24|1#2#320|2#1#48|2#2#256</v>
      </c>
      <c r="BI3" s="83" t="str">
        <f t="shared" ref="BI3:BI28" si="20">"3#30#"&amp;AR3&amp;"|"&amp;"3#31#"&amp;AR3</f>
        <v>3#30#1|3#31#1</v>
      </c>
      <c r="BJ3" s="83" t="str">
        <f t="shared" ref="BJ3:BJ28" si="21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K3" s="83" t="str">
        <f t="shared" ref="BK3:BK28" si="22">"3#35#"&amp;100*BB3&amp;"|"&amp;"3#36#"&amp;100*BC3</f>
        <v>3#35#100|3#36#100</v>
      </c>
      <c r="BL3" s="83" t="str">
        <f t="shared" ref="BL3:BL28" si="23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M3" s="83" t="str">
        <f t="shared" ref="BM3:BM28" si="24">"3#35#"&amp;100*BB3&amp;"|"&amp;"3#36#"&amp;100*BC3</f>
        <v>3#35#100|3#36#100</v>
      </c>
      <c r="BN3" s="83" t="str">
        <f t="shared" ref="BN3:BN28" si="25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O3" s="83" t="str">
        <f t="shared" ref="BO3:BO28" si="26">"3#35#"&amp;100*BB3&amp;"|"&amp;"3#37#"&amp;100*BC3</f>
        <v>3#35#100|3#37#100</v>
      </c>
      <c r="BP3" s="83" t="str">
        <f t="shared" ref="BP3:BP28" si="27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Q3" s="83" t="str">
        <f t="shared" ref="BQ3:BQ28" si="28">"3#35#"&amp;100*BB3&amp;"|"&amp;"3#37#"&amp;100*BC3</f>
        <v>3#35#100|3#37#100</v>
      </c>
      <c r="BR3" s="83" t="str">
        <f t="shared" ref="BR3:BR28" si="29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S3" s="83" t="str">
        <f t="shared" ref="BS3:BS28" si="30">"3#35#"&amp;100*BB3&amp;"|"&amp;"3#36#"&amp;100*BC3</f>
        <v>3#35#100|3#36#100</v>
      </c>
      <c r="BT3" s="83" t="str">
        <f t="shared" ref="BT3:BT28" si="31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U3" s="83" t="str">
        <f t="shared" ref="BU3:BU28" si="32">"3#35#"&amp;100*BB3&amp;"|"&amp;"3#36#"&amp;100*BC3</f>
        <v>3#35#100|3#36#100</v>
      </c>
      <c r="BV3" s="83" t="str">
        <f t="shared" ref="BV3:BV28" si="33">"3#9#"&amp;INT(0.5*AV3)&amp;"|"&amp;"3#10#"&amp;INT(AV3)&amp;"|"&amp;"3#11#"&amp;INT(0.5*AV3)&amp;"|"&amp;"3#12#"&amp;INT(AV3)&amp;"|"&amp;"3#3#"&amp;INT(0.5*AU3)&amp;"|"&amp;"3#4#"&amp;INT(AU3)&amp;"|"&amp;"3#5#"&amp;INT(0.5*AU3)&amp;"|"&amp;"3#6#"&amp;INT(AU3)&amp;"|"&amp;"3#7#"&amp;INT(0.5*AU3)&amp;"|"&amp;"3#8#"&amp;INT(AU3)&amp;"|"&amp;"0#1#"&amp;INT(AS3)&amp;"|"&amp;"0#2#"&amp;INT(0.1*AT3)&amp;"|"&amp;"1#1#"&amp;INT(0.3*AS3)&amp;"|"&amp;"1#2#"&amp;INT(AT3)&amp;"|"&amp;"2#1#"&amp;INT(0.6*AS3)&amp;"|"&amp;"2#2#"&amp;INT(0.8*AT3)</f>
        <v>3#9#1|3#10#2|3#11#1|3#12#2|3#3#1|3#4#2|3#5#1|3#6#2|3#7#1|3#8#2|0#1#28|0#2#8|1#1#8|1#2#80|2#1#16|2#2#64</v>
      </c>
      <c r="BW3" s="83" t="str">
        <f t="shared" ref="BW3:BW28" si="34">"3#30#"&amp;AW3&amp;"|"&amp;"3#31#"&amp;AW3</f>
        <v>3#30#1|3#31#1</v>
      </c>
      <c r="BY3" s="80" t="s">
        <v>1917</v>
      </c>
      <c r="BZ3" s="88">
        <v>1</v>
      </c>
      <c r="CA3" s="88">
        <v>2</v>
      </c>
      <c r="CB3" s="88">
        <v>3</v>
      </c>
      <c r="CC3" s="88">
        <v>4</v>
      </c>
      <c r="CD3" s="88">
        <v>5</v>
      </c>
      <c r="CE3" s="88">
        <v>6</v>
      </c>
      <c r="CF3" s="88">
        <v>7</v>
      </c>
      <c r="CG3" s="88">
        <v>8</v>
      </c>
      <c r="CH3" s="88">
        <v>9</v>
      </c>
      <c r="CI3" s="88">
        <v>10</v>
      </c>
      <c r="CJ3" s="88">
        <v>11</v>
      </c>
      <c r="CK3" s="88">
        <v>12</v>
      </c>
      <c r="CL3" s="88">
        <v>13</v>
      </c>
      <c r="CM3" s="88">
        <v>14</v>
      </c>
      <c r="CN3" s="88">
        <v>15</v>
      </c>
      <c r="CO3" s="88">
        <v>16</v>
      </c>
      <c r="CP3" s="88">
        <v>17</v>
      </c>
      <c r="CQ3" s="88">
        <v>18</v>
      </c>
      <c r="CR3" s="88">
        <v>19</v>
      </c>
      <c r="CS3" s="88">
        <v>20</v>
      </c>
      <c r="CT3" s="88">
        <v>21</v>
      </c>
      <c r="CU3" s="88">
        <v>22</v>
      </c>
      <c r="CV3" s="88">
        <v>23</v>
      </c>
      <c r="CW3" s="88">
        <v>24</v>
      </c>
      <c r="CX3" s="88">
        <v>25</v>
      </c>
      <c r="CY3" s="88">
        <v>26</v>
      </c>
      <c r="CZ3" s="88">
        <v>27</v>
      </c>
    </row>
    <row r="4" spans="1:104" x14ac:dyDescent="0.3">
      <c r="A4" s="29" t="s">
        <v>163</v>
      </c>
      <c r="B4" s="29" t="s">
        <v>164</v>
      </c>
      <c r="C4" s="29" t="s">
        <v>206</v>
      </c>
      <c r="D4" s="29"/>
      <c r="E4" s="29" t="s">
        <v>207</v>
      </c>
      <c r="F4" s="29">
        <v>1</v>
      </c>
      <c r="G4" s="29">
        <v>35</v>
      </c>
      <c r="H4" s="29"/>
      <c r="I4" s="22" t="s">
        <v>208</v>
      </c>
      <c r="J4" s="22" t="s">
        <v>209</v>
      </c>
      <c r="K4" s="90">
        <v>2</v>
      </c>
      <c r="L4" s="91">
        <f>INT(4.5/150*L29)</f>
        <v>450</v>
      </c>
      <c r="M4" s="91">
        <f t="shared" ref="M4:W4" si="35">INT(4.5/150*M29)</f>
        <v>1800</v>
      </c>
      <c r="N4" s="91">
        <f t="shared" si="35"/>
        <v>30</v>
      </c>
      <c r="O4" s="91">
        <f t="shared" si="35"/>
        <v>60</v>
      </c>
      <c r="P4" s="91">
        <f t="shared" si="35"/>
        <v>30</v>
      </c>
      <c r="Q4" s="91">
        <f t="shared" si="35"/>
        <v>60</v>
      </c>
      <c r="R4" s="91">
        <f t="shared" si="35"/>
        <v>30</v>
      </c>
      <c r="S4" s="91">
        <f t="shared" si="35"/>
        <v>60</v>
      </c>
      <c r="T4" s="91">
        <f t="shared" si="35"/>
        <v>22</v>
      </c>
      <c r="U4" s="91">
        <f t="shared" si="35"/>
        <v>45</v>
      </c>
      <c r="V4" s="91">
        <f t="shared" si="35"/>
        <v>22</v>
      </c>
      <c r="W4" s="91">
        <f t="shared" si="35"/>
        <v>45</v>
      </c>
      <c r="X4" s="91">
        <f>L4*属性价值参考!C$5+基本装备!M4*属性价值参考!C$6+基本装备!N4*属性价值参考!C$7+基本装备!O4*属性价值参考!C$8+基本装备!T4*属性价值参考!C$9+基本装备!U4*属性价值参考!C$10+基本装备!V4*属性价值参考!C$11+基本装备!W4*属性价值参考!C$12</f>
        <v>10532.4</v>
      </c>
      <c r="Y4" s="91">
        <f>基本装备!AG4*属性价值参考!C$13+基本装备!AH4*属性价值参考!C$36+基本装备!AI4*属性价值参考!C$19+基本装备!AJ4*属性价值参考!C$15+基本装备!AK4*属性价值参考!C$27+基本装备!AP4*属性价值参考!C$20+基本装备!AQ4*属性价值参考!C$21+基本装备!AR4*属性价值参考!C$26+8*(基本装备!AW4*属性价值参考!C$26+基本装备!BB4*属性价值参考!C$27+基本装备!BC4*(属性价值参考!C$28+属性价值参考!C$29))</f>
        <v>5054.3999999999996</v>
      </c>
      <c r="Z4" s="9"/>
      <c r="AA4" s="81">
        <f t="shared" si="1"/>
        <v>450</v>
      </c>
      <c r="AB4" s="81">
        <f t="shared" si="2"/>
        <v>1800</v>
      </c>
      <c r="AC4" s="81">
        <f t="shared" si="3"/>
        <v>60</v>
      </c>
      <c r="AD4" s="81">
        <f t="shared" si="4"/>
        <v>45</v>
      </c>
      <c r="AE4" s="9"/>
      <c r="AF4" s="82">
        <f t="shared" si="5"/>
        <v>15</v>
      </c>
      <c r="AG4" s="82"/>
      <c r="AH4" s="82"/>
      <c r="AI4" s="82"/>
      <c r="AJ4" s="82"/>
      <c r="AK4" s="82">
        <f>ROUND(2/52*$AK$29,0)</f>
        <v>2</v>
      </c>
      <c r="AL4" s="82">
        <f t="shared" si="6"/>
        <v>120</v>
      </c>
      <c r="AM4" s="82">
        <f t="shared" si="7"/>
        <v>480</v>
      </c>
      <c r="AN4" s="82">
        <f t="shared" si="8"/>
        <v>4.8</v>
      </c>
      <c r="AO4" s="82">
        <f t="shared" si="9"/>
        <v>12.600000000000001</v>
      </c>
      <c r="AP4" s="82"/>
      <c r="AQ4" s="82"/>
      <c r="AR4" s="82">
        <f>ROUND(2/110*$AR$29,0)</f>
        <v>2</v>
      </c>
      <c r="AS4" s="82">
        <f t="shared" si="10"/>
        <v>42</v>
      </c>
      <c r="AT4" s="82">
        <f t="shared" si="11"/>
        <v>120</v>
      </c>
      <c r="AU4" s="82">
        <f t="shared" si="12"/>
        <v>4.2</v>
      </c>
      <c r="AV4" s="82">
        <f t="shared" si="13"/>
        <v>3.6</v>
      </c>
      <c r="AW4" s="82">
        <f>ROUND(2/44*$AW$29,0)</f>
        <v>2</v>
      </c>
      <c r="AX4" s="82">
        <f t="shared" si="14"/>
        <v>36</v>
      </c>
      <c r="AY4" s="82">
        <f t="shared" si="15"/>
        <v>150</v>
      </c>
      <c r="AZ4" s="82">
        <f t="shared" si="16"/>
        <v>4.5</v>
      </c>
      <c r="BA4" s="82">
        <f t="shared" si="17"/>
        <v>3.6</v>
      </c>
      <c r="BB4" s="89">
        <f t="shared" si="18"/>
        <v>1</v>
      </c>
      <c r="BC4" s="89">
        <f>ROUND(1/10*$BC$29,0)</f>
        <v>1</v>
      </c>
      <c r="BE4" s="83">
        <v>2</v>
      </c>
      <c r="BF4" s="83" t="str">
        <f>"3#3#"&amp;INT(0.5*AF4)&amp;"|"&amp;"3#4#"&amp;INT(AF4)&amp;"|"&amp;"3#5#"&amp;INT(0.5*AF4)&amp;"|"&amp;"3#6#"&amp;INT(AF4)&amp;"|"&amp;"3#7#"&amp;INT(0.5*AF4)&amp;"|"&amp;"3#8#"&amp;INT(AF4)</f>
        <v>3#3#7|3#4#15|3#5#7|3#6#15|3#7#7|3#8#15</v>
      </c>
      <c r="BG4" s="83" t="str">
        <f t="shared" si="19"/>
        <v>3#35#200</v>
      </c>
      <c r="BH4" s="83" t="str">
        <f>"3#9#"&amp;INT(0.5*AO4)&amp;"|"&amp;"3#10#"&amp;INT(AO4)&amp;"|"&amp;"3#11#"&amp;INT(0.5*AO4)&amp;"|"&amp;"3#12#"&amp;INT(AO4)&amp;"|"&amp;"3#3#"&amp;INT(0.5*AN4)&amp;"|"&amp;"3#4#"&amp;INT(AN4)&amp;"|"&amp;"3#5#"&amp;INT(0.5*AN4)&amp;"|"&amp;"3#6#"&amp;INT(AN4)&amp;"|"&amp;"3#7#"&amp;INT(0.5*AN4)&amp;"|"&amp;"3#8#"&amp;INT(AN4)&amp;"|"&amp;"0#1#"&amp;INT(AL4)&amp;"|"&amp;"0#2#"&amp;INT(0.1*AM4)&amp;"|"&amp;"1#1#"&amp;INT(0.3*AL4)&amp;"|"&amp;"1#2#"&amp;INT(AM4)&amp;"|"&amp;"2#1#"&amp;INT(0.6*AL4)&amp;"|"&amp;"2#2#"&amp;INT(0.8*AM4)</f>
        <v>3#9#6|3#10#12|3#11#6|3#12#12|3#3#2|3#4#4|3#5#2|3#6#4|3#7#2|3#8#4|0#1#120|0#2#48|1#1#36|1#2#480|2#1#72|2#2#384</v>
      </c>
      <c r="BI4" s="83" t="str">
        <f t="shared" si="20"/>
        <v>3#30#2|3#31#2</v>
      </c>
      <c r="BJ4" s="83" t="str">
        <f t="shared" si="21"/>
        <v>3#9#1|3#10#3|3#11#1|3#12#3|0#1#36|0#2#15|1#1#10|1#2#150|2#1#21|2#2#120</v>
      </c>
      <c r="BK4" s="83" t="str">
        <f t="shared" si="22"/>
        <v>3#35#100|3#36#100</v>
      </c>
      <c r="BL4" s="83" t="str">
        <f t="shared" si="23"/>
        <v>3#9#1|3#10#3|3#11#1|3#12#3|0#1#36|0#2#15|1#1#10|1#2#150|2#1#21|2#2#120</v>
      </c>
      <c r="BM4" s="83" t="str">
        <f t="shared" si="24"/>
        <v>3#35#100|3#36#100</v>
      </c>
      <c r="BN4" s="83" t="str">
        <f t="shared" si="25"/>
        <v>3#9#1|3#10#3|3#11#1|3#12#3|0#1#36|0#2#15|1#1#10|1#2#150|2#1#21|2#2#120</v>
      </c>
      <c r="BO4" s="83" t="str">
        <f t="shared" si="26"/>
        <v>3#35#100|3#37#100</v>
      </c>
      <c r="BP4" s="83" t="str">
        <f t="shared" si="27"/>
        <v>3#9#1|3#10#3|3#11#1|3#12#3|0#1#36|0#2#15|1#1#10|1#2#150|2#1#21|2#2#120</v>
      </c>
      <c r="BQ4" s="83" t="str">
        <f t="shared" si="28"/>
        <v>3#35#100|3#37#100</v>
      </c>
      <c r="BR4" s="83" t="str">
        <f t="shared" si="29"/>
        <v>3#9#1|3#10#3|3#11#1|3#12#3|0#1#36|0#2#15|1#1#10|1#2#150|2#1#21|2#2#120</v>
      </c>
      <c r="BS4" s="83" t="str">
        <f t="shared" si="30"/>
        <v>3#35#100|3#36#100</v>
      </c>
      <c r="BT4" s="83" t="str">
        <f t="shared" si="31"/>
        <v>3#9#1|3#10#3|3#11#1|3#12#3|0#1#36|0#2#15|1#1#10|1#2#150|2#1#21|2#2#120</v>
      </c>
      <c r="BU4" s="83" t="str">
        <f t="shared" si="32"/>
        <v>3#35#100|3#36#100</v>
      </c>
      <c r="BV4" s="83" t="str">
        <f t="shared" si="33"/>
        <v>3#9#1|3#10#3|3#11#1|3#12#3|3#3#2|3#4#4|3#5#2|3#6#4|3#7#2|3#8#4|0#1#42|0#2#12|1#1#12|1#2#120|2#1#25|2#2#96</v>
      </c>
      <c r="BW4" s="83" t="str">
        <f t="shared" si="34"/>
        <v>3#30#2|3#31#2</v>
      </c>
      <c r="BY4" s="8" t="s">
        <v>1900</v>
      </c>
      <c r="BZ4" s="8" t="str">
        <f>BF3</f>
        <v>3#3#5|3#4#10|3#5#5|3#6#10|3#7#5|3#8#10</v>
      </c>
      <c r="CA4" s="8" t="str">
        <f>BF4</f>
        <v>3#3#7|3#4#15|3#5#7|3#6#15|3#7#7|3#8#15</v>
      </c>
      <c r="CB4" s="8" t="str">
        <f>BF5</f>
        <v>3#3#10|3#4#20|3#5#10|3#6#20|3#7#10|3#8#20</v>
      </c>
      <c r="CC4" s="8" t="str">
        <f>BF6</f>
        <v>3#3#12|3#4#25|3#5#12|3#6#25|3#7#12|3#8#25|3#13#30|3#20#1|3#25#1|3#21#1</v>
      </c>
      <c r="CD4" s="8" t="str">
        <f>BF7</f>
        <v>3#3#16|3#4#32|3#5#16|3#6#32|3#7#16|3#8#32|3#13#30|3#20#1|3#25#1|3#21#1</v>
      </c>
      <c r="CE4" s="8" t="str">
        <f>BF8</f>
        <v>3#3#20|3#4#40|3#5#20|3#6#40|3#7#20|3#8#40|3#13#35|3#20#1|3#25#2|3#21#1</v>
      </c>
      <c r="CF4" s="8" t="str">
        <f>BF9</f>
        <v>3#3#23|3#4#47|3#5#23|3#6#47|3#7#23|3#8#47|3#13#35|3#20#2|3#25#2|3#21#1</v>
      </c>
      <c r="CG4" s="8" t="str">
        <f>BF10</f>
        <v>3#3#27|3#4#55|3#5#27|3#6#55|3#7#27|3#8#55|3#13#40|3#20#2|3#25#3|3#21#2</v>
      </c>
      <c r="CH4" s="8" t="str">
        <f>BF11</f>
        <v>3#3#35|3#4#70|3#5#35|3#6#70|3#7#35|3#8#70|3#13#40|3#20#2|3#25#3|3#21#2</v>
      </c>
      <c r="CI4" s="8" t="str">
        <f>BF12</f>
        <v>3#3#45|3#4#90|3#5#45|3#6#90|3#7#45|3#8#90|3#13#45|3#20#2|3#25#4|3#21#2</v>
      </c>
      <c r="CJ4" s="8" t="str">
        <f>BF13</f>
        <v>3#3#55|3#4#110|3#5#55|3#6#110|3#7#55|3#8#110|3#13#45|3#20#3|3#25#4|3#21#3</v>
      </c>
      <c r="CK4" s="8" t="str">
        <f>BF14</f>
        <v>3#3#63|3#4#127|3#5#63|3#6#127|3#7#63|3#8#127|3#13#50|3#20#3|3#25#5|3#21#3</v>
      </c>
      <c r="CL4" s="8" t="str">
        <f>BF15</f>
        <v>3#3#72|3#4#145|3#5#72|3#6#145|3#7#72|3#8#145|3#13#50|3#20#3|3#25#5|3#21#3</v>
      </c>
      <c r="CM4" s="8" t="str">
        <f>BF16</f>
        <v>3#3#80|3#4#160|3#5#80|3#6#160|3#7#80|3#8#160|3#13#55|3#20#3|3#25#6|3#21#4</v>
      </c>
      <c r="CN4" s="8" t="str">
        <f>BF17</f>
        <v>3#3#87|3#4#175|3#5#87|3#6#175|3#7#87|3#8#175|3#13#55|3#20#4|3#25#6|3#21#4</v>
      </c>
      <c r="CO4" s="8" t="str">
        <f>BF18</f>
        <v>3#3#93|3#4#187|3#5#93|3#6#187|3#7#93|3#8#187|3#13#60|3#20#4|3#25#7|3#21#4</v>
      </c>
      <c r="CP4" s="8" t="str">
        <f>BF19</f>
        <v>3#3#100|3#4#200|3#5#100|3#6#200|3#7#100|3#8#200|3#13#60|3#20#4|3#25#8|3#21#5</v>
      </c>
      <c r="CQ4" s="8" t="str">
        <f>BF20</f>
        <v>3#3#110|3#4#220|3#5#110|3#6#220|3#7#110|3#8#220|3#13#65|3#20#4|3#25#9|3#21#5</v>
      </c>
      <c r="CR4" s="8" t="str">
        <f>BF21</f>
        <v>3#3#120|3#4#240|3#5#120|3#6#240|3#7#120|3#8#240|3#13#70|3#20#5|3#25#10|3#21#6</v>
      </c>
      <c r="CS4" s="8" t="str">
        <f>BF22</f>
        <v>3#3#132|3#4#265|3#5#132|3#6#265|3#7#132|3#8#265|3#13#70|3#20#5|3#25#11|3#21#6</v>
      </c>
      <c r="CT4" s="8" t="str">
        <f>BF23</f>
        <v>3#3#145|3#4#290|3#5#145|3#6#290|3#7#145|3#8#290|3#13#70|3#20#5|3#25#12|3#21#7</v>
      </c>
      <c r="CU4" s="8" t="str">
        <f>BF24</f>
        <v>3#3#160|3#4#320|3#5#160|3#6#320|3#7#160|3#8#320|3#13#70|3#20#5|3#25#13|3#21#7</v>
      </c>
      <c r="CV4" s="8" t="str">
        <f>BF25</f>
        <v>3#3#175|3#4#350|3#5#175|3#6#350|3#7#175|3#8#350|3#13#80|3#20#6|3#25#14|3#21#8</v>
      </c>
      <c r="CW4" s="8" t="str">
        <f>BF26</f>
        <v>3#3#187|3#4#375|3#5#187|3#6#375|3#7#187|3#8#375|3#13#80|3#20#6|3#25#15|3#21#8</v>
      </c>
      <c r="CX4" s="8" t="str">
        <f>BF27</f>
        <v>3#3#200|3#4#400|3#5#200|3#6#400|3#7#200|3#8#400|3#13#80|3#20#6|3#25#16|3#21#9</v>
      </c>
      <c r="CY4" s="8" t="str">
        <f>BF28</f>
        <v>3#3#225|3#4#450|3#5#225|3#6#450|3#7#225|3#8#450|3#13#80|3#20#6|3#25#17|3#21#9</v>
      </c>
      <c r="CZ4" s="8" t="str">
        <f>BF29</f>
        <v>3#3#250|3#4#500|3#5#250|3#6#500|3#7#250|3#8#500|3#13#80|3#20#7|3#25#18|3#21#10</v>
      </c>
    </row>
    <row r="5" spans="1:104" x14ac:dyDescent="0.3">
      <c r="A5" s="29" t="s">
        <v>163</v>
      </c>
      <c r="B5" s="29" t="s">
        <v>164</v>
      </c>
      <c r="C5" s="29" t="s">
        <v>210</v>
      </c>
      <c r="D5" s="29"/>
      <c r="E5" s="29" t="s">
        <v>211</v>
      </c>
      <c r="F5" s="29">
        <v>1</v>
      </c>
      <c r="G5" s="29">
        <v>35</v>
      </c>
      <c r="H5" s="29"/>
      <c r="I5" s="22" t="s">
        <v>212</v>
      </c>
      <c r="J5" s="22" t="s">
        <v>213</v>
      </c>
      <c r="K5" s="90">
        <v>3</v>
      </c>
      <c r="L5" s="91">
        <f>INT(6/150*L29)</f>
        <v>600</v>
      </c>
      <c r="M5" s="91">
        <f t="shared" ref="M5:W5" si="36">INT(6/150*M29)</f>
        <v>2400</v>
      </c>
      <c r="N5" s="91">
        <f t="shared" si="36"/>
        <v>40</v>
      </c>
      <c r="O5" s="91">
        <f t="shared" si="36"/>
        <v>80</v>
      </c>
      <c r="P5" s="91">
        <f t="shared" si="36"/>
        <v>40</v>
      </c>
      <c r="Q5" s="91">
        <f t="shared" si="36"/>
        <v>80</v>
      </c>
      <c r="R5" s="91">
        <f t="shared" si="36"/>
        <v>40</v>
      </c>
      <c r="S5" s="91">
        <f t="shared" si="36"/>
        <v>80</v>
      </c>
      <c r="T5" s="91">
        <f t="shared" si="36"/>
        <v>30</v>
      </c>
      <c r="U5" s="91">
        <f t="shared" si="36"/>
        <v>60</v>
      </c>
      <c r="V5" s="91">
        <f t="shared" si="36"/>
        <v>30</v>
      </c>
      <c r="W5" s="91">
        <f t="shared" si="36"/>
        <v>60</v>
      </c>
      <c r="X5" s="91">
        <f>L5*属性价值参考!C$5+基本装备!M5*属性价值参考!C$6+基本装备!N5*属性价值参考!C$7+基本装备!O5*属性价值参考!C$8+基本装备!T5*属性价值参考!C$9+基本装备!U5*属性价值参考!C$10+基本装备!V5*属性价值参考!C$11+基本装备!W5*属性价值参考!C$12</f>
        <v>14061.6</v>
      </c>
      <c r="Y5" s="91">
        <f>基本装备!AG5*属性价值参考!C$13+基本装备!AH5*属性价值参考!C$36+基本装备!AI5*属性价值参考!C$19+基本装备!AJ5*属性价值参考!C$15+基本装备!AK5*属性价值参考!C$27+基本装备!AP5*属性价值参考!C$20+基本装备!AQ5*属性价值参考!C$21+基本装备!AR5*属性价值参考!C$26+8*(基本装备!AW5*属性价值参考!C$26+基本装备!BB5*属性价值参考!C$27+基本装备!BC5*(属性价值参考!C$28+属性价值参考!C$29))</f>
        <v>5896.7999999999993</v>
      </c>
      <c r="Z5" s="9"/>
      <c r="AA5" s="81">
        <f t="shared" si="1"/>
        <v>600</v>
      </c>
      <c r="AB5" s="81">
        <f t="shared" si="2"/>
        <v>2400</v>
      </c>
      <c r="AC5" s="81">
        <f t="shared" si="3"/>
        <v>80</v>
      </c>
      <c r="AD5" s="81">
        <f t="shared" si="4"/>
        <v>60</v>
      </c>
      <c r="AE5" s="9"/>
      <c r="AF5" s="82">
        <f t="shared" si="5"/>
        <v>20</v>
      </c>
      <c r="AG5" s="82"/>
      <c r="AH5" s="82"/>
      <c r="AI5" s="82"/>
      <c r="AJ5" s="82"/>
      <c r="AK5" s="82">
        <f>ROUND(3/52*$AK$29,0)</f>
        <v>3</v>
      </c>
      <c r="AL5" s="82">
        <f t="shared" si="6"/>
        <v>160</v>
      </c>
      <c r="AM5" s="82">
        <f t="shared" si="7"/>
        <v>640</v>
      </c>
      <c r="AN5" s="82">
        <f t="shared" si="8"/>
        <v>6.4</v>
      </c>
      <c r="AO5" s="82">
        <f t="shared" si="9"/>
        <v>16.8</v>
      </c>
      <c r="AP5" s="82"/>
      <c r="AQ5" s="82"/>
      <c r="AR5" s="82">
        <f>ROUND(3/110*$AR$29,0)</f>
        <v>3</v>
      </c>
      <c r="AS5" s="82">
        <f t="shared" si="10"/>
        <v>56</v>
      </c>
      <c r="AT5" s="82">
        <f t="shared" si="11"/>
        <v>160</v>
      </c>
      <c r="AU5" s="82">
        <f t="shared" si="12"/>
        <v>5.6000000000000005</v>
      </c>
      <c r="AV5" s="82">
        <f t="shared" si="13"/>
        <v>4.8</v>
      </c>
      <c r="AW5" s="82">
        <f>ROUND(3/44*$AW$29,0)</f>
        <v>3</v>
      </c>
      <c r="AX5" s="82">
        <f t="shared" si="14"/>
        <v>48</v>
      </c>
      <c r="AY5" s="82">
        <f t="shared" si="15"/>
        <v>200</v>
      </c>
      <c r="AZ5" s="82">
        <f t="shared" si="16"/>
        <v>6</v>
      </c>
      <c r="BA5" s="82">
        <f t="shared" si="17"/>
        <v>4.8</v>
      </c>
      <c r="BB5" s="89">
        <f t="shared" si="18"/>
        <v>1</v>
      </c>
      <c r="BC5" s="89">
        <f>ROUND(1/10*$BC$29,0)</f>
        <v>1</v>
      </c>
      <c r="BE5" s="83">
        <v>3</v>
      </c>
      <c r="BF5" s="83" t="str">
        <f>"3#3#"&amp;INT(0.5*AF5)&amp;"|"&amp;"3#4#"&amp;INT(AF5)&amp;"|"&amp;"3#5#"&amp;INT(0.5*AF5)&amp;"|"&amp;"3#6#"&amp;INT(AF5)&amp;"|"&amp;"3#7#"&amp;INT(0.5*AF5)&amp;"|"&amp;"3#8#"&amp;INT(AF5)</f>
        <v>3#3#10|3#4#20|3#5#10|3#6#20|3#7#10|3#8#20</v>
      </c>
      <c r="BG5" s="83" t="str">
        <f t="shared" si="19"/>
        <v>3#35#300</v>
      </c>
      <c r="BH5" s="83" t="str">
        <f>"3#9#"&amp;INT(0.5*AO5)&amp;"|"&amp;"3#10#"&amp;INT(AO5)&amp;"|"&amp;"3#11#"&amp;INT(0.5*AO5)&amp;"|"&amp;"3#12#"&amp;INT(AO5)&amp;"|"&amp;"3#3#"&amp;INT(0.5*AN5)&amp;"|"&amp;"3#4#"&amp;INT(AN5)&amp;"|"&amp;"3#5#"&amp;INT(0.5*AN5)&amp;"|"&amp;"3#6#"&amp;INT(AN5)&amp;"|"&amp;"3#7#"&amp;INT(0.5*AN5)&amp;"|"&amp;"3#8#"&amp;INT(AN5)&amp;"|"&amp;"0#1#"&amp;INT(AL5)&amp;"|"&amp;"0#2#"&amp;INT(0.1*AM5)&amp;"|"&amp;"1#1#"&amp;INT(0.3*AL5)&amp;"|"&amp;"1#2#"&amp;INT(AM5)&amp;"|"&amp;"2#1#"&amp;INT(0.6*AL5)&amp;"|"&amp;"2#2#"&amp;INT(0.8*AM5)</f>
        <v>3#9#8|3#10#16|3#11#8|3#12#16|3#3#3|3#4#6|3#5#3|3#6#6|3#7#3|3#8#6|0#1#160|0#2#64|1#1#48|1#2#640|2#1#96|2#2#512</v>
      </c>
      <c r="BI5" s="83" t="str">
        <f t="shared" si="20"/>
        <v>3#30#3|3#31#3</v>
      </c>
      <c r="BJ5" s="83" t="str">
        <f t="shared" si="21"/>
        <v>3#9#2|3#10#4|3#11#2|3#12#4|0#1#48|0#2#20|1#1#14|1#2#200|2#1#28|2#2#160</v>
      </c>
      <c r="BK5" s="83" t="str">
        <f t="shared" si="22"/>
        <v>3#35#100|3#36#100</v>
      </c>
      <c r="BL5" s="83" t="str">
        <f t="shared" si="23"/>
        <v>3#9#2|3#10#4|3#11#2|3#12#4|0#1#48|0#2#20|1#1#14|1#2#200|2#1#28|2#2#160</v>
      </c>
      <c r="BM5" s="83" t="str">
        <f t="shared" si="24"/>
        <v>3#35#100|3#36#100</v>
      </c>
      <c r="BN5" s="83" t="str">
        <f t="shared" si="25"/>
        <v>3#9#2|3#10#4|3#11#2|3#12#4|0#1#48|0#2#20|1#1#14|1#2#200|2#1#28|2#2#160</v>
      </c>
      <c r="BO5" s="83" t="str">
        <f t="shared" si="26"/>
        <v>3#35#100|3#37#100</v>
      </c>
      <c r="BP5" s="83" t="str">
        <f t="shared" si="27"/>
        <v>3#9#2|3#10#4|3#11#2|3#12#4|0#1#48|0#2#20|1#1#14|1#2#200|2#1#28|2#2#160</v>
      </c>
      <c r="BQ5" s="83" t="str">
        <f t="shared" si="28"/>
        <v>3#35#100|3#37#100</v>
      </c>
      <c r="BR5" s="83" t="str">
        <f t="shared" si="29"/>
        <v>3#9#2|3#10#4|3#11#2|3#12#4|0#1#48|0#2#20|1#1#14|1#2#200|2#1#28|2#2#160</v>
      </c>
      <c r="BS5" s="83" t="str">
        <f t="shared" si="30"/>
        <v>3#35#100|3#36#100</v>
      </c>
      <c r="BT5" s="83" t="str">
        <f t="shared" si="31"/>
        <v>3#9#2|3#10#4|3#11#2|3#12#4|0#1#48|0#2#20|1#1#14|1#2#200|2#1#28|2#2#160</v>
      </c>
      <c r="BU5" s="83" t="str">
        <f t="shared" si="32"/>
        <v>3#35#100|3#36#100</v>
      </c>
      <c r="BV5" s="83" t="str">
        <f t="shared" si="33"/>
        <v>3#9#2|3#10#4|3#11#2|3#12#4|3#3#2|3#4#5|3#5#2|3#6#5|3#7#2|3#8#5|0#1#56|0#2#16|1#1#16|1#2#160|2#1#33|2#2#128</v>
      </c>
      <c r="BW5" s="83" t="str">
        <f t="shared" si="34"/>
        <v>3#30#3|3#31#3</v>
      </c>
      <c r="BY5" s="8" t="s">
        <v>1915</v>
      </c>
      <c r="BZ5" s="8" t="str">
        <f>BH3</f>
        <v>3#9#4|3#10#8|3#11#4|3#12#8|3#3#1|3#4#3|3#5#1|3#6#3|3#7#1|3#8#3|0#1#80|0#2#32|1#1#24|1#2#320|2#1#48|2#2#256</v>
      </c>
      <c r="CA5" s="8" t="str">
        <f>BH4</f>
        <v>3#9#6|3#10#12|3#11#6|3#12#12|3#3#2|3#4#4|3#5#2|3#6#4|3#7#2|3#8#4|0#1#120|0#2#48|1#1#36|1#2#480|2#1#72|2#2#384</v>
      </c>
      <c r="CB5" s="8" t="str">
        <f>BH5</f>
        <v>3#9#8|3#10#16|3#11#8|3#12#16|3#3#3|3#4#6|3#5#3|3#6#6|3#7#3|3#8#6|0#1#160|0#2#64|1#1#48|1#2#640|2#1#96|2#2#512</v>
      </c>
      <c r="CC5" s="8" t="str">
        <f>BH6</f>
        <v>3#9#10|3#10#21|3#11#10|3#12#21|3#3#4|3#4#8|3#5#4|3#6#8|3#7#4|3#8#8|0#1#200|0#2#80|1#1#60|1#2#800|2#1#120|2#2#640|3#26#1|3#27#1</v>
      </c>
      <c r="CD5" s="8" t="str">
        <f>BH7</f>
        <v>3#9#13|3#10#27|3#11#13|3#12#27|3#3#5|3#4#10|3#5#5|3#6#10|3#7#5|3#8#10|0#1#260|0#2#104|1#1#78|1#2#1040|2#1#156|2#2#832|3#26#1|3#27#1</v>
      </c>
      <c r="CE5" s="8" t="str">
        <f>BH8</f>
        <v>3#9#16|3#10#33|3#11#16|3#12#33|3#3#6|3#4#12|3#5#6|3#6#12|3#7#6|3#8#12|0#1#320|0#2#128|1#1#96|1#2#1280|2#1#192|2#2#1024|3#26#1|3#27#1</v>
      </c>
      <c r="CF5" s="8" t="str">
        <f>BH9</f>
        <v>3#9#19|3#10#39|3#11#19|3#12#39|3#3#7|3#4#15|3#5#7|3#6#15|3#7#7|3#8#15|0#1#380|0#2#152|1#1#114|1#2#1520|2#1#228|2#2#1216|3#26#1|3#27#1</v>
      </c>
      <c r="CG5" s="8" t="str">
        <f>BH10</f>
        <v>3#9#23|3#10#46|3#11#23|3#12#46|3#3#8|3#4#17|3#5#8|3#6#17|3#7#8|3#8#17|0#1#440|0#2#176|1#1#132|1#2#1760|2#1#264|2#2#1408|3#26#2|3#27#2</v>
      </c>
      <c r="CH5" s="8" t="str">
        <f>BH11</f>
        <v>3#9#29|3#10#58|3#11#29|3#12#58|3#3#11|3#4#22|3#5#11|3#6#22|3#7#11|3#8#22|0#1#560|0#2#224|1#1#168|1#2#2240|2#1#336|2#2#1792|3#26#2|3#27#2</v>
      </c>
      <c r="CI5" s="8" t="str">
        <f>BH12</f>
        <v>3#9#37|3#10#75|3#11#37|3#12#75|3#3#14|3#4#28|3#5#14|3#6#28|3#7#14|3#8#28|0#1#720|0#2#288|1#1#216|1#2#2880|2#1#432|2#2#2304|3#26#2|3#27#2</v>
      </c>
      <c r="CJ5" s="8" t="str">
        <f>BH13</f>
        <v>3#9#46|3#10#92|3#11#46|3#12#92|3#3#17|3#4#35|3#5#17|3#6#35|3#7#17|3#8#35|0#1#880|0#2#352|1#1#264|1#2#3520|2#1#528|2#2#2816|3#26#2|3#27#2</v>
      </c>
      <c r="CK5" s="8" t="str">
        <f>BH14</f>
        <v>3#9#53|3#10#106|3#11#53|3#12#106|3#3#20|3#4#40|3#5#20|3#6#40|3#7#20|3#8#40|0#1#1020|0#2#408|1#1#306|1#2#4080|2#1#612|2#2#3264|3#26#3|3#27#3</v>
      </c>
      <c r="CL5" s="8" t="str">
        <f>BH15</f>
        <v>3#9#60|3#10#121|3#11#60|3#12#121|3#3#23|3#4#46|3#5#23|3#6#46|3#7#23|3#8#46|0#1#1160|0#2#464|1#1#348|1#2#4640|2#1#696|2#2#3712|3#26#3|3#27#3</v>
      </c>
      <c r="CM5" s="8" t="str">
        <f>BH16</f>
        <v>3#9#67|3#10#134|3#11#67|3#12#134|3#3#25|3#4#51|3#5#25|3#6#51|3#7#25|3#8#51|0#1#1280|0#2#512|1#1#384|1#2#5120|2#1#768|2#2#4096|3#26#3|3#27#3</v>
      </c>
      <c r="CN5" s="8" t="str">
        <f>BH17</f>
        <v>3#9#73|3#10#147|3#11#73|3#12#147|3#3#28|3#4#56|3#5#28|3#6#56|3#7#28|3#8#56|0#1#1400|0#2#560|1#1#420|1#2#5600|2#1#840|2#2#4480|3#26#3|3#27#3</v>
      </c>
      <c r="CO5" s="8" t="str">
        <f>BH18</f>
        <v>3#9#78|3#10#157|3#11#78|3#12#157|3#3#30|3#4#60|3#5#30|3#6#60|3#7#30|3#8#60|0#1#1500|0#2#600|1#1#450|1#2#6000|2#1#900|2#2#4800|3#26#4|3#27#4</v>
      </c>
      <c r="CP5" s="8" t="str">
        <f>BH19</f>
        <v>3#9#84|3#10#168|3#11#84|3#12#168|3#3#32|3#4#64|3#5#32|3#6#64|3#7#32|3#8#64|0#1#1600|0#2#640|1#1#480|1#2#6400|2#1#960|2#2#5120|3#26#4|3#27#4</v>
      </c>
      <c r="CQ5" s="8" t="str">
        <f>BH20</f>
        <v>3#9#92|3#10#184|3#11#92|3#12#184|3#3#35|3#4#70|3#5#35|3#6#70|3#7#35|3#8#70|0#1#1760|0#2#704|1#1#528|1#2#7040|2#1#1056|2#2#5632|3#26#4|3#27#4</v>
      </c>
      <c r="CR5" s="8" t="str">
        <f>BH21</f>
        <v>3#9#100|3#10#201|3#11#100|3#12#201|3#3#38|3#4#76|3#5#38|3#6#76|3#7#38|3#8#76|0#1#1920|0#2#768|1#1#576|1#2#7680|2#1#1152|2#2#6144|3#26#4|3#27#4</v>
      </c>
      <c r="CS5" s="8" t="str">
        <f>BH22</f>
        <v>3#9#111|3#10#222|3#11#111|3#12#222|3#3#42|3#4#84|3#5#42|3#6#84|3#7#42|3#8#84|0#1#2120|0#2#848|1#1#636|1#2#8480|2#1#1272|2#2#6784|3#26#5|3#27#5</v>
      </c>
      <c r="CT5" s="8" t="str">
        <f>BH23</f>
        <v>3#9#121|3#10#243|3#11#121|3#12#243|3#3#46|3#4#92|3#5#46|3#6#92|3#7#46|3#8#92|0#1#2320|0#2#928|1#1#696|1#2#9280|2#1#1392|2#2#7424|3#26#5|3#27#5</v>
      </c>
      <c r="CU5" s="8" t="str">
        <f>BH24</f>
        <v>3#9#134|3#10#268|3#11#134|3#12#268|3#3#51|3#4#102|3#5#51|3#6#102|3#7#51|3#8#102|0#1#2560|0#2#1024|1#1#768|1#2#10240|2#1#1536|2#2#8192|3#26#5|3#27#5</v>
      </c>
      <c r="CV5" s="8" t="str">
        <f>BH25</f>
        <v>3#9#147|3#10#294|3#11#147|3#12#294|3#3#56|3#4#112|3#5#56|3#6#112|3#7#56|3#8#112|0#1#2800|0#2#1120|1#1#840|1#2#11200|2#1#1680|2#2#8960|3#26#5|3#27#5</v>
      </c>
      <c r="CW5" s="8" t="str">
        <f>BH26</f>
        <v>3#9#157|3#10#315|3#11#157|3#12#315|3#3#60|3#4#120|3#5#60|3#6#120|3#7#60|3#8#120|0#1#3000|0#2#1200|1#1#900|1#2#12000|2#1#1800|2#2#9600|3#26#6|3#27#6</v>
      </c>
      <c r="CX5" s="8" t="str">
        <f>BH27</f>
        <v>3#9#168|3#10#336|3#11#168|3#12#336|3#3#64|3#4#128|3#5#64|3#6#128|3#7#64|3#8#128|0#1#3200|0#2#1280|1#1#960|1#2#12800|2#1#1920|2#2#10240|3#26#6|3#27#6</v>
      </c>
      <c r="CY5" s="8" t="str">
        <f>BH29</f>
        <v>3#9#210|3#10#420|3#11#210|3#12#420|3#3#80|3#4#160|3#5#80|3#6#160|3#7#80|3#8#160|0#1#4000|0#2#1600|1#1#1200|1#2#16000|2#1#2400|2#2#12800|3#26#6|3#27#6</v>
      </c>
      <c r="CZ5" s="8" t="str">
        <f>BH29</f>
        <v>3#9#210|3#10#420|3#11#210|3#12#420|3#3#80|3#4#160|3#5#80|3#6#160|3#7#80|3#8#160|0#1#4000|0#2#1600|1#1#1200|1#2#16000|2#1#2400|2#2#12800|3#26#6|3#27#6</v>
      </c>
    </row>
    <row r="6" spans="1:104" x14ac:dyDescent="0.3">
      <c r="A6" s="64" t="s">
        <v>163</v>
      </c>
      <c r="B6" s="64" t="s">
        <v>519</v>
      </c>
      <c r="C6" s="64" t="s">
        <v>85</v>
      </c>
      <c r="D6" s="64" t="s">
        <v>520</v>
      </c>
      <c r="E6" s="64" t="s">
        <v>530</v>
      </c>
      <c r="F6" s="29">
        <v>1</v>
      </c>
      <c r="G6" s="64">
        <v>35</v>
      </c>
      <c r="H6" s="29"/>
      <c r="I6" s="22" t="s">
        <v>531</v>
      </c>
      <c r="J6" s="22" t="s">
        <v>532</v>
      </c>
      <c r="K6" s="90">
        <v>4</v>
      </c>
      <c r="L6" s="91">
        <f>INT(7.5/150*L29)</f>
        <v>750</v>
      </c>
      <c r="M6" s="91">
        <f t="shared" ref="M6:W6" si="37">INT(7.5/150*M29)</f>
        <v>3000</v>
      </c>
      <c r="N6" s="91">
        <f t="shared" si="37"/>
        <v>50</v>
      </c>
      <c r="O6" s="91">
        <f t="shared" si="37"/>
        <v>100</v>
      </c>
      <c r="P6" s="91">
        <f t="shared" si="37"/>
        <v>50</v>
      </c>
      <c r="Q6" s="91">
        <f t="shared" si="37"/>
        <v>100</v>
      </c>
      <c r="R6" s="91">
        <f t="shared" si="37"/>
        <v>50</v>
      </c>
      <c r="S6" s="91">
        <f t="shared" si="37"/>
        <v>100</v>
      </c>
      <c r="T6" s="91">
        <f t="shared" si="37"/>
        <v>37</v>
      </c>
      <c r="U6" s="91">
        <f t="shared" si="37"/>
        <v>75</v>
      </c>
      <c r="V6" s="91">
        <f t="shared" si="37"/>
        <v>37</v>
      </c>
      <c r="W6" s="91">
        <f t="shared" si="37"/>
        <v>75</v>
      </c>
      <c r="X6" s="91">
        <f>L6*属性价值参考!C$5+基本装备!M6*属性价值参考!C$6+基本装备!N6*属性价值参考!C$7+基本装备!O6*属性价值参考!C$8+基本装备!T6*属性价值参考!C$9+基本装备!U6*属性价值参考!C$10+基本装备!V6*属性价值参考!C$11+基本装备!W6*属性价值参考!C$12</f>
        <v>17563.199999999997</v>
      </c>
      <c r="Y6" s="91">
        <f>基本装备!AG6*属性价值参考!C$13+基本装备!AH6*属性价值参考!C$36+基本装备!AI6*属性价值参考!C$19+基本装备!AJ6*属性价值参考!C$15+基本装备!AK6*属性价值参考!C$27+基本装备!AP6*属性价值参考!C$20+基本装备!AQ6*属性价值参考!C$21+基本装备!AR6*属性价值参考!C$26+8*(基本装备!AW6*属性价值参考!C$26+基本装备!BB6*属性价值参考!C$27+基本装备!BC6*(属性价值参考!C$28+属性价值参考!C$29))</f>
        <v>12164.399999999998</v>
      </c>
      <c r="Z6" s="9"/>
      <c r="AA6" s="81">
        <f t="shared" si="1"/>
        <v>750</v>
      </c>
      <c r="AB6" s="81">
        <f t="shared" si="2"/>
        <v>3000</v>
      </c>
      <c r="AC6" s="81">
        <f t="shared" si="3"/>
        <v>100</v>
      </c>
      <c r="AD6" s="81">
        <f t="shared" si="4"/>
        <v>75</v>
      </c>
      <c r="AE6" s="9"/>
      <c r="AF6" s="82">
        <f t="shared" si="5"/>
        <v>25</v>
      </c>
      <c r="AG6" s="82">
        <f>ROUND(30/80*$AG$29,0)</f>
        <v>30</v>
      </c>
      <c r="AH6" s="82">
        <f>ROUND(1/7*$AH$29,0)</f>
        <v>1</v>
      </c>
      <c r="AI6" s="82">
        <v>1</v>
      </c>
      <c r="AJ6" s="82">
        <f>ROUND(1/10*$AJ$29,0)</f>
        <v>1</v>
      </c>
      <c r="AK6" s="82">
        <f>ROUND(4/52*$AK$29,0)</f>
        <v>4</v>
      </c>
      <c r="AL6" s="82">
        <f t="shared" si="6"/>
        <v>200</v>
      </c>
      <c r="AM6" s="82">
        <f t="shared" si="7"/>
        <v>800</v>
      </c>
      <c r="AN6" s="82">
        <f t="shared" si="8"/>
        <v>8</v>
      </c>
      <c r="AO6" s="82">
        <f t="shared" si="9"/>
        <v>21.000000000000004</v>
      </c>
      <c r="AP6" s="82">
        <f t="shared" ref="AP6:AP8" si="38">ROUND(1/6*$AP$29,0)</f>
        <v>1</v>
      </c>
      <c r="AQ6" s="82">
        <f t="shared" ref="AQ6:AQ8" si="39">ROUND(1/6*$AQ$29,0)</f>
        <v>1</v>
      </c>
      <c r="AR6" s="82">
        <f>ROUND(4/110*$AR$29,0)</f>
        <v>4</v>
      </c>
      <c r="AS6" s="82">
        <f t="shared" si="10"/>
        <v>70</v>
      </c>
      <c r="AT6" s="82">
        <f t="shared" si="11"/>
        <v>200</v>
      </c>
      <c r="AU6" s="82">
        <f t="shared" si="12"/>
        <v>7.0000000000000009</v>
      </c>
      <c r="AV6" s="82">
        <f t="shared" si="13"/>
        <v>6</v>
      </c>
      <c r="AW6" s="82">
        <f>ROUND(4/44*$AW$29,0)</f>
        <v>4</v>
      </c>
      <c r="AX6" s="82">
        <f t="shared" si="14"/>
        <v>60</v>
      </c>
      <c r="AY6" s="82">
        <f t="shared" si="15"/>
        <v>250</v>
      </c>
      <c r="AZ6" s="82">
        <f t="shared" si="16"/>
        <v>7.5</v>
      </c>
      <c r="BA6" s="82">
        <f t="shared" si="17"/>
        <v>6</v>
      </c>
      <c r="BB6" s="89">
        <f>ROUND(1/16*$BB$29,0)</f>
        <v>1</v>
      </c>
      <c r="BC6" s="89">
        <f>ROUND(2/10*$BC$29,0)</f>
        <v>2</v>
      </c>
      <c r="BE6" s="83">
        <v>4</v>
      </c>
      <c r="BF6" s="83" t="str">
        <f t="shared" ref="BF6:BF28" si="40">"3#3#"&amp;INT(0.5*AF6)&amp;"|"&amp;"3#4#"&amp;INT(AF6)&amp;"|"&amp;"3#5#"&amp;INT(0.5*AF6)&amp;"|"&amp;"3#6#"&amp;INT(AF6)&amp;"|"&amp;"3#7#"&amp;INT(0.5*AF6)&amp;"|"&amp;"3#8#"&amp;INT(AF6)&amp;"|"&amp;"3#13#"&amp;INT(AG6)&amp;"|"&amp;"3#20#"&amp;INT(AH6)&amp;"|"&amp;"3#25#"&amp;INT(AI6)&amp;"|"&amp;"3#21#"&amp;INT(AJ6)</f>
        <v>3#3#12|3#4#25|3#5#12|3#6#25|3#7#12|3#8#25|3#13#30|3#20#1|3#25#1|3#21#1</v>
      </c>
      <c r="BG6" s="83" t="str">
        <f t="shared" si="19"/>
        <v>3#35#400</v>
      </c>
      <c r="BH6" s="83" t="str">
        <f t="shared" ref="BH6:BH28" si="41">"3#9#"&amp;INT(0.5*AO6)&amp;"|"&amp;"3#10#"&amp;INT(AO6)&amp;"|"&amp;"3#11#"&amp;INT(0.5*AO6)&amp;"|"&amp;"3#12#"&amp;INT(AO6)&amp;"|"&amp;"3#3#"&amp;INT(0.5*AN6)&amp;"|"&amp;"3#4#"&amp;INT(AN6)&amp;"|"&amp;"3#5#"&amp;INT(0.5*AN6)&amp;"|"&amp;"3#6#"&amp;INT(AN6)&amp;"|"&amp;"3#7#"&amp;INT(0.5*AN6)&amp;"|"&amp;"3#8#"&amp;INT(AN6)&amp;"|"&amp;"0#1#"&amp;INT(AL6)&amp;"|"&amp;"0#2#"&amp;INT(0.1*AM6)&amp;"|"&amp;"1#1#"&amp;INT(0.3*AL6)&amp;"|"&amp;"1#2#"&amp;INT(AM6)&amp;"|"&amp;"2#1#"&amp;INT(0.6*AL6)&amp;"|"&amp;"2#2#"&amp;INT(0.8*AM6)&amp;"|"&amp;"3#26#"&amp;INT(AP6)&amp;"|"&amp;"3#27#"&amp;INT(AQ6)</f>
        <v>3#9#10|3#10#21|3#11#10|3#12#21|3#3#4|3#4#8|3#5#4|3#6#8|3#7#4|3#8#8|0#1#200|0#2#80|1#1#60|1#2#800|2#1#120|2#2#640|3#26#1|3#27#1</v>
      </c>
      <c r="BI6" s="83" t="str">
        <f t="shared" si="20"/>
        <v>3#30#4|3#31#4</v>
      </c>
      <c r="BJ6" s="83" t="str">
        <f t="shared" si="21"/>
        <v>3#9#3|3#10#6|3#11#3|3#12#6|0#1#60|0#2#25|1#1#18|1#2#250|2#1#36|2#2#200</v>
      </c>
      <c r="BK6" s="83" t="str">
        <f t="shared" si="22"/>
        <v>3#35#100|3#36#200</v>
      </c>
      <c r="BL6" s="83" t="str">
        <f t="shared" si="23"/>
        <v>3#9#3|3#10#6|3#11#3|3#12#6|0#1#60|0#2#25|1#1#18|1#2#250|2#1#36|2#2#200</v>
      </c>
      <c r="BM6" s="83" t="str">
        <f t="shared" si="24"/>
        <v>3#35#100|3#36#200</v>
      </c>
      <c r="BN6" s="83" t="str">
        <f t="shared" si="25"/>
        <v>3#9#3|3#10#6|3#11#3|3#12#6|0#1#60|0#2#25|1#1#18|1#2#250|2#1#36|2#2#200</v>
      </c>
      <c r="BO6" s="83" t="str">
        <f t="shared" si="26"/>
        <v>3#35#100|3#37#200</v>
      </c>
      <c r="BP6" s="83" t="str">
        <f t="shared" si="27"/>
        <v>3#9#3|3#10#6|3#11#3|3#12#6|0#1#60|0#2#25|1#1#18|1#2#250|2#1#36|2#2#200</v>
      </c>
      <c r="BQ6" s="83" t="str">
        <f t="shared" si="28"/>
        <v>3#35#100|3#37#200</v>
      </c>
      <c r="BR6" s="83" t="str">
        <f t="shared" si="29"/>
        <v>3#9#3|3#10#6|3#11#3|3#12#6|0#1#60|0#2#25|1#1#18|1#2#250|2#1#36|2#2#200</v>
      </c>
      <c r="BS6" s="83" t="str">
        <f t="shared" si="30"/>
        <v>3#35#100|3#36#200</v>
      </c>
      <c r="BT6" s="83" t="str">
        <f t="shared" si="31"/>
        <v>3#9#3|3#10#6|3#11#3|3#12#6|0#1#60|0#2#25|1#1#18|1#2#250|2#1#36|2#2#200</v>
      </c>
      <c r="BU6" s="83" t="str">
        <f t="shared" si="32"/>
        <v>3#35#100|3#36#200</v>
      </c>
      <c r="BV6" s="83" t="str">
        <f t="shared" si="33"/>
        <v>3#9#3|3#10#6|3#11#3|3#12#6|3#3#3|3#4#7|3#5#3|3#6#7|3#7#3|3#8#7|0#1#70|0#2#20|1#1#21|1#2#200|2#1#42|2#2#160</v>
      </c>
      <c r="BW6" s="83" t="str">
        <f t="shared" si="34"/>
        <v>3#30#4|3#31#4</v>
      </c>
      <c r="BY6" s="8" t="s">
        <v>1916</v>
      </c>
      <c r="BZ6" s="8" t="str">
        <f>BH3</f>
        <v>3#9#4|3#10#8|3#11#4|3#12#8|3#3#1|3#4#3|3#5#1|3#6#3|3#7#1|3#8#3|0#1#80|0#2#32|1#1#24|1#2#320|2#1#48|2#2#256</v>
      </c>
      <c r="CA6" s="8" t="str">
        <f>BH4</f>
        <v>3#9#6|3#10#12|3#11#6|3#12#12|3#3#2|3#4#4|3#5#2|3#6#4|3#7#2|3#8#4|0#1#120|0#2#48|1#1#36|1#2#480|2#1#72|2#2#384</v>
      </c>
      <c r="CB6" s="8" t="str">
        <f>BH5</f>
        <v>3#9#8|3#10#16|3#11#8|3#12#16|3#3#3|3#4#6|3#5#3|3#6#6|3#7#3|3#8#6|0#1#160|0#2#64|1#1#48|1#2#640|2#1#96|2#2#512</v>
      </c>
      <c r="CC6" s="8" t="str">
        <f>BH6</f>
        <v>3#9#10|3#10#21|3#11#10|3#12#21|3#3#4|3#4#8|3#5#4|3#6#8|3#7#4|3#8#8|0#1#200|0#2#80|1#1#60|1#2#800|2#1#120|2#2#640|3#26#1|3#27#1</v>
      </c>
      <c r="CD6" s="8" t="str">
        <f>BH7</f>
        <v>3#9#13|3#10#27|3#11#13|3#12#27|3#3#5|3#4#10|3#5#5|3#6#10|3#7#5|3#8#10|0#1#260|0#2#104|1#1#78|1#2#1040|2#1#156|2#2#832|3#26#1|3#27#1</v>
      </c>
      <c r="CE6" s="8" t="str">
        <f>BH8</f>
        <v>3#9#16|3#10#33|3#11#16|3#12#33|3#3#6|3#4#12|3#5#6|3#6#12|3#7#6|3#8#12|0#1#320|0#2#128|1#1#96|1#2#1280|2#1#192|2#2#1024|3#26#1|3#27#1</v>
      </c>
      <c r="CF6" s="8" t="str">
        <f>BH9</f>
        <v>3#9#19|3#10#39|3#11#19|3#12#39|3#3#7|3#4#15|3#5#7|3#6#15|3#7#7|3#8#15|0#1#380|0#2#152|1#1#114|1#2#1520|2#1#228|2#2#1216|3#26#1|3#27#1</v>
      </c>
      <c r="CG6" s="8" t="str">
        <f>BH10</f>
        <v>3#9#23|3#10#46|3#11#23|3#12#46|3#3#8|3#4#17|3#5#8|3#6#17|3#7#8|3#8#17|0#1#440|0#2#176|1#1#132|1#2#1760|2#1#264|2#2#1408|3#26#2|3#27#2</v>
      </c>
      <c r="CH6" s="8" t="str">
        <f>BH11</f>
        <v>3#9#29|3#10#58|3#11#29|3#12#58|3#3#11|3#4#22|3#5#11|3#6#22|3#7#11|3#8#22|0#1#560|0#2#224|1#1#168|1#2#2240|2#1#336|2#2#1792|3#26#2|3#27#2</v>
      </c>
      <c r="CI6" s="8" t="str">
        <f>BH12</f>
        <v>3#9#37|3#10#75|3#11#37|3#12#75|3#3#14|3#4#28|3#5#14|3#6#28|3#7#14|3#8#28|0#1#720|0#2#288|1#1#216|1#2#2880|2#1#432|2#2#2304|3#26#2|3#27#2</v>
      </c>
      <c r="CJ6" s="8" t="str">
        <f>BH13</f>
        <v>3#9#46|3#10#92|3#11#46|3#12#92|3#3#17|3#4#35|3#5#17|3#6#35|3#7#17|3#8#35|0#1#880|0#2#352|1#1#264|1#2#3520|2#1#528|2#2#2816|3#26#2|3#27#2</v>
      </c>
      <c r="CK6" s="8" t="str">
        <f>BH14</f>
        <v>3#9#53|3#10#106|3#11#53|3#12#106|3#3#20|3#4#40|3#5#20|3#6#40|3#7#20|3#8#40|0#1#1020|0#2#408|1#1#306|1#2#4080|2#1#612|2#2#3264|3#26#3|3#27#3</v>
      </c>
      <c r="CL6" s="8" t="str">
        <f>BH15</f>
        <v>3#9#60|3#10#121|3#11#60|3#12#121|3#3#23|3#4#46|3#5#23|3#6#46|3#7#23|3#8#46|0#1#1160|0#2#464|1#1#348|1#2#4640|2#1#696|2#2#3712|3#26#3|3#27#3</v>
      </c>
      <c r="CM6" s="8" t="str">
        <f>BH16</f>
        <v>3#9#67|3#10#134|3#11#67|3#12#134|3#3#25|3#4#51|3#5#25|3#6#51|3#7#25|3#8#51|0#1#1280|0#2#512|1#1#384|1#2#5120|2#1#768|2#2#4096|3#26#3|3#27#3</v>
      </c>
      <c r="CN6" s="8" t="str">
        <f>BH17</f>
        <v>3#9#73|3#10#147|3#11#73|3#12#147|3#3#28|3#4#56|3#5#28|3#6#56|3#7#28|3#8#56|0#1#1400|0#2#560|1#1#420|1#2#5600|2#1#840|2#2#4480|3#26#3|3#27#3</v>
      </c>
      <c r="CO6" s="8" t="str">
        <f>BH18</f>
        <v>3#9#78|3#10#157|3#11#78|3#12#157|3#3#30|3#4#60|3#5#30|3#6#60|3#7#30|3#8#60|0#1#1500|0#2#600|1#1#450|1#2#6000|2#1#900|2#2#4800|3#26#4|3#27#4</v>
      </c>
      <c r="CP6" s="8" t="str">
        <f>BH19</f>
        <v>3#9#84|3#10#168|3#11#84|3#12#168|3#3#32|3#4#64|3#5#32|3#6#64|3#7#32|3#8#64|0#1#1600|0#2#640|1#1#480|1#2#6400|2#1#960|2#2#5120|3#26#4|3#27#4</v>
      </c>
      <c r="CQ6" s="8" t="str">
        <f>BH20</f>
        <v>3#9#92|3#10#184|3#11#92|3#12#184|3#3#35|3#4#70|3#5#35|3#6#70|3#7#35|3#8#70|0#1#1760|0#2#704|1#1#528|1#2#7040|2#1#1056|2#2#5632|3#26#4|3#27#4</v>
      </c>
      <c r="CR6" s="8" t="str">
        <f>BH21</f>
        <v>3#9#100|3#10#201|3#11#100|3#12#201|3#3#38|3#4#76|3#5#38|3#6#76|3#7#38|3#8#76|0#1#1920|0#2#768|1#1#576|1#2#7680|2#1#1152|2#2#6144|3#26#4|3#27#4</v>
      </c>
      <c r="CS6" s="8" t="str">
        <f>BH22</f>
        <v>3#9#111|3#10#222|3#11#111|3#12#222|3#3#42|3#4#84|3#5#42|3#6#84|3#7#42|3#8#84|0#1#2120|0#2#848|1#1#636|1#2#8480|2#1#1272|2#2#6784|3#26#5|3#27#5</v>
      </c>
      <c r="CT6" s="8" t="str">
        <f>BH23</f>
        <v>3#9#121|3#10#243|3#11#121|3#12#243|3#3#46|3#4#92|3#5#46|3#6#92|3#7#46|3#8#92|0#1#2320|0#2#928|1#1#696|1#2#9280|2#1#1392|2#2#7424|3#26#5|3#27#5</v>
      </c>
      <c r="CU6" s="8" t="str">
        <f>BH24</f>
        <v>3#9#134|3#10#268|3#11#134|3#12#268|3#3#51|3#4#102|3#5#51|3#6#102|3#7#51|3#8#102|0#1#2560|0#2#1024|1#1#768|1#2#10240|2#1#1536|2#2#8192|3#26#5|3#27#5</v>
      </c>
      <c r="CV6" s="8" t="str">
        <f>BH25</f>
        <v>3#9#147|3#10#294|3#11#147|3#12#294|3#3#56|3#4#112|3#5#56|3#6#112|3#7#56|3#8#112|0#1#2800|0#2#1120|1#1#840|1#2#11200|2#1#1680|2#2#8960|3#26#5|3#27#5</v>
      </c>
      <c r="CW6" s="8" t="str">
        <f>BH26</f>
        <v>3#9#157|3#10#315|3#11#157|3#12#315|3#3#60|3#4#120|3#5#60|3#6#120|3#7#60|3#8#120|0#1#3000|0#2#1200|1#1#900|1#2#12000|2#1#1800|2#2#9600|3#26#6|3#27#6</v>
      </c>
      <c r="CX6" s="8" t="str">
        <f>BH27</f>
        <v>3#9#168|3#10#336|3#11#168|3#12#336|3#3#64|3#4#128|3#5#64|3#6#128|3#7#64|3#8#128|0#1#3200|0#2#1280|1#1#960|1#2#12800|2#1#1920|2#2#10240|3#26#6|3#27#6</v>
      </c>
      <c r="CY6" s="8" t="str">
        <f>BH28</f>
        <v>3#9#189|3#10#378|3#11#189|3#12#378|3#3#72|3#4#144|3#5#72|3#6#144|3#7#72|3#8#144|0#1#3600|0#2#1440|1#1#1080|1#2#14400|2#1#2160|2#2#11520|3#26#6|3#27#6</v>
      </c>
      <c r="CZ6" s="8" t="str">
        <f>BH29</f>
        <v>3#9#210|3#10#420|3#11#210|3#12#420|3#3#80|3#4#160|3#5#80|3#6#160|3#7#80|3#8#160|0#1#4000|0#2#1600|1#1#1200|1#2#16000|2#1#2400|2#2#12800|3#26#6|3#27#6</v>
      </c>
    </row>
    <row r="7" spans="1:104" x14ac:dyDescent="0.3">
      <c r="A7" s="64" t="s">
        <v>163</v>
      </c>
      <c r="B7" s="64" t="s">
        <v>519</v>
      </c>
      <c r="C7" s="64" t="s">
        <v>87</v>
      </c>
      <c r="D7" s="64" t="s">
        <v>520</v>
      </c>
      <c r="E7" s="64" t="s">
        <v>533</v>
      </c>
      <c r="F7" s="29">
        <v>1</v>
      </c>
      <c r="G7" s="64">
        <v>35</v>
      </c>
      <c r="H7" s="29"/>
      <c r="I7" s="22" t="s">
        <v>534</v>
      </c>
      <c r="J7" s="22" t="s">
        <v>532</v>
      </c>
      <c r="K7" s="90">
        <v>5</v>
      </c>
      <c r="L7" s="91">
        <f>INT(9.75/150*L29)</f>
        <v>975</v>
      </c>
      <c r="M7" s="91">
        <f t="shared" ref="M7:W7" si="42">INT(9.75/150*M29)</f>
        <v>3900</v>
      </c>
      <c r="N7" s="91">
        <f t="shared" si="42"/>
        <v>65</v>
      </c>
      <c r="O7" s="91">
        <f t="shared" si="42"/>
        <v>130</v>
      </c>
      <c r="P7" s="91">
        <f t="shared" si="42"/>
        <v>65</v>
      </c>
      <c r="Q7" s="91">
        <f t="shared" si="42"/>
        <v>130</v>
      </c>
      <c r="R7" s="91">
        <f t="shared" si="42"/>
        <v>65</v>
      </c>
      <c r="S7" s="91">
        <f t="shared" si="42"/>
        <v>130</v>
      </c>
      <c r="T7" s="91">
        <f t="shared" si="42"/>
        <v>48</v>
      </c>
      <c r="U7" s="91">
        <f t="shared" si="42"/>
        <v>97</v>
      </c>
      <c r="V7" s="91">
        <f t="shared" si="42"/>
        <v>48</v>
      </c>
      <c r="W7" s="91">
        <f t="shared" si="42"/>
        <v>97</v>
      </c>
      <c r="X7" s="91">
        <f>L7*属性价值参考!C$5+基本装备!M7*属性价值参考!C$6+基本装备!N7*属性价值参考!C$7+基本装备!O7*属性价值参考!C$8+基本装备!T7*属性价值参考!C$9+基本装备!U7*属性价值参考!C$10+基本装备!V7*属性价值参考!C$11+基本装备!W7*属性价值参考!C$12</f>
        <v>22809</v>
      </c>
      <c r="Y7" s="91">
        <f>基本装备!AG7*属性价值参考!C$13+基本装备!AH7*属性价值参考!C$36+基本装备!AI7*属性价值参考!C$19+基本装备!AJ7*属性价值参考!C$15+基本装备!AK7*属性价值参考!C$27+基本装备!AP7*属性价值参考!C$20+基本装备!AQ7*属性价值参考!C$21+基本装备!AR7*属性价值参考!C$26+8*(基本装备!AW7*属性价值参考!C$26+基本装备!BB7*属性价值参考!C$27+基本装备!BC7*(属性价值参考!C$28+属性价值参考!C$29))</f>
        <v>15080.4</v>
      </c>
      <c r="Z7" s="9"/>
      <c r="AA7" s="81">
        <f t="shared" si="1"/>
        <v>975</v>
      </c>
      <c r="AB7" s="81">
        <f t="shared" si="2"/>
        <v>3900</v>
      </c>
      <c r="AC7" s="81">
        <f t="shared" si="3"/>
        <v>130</v>
      </c>
      <c r="AD7" s="81">
        <f t="shared" si="4"/>
        <v>97</v>
      </c>
      <c r="AE7" s="9"/>
      <c r="AF7" s="82">
        <f t="shared" si="5"/>
        <v>32.5</v>
      </c>
      <c r="AG7" s="82">
        <f>ROUND(30/80*$AG$29,0)</f>
        <v>30</v>
      </c>
      <c r="AH7" s="82">
        <f>ROUND(1/7*$AH$29,0)</f>
        <v>1</v>
      </c>
      <c r="AI7" s="82">
        <v>1</v>
      </c>
      <c r="AJ7" s="82">
        <f>ROUND(1/10*$AJ$29,0)</f>
        <v>1</v>
      </c>
      <c r="AK7" s="82">
        <f>ROUND(5/52*$AK$29,0)</f>
        <v>5</v>
      </c>
      <c r="AL7" s="82">
        <f t="shared" si="6"/>
        <v>260</v>
      </c>
      <c r="AM7" s="82">
        <f t="shared" si="7"/>
        <v>1040</v>
      </c>
      <c r="AN7" s="82">
        <f t="shared" si="8"/>
        <v>10.4</v>
      </c>
      <c r="AO7" s="82">
        <f t="shared" si="9"/>
        <v>27.160000000000004</v>
      </c>
      <c r="AP7" s="82">
        <f t="shared" si="38"/>
        <v>1</v>
      </c>
      <c r="AQ7" s="82">
        <f t="shared" si="39"/>
        <v>1</v>
      </c>
      <c r="AR7" s="82">
        <f>ROUND(5/110*$AR$29,0)</f>
        <v>5</v>
      </c>
      <c r="AS7" s="82">
        <f t="shared" si="10"/>
        <v>91</v>
      </c>
      <c r="AT7" s="82">
        <f t="shared" si="11"/>
        <v>260</v>
      </c>
      <c r="AU7" s="82">
        <f t="shared" si="12"/>
        <v>9.1000000000000014</v>
      </c>
      <c r="AV7" s="82">
        <f t="shared" si="13"/>
        <v>7.76</v>
      </c>
      <c r="AW7" s="82">
        <f>ROUND(5/44*$AW$29,0)</f>
        <v>5</v>
      </c>
      <c r="AX7" s="82">
        <f t="shared" si="14"/>
        <v>78</v>
      </c>
      <c r="AY7" s="82">
        <f t="shared" si="15"/>
        <v>325</v>
      </c>
      <c r="AZ7" s="82">
        <f t="shared" si="16"/>
        <v>9.75</v>
      </c>
      <c r="BA7" s="82">
        <f t="shared" si="17"/>
        <v>7.76</v>
      </c>
      <c r="BB7" s="89">
        <f>ROUND(2/16*$BB$29,0)</f>
        <v>2</v>
      </c>
      <c r="BC7" s="89">
        <f>ROUND(2/10*$BC$29,0)</f>
        <v>2</v>
      </c>
      <c r="BE7" s="83">
        <v>5</v>
      </c>
      <c r="BF7" s="83" t="str">
        <f t="shared" si="40"/>
        <v>3#3#16|3#4#32|3#5#16|3#6#32|3#7#16|3#8#32|3#13#30|3#20#1|3#25#1|3#21#1</v>
      </c>
      <c r="BG7" s="83" t="str">
        <f t="shared" si="19"/>
        <v>3#35#500</v>
      </c>
      <c r="BH7" s="83" t="str">
        <f t="shared" si="41"/>
        <v>3#9#13|3#10#27|3#11#13|3#12#27|3#3#5|3#4#10|3#5#5|3#6#10|3#7#5|3#8#10|0#1#260|0#2#104|1#1#78|1#2#1040|2#1#156|2#2#832|3#26#1|3#27#1</v>
      </c>
      <c r="BI7" s="83" t="str">
        <f t="shared" si="20"/>
        <v>3#30#5|3#31#5</v>
      </c>
      <c r="BJ7" s="83" t="str">
        <f t="shared" si="21"/>
        <v>3#9#3|3#10#7|3#11#3|3#12#7|0#1#78|0#2#32|1#1#23|1#2#325|2#1#46|2#2#260</v>
      </c>
      <c r="BK7" s="83" t="str">
        <f t="shared" si="22"/>
        <v>3#35#200|3#36#200</v>
      </c>
      <c r="BL7" s="83" t="str">
        <f t="shared" si="23"/>
        <v>3#9#3|3#10#7|3#11#3|3#12#7|0#1#78|0#2#32|1#1#23|1#2#325|2#1#46|2#2#260</v>
      </c>
      <c r="BM7" s="83" t="str">
        <f t="shared" si="24"/>
        <v>3#35#200|3#36#200</v>
      </c>
      <c r="BN7" s="83" t="str">
        <f t="shared" si="25"/>
        <v>3#9#3|3#10#7|3#11#3|3#12#7|0#1#78|0#2#32|1#1#23|1#2#325|2#1#46|2#2#260</v>
      </c>
      <c r="BO7" s="83" t="str">
        <f t="shared" si="26"/>
        <v>3#35#200|3#37#200</v>
      </c>
      <c r="BP7" s="83" t="str">
        <f t="shared" si="27"/>
        <v>3#9#3|3#10#7|3#11#3|3#12#7|0#1#78|0#2#32|1#1#23|1#2#325|2#1#46|2#2#260</v>
      </c>
      <c r="BQ7" s="83" t="str">
        <f t="shared" si="28"/>
        <v>3#35#200|3#37#200</v>
      </c>
      <c r="BR7" s="83" t="str">
        <f t="shared" si="29"/>
        <v>3#9#3|3#10#7|3#11#3|3#12#7|0#1#78|0#2#32|1#1#23|1#2#325|2#1#46|2#2#260</v>
      </c>
      <c r="BS7" s="83" t="str">
        <f t="shared" si="30"/>
        <v>3#35#200|3#36#200</v>
      </c>
      <c r="BT7" s="83" t="str">
        <f t="shared" si="31"/>
        <v>3#9#3|3#10#7|3#11#3|3#12#7|0#1#78|0#2#32|1#1#23|1#2#325|2#1#46|2#2#260</v>
      </c>
      <c r="BU7" s="83" t="str">
        <f t="shared" si="32"/>
        <v>3#35#200|3#36#200</v>
      </c>
      <c r="BV7" s="83" t="str">
        <f t="shared" si="33"/>
        <v>3#9#3|3#10#7|3#11#3|3#12#7|3#3#4|3#4#9|3#5#4|3#6#9|3#7#4|3#8#9|0#1#91|0#2#26|1#1#27|1#2#260|2#1#54|2#2#208</v>
      </c>
      <c r="BW7" s="83" t="str">
        <f t="shared" si="34"/>
        <v>3#30#5|3#31#5</v>
      </c>
      <c r="BY7" s="8" t="s">
        <v>1906</v>
      </c>
      <c r="BZ7" s="8" t="str">
        <f>BJ3</f>
        <v>3#9#1|3#10#2|3#11#1|3#12#2|0#1#24|0#2#10|1#1#7|1#2#100|2#1#14|2#2#80</v>
      </c>
      <c r="CA7" s="8" t="str">
        <f>BJ4</f>
        <v>3#9#1|3#10#3|3#11#1|3#12#3|0#1#36|0#2#15|1#1#10|1#2#150|2#1#21|2#2#120</v>
      </c>
      <c r="CB7" s="8" t="str">
        <f>BJ5</f>
        <v>3#9#2|3#10#4|3#11#2|3#12#4|0#1#48|0#2#20|1#1#14|1#2#200|2#1#28|2#2#160</v>
      </c>
      <c r="CC7" s="8" t="str">
        <f>BJ6</f>
        <v>3#9#3|3#10#6|3#11#3|3#12#6|0#1#60|0#2#25|1#1#18|1#2#250|2#1#36|2#2#200</v>
      </c>
      <c r="CD7" s="8" t="str">
        <f>BJ7</f>
        <v>3#9#3|3#10#7|3#11#3|3#12#7|0#1#78|0#2#32|1#1#23|1#2#325|2#1#46|2#2#260</v>
      </c>
      <c r="CE7" s="8" t="str">
        <f>BJ8</f>
        <v>3#9#4|3#10#9|3#11#4|3#12#9|0#1#96|0#2#40|1#1#28|1#2#400|2#1#57|2#2#320</v>
      </c>
      <c r="CF7" s="8" t="str">
        <f>BJ9</f>
        <v>3#9#5|3#10#11|3#11#5|3#12#11|0#1#114|0#2#47|1#1#34|1#2#475|2#1#68|2#2#380</v>
      </c>
      <c r="CG7" s="8" t="str">
        <f>BJ10</f>
        <v>3#9#6|3#10#13|3#11#6|3#12#13|0#1#132|0#2#55|1#1#39|1#2#550|2#1#79|2#2#440</v>
      </c>
      <c r="CH7" s="8" t="str">
        <f>BJ11</f>
        <v>3#9#8|3#10#16|3#11#8|3#12#16|0#1#168|0#2#70|1#1#50|1#2#700|2#1#100|2#2#560</v>
      </c>
      <c r="CI7" s="8" t="str">
        <f>BJ12</f>
        <v>3#9#10|3#10#21|3#11#10|3#12#21|0#1#216|0#2#90|1#1#64|1#2#900|2#1#129|2#2#720</v>
      </c>
      <c r="CJ7" s="8" t="str">
        <f>BJ13</f>
        <v>3#9#13|3#10#26|3#11#13|3#12#26|0#1#264|0#2#110|1#1#79|1#2#1100|2#1#158|2#2#880</v>
      </c>
      <c r="CK7" s="8" t="str">
        <f>BJ14</f>
        <v>3#9#15|3#10#30|3#11#15|3#12#30|0#1#306|0#2#127|1#1#91|1#2#1275|2#1#183|2#2#1020</v>
      </c>
      <c r="CL7" s="8" t="str">
        <f>BJ15</f>
        <v>3#9#17|3#10#34|3#11#17|3#12#34|0#1#348|0#2#145|1#1#104|1#2#1450|2#1#208|2#2#1160</v>
      </c>
      <c r="CM7" s="8" t="str">
        <f>BJ16</f>
        <v>3#9#19|3#10#38|3#11#19|3#12#38|0#1#384|0#2#160|1#1#115|1#2#1600|2#1#230|2#2#1280</v>
      </c>
      <c r="CN7" s="8" t="str">
        <f>BJ17</f>
        <v>3#9#21|3#10#42|3#11#21|3#12#42|0#1#420|0#2#175|1#1#126|1#2#1750|2#1#252|2#2#1400</v>
      </c>
      <c r="CO7" s="8" t="str">
        <f>BJ18</f>
        <v>3#9#22|3#10#44|3#11#22|3#12#44|0#1#450|0#2#187|1#1#135|1#2#1875|2#1#270|2#2#1500</v>
      </c>
      <c r="CP7" s="8" t="str">
        <f>BJ19</f>
        <v>3#9#24|3#10#48|3#11#24|3#12#48|0#1#480|0#2#200|1#1#144|1#2#2000|2#1#288|2#2#1600</v>
      </c>
      <c r="CQ7" s="8" t="str">
        <f>BJ20</f>
        <v>3#9#26|3#10#52|3#11#26|3#12#52|0#1#528|0#2#220|1#1#158|1#2#2200|2#1#316|2#2#1760</v>
      </c>
      <c r="CR7" s="8" t="str">
        <f>BJ21</f>
        <v>3#9#28|3#10#57|3#11#28|3#12#57|0#1#576|0#2#240|1#1#172|1#2#2400|2#1#345|2#2#1920</v>
      </c>
      <c r="CS7" s="8" t="str">
        <f>BJ22</f>
        <v>3#9#31|3#10#63|3#11#31|3#12#63|0#1#636|0#2#265|1#1#190|1#2#2650|2#1#381|2#2#2120</v>
      </c>
      <c r="CT7" s="8" t="str">
        <f>BJ23</f>
        <v>3#9#34|3#10#69|3#11#34|3#12#69|0#1#696|0#2#290|1#1#208|1#2#2900|2#1#417|2#2#2320</v>
      </c>
      <c r="CU7" s="8" t="str">
        <f>BJ24</f>
        <v>3#9#38|3#10#76|3#11#38|3#12#76|0#1#768|0#2#320|1#1#230|1#2#3200|2#1#460|2#2#2560</v>
      </c>
      <c r="CV7" s="8" t="str">
        <f>BJ25</f>
        <v>3#9#42|3#10#84|3#11#42|3#12#84|0#1#840|0#2#350|1#1#252|1#2#3500|2#1#504|2#2#2800</v>
      </c>
      <c r="CW7" s="8" t="str">
        <f>BJ26</f>
        <v>3#9#45|3#10#90|3#11#45|3#12#90|0#1#900|0#2#375|1#1#270|1#2#3750|2#1#540|2#2#3000</v>
      </c>
      <c r="CX7" s="8" t="str">
        <f>BJ27</f>
        <v>3#9#48|3#10#96|3#11#48|3#12#96|0#1#960|0#2#400|1#1#288|1#2#4000|2#1#576|2#2#3200</v>
      </c>
      <c r="CY7" s="8" t="str">
        <f>BJ28</f>
        <v>3#9#54|3#10#108|3#11#54|3#12#108|0#1#1080|0#2#450|1#1#324|1#2#4500|2#1#648|2#2#3600</v>
      </c>
      <c r="CZ7" s="8" t="str">
        <f>BJ29</f>
        <v>3#9#60|3#10#120|3#11#60|3#12#120|0#1#1200|0#2#500|1#1#360|1#2#5000|2#1#720|2#2#4000</v>
      </c>
    </row>
    <row r="8" spans="1:104" x14ac:dyDescent="0.3">
      <c r="A8" s="64" t="s">
        <v>163</v>
      </c>
      <c r="B8" s="64" t="s">
        <v>519</v>
      </c>
      <c r="C8" s="64" t="s">
        <v>85</v>
      </c>
      <c r="D8" s="64" t="s">
        <v>520</v>
      </c>
      <c r="E8" s="64" t="s">
        <v>535</v>
      </c>
      <c r="F8" s="29">
        <v>1</v>
      </c>
      <c r="G8" s="64">
        <v>35</v>
      </c>
      <c r="H8" s="29"/>
      <c r="I8" s="22" t="s">
        <v>536</v>
      </c>
      <c r="J8" s="22" t="s">
        <v>532</v>
      </c>
      <c r="K8" s="90">
        <v>6</v>
      </c>
      <c r="L8" s="91">
        <f>INT(12/150*L29)</f>
        <v>1200</v>
      </c>
      <c r="M8" s="91">
        <f t="shared" ref="M8:W8" si="43">INT(12/150*M29)</f>
        <v>4800</v>
      </c>
      <c r="N8" s="91">
        <f t="shared" si="43"/>
        <v>80</v>
      </c>
      <c r="O8" s="91">
        <f t="shared" si="43"/>
        <v>160</v>
      </c>
      <c r="P8" s="91">
        <f t="shared" si="43"/>
        <v>80</v>
      </c>
      <c r="Q8" s="91">
        <f t="shared" si="43"/>
        <v>160</v>
      </c>
      <c r="R8" s="91">
        <f t="shared" si="43"/>
        <v>80</v>
      </c>
      <c r="S8" s="91">
        <f t="shared" si="43"/>
        <v>160</v>
      </c>
      <c r="T8" s="91">
        <f t="shared" si="43"/>
        <v>60</v>
      </c>
      <c r="U8" s="91">
        <f t="shared" si="43"/>
        <v>120</v>
      </c>
      <c r="V8" s="91">
        <f t="shared" si="43"/>
        <v>60</v>
      </c>
      <c r="W8" s="91">
        <f t="shared" si="43"/>
        <v>120</v>
      </c>
      <c r="X8" s="91">
        <f>L8*属性价值参考!C$5+基本装备!M8*属性价值参考!C$6+基本装备!N8*属性价值参考!C$7+基本装备!O8*属性价值参考!C$8+基本装备!T8*属性价值参考!C$9+基本装备!U8*属性价值参考!C$10+基本装备!V8*属性价值参考!C$11+基本装备!W8*属性价值参考!C$12</f>
        <v>28123.200000000001</v>
      </c>
      <c r="Y8" s="91">
        <f>基本装备!AG8*属性价值参考!C$13+基本装备!AH8*属性价值参考!C$36+基本装备!AI8*属性价值参考!C$19+基本装备!AJ8*属性价值参考!C$15+基本装备!AK8*属性价值参考!C$27+基本装备!AP8*属性价值参考!C$20+基本装备!AQ8*属性价值参考!C$21+基本装备!AR8*属性价值参考!C$26+8*(基本装备!AW8*属性价值参考!C$26+基本装备!BB8*属性价值参考!C$27+基本装备!BC8*(属性价值参考!C$28+属性价值参考!C$29))</f>
        <v>16346.8</v>
      </c>
      <c r="Z8" s="9"/>
      <c r="AA8" s="81">
        <f t="shared" si="1"/>
        <v>1200</v>
      </c>
      <c r="AB8" s="81">
        <f t="shared" si="2"/>
        <v>4800</v>
      </c>
      <c r="AC8" s="81">
        <f t="shared" si="3"/>
        <v>160</v>
      </c>
      <c r="AD8" s="81">
        <f t="shared" si="4"/>
        <v>120</v>
      </c>
      <c r="AE8" s="9"/>
      <c r="AF8" s="82">
        <f t="shared" si="5"/>
        <v>40</v>
      </c>
      <c r="AG8" s="82">
        <f>ROUND(35/80*$AG$29,0)</f>
        <v>35</v>
      </c>
      <c r="AH8" s="82">
        <f>ROUND(1/7*$AH$29,0)</f>
        <v>1</v>
      </c>
      <c r="AI8" s="82">
        <v>2</v>
      </c>
      <c r="AJ8" s="82">
        <f>ROUND(1/10*$AJ$29,0)</f>
        <v>1</v>
      </c>
      <c r="AK8" s="82">
        <f>ROUND(6/52*$AK$29,0)</f>
        <v>6</v>
      </c>
      <c r="AL8" s="82">
        <f t="shared" si="6"/>
        <v>320</v>
      </c>
      <c r="AM8" s="82">
        <f t="shared" si="7"/>
        <v>1280</v>
      </c>
      <c r="AN8" s="82">
        <f t="shared" si="8"/>
        <v>12.8</v>
      </c>
      <c r="AO8" s="82">
        <f t="shared" si="9"/>
        <v>33.6</v>
      </c>
      <c r="AP8" s="82">
        <f t="shared" si="38"/>
        <v>1</v>
      </c>
      <c r="AQ8" s="82">
        <f t="shared" si="39"/>
        <v>1</v>
      </c>
      <c r="AR8" s="82">
        <f>ROUND(7/110*$AR$29,0)</f>
        <v>7</v>
      </c>
      <c r="AS8" s="82">
        <f t="shared" si="10"/>
        <v>112</v>
      </c>
      <c r="AT8" s="82">
        <f t="shared" si="11"/>
        <v>320</v>
      </c>
      <c r="AU8" s="82">
        <f t="shared" si="12"/>
        <v>11.200000000000001</v>
      </c>
      <c r="AV8" s="82">
        <f t="shared" si="13"/>
        <v>9.6</v>
      </c>
      <c r="AW8" s="82">
        <f>ROUND(6/44*$AW$29,0)</f>
        <v>6</v>
      </c>
      <c r="AX8" s="82">
        <f t="shared" si="14"/>
        <v>96</v>
      </c>
      <c r="AY8" s="82">
        <f t="shared" si="15"/>
        <v>400</v>
      </c>
      <c r="AZ8" s="82">
        <f t="shared" si="16"/>
        <v>12</v>
      </c>
      <c r="BA8" s="82">
        <f t="shared" si="17"/>
        <v>9.6</v>
      </c>
      <c r="BB8" s="89">
        <f>ROUND(2/16*$BB$29,0)</f>
        <v>2</v>
      </c>
      <c r="BC8" s="89">
        <f>ROUND(2/10*$BC$29,0)</f>
        <v>2</v>
      </c>
      <c r="BE8" s="83">
        <v>6</v>
      </c>
      <c r="BF8" s="83" t="str">
        <f t="shared" si="40"/>
        <v>3#3#20|3#4#40|3#5#20|3#6#40|3#7#20|3#8#40|3#13#35|3#20#1|3#25#2|3#21#1</v>
      </c>
      <c r="BG8" s="83" t="str">
        <f t="shared" si="19"/>
        <v>3#35#600</v>
      </c>
      <c r="BH8" s="83" t="str">
        <f t="shared" si="41"/>
        <v>3#9#16|3#10#33|3#11#16|3#12#33|3#3#6|3#4#12|3#5#6|3#6#12|3#7#6|3#8#12|0#1#320|0#2#128|1#1#96|1#2#1280|2#1#192|2#2#1024|3#26#1|3#27#1</v>
      </c>
      <c r="BI8" s="83" t="str">
        <f t="shared" si="20"/>
        <v>3#30#7|3#31#7</v>
      </c>
      <c r="BJ8" s="83" t="str">
        <f t="shared" si="21"/>
        <v>3#9#4|3#10#9|3#11#4|3#12#9|0#1#96|0#2#40|1#1#28|1#2#400|2#1#57|2#2#320</v>
      </c>
      <c r="BK8" s="83" t="str">
        <f t="shared" si="22"/>
        <v>3#35#200|3#36#200</v>
      </c>
      <c r="BL8" s="83" t="str">
        <f t="shared" si="23"/>
        <v>3#9#4|3#10#9|3#11#4|3#12#9|0#1#96|0#2#40|1#1#28|1#2#400|2#1#57|2#2#320</v>
      </c>
      <c r="BM8" s="83" t="str">
        <f t="shared" si="24"/>
        <v>3#35#200|3#36#200</v>
      </c>
      <c r="BN8" s="83" t="str">
        <f t="shared" si="25"/>
        <v>3#9#4|3#10#9|3#11#4|3#12#9|0#1#96|0#2#40|1#1#28|1#2#400|2#1#57|2#2#320</v>
      </c>
      <c r="BO8" s="83" t="str">
        <f t="shared" si="26"/>
        <v>3#35#200|3#37#200</v>
      </c>
      <c r="BP8" s="83" t="str">
        <f t="shared" si="27"/>
        <v>3#9#4|3#10#9|3#11#4|3#12#9|0#1#96|0#2#40|1#1#28|1#2#400|2#1#57|2#2#320</v>
      </c>
      <c r="BQ8" s="83" t="str">
        <f t="shared" si="28"/>
        <v>3#35#200|3#37#200</v>
      </c>
      <c r="BR8" s="83" t="str">
        <f t="shared" si="29"/>
        <v>3#9#4|3#10#9|3#11#4|3#12#9|0#1#96|0#2#40|1#1#28|1#2#400|2#1#57|2#2#320</v>
      </c>
      <c r="BS8" s="83" t="str">
        <f t="shared" si="30"/>
        <v>3#35#200|3#36#200</v>
      </c>
      <c r="BT8" s="83" t="str">
        <f t="shared" si="31"/>
        <v>3#9#4|3#10#9|3#11#4|3#12#9|0#1#96|0#2#40|1#1#28|1#2#400|2#1#57|2#2#320</v>
      </c>
      <c r="BU8" s="83" t="str">
        <f t="shared" si="32"/>
        <v>3#35#200|3#36#200</v>
      </c>
      <c r="BV8" s="83" t="str">
        <f t="shared" si="33"/>
        <v>3#9#4|3#10#9|3#11#4|3#12#9|3#3#5|3#4#11|3#5#5|3#6#11|3#7#5|3#8#11|0#1#112|0#2#32|1#1#33|1#2#320|2#1#67|2#2#256</v>
      </c>
      <c r="BW8" s="83" t="str">
        <f t="shared" si="34"/>
        <v>3#30#6|3#31#6</v>
      </c>
      <c r="BY8" s="8" t="s">
        <v>1907</v>
      </c>
      <c r="BZ8" s="8" t="str">
        <f>BL3</f>
        <v>3#9#1|3#10#2|3#11#1|3#12#2|0#1#24|0#2#10|1#1#7|1#2#100|2#1#14|2#2#80</v>
      </c>
      <c r="CA8" s="8" t="str">
        <f>BL4</f>
        <v>3#9#1|3#10#3|3#11#1|3#12#3|0#1#36|0#2#15|1#1#10|1#2#150|2#1#21|2#2#120</v>
      </c>
      <c r="CB8" s="8" t="str">
        <f>BL5</f>
        <v>3#9#2|3#10#4|3#11#2|3#12#4|0#1#48|0#2#20|1#1#14|1#2#200|2#1#28|2#2#160</v>
      </c>
      <c r="CC8" s="8" t="str">
        <f>BL6</f>
        <v>3#9#3|3#10#6|3#11#3|3#12#6|0#1#60|0#2#25|1#1#18|1#2#250|2#1#36|2#2#200</v>
      </c>
      <c r="CD8" s="8" t="str">
        <f>BL7</f>
        <v>3#9#3|3#10#7|3#11#3|3#12#7|0#1#78|0#2#32|1#1#23|1#2#325|2#1#46|2#2#260</v>
      </c>
      <c r="CE8" s="8" t="str">
        <f>BL8</f>
        <v>3#9#4|3#10#9|3#11#4|3#12#9|0#1#96|0#2#40|1#1#28|1#2#400|2#1#57|2#2#320</v>
      </c>
      <c r="CF8" s="8" t="str">
        <f>BL9</f>
        <v>3#9#5|3#10#11|3#11#5|3#12#11|0#1#114|0#2#47|1#1#34|1#2#475|2#1#68|2#2#380</v>
      </c>
      <c r="CG8" s="8" t="str">
        <f>BL10</f>
        <v>3#9#6|3#10#13|3#11#6|3#12#13|0#1#132|0#2#55|1#1#39|1#2#550|2#1#79|2#2#440</v>
      </c>
      <c r="CH8" s="8" t="str">
        <f>BL11</f>
        <v>3#9#8|3#10#16|3#11#8|3#12#16|0#1#168|0#2#70|1#1#50|1#2#700|2#1#100|2#2#560</v>
      </c>
      <c r="CI8" s="8" t="str">
        <f>BL12</f>
        <v>3#9#10|3#10#21|3#11#10|3#12#21|0#1#216|0#2#90|1#1#64|1#2#900|2#1#129|2#2#720</v>
      </c>
      <c r="CJ8" s="8" t="str">
        <f>BL13</f>
        <v>3#9#13|3#10#26|3#11#13|3#12#26|0#1#264|0#2#110|1#1#79|1#2#1100|2#1#158|2#2#880</v>
      </c>
      <c r="CK8" s="8" t="str">
        <f>BL14</f>
        <v>3#9#15|3#10#30|3#11#15|3#12#30|0#1#306|0#2#127|1#1#91|1#2#1275|2#1#183|2#2#1020</v>
      </c>
      <c r="CL8" s="8" t="str">
        <f>BL15</f>
        <v>3#9#17|3#10#34|3#11#17|3#12#34|0#1#348|0#2#145|1#1#104|1#2#1450|2#1#208|2#2#1160</v>
      </c>
      <c r="CM8" s="8" t="str">
        <f>BL16</f>
        <v>3#9#19|3#10#38|3#11#19|3#12#38|0#1#384|0#2#160|1#1#115|1#2#1600|2#1#230|2#2#1280</v>
      </c>
      <c r="CN8" s="8" t="str">
        <f>BL17</f>
        <v>3#9#21|3#10#42|3#11#21|3#12#42|0#1#420|0#2#175|1#1#126|1#2#1750|2#1#252|2#2#1400</v>
      </c>
      <c r="CO8" s="8" t="str">
        <f>BL18</f>
        <v>3#9#22|3#10#44|3#11#22|3#12#44|0#1#450|0#2#187|1#1#135|1#2#1875|2#1#270|2#2#1500</v>
      </c>
      <c r="CP8" s="8" t="str">
        <f>BL19</f>
        <v>3#9#24|3#10#48|3#11#24|3#12#48|0#1#480|0#2#200|1#1#144|1#2#2000|2#1#288|2#2#1600</v>
      </c>
      <c r="CQ8" s="8" t="str">
        <f>BL20</f>
        <v>3#9#26|3#10#52|3#11#26|3#12#52|0#1#528|0#2#220|1#1#158|1#2#2200|2#1#316|2#2#1760</v>
      </c>
      <c r="CR8" s="8" t="str">
        <f>BL21</f>
        <v>3#9#28|3#10#57|3#11#28|3#12#57|0#1#576|0#2#240|1#1#172|1#2#2400|2#1#345|2#2#1920</v>
      </c>
      <c r="CS8" s="8" t="str">
        <f>BL22</f>
        <v>3#9#31|3#10#63|3#11#31|3#12#63|0#1#636|0#2#265|1#1#190|1#2#2650|2#1#381|2#2#2120</v>
      </c>
      <c r="CT8" s="8" t="str">
        <f>BL23</f>
        <v>3#9#34|3#10#69|3#11#34|3#12#69|0#1#696|0#2#290|1#1#208|1#2#2900|2#1#417|2#2#2320</v>
      </c>
      <c r="CU8" s="8" t="str">
        <f>BL24</f>
        <v>3#9#38|3#10#76|3#11#38|3#12#76|0#1#768|0#2#320|1#1#230|1#2#3200|2#1#460|2#2#2560</v>
      </c>
      <c r="CV8" s="8" t="str">
        <f>BL25</f>
        <v>3#9#42|3#10#84|3#11#42|3#12#84|0#1#840|0#2#350|1#1#252|1#2#3500|2#1#504|2#2#2800</v>
      </c>
      <c r="CW8" s="8" t="str">
        <f>BL26</f>
        <v>3#9#45|3#10#90|3#11#45|3#12#90|0#1#900|0#2#375|1#1#270|1#2#3750|2#1#540|2#2#3000</v>
      </c>
      <c r="CX8" s="8" t="str">
        <f>BL27</f>
        <v>3#9#48|3#10#96|3#11#48|3#12#96|0#1#960|0#2#400|1#1#288|1#2#4000|2#1#576|2#2#3200</v>
      </c>
      <c r="CY8" s="8" t="str">
        <f>BL28</f>
        <v>3#9#54|3#10#108|3#11#54|3#12#108|0#1#1080|0#2#450|1#1#324|1#2#4500|2#1#648|2#2#3600</v>
      </c>
      <c r="CZ8" s="8" t="str">
        <f>BL29</f>
        <v>3#9#60|3#10#120|3#11#60|3#12#120|0#1#1200|0#2#500|1#1#360|1#2#5000|2#1#720|2#2#4000</v>
      </c>
    </row>
    <row r="9" spans="1:104" x14ac:dyDescent="0.3">
      <c r="A9" s="22" t="s">
        <v>163</v>
      </c>
      <c r="B9" s="22" t="s">
        <v>742</v>
      </c>
      <c r="C9" s="22" t="s">
        <v>202</v>
      </c>
      <c r="D9" s="23"/>
      <c r="E9" s="23" t="s">
        <v>759</v>
      </c>
      <c r="F9" s="29">
        <v>1</v>
      </c>
      <c r="G9" s="69">
        <v>35</v>
      </c>
      <c r="H9" s="64"/>
      <c r="I9" s="22" t="s">
        <v>760</v>
      </c>
      <c r="J9" s="22" t="s">
        <v>761</v>
      </c>
      <c r="K9" s="90">
        <v>7</v>
      </c>
      <c r="L9" s="91">
        <f>INT(14.25/150*L29)</f>
        <v>1425</v>
      </c>
      <c r="M9" s="91">
        <f t="shared" ref="M9:W9" si="44">INT(14.25/150*M29)</f>
        <v>5700</v>
      </c>
      <c r="N9" s="91">
        <f t="shared" si="44"/>
        <v>95</v>
      </c>
      <c r="O9" s="91">
        <f t="shared" si="44"/>
        <v>190</v>
      </c>
      <c r="P9" s="91">
        <f t="shared" si="44"/>
        <v>95</v>
      </c>
      <c r="Q9" s="91">
        <f t="shared" si="44"/>
        <v>190</v>
      </c>
      <c r="R9" s="91">
        <f t="shared" si="44"/>
        <v>95</v>
      </c>
      <c r="S9" s="91">
        <f t="shared" si="44"/>
        <v>190</v>
      </c>
      <c r="T9" s="91">
        <f t="shared" si="44"/>
        <v>71</v>
      </c>
      <c r="U9" s="91">
        <f t="shared" si="44"/>
        <v>142</v>
      </c>
      <c r="V9" s="91">
        <f t="shared" si="44"/>
        <v>71</v>
      </c>
      <c r="W9" s="91">
        <f t="shared" si="44"/>
        <v>142</v>
      </c>
      <c r="X9" s="91">
        <f>L9*属性价值参考!C$5+基本装备!M9*属性价值参考!C$6+基本装备!N9*属性价值参考!C$7+基本装备!O9*属性价值参考!C$8+基本装备!T9*属性价值参考!C$9+基本装备!U9*属性价值参考!C$10+基本装备!V9*属性价值参考!C$11+基本装备!W9*属性价值参考!C$12</f>
        <v>33369</v>
      </c>
      <c r="Y9" s="91">
        <f>基本装备!AG9*属性价值参考!C$13+基本装备!AH9*属性价值参考!C$36+基本装备!AI9*属性价值参考!C$19+基本装备!AJ9*属性价值参考!C$15+基本装备!AK9*属性价值参考!C$27+基本装备!AP9*属性价值参考!C$20+基本装备!AQ9*属性价值参考!C$21+基本装备!AR9*属性价值参考!C$26+8*(基本装备!AW9*属性价值参考!C$26+基本装备!BB9*属性价值参考!C$27+基本装备!BC9*(属性价值参考!C$28+属性价值参考!C$29))</f>
        <v>21466</v>
      </c>
      <c r="Z9" s="9"/>
      <c r="AA9" s="81">
        <f t="shared" si="1"/>
        <v>1425</v>
      </c>
      <c r="AB9" s="81">
        <f t="shared" si="2"/>
        <v>5700</v>
      </c>
      <c r="AC9" s="81">
        <f t="shared" si="3"/>
        <v>190</v>
      </c>
      <c r="AD9" s="81">
        <f t="shared" si="4"/>
        <v>142</v>
      </c>
      <c r="AE9" s="9"/>
      <c r="AF9" s="82">
        <f t="shared" si="5"/>
        <v>47.5</v>
      </c>
      <c r="AG9" s="82">
        <f>ROUND(35/80*$AG$29,0)</f>
        <v>35</v>
      </c>
      <c r="AH9" s="82">
        <f>ROUND(2/7*$AH$29,0)</f>
        <v>2</v>
      </c>
      <c r="AI9" s="82">
        <v>2</v>
      </c>
      <c r="AJ9" s="82">
        <f>ROUND(1/10*$AJ$29,0)</f>
        <v>1</v>
      </c>
      <c r="AK9" s="82">
        <f>ROUND(8/52*$AK$29,0)</f>
        <v>8</v>
      </c>
      <c r="AL9" s="82">
        <f t="shared" si="6"/>
        <v>380</v>
      </c>
      <c r="AM9" s="82">
        <f t="shared" si="7"/>
        <v>1520</v>
      </c>
      <c r="AN9" s="82">
        <f t="shared" si="8"/>
        <v>15.200000000000001</v>
      </c>
      <c r="AO9" s="82">
        <f t="shared" si="9"/>
        <v>39.760000000000005</v>
      </c>
      <c r="AP9" s="82">
        <f>ROUND(1/6*$AP$29,0)</f>
        <v>1</v>
      </c>
      <c r="AQ9" s="82">
        <f>ROUND(1/6*$AQ$29,0)</f>
        <v>1</v>
      </c>
      <c r="AR9" s="82">
        <f>ROUND(10/110*$AR$29,0)</f>
        <v>10</v>
      </c>
      <c r="AS9" s="82">
        <f t="shared" si="10"/>
        <v>133</v>
      </c>
      <c r="AT9" s="82">
        <f t="shared" si="11"/>
        <v>380</v>
      </c>
      <c r="AU9" s="82">
        <f t="shared" si="12"/>
        <v>13.3</v>
      </c>
      <c r="AV9" s="82">
        <f t="shared" si="13"/>
        <v>11.36</v>
      </c>
      <c r="AW9" s="82">
        <f>ROUND(7/44*$AW$29,0)</f>
        <v>7</v>
      </c>
      <c r="AX9" s="82">
        <f t="shared" si="14"/>
        <v>114</v>
      </c>
      <c r="AY9" s="82">
        <f t="shared" si="15"/>
        <v>475</v>
      </c>
      <c r="AZ9" s="82">
        <f t="shared" si="16"/>
        <v>14.25</v>
      </c>
      <c r="BA9" s="82">
        <f t="shared" si="17"/>
        <v>11.36</v>
      </c>
      <c r="BB9" s="89">
        <f>ROUND(2/16*$BB$29,0)</f>
        <v>2</v>
      </c>
      <c r="BC9" s="89">
        <f>ROUND(3/10*$BC$29,0)</f>
        <v>3</v>
      </c>
      <c r="BE9" s="83">
        <v>7</v>
      </c>
      <c r="BF9" s="83" t="str">
        <f t="shared" si="40"/>
        <v>3#3#23|3#4#47|3#5#23|3#6#47|3#7#23|3#8#47|3#13#35|3#20#2|3#25#2|3#21#1</v>
      </c>
      <c r="BG9" s="83" t="str">
        <f t="shared" si="19"/>
        <v>3#35#800</v>
      </c>
      <c r="BH9" s="83" t="str">
        <f t="shared" si="41"/>
        <v>3#9#19|3#10#39|3#11#19|3#12#39|3#3#7|3#4#15|3#5#7|3#6#15|3#7#7|3#8#15|0#1#380|0#2#152|1#1#114|1#2#1520|2#1#228|2#2#1216|3#26#1|3#27#1</v>
      </c>
      <c r="BI9" s="83" t="str">
        <f t="shared" si="20"/>
        <v>3#30#10|3#31#10</v>
      </c>
      <c r="BJ9" s="83" t="str">
        <f t="shared" si="21"/>
        <v>3#9#5|3#10#11|3#11#5|3#12#11|0#1#114|0#2#47|1#1#34|1#2#475|2#1#68|2#2#380</v>
      </c>
      <c r="BK9" s="83" t="str">
        <f t="shared" si="22"/>
        <v>3#35#200|3#36#300</v>
      </c>
      <c r="BL9" s="83" t="str">
        <f t="shared" si="23"/>
        <v>3#9#5|3#10#11|3#11#5|3#12#11|0#1#114|0#2#47|1#1#34|1#2#475|2#1#68|2#2#380</v>
      </c>
      <c r="BM9" s="83" t="str">
        <f t="shared" si="24"/>
        <v>3#35#200|3#36#300</v>
      </c>
      <c r="BN9" s="83" t="str">
        <f t="shared" si="25"/>
        <v>3#9#5|3#10#11|3#11#5|3#12#11|0#1#114|0#2#47|1#1#34|1#2#475|2#1#68|2#2#380</v>
      </c>
      <c r="BO9" s="83" t="str">
        <f t="shared" si="26"/>
        <v>3#35#200|3#37#300</v>
      </c>
      <c r="BP9" s="83" t="str">
        <f t="shared" si="27"/>
        <v>3#9#5|3#10#11|3#11#5|3#12#11|0#1#114|0#2#47|1#1#34|1#2#475|2#1#68|2#2#380</v>
      </c>
      <c r="BQ9" s="83" t="str">
        <f t="shared" si="28"/>
        <v>3#35#200|3#37#300</v>
      </c>
      <c r="BR9" s="83" t="str">
        <f t="shared" si="29"/>
        <v>3#9#5|3#10#11|3#11#5|3#12#11|0#1#114|0#2#47|1#1#34|1#2#475|2#1#68|2#2#380</v>
      </c>
      <c r="BS9" s="83" t="str">
        <f t="shared" si="30"/>
        <v>3#35#200|3#36#300</v>
      </c>
      <c r="BT9" s="83" t="str">
        <f t="shared" si="31"/>
        <v>3#9#5|3#10#11|3#11#5|3#12#11|0#1#114|0#2#47|1#1#34|1#2#475|2#1#68|2#2#380</v>
      </c>
      <c r="BU9" s="83" t="str">
        <f t="shared" si="32"/>
        <v>3#35#200|3#36#300</v>
      </c>
      <c r="BV9" s="83" t="str">
        <f t="shared" si="33"/>
        <v>3#9#5|3#10#11|3#11#5|3#12#11|3#3#6|3#4#13|3#5#6|3#6#13|3#7#6|3#8#13|0#1#133|0#2#38|1#1#39|1#2#380|2#1#79|2#2#304</v>
      </c>
      <c r="BW9" s="83" t="str">
        <f t="shared" si="34"/>
        <v>3#30#7|3#31#7</v>
      </c>
      <c r="BY9" s="8" t="s">
        <v>1908</v>
      </c>
      <c r="BZ9" s="8" t="str">
        <f>BN3</f>
        <v>3#9#1|3#10#2|3#11#1|3#12#2|0#1#24|0#2#10|1#1#7|1#2#100|2#1#14|2#2#80</v>
      </c>
      <c r="CA9" s="8" t="str">
        <f>BN4</f>
        <v>3#9#1|3#10#3|3#11#1|3#12#3|0#1#36|0#2#15|1#1#10|1#2#150|2#1#21|2#2#120</v>
      </c>
      <c r="CB9" s="8" t="str">
        <f>BN5</f>
        <v>3#9#2|3#10#4|3#11#2|3#12#4|0#1#48|0#2#20|1#1#14|1#2#200|2#1#28|2#2#160</v>
      </c>
      <c r="CC9" s="8" t="str">
        <f>BN6</f>
        <v>3#9#3|3#10#6|3#11#3|3#12#6|0#1#60|0#2#25|1#1#18|1#2#250|2#1#36|2#2#200</v>
      </c>
      <c r="CD9" s="8" t="str">
        <f>BN7</f>
        <v>3#9#3|3#10#7|3#11#3|3#12#7|0#1#78|0#2#32|1#1#23|1#2#325|2#1#46|2#2#260</v>
      </c>
      <c r="CE9" s="8" t="str">
        <f>BN8</f>
        <v>3#9#4|3#10#9|3#11#4|3#12#9|0#1#96|0#2#40|1#1#28|1#2#400|2#1#57|2#2#320</v>
      </c>
      <c r="CF9" s="8" t="str">
        <f>BN9</f>
        <v>3#9#5|3#10#11|3#11#5|3#12#11|0#1#114|0#2#47|1#1#34|1#2#475|2#1#68|2#2#380</v>
      </c>
      <c r="CG9" s="8" t="str">
        <f>BN10</f>
        <v>3#9#6|3#10#13|3#11#6|3#12#13|0#1#132|0#2#55|1#1#39|1#2#550|2#1#79|2#2#440</v>
      </c>
      <c r="CH9" s="8" t="str">
        <f>BN11</f>
        <v>3#9#8|3#10#16|3#11#8|3#12#16|0#1#168|0#2#70|1#1#50|1#2#700|2#1#100|2#2#560</v>
      </c>
      <c r="CI9" s="8" t="str">
        <f>BN12</f>
        <v>3#9#10|3#10#21|3#11#10|3#12#21|0#1#216|0#2#90|1#1#64|1#2#900|2#1#129|2#2#720</v>
      </c>
      <c r="CJ9" s="8" t="str">
        <f>BN13</f>
        <v>3#9#13|3#10#26|3#11#13|3#12#26|0#1#264|0#2#110|1#1#79|1#2#1100|2#1#158|2#2#880</v>
      </c>
      <c r="CK9" s="8" t="str">
        <f>BN14</f>
        <v>3#9#15|3#10#30|3#11#15|3#12#30|0#1#306|0#2#127|1#1#91|1#2#1275|2#1#183|2#2#1020</v>
      </c>
      <c r="CL9" s="8" t="str">
        <f>BN15</f>
        <v>3#9#17|3#10#34|3#11#17|3#12#34|0#1#348|0#2#145|1#1#104|1#2#1450|2#1#208|2#2#1160</v>
      </c>
      <c r="CM9" s="8" t="str">
        <f>BN16</f>
        <v>3#9#19|3#10#38|3#11#19|3#12#38|0#1#384|0#2#160|1#1#115|1#2#1600|2#1#230|2#2#1280</v>
      </c>
      <c r="CN9" s="8" t="str">
        <f>BN17</f>
        <v>3#9#21|3#10#42|3#11#21|3#12#42|0#1#420|0#2#175|1#1#126|1#2#1750|2#1#252|2#2#1400</v>
      </c>
      <c r="CO9" s="8" t="str">
        <f>BN18</f>
        <v>3#9#22|3#10#44|3#11#22|3#12#44|0#1#450|0#2#187|1#1#135|1#2#1875|2#1#270|2#2#1500</v>
      </c>
      <c r="CP9" s="8" t="str">
        <f>BN19</f>
        <v>3#9#24|3#10#48|3#11#24|3#12#48|0#1#480|0#2#200|1#1#144|1#2#2000|2#1#288|2#2#1600</v>
      </c>
      <c r="CQ9" s="8" t="str">
        <f>BN20</f>
        <v>3#9#26|3#10#52|3#11#26|3#12#52|0#1#528|0#2#220|1#1#158|1#2#2200|2#1#316|2#2#1760</v>
      </c>
      <c r="CR9" s="8" t="str">
        <f>BN21</f>
        <v>3#9#28|3#10#57|3#11#28|3#12#57|0#1#576|0#2#240|1#1#172|1#2#2400|2#1#345|2#2#1920</v>
      </c>
      <c r="CS9" s="8" t="str">
        <f>BN22</f>
        <v>3#9#31|3#10#63|3#11#31|3#12#63|0#1#636|0#2#265|1#1#190|1#2#2650|2#1#381|2#2#2120</v>
      </c>
      <c r="CT9" s="8" t="str">
        <f>BN23</f>
        <v>3#9#34|3#10#69|3#11#34|3#12#69|0#1#696|0#2#290|1#1#208|1#2#2900|2#1#417|2#2#2320</v>
      </c>
      <c r="CU9" s="8" t="str">
        <f>BN24</f>
        <v>3#9#38|3#10#76|3#11#38|3#12#76|0#1#768|0#2#320|1#1#230|1#2#3200|2#1#460|2#2#2560</v>
      </c>
      <c r="CV9" s="8" t="str">
        <f>BN25</f>
        <v>3#9#42|3#10#84|3#11#42|3#12#84|0#1#840|0#2#350|1#1#252|1#2#3500|2#1#504|2#2#2800</v>
      </c>
      <c r="CW9" s="8" t="str">
        <f>BN26</f>
        <v>3#9#45|3#10#90|3#11#45|3#12#90|0#1#900|0#2#375|1#1#270|1#2#3750|2#1#540|2#2#3000</v>
      </c>
      <c r="CX9" s="8" t="str">
        <f>BN27</f>
        <v>3#9#48|3#10#96|3#11#48|3#12#96|0#1#960|0#2#400|1#1#288|1#2#4000|2#1#576|2#2#3200</v>
      </c>
      <c r="CY9" s="8" t="str">
        <f>BN28</f>
        <v>3#9#54|3#10#108|3#11#54|3#12#108|0#1#1080|0#2#450|1#1#324|1#2#4500|2#1#648|2#2#3600</v>
      </c>
      <c r="CZ9" s="8" t="str">
        <f>BN29</f>
        <v>3#9#60|3#10#120|3#11#60|3#12#120|0#1#1200|0#2#500|1#1#360|1#2#5000|2#1#720|2#2#4000</v>
      </c>
    </row>
    <row r="10" spans="1:104" x14ac:dyDescent="0.3">
      <c r="A10" s="22" t="s">
        <v>163</v>
      </c>
      <c r="B10" s="22" t="s">
        <v>742</v>
      </c>
      <c r="C10" s="22" t="s">
        <v>210</v>
      </c>
      <c r="D10" s="23"/>
      <c r="E10" s="23" t="s">
        <v>762</v>
      </c>
      <c r="F10" s="29">
        <v>1</v>
      </c>
      <c r="G10" s="69">
        <v>35</v>
      </c>
      <c r="H10" s="64"/>
      <c r="I10" s="22" t="s">
        <v>763</v>
      </c>
      <c r="J10" s="22" t="s">
        <v>761</v>
      </c>
      <c r="K10" s="90">
        <v>8</v>
      </c>
      <c r="L10" s="91">
        <f>INT(16.5/150*L29)</f>
        <v>1650</v>
      </c>
      <c r="M10" s="91">
        <f t="shared" ref="M10:W10" si="45">INT(16.5/150*M29)</f>
        <v>6600</v>
      </c>
      <c r="N10" s="91">
        <f t="shared" si="45"/>
        <v>110</v>
      </c>
      <c r="O10" s="91">
        <f t="shared" si="45"/>
        <v>220</v>
      </c>
      <c r="P10" s="91">
        <f t="shared" si="45"/>
        <v>110</v>
      </c>
      <c r="Q10" s="91">
        <f t="shared" si="45"/>
        <v>220</v>
      </c>
      <c r="R10" s="91">
        <f t="shared" si="45"/>
        <v>110</v>
      </c>
      <c r="S10" s="91">
        <f t="shared" si="45"/>
        <v>220</v>
      </c>
      <c r="T10" s="91">
        <f t="shared" si="45"/>
        <v>82</v>
      </c>
      <c r="U10" s="91">
        <f t="shared" si="45"/>
        <v>165</v>
      </c>
      <c r="V10" s="91">
        <f t="shared" si="45"/>
        <v>82</v>
      </c>
      <c r="W10" s="91">
        <f t="shared" si="45"/>
        <v>165</v>
      </c>
      <c r="X10" s="91">
        <f>L10*属性价值参考!C$5+基本装备!M10*属性价值参考!C$6+基本装备!N10*属性价值参考!C$7+基本装备!O10*属性价值参考!C$8+基本装备!T10*属性价值参考!C$9+基本装备!U10*属性价值参考!C$10+基本装备!V10*属性价值参考!C$11+基本装备!W10*属性价值参考!C$12</f>
        <v>38655.600000000006</v>
      </c>
      <c r="Y10" s="91">
        <f>基本装备!AG10*属性价值参考!C$13+基本装备!AH10*属性价值参考!C$36+基本装备!AI10*属性价值参考!C$19+基本装备!AJ10*属性价值参考!C$15+基本装备!AK10*属性价值参考!C$27+基本装备!AP10*属性价值参考!C$20+基本装备!AQ10*属性价值参考!C$21+基本装备!AR10*属性价值参考!C$26+8*(基本装备!AW10*属性价值参考!C$26+基本装备!BB10*属性价值参考!C$27+基本装备!BC10*(属性价值参考!C$28+属性价值参考!C$29))</f>
        <v>25808</v>
      </c>
      <c r="Z10" s="9"/>
      <c r="AA10" s="81">
        <f t="shared" si="1"/>
        <v>1650</v>
      </c>
      <c r="AB10" s="81">
        <f t="shared" si="2"/>
        <v>6600</v>
      </c>
      <c r="AC10" s="81">
        <f t="shared" si="3"/>
        <v>220</v>
      </c>
      <c r="AD10" s="81">
        <f t="shared" si="4"/>
        <v>165</v>
      </c>
      <c r="AE10" s="9"/>
      <c r="AF10" s="82">
        <f t="shared" si="5"/>
        <v>55</v>
      </c>
      <c r="AG10" s="82">
        <f>ROUND(40/80*$AG$29,0)</f>
        <v>40</v>
      </c>
      <c r="AH10" s="82">
        <f>ROUND(2/7*$AH$29,0)</f>
        <v>2</v>
      </c>
      <c r="AI10" s="82">
        <v>3</v>
      </c>
      <c r="AJ10" s="82">
        <f>ROUND(2/10*$AJ$29,0)</f>
        <v>2</v>
      </c>
      <c r="AK10" s="82">
        <f>ROUND(10/52*$AK$29,0)</f>
        <v>10</v>
      </c>
      <c r="AL10" s="82">
        <f t="shared" si="6"/>
        <v>440</v>
      </c>
      <c r="AM10" s="82">
        <f t="shared" si="7"/>
        <v>1760</v>
      </c>
      <c r="AN10" s="82">
        <f t="shared" si="8"/>
        <v>17.600000000000001</v>
      </c>
      <c r="AO10" s="82">
        <f t="shared" si="9"/>
        <v>46.2</v>
      </c>
      <c r="AP10" s="82">
        <f t="shared" ref="AP10:AP12" si="46">ROUND(2/6*$AP$29,0)</f>
        <v>2</v>
      </c>
      <c r="AQ10" s="82">
        <f t="shared" ref="AQ10:AQ12" si="47">ROUND(2/6*$AQ$29,0)</f>
        <v>2</v>
      </c>
      <c r="AR10" s="82">
        <f>ROUND(13/110*$AR$29,0)</f>
        <v>13</v>
      </c>
      <c r="AS10" s="82">
        <f t="shared" si="10"/>
        <v>154</v>
      </c>
      <c r="AT10" s="82">
        <f t="shared" si="11"/>
        <v>440</v>
      </c>
      <c r="AU10" s="82">
        <f t="shared" si="12"/>
        <v>15.400000000000002</v>
      </c>
      <c r="AV10" s="82">
        <f t="shared" si="13"/>
        <v>13.200000000000001</v>
      </c>
      <c r="AW10" s="82">
        <f>ROUND(8/44*$AW$29,0)</f>
        <v>8</v>
      </c>
      <c r="AX10" s="82">
        <f t="shared" si="14"/>
        <v>132</v>
      </c>
      <c r="AY10" s="82">
        <f t="shared" si="15"/>
        <v>550</v>
      </c>
      <c r="AZ10" s="82">
        <f t="shared" si="16"/>
        <v>16.5</v>
      </c>
      <c r="BA10" s="82">
        <f t="shared" si="17"/>
        <v>13.200000000000001</v>
      </c>
      <c r="BB10" s="89">
        <f>ROUND(3/16*$BB$29,0)</f>
        <v>3</v>
      </c>
      <c r="BC10" s="89">
        <f>ROUND(3/10*$BC$29,0)</f>
        <v>3</v>
      </c>
      <c r="BE10" s="83">
        <v>8</v>
      </c>
      <c r="BF10" s="83" t="str">
        <f t="shared" si="40"/>
        <v>3#3#27|3#4#55|3#5#27|3#6#55|3#7#27|3#8#55|3#13#40|3#20#2|3#25#3|3#21#2</v>
      </c>
      <c r="BG10" s="83" t="str">
        <f t="shared" si="19"/>
        <v>3#35#1000</v>
      </c>
      <c r="BH10" s="83" t="str">
        <f t="shared" si="41"/>
        <v>3#9#23|3#10#46|3#11#23|3#12#46|3#3#8|3#4#17|3#5#8|3#6#17|3#7#8|3#8#17|0#1#440|0#2#176|1#1#132|1#2#1760|2#1#264|2#2#1408|3#26#2|3#27#2</v>
      </c>
      <c r="BI10" s="83" t="str">
        <f t="shared" si="20"/>
        <v>3#30#13|3#31#13</v>
      </c>
      <c r="BJ10" s="83" t="str">
        <f t="shared" si="21"/>
        <v>3#9#6|3#10#13|3#11#6|3#12#13|0#1#132|0#2#55|1#1#39|1#2#550|2#1#79|2#2#440</v>
      </c>
      <c r="BK10" s="83" t="str">
        <f t="shared" si="22"/>
        <v>3#35#300|3#36#300</v>
      </c>
      <c r="BL10" s="83" t="str">
        <f t="shared" si="23"/>
        <v>3#9#6|3#10#13|3#11#6|3#12#13|0#1#132|0#2#55|1#1#39|1#2#550|2#1#79|2#2#440</v>
      </c>
      <c r="BM10" s="83" t="str">
        <f t="shared" si="24"/>
        <v>3#35#300|3#36#300</v>
      </c>
      <c r="BN10" s="83" t="str">
        <f t="shared" si="25"/>
        <v>3#9#6|3#10#13|3#11#6|3#12#13|0#1#132|0#2#55|1#1#39|1#2#550|2#1#79|2#2#440</v>
      </c>
      <c r="BO10" s="83" t="str">
        <f t="shared" si="26"/>
        <v>3#35#300|3#37#300</v>
      </c>
      <c r="BP10" s="83" t="str">
        <f t="shared" si="27"/>
        <v>3#9#6|3#10#13|3#11#6|3#12#13|0#1#132|0#2#55|1#1#39|1#2#550|2#1#79|2#2#440</v>
      </c>
      <c r="BQ10" s="83" t="str">
        <f t="shared" si="28"/>
        <v>3#35#300|3#37#300</v>
      </c>
      <c r="BR10" s="83" t="str">
        <f t="shared" si="29"/>
        <v>3#9#6|3#10#13|3#11#6|3#12#13|0#1#132|0#2#55|1#1#39|1#2#550|2#1#79|2#2#440</v>
      </c>
      <c r="BS10" s="83" t="str">
        <f t="shared" si="30"/>
        <v>3#35#300|3#36#300</v>
      </c>
      <c r="BT10" s="83" t="str">
        <f t="shared" si="31"/>
        <v>3#9#6|3#10#13|3#11#6|3#12#13|0#1#132|0#2#55|1#1#39|1#2#550|2#1#79|2#2#440</v>
      </c>
      <c r="BU10" s="83" t="str">
        <f t="shared" si="32"/>
        <v>3#35#300|3#36#300</v>
      </c>
      <c r="BV10" s="83" t="str">
        <f t="shared" si="33"/>
        <v>3#9#6|3#10#13|3#11#6|3#12#13|3#3#7|3#4#15|3#5#7|3#6#15|3#7#7|3#8#15|0#1#154|0#2#44|1#1#46|1#2#440|2#1#92|2#2#352</v>
      </c>
      <c r="BW10" s="83" t="str">
        <f t="shared" si="34"/>
        <v>3#30#8|3#31#8</v>
      </c>
      <c r="BY10" s="8" t="s">
        <v>1909</v>
      </c>
      <c r="BZ10" s="8" t="str">
        <f>BP3</f>
        <v>3#9#1|3#10#2|3#11#1|3#12#2|0#1#24|0#2#10|1#1#7|1#2#100|2#1#14|2#2#80</v>
      </c>
      <c r="CA10" s="8" t="str">
        <f>BP4</f>
        <v>3#9#1|3#10#3|3#11#1|3#12#3|0#1#36|0#2#15|1#1#10|1#2#150|2#1#21|2#2#120</v>
      </c>
      <c r="CB10" s="8" t="str">
        <f>BP5</f>
        <v>3#9#2|3#10#4|3#11#2|3#12#4|0#1#48|0#2#20|1#1#14|1#2#200|2#1#28|2#2#160</v>
      </c>
      <c r="CC10" s="8" t="str">
        <f>BP6</f>
        <v>3#9#3|3#10#6|3#11#3|3#12#6|0#1#60|0#2#25|1#1#18|1#2#250|2#1#36|2#2#200</v>
      </c>
      <c r="CD10" s="8" t="str">
        <f>BP7</f>
        <v>3#9#3|3#10#7|3#11#3|3#12#7|0#1#78|0#2#32|1#1#23|1#2#325|2#1#46|2#2#260</v>
      </c>
      <c r="CE10" s="8" t="str">
        <f>BP8</f>
        <v>3#9#4|3#10#9|3#11#4|3#12#9|0#1#96|0#2#40|1#1#28|1#2#400|2#1#57|2#2#320</v>
      </c>
      <c r="CF10" s="8" t="str">
        <f>BP9</f>
        <v>3#9#5|3#10#11|3#11#5|3#12#11|0#1#114|0#2#47|1#1#34|1#2#475|2#1#68|2#2#380</v>
      </c>
      <c r="CG10" s="8" t="str">
        <f>BP10</f>
        <v>3#9#6|3#10#13|3#11#6|3#12#13|0#1#132|0#2#55|1#1#39|1#2#550|2#1#79|2#2#440</v>
      </c>
      <c r="CH10" s="8" t="str">
        <f>BP11</f>
        <v>3#9#8|3#10#16|3#11#8|3#12#16|0#1#168|0#2#70|1#1#50|1#2#700|2#1#100|2#2#560</v>
      </c>
      <c r="CI10" s="8" t="str">
        <f>BP12</f>
        <v>3#9#10|3#10#21|3#11#10|3#12#21|0#1#216|0#2#90|1#1#64|1#2#900|2#1#129|2#2#720</v>
      </c>
      <c r="CJ10" s="8" t="str">
        <f>BP13</f>
        <v>3#9#13|3#10#26|3#11#13|3#12#26|0#1#264|0#2#110|1#1#79|1#2#1100|2#1#158|2#2#880</v>
      </c>
      <c r="CK10" s="8" t="str">
        <f>BP14</f>
        <v>3#9#15|3#10#30|3#11#15|3#12#30|0#1#306|0#2#127|1#1#91|1#2#1275|2#1#183|2#2#1020</v>
      </c>
      <c r="CL10" s="8" t="str">
        <f>BP15</f>
        <v>3#9#17|3#10#34|3#11#17|3#12#34|0#1#348|0#2#145|1#1#104|1#2#1450|2#1#208|2#2#1160</v>
      </c>
      <c r="CM10" s="8" t="str">
        <f>BP16</f>
        <v>3#9#19|3#10#38|3#11#19|3#12#38|0#1#384|0#2#160|1#1#115|1#2#1600|2#1#230|2#2#1280</v>
      </c>
      <c r="CN10" s="8" t="str">
        <f>BP17</f>
        <v>3#9#21|3#10#42|3#11#21|3#12#42|0#1#420|0#2#175|1#1#126|1#2#1750|2#1#252|2#2#1400</v>
      </c>
      <c r="CO10" s="8" t="str">
        <f>BP18</f>
        <v>3#9#22|3#10#44|3#11#22|3#12#44|0#1#450|0#2#187|1#1#135|1#2#1875|2#1#270|2#2#1500</v>
      </c>
      <c r="CP10" s="8" t="str">
        <f>BP19</f>
        <v>3#9#24|3#10#48|3#11#24|3#12#48|0#1#480|0#2#200|1#1#144|1#2#2000|2#1#288|2#2#1600</v>
      </c>
      <c r="CQ10" s="8" t="str">
        <f>BP20</f>
        <v>3#9#26|3#10#52|3#11#26|3#12#52|0#1#528|0#2#220|1#1#158|1#2#2200|2#1#316|2#2#1760</v>
      </c>
      <c r="CR10" s="8" t="str">
        <f>BP21</f>
        <v>3#9#28|3#10#57|3#11#28|3#12#57|0#1#576|0#2#240|1#1#172|1#2#2400|2#1#345|2#2#1920</v>
      </c>
      <c r="CS10" s="8" t="str">
        <f>BP22</f>
        <v>3#9#31|3#10#63|3#11#31|3#12#63|0#1#636|0#2#265|1#1#190|1#2#2650|2#1#381|2#2#2120</v>
      </c>
      <c r="CT10" s="8" t="str">
        <f>BP23</f>
        <v>3#9#34|3#10#69|3#11#34|3#12#69|0#1#696|0#2#290|1#1#208|1#2#2900|2#1#417|2#2#2320</v>
      </c>
      <c r="CU10" s="8" t="str">
        <f>BP24</f>
        <v>3#9#38|3#10#76|3#11#38|3#12#76|0#1#768|0#2#320|1#1#230|1#2#3200|2#1#460|2#2#2560</v>
      </c>
      <c r="CV10" s="8" t="str">
        <f>BP25</f>
        <v>3#9#42|3#10#84|3#11#42|3#12#84|0#1#840|0#2#350|1#1#252|1#2#3500|2#1#504|2#2#2800</v>
      </c>
      <c r="CW10" s="8" t="str">
        <f>BP26</f>
        <v>3#9#45|3#10#90|3#11#45|3#12#90|0#1#900|0#2#375|1#1#270|1#2#3750|2#1#540|2#2#3000</v>
      </c>
      <c r="CX10" s="8" t="str">
        <f>BP27</f>
        <v>3#9#48|3#10#96|3#11#48|3#12#96|0#1#960|0#2#400|1#1#288|1#2#4000|2#1#576|2#2#3200</v>
      </c>
      <c r="CY10" s="8" t="str">
        <f>BP28</f>
        <v>3#9#54|3#10#108|3#11#54|3#12#108|0#1#1080|0#2#450|1#1#324|1#2#4500|2#1#648|2#2#3600</v>
      </c>
      <c r="CZ10" s="8" t="str">
        <f>BP29</f>
        <v>3#9#60|3#10#120|3#11#60|3#12#120|0#1#1200|0#2#500|1#1#360|1#2#5000|2#1#720|2#2#4000</v>
      </c>
    </row>
    <row r="11" spans="1:104" x14ac:dyDescent="0.3">
      <c r="A11" s="22" t="s">
        <v>163</v>
      </c>
      <c r="B11" s="22" t="s">
        <v>742</v>
      </c>
      <c r="C11" s="22" t="s">
        <v>206</v>
      </c>
      <c r="D11" s="23"/>
      <c r="E11" s="23" t="s">
        <v>764</v>
      </c>
      <c r="F11" s="29">
        <v>1</v>
      </c>
      <c r="G11" s="69">
        <v>35</v>
      </c>
      <c r="H11" s="64"/>
      <c r="I11" s="22" t="s">
        <v>765</v>
      </c>
      <c r="J11" s="22" t="s">
        <v>761</v>
      </c>
      <c r="K11" s="90">
        <v>9</v>
      </c>
      <c r="L11" s="91">
        <f>INT(21/150*L29)</f>
        <v>2100</v>
      </c>
      <c r="M11" s="91">
        <f t="shared" ref="M11:W11" si="48">INT(21/150*M29)</f>
        <v>8400</v>
      </c>
      <c r="N11" s="91">
        <f t="shared" si="48"/>
        <v>140</v>
      </c>
      <c r="O11" s="91">
        <f t="shared" si="48"/>
        <v>280</v>
      </c>
      <c r="P11" s="91">
        <f t="shared" si="48"/>
        <v>140</v>
      </c>
      <c r="Q11" s="91">
        <f t="shared" si="48"/>
        <v>280</v>
      </c>
      <c r="R11" s="91">
        <f t="shared" si="48"/>
        <v>140</v>
      </c>
      <c r="S11" s="91">
        <f t="shared" si="48"/>
        <v>280</v>
      </c>
      <c r="T11" s="91">
        <f t="shared" si="48"/>
        <v>105</v>
      </c>
      <c r="U11" s="91">
        <f t="shared" si="48"/>
        <v>210</v>
      </c>
      <c r="V11" s="91">
        <f t="shared" si="48"/>
        <v>105</v>
      </c>
      <c r="W11" s="91">
        <f t="shared" si="48"/>
        <v>210</v>
      </c>
      <c r="X11" s="91">
        <f>L11*属性价值参考!C$5+基本装备!M11*属性价值参考!C$6+基本装备!N11*属性价值参考!C$7+基本装备!O11*属性价值参考!C$8+基本装备!T11*属性价值参考!C$9+基本装备!U11*属性价值参考!C$10+基本装备!V11*属性价值参考!C$11+基本装备!W11*属性价值参考!C$12</f>
        <v>49215.6</v>
      </c>
      <c r="Y11" s="91">
        <f>基本装备!AG11*属性价值参考!C$13+基本装备!AH11*属性价值参考!C$36+基本装备!AI11*属性价值参考!C$19+基本装备!AJ11*属性价值参考!C$15+基本装备!AK11*属性价值参考!C$27+基本装备!AP11*属性价值参考!C$20+基本装备!AQ11*属性价值参考!C$21+基本装备!AR11*属性价值参考!C$26+8*(基本装备!AW11*属性价值参考!C$26+基本装备!BB11*属性价值参考!C$27+基本装备!BC11*(属性价值参考!C$28+属性价值参考!C$29))</f>
        <v>27039.199999999997</v>
      </c>
      <c r="Z11" s="9"/>
      <c r="AA11" s="81">
        <f t="shared" si="1"/>
        <v>2100</v>
      </c>
      <c r="AB11" s="81">
        <f t="shared" si="2"/>
        <v>8400</v>
      </c>
      <c r="AC11" s="81">
        <f t="shared" si="3"/>
        <v>280</v>
      </c>
      <c r="AD11" s="81">
        <f t="shared" si="4"/>
        <v>210</v>
      </c>
      <c r="AE11" s="9"/>
      <c r="AF11" s="82">
        <f t="shared" si="5"/>
        <v>70</v>
      </c>
      <c r="AG11" s="82">
        <f>ROUND(40/80*$AG$29,0)</f>
        <v>40</v>
      </c>
      <c r="AH11" s="82">
        <f>ROUND(2/7*$AH$29,0)</f>
        <v>2</v>
      </c>
      <c r="AI11" s="82">
        <v>3</v>
      </c>
      <c r="AJ11" s="82">
        <f>ROUND(2/10*$AJ$29,0)</f>
        <v>2</v>
      </c>
      <c r="AK11" s="82">
        <f>ROUND(12/52*$AK$29,0)</f>
        <v>12</v>
      </c>
      <c r="AL11" s="82">
        <f t="shared" si="6"/>
        <v>560</v>
      </c>
      <c r="AM11" s="82">
        <f t="shared" si="7"/>
        <v>2240</v>
      </c>
      <c r="AN11" s="82">
        <f t="shared" si="8"/>
        <v>22.400000000000002</v>
      </c>
      <c r="AO11" s="82">
        <f t="shared" si="9"/>
        <v>58.800000000000004</v>
      </c>
      <c r="AP11" s="82">
        <f t="shared" si="46"/>
        <v>2</v>
      </c>
      <c r="AQ11" s="82">
        <f t="shared" si="47"/>
        <v>2</v>
      </c>
      <c r="AR11" s="82">
        <f>ROUND(16/110*$AR$29,0)</f>
        <v>16</v>
      </c>
      <c r="AS11" s="82">
        <f t="shared" si="10"/>
        <v>196</v>
      </c>
      <c r="AT11" s="82">
        <f t="shared" si="11"/>
        <v>560</v>
      </c>
      <c r="AU11" s="82">
        <f t="shared" si="12"/>
        <v>19.600000000000001</v>
      </c>
      <c r="AV11" s="82">
        <f t="shared" si="13"/>
        <v>16.8</v>
      </c>
      <c r="AW11" s="82">
        <f>ROUND(9/44*$AW$29,0)</f>
        <v>9</v>
      </c>
      <c r="AX11" s="82">
        <f t="shared" si="14"/>
        <v>168</v>
      </c>
      <c r="AY11" s="82">
        <f t="shared" si="15"/>
        <v>700</v>
      </c>
      <c r="AZ11" s="82">
        <f t="shared" si="16"/>
        <v>21</v>
      </c>
      <c r="BA11" s="82">
        <f t="shared" si="17"/>
        <v>16.8</v>
      </c>
      <c r="BB11" s="89">
        <f>ROUND(3/16*$BB$29,0)</f>
        <v>3</v>
      </c>
      <c r="BC11" s="89">
        <f>ROUND(3/10*$BC$29,0)</f>
        <v>3</v>
      </c>
      <c r="BE11" s="83">
        <v>9</v>
      </c>
      <c r="BF11" s="83" t="str">
        <f t="shared" si="40"/>
        <v>3#3#35|3#4#70|3#5#35|3#6#70|3#7#35|3#8#70|3#13#40|3#20#2|3#25#3|3#21#2</v>
      </c>
      <c r="BG11" s="83" t="str">
        <f t="shared" si="19"/>
        <v>3#35#1200</v>
      </c>
      <c r="BH11" s="83" t="str">
        <f t="shared" si="41"/>
        <v>3#9#29|3#10#58|3#11#29|3#12#58|3#3#11|3#4#22|3#5#11|3#6#22|3#7#11|3#8#22|0#1#560|0#2#224|1#1#168|1#2#2240|2#1#336|2#2#1792|3#26#2|3#27#2</v>
      </c>
      <c r="BI11" s="83" t="str">
        <f t="shared" si="20"/>
        <v>3#30#16|3#31#16</v>
      </c>
      <c r="BJ11" s="83" t="str">
        <f t="shared" si="21"/>
        <v>3#9#8|3#10#16|3#11#8|3#12#16|0#1#168|0#2#70|1#1#50|1#2#700|2#1#100|2#2#560</v>
      </c>
      <c r="BK11" s="83" t="str">
        <f t="shared" si="22"/>
        <v>3#35#300|3#36#300</v>
      </c>
      <c r="BL11" s="83" t="str">
        <f t="shared" si="23"/>
        <v>3#9#8|3#10#16|3#11#8|3#12#16|0#1#168|0#2#70|1#1#50|1#2#700|2#1#100|2#2#560</v>
      </c>
      <c r="BM11" s="83" t="str">
        <f t="shared" si="24"/>
        <v>3#35#300|3#36#300</v>
      </c>
      <c r="BN11" s="83" t="str">
        <f t="shared" si="25"/>
        <v>3#9#8|3#10#16|3#11#8|3#12#16|0#1#168|0#2#70|1#1#50|1#2#700|2#1#100|2#2#560</v>
      </c>
      <c r="BO11" s="83" t="str">
        <f t="shared" si="26"/>
        <v>3#35#300|3#37#300</v>
      </c>
      <c r="BP11" s="83" t="str">
        <f t="shared" si="27"/>
        <v>3#9#8|3#10#16|3#11#8|3#12#16|0#1#168|0#2#70|1#1#50|1#2#700|2#1#100|2#2#560</v>
      </c>
      <c r="BQ11" s="83" t="str">
        <f t="shared" si="28"/>
        <v>3#35#300|3#37#300</v>
      </c>
      <c r="BR11" s="83" t="str">
        <f t="shared" si="29"/>
        <v>3#9#8|3#10#16|3#11#8|3#12#16|0#1#168|0#2#70|1#1#50|1#2#700|2#1#100|2#2#560</v>
      </c>
      <c r="BS11" s="83" t="str">
        <f t="shared" si="30"/>
        <v>3#35#300|3#36#300</v>
      </c>
      <c r="BT11" s="83" t="str">
        <f t="shared" si="31"/>
        <v>3#9#8|3#10#16|3#11#8|3#12#16|0#1#168|0#2#70|1#1#50|1#2#700|2#1#100|2#2#560</v>
      </c>
      <c r="BU11" s="83" t="str">
        <f t="shared" si="32"/>
        <v>3#35#300|3#36#300</v>
      </c>
      <c r="BV11" s="83" t="str">
        <f t="shared" si="33"/>
        <v>3#9#8|3#10#16|3#11#8|3#12#16|3#3#9|3#4#19|3#5#9|3#6#19|3#7#9|3#8#19|0#1#196|0#2#56|1#1#58|1#2#560|2#1#117|2#2#448</v>
      </c>
      <c r="BW11" s="83" t="str">
        <f t="shared" si="34"/>
        <v>3#30#9|3#31#9</v>
      </c>
      <c r="BY11" s="8" t="s">
        <v>1910</v>
      </c>
      <c r="BZ11" s="8" t="str">
        <f>BR3</f>
        <v>3#9#1|3#10#2|3#11#1|3#12#2|0#1#24|0#2#10|1#1#7|1#2#100|2#1#14|2#2#80</v>
      </c>
      <c r="CA11" s="8" t="str">
        <f>BR4</f>
        <v>3#9#1|3#10#3|3#11#1|3#12#3|0#1#36|0#2#15|1#1#10|1#2#150|2#1#21|2#2#120</v>
      </c>
      <c r="CB11" s="8" t="str">
        <f>BR5</f>
        <v>3#9#2|3#10#4|3#11#2|3#12#4|0#1#48|0#2#20|1#1#14|1#2#200|2#1#28|2#2#160</v>
      </c>
      <c r="CC11" s="8" t="str">
        <f>BR6</f>
        <v>3#9#3|3#10#6|3#11#3|3#12#6|0#1#60|0#2#25|1#1#18|1#2#250|2#1#36|2#2#200</v>
      </c>
      <c r="CD11" s="8" t="str">
        <f>BR7</f>
        <v>3#9#3|3#10#7|3#11#3|3#12#7|0#1#78|0#2#32|1#1#23|1#2#325|2#1#46|2#2#260</v>
      </c>
      <c r="CE11" s="8" t="str">
        <f>BR8</f>
        <v>3#9#4|3#10#9|3#11#4|3#12#9|0#1#96|0#2#40|1#1#28|1#2#400|2#1#57|2#2#320</v>
      </c>
      <c r="CF11" s="8" t="str">
        <f>BR9</f>
        <v>3#9#5|3#10#11|3#11#5|3#12#11|0#1#114|0#2#47|1#1#34|1#2#475|2#1#68|2#2#380</v>
      </c>
      <c r="CG11" s="8" t="str">
        <f>BR10</f>
        <v>3#9#6|3#10#13|3#11#6|3#12#13|0#1#132|0#2#55|1#1#39|1#2#550|2#1#79|2#2#440</v>
      </c>
      <c r="CH11" s="8" t="str">
        <f>BR11</f>
        <v>3#9#8|3#10#16|3#11#8|3#12#16|0#1#168|0#2#70|1#1#50|1#2#700|2#1#100|2#2#560</v>
      </c>
      <c r="CI11" s="8" t="str">
        <f>BR12</f>
        <v>3#9#10|3#10#21|3#11#10|3#12#21|0#1#216|0#2#90|1#1#64|1#2#900|2#1#129|2#2#720</v>
      </c>
      <c r="CJ11" s="8" t="str">
        <f>BR13</f>
        <v>3#9#13|3#10#26|3#11#13|3#12#26|0#1#264|0#2#110|1#1#79|1#2#1100|2#1#158|2#2#880</v>
      </c>
      <c r="CK11" s="8" t="str">
        <f>BR14</f>
        <v>3#9#15|3#10#30|3#11#15|3#12#30|0#1#306|0#2#127|1#1#91|1#2#1275|2#1#183|2#2#1020</v>
      </c>
      <c r="CL11" s="8" t="str">
        <f>BR15</f>
        <v>3#9#17|3#10#34|3#11#17|3#12#34|0#1#348|0#2#145|1#1#104|1#2#1450|2#1#208|2#2#1160</v>
      </c>
      <c r="CM11" s="8" t="str">
        <f>BR16</f>
        <v>3#9#19|3#10#38|3#11#19|3#12#38|0#1#384|0#2#160|1#1#115|1#2#1600|2#1#230|2#2#1280</v>
      </c>
      <c r="CN11" s="8" t="str">
        <f>BR17</f>
        <v>3#9#21|3#10#42|3#11#21|3#12#42|0#1#420|0#2#175|1#1#126|1#2#1750|2#1#252|2#2#1400</v>
      </c>
      <c r="CO11" s="8" t="str">
        <f>BR18</f>
        <v>3#9#22|3#10#44|3#11#22|3#12#44|0#1#450|0#2#187|1#1#135|1#2#1875|2#1#270|2#2#1500</v>
      </c>
      <c r="CP11" s="8" t="str">
        <f>BR19</f>
        <v>3#9#24|3#10#48|3#11#24|3#12#48|0#1#480|0#2#200|1#1#144|1#2#2000|2#1#288|2#2#1600</v>
      </c>
      <c r="CQ11" s="8" t="str">
        <f>BR20</f>
        <v>3#9#26|3#10#52|3#11#26|3#12#52|0#1#528|0#2#220|1#1#158|1#2#2200|2#1#316|2#2#1760</v>
      </c>
      <c r="CR11" s="8" t="str">
        <f>BR21</f>
        <v>3#9#28|3#10#57|3#11#28|3#12#57|0#1#576|0#2#240|1#1#172|1#2#2400|2#1#345|2#2#1920</v>
      </c>
      <c r="CS11" s="8" t="str">
        <f>BR22</f>
        <v>3#9#31|3#10#63|3#11#31|3#12#63|0#1#636|0#2#265|1#1#190|1#2#2650|2#1#381|2#2#2120</v>
      </c>
      <c r="CT11" s="8" t="str">
        <f>BR23</f>
        <v>3#9#34|3#10#69|3#11#34|3#12#69|0#1#696|0#2#290|1#1#208|1#2#2900|2#1#417|2#2#2320</v>
      </c>
      <c r="CU11" s="8" t="str">
        <f>BR24</f>
        <v>3#9#38|3#10#76|3#11#38|3#12#76|0#1#768|0#2#320|1#1#230|1#2#3200|2#1#460|2#2#2560</v>
      </c>
      <c r="CV11" s="8" t="str">
        <f>BR25</f>
        <v>3#9#42|3#10#84|3#11#42|3#12#84|0#1#840|0#2#350|1#1#252|1#2#3500|2#1#504|2#2#2800</v>
      </c>
      <c r="CW11" s="8" t="str">
        <f>BR26</f>
        <v>3#9#45|3#10#90|3#11#45|3#12#90|0#1#900|0#2#375|1#1#270|1#2#3750|2#1#540|2#2#3000</v>
      </c>
      <c r="CX11" s="8" t="str">
        <f>BR27</f>
        <v>3#9#48|3#10#96|3#11#48|3#12#96|0#1#960|0#2#400|1#1#288|1#2#4000|2#1#576|2#2#3200</v>
      </c>
      <c r="CY11" s="8" t="str">
        <f>BR28</f>
        <v>3#9#54|3#10#108|3#11#54|3#12#108|0#1#1080|0#2#450|1#1#324|1#2#4500|2#1#648|2#2#3600</v>
      </c>
      <c r="CZ11" s="8" t="str">
        <f>BR29</f>
        <v>3#9#60|3#10#120|3#11#60|3#12#120|0#1#1200|0#2#500|1#1#360|1#2#5000|2#1#720|2#2#4000</v>
      </c>
    </row>
    <row r="12" spans="1:104" x14ac:dyDescent="0.3">
      <c r="A12" s="22" t="s">
        <v>163</v>
      </c>
      <c r="B12" s="22" t="s">
        <v>931</v>
      </c>
      <c r="C12" s="22" t="s">
        <v>85</v>
      </c>
      <c r="D12" s="23"/>
      <c r="E12" s="22" t="s">
        <v>939</v>
      </c>
      <c r="F12" s="29">
        <v>1</v>
      </c>
      <c r="G12" s="22">
        <v>35</v>
      </c>
      <c r="H12" s="64"/>
      <c r="I12" s="22" t="s">
        <v>940</v>
      </c>
      <c r="J12" s="22" t="s">
        <v>209</v>
      </c>
      <c r="K12" s="90">
        <v>10</v>
      </c>
      <c r="L12" s="91">
        <f>INT(27/150*L29)</f>
        <v>2700</v>
      </c>
      <c r="M12" s="91">
        <f t="shared" ref="M12:W12" si="49">INT(27/150*M29)</f>
        <v>10800</v>
      </c>
      <c r="N12" s="91">
        <f t="shared" si="49"/>
        <v>180</v>
      </c>
      <c r="O12" s="91">
        <f t="shared" si="49"/>
        <v>360</v>
      </c>
      <c r="P12" s="91">
        <f t="shared" si="49"/>
        <v>180</v>
      </c>
      <c r="Q12" s="91">
        <f t="shared" si="49"/>
        <v>360</v>
      </c>
      <c r="R12" s="91">
        <f t="shared" si="49"/>
        <v>180</v>
      </c>
      <c r="S12" s="91">
        <f t="shared" si="49"/>
        <v>360</v>
      </c>
      <c r="T12" s="91">
        <f t="shared" si="49"/>
        <v>135</v>
      </c>
      <c r="U12" s="91">
        <f t="shared" si="49"/>
        <v>270</v>
      </c>
      <c r="V12" s="91">
        <f t="shared" si="49"/>
        <v>135</v>
      </c>
      <c r="W12" s="91">
        <f t="shared" si="49"/>
        <v>270</v>
      </c>
      <c r="X12" s="91">
        <f>L12*属性价值参考!C$5+基本装备!M12*属性价值参考!C$6+基本装备!N12*属性价值参考!C$7+基本装备!O12*属性价值参考!C$8+基本装备!T12*属性价值参考!C$9+基本装备!U12*属性价值参考!C$10+基本装备!V12*属性价值参考!C$11+基本装备!W12*属性价值参考!C$12</f>
        <v>63277.2</v>
      </c>
      <c r="Y12" s="91">
        <f>基本装备!AG12*属性价值参考!C$13+基本装备!AH12*属性价值参考!C$36+基本装备!AI12*属性价值参考!C$19+基本装备!AJ12*属性价值参考!C$15+基本装备!AK12*属性价值参考!C$27+基本装备!AP12*属性价值参考!C$20+基本装备!AQ12*属性价值参考!C$21+基本装备!AR12*属性价值参考!C$26+8*(基本装备!AW12*属性价值参考!C$26+基本装备!BB12*属性价值参考!C$27+基本装备!BC12*(属性价值参考!C$28+属性价值参考!C$29))</f>
        <v>29925.599999999999</v>
      </c>
      <c r="Z12" s="9"/>
      <c r="AA12" s="81">
        <f t="shared" si="1"/>
        <v>2700</v>
      </c>
      <c r="AB12" s="81">
        <f t="shared" si="2"/>
        <v>10800</v>
      </c>
      <c r="AC12" s="81">
        <f t="shared" si="3"/>
        <v>360</v>
      </c>
      <c r="AD12" s="81">
        <f t="shared" si="4"/>
        <v>270</v>
      </c>
      <c r="AE12" s="9"/>
      <c r="AF12" s="82">
        <f t="shared" si="5"/>
        <v>90</v>
      </c>
      <c r="AG12" s="82">
        <f>ROUND(45/80*$AG$29,0)</f>
        <v>45</v>
      </c>
      <c r="AH12" s="82">
        <f>ROUND(2/7*$AH$29,0)</f>
        <v>2</v>
      </c>
      <c r="AI12" s="82">
        <v>4</v>
      </c>
      <c r="AJ12" s="82">
        <f>ROUND(2/10*$AJ$29,0)</f>
        <v>2</v>
      </c>
      <c r="AK12" s="82">
        <f>ROUND(14/52*$AK$29,0)</f>
        <v>14</v>
      </c>
      <c r="AL12" s="82">
        <f t="shared" si="6"/>
        <v>720</v>
      </c>
      <c r="AM12" s="82">
        <f t="shared" si="7"/>
        <v>2880</v>
      </c>
      <c r="AN12" s="82">
        <f t="shared" si="8"/>
        <v>28.8</v>
      </c>
      <c r="AO12" s="82">
        <f t="shared" si="9"/>
        <v>75.600000000000009</v>
      </c>
      <c r="AP12" s="82">
        <f t="shared" si="46"/>
        <v>2</v>
      </c>
      <c r="AQ12" s="82">
        <f t="shared" si="47"/>
        <v>2</v>
      </c>
      <c r="AR12" s="82">
        <f>ROUND(19/110*$AR$29,0)</f>
        <v>19</v>
      </c>
      <c r="AS12" s="82">
        <f t="shared" si="10"/>
        <v>252</v>
      </c>
      <c r="AT12" s="82">
        <f t="shared" si="11"/>
        <v>720</v>
      </c>
      <c r="AU12" s="82">
        <f t="shared" si="12"/>
        <v>25.200000000000003</v>
      </c>
      <c r="AV12" s="82">
        <f t="shared" si="13"/>
        <v>21.6</v>
      </c>
      <c r="AW12" s="82">
        <f>ROUND(10/44*$AW$29,0)</f>
        <v>10</v>
      </c>
      <c r="AX12" s="82">
        <f t="shared" si="14"/>
        <v>216</v>
      </c>
      <c r="AY12" s="82">
        <f t="shared" si="15"/>
        <v>900</v>
      </c>
      <c r="AZ12" s="82">
        <f t="shared" si="16"/>
        <v>27</v>
      </c>
      <c r="BA12" s="82">
        <f t="shared" si="17"/>
        <v>21.6</v>
      </c>
      <c r="BB12" s="89">
        <f>ROUND(3/16*$BB$29,0)</f>
        <v>3</v>
      </c>
      <c r="BC12" s="89">
        <f>ROUND(4/10*$BC$29,0)</f>
        <v>4</v>
      </c>
      <c r="BE12" s="83">
        <v>10</v>
      </c>
      <c r="BF12" s="83" t="str">
        <f t="shared" si="40"/>
        <v>3#3#45|3#4#90|3#5#45|3#6#90|3#7#45|3#8#90|3#13#45|3#20#2|3#25#4|3#21#2</v>
      </c>
      <c r="BG12" s="83" t="str">
        <f t="shared" si="19"/>
        <v>3#35#1400</v>
      </c>
      <c r="BH12" s="83" t="str">
        <f t="shared" si="41"/>
        <v>3#9#37|3#10#75|3#11#37|3#12#75|3#3#14|3#4#28|3#5#14|3#6#28|3#7#14|3#8#28|0#1#720|0#2#288|1#1#216|1#2#2880|2#1#432|2#2#2304|3#26#2|3#27#2</v>
      </c>
      <c r="BI12" s="83" t="str">
        <f t="shared" si="20"/>
        <v>3#30#19|3#31#19</v>
      </c>
      <c r="BJ12" s="83" t="str">
        <f t="shared" si="21"/>
        <v>3#9#10|3#10#21|3#11#10|3#12#21|0#1#216|0#2#90|1#1#64|1#2#900|2#1#129|2#2#720</v>
      </c>
      <c r="BK12" s="83" t="str">
        <f t="shared" si="22"/>
        <v>3#35#300|3#36#400</v>
      </c>
      <c r="BL12" s="83" t="str">
        <f t="shared" si="23"/>
        <v>3#9#10|3#10#21|3#11#10|3#12#21|0#1#216|0#2#90|1#1#64|1#2#900|2#1#129|2#2#720</v>
      </c>
      <c r="BM12" s="83" t="str">
        <f t="shared" si="24"/>
        <v>3#35#300|3#36#400</v>
      </c>
      <c r="BN12" s="83" t="str">
        <f t="shared" si="25"/>
        <v>3#9#10|3#10#21|3#11#10|3#12#21|0#1#216|0#2#90|1#1#64|1#2#900|2#1#129|2#2#720</v>
      </c>
      <c r="BO12" s="83" t="str">
        <f t="shared" si="26"/>
        <v>3#35#300|3#37#400</v>
      </c>
      <c r="BP12" s="83" t="str">
        <f t="shared" si="27"/>
        <v>3#9#10|3#10#21|3#11#10|3#12#21|0#1#216|0#2#90|1#1#64|1#2#900|2#1#129|2#2#720</v>
      </c>
      <c r="BQ12" s="83" t="str">
        <f t="shared" si="28"/>
        <v>3#35#300|3#37#400</v>
      </c>
      <c r="BR12" s="83" t="str">
        <f t="shared" si="29"/>
        <v>3#9#10|3#10#21|3#11#10|3#12#21|0#1#216|0#2#90|1#1#64|1#2#900|2#1#129|2#2#720</v>
      </c>
      <c r="BS12" s="83" t="str">
        <f t="shared" si="30"/>
        <v>3#35#300|3#36#400</v>
      </c>
      <c r="BT12" s="83" t="str">
        <f t="shared" si="31"/>
        <v>3#9#10|3#10#21|3#11#10|3#12#21|0#1#216|0#2#90|1#1#64|1#2#900|2#1#129|2#2#720</v>
      </c>
      <c r="BU12" s="83" t="str">
        <f t="shared" si="32"/>
        <v>3#35#300|3#36#400</v>
      </c>
      <c r="BV12" s="83" t="str">
        <f t="shared" si="33"/>
        <v>3#9#10|3#10#21|3#11#10|3#12#21|3#3#12|3#4#25|3#5#12|3#6#25|3#7#12|3#8#25|0#1#252|0#2#72|1#1#75|1#2#720|2#1#151|2#2#576</v>
      </c>
      <c r="BW12" s="83" t="str">
        <f t="shared" si="34"/>
        <v>3#30#10|3#31#10</v>
      </c>
      <c r="BY12" s="8" t="s">
        <v>1911</v>
      </c>
      <c r="BZ12" s="8" t="str">
        <f>BT3</f>
        <v>3#9#1|3#10#2|3#11#1|3#12#2|0#1#24|0#2#10|1#1#7|1#2#100|2#1#14|2#2#80</v>
      </c>
      <c r="CA12" s="8" t="str">
        <f>BT4</f>
        <v>3#9#1|3#10#3|3#11#1|3#12#3|0#1#36|0#2#15|1#1#10|1#2#150|2#1#21|2#2#120</v>
      </c>
      <c r="CB12" s="8" t="str">
        <f>BT5</f>
        <v>3#9#2|3#10#4|3#11#2|3#12#4|0#1#48|0#2#20|1#1#14|1#2#200|2#1#28|2#2#160</v>
      </c>
      <c r="CC12" s="8" t="str">
        <f>BT6</f>
        <v>3#9#3|3#10#6|3#11#3|3#12#6|0#1#60|0#2#25|1#1#18|1#2#250|2#1#36|2#2#200</v>
      </c>
      <c r="CD12" s="8" t="str">
        <f>BT7</f>
        <v>3#9#3|3#10#7|3#11#3|3#12#7|0#1#78|0#2#32|1#1#23|1#2#325|2#1#46|2#2#260</v>
      </c>
      <c r="CE12" s="8" t="str">
        <f>BT8</f>
        <v>3#9#4|3#10#9|3#11#4|3#12#9|0#1#96|0#2#40|1#1#28|1#2#400|2#1#57|2#2#320</v>
      </c>
      <c r="CF12" s="8" t="str">
        <f>BT9</f>
        <v>3#9#5|3#10#11|3#11#5|3#12#11|0#1#114|0#2#47|1#1#34|1#2#475|2#1#68|2#2#380</v>
      </c>
      <c r="CG12" s="8" t="str">
        <f>BT10</f>
        <v>3#9#6|3#10#13|3#11#6|3#12#13|0#1#132|0#2#55|1#1#39|1#2#550|2#1#79|2#2#440</v>
      </c>
      <c r="CH12" s="8" t="str">
        <f>BT11</f>
        <v>3#9#8|3#10#16|3#11#8|3#12#16|0#1#168|0#2#70|1#1#50|1#2#700|2#1#100|2#2#560</v>
      </c>
      <c r="CI12" s="8" t="str">
        <f>BT12</f>
        <v>3#9#10|3#10#21|3#11#10|3#12#21|0#1#216|0#2#90|1#1#64|1#2#900|2#1#129|2#2#720</v>
      </c>
      <c r="CJ12" s="8" t="str">
        <f>BT13</f>
        <v>3#9#13|3#10#26|3#11#13|3#12#26|0#1#264|0#2#110|1#1#79|1#2#1100|2#1#158|2#2#880</v>
      </c>
      <c r="CK12" s="8" t="str">
        <f>BT14</f>
        <v>3#9#15|3#10#30|3#11#15|3#12#30|0#1#306|0#2#127|1#1#91|1#2#1275|2#1#183|2#2#1020</v>
      </c>
      <c r="CL12" s="8" t="str">
        <f>BT15</f>
        <v>3#9#17|3#10#34|3#11#17|3#12#34|0#1#348|0#2#145|1#1#104|1#2#1450|2#1#208|2#2#1160</v>
      </c>
      <c r="CM12" s="8" t="str">
        <f>BT16</f>
        <v>3#9#19|3#10#38|3#11#19|3#12#38|0#1#384|0#2#160|1#1#115|1#2#1600|2#1#230|2#2#1280</v>
      </c>
      <c r="CN12" s="8" t="str">
        <f>BT17</f>
        <v>3#9#21|3#10#42|3#11#21|3#12#42|0#1#420|0#2#175|1#1#126|1#2#1750|2#1#252|2#2#1400</v>
      </c>
      <c r="CO12" s="8" t="str">
        <f>BT18</f>
        <v>3#9#22|3#10#44|3#11#22|3#12#44|0#1#450|0#2#187|1#1#135|1#2#1875|2#1#270|2#2#1500</v>
      </c>
      <c r="CP12" s="8" t="str">
        <f>BT19</f>
        <v>3#9#24|3#10#48|3#11#24|3#12#48|0#1#480|0#2#200|1#1#144|1#2#2000|2#1#288|2#2#1600</v>
      </c>
      <c r="CQ12" s="8" t="str">
        <f>BT20</f>
        <v>3#9#26|3#10#52|3#11#26|3#12#52|0#1#528|0#2#220|1#1#158|1#2#2200|2#1#316|2#2#1760</v>
      </c>
      <c r="CR12" s="8" t="str">
        <f>BT21</f>
        <v>3#9#28|3#10#57|3#11#28|3#12#57|0#1#576|0#2#240|1#1#172|1#2#2400|2#1#345|2#2#1920</v>
      </c>
      <c r="CS12" s="8" t="str">
        <f>BT22</f>
        <v>3#9#31|3#10#63|3#11#31|3#12#63|0#1#636|0#2#265|1#1#190|1#2#2650|2#1#381|2#2#2120</v>
      </c>
      <c r="CT12" s="8" t="str">
        <f>BT23</f>
        <v>3#9#34|3#10#69|3#11#34|3#12#69|0#1#696|0#2#290|1#1#208|1#2#2900|2#1#417|2#2#2320</v>
      </c>
      <c r="CU12" s="8" t="str">
        <f>BT24</f>
        <v>3#9#38|3#10#76|3#11#38|3#12#76|0#1#768|0#2#320|1#1#230|1#2#3200|2#1#460|2#2#2560</v>
      </c>
      <c r="CV12" s="8" t="str">
        <f>BT25</f>
        <v>3#9#42|3#10#84|3#11#42|3#12#84|0#1#840|0#2#350|1#1#252|1#2#3500|2#1#504|2#2#2800</v>
      </c>
      <c r="CW12" s="8" t="str">
        <f>BT26</f>
        <v>3#9#45|3#10#90|3#11#45|3#12#90|0#1#900|0#2#375|1#1#270|1#2#3750|2#1#540|2#2#3000</v>
      </c>
      <c r="CX12" s="8" t="str">
        <f>BT27</f>
        <v>3#9#48|3#10#96|3#11#48|3#12#96|0#1#960|0#2#400|1#1#288|1#2#4000|2#1#576|2#2#3200</v>
      </c>
      <c r="CY12" s="8" t="str">
        <f>BT28</f>
        <v>3#9#54|3#10#108|3#11#54|3#12#108|0#1#1080|0#2#450|1#1#324|1#2#4500|2#1#648|2#2#3600</v>
      </c>
      <c r="CZ12" s="8" t="str">
        <f>BT29</f>
        <v>3#9#60|3#10#120|3#11#60|3#12#120|0#1#1200|0#2#500|1#1#360|1#2#5000|2#1#720|2#2#4000</v>
      </c>
    </row>
    <row r="13" spans="1:104" x14ac:dyDescent="0.3">
      <c r="A13" s="22" t="s">
        <v>163</v>
      </c>
      <c r="B13" s="22" t="s">
        <v>931</v>
      </c>
      <c r="C13" s="22" t="s">
        <v>83</v>
      </c>
      <c r="D13" s="23"/>
      <c r="E13" s="22" t="s">
        <v>1123</v>
      </c>
      <c r="F13" s="29">
        <v>1</v>
      </c>
      <c r="G13" s="22">
        <v>35</v>
      </c>
      <c r="H13" s="64"/>
      <c r="I13" s="22" t="s">
        <v>172</v>
      </c>
      <c r="J13" s="22" t="s">
        <v>205</v>
      </c>
      <c r="K13" s="90">
        <v>11</v>
      </c>
      <c r="L13" s="91">
        <f>INT(33/150*L29)</f>
        <v>3300</v>
      </c>
      <c r="M13" s="91">
        <f t="shared" ref="M13:W13" si="50">INT(33/150*M29)</f>
        <v>13200</v>
      </c>
      <c r="N13" s="91">
        <f t="shared" si="50"/>
        <v>220</v>
      </c>
      <c r="O13" s="91">
        <f t="shared" si="50"/>
        <v>440</v>
      </c>
      <c r="P13" s="91">
        <f t="shared" si="50"/>
        <v>220</v>
      </c>
      <c r="Q13" s="91">
        <f t="shared" si="50"/>
        <v>440</v>
      </c>
      <c r="R13" s="91">
        <f t="shared" si="50"/>
        <v>220</v>
      </c>
      <c r="S13" s="91">
        <f t="shared" si="50"/>
        <v>440</v>
      </c>
      <c r="T13" s="91">
        <f t="shared" si="50"/>
        <v>165</v>
      </c>
      <c r="U13" s="91">
        <f t="shared" si="50"/>
        <v>330</v>
      </c>
      <c r="V13" s="91">
        <f t="shared" si="50"/>
        <v>165</v>
      </c>
      <c r="W13" s="91">
        <f t="shared" si="50"/>
        <v>330</v>
      </c>
      <c r="X13" s="91">
        <f>L13*属性价值参考!C$5+基本装备!M13*属性价值参考!C$6+基本装备!N13*属性价值参考!C$7+基本装备!O13*属性价值参考!C$8+基本装备!T13*属性价值参考!C$9+基本装备!U13*属性价值参考!C$10+基本装备!V13*属性价值参考!C$11+基本装备!W13*属性价值参考!C$12</f>
        <v>77338.799999999988</v>
      </c>
      <c r="Y13" s="91">
        <f>基本装备!AG13*属性价值参考!C$13+基本装备!AH13*属性价值参考!C$36+基本装备!AI13*属性价值参考!C$19+基本装备!AJ13*属性价值参考!C$15+基本装备!AK13*属性价值参考!C$27+基本装备!AP13*属性价值参考!C$20+基本装备!AQ13*属性价值参考!C$21+基本装备!AR13*属性价值参考!C$26+8*(基本装备!AW13*属性价值参考!C$26+基本装备!BB13*属性价值参考!C$27+基本装备!BC13*(属性价值参考!C$28+属性价值参考!C$29))</f>
        <v>36500.399999999994</v>
      </c>
      <c r="Z13" s="9"/>
      <c r="AA13" s="81">
        <f t="shared" si="1"/>
        <v>3300</v>
      </c>
      <c r="AB13" s="81">
        <f t="shared" si="2"/>
        <v>13200</v>
      </c>
      <c r="AC13" s="81">
        <f t="shared" si="3"/>
        <v>440</v>
      </c>
      <c r="AD13" s="81">
        <f t="shared" si="4"/>
        <v>330</v>
      </c>
      <c r="AE13" s="9"/>
      <c r="AF13" s="82">
        <f t="shared" si="5"/>
        <v>110</v>
      </c>
      <c r="AG13" s="82">
        <f>ROUND(45/80*$AG$29,0)</f>
        <v>45</v>
      </c>
      <c r="AH13" s="82">
        <f>ROUND(3/7*$AH$29,0)</f>
        <v>3</v>
      </c>
      <c r="AI13" s="82">
        <v>4</v>
      </c>
      <c r="AJ13" s="82">
        <f>ROUND(3/10*$AJ$29,0)</f>
        <v>3</v>
      </c>
      <c r="AK13" s="82">
        <f>ROUND(16/52*$AK$29,0)</f>
        <v>16</v>
      </c>
      <c r="AL13" s="82">
        <f t="shared" si="6"/>
        <v>880</v>
      </c>
      <c r="AM13" s="82">
        <f t="shared" si="7"/>
        <v>3520</v>
      </c>
      <c r="AN13" s="82">
        <f t="shared" si="8"/>
        <v>35.200000000000003</v>
      </c>
      <c r="AO13" s="82">
        <f t="shared" si="9"/>
        <v>92.4</v>
      </c>
      <c r="AP13" s="82">
        <f>ROUND(2/6*$AP$29,0)</f>
        <v>2</v>
      </c>
      <c r="AQ13" s="82">
        <f>ROUND(2/6*$AQ$29,0)</f>
        <v>2</v>
      </c>
      <c r="AR13" s="82">
        <f>ROUND(22/110*$AR$29,0)</f>
        <v>22</v>
      </c>
      <c r="AS13" s="82">
        <f t="shared" si="10"/>
        <v>308</v>
      </c>
      <c r="AT13" s="82">
        <f t="shared" si="11"/>
        <v>880</v>
      </c>
      <c r="AU13" s="82">
        <f t="shared" si="12"/>
        <v>30.800000000000004</v>
      </c>
      <c r="AV13" s="82">
        <f t="shared" si="13"/>
        <v>26.400000000000002</v>
      </c>
      <c r="AW13" s="82">
        <f>ROUND(12/44*$AW$29,0)</f>
        <v>12</v>
      </c>
      <c r="AX13" s="82">
        <f t="shared" si="14"/>
        <v>264</v>
      </c>
      <c r="AY13" s="82">
        <f t="shared" si="15"/>
        <v>1100</v>
      </c>
      <c r="AZ13" s="82">
        <f t="shared" si="16"/>
        <v>33</v>
      </c>
      <c r="BA13" s="82">
        <f t="shared" si="17"/>
        <v>26.400000000000002</v>
      </c>
      <c r="BB13" s="89">
        <f>ROUND(4/16*$BB$29,0)</f>
        <v>4</v>
      </c>
      <c r="BC13" s="89">
        <f>ROUND(4/10*$BC$29,0)</f>
        <v>4</v>
      </c>
      <c r="BE13" s="83">
        <v>11</v>
      </c>
      <c r="BF13" s="83" t="str">
        <f t="shared" si="40"/>
        <v>3#3#55|3#4#110|3#5#55|3#6#110|3#7#55|3#8#110|3#13#45|3#20#3|3#25#4|3#21#3</v>
      </c>
      <c r="BG13" s="83" t="str">
        <f t="shared" si="19"/>
        <v>3#35#1600</v>
      </c>
      <c r="BH13" s="83" t="str">
        <f t="shared" si="41"/>
        <v>3#9#46|3#10#92|3#11#46|3#12#92|3#3#17|3#4#35|3#5#17|3#6#35|3#7#17|3#8#35|0#1#880|0#2#352|1#1#264|1#2#3520|2#1#528|2#2#2816|3#26#2|3#27#2</v>
      </c>
      <c r="BI13" s="83" t="str">
        <f t="shared" si="20"/>
        <v>3#30#22|3#31#22</v>
      </c>
      <c r="BJ13" s="83" t="str">
        <f t="shared" si="21"/>
        <v>3#9#13|3#10#26|3#11#13|3#12#26|0#1#264|0#2#110|1#1#79|1#2#1100|2#1#158|2#2#880</v>
      </c>
      <c r="BK13" s="83" t="str">
        <f t="shared" si="22"/>
        <v>3#35#400|3#36#400</v>
      </c>
      <c r="BL13" s="83" t="str">
        <f t="shared" si="23"/>
        <v>3#9#13|3#10#26|3#11#13|3#12#26|0#1#264|0#2#110|1#1#79|1#2#1100|2#1#158|2#2#880</v>
      </c>
      <c r="BM13" s="83" t="str">
        <f t="shared" si="24"/>
        <v>3#35#400|3#36#400</v>
      </c>
      <c r="BN13" s="83" t="str">
        <f t="shared" si="25"/>
        <v>3#9#13|3#10#26|3#11#13|3#12#26|0#1#264|0#2#110|1#1#79|1#2#1100|2#1#158|2#2#880</v>
      </c>
      <c r="BO13" s="83" t="str">
        <f t="shared" si="26"/>
        <v>3#35#400|3#37#400</v>
      </c>
      <c r="BP13" s="83" t="str">
        <f t="shared" si="27"/>
        <v>3#9#13|3#10#26|3#11#13|3#12#26|0#1#264|0#2#110|1#1#79|1#2#1100|2#1#158|2#2#880</v>
      </c>
      <c r="BQ13" s="83" t="str">
        <f t="shared" si="28"/>
        <v>3#35#400|3#37#400</v>
      </c>
      <c r="BR13" s="83" t="str">
        <f t="shared" si="29"/>
        <v>3#9#13|3#10#26|3#11#13|3#12#26|0#1#264|0#2#110|1#1#79|1#2#1100|2#1#158|2#2#880</v>
      </c>
      <c r="BS13" s="83" t="str">
        <f t="shared" si="30"/>
        <v>3#35#400|3#36#400</v>
      </c>
      <c r="BT13" s="83" t="str">
        <f t="shared" si="31"/>
        <v>3#9#13|3#10#26|3#11#13|3#12#26|0#1#264|0#2#110|1#1#79|1#2#1100|2#1#158|2#2#880</v>
      </c>
      <c r="BU13" s="83" t="str">
        <f t="shared" si="32"/>
        <v>3#35#400|3#36#400</v>
      </c>
      <c r="BV13" s="83" t="str">
        <f t="shared" si="33"/>
        <v>3#9#13|3#10#26|3#11#13|3#12#26|3#3#15|3#4#30|3#5#15|3#6#30|3#7#15|3#8#30|0#1#308|0#2#88|1#1#92|1#2#880|2#1#184|2#2#704</v>
      </c>
      <c r="BW13" s="83" t="str">
        <f t="shared" si="34"/>
        <v>3#30#12|3#31#12</v>
      </c>
      <c r="BY13" s="8" t="s">
        <v>1904</v>
      </c>
      <c r="BZ13" s="8" t="str">
        <f>BV3</f>
        <v>3#9#1|3#10#2|3#11#1|3#12#2|3#3#1|3#4#2|3#5#1|3#6#2|3#7#1|3#8#2|0#1#28|0#2#8|1#1#8|1#2#80|2#1#16|2#2#64</v>
      </c>
      <c r="CA13" s="8" t="str">
        <f>BV4</f>
        <v>3#9#1|3#10#3|3#11#1|3#12#3|3#3#2|3#4#4|3#5#2|3#6#4|3#7#2|3#8#4|0#1#42|0#2#12|1#1#12|1#2#120|2#1#25|2#2#96</v>
      </c>
      <c r="CB13" s="8" t="str">
        <f>BV5</f>
        <v>3#9#2|3#10#4|3#11#2|3#12#4|3#3#2|3#4#5|3#5#2|3#6#5|3#7#2|3#8#5|0#1#56|0#2#16|1#1#16|1#2#160|2#1#33|2#2#128</v>
      </c>
      <c r="CC13" s="8" t="str">
        <f>BV6</f>
        <v>3#9#3|3#10#6|3#11#3|3#12#6|3#3#3|3#4#7|3#5#3|3#6#7|3#7#3|3#8#7|0#1#70|0#2#20|1#1#21|1#2#200|2#1#42|2#2#160</v>
      </c>
      <c r="CD13" s="8" t="str">
        <f>BV7</f>
        <v>3#9#3|3#10#7|3#11#3|3#12#7|3#3#4|3#4#9|3#5#4|3#6#9|3#7#4|3#8#9|0#1#91|0#2#26|1#1#27|1#2#260|2#1#54|2#2#208</v>
      </c>
      <c r="CE13" s="8" t="str">
        <f>BV8</f>
        <v>3#9#4|3#10#9|3#11#4|3#12#9|3#3#5|3#4#11|3#5#5|3#6#11|3#7#5|3#8#11|0#1#112|0#2#32|1#1#33|1#2#320|2#1#67|2#2#256</v>
      </c>
      <c r="CF13" s="8" t="str">
        <f>BV9</f>
        <v>3#9#5|3#10#11|3#11#5|3#12#11|3#3#6|3#4#13|3#5#6|3#6#13|3#7#6|3#8#13|0#1#133|0#2#38|1#1#39|1#2#380|2#1#79|2#2#304</v>
      </c>
      <c r="CG13" s="8" t="str">
        <f>BV10</f>
        <v>3#9#6|3#10#13|3#11#6|3#12#13|3#3#7|3#4#15|3#5#7|3#6#15|3#7#7|3#8#15|0#1#154|0#2#44|1#1#46|1#2#440|2#1#92|2#2#352</v>
      </c>
      <c r="CH13" s="8" t="str">
        <f>BV11</f>
        <v>3#9#8|3#10#16|3#11#8|3#12#16|3#3#9|3#4#19|3#5#9|3#6#19|3#7#9|3#8#19|0#1#196|0#2#56|1#1#58|1#2#560|2#1#117|2#2#448</v>
      </c>
      <c r="CI13" s="8" t="str">
        <f>BV12</f>
        <v>3#9#10|3#10#21|3#11#10|3#12#21|3#3#12|3#4#25|3#5#12|3#6#25|3#7#12|3#8#25|0#1#252|0#2#72|1#1#75|1#2#720|2#1#151|2#2#576</v>
      </c>
      <c r="CJ13" s="8" t="str">
        <f>BV13</f>
        <v>3#9#13|3#10#26|3#11#13|3#12#26|3#3#15|3#4#30|3#5#15|3#6#30|3#7#15|3#8#30|0#1#308|0#2#88|1#1#92|1#2#880|2#1#184|2#2#704</v>
      </c>
      <c r="CK13" s="8" t="str">
        <f>BV14</f>
        <v>3#9#15|3#10#30|3#11#15|3#12#30|3#3#17|3#4#35|3#5#17|3#6#35|3#7#17|3#8#35|0#1#357|0#2#102|1#1#107|1#2#1020|2#1#214|2#2#816</v>
      </c>
      <c r="CL13" s="8" t="str">
        <f>BV15</f>
        <v>3#9#17|3#10#34|3#11#17|3#12#34|3#3#20|3#4#40|3#5#20|3#6#40|3#7#20|3#8#40|0#1#406|0#2#116|1#1#121|1#2#1160|2#1#243|2#2#928</v>
      </c>
      <c r="CM13" s="8" t="str">
        <f>BV16</f>
        <v>3#9#19|3#10#38|3#11#19|3#12#38|3#3#22|3#4#44|3#5#22|3#6#44|3#7#22|3#8#44|0#1#448|0#2#128|1#1#134|1#2#1280|2#1#268|2#2#1024</v>
      </c>
      <c r="CN13" s="8" t="str">
        <f>BV17</f>
        <v>3#9#21|3#10#42|3#11#21|3#12#42|3#3#24|3#4#49|3#5#24|3#6#49|3#7#24|3#8#49|0#1#490|0#2#140|1#1#147|1#2#1400|2#1#294|2#2#1120</v>
      </c>
      <c r="CO13" s="8" t="str">
        <f>BV18</f>
        <v>3#9#22|3#10#44|3#11#22|3#12#44|3#3#26|3#4#52|3#5#26|3#6#52|3#7#26|3#8#52|0#1#525|0#2#150|1#1#157|1#2#1500|2#1#315|2#2#1200</v>
      </c>
      <c r="CP13" s="8" t="str">
        <f>BV19</f>
        <v>3#9#24|3#10#48|3#11#24|3#12#48|3#3#28|3#4#56|3#5#28|3#6#56|3#7#28|3#8#56|0#1#560|0#2#160|1#1#168|1#2#1600|2#1#336|2#2#1280</v>
      </c>
      <c r="CQ13" s="8" t="str">
        <f>BV20</f>
        <v>3#9#26|3#10#52|3#11#26|3#12#52|3#3#30|3#4#61|3#5#30|3#6#61|3#7#30|3#8#61|0#1#616|0#2#176|1#1#184|1#2#1760|2#1#369|2#2#1408</v>
      </c>
      <c r="CR13" s="8" t="str">
        <f>BV21</f>
        <v>3#9#28|3#10#57|3#11#28|3#12#57|3#3#33|3#4#67|3#5#33|3#6#67|3#7#33|3#8#67|0#1#672|0#2#192|1#1#201|1#2#1920|2#1#403|2#2#1536</v>
      </c>
      <c r="CS13" s="8" t="str">
        <f>BV22</f>
        <v>3#9#31|3#10#63|3#11#31|3#12#63|3#3#37|3#4#74|3#5#37|3#6#74|3#7#37|3#8#74|0#1#742|0#2#212|1#1#222|1#2#2120|2#1#445|2#2#1696</v>
      </c>
      <c r="CT13" s="8" t="str">
        <f>BV23</f>
        <v>3#9#34|3#10#69|3#11#34|3#12#69|3#3#40|3#4#81|3#5#40|3#6#81|3#7#40|3#8#81|0#1#812|0#2#232|1#1#243|1#2#2320|2#1#487|2#2#1856</v>
      </c>
      <c r="CU13" s="8" t="str">
        <f>BV24</f>
        <v>3#9#38|3#10#76|3#11#38|3#12#76|3#3#44|3#4#89|3#5#44|3#6#89|3#7#44|3#8#89|0#1#896|0#2#256|1#1#268|1#2#2560|2#1#537|2#2#2048</v>
      </c>
      <c r="CV13" s="8" t="str">
        <f>BV25</f>
        <v>3#9#42|3#10#84|3#11#42|3#12#84|3#3#49|3#4#98|3#5#49|3#6#98|3#7#49|3#8#98|0#1#980|0#2#280|1#1#294|1#2#2800|2#1#588|2#2#2240</v>
      </c>
      <c r="CW13" s="8" t="str">
        <f>BV26</f>
        <v>3#9#45|3#10#90|3#11#45|3#12#90|3#3#52|3#4#105|3#5#52|3#6#105|3#7#52|3#8#105|0#1#1050|0#2#300|1#1#315|1#2#3000|2#1#630|2#2#2400</v>
      </c>
      <c r="CX13" s="8" t="str">
        <f>BV27</f>
        <v>3#9#48|3#10#96|3#11#48|3#12#96|3#3#56|3#4#112|3#5#56|3#6#112|3#7#56|3#8#112|0#1#1120|0#2#320|1#1#336|1#2#3200|2#1#672|2#2#2560</v>
      </c>
      <c r="CY13" s="8" t="str">
        <f>BV28</f>
        <v>3#9#54|3#10#108|3#11#54|3#12#108|3#3#63|3#4#126|3#5#63|3#6#126|3#7#63|3#8#126|0#1#1260|0#2#360|1#1#378|1#2#3600|2#1#756|2#2#2880</v>
      </c>
      <c r="CZ13" s="8" t="str">
        <f>BV29</f>
        <v>3#9#60|3#10#120|3#11#60|3#12#120|3#3#70|3#4#140|3#5#70|3#6#140|3#7#70|3#8#140|0#1#1400|0#2#400|1#1#420|1#2#4000|2#1#840|2#2#3200</v>
      </c>
    </row>
    <row r="14" spans="1:104" ht="18" x14ac:dyDescent="0.3">
      <c r="A14" s="22" t="s">
        <v>163</v>
      </c>
      <c r="B14" s="22" t="s">
        <v>931</v>
      </c>
      <c r="C14" s="22" t="s">
        <v>87</v>
      </c>
      <c r="D14" s="23"/>
      <c r="E14" s="22" t="s">
        <v>1124</v>
      </c>
      <c r="F14" s="29">
        <v>1</v>
      </c>
      <c r="G14" s="22">
        <v>35</v>
      </c>
      <c r="H14" s="64"/>
      <c r="I14" s="22" t="s">
        <v>1125</v>
      </c>
      <c r="J14" s="22" t="s">
        <v>213</v>
      </c>
      <c r="K14" s="90">
        <v>12</v>
      </c>
      <c r="L14" s="91">
        <f>INT(38.25/150*L29)</f>
        <v>3825</v>
      </c>
      <c r="M14" s="91">
        <f t="shared" ref="M14:W14" si="51">INT(38.25/150*M29)</f>
        <v>15300</v>
      </c>
      <c r="N14" s="91">
        <f t="shared" si="51"/>
        <v>255</v>
      </c>
      <c r="O14" s="91">
        <f t="shared" si="51"/>
        <v>510</v>
      </c>
      <c r="P14" s="91">
        <f t="shared" si="51"/>
        <v>255</v>
      </c>
      <c r="Q14" s="91">
        <f t="shared" si="51"/>
        <v>510</v>
      </c>
      <c r="R14" s="91">
        <f t="shared" si="51"/>
        <v>255</v>
      </c>
      <c r="S14" s="91">
        <f t="shared" si="51"/>
        <v>510</v>
      </c>
      <c r="T14" s="91">
        <f t="shared" si="51"/>
        <v>191</v>
      </c>
      <c r="U14" s="91">
        <f t="shared" si="51"/>
        <v>382</v>
      </c>
      <c r="V14" s="91">
        <f t="shared" si="51"/>
        <v>191</v>
      </c>
      <c r="W14" s="91">
        <f t="shared" si="51"/>
        <v>382</v>
      </c>
      <c r="X14" s="91">
        <f>L14*属性价值参考!C$5+基本装备!M14*属性价值参考!C$6+基本装备!N14*属性价值参考!C$7+基本装备!O14*属性价值参考!C$8+基本装备!T14*属性价值参考!C$9+基本装备!U14*属性价值参考!C$10+基本装备!V14*属性价值参考!C$11+基本装备!W14*属性价值参考!C$12</f>
        <v>89615.39999999998</v>
      </c>
      <c r="Y14" s="91">
        <f>基本装备!AG14*属性价值参考!C$13+基本装备!AH14*属性价值参考!C$36+基本装备!AI14*属性价值参考!C$19+基本装备!AJ14*属性价值参考!C$15+基本装备!AK14*属性价值参考!C$27+基本装备!AP14*属性价值参考!C$20+基本装备!AQ14*属性价值参考!C$21+基本装备!AR14*属性价值参考!C$26+8*(基本装备!AW14*属性价值参考!C$26+基本装备!BB14*属性价值参考!C$27+基本装备!BC14*(属性价值参考!C$28+属性价值参考!C$29))</f>
        <v>39127.599999999999</v>
      </c>
      <c r="Z14" s="9"/>
      <c r="AA14" s="81">
        <f t="shared" si="1"/>
        <v>3825</v>
      </c>
      <c r="AB14" s="81">
        <f t="shared" si="2"/>
        <v>15300</v>
      </c>
      <c r="AC14" s="81">
        <f t="shared" si="3"/>
        <v>510</v>
      </c>
      <c r="AD14" s="81">
        <f t="shared" si="4"/>
        <v>382</v>
      </c>
      <c r="AE14" s="9"/>
      <c r="AF14" s="82">
        <f t="shared" si="5"/>
        <v>127.5</v>
      </c>
      <c r="AG14" s="82">
        <f>ROUND(50/80*$AG$29,0)</f>
        <v>50</v>
      </c>
      <c r="AH14" s="82">
        <f>ROUND(3/7*$AH$29,0)</f>
        <v>3</v>
      </c>
      <c r="AI14" s="82">
        <v>5</v>
      </c>
      <c r="AJ14" s="82">
        <f>ROUND(3/10*$AJ$29,0)</f>
        <v>3</v>
      </c>
      <c r="AK14" s="82">
        <f>ROUND(18/52*$AK$29,0)</f>
        <v>18</v>
      </c>
      <c r="AL14" s="82">
        <f t="shared" si="6"/>
        <v>1020</v>
      </c>
      <c r="AM14" s="82">
        <f t="shared" si="7"/>
        <v>4080</v>
      </c>
      <c r="AN14" s="82">
        <f t="shared" si="8"/>
        <v>40.800000000000004</v>
      </c>
      <c r="AO14" s="82">
        <f t="shared" si="9"/>
        <v>106.96000000000001</v>
      </c>
      <c r="AP14" s="82">
        <f t="shared" ref="AP14:AP16" si="52">ROUND(3/6*$AP$29,0)</f>
        <v>3</v>
      </c>
      <c r="AQ14" s="82">
        <f t="shared" ref="AQ14:AQ16" si="53">ROUND(3/6*$AQ$29,0)</f>
        <v>3</v>
      </c>
      <c r="AR14" s="82">
        <f>ROUND(25/110*$AR$29,0)</f>
        <v>25</v>
      </c>
      <c r="AS14" s="82">
        <f t="shared" si="10"/>
        <v>357</v>
      </c>
      <c r="AT14" s="82">
        <f t="shared" si="11"/>
        <v>1020</v>
      </c>
      <c r="AU14" s="82">
        <f t="shared" si="12"/>
        <v>35.700000000000003</v>
      </c>
      <c r="AV14" s="82">
        <f t="shared" si="13"/>
        <v>30.560000000000002</v>
      </c>
      <c r="AW14" s="82">
        <f>ROUND(14/44*$AW$29,0)</f>
        <v>14</v>
      </c>
      <c r="AX14" s="82">
        <f t="shared" si="14"/>
        <v>306</v>
      </c>
      <c r="AY14" s="82">
        <f t="shared" si="15"/>
        <v>1275</v>
      </c>
      <c r="AZ14" s="82">
        <f t="shared" si="16"/>
        <v>38.25</v>
      </c>
      <c r="BA14" s="82">
        <f t="shared" si="17"/>
        <v>30.560000000000002</v>
      </c>
      <c r="BB14" s="89">
        <f>ROUND(4/16*$BB$29,0)</f>
        <v>4</v>
      </c>
      <c r="BC14" s="89">
        <f>ROUND(4/10*$BC$29,0)</f>
        <v>4</v>
      </c>
      <c r="BE14" s="83">
        <v>12</v>
      </c>
      <c r="BF14" s="83" t="str">
        <f t="shared" si="40"/>
        <v>3#3#63|3#4#127|3#5#63|3#6#127|3#7#63|3#8#127|3#13#50|3#20#3|3#25#5|3#21#3</v>
      </c>
      <c r="BG14" s="83" t="str">
        <f t="shared" si="19"/>
        <v>3#35#1800</v>
      </c>
      <c r="BH14" s="83" t="str">
        <f t="shared" si="41"/>
        <v>3#9#53|3#10#106|3#11#53|3#12#106|3#3#20|3#4#40|3#5#20|3#6#40|3#7#20|3#8#40|0#1#1020|0#2#408|1#1#306|1#2#4080|2#1#612|2#2#3264|3#26#3|3#27#3</v>
      </c>
      <c r="BI14" s="83" t="str">
        <f t="shared" si="20"/>
        <v>3#30#25|3#31#25</v>
      </c>
      <c r="BJ14" s="83" t="str">
        <f t="shared" si="21"/>
        <v>3#9#15|3#10#30|3#11#15|3#12#30|0#1#306|0#2#127|1#1#91|1#2#1275|2#1#183|2#2#1020</v>
      </c>
      <c r="BK14" s="83" t="str">
        <f t="shared" si="22"/>
        <v>3#35#400|3#36#400</v>
      </c>
      <c r="BL14" s="83" t="str">
        <f t="shared" si="23"/>
        <v>3#9#15|3#10#30|3#11#15|3#12#30|0#1#306|0#2#127|1#1#91|1#2#1275|2#1#183|2#2#1020</v>
      </c>
      <c r="BM14" s="83" t="str">
        <f t="shared" si="24"/>
        <v>3#35#400|3#36#400</v>
      </c>
      <c r="BN14" s="83" t="str">
        <f t="shared" si="25"/>
        <v>3#9#15|3#10#30|3#11#15|3#12#30|0#1#306|0#2#127|1#1#91|1#2#1275|2#1#183|2#2#1020</v>
      </c>
      <c r="BO14" s="83" t="str">
        <f t="shared" si="26"/>
        <v>3#35#400|3#37#400</v>
      </c>
      <c r="BP14" s="83" t="str">
        <f t="shared" si="27"/>
        <v>3#9#15|3#10#30|3#11#15|3#12#30|0#1#306|0#2#127|1#1#91|1#2#1275|2#1#183|2#2#1020</v>
      </c>
      <c r="BQ14" s="83" t="str">
        <f t="shared" si="28"/>
        <v>3#35#400|3#37#400</v>
      </c>
      <c r="BR14" s="83" t="str">
        <f t="shared" si="29"/>
        <v>3#9#15|3#10#30|3#11#15|3#12#30|0#1#306|0#2#127|1#1#91|1#2#1275|2#1#183|2#2#1020</v>
      </c>
      <c r="BS14" s="83" t="str">
        <f t="shared" si="30"/>
        <v>3#35#400|3#36#400</v>
      </c>
      <c r="BT14" s="83" t="str">
        <f t="shared" si="31"/>
        <v>3#9#15|3#10#30|3#11#15|3#12#30|0#1#306|0#2#127|1#1#91|1#2#1275|2#1#183|2#2#1020</v>
      </c>
      <c r="BU14" s="83" t="str">
        <f t="shared" si="32"/>
        <v>3#35#400|3#36#400</v>
      </c>
      <c r="BV14" s="83" t="str">
        <f t="shared" si="33"/>
        <v>3#9#15|3#10#30|3#11#15|3#12#30|3#3#17|3#4#35|3#5#17|3#6#35|3#7#17|3#8#35|0#1#357|0#2#102|1#1#107|1#2#1020|2#1#214|2#2#816</v>
      </c>
      <c r="BW14" s="83" t="str">
        <f t="shared" si="34"/>
        <v>3#30#14|3#31#14</v>
      </c>
      <c r="BY14" s="80" t="s">
        <v>1947</v>
      </c>
      <c r="BZ14" s="88">
        <v>1</v>
      </c>
      <c r="CA14" s="88">
        <v>2</v>
      </c>
      <c r="CB14" s="88">
        <v>3</v>
      </c>
      <c r="CC14" s="88">
        <v>4</v>
      </c>
      <c r="CD14" s="88">
        <v>5</v>
      </c>
      <c r="CE14" s="88">
        <v>6</v>
      </c>
      <c r="CF14" s="88">
        <v>7</v>
      </c>
      <c r="CG14" s="88">
        <v>8</v>
      </c>
      <c r="CH14" s="88">
        <v>9</v>
      </c>
      <c r="CI14" s="88">
        <v>10</v>
      </c>
      <c r="CJ14" s="88">
        <v>11</v>
      </c>
      <c r="CK14" s="88">
        <v>12</v>
      </c>
      <c r="CL14" s="88">
        <v>13</v>
      </c>
      <c r="CM14" s="88">
        <v>14</v>
      </c>
      <c r="CN14" s="88">
        <v>15</v>
      </c>
      <c r="CO14" s="88">
        <v>16</v>
      </c>
      <c r="CP14" s="88">
        <v>17</v>
      </c>
      <c r="CQ14" s="88">
        <v>18</v>
      </c>
      <c r="CR14" s="88">
        <v>19</v>
      </c>
      <c r="CS14" s="88">
        <v>20</v>
      </c>
      <c r="CT14" s="88">
        <v>21</v>
      </c>
      <c r="CU14" s="88">
        <v>22</v>
      </c>
      <c r="CV14" s="88">
        <v>23</v>
      </c>
      <c r="CW14" s="88">
        <v>24</v>
      </c>
      <c r="CX14" s="88">
        <v>25</v>
      </c>
      <c r="CY14" s="88">
        <v>26</v>
      </c>
      <c r="CZ14" s="88">
        <v>27</v>
      </c>
    </row>
    <row r="15" spans="1:104" x14ac:dyDescent="0.3">
      <c r="A15" s="22" t="s">
        <v>163</v>
      </c>
      <c r="B15" s="22" t="s">
        <v>1140</v>
      </c>
      <c r="C15" s="22" t="s">
        <v>83</v>
      </c>
      <c r="D15" s="23"/>
      <c r="E15" s="22" t="s">
        <v>1168</v>
      </c>
      <c r="F15" s="29">
        <v>1</v>
      </c>
      <c r="G15" s="69">
        <v>35</v>
      </c>
      <c r="H15" s="64"/>
      <c r="I15" s="22" t="s">
        <v>1169</v>
      </c>
      <c r="J15" s="22" t="s">
        <v>205</v>
      </c>
      <c r="K15" s="90">
        <v>13</v>
      </c>
      <c r="L15" s="91">
        <f>INT(43.5/150*L29)</f>
        <v>4350</v>
      </c>
      <c r="M15" s="91">
        <f t="shared" ref="M15:W15" si="54">INT(43.5/150*M29)</f>
        <v>17400</v>
      </c>
      <c r="N15" s="91">
        <f t="shared" si="54"/>
        <v>290</v>
      </c>
      <c r="O15" s="91">
        <f t="shared" si="54"/>
        <v>580</v>
      </c>
      <c r="P15" s="91">
        <f t="shared" si="54"/>
        <v>290</v>
      </c>
      <c r="Q15" s="91">
        <f t="shared" si="54"/>
        <v>580</v>
      </c>
      <c r="R15" s="91">
        <f t="shared" si="54"/>
        <v>290</v>
      </c>
      <c r="S15" s="91">
        <f t="shared" si="54"/>
        <v>580</v>
      </c>
      <c r="T15" s="91">
        <f t="shared" si="54"/>
        <v>217</v>
      </c>
      <c r="U15" s="91">
        <f t="shared" si="54"/>
        <v>435</v>
      </c>
      <c r="V15" s="91">
        <f t="shared" si="54"/>
        <v>217</v>
      </c>
      <c r="W15" s="91">
        <f t="shared" si="54"/>
        <v>435</v>
      </c>
      <c r="X15" s="91">
        <f>L15*属性价值参考!C$5+基本装备!M15*属性价值参考!C$6+基本装备!N15*属性价值参考!C$7+基本装备!O15*属性价值参考!C$8+基本装备!T15*属性价值参考!C$9+基本装备!U15*属性价值参考!C$10+基本装备!V15*属性价值参考!C$11+基本装备!W15*属性价值参考!C$12</f>
        <v>101932.8</v>
      </c>
      <c r="Y15" s="91">
        <f>基本装备!AG15*属性价值参考!C$13+基本装备!AH15*属性价值参考!C$36+基本装备!AI15*属性价值参考!C$19+基本装备!AJ15*属性价值参考!C$15+基本装备!AK15*属性价值参考!C$27+基本装备!AP15*属性价值参考!C$20+基本装备!AQ15*属性价值参考!C$21+基本装备!AR15*属性价值参考!C$26+8*(基本装备!AW15*属性价值参考!C$26+基本装备!BB15*属性价值参考!C$27+基本装备!BC15*(属性价值参考!C$28+属性价值参考!C$29))</f>
        <v>42173.2</v>
      </c>
      <c r="Z15" s="9"/>
      <c r="AA15" s="81">
        <f t="shared" si="1"/>
        <v>4350</v>
      </c>
      <c r="AB15" s="81">
        <f t="shared" si="2"/>
        <v>17400</v>
      </c>
      <c r="AC15" s="81">
        <f t="shared" si="3"/>
        <v>580</v>
      </c>
      <c r="AD15" s="81">
        <f t="shared" si="4"/>
        <v>435.00000000000006</v>
      </c>
      <c r="AE15" s="9"/>
      <c r="AF15" s="82">
        <f t="shared" si="5"/>
        <v>145</v>
      </c>
      <c r="AG15" s="82">
        <f>ROUND(50/80*$AG$29,0)</f>
        <v>50</v>
      </c>
      <c r="AH15" s="82">
        <f>ROUND(3/7*$AH$29,0)</f>
        <v>3</v>
      </c>
      <c r="AI15" s="82">
        <v>5</v>
      </c>
      <c r="AJ15" s="82">
        <f>ROUND(3/10*$AJ$29,0)</f>
        <v>3</v>
      </c>
      <c r="AK15" s="82">
        <f>ROUND(20/52*$AK$29,0)</f>
        <v>20</v>
      </c>
      <c r="AL15" s="82">
        <f t="shared" si="6"/>
        <v>1160</v>
      </c>
      <c r="AM15" s="82">
        <f t="shared" si="7"/>
        <v>4640</v>
      </c>
      <c r="AN15" s="82">
        <f t="shared" si="8"/>
        <v>46.4</v>
      </c>
      <c r="AO15" s="82">
        <f t="shared" si="9"/>
        <v>121.80000000000001</v>
      </c>
      <c r="AP15" s="82">
        <f t="shared" si="52"/>
        <v>3</v>
      </c>
      <c r="AQ15" s="82">
        <f t="shared" si="53"/>
        <v>3</v>
      </c>
      <c r="AR15" s="82">
        <f>ROUND(28/110*$AR$29,0)</f>
        <v>28</v>
      </c>
      <c r="AS15" s="82">
        <f t="shared" si="10"/>
        <v>406</v>
      </c>
      <c r="AT15" s="82">
        <f t="shared" si="11"/>
        <v>1160</v>
      </c>
      <c r="AU15" s="82">
        <f t="shared" si="12"/>
        <v>40.6</v>
      </c>
      <c r="AV15" s="82">
        <f t="shared" si="13"/>
        <v>34.800000000000004</v>
      </c>
      <c r="AW15" s="82">
        <f>ROUND(16/44*$AW$29,0)</f>
        <v>16</v>
      </c>
      <c r="AX15" s="82">
        <f t="shared" si="14"/>
        <v>348</v>
      </c>
      <c r="AY15" s="82">
        <f t="shared" si="15"/>
        <v>1450</v>
      </c>
      <c r="AZ15" s="82">
        <f t="shared" si="16"/>
        <v>43.5</v>
      </c>
      <c r="BA15" s="82">
        <f t="shared" si="17"/>
        <v>34.800000000000004</v>
      </c>
      <c r="BB15" s="89">
        <f>ROUND(4/16*$BB$29,0)</f>
        <v>4</v>
      </c>
      <c r="BC15" s="89">
        <f>ROUND(5/10*$BC$29,0)</f>
        <v>5</v>
      </c>
      <c r="BE15" s="83">
        <v>13</v>
      </c>
      <c r="BF15" s="83" t="str">
        <f t="shared" si="40"/>
        <v>3#3#72|3#4#145|3#5#72|3#6#145|3#7#72|3#8#145|3#13#50|3#20#3|3#25#5|3#21#3</v>
      </c>
      <c r="BG15" s="83" t="str">
        <f t="shared" si="19"/>
        <v>3#35#2000</v>
      </c>
      <c r="BH15" s="83" t="str">
        <f t="shared" si="41"/>
        <v>3#9#60|3#10#121|3#11#60|3#12#121|3#3#23|3#4#46|3#5#23|3#6#46|3#7#23|3#8#46|0#1#1160|0#2#464|1#1#348|1#2#4640|2#1#696|2#2#3712|3#26#3|3#27#3</v>
      </c>
      <c r="BI15" s="83" t="str">
        <f t="shared" si="20"/>
        <v>3#30#28|3#31#28</v>
      </c>
      <c r="BJ15" s="83" t="str">
        <f t="shared" si="21"/>
        <v>3#9#17|3#10#34|3#11#17|3#12#34|0#1#348|0#2#145|1#1#104|1#2#1450|2#1#208|2#2#1160</v>
      </c>
      <c r="BK15" s="83" t="str">
        <f t="shared" si="22"/>
        <v>3#35#400|3#36#500</v>
      </c>
      <c r="BL15" s="83" t="str">
        <f t="shared" si="23"/>
        <v>3#9#17|3#10#34|3#11#17|3#12#34|0#1#348|0#2#145|1#1#104|1#2#1450|2#1#208|2#2#1160</v>
      </c>
      <c r="BM15" s="83" t="str">
        <f t="shared" si="24"/>
        <v>3#35#400|3#36#500</v>
      </c>
      <c r="BN15" s="83" t="str">
        <f t="shared" si="25"/>
        <v>3#9#17|3#10#34|3#11#17|3#12#34|0#1#348|0#2#145|1#1#104|1#2#1450|2#1#208|2#2#1160</v>
      </c>
      <c r="BO15" s="83" t="str">
        <f t="shared" si="26"/>
        <v>3#35#400|3#37#500</v>
      </c>
      <c r="BP15" s="83" t="str">
        <f t="shared" si="27"/>
        <v>3#9#17|3#10#34|3#11#17|3#12#34|0#1#348|0#2#145|1#1#104|1#2#1450|2#1#208|2#2#1160</v>
      </c>
      <c r="BQ15" s="83" t="str">
        <f t="shared" si="28"/>
        <v>3#35#400|3#37#500</v>
      </c>
      <c r="BR15" s="83" t="str">
        <f t="shared" si="29"/>
        <v>3#9#17|3#10#34|3#11#17|3#12#34|0#1#348|0#2#145|1#1#104|1#2#1450|2#1#208|2#2#1160</v>
      </c>
      <c r="BS15" s="83" t="str">
        <f t="shared" si="30"/>
        <v>3#35#400|3#36#500</v>
      </c>
      <c r="BT15" s="83" t="str">
        <f t="shared" si="31"/>
        <v>3#9#17|3#10#34|3#11#17|3#12#34|0#1#348|0#2#145|1#1#104|1#2#1450|2#1#208|2#2#1160</v>
      </c>
      <c r="BU15" s="83" t="str">
        <f t="shared" si="32"/>
        <v>3#35#400|3#36#500</v>
      </c>
      <c r="BV15" s="83" t="str">
        <f t="shared" si="33"/>
        <v>3#9#17|3#10#34|3#11#17|3#12#34|3#3#20|3#4#40|3#5#20|3#6#40|3#7#20|3#8#40|0#1#406|0#2#116|1#1#121|1#2#1160|2#1#243|2#2#928</v>
      </c>
      <c r="BW15" s="83" t="str">
        <f t="shared" si="34"/>
        <v>3#30#16|3#31#16</v>
      </c>
      <c r="BY15" s="8" t="s">
        <v>1900</v>
      </c>
      <c r="BZ15" s="8" t="str">
        <f>"&lt;[单件触发]/FCOLOR=253&gt;\&lt; 攻魔道 +"&amp;AK3&amp;"%/FCOLOR=58&gt;\"</f>
        <v>&lt;[单件触发]/FCOLOR=253&gt;\&lt; 攻魔道 +1%/FCOLOR=58&gt;\</v>
      </c>
      <c r="CA15" s="8" t="str">
        <f>"&lt;[单件触发]/FCOLOR=253&gt;\&lt; 攻魔道 +"&amp;AK4&amp;"%/FCOLOR=58&gt;\"</f>
        <v>&lt;[单件触发]/FCOLOR=253&gt;\&lt; 攻魔道 +2%/FCOLOR=58&gt;\</v>
      </c>
      <c r="CB15" s="8" t="str">
        <f>"&lt;[单件触发]/FCOLOR=253&gt;\&lt; 攻魔道 +"&amp;AK5&amp;"%/FCOLOR=58&gt;\"</f>
        <v>&lt;[单件触发]/FCOLOR=253&gt;\&lt; 攻魔道 +3%/FCOLOR=58&gt;\</v>
      </c>
      <c r="CC15" s="8" t="str">
        <f>"&lt;[单件触发]/FCOLOR=253&gt;\&lt; 攻魔道 +"&amp;AK6&amp;"%/FCOLOR=58&gt;\"</f>
        <v>&lt;[单件触发]/FCOLOR=253&gt;\&lt; 攻魔道 +4%/FCOLOR=58&gt;\</v>
      </c>
      <c r="CD15" s="8" t="str">
        <f>"&lt;[单件触发]/FCOLOR=253&gt;\&lt; 攻魔道 +"&amp;AK7&amp;"%/FCOLOR=58&gt;\"</f>
        <v>&lt;[单件触发]/FCOLOR=253&gt;\&lt; 攻魔道 +5%/FCOLOR=58&gt;\</v>
      </c>
      <c r="CE15" s="8" t="str">
        <f>"&lt;[单件触发]/FCOLOR=253&gt;\&lt; 攻魔道 +"&amp;AK8&amp;"%/FCOLOR=58&gt;\"</f>
        <v>&lt;[单件触发]/FCOLOR=253&gt;\&lt; 攻魔道 +6%/FCOLOR=58&gt;\</v>
      </c>
      <c r="CF15" s="8" t="str">
        <f>"&lt;[单件触发]/FCOLOR=253&gt;\&lt; 攻魔道 +"&amp;AK9&amp;"%/FCOLOR=58&gt;\"</f>
        <v>&lt;[单件触发]/FCOLOR=253&gt;\&lt; 攻魔道 +8%/FCOLOR=58&gt;\</v>
      </c>
      <c r="CG15" s="8" t="str">
        <f>"&lt;[单件触发]/FCOLOR=253&gt;\&lt; 攻魔道 +"&amp;AK10&amp;"%/FCOLOR=58&gt;\"</f>
        <v>&lt;[单件触发]/FCOLOR=253&gt;\&lt; 攻魔道 +10%/FCOLOR=58&gt;\</v>
      </c>
      <c r="CH15" s="8" t="str">
        <f>"&lt;[单件触发]/FCOLOR=253&gt;\&lt; 攻魔道 +"&amp;AK11&amp;"%/FCOLOR=58&gt;\"</f>
        <v>&lt;[单件触发]/FCOLOR=253&gt;\&lt; 攻魔道 +12%/FCOLOR=58&gt;\</v>
      </c>
      <c r="CI15" s="8" t="str">
        <f>"&lt;[单件触发]/FCOLOR=253&gt;\&lt; 攻魔道 +"&amp;AK12&amp;"%/FCOLOR=58&gt;\"</f>
        <v>&lt;[单件触发]/FCOLOR=253&gt;\&lt; 攻魔道 +14%/FCOLOR=58&gt;\</v>
      </c>
      <c r="CJ15" s="8" t="str">
        <f>"&lt;[单件触发]/FCOLOR=253&gt;\&lt; 攻魔道 +"&amp;AK13&amp;"%/FCOLOR=58&gt;\"</f>
        <v>&lt;[单件触发]/FCOLOR=253&gt;\&lt; 攻魔道 +16%/FCOLOR=58&gt;\</v>
      </c>
      <c r="CK15" s="8" t="str">
        <f>"&lt;[单件触发]/FCOLOR=253&gt;\&lt; 攻魔道 +"&amp;AK14&amp;"%/FCOLOR=58&gt;\"</f>
        <v>&lt;[单件触发]/FCOLOR=253&gt;\&lt; 攻魔道 +18%/FCOLOR=58&gt;\</v>
      </c>
      <c r="CL15" s="8" t="str">
        <f>"&lt;[单件触发]/FCOLOR=253&gt;\&lt; 攻魔道 +"&amp;AK15&amp;"%/FCOLOR=58&gt;\"</f>
        <v>&lt;[单件触发]/FCOLOR=253&gt;\&lt; 攻魔道 +20%/FCOLOR=58&gt;\</v>
      </c>
      <c r="CM15" s="8" t="str">
        <f>"&lt;[单件触发]/FCOLOR=253&gt;\&lt; 攻魔道 +"&amp;AK16&amp;"%/FCOLOR=58&gt;\"</f>
        <v>&lt;[单件触发]/FCOLOR=253&gt;\&lt; 攻魔道 +22%/FCOLOR=58&gt;\</v>
      </c>
      <c r="CN15" s="8" t="str">
        <f>"&lt;[单件触发]/FCOLOR=253&gt;\&lt; 攻魔道 +"&amp;AK17&amp;"%/FCOLOR=58&gt;\"</f>
        <v>&lt;[单件触发]/FCOLOR=253&gt;\&lt; 攻魔道 +24%/FCOLOR=58&gt;\</v>
      </c>
      <c r="CO15" s="8" t="str">
        <f>"&lt;[单件触发]/FCOLOR=253&gt;\&lt; 攻魔道 +"&amp;AK18&amp;"%/FCOLOR=58&gt;\"</f>
        <v>&lt;[单件触发]/FCOLOR=253&gt;\&lt; 攻魔道 +26%/FCOLOR=58&gt;\</v>
      </c>
      <c r="CP15" s="8" t="str">
        <f>"&lt;[单件触发]/FCOLOR=253&gt;\&lt; 攻魔道 +"&amp;AK19&amp;"%/FCOLOR=58&gt;\"</f>
        <v>&lt;[单件触发]/FCOLOR=253&gt;\&lt; 攻魔道 +28%/FCOLOR=58&gt;\</v>
      </c>
      <c r="CQ15" s="8" t="str">
        <f>"&lt;[单件触发]/FCOLOR=253&gt;\&lt; 攻魔道 +"&amp;AK20&amp;"%/FCOLOR=58&gt;\"</f>
        <v>&lt;[单件触发]/FCOLOR=253&gt;\&lt; 攻魔道 +30%/FCOLOR=58&gt;\</v>
      </c>
      <c r="CR15" s="8" t="str">
        <f>"&lt;[单件触发]/FCOLOR=253&gt;\&lt; 攻魔道 +"&amp;AK21&amp;"%/FCOLOR=58&gt;\"</f>
        <v>&lt;[单件触发]/FCOLOR=253&gt;\&lt; 攻魔道 +32%/FCOLOR=58&gt;\</v>
      </c>
      <c r="CS15" s="8" t="str">
        <f>"&lt;[单件触发]/FCOLOR=253&gt;\&lt; 攻魔道 +"&amp;AK22&amp;"%/FCOLOR=58&gt;\"</f>
        <v>&lt;[单件触发]/FCOLOR=253&gt;\&lt; 攻魔道 +34%/FCOLOR=58&gt;\</v>
      </c>
      <c r="CT15" s="8" t="str">
        <f>"&lt;[单件触发]/FCOLOR=253&gt;\&lt; 攻魔道 +"&amp;AK23&amp;"%/FCOLOR=58&gt;\"</f>
        <v>&lt;[单件触发]/FCOLOR=253&gt;\&lt; 攻魔道 +36%/FCOLOR=58&gt;\</v>
      </c>
      <c r="CU15" s="8" t="str">
        <f>"&lt;[单件触发]/FCOLOR=253&gt;\&lt; 攻魔道 +"&amp;AK24&amp;"%/FCOLOR=58&gt;\"</f>
        <v>&lt;[单件触发]/FCOLOR=253&gt;\&lt; 攻魔道 +38%/FCOLOR=58&gt;\</v>
      </c>
      <c r="CV15" s="8" t="str">
        <f>"&lt;[单件触发]/FCOLOR=253&gt;\&lt; 攻魔道 +"&amp;AK25&amp;"%/FCOLOR=58&gt;\"</f>
        <v>&lt;[单件触发]/FCOLOR=253&gt;\&lt; 攻魔道 +40%/FCOLOR=58&gt;\</v>
      </c>
      <c r="CW15" s="8" t="str">
        <f>"&lt;[单件触发]/FCOLOR=253&gt;\&lt; 攻魔道 +"&amp;AK26&amp;"%/FCOLOR=58&gt;\"</f>
        <v>&lt;[单件触发]/FCOLOR=253&gt;\&lt; 攻魔道 +43%/FCOLOR=58&gt;\</v>
      </c>
      <c r="CX15" s="8" t="str">
        <f>"&lt;[单件触发]/FCOLOR=253&gt;\&lt; 攻魔道 +"&amp;AK27&amp;"%/FCOLOR=58&gt;\"</f>
        <v>&lt;[单件触发]/FCOLOR=253&gt;\&lt; 攻魔道 +46%/FCOLOR=58&gt;\</v>
      </c>
      <c r="CY15" s="8" t="str">
        <f>"&lt;[单件触发]/FCOLOR=253&gt;\&lt; 攻魔道 +"&amp;AK28&amp;"%/FCOLOR=58&gt;\"</f>
        <v>&lt;[单件触发]/FCOLOR=253&gt;\&lt; 攻魔道 +49%/FCOLOR=58&gt;\</v>
      </c>
      <c r="CZ15" s="8" t="str">
        <f>"&lt;[单件触发]/FCOLOR=253&gt;\&lt; 攻魔道 +"&amp;AK29&amp;"%/FCOLOR=58&gt;\"</f>
        <v>&lt;[单件触发]/FCOLOR=253&gt;\&lt; 攻魔道 +52%/FCOLOR=58&gt;\</v>
      </c>
    </row>
    <row r="16" spans="1:104" x14ac:dyDescent="0.3">
      <c r="A16" s="22" t="s">
        <v>163</v>
      </c>
      <c r="B16" s="22" t="s">
        <v>1140</v>
      </c>
      <c r="C16" s="22" t="s">
        <v>87</v>
      </c>
      <c r="D16" s="23"/>
      <c r="E16" s="22" t="s">
        <v>1170</v>
      </c>
      <c r="F16" s="29">
        <v>1</v>
      </c>
      <c r="G16" s="69">
        <v>35</v>
      </c>
      <c r="H16" s="64"/>
      <c r="I16" s="22" t="s">
        <v>1171</v>
      </c>
      <c r="J16" s="22" t="s">
        <v>213</v>
      </c>
      <c r="K16" s="90">
        <v>14</v>
      </c>
      <c r="L16" s="91">
        <f>INT(48/150*L29)</f>
        <v>4800</v>
      </c>
      <c r="M16" s="91">
        <f t="shared" ref="M16:W16" si="55">INT(48/150*M29)</f>
        <v>19200</v>
      </c>
      <c r="N16" s="91">
        <f t="shared" si="55"/>
        <v>320</v>
      </c>
      <c r="O16" s="91">
        <f t="shared" si="55"/>
        <v>640</v>
      </c>
      <c r="P16" s="91">
        <f t="shared" si="55"/>
        <v>320</v>
      </c>
      <c r="Q16" s="91">
        <f t="shared" si="55"/>
        <v>640</v>
      </c>
      <c r="R16" s="91">
        <f t="shared" si="55"/>
        <v>320</v>
      </c>
      <c r="S16" s="91">
        <f t="shared" si="55"/>
        <v>640</v>
      </c>
      <c r="T16" s="91">
        <f t="shared" si="55"/>
        <v>240</v>
      </c>
      <c r="U16" s="91">
        <f t="shared" si="55"/>
        <v>480</v>
      </c>
      <c r="V16" s="91">
        <f t="shared" si="55"/>
        <v>240</v>
      </c>
      <c r="W16" s="91">
        <f t="shared" si="55"/>
        <v>480</v>
      </c>
      <c r="X16" s="91">
        <f>L16*属性价值参考!C$5+基本装备!M16*属性价值参考!C$6+基本装备!N16*属性价值参考!C$7+基本装备!O16*属性价值参考!C$8+基本装备!T16*属性价值参考!C$9+基本装备!U16*属性价值参考!C$10+基本装备!V16*属性价值参考!C$11+基本装备!W16*属性价值参考!C$12</f>
        <v>112492.8</v>
      </c>
      <c r="Y16" s="91">
        <f>基本装备!AG16*属性价值参考!C$13+基本装备!AH16*属性价值参考!C$36+基本装备!AI16*属性价值参考!C$19+基本装备!AJ16*属性价值参考!C$15+基本装备!AK16*属性价值参考!C$27+基本装备!AP16*属性价值参考!C$20+基本装备!AQ16*属性价值参考!C$21+基本装备!AR16*属性价值参考!C$26+8*(基本装备!AW16*属性价值参考!C$26+基本装备!BB16*属性价值参考!C$27+基本装备!BC16*(属性价值参考!C$28+属性价值参考!C$29))</f>
        <v>46515.199999999997</v>
      </c>
      <c r="Z16" s="9"/>
      <c r="AA16" s="81">
        <f t="shared" si="1"/>
        <v>4800</v>
      </c>
      <c r="AB16" s="81">
        <f t="shared" si="2"/>
        <v>19200</v>
      </c>
      <c r="AC16" s="81">
        <f t="shared" si="3"/>
        <v>640</v>
      </c>
      <c r="AD16" s="81">
        <f t="shared" si="4"/>
        <v>480</v>
      </c>
      <c r="AE16" s="9"/>
      <c r="AF16" s="82">
        <f t="shared" si="5"/>
        <v>160</v>
      </c>
      <c r="AG16" s="82">
        <f>ROUND(55/80*$AG$29,0)</f>
        <v>55</v>
      </c>
      <c r="AH16" s="82">
        <f>ROUND(3/7*$AH$29,0)</f>
        <v>3</v>
      </c>
      <c r="AI16" s="82">
        <v>6</v>
      </c>
      <c r="AJ16" s="82">
        <f>ROUND(4/10*$AJ$29,0)</f>
        <v>4</v>
      </c>
      <c r="AK16" s="82">
        <f>ROUND(22/52*$AK$29,0)</f>
        <v>22</v>
      </c>
      <c r="AL16" s="82">
        <f t="shared" si="6"/>
        <v>1280</v>
      </c>
      <c r="AM16" s="82">
        <f t="shared" si="7"/>
        <v>5120</v>
      </c>
      <c r="AN16" s="82">
        <f t="shared" si="8"/>
        <v>51.2</v>
      </c>
      <c r="AO16" s="82">
        <f t="shared" si="9"/>
        <v>134.4</v>
      </c>
      <c r="AP16" s="82">
        <f t="shared" si="52"/>
        <v>3</v>
      </c>
      <c r="AQ16" s="82">
        <f t="shared" si="53"/>
        <v>3</v>
      </c>
      <c r="AR16" s="82">
        <f>ROUND(31/110*$AR$29,0)</f>
        <v>31</v>
      </c>
      <c r="AS16" s="82">
        <f t="shared" si="10"/>
        <v>448</v>
      </c>
      <c r="AT16" s="82">
        <f t="shared" si="11"/>
        <v>1280</v>
      </c>
      <c r="AU16" s="82">
        <f t="shared" si="12"/>
        <v>44.800000000000004</v>
      </c>
      <c r="AV16" s="82">
        <f t="shared" si="13"/>
        <v>38.4</v>
      </c>
      <c r="AW16" s="82">
        <f>ROUND(18/44*$AW$29,0)</f>
        <v>18</v>
      </c>
      <c r="AX16" s="82">
        <f t="shared" si="14"/>
        <v>384</v>
      </c>
      <c r="AY16" s="82">
        <f t="shared" si="15"/>
        <v>1600</v>
      </c>
      <c r="AZ16" s="82">
        <f t="shared" si="16"/>
        <v>48</v>
      </c>
      <c r="BA16" s="82">
        <f t="shared" si="17"/>
        <v>38.4</v>
      </c>
      <c r="BB16" s="89">
        <f>ROUND(5/16*$BB$29,0)</f>
        <v>5</v>
      </c>
      <c r="BC16" s="89">
        <f>ROUND(5/10*$BC$29,0)</f>
        <v>5</v>
      </c>
      <c r="BE16" s="83">
        <v>14</v>
      </c>
      <c r="BF16" s="83" t="str">
        <f t="shared" si="40"/>
        <v>3#3#80|3#4#160|3#5#80|3#6#160|3#7#80|3#8#160|3#13#55|3#20#3|3#25#6|3#21#4</v>
      </c>
      <c r="BG16" s="83" t="str">
        <f t="shared" si="19"/>
        <v>3#35#2200</v>
      </c>
      <c r="BH16" s="83" t="str">
        <f t="shared" si="41"/>
        <v>3#9#67|3#10#134|3#11#67|3#12#134|3#3#25|3#4#51|3#5#25|3#6#51|3#7#25|3#8#51|0#1#1280|0#2#512|1#1#384|1#2#5120|2#1#768|2#2#4096|3#26#3|3#27#3</v>
      </c>
      <c r="BI16" s="83" t="str">
        <f t="shared" si="20"/>
        <v>3#30#31|3#31#31</v>
      </c>
      <c r="BJ16" s="83" t="str">
        <f t="shared" si="21"/>
        <v>3#9#19|3#10#38|3#11#19|3#12#38|0#1#384|0#2#160|1#1#115|1#2#1600|2#1#230|2#2#1280</v>
      </c>
      <c r="BK16" s="83" t="str">
        <f t="shared" si="22"/>
        <v>3#35#500|3#36#500</v>
      </c>
      <c r="BL16" s="83" t="str">
        <f t="shared" si="23"/>
        <v>3#9#19|3#10#38|3#11#19|3#12#38|0#1#384|0#2#160|1#1#115|1#2#1600|2#1#230|2#2#1280</v>
      </c>
      <c r="BM16" s="83" t="str">
        <f t="shared" si="24"/>
        <v>3#35#500|3#36#500</v>
      </c>
      <c r="BN16" s="83" t="str">
        <f t="shared" si="25"/>
        <v>3#9#19|3#10#38|3#11#19|3#12#38|0#1#384|0#2#160|1#1#115|1#2#1600|2#1#230|2#2#1280</v>
      </c>
      <c r="BO16" s="83" t="str">
        <f t="shared" si="26"/>
        <v>3#35#500|3#37#500</v>
      </c>
      <c r="BP16" s="83" t="str">
        <f t="shared" si="27"/>
        <v>3#9#19|3#10#38|3#11#19|3#12#38|0#1#384|0#2#160|1#1#115|1#2#1600|2#1#230|2#2#1280</v>
      </c>
      <c r="BQ16" s="83" t="str">
        <f t="shared" si="28"/>
        <v>3#35#500|3#37#500</v>
      </c>
      <c r="BR16" s="83" t="str">
        <f t="shared" si="29"/>
        <v>3#9#19|3#10#38|3#11#19|3#12#38|0#1#384|0#2#160|1#1#115|1#2#1600|2#1#230|2#2#1280</v>
      </c>
      <c r="BS16" s="83" t="str">
        <f t="shared" si="30"/>
        <v>3#35#500|3#36#500</v>
      </c>
      <c r="BT16" s="83" t="str">
        <f t="shared" si="31"/>
        <v>3#9#19|3#10#38|3#11#19|3#12#38|0#1#384|0#2#160|1#1#115|1#2#1600|2#1#230|2#2#1280</v>
      </c>
      <c r="BU16" s="83" t="str">
        <f t="shared" si="32"/>
        <v>3#35#500|3#36#500</v>
      </c>
      <c r="BV16" s="83" t="str">
        <f t="shared" si="33"/>
        <v>3#9#19|3#10#38|3#11#19|3#12#38|3#3#22|3#4#44|3#5#22|3#6#44|3#7#22|3#8#44|0#1#448|0#2#128|1#1#134|1#2#1280|2#1#268|2#2#1024</v>
      </c>
      <c r="BW16" s="83" t="str">
        <f t="shared" si="34"/>
        <v>3#30#18|3#31#18</v>
      </c>
      <c r="BY16" s="8" t="s">
        <v>1915</v>
      </c>
      <c r="BZ16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6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6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6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6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6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6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6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6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6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6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6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6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6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6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6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6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6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6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6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6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6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6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6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6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6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6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7" spans="1:104" x14ac:dyDescent="0.3">
      <c r="A17" s="22" t="s">
        <v>163</v>
      </c>
      <c r="B17" s="22" t="s">
        <v>1140</v>
      </c>
      <c r="C17" s="22" t="s">
        <v>85</v>
      </c>
      <c r="D17" s="23"/>
      <c r="E17" s="22" t="s">
        <v>1172</v>
      </c>
      <c r="F17" s="29">
        <v>1</v>
      </c>
      <c r="G17" s="69">
        <v>35</v>
      </c>
      <c r="H17" s="64"/>
      <c r="I17" s="22" t="s">
        <v>1173</v>
      </c>
      <c r="J17" s="22" t="s">
        <v>209</v>
      </c>
      <c r="K17" s="90">
        <v>15</v>
      </c>
      <c r="L17" s="91">
        <f>INT(52.5/150*L29)</f>
        <v>5250</v>
      </c>
      <c r="M17" s="91">
        <f t="shared" ref="M17:W17" si="56">INT(52.5/150*M29)</f>
        <v>21000</v>
      </c>
      <c r="N17" s="91">
        <f t="shared" si="56"/>
        <v>350</v>
      </c>
      <c r="O17" s="91">
        <f t="shared" si="56"/>
        <v>700</v>
      </c>
      <c r="P17" s="91">
        <f t="shared" si="56"/>
        <v>350</v>
      </c>
      <c r="Q17" s="91">
        <f t="shared" si="56"/>
        <v>700</v>
      </c>
      <c r="R17" s="91">
        <f t="shared" si="56"/>
        <v>350</v>
      </c>
      <c r="S17" s="91">
        <f t="shared" si="56"/>
        <v>700</v>
      </c>
      <c r="T17" s="91">
        <f t="shared" si="56"/>
        <v>262</v>
      </c>
      <c r="U17" s="91">
        <f t="shared" si="56"/>
        <v>525</v>
      </c>
      <c r="V17" s="91">
        <f t="shared" si="56"/>
        <v>262</v>
      </c>
      <c r="W17" s="91">
        <f t="shared" si="56"/>
        <v>525</v>
      </c>
      <c r="X17" s="91">
        <f>L17*属性价值参考!C$5+基本装备!M17*属性价值参考!C$6+基本装备!N17*属性价值参考!C$7+基本装备!O17*属性价值参考!C$8+基本装备!T17*属性价值参考!C$9+基本装备!U17*属性价值参考!C$10+基本装备!V17*属性价值参考!C$11+基本装备!W17*属性价值参考!C$12</f>
        <v>123025.2</v>
      </c>
      <c r="Y17" s="91">
        <f>基本装备!AG17*属性价值参考!C$13+基本装备!AH17*属性价值参考!C$36+基本装备!AI17*属性价值参考!C$19+基本装备!AJ17*属性价值参考!C$15+基本装备!AK17*属性价值参考!C$27+基本装备!AP17*属性价值参考!C$20+基本装备!AQ17*属性价值参考!C$21+基本装备!AR17*属性价值参考!C$26+8*(基本装备!AW17*属性价值参考!C$26+基本装备!BB17*属性价值参考!C$27+基本装备!BC17*(属性价值参考!C$28+属性价值参考!C$29))</f>
        <v>50856.800000000003</v>
      </c>
      <c r="Z17" s="9"/>
      <c r="AA17" s="81">
        <f t="shared" si="1"/>
        <v>5250</v>
      </c>
      <c r="AB17" s="81">
        <f t="shared" si="2"/>
        <v>21000</v>
      </c>
      <c r="AC17" s="81">
        <f t="shared" si="3"/>
        <v>700</v>
      </c>
      <c r="AD17" s="81">
        <f t="shared" si="4"/>
        <v>525</v>
      </c>
      <c r="AE17" s="9"/>
      <c r="AF17" s="82">
        <f t="shared" si="5"/>
        <v>175</v>
      </c>
      <c r="AG17" s="82">
        <f>ROUND(55/80*$AG$29,0)</f>
        <v>55</v>
      </c>
      <c r="AH17" s="82">
        <f>ROUND(4/7*$AH$29,0)</f>
        <v>4</v>
      </c>
      <c r="AI17" s="82">
        <v>6</v>
      </c>
      <c r="AJ17" s="82">
        <f>ROUND(4/10*$AJ$29,0)</f>
        <v>4</v>
      </c>
      <c r="AK17" s="82">
        <f>ROUND(24/52*$AK$29,0)</f>
        <v>24</v>
      </c>
      <c r="AL17" s="82">
        <f t="shared" si="6"/>
        <v>1400</v>
      </c>
      <c r="AM17" s="82">
        <f t="shared" si="7"/>
        <v>5600</v>
      </c>
      <c r="AN17" s="82">
        <f t="shared" si="8"/>
        <v>56</v>
      </c>
      <c r="AO17" s="82">
        <f t="shared" si="9"/>
        <v>147</v>
      </c>
      <c r="AP17" s="82">
        <f>ROUND(3/6*$AP$29,0)</f>
        <v>3</v>
      </c>
      <c r="AQ17" s="82">
        <f>ROUND(3/6*$AQ$29,0)</f>
        <v>3</v>
      </c>
      <c r="AR17" s="82">
        <f>ROUND(34/110*$AR$29,0)</f>
        <v>34</v>
      </c>
      <c r="AS17" s="82">
        <f t="shared" si="10"/>
        <v>490</v>
      </c>
      <c r="AT17" s="82">
        <f t="shared" si="11"/>
        <v>1400</v>
      </c>
      <c r="AU17" s="82">
        <f t="shared" si="12"/>
        <v>49.000000000000007</v>
      </c>
      <c r="AV17" s="82">
        <f t="shared" si="13"/>
        <v>42</v>
      </c>
      <c r="AW17" s="82">
        <f>ROUND(20/44*$AW$29,0)</f>
        <v>20</v>
      </c>
      <c r="AX17" s="82">
        <f t="shared" si="14"/>
        <v>420</v>
      </c>
      <c r="AY17" s="82">
        <f t="shared" si="15"/>
        <v>1750</v>
      </c>
      <c r="AZ17" s="82">
        <f t="shared" si="16"/>
        <v>52.5</v>
      </c>
      <c r="BA17" s="82">
        <f t="shared" si="17"/>
        <v>42</v>
      </c>
      <c r="BB17" s="89">
        <f>ROUND(5/16*$BB$29,0)</f>
        <v>5</v>
      </c>
      <c r="BC17" s="89">
        <f>ROUND(5/10*$BC$29,0)</f>
        <v>5</v>
      </c>
      <c r="BE17" s="83">
        <v>15</v>
      </c>
      <c r="BF17" s="83" t="str">
        <f t="shared" si="40"/>
        <v>3#3#87|3#4#175|3#5#87|3#6#175|3#7#87|3#8#175|3#13#55|3#20#4|3#25#6|3#21#4</v>
      </c>
      <c r="BG17" s="83" t="str">
        <f t="shared" si="19"/>
        <v>3#35#2400</v>
      </c>
      <c r="BH17" s="83" t="str">
        <f t="shared" si="41"/>
        <v>3#9#73|3#10#147|3#11#73|3#12#147|3#3#28|3#4#56|3#5#28|3#6#56|3#7#28|3#8#56|0#1#1400|0#2#560|1#1#420|1#2#5600|2#1#840|2#2#4480|3#26#3|3#27#3</v>
      </c>
      <c r="BI17" s="83" t="str">
        <f t="shared" si="20"/>
        <v>3#30#34|3#31#34</v>
      </c>
      <c r="BJ17" s="83" t="str">
        <f t="shared" si="21"/>
        <v>3#9#21|3#10#42|3#11#21|3#12#42|0#1#420|0#2#175|1#1#126|1#2#1750|2#1#252|2#2#1400</v>
      </c>
      <c r="BK17" s="83" t="str">
        <f t="shared" si="22"/>
        <v>3#35#500|3#36#500</v>
      </c>
      <c r="BL17" s="83" t="str">
        <f t="shared" si="23"/>
        <v>3#9#21|3#10#42|3#11#21|3#12#42|0#1#420|0#2#175|1#1#126|1#2#1750|2#1#252|2#2#1400</v>
      </c>
      <c r="BM17" s="83" t="str">
        <f t="shared" si="24"/>
        <v>3#35#500|3#36#500</v>
      </c>
      <c r="BN17" s="83" t="str">
        <f t="shared" si="25"/>
        <v>3#9#21|3#10#42|3#11#21|3#12#42|0#1#420|0#2#175|1#1#126|1#2#1750|2#1#252|2#2#1400</v>
      </c>
      <c r="BO17" s="83" t="str">
        <f t="shared" si="26"/>
        <v>3#35#500|3#37#500</v>
      </c>
      <c r="BP17" s="83" t="str">
        <f t="shared" si="27"/>
        <v>3#9#21|3#10#42|3#11#21|3#12#42|0#1#420|0#2#175|1#1#126|1#2#1750|2#1#252|2#2#1400</v>
      </c>
      <c r="BQ17" s="83" t="str">
        <f t="shared" si="28"/>
        <v>3#35#500|3#37#500</v>
      </c>
      <c r="BR17" s="83" t="str">
        <f t="shared" si="29"/>
        <v>3#9#21|3#10#42|3#11#21|3#12#42|0#1#420|0#2#175|1#1#126|1#2#1750|2#1#252|2#2#1400</v>
      </c>
      <c r="BS17" s="83" t="str">
        <f t="shared" si="30"/>
        <v>3#35#500|3#36#500</v>
      </c>
      <c r="BT17" s="83" t="str">
        <f t="shared" si="31"/>
        <v>3#9#21|3#10#42|3#11#21|3#12#42|0#1#420|0#2#175|1#1#126|1#2#1750|2#1#252|2#2#1400</v>
      </c>
      <c r="BU17" s="83" t="str">
        <f t="shared" si="32"/>
        <v>3#35#500|3#36#500</v>
      </c>
      <c r="BV17" s="83" t="str">
        <f t="shared" si="33"/>
        <v>3#9#21|3#10#42|3#11#21|3#12#42|3#3#24|3#4#49|3#5#24|3#6#49|3#7#24|3#8#49|0#1#490|0#2#140|1#1#147|1#2#1400|2#1#294|2#2#1120</v>
      </c>
      <c r="BW17" s="83" t="str">
        <f t="shared" si="34"/>
        <v>3#30#20|3#31#20</v>
      </c>
      <c r="BY17" s="8" t="s">
        <v>1916</v>
      </c>
      <c r="BZ17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7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7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7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7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7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7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7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7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7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7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7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7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7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7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7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7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7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7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7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7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7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7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7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7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7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7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8" spans="1:104" x14ac:dyDescent="0.3">
      <c r="A18" s="22" t="s">
        <v>163</v>
      </c>
      <c r="B18" s="22" t="s">
        <v>1321</v>
      </c>
      <c r="C18" s="22" t="s">
        <v>83</v>
      </c>
      <c r="D18" s="23"/>
      <c r="E18" s="22" t="s">
        <v>1358</v>
      </c>
      <c r="F18" s="29">
        <v>1</v>
      </c>
      <c r="G18" s="69">
        <v>35</v>
      </c>
      <c r="H18" s="64"/>
      <c r="I18" s="22" t="s">
        <v>1359</v>
      </c>
      <c r="J18" s="22" t="s">
        <v>205</v>
      </c>
      <c r="K18" s="90">
        <v>16</v>
      </c>
      <c r="L18" s="91">
        <f>INT(56.25/150*L29)</f>
        <v>5625</v>
      </c>
      <c r="M18" s="91">
        <f t="shared" ref="M18:W18" si="57">INT(56.25/150*M29)</f>
        <v>22500</v>
      </c>
      <c r="N18" s="91">
        <f t="shared" si="57"/>
        <v>375</v>
      </c>
      <c r="O18" s="91">
        <f t="shared" si="57"/>
        <v>750</v>
      </c>
      <c r="P18" s="91">
        <f t="shared" si="57"/>
        <v>375</v>
      </c>
      <c r="Q18" s="91">
        <f t="shared" si="57"/>
        <v>750</v>
      </c>
      <c r="R18" s="91">
        <f t="shared" si="57"/>
        <v>375</v>
      </c>
      <c r="S18" s="91">
        <f t="shared" si="57"/>
        <v>750</v>
      </c>
      <c r="T18" s="91">
        <f t="shared" si="57"/>
        <v>281</v>
      </c>
      <c r="U18" s="91">
        <f t="shared" si="57"/>
        <v>562</v>
      </c>
      <c r="V18" s="91">
        <f t="shared" si="57"/>
        <v>281</v>
      </c>
      <c r="W18" s="91">
        <f t="shared" si="57"/>
        <v>562</v>
      </c>
      <c r="X18" s="91">
        <f>L18*属性价值参考!C$5+基本装备!M18*属性价值参考!C$6+基本装备!N18*属性价值参考!C$7+基本装备!O18*属性价值参考!C$8+基本装备!T18*属性价值参考!C$9+基本装备!U18*属性价值参考!C$10+基本装备!V18*属性价值参考!C$11+基本装备!W18*属性价值参考!C$12</f>
        <v>131800.19999999998</v>
      </c>
      <c r="Y18" s="91">
        <f>基本装备!AG18*属性价值参考!C$13+基本装备!AH18*属性价值参考!C$36+基本装备!AI18*属性价值参考!C$19+基本装备!AJ18*属性价值参考!C$15+基本装备!AK18*属性价值参考!C$27+基本装备!AP18*属性价值参考!C$20+基本装备!AQ18*属性价值参考!C$21+基本装备!AR18*属性价值参考!C$26+8*(基本装备!AW18*属性价值参考!C$26+基本装备!BB18*属性价值参考!C$27+基本装备!BC18*(属性价值参考!C$28+属性价值参考!C$29))</f>
        <v>56853.599999999991</v>
      </c>
      <c r="Z18" s="9"/>
      <c r="AA18" s="81">
        <f t="shared" si="1"/>
        <v>5625</v>
      </c>
      <c r="AB18" s="81">
        <f t="shared" si="2"/>
        <v>22500</v>
      </c>
      <c r="AC18" s="81">
        <f t="shared" si="3"/>
        <v>750</v>
      </c>
      <c r="AD18" s="81">
        <f t="shared" si="4"/>
        <v>562</v>
      </c>
      <c r="AE18" s="9"/>
      <c r="AF18" s="82">
        <f t="shared" si="5"/>
        <v>187.5</v>
      </c>
      <c r="AG18" s="82">
        <f>ROUND(60/80*$AG$29,0)</f>
        <v>60</v>
      </c>
      <c r="AH18" s="82">
        <f>ROUND(4/7*$AH$29,0)</f>
        <v>4</v>
      </c>
      <c r="AI18" s="82">
        <v>7</v>
      </c>
      <c r="AJ18" s="82">
        <f>ROUND(4/10*$AJ$29,0)</f>
        <v>4</v>
      </c>
      <c r="AK18" s="82">
        <f>ROUND(26/52*$AK$29,0)</f>
        <v>26</v>
      </c>
      <c r="AL18" s="82">
        <f t="shared" si="6"/>
        <v>1500</v>
      </c>
      <c r="AM18" s="82">
        <f t="shared" si="7"/>
        <v>6000</v>
      </c>
      <c r="AN18" s="82">
        <f t="shared" si="8"/>
        <v>60</v>
      </c>
      <c r="AO18" s="82">
        <f t="shared" si="9"/>
        <v>157.36000000000001</v>
      </c>
      <c r="AP18" s="82">
        <f t="shared" ref="AP18:AP20" si="58">ROUND(4/6*$AP$29,0)</f>
        <v>4</v>
      </c>
      <c r="AQ18" s="82">
        <f t="shared" ref="AQ18:AQ20" si="59">ROUND(4/6*$AQ$29,0)</f>
        <v>4</v>
      </c>
      <c r="AR18" s="82">
        <f>ROUND(37/110*$AR$29,0)</f>
        <v>37</v>
      </c>
      <c r="AS18" s="82">
        <f t="shared" si="10"/>
        <v>525</v>
      </c>
      <c r="AT18" s="82">
        <f t="shared" si="11"/>
        <v>1500</v>
      </c>
      <c r="AU18" s="82">
        <f t="shared" si="12"/>
        <v>52.500000000000007</v>
      </c>
      <c r="AV18" s="82">
        <f t="shared" si="13"/>
        <v>44.96</v>
      </c>
      <c r="AW18" s="82">
        <f>ROUND(22/44*$AW$29,0)</f>
        <v>22</v>
      </c>
      <c r="AX18" s="82">
        <f t="shared" si="14"/>
        <v>450</v>
      </c>
      <c r="AY18" s="82">
        <f t="shared" si="15"/>
        <v>1875</v>
      </c>
      <c r="AZ18" s="82">
        <f t="shared" si="16"/>
        <v>56.25</v>
      </c>
      <c r="BA18" s="82">
        <f t="shared" si="17"/>
        <v>44.96</v>
      </c>
      <c r="BB18" s="89">
        <f>ROUND(6/16*$BB$29,0)</f>
        <v>6</v>
      </c>
      <c r="BC18" s="89">
        <f>ROUND(6/10*$BC$29,0)</f>
        <v>6</v>
      </c>
      <c r="BE18" s="83">
        <v>16</v>
      </c>
      <c r="BF18" s="83" t="str">
        <f t="shared" si="40"/>
        <v>3#3#93|3#4#187|3#5#93|3#6#187|3#7#93|3#8#187|3#13#60|3#20#4|3#25#7|3#21#4</v>
      </c>
      <c r="BG18" s="83" t="str">
        <f t="shared" si="19"/>
        <v>3#35#2600</v>
      </c>
      <c r="BH18" s="83" t="str">
        <f t="shared" si="41"/>
        <v>3#9#78|3#10#157|3#11#78|3#12#157|3#3#30|3#4#60|3#5#30|3#6#60|3#7#30|3#8#60|0#1#1500|0#2#600|1#1#450|1#2#6000|2#1#900|2#2#4800|3#26#4|3#27#4</v>
      </c>
      <c r="BI18" s="83" t="str">
        <f t="shared" si="20"/>
        <v>3#30#37|3#31#37</v>
      </c>
      <c r="BJ18" s="83" t="str">
        <f t="shared" si="21"/>
        <v>3#9#22|3#10#44|3#11#22|3#12#44|0#1#450|0#2#187|1#1#135|1#2#1875|2#1#270|2#2#1500</v>
      </c>
      <c r="BK18" s="83" t="str">
        <f t="shared" si="22"/>
        <v>3#35#600|3#36#600</v>
      </c>
      <c r="BL18" s="83" t="str">
        <f t="shared" si="23"/>
        <v>3#9#22|3#10#44|3#11#22|3#12#44|0#1#450|0#2#187|1#1#135|1#2#1875|2#1#270|2#2#1500</v>
      </c>
      <c r="BM18" s="83" t="str">
        <f t="shared" si="24"/>
        <v>3#35#600|3#36#600</v>
      </c>
      <c r="BN18" s="83" t="str">
        <f t="shared" si="25"/>
        <v>3#9#22|3#10#44|3#11#22|3#12#44|0#1#450|0#2#187|1#1#135|1#2#1875|2#1#270|2#2#1500</v>
      </c>
      <c r="BO18" s="83" t="str">
        <f t="shared" si="26"/>
        <v>3#35#600|3#37#600</v>
      </c>
      <c r="BP18" s="83" t="str">
        <f t="shared" si="27"/>
        <v>3#9#22|3#10#44|3#11#22|3#12#44|0#1#450|0#2#187|1#1#135|1#2#1875|2#1#270|2#2#1500</v>
      </c>
      <c r="BQ18" s="83" t="str">
        <f t="shared" si="28"/>
        <v>3#35#600|3#37#600</v>
      </c>
      <c r="BR18" s="83" t="str">
        <f t="shared" si="29"/>
        <v>3#9#22|3#10#44|3#11#22|3#12#44|0#1#450|0#2#187|1#1#135|1#2#1875|2#1#270|2#2#1500</v>
      </c>
      <c r="BS18" s="83" t="str">
        <f t="shared" si="30"/>
        <v>3#35#600|3#36#600</v>
      </c>
      <c r="BT18" s="83" t="str">
        <f t="shared" si="31"/>
        <v>3#9#22|3#10#44|3#11#22|3#12#44|0#1#450|0#2#187|1#1#135|1#2#1875|2#1#270|2#2#1500</v>
      </c>
      <c r="BU18" s="83" t="str">
        <f t="shared" si="32"/>
        <v>3#35#600|3#36#600</v>
      </c>
      <c r="BV18" s="83" t="str">
        <f t="shared" si="33"/>
        <v>3#9#22|3#10#44|3#11#22|3#12#44|3#3#26|3#4#52|3#5#26|3#6#52|3#7#26|3#8#52|0#1#525|0#2#150|1#1#157|1#2#1500|2#1#315|2#2#1200</v>
      </c>
      <c r="BW18" s="83" t="str">
        <f t="shared" si="34"/>
        <v>3#30#22|3#31#22</v>
      </c>
      <c r="BY18" s="8" t="s">
        <v>1906</v>
      </c>
      <c r="BZ18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8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8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8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8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8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8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8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8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8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8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8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8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8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8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8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8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8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8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8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8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8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8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8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8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8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8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19" spans="1:104" x14ac:dyDescent="0.3">
      <c r="A19" s="22" t="s">
        <v>163</v>
      </c>
      <c r="B19" s="22" t="s">
        <v>1321</v>
      </c>
      <c r="C19" s="22" t="s">
        <v>87</v>
      </c>
      <c r="D19" s="23"/>
      <c r="E19" s="22" t="s">
        <v>1360</v>
      </c>
      <c r="F19" s="29">
        <v>1</v>
      </c>
      <c r="G19" s="69">
        <v>35</v>
      </c>
      <c r="H19" s="64"/>
      <c r="I19" s="22" t="s">
        <v>1361</v>
      </c>
      <c r="J19" s="22" t="s">
        <v>213</v>
      </c>
      <c r="K19" s="90">
        <v>17</v>
      </c>
      <c r="L19" s="91">
        <f>INT(60/150*L29)</f>
        <v>6000</v>
      </c>
      <c r="M19" s="91">
        <f t="shared" ref="M19:W19" si="60">INT(60/150*M29)</f>
        <v>24000</v>
      </c>
      <c r="N19" s="91">
        <f t="shared" si="60"/>
        <v>400</v>
      </c>
      <c r="O19" s="91">
        <f t="shared" si="60"/>
        <v>800</v>
      </c>
      <c r="P19" s="91">
        <f t="shared" si="60"/>
        <v>400</v>
      </c>
      <c r="Q19" s="91">
        <f t="shared" si="60"/>
        <v>800</v>
      </c>
      <c r="R19" s="91">
        <f t="shared" si="60"/>
        <v>400</v>
      </c>
      <c r="S19" s="91">
        <f t="shared" si="60"/>
        <v>800</v>
      </c>
      <c r="T19" s="91">
        <f t="shared" si="60"/>
        <v>300</v>
      </c>
      <c r="U19" s="91">
        <f t="shared" si="60"/>
        <v>600</v>
      </c>
      <c r="V19" s="91">
        <f t="shared" si="60"/>
        <v>300</v>
      </c>
      <c r="W19" s="91">
        <f t="shared" si="60"/>
        <v>600</v>
      </c>
      <c r="X19" s="91">
        <f>L19*属性价值参考!C$5+基本装备!M19*属性价值参考!C$6+基本装备!N19*属性价值参考!C$7+基本装备!O19*属性价值参考!C$8+基本装备!T19*属性价值参考!C$9+基本装备!U19*属性价值参考!C$10+基本装备!V19*属性价值参考!C$11+基本装备!W19*属性价值参考!C$12</f>
        <v>140616</v>
      </c>
      <c r="Y19" s="91">
        <f>基本装备!AG19*属性价值参考!C$13+基本装备!AH19*属性价值参考!C$36+基本装备!AI19*属性价值参考!C$19+基本装备!AJ19*属性价值参考!C$15+基本装备!AK19*属性价值参考!C$27+基本装备!AP19*属性价值参考!C$20+基本装备!AQ19*属性价值参考!C$21+基本装备!AR19*属性价值参考!C$26+8*(基本装备!AW19*属性价值参考!C$26+基本装备!BB19*属性价值参考!C$27+基本装备!BC19*(属性价值参考!C$28+属性价值参考!C$29))</f>
        <v>59022</v>
      </c>
      <c r="Z19" s="9"/>
      <c r="AA19" s="81">
        <f t="shared" si="1"/>
        <v>6000</v>
      </c>
      <c r="AB19" s="81">
        <f t="shared" si="2"/>
        <v>24000</v>
      </c>
      <c r="AC19" s="81">
        <f t="shared" si="3"/>
        <v>800</v>
      </c>
      <c r="AD19" s="81">
        <f t="shared" si="4"/>
        <v>600</v>
      </c>
      <c r="AE19" s="9"/>
      <c r="AF19" s="82">
        <f t="shared" si="5"/>
        <v>200</v>
      </c>
      <c r="AG19" s="82">
        <f>ROUND(60/80*$AG$29,0)</f>
        <v>60</v>
      </c>
      <c r="AH19" s="82">
        <f>ROUND(4/7*$AH$29,0)</f>
        <v>4</v>
      </c>
      <c r="AI19" s="82">
        <v>8</v>
      </c>
      <c r="AJ19" s="82">
        <f>ROUND(5/10*$AJ$29,0)</f>
        <v>5</v>
      </c>
      <c r="AK19" s="82">
        <f>ROUND(28/52*$AK$29,0)</f>
        <v>28</v>
      </c>
      <c r="AL19" s="82">
        <f t="shared" si="6"/>
        <v>1600</v>
      </c>
      <c r="AM19" s="82">
        <f t="shared" si="7"/>
        <v>6400</v>
      </c>
      <c r="AN19" s="82">
        <f t="shared" si="8"/>
        <v>64</v>
      </c>
      <c r="AO19" s="82">
        <f t="shared" si="9"/>
        <v>168.00000000000003</v>
      </c>
      <c r="AP19" s="82">
        <f t="shared" si="58"/>
        <v>4</v>
      </c>
      <c r="AQ19" s="82">
        <f t="shared" si="59"/>
        <v>4</v>
      </c>
      <c r="AR19" s="82">
        <f>ROUND(40/110*$AR$29,0)</f>
        <v>40</v>
      </c>
      <c r="AS19" s="82">
        <f t="shared" si="10"/>
        <v>560</v>
      </c>
      <c r="AT19" s="82">
        <f t="shared" si="11"/>
        <v>1600</v>
      </c>
      <c r="AU19" s="82">
        <f t="shared" si="12"/>
        <v>56.000000000000007</v>
      </c>
      <c r="AV19" s="82">
        <f t="shared" si="13"/>
        <v>48</v>
      </c>
      <c r="AW19" s="82">
        <f>ROUND(24/44*$AW$29,0)</f>
        <v>24</v>
      </c>
      <c r="AX19" s="82">
        <f t="shared" si="14"/>
        <v>480</v>
      </c>
      <c r="AY19" s="82">
        <f t="shared" si="15"/>
        <v>2000</v>
      </c>
      <c r="AZ19" s="82">
        <f t="shared" si="16"/>
        <v>60</v>
      </c>
      <c r="BA19" s="82">
        <f t="shared" si="17"/>
        <v>48</v>
      </c>
      <c r="BB19" s="89">
        <f>ROUND(6/16*$BB$29,0)</f>
        <v>6</v>
      </c>
      <c r="BC19" s="89">
        <f>ROUND(6/10*$BC$29,0)</f>
        <v>6</v>
      </c>
      <c r="BE19" s="83">
        <v>17</v>
      </c>
      <c r="BF19" s="83" t="str">
        <f t="shared" si="40"/>
        <v>3#3#100|3#4#200|3#5#100|3#6#200|3#7#100|3#8#200|3#13#60|3#20#4|3#25#8|3#21#5</v>
      </c>
      <c r="BG19" s="83" t="str">
        <f t="shared" si="19"/>
        <v>3#35#2800</v>
      </c>
      <c r="BH19" s="83" t="str">
        <f t="shared" si="41"/>
        <v>3#9#84|3#10#168|3#11#84|3#12#168|3#3#32|3#4#64|3#5#32|3#6#64|3#7#32|3#8#64|0#1#1600|0#2#640|1#1#480|1#2#6400|2#1#960|2#2#5120|3#26#4|3#27#4</v>
      </c>
      <c r="BI19" s="83" t="str">
        <f t="shared" si="20"/>
        <v>3#30#40|3#31#40</v>
      </c>
      <c r="BJ19" s="83" t="str">
        <f t="shared" si="21"/>
        <v>3#9#24|3#10#48|3#11#24|3#12#48|0#1#480|0#2#200|1#1#144|1#2#2000|2#1#288|2#2#1600</v>
      </c>
      <c r="BK19" s="83" t="str">
        <f t="shared" si="22"/>
        <v>3#35#600|3#36#600</v>
      </c>
      <c r="BL19" s="83" t="str">
        <f t="shared" si="23"/>
        <v>3#9#24|3#10#48|3#11#24|3#12#48|0#1#480|0#2#200|1#1#144|1#2#2000|2#1#288|2#2#1600</v>
      </c>
      <c r="BM19" s="83" t="str">
        <f t="shared" si="24"/>
        <v>3#35#600|3#36#600</v>
      </c>
      <c r="BN19" s="83" t="str">
        <f t="shared" si="25"/>
        <v>3#9#24|3#10#48|3#11#24|3#12#48|0#1#480|0#2#200|1#1#144|1#2#2000|2#1#288|2#2#1600</v>
      </c>
      <c r="BO19" s="83" t="str">
        <f t="shared" si="26"/>
        <v>3#35#600|3#37#600</v>
      </c>
      <c r="BP19" s="83" t="str">
        <f t="shared" si="27"/>
        <v>3#9#24|3#10#48|3#11#24|3#12#48|0#1#480|0#2#200|1#1#144|1#2#2000|2#1#288|2#2#1600</v>
      </c>
      <c r="BQ19" s="83" t="str">
        <f t="shared" si="28"/>
        <v>3#35#600|3#37#600</v>
      </c>
      <c r="BR19" s="83" t="str">
        <f t="shared" si="29"/>
        <v>3#9#24|3#10#48|3#11#24|3#12#48|0#1#480|0#2#200|1#1#144|1#2#2000|2#1#288|2#2#1600</v>
      </c>
      <c r="BS19" s="83" t="str">
        <f t="shared" si="30"/>
        <v>3#35#600|3#36#600</v>
      </c>
      <c r="BT19" s="83" t="str">
        <f t="shared" si="31"/>
        <v>3#9#24|3#10#48|3#11#24|3#12#48|0#1#480|0#2#200|1#1#144|1#2#2000|2#1#288|2#2#1600</v>
      </c>
      <c r="BU19" s="83" t="str">
        <f t="shared" si="32"/>
        <v>3#35#600|3#36#600</v>
      </c>
      <c r="BV19" s="83" t="str">
        <f t="shared" si="33"/>
        <v>3#9#24|3#10#48|3#11#24|3#12#48|3#3#28|3#4#56|3#5#28|3#6#56|3#7#28|3#8#56|0#1#560|0#2#160|1#1#168|1#2#1600|2#1#336|2#2#1280</v>
      </c>
      <c r="BW19" s="83" t="str">
        <f t="shared" si="34"/>
        <v>3#30#24|3#31#24</v>
      </c>
      <c r="BY19" s="8" t="s">
        <v>1907</v>
      </c>
      <c r="BZ19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9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9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9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9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9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9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9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9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9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9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9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9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9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9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9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9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9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9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9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9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9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9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9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9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9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9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0" spans="1:104" x14ac:dyDescent="0.3">
      <c r="A20" s="22" t="s">
        <v>163</v>
      </c>
      <c r="B20" s="22" t="s">
        <v>1321</v>
      </c>
      <c r="C20" s="22" t="s">
        <v>85</v>
      </c>
      <c r="D20" s="23"/>
      <c r="E20" s="22" t="s">
        <v>1362</v>
      </c>
      <c r="F20" s="29">
        <v>1</v>
      </c>
      <c r="G20" s="69">
        <v>35</v>
      </c>
      <c r="H20" s="64"/>
      <c r="I20" s="22" t="s">
        <v>1363</v>
      </c>
      <c r="J20" s="22" t="s">
        <v>209</v>
      </c>
      <c r="K20" s="90">
        <v>18</v>
      </c>
      <c r="L20" s="91">
        <f>INT(66/150*L29)</f>
        <v>6600</v>
      </c>
      <c r="M20" s="91">
        <f t="shared" ref="M20:W20" si="61">INT(66/150*M29)</f>
        <v>26400</v>
      </c>
      <c r="N20" s="91">
        <f t="shared" si="61"/>
        <v>440</v>
      </c>
      <c r="O20" s="91">
        <f t="shared" si="61"/>
        <v>880</v>
      </c>
      <c r="P20" s="91">
        <f t="shared" si="61"/>
        <v>440</v>
      </c>
      <c r="Q20" s="91">
        <f t="shared" si="61"/>
        <v>880</v>
      </c>
      <c r="R20" s="91">
        <f t="shared" si="61"/>
        <v>440</v>
      </c>
      <c r="S20" s="91">
        <f t="shared" si="61"/>
        <v>880</v>
      </c>
      <c r="T20" s="91">
        <f t="shared" si="61"/>
        <v>330</v>
      </c>
      <c r="U20" s="91">
        <f t="shared" si="61"/>
        <v>660</v>
      </c>
      <c r="V20" s="91">
        <f t="shared" si="61"/>
        <v>330</v>
      </c>
      <c r="W20" s="91">
        <f t="shared" si="61"/>
        <v>660</v>
      </c>
      <c r="X20" s="91">
        <f>L20*属性价值参考!C$5+基本装备!M20*属性价值参考!C$6+基本装备!N20*属性价值参考!C$7+基本装备!O20*属性价值参考!C$8+基本装备!T20*属性价值参考!C$9+基本装备!U20*属性价值参考!C$10+基本装备!V20*属性价值参考!C$11+基本装备!W20*属性价值参考!C$12</f>
        <v>154677.59999999998</v>
      </c>
      <c r="Y20" s="91">
        <f>基本装备!AG20*属性价值参考!C$13+基本装备!AH20*属性价值参考!C$36+基本装备!AI20*属性价值参考!C$19+基本装备!AJ20*属性价值参考!C$15+基本装备!AK20*属性价值参考!C$27+基本装备!AP20*属性价值参考!C$20+基本装备!AQ20*属性价值参考!C$21+基本装备!AR20*属性价值参考!C$26+8*(基本装备!AW20*属性价值参考!C$26+基本装备!BB20*属性价值参考!C$27+基本装备!BC20*(属性价值参考!C$28+属性价值参考!C$29))</f>
        <v>63334</v>
      </c>
      <c r="Z20" s="9"/>
      <c r="AA20" s="81">
        <f t="shared" si="1"/>
        <v>6600</v>
      </c>
      <c r="AB20" s="81">
        <f t="shared" si="2"/>
        <v>26400</v>
      </c>
      <c r="AC20" s="81">
        <f t="shared" si="3"/>
        <v>880</v>
      </c>
      <c r="AD20" s="81">
        <f t="shared" si="4"/>
        <v>660</v>
      </c>
      <c r="AE20" s="9"/>
      <c r="AF20" s="82">
        <f t="shared" si="5"/>
        <v>220</v>
      </c>
      <c r="AG20" s="82">
        <f>ROUND(65/80*$AG$29,0)</f>
        <v>65</v>
      </c>
      <c r="AH20" s="82">
        <f>ROUND(4/7*$AH$29,0)</f>
        <v>4</v>
      </c>
      <c r="AI20" s="82">
        <v>9</v>
      </c>
      <c r="AJ20" s="82">
        <f>ROUND(5/10*$AJ$29,0)</f>
        <v>5</v>
      </c>
      <c r="AK20" s="82">
        <f>ROUND(30/52*$AK$29,0)</f>
        <v>30</v>
      </c>
      <c r="AL20" s="82">
        <f t="shared" si="6"/>
        <v>1760</v>
      </c>
      <c r="AM20" s="82">
        <f t="shared" si="7"/>
        <v>7040</v>
      </c>
      <c r="AN20" s="82">
        <f t="shared" si="8"/>
        <v>70.400000000000006</v>
      </c>
      <c r="AO20" s="82">
        <f t="shared" si="9"/>
        <v>184.8</v>
      </c>
      <c r="AP20" s="82">
        <f t="shared" si="58"/>
        <v>4</v>
      </c>
      <c r="AQ20" s="82">
        <f t="shared" si="59"/>
        <v>4</v>
      </c>
      <c r="AR20" s="82">
        <f>ROUND(45/110*$AR$29,0)</f>
        <v>45</v>
      </c>
      <c r="AS20" s="82">
        <f t="shared" si="10"/>
        <v>616</v>
      </c>
      <c r="AT20" s="82">
        <f t="shared" si="11"/>
        <v>1760</v>
      </c>
      <c r="AU20" s="82">
        <f t="shared" si="12"/>
        <v>61.600000000000009</v>
      </c>
      <c r="AV20" s="82">
        <f t="shared" si="13"/>
        <v>52.800000000000004</v>
      </c>
      <c r="AW20" s="82">
        <f>ROUND(26/44*$AW$29,0)</f>
        <v>26</v>
      </c>
      <c r="AX20" s="82">
        <f t="shared" si="14"/>
        <v>528</v>
      </c>
      <c r="AY20" s="82">
        <f t="shared" si="15"/>
        <v>2200</v>
      </c>
      <c r="AZ20" s="82">
        <f t="shared" si="16"/>
        <v>66</v>
      </c>
      <c r="BA20" s="82">
        <f t="shared" si="17"/>
        <v>52.800000000000004</v>
      </c>
      <c r="BB20" s="89">
        <f>ROUND(7/16*$BB$29,0)</f>
        <v>7</v>
      </c>
      <c r="BC20" s="89">
        <f>ROUND(6/10*$BC$29,0)</f>
        <v>6</v>
      </c>
      <c r="BE20" s="83">
        <v>18</v>
      </c>
      <c r="BF20" s="83" t="str">
        <f t="shared" si="40"/>
        <v>3#3#110|3#4#220|3#5#110|3#6#220|3#7#110|3#8#220|3#13#65|3#20#4|3#25#9|3#21#5</v>
      </c>
      <c r="BG20" s="83" t="str">
        <f t="shared" si="19"/>
        <v>3#35#3000</v>
      </c>
      <c r="BH20" s="83" t="str">
        <f t="shared" si="41"/>
        <v>3#9#92|3#10#184|3#11#92|3#12#184|3#3#35|3#4#70|3#5#35|3#6#70|3#7#35|3#8#70|0#1#1760|0#2#704|1#1#528|1#2#7040|2#1#1056|2#2#5632|3#26#4|3#27#4</v>
      </c>
      <c r="BI20" s="83" t="str">
        <f t="shared" si="20"/>
        <v>3#30#45|3#31#45</v>
      </c>
      <c r="BJ20" s="83" t="str">
        <f t="shared" si="21"/>
        <v>3#9#26|3#10#52|3#11#26|3#12#52|0#1#528|0#2#220|1#1#158|1#2#2200|2#1#316|2#2#1760</v>
      </c>
      <c r="BK20" s="83" t="str">
        <f t="shared" si="22"/>
        <v>3#35#700|3#36#600</v>
      </c>
      <c r="BL20" s="83" t="str">
        <f t="shared" si="23"/>
        <v>3#9#26|3#10#52|3#11#26|3#12#52|0#1#528|0#2#220|1#1#158|1#2#2200|2#1#316|2#2#1760</v>
      </c>
      <c r="BM20" s="83" t="str">
        <f t="shared" si="24"/>
        <v>3#35#700|3#36#600</v>
      </c>
      <c r="BN20" s="83" t="str">
        <f t="shared" si="25"/>
        <v>3#9#26|3#10#52|3#11#26|3#12#52|0#1#528|0#2#220|1#1#158|1#2#2200|2#1#316|2#2#1760</v>
      </c>
      <c r="BO20" s="83" t="str">
        <f t="shared" si="26"/>
        <v>3#35#700|3#37#600</v>
      </c>
      <c r="BP20" s="83" t="str">
        <f t="shared" si="27"/>
        <v>3#9#26|3#10#52|3#11#26|3#12#52|0#1#528|0#2#220|1#1#158|1#2#2200|2#1#316|2#2#1760</v>
      </c>
      <c r="BQ20" s="83" t="str">
        <f t="shared" si="28"/>
        <v>3#35#700|3#37#600</v>
      </c>
      <c r="BR20" s="83" t="str">
        <f t="shared" si="29"/>
        <v>3#9#26|3#10#52|3#11#26|3#12#52|0#1#528|0#2#220|1#1#158|1#2#2200|2#1#316|2#2#1760</v>
      </c>
      <c r="BS20" s="83" t="str">
        <f t="shared" si="30"/>
        <v>3#35#700|3#36#600</v>
      </c>
      <c r="BT20" s="83" t="str">
        <f t="shared" si="31"/>
        <v>3#9#26|3#10#52|3#11#26|3#12#52|0#1#528|0#2#220|1#1#158|1#2#2200|2#1#316|2#2#1760</v>
      </c>
      <c r="BU20" s="83" t="str">
        <f t="shared" si="32"/>
        <v>3#35#700|3#36#600</v>
      </c>
      <c r="BV20" s="83" t="str">
        <f t="shared" si="33"/>
        <v>3#9#26|3#10#52|3#11#26|3#12#52|3#3#30|3#4#61|3#5#30|3#6#61|3#7#30|3#8#61|0#1#616|0#2#176|1#1#184|1#2#1760|2#1#369|2#2#1408</v>
      </c>
      <c r="BW20" s="83" t="str">
        <f t="shared" si="34"/>
        <v>3#30#26|3#31#26</v>
      </c>
      <c r="BY20" s="8" t="s">
        <v>1908</v>
      </c>
      <c r="BZ20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0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0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0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0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0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0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0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0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0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0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0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0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0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0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0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0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0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0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0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0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0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0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0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0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0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0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1" spans="1:104" x14ac:dyDescent="0.3">
      <c r="A21" s="22" t="s">
        <v>163</v>
      </c>
      <c r="B21" s="22" t="s">
        <v>1487</v>
      </c>
      <c r="C21" s="22" t="s">
        <v>165</v>
      </c>
      <c r="D21" s="23"/>
      <c r="E21" s="22" t="s">
        <v>1490</v>
      </c>
      <c r="F21" s="29">
        <v>1</v>
      </c>
      <c r="G21" s="22">
        <v>35</v>
      </c>
      <c r="H21" s="64"/>
      <c r="I21" s="22" t="s">
        <v>1491</v>
      </c>
      <c r="J21" s="22" t="s">
        <v>1492</v>
      </c>
      <c r="K21" s="90">
        <v>19</v>
      </c>
      <c r="L21" s="91">
        <f>INT(72/150*L29)</f>
        <v>7200</v>
      </c>
      <c r="M21" s="91">
        <f t="shared" ref="M21:W21" si="62">INT(72/150*M29)</f>
        <v>28800</v>
      </c>
      <c r="N21" s="91">
        <f t="shared" si="62"/>
        <v>480</v>
      </c>
      <c r="O21" s="91">
        <f t="shared" si="62"/>
        <v>960</v>
      </c>
      <c r="P21" s="91">
        <f t="shared" si="62"/>
        <v>480</v>
      </c>
      <c r="Q21" s="91">
        <f t="shared" si="62"/>
        <v>960</v>
      </c>
      <c r="R21" s="91">
        <f t="shared" si="62"/>
        <v>480</v>
      </c>
      <c r="S21" s="91">
        <f t="shared" si="62"/>
        <v>960</v>
      </c>
      <c r="T21" s="91">
        <f t="shared" si="62"/>
        <v>360</v>
      </c>
      <c r="U21" s="91">
        <f t="shared" si="62"/>
        <v>720</v>
      </c>
      <c r="V21" s="91">
        <f t="shared" si="62"/>
        <v>360</v>
      </c>
      <c r="W21" s="91">
        <f t="shared" si="62"/>
        <v>720</v>
      </c>
      <c r="X21" s="91">
        <f>L21*属性价值参考!C$5+基本装备!M21*属性价值参考!C$6+基本装备!N21*属性价值参考!C$7+基本装备!O21*属性价值参考!C$8+基本装备!T21*属性价值参考!C$9+基本装备!U21*属性价值参考!C$10+基本装备!V21*属性价值参考!C$11+基本装备!W21*属性价值参考!C$12</f>
        <v>168739.20000000001</v>
      </c>
      <c r="Y21" s="91">
        <f>基本装备!AG21*属性价值参考!C$13+基本装备!AH21*属性价值参考!C$36+基本装备!AI21*属性价值参考!C$19+基本装备!AJ21*属性价值参考!C$15+基本装备!AK21*属性价值参考!C$27+基本装备!AP21*属性价值参考!C$20+基本装备!AQ21*属性价值参考!C$21+基本装备!AR21*属性价值参考!C$26+8*(基本装备!AW21*属性价值参考!C$26+基本装备!BB21*属性价值参考!C$27+基本装备!BC21*(属性价值参考!C$28+属性价值参考!C$29))</f>
        <v>71693.600000000006</v>
      </c>
      <c r="Z21" s="9"/>
      <c r="AA21" s="81">
        <f t="shared" si="1"/>
        <v>7200</v>
      </c>
      <c r="AB21" s="81">
        <f t="shared" si="2"/>
        <v>28800</v>
      </c>
      <c r="AC21" s="81">
        <f t="shared" si="3"/>
        <v>960</v>
      </c>
      <c r="AD21" s="81">
        <f t="shared" si="4"/>
        <v>720</v>
      </c>
      <c r="AE21" s="9"/>
      <c r="AF21" s="82">
        <f t="shared" si="5"/>
        <v>240</v>
      </c>
      <c r="AG21" s="82">
        <f>ROUND(70/80*$AG$29,0)</f>
        <v>70</v>
      </c>
      <c r="AH21" s="82">
        <f>ROUND(5/7*$AH$29,0)</f>
        <v>5</v>
      </c>
      <c r="AI21" s="82">
        <v>10</v>
      </c>
      <c r="AJ21" s="82">
        <f>ROUND(6/10*$AJ$29,0)</f>
        <v>6</v>
      </c>
      <c r="AK21" s="82">
        <f>ROUND(32/52*$AK$29,0)</f>
        <v>32</v>
      </c>
      <c r="AL21" s="82">
        <f t="shared" si="6"/>
        <v>1920</v>
      </c>
      <c r="AM21" s="82">
        <f t="shared" si="7"/>
        <v>7680</v>
      </c>
      <c r="AN21" s="82">
        <f t="shared" si="8"/>
        <v>76.8</v>
      </c>
      <c r="AO21" s="82">
        <f t="shared" si="9"/>
        <v>201.60000000000002</v>
      </c>
      <c r="AP21" s="82">
        <f>ROUND(4/6*$AP$29,0)</f>
        <v>4</v>
      </c>
      <c r="AQ21" s="82">
        <f>ROUND(4/6*$AQ$29,0)</f>
        <v>4</v>
      </c>
      <c r="AR21" s="82">
        <f>ROUND(50/110*$AR$29,0)</f>
        <v>50</v>
      </c>
      <c r="AS21" s="82">
        <f t="shared" si="10"/>
        <v>672</v>
      </c>
      <c r="AT21" s="82">
        <f t="shared" si="11"/>
        <v>1920</v>
      </c>
      <c r="AU21" s="82">
        <f t="shared" si="12"/>
        <v>67.2</v>
      </c>
      <c r="AV21" s="82">
        <f t="shared" si="13"/>
        <v>57.6</v>
      </c>
      <c r="AW21" s="82">
        <f>ROUND(28/44*$AW$29,0)</f>
        <v>28</v>
      </c>
      <c r="AX21" s="82">
        <f t="shared" si="14"/>
        <v>576</v>
      </c>
      <c r="AY21" s="82">
        <f t="shared" si="15"/>
        <v>2400</v>
      </c>
      <c r="AZ21" s="82">
        <f t="shared" si="16"/>
        <v>72</v>
      </c>
      <c r="BA21" s="82">
        <f t="shared" si="17"/>
        <v>57.6</v>
      </c>
      <c r="BB21" s="89">
        <f>ROUND(8/16*$BB$29,0)</f>
        <v>8</v>
      </c>
      <c r="BC21" s="89">
        <f>ROUND(7/10*$BC$29,0)</f>
        <v>7</v>
      </c>
      <c r="BE21" s="83">
        <v>19</v>
      </c>
      <c r="BF21" s="83" t="str">
        <f t="shared" si="40"/>
        <v>3#3#120|3#4#240|3#5#120|3#6#240|3#7#120|3#8#240|3#13#70|3#20#5|3#25#10|3#21#6</v>
      </c>
      <c r="BG21" s="83" t="str">
        <f t="shared" si="19"/>
        <v>3#35#3200</v>
      </c>
      <c r="BH21" s="83" t="str">
        <f t="shared" si="41"/>
        <v>3#9#100|3#10#201|3#11#100|3#12#201|3#3#38|3#4#76|3#5#38|3#6#76|3#7#38|3#8#76|0#1#1920|0#2#768|1#1#576|1#2#7680|2#1#1152|2#2#6144|3#26#4|3#27#4</v>
      </c>
      <c r="BI21" s="83" t="str">
        <f t="shared" si="20"/>
        <v>3#30#50|3#31#50</v>
      </c>
      <c r="BJ21" s="83" t="str">
        <f t="shared" si="21"/>
        <v>3#9#28|3#10#57|3#11#28|3#12#57|0#1#576|0#2#240|1#1#172|1#2#2400|2#1#345|2#2#1920</v>
      </c>
      <c r="BK21" s="83" t="str">
        <f t="shared" si="22"/>
        <v>3#35#800|3#36#700</v>
      </c>
      <c r="BL21" s="83" t="str">
        <f t="shared" si="23"/>
        <v>3#9#28|3#10#57|3#11#28|3#12#57|0#1#576|0#2#240|1#1#172|1#2#2400|2#1#345|2#2#1920</v>
      </c>
      <c r="BM21" s="83" t="str">
        <f t="shared" si="24"/>
        <v>3#35#800|3#36#700</v>
      </c>
      <c r="BN21" s="83" t="str">
        <f t="shared" si="25"/>
        <v>3#9#28|3#10#57|3#11#28|3#12#57|0#1#576|0#2#240|1#1#172|1#2#2400|2#1#345|2#2#1920</v>
      </c>
      <c r="BO21" s="83" t="str">
        <f t="shared" si="26"/>
        <v>3#35#800|3#37#700</v>
      </c>
      <c r="BP21" s="83" t="str">
        <f t="shared" si="27"/>
        <v>3#9#28|3#10#57|3#11#28|3#12#57|0#1#576|0#2#240|1#1#172|1#2#2400|2#1#345|2#2#1920</v>
      </c>
      <c r="BQ21" s="83" t="str">
        <f t="shared" si="28"/>
        <v>3#35#800|3#37#700</v>
      </c>
      <c r="BR21" s="83" t="str">
        <f t="shared" si="29"/>
        <v>3#9#28|3#10#57|3#11#28|3#12#57|0#1#576|0#2#240|1#1#172|1#2#2400|2#1#345|2#2#1920</v>
      </c>
      <c r="BS21" s="83" t="str">
        <f t="shared" si="30"/>
        <v>3#35#800|3#36#700</v>
      </c>
      <c r="BT21" s="83" t="str">
        <f t="shared" si="31"/>
        <v>3#9#28|3#10#57|3#11#28|3#12#57|0#1#576|0#2#240|1#1#172|1#2#2400|2#1#345|2#2#1920</v>
      </c>
      <c r="BU21" s="83" t="str">
        <f t="shared" si="32"/>
        <v>3#35#800|3#36#700</v>
      </c>
      <c r="BV21" s="83" t="str">
        <f t="shared" si="33"/>
        <v>3#9#28|3#10#57|3#11#28|3#12#57|3#3#33|3#4#67|3#5#33|3#6#67|3#7#33|3#8#67|0#1#672|0#2#192|1#1#201|1#2#1920|2#1#403|2#2#1536</v>
      </c>
      <c r="BW21" s="83" t="str">
        <f t="shared" si="34"/>
        <v>3#30#28|3#31#28</v>
      </c>
      <c r="BY21" s="8" t="s">
        <v>1909</v>
      </c>
      <c r="BZ21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1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1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1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1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1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1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1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1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1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1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1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1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1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1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1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1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1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1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1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1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1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1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1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1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1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1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2" spans="1:104" x14ac:dyDescent="0.3">
      <c r="A22" s="22" t="s">
        <v>163</v>
      </c>
      <c r="B22" s="22" t="s">
        <v>1606</v>
      </c>
      <c r="C22" s="22" t="s">
        <v>83</v>
      </c>
      <c r="D22" s="23"/>
      <c r="E22" s="22" t="s">
        <v>1607</v>
      </c>
      <c r="F22" s="29">
        <v>1</v>
      </c>
      <c r="G22" s="69">
        <v>35</v>
      </c>
      <c r="H22" s="64"/>
      <c r="I22" s="22" t="s">
        <v>1608</v>
      </c>
      <c r="J22" s="22" t="s">
        <v>761</v>
      </c>
      <c r="K22" s="90">
        <v>20</v>
      </c>
      <c r="L22" s="91">
        <f>INT(79.5/150*L29)</f>
        <v>7950</v>
      </c>
      <c r="M22" s="91">
        <f t="shared" ref="M22:W22" si="63">INT(79.5/150*M29)</f>
        <v>31800</v>
      </c>
      <c r="N22" s="91">
        <f t="shared" si="63"/>
        <v>530</v>
      </c>
      <c r="O22" s="91">
        <f t="shared" si="63"/>
        <v>1060</v>
      </c>
      <c r="P22" s="91">
        <f t="shared" si="63"/>
        <v>530</v>
      </c>
      <c r="Q22" s="91">
        <f t="shared" si="63"/>
        <v>1060</v>
      </c>
      <c r="R22" s="91">
        <f t="shared" si="63"/>
        <v>530</v>
      </c>
      <c r="S22" s="91">
        <f t="shared" si="63"/>
        <v>1060</v>
      </c>
      <c r="T22" s="91">
        <f t="shared" si="63"/>
        <v>397</v>
      </c>
      <c r="U22" s="91">
        <f t="shared" si="63"/>
        <v>795</v>
      </c>
      <c r="V22" s="91">
        <f t="shared" si="63"/>
        <v>397</v>
      </c>
      <c r="W22" s="91">
        <f t="shared" si="63"/>
        <v>795</v>
      </c>
      <c r="X22" s="91">
        <f>L22*属性价值参考!C$5+基本装备!M22*属性价值参考!C$6+基本装备!N22*属性价值参考!C$7+基本装备!O22*属性价值参考!C$8+基本装备!T22*属性价值参考!C$9+基本装备!U22*属性价值参考!C$10+基本装备!V22*属性价值参考!C$11+基本装备!W22*属性价值参考!C$12</f>
        <v>186302.4</v>
      </c>
      <c r="Y22" s="91">
        <f>基本装备!AG22*属性价值参考!C$13+基本装备!AH22*属性价值参考!C$36+基本装备!AI22*属性价值参考!C$19+基本装备!AJ22*属性价值参考!C$15+基本装备!AK22*属性价值参考!C$27+基本装备!AP22*属性价值参考!C$20+基本装备!AQ22*属性价值参考!C$21+基本装备!AR22*属性价值参考!C$26+8*(基本装备!AW22*属性价值参考!C$26+基本装备!BB22*属性价值参考!C$27+基本装备!BC22*(属性价值参考!C$28+属性价值参考!C$29))</f>
        <v>76424</v>
      </c>
      <c r="Z22" s="9"/>
      <c r="AA22" s="81">
        <f t="shared" si="1"/>
        <v>7950</v>
      </c>
      <c r="AB22" s="81">
        <f t="shared" si="2"/>
        <v>31800</v>
      </c>
      <c r="AC22" s="81">
        <f t="shared" si="3"/>
        <v>1060</v>
      </c>
      <c r="AD22" s="81">
        <f t="shared" si="4"/>
        <v>795</v>
      </c>
      <c r="AE22" s="9"/>
      <c r="AF22" s="82">
        <f t="shared" si="5"/>
        <v>265</v>
      </c>
      <c r="AG22" s="82">
        <f>ROUND(70/80*$AG$29,0)</f>
        <v>70</v>
      </c>
      <c r="AH22" s="82">
        <f>ROUND(5/7*$AH$29,0)</f>
        <v>5</v>
      </c>
      <c r="AI22" s="82">
        <v>11</v>
      </c>
      <c r="AJ22" s="82">
        <f>ROUND(6/10*$AJ$29,0)</f>
        <v>6</v>
      </c>
      <c r="AK22" s="82">
        <f>ROUND(34/52*$AK$29,0)</f>
        <v>34</v>
      </c>
      <c r="AL22" s="82">
        <f t="shared" si="6"/>
        <v>2120</v>
      </c>
      <c r="AM22" s="82">
        <f t="shared" si="7"/>
        <v>8480</v>
      </c>
      <c r="AN22" s="82">
        <f t="shared" si="8"/>
        <v>84.8</v>
      </c>
      <c r="AO22" s="82">
        <f t="shared" si="9"/>
        <v>222.60000000000002</v>
      </c>
      <c r="AP22" s="82">
        <f t="shared" ref="AP22:AP24" si="64">ROUND(5/6*$AP$29,0)</f>
        <v>5</v>
      </c>
      <c r="AQ22" s="82">
        <f t="shared" ref="AQ22:AQ24" si="65">ROUND(5/6*$AQ$29,0)</f>
        <v>5</v>
      </c>
      <c r="AR22" s="82">
        <f>ROUND(55/110*$AR$29,0)</f>
        <v>55</v>
      </c>
      <c r="AS22" s="82">
        <f t="shared" si="10"/>
        <v>742</v>
      </c>
      <c r="AT22" s="82">
        <f t="shared" si="11"/>
        <v>2120</v>
      </c>
      <c r="AU22" s="82">
        <f t="shared" si="12"/>
        <v>74.2</v>
      </c>
      <c r="AV22" s="82">
        <f t="shared" si="13"/>
        <v>63.6</v>
      </c>
      <c r="AW22" s="82">
        <f>ROUND(30/44*$AW$29,0)</f>
        <v>30</v>
      </c>
      <c r="AX22" s="82">
        <f t="shared" si="14"/>
        <v>636</v>
      </c>
      <c r="AY22" s="82">
        <f t="shared" si="15"/>
        <v>2650</v>
      </c>
      <c r="AZ22" s="82">
        <f t="shared" si="16"/>
        <v>79.5</v>
      </c>
      <c r="BA22" s="82">
        <f t="shared" si="17"/>
        <v>63.6</v>
      </c>
      <c r="BB22" s="89">
        <f>ROUND(9/16*$BB$29,0)</f>
        <v>9</v>
      </c>
      <c r="BC22" s="89">
        <f>ROUND(7/10*$BC$29,0)</f>
        <v>7</v>
      </c>
      <c r="BE22" s="83">
        <v>20</v>
      </c>
      <c r="BF22" s="83" t="str">
        <f t="shared" si="40"/>
        <v>3#3#132|3#4#265|3#5#132|3#6#265|3#7#132|3#8#265|3#13#70|3#20#5|3#25#11|3#21#6</v>
      </c>
      <c r="BG22" s="83" t="str">
        <f t="shared" si="19"/>
        <v>3#35#3400</v>
      </c>
      <c r="BH22" s="83" t="str">
        <f t="shared" si="41"/>
        <v>3#9#111|3#10#222|3#11#111|3#12#222|3#3#42|3#4#84|3#5#42|3#6#84|3#7#42|3#8#84|0#1#2120|0#2#848|1#1#636|1#2#8480|2#1#1272|2#2#6784|3#26#5|3#27#5</v>
      </c>
      <c r="BI22" s="83" t="str">
        <f t="shared" si="20"/>
        <v>3#30#55|3#31#55</v>
      </c>
      <c r="BJ22" s="83" t="str">
        <f t="shared" si="21"/>
        <v>3#9#31|3#10#63|3#11#31|3#12#63|0#1#636|0#2#265|1#1#190|1#2#2650|2#1#381|2#2#2120</v>
      </c>
      <c r="BK22" s="83" t="str">
        <f t="shared" si="22"/>
        <v>3#35#900|3#36#700</v>
      </c>
      <c r="BL22" s="83" t="str">
        <f t="shared" si="23"/>
        <v>3#9#31|3#10#63|3#11#31|3#12#63|0#1#636|0#2#265|1#1#190|1#2#2650|2#1#381|2#2#2120</v>
      </c>
      <c r="BM22" s="83" t="str">
        <f t="shared" si="24"/>
        <v>3#35#900|3#36#700</v>
      </c>
      <c r="BN22" s="83" t="str">
        <f t="shared" si="25"/>
        <v>3#9#31|3#10#63|3#11#31|3#12#63|0#1#636|0#2#265|1#1#190|1#2#2650|2#1#381|2#2#2120</v>
      </c>
      <c r="BO22" s="83" t="str">
        <f t="shared" si="26"/>
        <v>3#35#900|3#37#700</v>
      </c>
      <c r="BP22" s="83" t="str">
        <f t="shared" si="27"/>
        <v>3#9#31|3#10#63|3#11#31|3#12#63|0#1#636|0#2#265|1#1#190|1#2#2650|2#1#381|2#2#2120</v>
      </c>
      <c r="BQ22" s="83" t="str">
        <f t="shared" si="28"/>
        <v>3#35#900|3#37#700</v>
      </c>
      <c r="BR22" s="83" t="str">
        <f t="shared" si="29"/>
        <v>3#9#31|3#10#63|3#11#31|3#12#63|0#1#636|0#2#265|1#1#190|1#2#2650|2#1#381|2#2#2120</v>
      </c>
      <c r="BS22" s="83" t="str">
        <f t="shared" si="30"/>
        <v>3#35#900|3#36#700</v>
      </c>
      <c r="BT22" s="83" t="str">
        <f t="shared" si="31"/>
        <v>3#9#31|3#10#63|3#11#31|3#12#63|0#1#636|0#2#265|1#1#190|1#2#2650|2#1#381|2#2#2120</v>
      </c>
      <c r="BU22" s="83" t="str">
        <f t="shared" si="32"/>
        <v>3#35#900|3#36#700</v>
      </c>
      <c r="BV22" s="83" t="str">
        <f t="shared" si="33"/>
        <v>3#9#31|3#10#63|3#11#31|3#12#63|3#3#37|3#4#74|3#5#37|3#6#74|3#7#37|3#8#74|0#1#742|0#2#212|1#1#222|1#2#2120|2#1#445|2#2#1696</v>
      </c>
      <c r="BW22" s="83" t="str">
        <f t="shared" si="34"/>
        <v>3#30#30|3#31#30</v>
      </c>
      <c r="BY22" s="8" t="s">
        <v>1910</v>
      </c>
      <c r="BZ22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2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2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2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2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2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2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2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2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2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2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2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2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2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2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2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2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2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2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2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2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2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2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2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2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2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2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3" spans="1:104" x14ac:dyDescent="0.3">
      <c r="A23" s="22" t="s">
        <v>163</v>
      </c>
      <c r="B23" s="22" t="s">
        <v>1606</v>
      </c>
      <c r="C23" s="22" t="s">
        <v>87</v>
      </c>
      <c r="D23" s="23"/>
      <c r="E23" s="22" t="s">
        <v>1609</v>
      </c>
      <c r="F23" s="29">
        <v>1</v>
      </c>
      <c r="G23" s="69">
        <v>35</v>
      </c>
      <c r="H23" s="64"/>
      <c r="I23" s="22" t="s">
        <v>1610</v>
      </c>
      <c r="J23" s="22" t="s">
        <v>761</v>
      </c>
      <c r="K23" s="90">
        <v>21</v>
      </c>
      <c r="L23" s="91">
        <f>INT(87/150*L29)</f>
        <v>8700</v>
      </c>
      <c r="M23" s="91">
        <f t="shared" ref="M23:W23" si="66">INT(87/150*M29)</f>
        <v>34800</v>
      </c>
      <c r="N23" s="91">
        <f t="shared" si="66"/>
        <v>580</v>
      </c>
      <c r="O23" s="91">
        <f t="shared" si="66"/>
        <v>1160</v>
      </c>
      <c r="P23" s="91">
        <f t="shared" si="66"/>
        <v>580</v>
      </c>
      <c r="Q23" s="91">
        <f t="shared" si="66"/>
        <v>1160</v>
      </c>
      <c r="R23" s="91">
        <f t="shared" si="66"/>
        <v>580</v>
      </c>
      <c r="S23" s="91">
        <f t="shared" si="66"/>
        <v>1160</v>
      </c>
      <c r="T23" s="91">
        <f t="shared" si="66"/>
        <v>435</v>
      </c>
      <c r="U23" s="91">
        <f t="shared" si="66"/>
        <v>870</v>
      </c>
      <c r="V23" s="91">
        <f t="shared" si="66"/>
        <v>435</v>
      </c>
      <c r="W23" s="91">
        <f t="shared" si="66"/>
        <v>870</v>
      </c>
      <c r="X23" s="91">
        <f>L23*属性价值参考!C$5+基本装备!M23*属性价值参考!C$6+基本装备!N23*属性价值参考!C$7+基本装备!O23*属性价值参考!C$8+基本装备!T23*属性价值参考!C$9+基本装备!U23*属性价值参考!C$10+基本装备!V23*属性价值参考!C$11+基本装备!W23*属性价值参考!C$12</f>
        <v>203893.2</v>
      </c>
      <c r="Y23" s="91">
        <f>基本装备!AG23*属性价值参考!C$13+基本装备!AH23*属性价值参考!C$36+基本装备!AI23*属性价值参考!C$19+基本装备!AJ23*属性价值参考!C$15+基本装备!AK23*属性价值参考!C$27+基本装备!AP23*属性价值参考!C$20+基本装备!AQ23*属性价值参考!C$21+基本装备!AR23*属性价值参考!C$26+8*(基本装备!AW23*属性价值参考!C$26+基本装备!BB23*属性价值参考!C$27+基本装备!BC23*(属性价值参考!C$28+属性价值参考!C$29))</f>
        <v>80795.600000000006</v>
      </c>
      <c r="Z23" s="9"/>
      <c r="AA23" s="81">
        <f t="shared" si="1"/>
        <v>8700</v>
      </c>
      <c r="AB23" s="81">
        <f t="shared" si="2"/>
        <v>34800</v>
      </c>
      <c r="AC23" s="81">
        <f t="shared" si="3"/>
        <v>1160</v>
      </c>
      <c r="AD23" s="81">
        <f t="shared" si="4"/>
        <v>870.00000000000011</v>
      </c>
      <c r="AE23" s="9"/>
      <c r="AF23" s="82">
        <f t="shared" si="5"/>
        <v>290</v>
      </c>
      <c r="AG23" s="82">
        <f>ROUND(70/80*$AG$29,0)</f>
        <v>70</v>
      </c>
      <c r="AH23" s="82">
        <f>ROUND(5/7*$AH$29,0)</f>
        <v>5</v>
      </c>
      <c r="AI23" s="82">
        <v>12</v>
      </c>
      <c r="AJ23" s="82">
        <f>ROUND(7/10*$AJ$29,0)</f>
        <v>7</v>
      </c>
      <c r="AK23" s="82">
        <f>ROUND(36/52*$AK$29,0)</f>
        <v>36</v>
      </c>
      <c r="AL23" s="82">
        <f t="shared" si="6"/>
        <v>2320</v>
      </c>
      <c r="AM23" s="82">
        <f t="shared" si="7"/>
        <v>9280</v>
      </c>
      <c r="AN23" s="82">
        <f t="shared" si="8"/>
        <v>92.8</v>
      </c>
      <c r="AO23" s="82">
        <f t="shared" si="9"/>
        <v>243.60000000000002</v>
      </c>
      <c r="AP23" s="82">
        <f t="shared" si="64"/>
        <v>5</v>
      </c>
      <c r="AQ23" s="82">
        <f t="shared" si="65"/>
        <v>5</v>
      </c>
      <c r="AR23" s="82">
        <f>ROUND(60/110*$AR$29,0)</f>
        <v>60</v>
      </c>
      <c r="AS23" s="82">
        <f t="shared" si="10"/>
        <v>812</v>
      </c>
      <c r="AT23" s="82">
        <f t="shared" si="11"/>
        <v>2320</v>
      </c>
      <c r="AU23" s="82">
        <f t="shared" si="12"/>
        <v>81.2</v>
      </c>
      <c r="AV23" s="82">
        <f t="shared" si="13"/>
        <v>69.600000000000009</v>
      </c>
      <c r="AW23" s="82">
        <f>ROUND(32/44*$AW$29,0)</f>
        <v>32</v>
      </c>
      <c r="AX23" s="82">
        <f t="shared" si="14"/>
        <v>696</v>
      </c>
      <c r="AY23" s="82">
        <f t="shared" si="15"/>
        <v>2900</v>
      </c>
      <c r="AZ23" s="82">
        <f t="shared" si="16"/>
        <v>87</v>
      </c>
      <c r="BA23" s="82">
        <f t="shared" si="17"/>
        <v>69.600000000000009</v>
      </c>
      <c r="BB23" s="89">
        <f>ROUND(10/16*$BB$29,0)</f>
        <v>10</v>
      </c>
      <c r="BC23" s="89">
        <f>ROUND(7/10*$BC$29,0)</f>
        <v>7</v>
      </c>
      <c r="BE23" s="83">
        <v>21</v>
      </c>
      <c r="BF23" s="83" t="str">
        <f t="shared" si="40"/>
        <v>3#3#145|3#4#290|3#5#145|3#6#290|3#7#145|3#8#290|3#13#70|3#20#5|3#25#12|3#21#7</v>
      </c>
      <c r="BG23" s="83" t="str">
        <f t="shared" si="19"/>
        <v>3#35#3600</v>
      </c>
      <c r="BH23" s="83" t="str">
        <f t="shared" si="41"/>
        <v>3#9#121|3#10#243|3#11#121|3#12#243|3#3#46|3#4#92|3#5#46|3#6#92|3#7#46|3#8#92|0#1#2320|0#2#928|1#1#696|1#2#9280|2#1#1392|2#2#7424|3#26#5|3#27#5</v>
      </c>
      <c r="BI23" s="83" t="str">
        <f t="shared" si="20"/>
        <v>3#30#60|3#31#60</v>
      </c>
      <c r="BJ23" s="83" t="str">
        <f t="shared" si="21"/>
        <v>3#9#34|3#10#69|3#11#34|3#12#69|0#1#696|0#2#290|1#1#208|1#2#2900|2#1#417|2#2#2320</v>
      </c>
      <c r="BK23" s="83" t="str">
        <f t="shared" si="22"/>
        <v>3#35#1000|3#36#700</v>
      </c>
      <c r="BL23" s="83" t="str">
        <f t="shared" si="23"/>
        <v>3#9#34|3#10#69|3#11#34|3#12#69|0#1#696|0#2#290|1#1#208|1#2#2900|2#1#417|2#2#2320</v>
      </c>
      <c r="BM23" s="83" t="str">
        <f t="shared" si="24"/>
        <v>3#35#1000|3#36#700</v>
      </c>
      <c r="BN23" s="83" t="str">
        <f t="shared" si="25"/>
        <v>3#9#34|3#10#69|3#11#34|3#12#69|0#1#696|0#2#290|1#1#208|1#2#2900|2#1#417|2#2#2320</v>
      </c>
      <c r="BO23" s="83" t="str">
        <f t="shared" si="26"/>
        <v>3#35#1000|3#37#700</v>
      </c>
      <c r="BP23" s="83" t="str">
        <f t="shared" si="27"/>
        <v>3#9#34|3#10#69|3#11#34|3#12#69|0#1#696|0#2#290|1#1#208|1#2#2900|2#1#417|2#2#2320</v>
      </c>
      <c r="BQ23" s="83" t="str">
        <f t="shared" si="28"/>
        <v>3#35#1000|3#37#700</v>
      </c>
      <c r="BR23" s="83" t="str">
        <f t="shared" si="29"/>
        <v>3#9#34|3#10#69|3#11#34|3#12#69|0#1#696|0#2#290|1#1#208|1#2#2900|2#1#417|2#2#2320</v>
      </c>
      <c r="BS23" s="83" t="str">
        <f t="shared" si="30"/>
        <v>3#35#1000|3#36#700</v>
      </c>
      <c r="BT23" s="83" t="str">
        <f t="shared" si="31"/>
        <v>3#9#34|3#10#69|3#11#34|3#12#69|0#1#696|0#2#290|1#1#208|1#2#2900|2#1#417|2#2#2320</v>
      </c>
      <c r="BU23" s="83" t="str">
        <f t="shared" si="32"/>
        <v>3#35#1000|3#36#700</v>
      </c>
      <c r="BV23" s="83" t="str">
        <f t="shared" si="33"/>
        <v>3#9#34|3#10#69|3#11#34|3#12#69|3#3#40|3#4#81|3#5#40|3#6#81|3#7#40|3#8#81|0#1#812|0#2#232|1#1#243|1#2#2320|2#1#487|2#2#1856</v>
      </c>
      <c r="BW23" s="83" t="str">
        <f t="shared" si="34"/>
        <v>3#30#32|3#31#32</v>
      </c>
      <c r="BY23" s="8" t="s">
        <v>1911</v>
      </c>
      <c r="BZ23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3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3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3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3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3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3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3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3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3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3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3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3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3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3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3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3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3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3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3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3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3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3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3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3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3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3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4" spans="1:104" x14ac:dyDescent="0.3">
      <c r="A24" s="22" t="s">
        <v>163</v>
      </c>
      <c r="B24" s="22" t="s">
        <v>1606</v>
      </c>
      <c r="C24" s="64" t="s">
        <v>85</v>
      </c>
      <c r="D24" s="23"/>
      <c r="E24" s="22" t="s">
        <v>1611</v>
      </c>
      <c r="F24" s="29">
        <v>1</v>
      </c>
      <c r="G24" s="69">
        <v>35</v>
      </c>
      <c r="H24" s="64"/>
      <c r="I24" s="22" t="s">
        <v>1612</v>
      </c>
      <c r="J24" s="22" t="s">
        <v>761</v>
      </c>
      <c r="K24" s="90">
        <v>22</v>
      </c>
      <c r="L24" s="91">
        <f>INT(96/150*L29)</f>
        <v>9600</v>
      </c>
      <c r="M24" s="91">
        <f t="shared" ref="M24:W24" si="67">INT(96/150*M29)</f>
        <v>38400</v>
      </c>
      <c r="N24" s="91">
        <f t="shared" si="67"/>
        <v>640</v>
      </c>
      <c r="O24" s="91">
        <f t="shared" si="67"/>
        <v>1280</v>
      </c>
      <c r="P24" s="91">
        <f t="shared" si="67"/>
        <v>640</v>
      </c>
      <c r="Q24" s="91">
        <f t="shared" si="67"/>
        <v>1280</v>
      </c>
      <c r="R24" s="91">
        <f t="shared" si="67"/>
        <v>640</v>
      </c>
      <c r="S24" s="91">
        <f t="shared" si="67"/>
        <v>1280</v>
      </c>
      <c r="T24" s="91">
        <f t="shared" si="67"/>
        <v>480</v>
      </c>
      <c r="U24" s="91">
        <f t="shared" si="67"/>
        <v>960</v>
      </c>
      <c r="V24" s="91">
        <f t="shared" si="67"/>
        <v>480</v>
      </c>
      <c r="W24" s="91">
        <f t="shared" si="67"/>
        <v>960</v>
      </c>
      <c r="X24" s="91">
        <f>L24*属性价值参考!C$5+基本装备!M24*属性价值参考!C$6+基本装备!N24*属性价值参考!C$7+基本装备!O24*属性价值参考!C$8+基本装备!T24*属性价值参考!C$9+基本装备!U24*属性价值参考!C$10+基本装备!V24*属性价值参考!C$11+基本装备!W24*属性价值参考!C$12</f>
        <v>224985.60000000001</v>
      </c>
      <c r="Y24" s="91">
        <f>基本装备!AG24*属性价值参考!C$13+基本装备!AH24*属性价值参考!C$36+基本装备!AI24*属性价值参考!C$19+基本装备!AJ24*属性价值参考!C$15+基本装备!AK24*属性价值参考!C$27+基本装备!AP24*属性价值参考!C$20+基本装备!AQ24*属性价值参考!C$21+基本装备!AR24*属性价值参考!C$26+8*(基本装备!AW24*属性价值参考!C$26+基本装备!BB24*属性价值参考!C$27+基本装备!BC24*(属性价值参考!C$28+属性价值参考!C$29))</f>
        <v>86303.6</v>
      </c>
      <c r="Z24" s="9"/>
      <c r="AA24" s="81">
        <f t="shared" si="1"/>
        <v>9600</v>
      </c>
      <c r="AB24" s="81">
        <f t="shared" si="2"/>
        <v>38400</v>
      </c>
      <c r="AC24" s="81">
        <f t="shared" si="3"/>
        <v>1280</v>
      </c>
      <c r="AD24" s="81">
        <f t="shared" si="4"/>
        <v>960</v>
      </c>
      <c r="AE24" s="9"/>
      <c r="AF24" s="82">
        <f t="shared" si="5"/>
        <v>320</v>
      </c>
      <c r="AG24" s="82">
        <f>ROUND(70/80*$AG$29,0)</f>
        <v>70</v>
      </c>
      <c r="AH24" s="82">
        <f>ROUND(5/7*$AH$29,0)</f>
        <v>5</v>
      </c>
      <c r="AI24" s="82">
        <v>13</v>
      </c>
      <c r="AJ24" s="82">
        <f>ROUND(7/10*$AJ$29,0)</f>
        <v>7</v>
      </c>
      <c r="AK24" s="82">
        <f>ROUND(38/52*$AK$29,0)</f>
        <v>38</v>
      </c>
      <c r="AL24" s="82">
        <f t="shared" si="6"/>
        <v>2560</v>
      </c>
      <c r="AM24" s="82">
        <f t="shared" si="7"/>
        <v>10240</v>
      </c>
      <c r="AN24" s="82">
        <f t="shared" si="8"/>
        <v>102.4</v>
      </c>
      <c r="AO24" s="82">
        <f t="shared" si="9"/>
        <v>268.8</v>
      </c>
      <c r="AP24" s="82">
        <f t="shared" si="64"/>
        <v>5</v>
      </c>
      <c r="AQ24" s="82">
        <f t="shared" si="65"/>
        <v>5</v>
      </c>
      <c r="AR24" s="82">
        <f>ROUND(65/110*$AR$29,0)</f>
        <v>65</v>
      </c>
      <c r="AS24" s="82">
        <f t="shared" si="10"/>
        <v>896</v>
      </c>
      <c r="AT24" s="82">
        <f t="shared" si="11"/>
        <v>2560</v>
      </c>
      <c r="AU24" s="82">
        <f t="shared" si="12"/>
        <v>89.600000000000009</v>
      </c>
      <c r="AV24" s="82">
        <f t="shared" si="13"/>
        <v>76.8</v>
      </c>
      <c r="AW24" s="82">
        <f>ROUND(34/44*$AW$29,0)</f>
        <v>34</v>
      </c>
      <c r="AX24" s="82">
        <f t="shared" si="14"/>
        <v>768</v>
      </c>
      <c r="AY24" s="82">
        <f t="shared" si="15"/>
        <v>3200</v>
      </c>
      <c r="AZ24" s="82">
        <f t="shared" si="16"/>
        <v>96</v>
      </c>
      <c r="BA24" s="82">
        <f t="shared" si="17"/>
        <v>76.8</v>
      </c>
      <c r="BB24" s="89">
        <f>ROUND(11/16*$BB$29,0)</f>
        <v>11</v>
      </c>
      <c r="BC24" s="89">
        <f>ROUND(8/10*$BC$29,0)</f>
        <v>8</v>
      </c>
      <c r="BE24" s="83">
        <v>22</v>
      </c>
      <c r="BF24" s="83" t="str">
        <f t="shared" si="40"/>
        <v>3#3#160|3#4#320|3#5#160|3#6#320|3#7#160|3#8#320|3#13#70|3#20#5|3#25#13|3#21#7</v>
      </c>
      <c r="BG24" s="83" t="str">
        <f t="shared" si="19"/>
        <v>3#35#3800</v>
      </c>
      <c r="BH24" s="83" t="str">
        <f t="shared" si="41"/>
        <v>3#9#134|3#10#268|3#11#134|3#12#268|3#3#51|3#4#102|3#5#51|3#6#102|3#7#51|3#8#102|0#1#2560|0#2#1024|1#1#768|1#2#10240|2#1#1536|2#2#8192|3#26#5|3#27#5</v>
      </c>
      <c r="BI24" s="83" t="str">
        <f t="shared" si="20"/>
        <v>3#30#65|3#31#65</v>
      </c>
      <c r="BJ24" s="83" t="str">
        <f t="shared" si="21"/>
        <v>3#9#38|3#10#76|3#11#38|3#12#76|0#1#768|0#2#320|1#1#230|1#2#3200|2#1#460|2#2#2560</v>
      </c>
      <c r="BK24" s="83" t="str">
        <f t="shared" si="22"/>
        <v>3#35#1100|3#36#800</v>
      </c>
      <c r="BL24" s="83" t="str">
        <f t="shared" si="23"/>
        <v>3#9#38|3#10#76|3#11#38|3#12#76|0#1#768|0#2#320|1#1#230|1#2#3200|2#1#460|2#2#2560</v>
      </c>
      <c r="BM24" s="83" t="str">
        <f t="shared" si="24"/>
        <v>3#35#1100|3#36#800</v>
      </c>
      <c r="BN24" s="83" t="str">
        <f t="shared" si="25"/>
        <v>3#9#38|3#10#76|3#11#38|3#12#76|0#1#768|0#2#320|1#1#230|1#2#3200|2#1#460|2#2#2560</v>
      </c>
      <c r="BO24" s="83" t="str">
        <f t="shared" si="26"/>
        <v>3#35#1100|3#37#800</v>
      </c>
      <c r="BP24" s="83" t="str">
        <f t="shared" si="27"/>
        <v>3#9#38|3#10#76|3#11#38|3#12#76|0#1#768|0#2#320|1#1#230|1#2#3200|2#1#460|2#2#2560</v>
      </c>
      <c r="BQ24" s="83" t="str">
        <f t="shared" si="28"/>
        <v>3#35#1100|3#37#800</v>
      </c>
      <c r="BR24" s="83" t="str">
        <f t="shared" si="29"/>
        <v>3#9#38|3#10#76|3#11#38|3#12#76|0#1#768|0#2#320|1#1#230|1#2#3200|2#1#460|2#2#2560</v>
      </c>
      <c r="BS24" s="83" t="str">
        <f t="shared" si="30"/>
        <v>3#35#1100|3#36#800</v>
      </c>
      <c r="BT24" s="83" t="str">
        <f t="shared" si="31"/>
        <v>3#9#38|3#10#76|3#11#38|3#12#76|0#1#768|0#2#320|1#1#230|1#2#3200|2#1#460|2#2#2560</v>
      </c>
      <c r="BU24" s="83" t="str">
        <f t="shared" si="32"/>
        <v>3#35#1100|3#36#800</v>
      </c>
      <c r="BV24" s="83" t="str">
        <f t="shared" si="33"/>
        <v>3#9#38|3#10#76|3#11#38|3#12#76|3#3#44|3#4#89|3#5#44|3#6#89|3#7#44|3#8#89|0#1#896|0#2#256|1#1#268|1#2#2560|2#1#537|2#2#2048</v>
      </c>
      <c r="BW24" s="83" t="str">
        <f t="shared" si="34"/>
        <v>3#30#34|3#31#34</v>
      </c>
      <c r="BY24" s="8" t="s">
        <v>1904</v>
      </c>
      <c r="BZ24" s="8" t="str">
        <f>"&lt;[单件触发]/FCOLOR=253&gt;\&lt; HP +"&amp;AW3&amp;"%/FCOLOR=58&gt;\&lt; MP +"&amp;AW3&amp;"%/FCOLOR=58&gt;\&lt;不同职业所增加HPMP不同/FCOLOR=58&gt;\&lt;TEXIAO:25014#100#-10&amp;0&gt;"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24" s="8" t="str">
        <f>"&lt;[单件触发]/FCOLOR=253&gt;\&lt; HP +"&amp;AW4&amp;"%/FCOLOR=58&gt;\&lt; MP +"&amp;AW4&amp;"%/FCOLOR=58&gt;\&lt;不同职业所增加HPMP不同/FCOLOR=58&gt;\&lt;TEXIAO:25014#100#-10&amp;0&gt;"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24" s="8" t="str">
        <f>"&lt;[单件触发]/FCOLOR=253&gt;\&lt; HP +"&amp;AW5&amp;"%/FCOLOR=58&gt;\&lt; MP +"&amp;AW5&amp;"%/FCOLOR=58&gt;\&lt;不同职业所增加HPMP不同/FCOLOR=58&gt;\&lt;TEXIAO:25014#100#-10&amp;0&gt;"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24" s="8" t="str">
        <f>"&lt;[单件触发]/FCOLOR=253&gt;\&lt; HP +"&amp;AW6&amp;"%/FCOLOR=58&gt;\&lt; MP +"&amp;AW6&amp;"%/FCOLOR=58&gt;\&lt;不同职业所增加HPMP不同/FCOLOR=58&gt;\&lt;TEXIAO:25014#100#-10&amp;0&gt;"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24" s="8" t="str">
        <f>"&lt;[单件触发]/FCOLOR=253&gt;\&lt; HP +"&amp;AW7&amp;"%/FCOLOR=58&gt;\&lt; MP +"&amp;AW7&amp;"%/FCOLOR=58&gt;\&lt;不同职业所增加HPMP不同/FCOLOR=58&gt;\&lt;TEXIAO:25014#100#-10&amp;0&gt;"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24" s="8" t="str">
        <f>"&lt;[单件触发]/FCOLOR=253&gt;\&lt; HP +"&amp;AW8&amp;"%/FCOLOR=58&gt;\&lt; MP +"&amp;AW8&amp;"%/FCOLOR=58&gt;\&lt;不同职业所增加HPMP不同/FCOLOR=58&gt;\&lt;TEXIAO:25014#100#-10&amp;0&gt;"</f>
        <v>&lt;[单件触发]/FCOLOR=253&gt;\&lt; HP +6%/FCOLOR=58&gt;\&lt; MP +6%/FCOLOR=58&gt;\&lt;不同职业所增加HPMP不同/FCOLOR=58&gt;\&lt;TEXIAO:25014#100#-10&amp;0&gt;</v>
      </c>
      <c r="CF24" s="8" t="str">
        <f>"&lt;[单件触发]/FCOLOR=253&gt;\&lt; HP +"&amp;AW9&amp;"%/FCOLOR=58&gt;\&lt; MP +"&amp;AW9&amp;"%/FCOLOR=58&gt;\&lt;不同职业所增加HPMP不同/FCOLOR=58&gt;\&lt;TEXIAO:25014#100#-10&amp;0&gt;"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G24" s="8" t="str">
        <f>"&lt;[单件触发]/FCOLOR=253&gt;\&lt; HP +"&amp;AW10&amp;"%/FCOLOR=58&gt;\&lt; MP +"&amp;AW10&amp;"%/FCOLOR=58&gt;\&lt;不同职业所增加HPMP不同/FCOLOR=58&gt;\&lt;TEXIAO:25014#100#-10&amp;0&gt;"</f>
        <v>&lt;[单件触发]/FCOLOR=253&gt;\&lt; HP +8%/FCOLOR=58&gt;\&lt; MP +8%/FCOLOR=58&gt;\&lt;不同职业所增加HPMP不同/FCOLOR=58&gt;\&lt;TEXIAO:25014#100#-10&amp;0&gt;</v>
      </c>
      <c r="CH24" s="8" t="str">
        <f>"&lt;[单件触发]/FCOLOR=253&gt;\&lt; HP +"&amp;AW11&amp;"%/FCOLOR=58&gt;\&lt; MP +"&amp;AW11&amp;"%/FCOLOR=58&gt;\&lt;不同职业所增加HPMP不同/FCOLOR=58&gt;\&lt;TEXIAO:25014#100#-10&amp;0&gt;"</f>
        <v>&lt;[单件触发]/FCOLOR=253&gt;\&lt; HP +9%/FCOLOR=58&gt;\&lt; MP +9%/FCOLOR=58&gt;\&lt;不同职业所增加HPMP不同/FCOLOR=58&gt;\&lt;TEXIAO:25014#100#-10&amp;0&gt;</v>
      </c>
      <c r="CI24" s="8" t="str">
        <f>"&lt;[单件触发]/FCOLOR=253&gt;\&lt; HP +"&amp;AW12&amp;"%/FCOLOR=58&gt;\&lt; MP +"&amp;AW12&amp;"%/FCOLOR=58&gt;\&lt;不同职业所增加HPMP不同/FCOLOR=58&gt;\&lt;TEXIAO:25014#100#-10&amp;0&gt;"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J24" s="8" t="str">
        <f>"&lt;[单件触发]/FCOLOR=253&gt;\&lt; HP +"&amp;AW13&amp;"%/FCOLOR=58&gt;\&lt; MP +"&amp;AW13&amp;"%/FCOLOR=58&gt;\&lt;不同职业所增加HPMP不同/FCOLOR=58&gt;\&lt;TEXIAO:25014#100#-10&amp;0&gt;"</f>
        <v>&lt;[单件触发]/FCOLOR=253&gt;\&lt; HP +12%/FCOLOR=58&gt;\&lt; MP +12%/FCOLOR=58&gt;\&lt;不同职业所增加HPMP不同/FCOLOR=58&gt;\&lt;TEXIAO:25014#100#-10&amp;0&gt;</v>
      </c>
      <c r="CK24" s="8" t="str">
        <f>"&lt;[单件触发]/FCOLOR=253&gt;\&lt; HP +"&amp;AW14&amp;"%/FCOLOR=58&gt;\&lt; MP +"&amp;AW14&amp;"%/FCOLOR=58&gt;\&lt;不同职业所增加HPMP不同/FCOLOR=58&gt;\&lt;TEXIAO:25014#100#-10&amp;0&gt;"</f>
        <v>&lt;[单件触发]/FCOLOR=253&gt;\&lt; HP +14%/FCOLOR=58&gt;\&lt; MP +14%/FCOLOR=58&gt;\&lt;不同职业所增加HPMP不同/FCOLOR=58&gt;\&lt;TEXIAO:25014#100#-10&amp;0&gt;</v>
      </c>
      <c r="CL24" s="8" t="str">
        <f>"&lt;[单件触发]/FCOLOR=253&gt;\&lt; HP +"&amp;AW15&amp;"%/FCOLOR=58&gt;\&lt; MP +"&amp;AW15&amp;"%/FCOLOR=58&gt;\&lt;不同职业所增加HPMP不同/FCOLOR=58&gt;\&lt;TEXIAO:25014#100#-10&amp;0&gt;"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M24" s="8" t="str">
        <f>"&lt;[单件触发]/FCOLOR=253&gt;\&lt; HP +"&amp;AW16&amp;"%/FCOLOR=58&gt;\&lt; MP +"&amp;AW16&amp;"%/FCOLOR=58&gt;\&lt;不同职业所增加HPMP不同/FCOLOR=58&gt;\&lt;TEXIAO:25014#100#-10&amp;0&gt;"</f>
        <v>&lt;[单件触发]/FCOLOR=253&gt;\&lt; HP +18%/FCOLOR=58&gt;\&lt; MP +18%/FCOLOR=58&gt;\&lt;不同职业所增加HPMP不同/FCOLOR=58&gt;\&lt;TEXIAO:25014#100#-10&amp;0&gt;</v>
      </c>
      <c r="CN24" s="8" t="str">
        <f>"&lt;[单件触发]/FCOLOR=253&gt;\&lt; HP +"&amp;AW17&amp;"%/FCOLOR=58&gt;\&lt; MP +"&amp;AW17&amp;"%/FCOLOR=58&gt;\&lt;不同职业所增加HPMP不同/FCOLOR=58&gt;\&lt;TEXIAO:25014#100#-10&amp;0&gt;"</f>
        <v>&lt;[单件触发]/FCOLOR=253&gt;\&lt; HP +20%/FCOLOR=58&gt;\&lt; MP +20%/FCOLOR=58&gt;\&lt;不同职业所增加HPMP不同/FCOLOR=58&gt;\&lt;TEXIAO:25014#100#-10&amp;0&gt;</v>
      </c>
      <c r="CO24" s="8" t="str">
        <f>"&lt;[单件触发]/FCOLOR=253&gt;\&lt; HP +"&amp;AW18&amp;"%/FCOLOR=58&gt;\&lt; MP +"&amp;AW18&amp;"%/FCOLOR=58&gt;\&lt;不同职业所增加HPMP不同/FCOLOR=58&gt;\&lt;TEXIAO:25014#100#-10&amp;0&gt;"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P24" s="8" t="str">
        <f>"&lt;[单件触发]/FCOLOR=253&gt;\&lt; HP +"&amp;AW19&amp;"%/FCOLOR=58&gt;\&lt; MP +"&amp;AW19&amp;"%/FCOLOR=58&gt;\&lt;不同职业所增加HPMP不同/FCOLOR=58&gt;\&lt;TEXIAO:25014#100#-10&amp;0&gt;"</f>
        <v>&lt;[单件触发]/FCOLOR=253&gt;\&lt; HP +24%/FCOLOR=58&gt;\&lt; MP +24%/FCOLOR=58&gt;\&lt;不同职业所增加HPMP不同/FCOLOR=58&gt;\&lt;TEXIAO:25014#100#-10&amp;0&gt;</v>
      </c>
      <c r="CQ24" s="8" t="str">
        <f>"&lt;[单件触发]/FCOLOR=253&gt;\&lt; HP +"&amp;AW20&amp;"%/FCOLOR=58&gt;\&lt; MP +"&amp;AW20&amp;"%/FCOLOR=58&gt;\&lt;不同职业所增加HPMP不同/FCOLOR=58&gt;\&lt;TEXIAO:25014#100#-10&amp;0&gt;"</f>
        <v>&lt;[单件触发]/FCOLOR=253&gt;\&lt; HP +26%/FCOLOR=58&gt;\&lt; MP +26%/FCOLOR=58&gt;\&lt;不同职业所增加HPMP不同/FCOLOR=58&gt;\&lt;TEXIAO:25014#100#-10&amp;0&gt;</v>
      </c>
      <c r="CR24" s="8" t="str">
        <f>"&lt;[单件触发]/FCOLOR=253&gt;\&lt; HP +"&amp;AW21&amp;"%/FCOLOR=58&gt;\&lt; MP +"&amp;AW21&amp;"%/FCOLOR=58&gt;\&lt;不同职业所增加HPMP不同/FCOLOR=58&gt;\&lt;TEXIAO:25014#100#-10&amp;0&gt;"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S24" s="8" t="str">
        <f>"&lt;[单件触发]/FCOLOR=253&gt;\&lt; HP +"&amp;AW22&amp;"%/FCOLOR=58&gt;\&lt; MP +"&amp;AW22&amp;"%/FCOLOR=58&gt;\&lt;不同职业所增加HPMP不同/FCOLOR=58&gt;\&lt;TEXIAO:25014#100#-10&amp;0&gt;"</f>
        <v>&lt;[单件触发]/FCOLOR=253&gt;\&lt; HP +30%/FCOLOR=58&gt;\&lt; MP +30%/FCOLOR=58&gt;\&lt;不同职业所增加HPMP不同/FCOLOR=58&gt;\&lt;TEXIAO:25014#100#-10&amp;0&gt;</v>
      </c>
      <c r="CT24" s="8" t="str">
        <f>"&lt;[单件触发]/FCOLOR=253&gt;\&lt; HP +"&amp;AW23&amp;"%/FCOLOR=58&gt;\&lt; MP +"&amp;AW23&amp;"%/FCOLOR=58&gt;\&lt;不同职业所增加HPMP不同/FCOLOR=58&gt;\&lt;TEXIAO:25014#100#-10&amp;0&gt;"</f>
        <v>&lt;[单件触发]/FCOLOR=253&gt;\&lt; HP +32%/FCOLOR=58&gt;\&lt; MP +32%/FCOLOR=58&gt;\&lt;不同职业所增加HPMP不同/FCOLOR=58&gt;\&lt;TEXIAO:25014#100#-10&amp;0&gt;</v>
      </c>
      <c r="CU24" s="8" t="str">
        <f>"&lt;[单件触发]/FCOLOR=253&gt;\&lt; HP +"&amp;AW24&amp;"%/FCOLOR=58&gt;\&lt; MP +"&amp;AW24&amp;"%/FCOLOR=58&gt;\&lt;不同职业所增加HPMP不同/FCOLOR=58&gt;\&lt;TEXIAO:25014#100#-10&amp;0&gt;"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V24" s="8" t="str">
        <f>"&lt;[单件触发]/FCOLOR=253&gt;\&lt; HP +"&amp;AW25&amp;"%/FCOLOR=58&gt;\&lt; MP +"&amp;AW25&amp;"%/FCOLOR=58&gt;\&lt;不同职业所增加HPMP不同/FCOLOR=58&gt;\&lt;TEXIAO:25014#100#-10&amp;0&gt;"</f>
        <v>&lt;[单件触发]/FCOLOR=253&gt;\&lt; HP +36%/FCOLOR=58&gt;\&lt; MP +36%/FCOLOR=58&gt;\&lt;不同职业所增加HPMP不同/FCOLOR=58&gt;\&lt;TEXIAO:25014#100#-10&amp;0&gt;</v>
      </c>
      <c r="CW24" s="8" t="str">
        <f>"&lt;[单件触发]/FCOLOR=253&gt;\&lt; HP +"&amp;AW26&amp;"%/FCOLOR=58&gt;\&lt; MP +"&amp;AW26&amp;"%/FCOLOR=58&gt;\&lt;不同职业所增加HPMP不同/FCOLOR=58&gt;\&lt;TEXIAO:25014#100#-10&amp;0&gt;"</f>
        <v>&lt;[单件触发]/FCOLOR=253&gt;\&lt; HP +38%/FCOLOR=58&gt;\&lt; MP +38%/FCOLOR=58&gt;\&lt;不同职业所增加HPMP不同/FCOLOR=58&gt;\&lt;TEXIAO:25014#100#-10&amp;0&gt;</v>
      </c>
      <c r="CX24" s="8" t="str">
        <f>"&lt;[单件触发]/FCOLOR=253&gt;\&lt; HP +"&amp;AW27&amp;"%/FCOLOR=58&gt;\&lt; MP +"&amp;AW27&amp;"%/FCOLOR=58&gt;\&lt;不同职业所增加HPMP不同/FCOLOR=58&gt;\&lt;TEXIAO:25014#100#-10&amp;0&gt;"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Y24" s="8" t="str">
        <f>"&lt;[单件触发]/FCOLOR=253&gt;\&lt; HP +"&amp;AW28&amp;"%/FCOLOR=58&gt;\&lt; MP +"&amp;AW28&amp;"%/FCOLOR=58&gt;\&lt;不同职业所增加HPMP不同/FCOLOR=58&gt;\&lt;TEXIAO:25014#100#-10&amp;0&gt;"</f>
        <v>&lt;[单件触发]/FCOLOR=253&gt;\&lt; HP +42%/FCOLOR=58&gt;\&lt; MP +42%/FCOLOR=58&gt;\&lt;不同职业所增加HPMP不同/FCOLOR=58&gt;\&lt;TEXIAO:25014#100#-10&amp;0&gt;</v>
      </c>
      <c r="CZ24" s="8" t="str">
        <f>"&lt;[单件触发]/FCOLOR=253&gt;\&lt; HP +"&amp;AW29&amp;"%/FCOLOR=58&gt;\&lt; MP +"&amp;AW29&amp;"%/FCOLOR=58&gt;\&lt;不同职业所增加HPMP不同/FCOLOR=58&gt;\&lt;TEXIAO:25014#100#-10&amp;0&gt;"</f>
        <v>&lt;[单件触发]/FCOLOR=253&gt;\&lt; HP +44%/FCOLOR=58&gt;\&lt; MP +44%/FCOLOR=58&gt;\&lt;不同职业所增加HPMP不同/FCOLOR=58&gt;\&lt;TEXIAO:25014#100#-10&amp;0&gt;</v>
      </c>
    </row>
    <row r="25" spans="1:104" x14ac:dyDescent="0.3">
      <c r="A25" s="22" t="s">
        <v>163</v>
      </c>
      <c r="B25" s="22" t="s">
        <v>1751</v>
      </c>
      <c r="C25" s="22" t="s">
        <v>83</v>
      </c>
      <c r="D25" s="23"/>
      <c r="E25" s="22" t="s">
        <v>1752</v>
      </c>
      <c r="F25" s="29">
        <v>1</v>
      </c>
      <c r="G25" s="69">
        <v>35</v>
      </c>
      <c r="H25" s="64"/>
      <c r="I25" s="22" t="s">
        <v>1753</v>
      </c>
      <c r="J25" s="22" t="s">
        <v>1754</v>
      </c>
      <c r="K25" s="90">
        <v>23</v>
      </c>
      <c r="L25" s="91">
        <f>INT(105/150*L29)</f>
        <v>10500</v>
      </c>
      <c r="M25" s="91">
        <f t="shared" ref="M25:W25" si="68">INT(105/150*M29)</f>
        <v>42000</v>
      </c>
      <c r="N25" s="91">
        <f t="shared" si="68"/>
        <v>700</v>
      </c>
      <c r="O25" s="91">
        <f t="shared" si="68"/>
        <v>1400</v>
      </c>
      <c r="P25" s="91">
        <f t="shared" si="68"/>
        <v>700</v>
      </c>
      <c r="Q25" s="91">
        <f t="shared" si="68"/>
        <v>1400</v>
      </c>
      <c r="R25" s="91">
        <f t="shared" si="68"/>
        <v>700</v>
      </c>
      <c r="S25" s="91">
        <f t="shared" si="68"/>
        <v>1400</v>
      </c>
      <c r="T25" s="91">
        <f t="shared" si="68"/>
        <v>525</v>
      </c>
      <c r="U25" s="91">
        <f t="shared" si="68"/>
        <v>1050</v>
      </c>
      <c r="V25" s="91">
        <f t="shared" si="68"/>
        <v>525</v>
      </c>
      <c r="W25" s="91">
        <f t="shared" si="68"/>
        <v>1050</v>
      </c>
      <c r="X25" s="91">
        <f>L25*属性价值参考!C$5+基本装备!M25*属性价值参考!C$6+基本装备!N25*属性价值参考!C$7+基本装备!O25*属性价值参考!C$8+基本装备!T25*属性价值参考!C$9+基本装备!U25*属性价值参考!C$10+基本装备!V25*属性价值参考!C$11+基本装备!W25*属性价值参考!C$12</f>
        <v>246078</v>
      </c>
      <c r="Y25" s="91">
        <f>基本装备!AG25*属性价值参考!C$13+基本装备!AH25*属性价值参考!C$36+基本装备!AI25*属性价值参考!C$19+基本装备!AJ25*属性价值参考!C$15+基本装备!AK25*属性价值参考!C$27+基本装备!AP25*属性价值参考!C$20+基本装备!AQ25*属性价值参考!C$21+基本装备!AR25*属性价值参考!C$26+8*(基本装备!AW25*属性价值参考!C$26+基本装备!BB25*属性价值参考!C$27+基本装备!BC25*(属性价值参考!C$28+属性价值参考!C$29))</f>
        <v>93467.199999999983</v>
      </c>
      <c r="Z25" s="9"/>
      <c r="AA25" s="81">
        <f t="shared" si="1"/>
        <v>10500</v>
      </c>
      <c r="AB25" s="81">
        <f t="shared" si="2"/>
        <v>42000</v>
      </c>
      <c r="AC25" s="81">
        <f t="shared" si="3"/>
        <v>1400</v>
      </c>
      <c r="AD25" s="81">
        <f t="shared" si="4"/>
        <v>1050</v>
      </c>
      <c r="AE25" s="9"/>
      <c r="AF25" s="82">
        <f t="shared" si="5"/>
        <v>350</v>
      </c>
      <c r="AG25" s="82">
        <f>$AG$29</f>
        <v>80</v>
      </c>
      <c r="AH25" s="82">
        <f>ROUND(6/7*$AH$29,0)</f>
        <v>6</v>
      </c>
      <c r="AI25" s="82">
        <v>14</v>
      </c>
      <c r="AJ25" s="82">
        <f>ROUND(8/10*$AJ$29,0)</f>
        <v>8</v>
      </c>
      <c r="AK25" s="82">
        <f>ROUND(40/52*$AK$29,0)</f>
        <v>40</v>
      </c>
      <c r="AL25" s="82">
        <f t="shared" si="6"/>
        <v>2800</v>
      </c>
      <c r="AM25" s="82">
        <f t="shared" si="7"/>
        <v>11200</v>
      </c>
      <c r="AN25" s="82">
        <f t="shared" si="8"/>
        <v>112</v>
      </c>
      <c r="AO25" s="82">
        <f t="shared" si="9"/>
        <v>294</v>
      </c>
      <c r="AP25" s="82">
        <f>ROUND(5/6*$AP$29,0)</f>
        <v>5</v>
      </c>
      <c r="AQ25" s="82">
        <f>ROUND(5/6*$AQ$29,0)</f>
        <v>5</v>
      </c>
      <c r="AR25" s="82">
        <f>ROUND(70/110*$AR$29,0)</f>
        <v>70</v>
      </c>
      <c r="AS25" s="82">
        <f t="shared" si="10"/>
        <v>980</v>
      </c>
      <c r="AT25" s="82">
        <f t="shared" si="11"/>
        <v>2800</v>
      </c>
      <c r="AU25" s="82">
        <f t="shared" si="12"/>
        <v>98.000000000000014</v>
      </c>
      <c r="AV25" s="82">
        <f t="shared" si="13"/>
        <v>84</v>
      </c>
      <c r="AW25" s="82">
        <f>ROUND(36/44*$AW$29,0)</f>
        <v>36</v>
      </c>
      <c r="AX25" s="82">
        <f t="shared" si="14"/>
        <v>840</v>
      </c>
      <c r="AY25" s="82">
        <f t="shared" si="15"/>
        <v>3500</v>
      </c>
      <c r="AZ25" s="82">
        <f t="shared" si="16"/>
        <v>105</v>
      </c>
      <c r="BA25" s="82">
        <f t="shared" si="17"/>
        <v>84</v>
      </c>
      <c r="BB25" s="89">
        <f>ROUND(12/16*$BB$29,0)</f>
        <v>12</v>
      </c>
      <c r="BC25" s="89">
        <f>ROUND(8/10*$BC$29,0)</f>
        <v>8</v>
      </c>
      <c r="BE25" s="83">
        <v>23</v>
      </c>
      <c r="BF25" s="83" t="str">
        <f t="shared" si="40"/>
        <v>3#3#175|3#4#350|3#5#175|3#6#350|3#7#175|3#8#350|3#13#80|3#20#6|3#25#14|3#21#8</v>
      </c>
      <c r="BG25" s="83" t="str">
        <f t="shared" si="19"/>
        <v>3#35#4000</v>
      </c>
      <c r="BH25" s="83" t="str">
        <f t="shared" si="41"/>
        <v>3#9#147|3#10#294|3#11#147|3#12#294|3#3#56|3#4#112|3#5#56|3#6#112|3#7#56|3#8#112|0#1#2800|0#2#1120|1#1#840|1#2#11200|2#1#1680|2#2#8960|3#26#5|3#27#5</v>
      </c>
      <c r="BI25" s="83" t="str">
        <f t="shared" si="20"/>
        <v>3#30#70|3#31#70</v>
      </c>
      <c r="BJ25" s="83" t="str">
        <f t="shared" si="21"/>
        <v>3#9#42|3#10#84|3#11#42|3#12#84|0#1#840|0#2#350|1#1#252|1#2#3500|2#1#504|2#2#2800</v>
      </c>
      <c r="BK25" s="83" t="str">
        <f t="shared" si="22"/>
        <v>3#35#1200|3#36#800</v>
      </c>
      <c r="BL25" s="83" t="str">
        <f t="shared" si="23"/>
        <v>3#9#42|3#10#84|3#11#42|3#12#84|0#1#840|0#2#350|1#1#252|1#2#3500|2#1#504|2#2#2800</v>
      </c>
      <c r="BM25" s="83" t="str">
        <f t="shared" si="24"/>
        <v>3#35#1200|3#36#800</v>
      </c>
      <c r="BN25" s="83" t="str">
        <f t="shared" si="25"/>
        <v>3#9#42|3#10#84|3#11#42|3#12#84|0#1#840|0#2#350|1#1#252|1#2#3500|2#1#504|2#2#2800</v>
      </c>
      <c r="BO25" s="83" t="str">
        <f t="shared" si="26"/>
        <v>3#35#1200|3#37#800</v>
      </c>
      <c r="BP25" s="83" t="str">
        <f t="shared" si="27"/>
        <v>3#9#42|3#10#84|3#11#42|3#12#84|0#1#840|0#2#350|1#1#252|1#2#3500|2#1#504|2#2#2800</v>
      </c>
      <c r="BQ25" s="83" t="str">
        <f t="shared" si="28"/>
        <v>3#35#1200|3#37#800</v>
      </c>
      <c r="BR25" s="83" t="str">
        <f t="shared" si="29"/>
        <v>3#9#42|3#10#84|3#11#42|3#12#84|0#1#840|0#2#350|1#1#252|1#2#3500|2#1#504|2#2#2800</v>
      </c>
      <c r="BS25" s="83" t="str">
        <f t="shared" si="30"/>
        <v>3#35#1200|3#36#800</v>
      </c>
      <c r="BT25" s="83" t="str">
        <f t="shared" si="31"/>
        <v>3#9#42|3#10#84|3#11#42|3#12#84|0#1#840|0#2#350|1#1#252|1#2#3500|2#1#504|2#2#2800</v>
      </c>
      <c r="BU25" s="83" t="str">
        <f t="shared" si="32"/>
        <v>3#35#1200|3#36#800</v>
      </c>
      <c r="BV25" s="83" t="str">
        <f t="shared" si="33"/>
        <v>3#9#42|3#10#84|3#11#42|3#12#84|3#3#49|3#4#98|3#5#49|3#6#98|3#7#49|3#8#98|0#1#980|0#2#280|1#1#294|1#2#2800|2#1#588|2#2#2240</v>
      </c>
      <c r="BW25" s="83" t="str">
        <f t="shared" si="34"/>
        <v>3#30#36|3#31#36</v>
      </c>
    </row>
    <row r="26" spans="1:104" x14ac:dyDescent="0.3">
      <c r="A26" s="22" t="s">
        <v>163</v>
      </c>
      <c r="B26" s="22" t="s">
        <v>1751</v>
      </c>
      <c r="C26" s="22" t="s">
        <v>87</v>
      </c>
      <c r="D26" s="23"/>
      <c r="E26" s="22" t="s">
        <v>1755</v>
      </c>
      <c r="F26" s="29">
        <v>1</v>
      </c>
      <c r="G26" s="69">
        <v>35</v>
      </c>
      <c r="H26" s="64"/>
      <c r="I26" s="22" t="s">
        <v>1756</v>
      </c>
      <c r="J26" s="22" t="s">
        <v>1754</v>
      </c>
      <c r="K26" s="90">
        <v>24</v>
      </c>
      <c r="L26" s="91">
        <f>INT(112.5/150*L29)</f>
        <v>11250</v>
      </c>
      <c r="M26" s="91">
        <f t="shared" ref="M26:W26" si="69">INT(112.5/150*M29)</f>
        <v>45000</v>
      </c>
      <c r="N26" s="91">
        <f t="shared" si="69"/>
        <v>750</v>
      </c>
      <c r="O26" s="91">
        <f t="shared" si="69"/>
        <v>1500</v>
      </c>
      <c r="P26" s="91">
        <f t="shared" si="69"/>
        <v>750</v>
      </c>
      <c r="Q26" s="91">
        <f t="shared" si="69"/>
        <v>1500</v>
      </c>
      <c r="R26" s="91">
        <f t="shared" si="69"/>
        <v>750</v>
      </c>
      <c r="S26" s="91">
        <f t="shared" si="69"/>
        <v>1500</v>
      </c>
      <c r="T26" s="91">
        <f t="shared" si="69"/>
        <v>562</v>
      </c>
      <c r="U26" s="91">
        <f t="shared" si="69"/>
        <v>1125</v>
      </c>
      <c r="V26" s="91">
        <f t="shared" si="69"/>
        <v>562</v>
      </c>
      <c r="W26" s="91">
        <f t="shared" si="69"/>
        <v>1125</v>
      </c>
      <c r="X26" s="91">
        <f>L26*属性价值参考!C$5+基本装备!M26*属性价值参考!C$6+基本装备!N26*属性价值参考!C$7+基本装备!O26*属性价值参考!C$8+基本装备!T26*属性价值参考!C$9+基本装备!U26*属性价值参考!C$10+基本装备!V26*属性价值参考!C$11+基本装备!W26*属性价值参考!C$12</f>
        <v>263641.19999999995</v>
      </c>
      <c r="Y26" s="91">
        <f>基本装备!AG26*属性价值参考!C$13+基本装备!AH26*属性价值参考!C$36+基本装备!AI26*属性价值参考!C$19+基本装备!AJ26*属性价值参考!C$15+基本装备!AK26*属性价值参考!C$27+基本装备!AP26*属性价值参考!C$20+基本装备!AQ26*属性价值参考!C$21+基本装备!AR26*属性价值参考!C$26+8*(基本装备!AW26*属性价值参考!C$26+基本装备!BB26*属性价值参考!C$27+基本装备!BC26*(属性价值参考!C$28+属性价值参考!C$29))</f>
        <v>98780.799999999988</v>
      </c>
      <c r="Z26" s="9"/>
      <c r="AA26" s="81">
        <f t="shared" si="1"/>
        <v>11250</v>
      </c>
      <c r="AB26" s="81">
        <f t="shared" si="2"/>
        <v>45000</v>
      </c>
      <c r="AC26" s="81">
        <f t="shared" si="3"/>
        <v>1500</v>
      </c>
      <c r="AD26" s="81">
        <f t="shared" si="4"/>
        <v>1125</v>
      </c>
      <c r="AE26" s="9"/>
      <c r="AF26" s="82">
        <f t="shared" si="5"/>
        <v>375</v>
      </c>
      <c r="AG26" s="82">
        <f>$AG$29</f>
        <v>80</v>
      </c>
      <c r="AH26" s="82">
        <f>ROUND(6/7*$AH$29,0)</f>
        <v>6</v>
      </c>
      <c r="AI26" s="82">
        <v>15</v>
      </c>
      <c r="AJ26" s="82">
        <f>ROUND(8/10*$AJ$29,0)</f>
        <v>8</v>
      </c>
      <c r="AK26" s="82">
        <f>ROUND(43/52*$AK$29,0)</f>
        <v>43</v>
      </c>
      <c r="AL26" s="82">
        <f t="shared" si="6"/>
        <v>3000</v>
      </c>
      <c r="AM26" s="82">
        <f t="shared" si="7"/>
        <v>12000</v>
      </c>
      <c r="AN26" s="82">
        <f t="shared" si="8"/>
        <v>120</v>
      </c>
      <c r="AO26" s="82">
        <f t="shared" si="9"/>
        <v>315.00000000000006</v>
      </c>
      <c r="AP26" s="82">
        <f>$AP$29</f>
        <v>6</v>
      </c>
      <c r="AQ26" s="82">
        <f>$AQ$29</f>
        <v>6</v>
      </c>
      <c r="AR26" s="82">
        <f>ROUND(80/110*$AR$29,0)</f>
        <v>80</v>
      </c>
      <c r="AS26" s="82">
        <f t="shared" si="10"/>
        <v>1050</v>
      </c>
      <c r="AT26" s="82">
        <f t="shared" si="11"/>
        <v>3000</v>
      </c>
      <c r="AU26" s="82">
        <f t="shared" si="12"/>
        <v>105.00000000000001</v>
      </c>
      <c r="AV26" s="82">
        <f t="shared" si="13"/>
        <v>90</v>
      </c>
      <c r="AW26" s="82">
        <f>ROUND(38/44*$AW$29,0)</f>
        <v>38</v>
      </c>
      <c r="AX26" s="82">
        <f t="shared" si="14"/>
        <v>900</v>
      </c>
      <c r="AY26" s="82">
        <f t="shared" si="15"/>
        <v>3750</v>
      </c>
      <c r="AZ26" s="82">
        <f t="shared" si="16"/>
        <v>112.5</v>
      </c>
      <c r="BA26" s="82">
        <f t="shared" si="17"/>
        <v>90</v>
      </c>
      <c r="BB26" s="89">
        <f>ROUND(13/16*$BB$29,0)</f>
        <v>13</v>
      </c>
      <c r="BC26" s="89">
        <f>ROUND(8/10*$BC$29,0)</f>
        <v>8</v>
      </c>
      <c r="BE26" s="83">
        <v>24</v>
      </c>
      <c r="BF26" s="83" t="str">
        <f t="shared" si="40"/>
        <v>3#3#187|3#4#375|3#5#187|3#6#375|3#7#187|3#8#375|3#13#80|3#20#6|3#25#15|3#21#8</v>
      </c>
      <c r="BG26" s="83" t="str">
        <f t="shared" si="19"/>
        <v>3#35#4300</v>
      </c>
      <c r="BH26" s="83" t="str">
        <f t="shared" si="41"/>
        <v>3#9#157|3#10#315|3#11#157|3#12#315|3#3#60|3#4#120|3#5#60|3#6#120|3#7#60|3#8#120|0#1#3000|0#2#1200|1#1#900|1#2#12000|2#1#1800|2#2#9600|3#26#6|3#27#6</v>
      </c>
      <c r="BI26" s="83" t="str">
        <f t="shared" si="20"/>
        <v>3#30#80|3#31#80</v>
      </c>
      <c r="BJ26" s="83" t="str">
        <f t="shared" si="21"/>
        <v>3#9#45|3#10#90|3#11#45|3#12#90|0#1#900|0#2#375|1#1#270|1#2#3750|2#1#540|2#2#3000</v>
      </c>
      <c r="BK26" s="83" t="str">
        <f t="shared" si="22"/>
        <v>3#35#1300|3#36#800</v>
      </c>
      <c r="BL26" s="83" t="str">
        <f t="shared" si="23"/>
        <v>3#9#45|3#10#90|3#11#45|3#12#90|0#1#900|0#2#375|1#1#270|1#2#3750|2#1#540|2#2#3000</v>
      </c>
      <c r="BM26" s="83" t="str">
        <f t="shared" si="24"/>
        <v>3#35#1300|3#36#800</v>
      </c>
      <c r="BN26" s="83" t="str">
        <f t="shared" si="25"/>
        <v>3#9#45|3#10#90|3#11#45|3#12#90|0#1#900|0#2#375|1#1#270|1#2#3750|2#1#540|2#2#3000</v>
      </c>
      <c r="BO26" s="83" t="str">
        <f t="shared" si="26"/>
        <v>3#35#1300|3#37#800</v>
      </c>
      <c r="BP26" s="83" t="str">
        <f t="shared" si="27"/>
        <v>3#9#45|3#10#90|3#11#45|3#12#90|0#1#900|0#2#375|1#1#270|1#2#3750|2#1#540|2#2#3000</v>
      </c>
      <c r="BQ26" s="83" t="str">
        <f t="shared" si="28"/>
        <v>3#35#1300|3#37#800</v>
      </c>
      <c r="BR26" s="83" t="str">
        <f t="shared" si="29"/>
        <v>3#9#45|3#10#90|3#11#45|3#12#90|0#1#900|0#2#375|1#1#270|1#2#3750|2#1#540|2#2#3000</v>
      </c>
      <c r="BS26" s="83" t="str">
        <f t="shared" si="30"/>
        <v>3#35#1300|3#36#800</v>
      </c>
      <c r="BT26" s="83" t="str">
        <f t="shared" si="31"/>
        <v>3#9#45|3#10#90|3#11#45|3#12#90|0#1#900|0#2#375|1#1#270|1#2#3750|2#1#540|2#2#3000</v>
      </c>
      <c r="BU26" s="83" t="str">
        <f t="shared" si="32"/>
        <v>3#35#1300|3#36#800</v>
      </c>
      <c r="BV26" s="83" t="str">
        <f t="shared" si="33"/>
        <v>3#9#45|3#10#90|3#11#45|3#12#90|3#3#52|3#4#105|3#5#52|3#6#105|3#7#52|3#8#105|0#1#1050|0#2#300|1#1#315|1#2#3000|2#1#630|2#2#2400</v>
      </c>
      <c r="BW26" s="83" t="str">
        <f t="shared" si="34"/>
        <v>3#30#38|3#31#38</v>
      </c>
    </row>
    <row r="27" spans="1:104" x14ac:dyDescent="0.3">
      <c r="A27" s="22" t="s">
        <v>163</v>
      </c>
      <c r="B27" s="22" t="s">
        <v>1751</v>
      </c>
      <c r="C27" s="22" t="s">
        <v>85</v>
      </c>
      <c r="D27" s="23"/>
      <c r="E27" s="22" t="s">
        <v>1757</v>
      </c>
      <c r="F27" s="29">
        <v>1</v>
      </c>
      <c r="G27" s="69">
        <v>35</v>
      </c>
      <c r="H27" s="64"/>
      <c r="I27" s="22" t="s">
        <v>1758</v>
      </c>
      <c r="J27" s="22" t="s">
        <v>1754</v>
      </c>
      <c r="K27" s="90">
        <v>25</v>
      </c>
      <c r="L27" s="91">
        <f>INT(120/150*L29)</f>
        <v>12000</v>
      </c>
      <c r="M27" s="91">
        <f t="shared" ref="M27:W27" si="70">INT(120/150*M29)</f>
        <v>48000</v>
      </c>
      <c r="N27" s="91">
        <f t="shared" si="70"/>
        <v>800</v>
      </c>
      <c r="O27" s="91">
        <f t="shared" si="70"/>
        <v>1600</v>
      </c>
      <c r="P27" s="91">
        <f t="shared" si="70"/>
        <v>800</v>
      </c>
      <c r="Q27" s="91">
        <f t="shared" si="70"/>
        <v>1600</v>
      </c>
      <c r="R27" s="91">
        <f t="shared" si="70"/>
        <v>800</v>
      </c>
      <c r="S27" s="91">
        <f t="shared" si="70"/>
        <v>1600</v>
      </c>
      <c r="T27" s="91">
        <f t="shared" si="70"/>
        <v>600</v>
      </c>
      <c r="U27" s="91">
        <f t="shared" si="70"/>
        <v>1200</v>
      </c>
      <c r="V27" s="91">
        <f t="shared" si="70"/>
        <v>600</v>
      </c>
      <c r="W27" s="91">
        <f t="shared" si="70"/>
        <v>1200</v>
      </c>
      <c r="X27" s="91">
        <f>L27*属性价值参考!C$5+基本装备!M27*属性价值参考!C$6+基本装备!N27*属性价值参考!C$7+基本装备!O27*属性价值参考!C$8+基本装备!T27*属性价值参考!C$9+基本装备!U27*属性价值参考!C$10+基本装备!V27*属性价值参考!C$11+基本装备!W27*属性价值参考!C$12</f>
        <v>281232</v>
      </c>
      <c r="Y27" s="91">
        <f>基本装备!AG27*属性价值参考!C$13+基本装备!AH27*属性价值参考!C$36+基本装备!AI27*属性价值参考!C$19+基本装备!AJ27*属性价值参考!C$15+基本装备!AK27*属性价值参考!C$27+基本装备!AP27*属性价值参考!C$20+基本装备!AQ27*属性价值参考!C$21+基本装备!AR27*属性价值参考!C$26+8*(基本装备!AW27*属性价值参考!C$26+基本装备!BB27*属性价值参考!C$27+基本装备!BC27*(属性价值参考!C$28+属性价值参考!C$29))</f>
        <v>105031.59999999999</v>
      </c>
      <c r="Z27" s="9"/>
      <c r="AA27" s="81">
        <f t="shared" si="1"/>
        <v>12000</v>
      </c>
      <c r="AB27" s="81">
        <f t="shared" si="2"/>
        <v>48000</v>
      </c>
      <c r="AC27" s="81">
        <f t="shared" si="3"/>
        <v>1600</v>
      </c>
      <c r="AD27" s="81">
        <f t="shared" si="4"/>
        <v>1200</v>
      </c>
      <c r="AE27" s="9"/>
      <c r="AF27" s="82">
        <f t="shared" si="5"/>
        <v>400</v>
      </c>
      <c r="AG27" s="82">
        <f>$AG$29</f>
        <v>80</v>
      </c>
      <c r="AH27" s="82">
        <f>ROUND(6/7*$AH$29,0)</f>
        <v>6</v>
      </c>
      <c r="AI27" s="82">
        <v>16</v>
      </c>
      <c r="AJ27" s="82">
        <f>ROUND(9/10*$AJ$29,0)</f>
        <v>9</v>
      </c>
      <c r="AK27" s="82">
        <f>ROUND(46/52*$AK$29,0)</f>
        <v>46</v>
      </c>
      <c r="AL27" s="82">
        <f t="shared" si="6"/>
        <v>3200</v>
      </c>
      <c r="AM27" s="82">
        <f t="shared" si="7"/>
        <v>12800</v>
      </c>
      <c r="AN27" s="82">
        <f t="shared" si="8"/>
        <v>128</v>
      </c>
      <c r="AO27" s="82">
        <f t="shared" si="9"/>
        <v>336.00000000000006</v>
      </c>
      <c r="AP27" s="82">
        <f>$AP$29</f>
        <v>6</v>
      </c>
      <c r="AQ27" s="82">
        <f>$AQ$29</f>
        <v>6</v>
      </c>
      <c r="AR27" s="82">
        <f>ROUND(90/110*$AR$29,0)</f>
        <v>90</v>
      </c>
      <c r="AS27" s="82">
        <f t="shared" si="10"/>
        <v>1120</v>
      </c>
      <c r="AT27" s="82">
        <f t="shared" si="11"/>
        <v>3200</v>
      </c>
      <c r="AU27" s="82">
        <f t="shared" si="12"/>
        <v>112.00000000000001</v>
      </c>
      <c r="AV27" s="82">
        <f t="shared" si="13"/>
        <v>96</v>
      </c>
      <c r="AW27" s="82">
        <f>ROUND(40/44*$AW$29,0)</f>
        <v>40</v>
      </c>
      <c r="AX27" s="82">
        <f t="shared" si="14"/>
        <v>960</v>
      </c>
      <c r="AY27" s="82">
        <f t="shared" si="15"/>
        <v>4000</v>
      </c>
      <c r="AZ27" s="82">
        <f t="shared" si="16"/>
        <v>120</v>
      </c>
      <c r="BA27" s="82">
        <f t="shared" si="17"/>
        <v>96</v>
      </c>
      <c r="BB27" s="89">
        <f>ROUND(14/16*$BB$29,0)</f>
        <v>14</v>
      </c>
      <c r="BC27" s="89">
        <f>ROUND(9/10*$BC$29,0)</f>
        <v>9</v>
      </c>
      <c r="BE27" s="83">
        <v>25</v>
      </c>
      <c r="BF27" s="83" t="str">
        <f t="shared" si="40"/>
        <v>3#3#200|3#4#400|3#5#200|3#6#400|3#7#200|3#8#400|3#13#80|3#20#6|3#25#16|3#21#9</v>
      </c>
      <c r="BG27" s="83" t="str">
        <f t="shared" si="19"/>
        <v>3#35#4600</v>
      </c>
      <c r="BH27" s="83" t="str">
        <f t="shared" si="41"/>
        <v>3#9#168|3#10#336|3#11#168|3#12#336|3#3#64|3#4#128|3#5#64|3#6#128|3#7#64|3#8#128|0#1#3200|0#2#1280|1#1#960|1#2#12800|2#1#1920|2#2#10240|3#26#6|3#27#6</v>
      </c>
      <c r="BI27" s="83" t="str">
        <f t="shared" si="20"/>
        <v>3#30#90|3#31#90</v>
      </c>
      <c r="BJ27" s="83" t="str">
        <f t="shared" si="21"/>
        <v>3#9#48|3#10#96|3#11#48|3#12#96|0#1#960|0#2#400|1#1#288|1#2#4000|2#1#576|2#2#3200</v>
      </c>
      <c r="BK27" s="83" t="str">
        <f t="shared" si="22"/>
        <v>3#35#1400|3#36#900</v>
      </c>
      <c r="BL27" s="83" t="str">
        <f t="shared" si="23"/>
        <v>3#9#48|3#10#96|3#11#48|3#12#96|0#1#960|0#2#400|1#1#288|1#2#4000|2#1#576|2#2#3200</v>
      </c>
      <c r="BM27" s="83" t="str">
        <f t="shared" si="24"/>
        <v>3#35#1400|3#36#900</v>
      </c>
      <c r="BN27" s="83" t="str">
        <f t="shared" si="25"/>
        <v>3#9#48|3#10#96|3#11#48|3#12#96|0#1#960|0#2#400|1#1#288|1#2#4000|2#1#576|2#2#3200</v>
      </c>
      <c r="BO27" s="83" t="str">
        <f t="shared" si="26"/>
        <v>3#35#1400|3#37#900</v>
      </c>
      <c r="BP27" s="83" t="str">
        <f t="shared" si="27"/>
        <v>3#9#48|3#10#96|3#11#48|3#12#96|0#1#960|0#2#400|1#1#288|1#2#4000|2#1#576|2#2#3200</v>
      </c>
      <c r="BQ27" s="83" t="str">
        <f t="shared" si="28"/>
        <v>3#35#1400|3#37#900</v>
      </c>
      <c r="BR27" s="83" t="str">
        <f t="shared" si="29"/>
        <v>3#9#48|3#10#96|3#11#48|3#12#96|0#1#960|0#2#400|1#1#288|1#2#4000|2#1#576|2#2#3200</v>
      </c>
      <c r="BS27" s="83" t="str">
        <f t="shared" si="30"/>
        <v>3#35#1400|3#36#900</v>
      </c>
      <c r="BT27" s="83" t="str">
        <f t="shared" si="31"/>
        <v>3#9#48|3#10#96|3#11#48|3#12#96|0#1#960|0#2#400|1#1#288|1#2#4000|2#1#576|2#2#3200</v>
      </c>
      <c r="BU27" s="83" t="str">
        <f t="shared" si="32"/>
        <v>3#35#1400|3#36#900</v>
      </c>
      <c r="BV27" s="83" t="str">
        <f t="shared" si="33"/>
        <v>3#9#48|3#10#96|3#11#48|3#12#96|3#3#56|3#4#112|3#5#56|3#6#112|3#7#56|3#8#112|0#1#1120|0#2#320|1#1#336|1#2#3200|2#1#672|2#2#2560</v>
      </c>
      <c r="BW27" s="83" t="str">
        <f t="shared" si="34"/>
        <v>3#30#40|3#31#40</v>
      </c>
    </row>
    <row r="28" spans="1:104" x14ac:dyDescent="0.3">
      <c r="A28" s="29" t="s">
        <v>163</v>
      </c>
      <c r="B28" s="29" t="s">
        <v>164</v>
      </c>
      <c r="C28" s="29" t="s">
        <v>202</v>
      </c>
      <c r="D28" s="29"/>
      <c r="E28" s="29" t="s">
        <v>276</v>
      </c>
      <c r="F28" s="29">
        <v>2</v>
      </c>
      <c r="G28" s="29">
        <v>40</v>
      </c>
      <c r="H28" s="29"/>
      <c r="I28" s="22" t="s">
        <v>277</v>
      </c>
      <c r="J28" s="22" t="s">
        <v>278</v>
      </c>
      <c r="K28" s="90">
        <v>26</v>
      </c>
      <c r="L28" s="91">
        <f>INT(135/150*L29)</f>
        <v>13500</v>
      </c>
      <c r="M28" s="91">
        <f t="shared" ref="M28:W28" si="71">INT(135/150*M29)</f>
        <v>54000</v>
      </c>
      <c r="N28" s="91">
        <f t="shared" si="71"/>
        <v>900</v>
      </c>
      <c r="O28" s="91">
        <f t="shared" si="71"/>
        <v>1800</v>
      </c>
      <c r="P28" s="91">
        <f t="shared" si="71"/>
        <v>900</v>
      </c>
      <c r="Q28" s="91">
        <f t="shared" si="71"/>
        <v>1800</v>
      </c>
      <c r="R28" s="91">
        <f t="shared" si="71"/>
        <v>900</v>
      </c>
      <c r="S28" s="91">
        <f t="shared" si="71"/>
        <v>1800</v>
      </c>
      <c r="T28" s="91">
        <f t="shared" si="71"/>
        <v>675</v>
      </c>
      <c r="U28" s="91">
        <f t="shared" si="71"/>
        <v>1350</v>
      </c>
      <c r="V28" s="91">
        <f t="shared" si="71"/>
        <v>675</v>
      </c>
      <c r="W28" s="91">
        <f t="shared" si="71"/>
        <v>1350</v>
      </c>
      <c r="X28" s="91">
        <f>L28*属性价值参考!C$5+基本装备!M28*属性价值参考!C$6+基本装备!N28*属性价值参考!C$7+基本装备!O28*属性价值参考!C$8+基本装备!T28*属性价值参考!C$9+基本装备!U28*属性价值参考!C$10+基本装备!V28*属性价值参考!C$11+基本装备!W28*属性价值参考!C$12</f>
        <v>316386</v>
      </c>
      <c r="Y28" s="91">
        <f>基本装备!AG28*属性价值参考!C$13+基本装备!AH28*属性价值参考!C$36+基本装备!AI28*属性价值参考!C$19+基本装备!AJ28*属性价值参考!C$15+基本装备!AK28*属性价值参考!C$27+基本装备!AP28*属性价值参考!C$20+基本装备!AQ28*属性价值参考!C$21+基本装备!AR28*属性价值参考!C$26+8*(基本装备!AW28*属性价值参考!C$26+基本装备!BB28*属性价值参考!C$27+基本装备!BC28*(属性价值参考!C$28+属性价值参考!C$29))</f>
        <v>109826.8</v>
      </c>
      <c r="Z28" s="9"/>
      <c r="AA28" s="81">
        <f t="shared" si="1"/>
        <v>13500</v>
      </c>
      <c r="AB28" s="81">
        <f t="shared" si="2"/>
        <v>54000</v>
      </c>
      <c r="AC28" s="81">
        <f t="shared" si="3"/>
        <v>1800</v>
      </c>
      <c r="AD28" s="81">
        <f t="shared" si="4"/>
        <v>1350</v>
      </c>
      <c r="AE28" s="9"/>
      <c r="AF28" s="82">
        <f t="shared" si="5"/>
        <v>450</v>
      </c>
      <c r="AG28" s="82">
        <f>$AG$29</f>
        <v>80</v>
      </c>
      <c r="AH28" s="82">
        <f>ROUND(6/7*$AH$29,0)</f>
        <v>6</v>
      </c>
      <c r="AI28" s="82">
        <v>17</v>
      </c>
      <c r="AJ28" s="82">
        <f>ROUND(9/10*$AJ$29,0)</f>
        <v>9</v>
      </c>
      <c r="AK28" s="82">
        <f>ROUND(49/52*$AK$29,0)</f>
        <v>49</v>
      </c>
      <c r="AL28" s="82">
        <f t="shared" si="6"/>
        <v>3600</v>
      </c>
      <c r="AM28" s="82">
        <f t="shared" si="7"/>
        <v>14400</v>
      </c>
      <c r="AN28" s="82">
        <f t="shared" si="8"/>
        <v>144</v>
      </c>
      <c r="AO28" s="82">
        <f t="shared" si="9"/>
        <v>378.00000000000006</v>
      </c>
      <c r="AP28" s="82">
        <f>$AP$29</f>
        <v>6</v>
      </c>
      <c r="AQ28" s="82">
        <f>$AQ$29</f>
        <v>6</v>
      </c>
      <c r="AR28" s="82">
        <f>ROUND(100/110*$AR$29,0)</f>
        <v>100</v>
      </c>
      <c r="AS28" s="82">
        <f t="shared" si="10"/>
        <v>1260</v>
      </c>
      <c r="AT28" s="82">
        <f t="shared" si="11"/>
        <v>3600</v>
      </c>
      <c r="AU28" s="82">
        <f t="shared" si="12"/>
        <v>126.00000000000001</v>
      </c>
      <c r="AV28" s="82">
        <f t="shared" si="13"/>
        <v>108</v>
      </c>
      <c r="AW28" s="82">
        <f>ROUND(42/44*$AW$29,0)</f>
        <v>42</v>
      </c>
      <c r="AX28" s="82">
        <f t="shared" si="14"/>
        <v>1080</v>
      </c>
      <c r="AY28" s="82">
        <f t="shared" si="15"/>
        <v>4500</v>
      </c>
      <c r="AZ28" s="82">
        <f t="shared" si="16"/>
        <v>135</v>
      </c>
      <c r="BA28" s="82">
        <f t="shared" si="17"/>
        <v>108</v>
      </c>
      <c r="BB28" s="89">
        <f>ROUND(15/16*$BB$29,0)</f>
        <v>15</v>
      </c>
      <c r="BC28" s="89">
        <f>ROUND(9/10*$BC$29,0)</f>
        <v>9</v>
      </c>
      <c r="BE28" s="83">
        <v>26</v>
      </c>
      <c r="BF28" s="83" t="str">
        <f t="shared" si="40"/>
        <v>3#3#225|3#4#450|3#5#225|3#6#450|3#7#225|3#8#450|3#13#80|3#20#6|3#25#17|3#21#9</v>
      </c>
      <c r="BG28" s="83" t="str">
        <f t="shared" si="19"/>
        <v>3#35#4900</v>
      </c>
      <c r="BH28" s="83" t="str">
        <f t="shared" si="41"/>
        <v>3#9#189|3#10#378|3#11#189|3#12#378|3#3#72|3#4#144|3#5#72|3#6#144|3#7#72|3#8#144|0#1#3600|0#2#1440|1#1#1080|1#2#14400|2#1#2160|2#2#11520|3#26#6|3#27#6</v>
      </c>
      <c r="BI28" s="83" t="str">
        <f t="shared" si="20"/>
        <v>3#30#100|3#31#100</v>
      </c>
      <c r="BJ28" s="83" t="str">
        <f t="shared" si="21"/>
        <v>3#9#54|3#10#108|3#11#54|3#12#108|0#1#1080|0#2#450|1#1#324|1#2#4500|2#1#648|2#2#3600</v>
      </c>
      <c r="BK28" s="83" t="str">
        <f t="shared" si="22"/>
        <v>3#35#1500|3#36#900</v>
      </c>
      <c r="BL28" s="83" t="str">
        <f t="shared" si="23"/>
        <v>3#9#54|3#10#108|3#11#54|3#12#108|0#1#1080|0#2#450|1#1#324|1#2#4500|2#1#648|2#2#3600</v>
      </c>
      <c r="BM28" s="83" t="str">
        <f t="shared" si="24"/>
        <v>3#35#1500|3#36#900</v>
      </c>
      <c r="BN28" s="83" t="str">
        <f t="shared" si="25"/>
        <v>3#9#54|3#10#108|3#11#54|3#12#108|0#1#1080|0#2#450|1#1#324|1#2#4500|2#1#648|2#2#3600</v>
      </c>
      <c r="BO28" s="83" t="str">
        <f t="shared" si="26"/>
        <v>3#35#1500|3#37#900</v>
      </c>
      <c r="BP28" s="83" t="str">
        <f t="shared" si="27"/>
        <v>3#9#54|3#10#108|3#11#54|3#12#108|0#1#1080|0#2#450|1#1#324|1#2#4500|2#1#648|2#2#3600</v>
      </c>
      <c r="BQ28" s="83" t="str">
        <f t="shared" si="28"/>
        <v>3#35#1500|3#37#900</v>
      </c>
      <c r="BR28" s="83" t="str">
        <f t="shared" si="29"/>
        <v>3#9#54|3#10#108|3#11#54|3#12#108|0#1#1080|0#2#450|1#1#324|1#2#4500|2#1#648|2#2#3600</v>
      </c>
      <c r="BS28" s="83" t="str">
        <f t="shared" si="30"/>
        <v>3#35#1500|3#36#900</v>
      </c>
      <c r="BT28" s="83" t="str">
        <f t="shared" si="31"/>
        <v>3#9#54|3#10#108|3#11#54|3#12#108|0#1#1080|0#2#450|1#1#324|1#2#4500|2#1#648|2#2#3600</v>
      </c>
      <c r="BU28" s="83" t="str">
        <f t="shared" si="32"/>
        <v>3#35#1500|3#36#900</v>
      </c>
      <c r="BV28" s="83" t="str">
        <f t="shared" si="33"/>
        <v>3#9#54|3#10#108|3#11#54|3#12#108|3#3#63|3#4#126|3#5#63|3#6#126|3#7#63|3#8#126|0#1#1260|0#2#360|1#1#378|1#2#3600|2#1#756|2#2#2880</v>
      </c>
      <c r="BW28" s="83" t="str">
        <f t="shared" si="34"/>
        <v>3#30#42|3#31#42</v>
      </c>
    </row>
    <row r="29" spans="1:104" x14ac:dyDescent="0.3">
      <c r="A29" s="29" t="s">
        <v>163</v>
      </c>
      <c r="B29" s="29" t="s">
        <v>164</v>
      </c>
      <c r="C29" s="29" t="s">
        <v>206</v>
      </c>
      <c r="D29" s="29"/>
      <c r="E29" s="29" t="s">
        <v>279</v>
      </c>
      <c r="F29" s="29">
        <v>2</v>
      </c>
      <c r="G29" s="29">
        <v>40</v>
      </c>
      <c r="H29" s="29"/>
      <c r="I29" s="22" t="s">
        <v>280</v>
      </c>
      <c r="J29" s="22" t="s">
        <v>281</v>
      </c>
      <c r="K29" s="90">
        <v>27</v>
      </c>
      <c r="L29" s="91">
        <f>养成属性分配!V31</f>
        <v>15000</v>
      </c>
      <c r="M29" s="91">
        <f>养成属性分配!W31</f>
        <v>60000</v>
      </c>
      <c r="N29" s="91">
        <f>0.5*O29</f>
        <v>1000</v>
      </c>
      <c r="O29" s="91">
        <f>养成属性分配!X31</f>
        <v>2000</v>
      </c>
      <c r="P29" s="91">
        <f>0.5*Q29</f>
        <v>1000</v>
      </c>
      <c r="Q29" s="91">
        <f>养成属性分配!X31</f>
        <v>2000</v>
      </c>
      <c r="R29" s="91">
        <f>0.5*S29</f>
        <v>1000</v>
      </c>
      <c r="S29" s="91">
        <f>养成属性分配!X31</f>
        <v>2000</v>
      </c>
      <c r="T29" s="91">
        <f>0.5*U29</f>
        <v>750</v>
      </c>
      <c r="U29" s="91">
        <f>养成属性分配!Y31</f>
        <v>1500</v>
      </c>
      <c r="V29" s="91">
        <f>0.5*W29</f>
        <v>750</v>
      </c>
      <c r="W29" s="91">
        <f>养成属性分配!Y31</f>
        <v>1500</v>
      </c>
      <c r="X29" s="91">
        <f>L29*属性价值参考!C$5+基本装备!M29*属性价值参考!C$6+基本装备!N29*属性价值参考!C$7+基本装备!O29*属性价值参考!C$8+基本装备!T29*属性价值参考!C$9+基本装备!U29*属性价值参考!C$10+基本装备!V29*属性价值参考!C$11+基本装备!W29*属性价值参考!C$12</f>
        <v>351540</v>
      </c>
      <c r="Y29" s="91">
        <f>基本装备!AG29*属性价值参考!C$13+基本装备!AH29*属性价值参考!C$36+基本装备!AI29*属性价值参考!C$19+基本装备!AJ29*属性价值参考!C$15+基本装备!AK29*属性价值参考!C$27+基本装备!AP29*属性价值参考!C$20+基本装备!AQ29*属性价值参考!C$21+基本装备!AR29*属性价值参考!C$26+8*(基本装备!AW29*属性价值参考!C$26+基本装备!BB29*属性价值参考!C$27+基本装备!BC29*(属性价值参考!C$28+属性价值参考!C$29))</f>
        <v>118669.59999999999</v>
      </c>
      <c r="Z29" s="9"/>
      <c r="AA29" s="81">
        <f>AL29+AS29+AX29*8</f>
        <v>15000</v>
      </c>
      <c r="AB29" s="81">
        <f>AM29+AT29+AY29*8</f>
        <v>60000</v>
      </c>
      <c r="AC29" s="81">
        <f>AF29+AN29+AU29+AZ29*8</f>
        <v>2000</v>
      </c>
      <c r="AD29" s="81">
        <f>AO29+AV29+BA29*8</f>
        <v>1500</v>
      </c>
      <c r="AE29" s="9"/>
      <c r="AF29" s="82">
        <f>1/4*O29</f>
        <v>500</v>
      </c>
      <c r="AG29" s="82">
        <f>参数调整!Y7</f>
        <v>80</v>
      </c>
      <c r="AH29" s="82">
        <f>参数调整!AA7</f>
        <v>7</v>
      </c>
      <c r="AI29" s="82">
        <f>参数调整!AB7</f>
        <v>18</v>
      </c>
      <c r="AJ29" s="82">
        <f>参数调整!W7</f>
        <v>10</v>
      </c>
      <c r="AK29" s="82">
        <f>52/180*参数调整!V7</f>
        <v>51.999999999999993</v>
      </c>
      <c r="AL29" s="82">
        <f>4/15*L29</f>
        <v>4000</v>
      </c>
      <c r="AM29" s="82">
        <f>4/15*M29</f>
        <v>16000</v>
      </c>
      <c r="AN29" s="82">
        <f>2/25*O29</f>
        <v>160</v>
      </c>
      <c r="AO29" s="82">
        <f>7/25*U29</f>
        <v>420.00000000000006</v>
      </c>
      <c r="AP29" s="82">
        <f>参数调整!AC7</f>
        <v>6</v>
      </c>
      <c r="AQ29" s="82">
        <f>参数调整!AD7</f>
        <v>6</v>
      </c>
      <c r="AR29" s="82">
        <f>110/154*参数调整!AE7</f>
        <v>110</v>
      </c>
      <c r="AS29" s="82">
        <f>7/75*L29</f>
        <v>1400</v>
      </c>
      <c r="AT29" s="82">
        <f>1/15*M29</f>
        <v>4000</v>
      </c>
      <c r="AU29" s="82">
        <f>140/2000*O29</f>
        <v>140</v>
      </c>
      <c r="AV29" s="82">
        <f>2/25*U29</f>
        <v>120</v>
      </c>
      <c r="AW29" s="82">
        <f>44/154*参数调整!AE7</f>
        <v>44</v>
      </c>
      <c r="AX29" s="82">
        <f>2/25*L29</f>
        <v>1200</v>
      </c>
      <c r="AY29" s="82">
        <f>1/12*M29</f>
        <v>5000</v>
      </c>
      <c r="AZ29" s="82">
        <f>3/40*O29</f>
        <v>150</v>
      </c>
      <c r="BA29" s="82">
        <f>2/25*U29</f>
        <v>120</v>
      </c>
      <c r="BB29" s="89">
        <f>16/180*参数调整!V7</f>
        <v>16</v>
      </c>
      <c r="BC29" s="89">
        <f>参数调整!AG7/8</f>
        <v>10</v>
      </c>
      <c r="BE29" s="83">
        <v>27</v>
      </c>
      <c r="BF29" s="83" t="str">
        <f>"3#3#"&amp;INT(0.5*AF29)&amp;"|"&amp;"3#4#"&amp;INT(AF29)&amp;"|"&amp;"3#5#"&amp;INT(0.5*AF29)&amp;"|"&amp;"3#6#"&amp;INT(AF29)&amp;"|"&amp;"3#7#"&amp;INT(0.5*AF29)&amp;"|"&amp;"3#8#"&amp;INT(AF29)&amp;"|"&amp;"3#13#"&amp;INT(AG29)&amp;"|"&amp;"3#20#"&amp;INT(AH29)&amp;"|"&amp;"3#25#"&amp;INT(AI29)&amp;"|"&amp;"3#21#"&amp;INT(AJ29)</f>
        <v>3#3#250|3#4#500|3#5#250|3#6#500|3#7#250|3#8#500|3#13#80|3#20#7|3#25#18|3#21#10</v>
      </c>
      <c r="BG29" s="83" t="str">
        <f>"3#35#"&amp;100*AK29</f>
        <v>3#35#5200</v>
      </c>
      <c r="BH29" s="83" t="str">
        <f>"3#9#"&amp;INT(0.5*AO29)&amp;"|"&amp;"3#10#"&amp;INT(AO29)&amp;"|"&amp;"3#11#"&amp;INT(0.5*AO29)&amp;"|"&amp;"3#12#"&amp;INT(AO29)&amp;"|"&amp;"3#3#"&amp;INT(0.5*AN29)&amp;"|"&amp;"3#4#"&amp;INT(AN29)&amp;"|"&amp;"3#5#"&amp;INT(0.5*AN29)&amp;"|"&amp;"3#6#"&amp;INT(AN29)&amp;"|"&amp;"3#7#"&amp;INT(0.5*AN29)&amp;"|"&amp;"3#8#"&amp;INT(AN29)&amp;"|"&amp;"0#1#"&amp;INT(AL29)&amp;"|"&amp;"0#2#"&amp;INT(0.1*AM29)&amp;"|"&amp;"1#1#"&amp;INT(0.3*AL29)&amp;"|"&amp;"1#2#"&amp;INT(AM29)&amp;"|"&amp;"2#1#"&amp;INT(0.6*AL29)&amp;"|"&amp;"2#2#"&amp;INT(0.8*AM29)&amp;"|"&amp;"3#26#"&amp;INT(AP29)&amp;"|"&amp;"3#27#"&amp;INT(AQ29)</f>
        <v>3#9#210|3#10#420|3#11#210|3#12#420|3#3#80|3#4#160|3#5#80|3#6#160|3#7#80|3#8#160|0#1#4000|0#2#1600|1#1#1200|1#2#16000|2#1#2400|2#2#12800|3#26#6|3#27#6</v>
      </c>
      <c r="BI29" s="83" t="str">
        <f>"3#30#"&amp;AR29&amp;"|"&amp;"3#31#"&amp;AR29</f>
        <v>3#30#110|3#31#110</v>
      </c>
      <c r="BJ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K29" s="83" t="str">
        <f>"3#35#"&amp;100*BB29&amp;"|"&amp;"3#36#"&amp;100*BC29</f>
        <v>3#35#1600|3#36#1000</v>
      </c>
      <c r="BL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M29" s="83" t="str">
        <f>"3#35#"&amp;100*BB29&amp;"|"&amp;"3#36#"&amp;100*BC29</f>
        <v>3#35#1600|3#36#1000</v>
      </c>
      <c r="BN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O29" s="83" t="str">
        <f>"3#35#"&amp;100*BB29&amp;"|"&amp;"3#37#"&amp;100*BC29</f>
        <v>3#35#1600|3#37#1000</v>
      </c>
      <c r="BP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Q29" s="83" t="str">
        <f>"3#35#"&amp;100*BB29&amp;"|"&amp;"3#37#"&amp;100*BC29</f>
        <v>3#35#1600|3#37#1000</v>
      </c>
      <c r="BR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S29" s="83" t="str">
        <f>"3#35#"&amp;100*BB29&amp;"|"&amp;"3#36#"&amp;100*BC29</f>
        <v>3#35#1600|3#36#1000</v>
      </c>
      <c r="BT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U29" s="83" t="str">
        <f>"3#35#"&amp;100*BB29&amp;"|"&amp;"3#36#"&amp;100*BC29</f>
        <v>3#35#1600|3#36#1000</v>
      </c>
      <c r="BV29" s="83" t="str">
        <f>"3#9#"&amp;INT(0.5*AV29)&amp;"|"&amp;"3#10#"&amp;INT(AV29)&amp;"|"&amp;"3#11#"&amp;INT(0.5*AV29)&amp;"|"&amp;"3#12#"&amp;INT(AV29)&amp;"|"&amp;"3#3#"&amp;INT(0.5*AU29)&amp;"|"&amp;"3#4#"&amp;INT(AU29)&amp;"|"&amp;"3#5#"&amp;INT(0.5*AU29)&amp;"|"&amp;"3#6#"&amp;INT(AU29)&amp;"|"&amp;"3#7#"&amp;INT(0.5*AU29)&amp;"|"&amp;"3#8#"&amp;INT(AU29)&amp;"|"&amp;"0#1#"&amp;INT(AS29)&amp;"|"&amp;"0#2#"&amp;INT(0.1*AT29)&amp;"|"&amp;"1#1#"&amp;INT(0.3*AS29)&amp;"|"&amp;"1#2#"&amp;INT(AT29)&amp;"|"&amp;"2#1#"&amp;INT(0.6*AS29)&amp;"|"&amp;"2#2#"&amp;INT(0.8*AT29)</f>
        <v>3#9#60|3#10#120|3#11#60|3#12#120|3#3#70|3#4#140|3#5#70|3#6#140|3#7#70|3#8#140|0#1#1400|0#2#400|1#1#420|1#2#4000|2#1#840|2#2#3200</v>
      </c>
      <c r="BW29" s="83" t="str">
        <f>"3#30#"&amp;AW29&amp;"|"&amp;"3#31#"&amp;AW29</f>
        <v>3#30#44|3#31#44</v>
      </c>
    </row>
    <row r="30" spans="1:104" x14ac:dyDescent="0.3">
      <c r="A30" s="29" t="s">
        <v>163</v>
      </c>
      <c r="B30" s="29" t="s">
        <v>164</v>
      </c>
      <c r="C30" s="29" t="s">
        <v>210</v>
      </c>
      <c r="D30" s="29"/>
      <c r="E30" s="29" t="s">
        <v>282</v>
      </c>
      <c r="F30" s="29">
        <v>2</v>
      </c>
      <c r="G30" s="29">
        <v>40</v>
      </c>
      <c r="H30" s="29"/>
      <c r="I30" s="22" t="s">
        <v>283</v>
      </c>
      <c r="J30" s="22" t="s">
        <v>284</v>
      </c>
      <c r="K30" s="34"/>
    </row>
    <row r="31" spans="1:104" x14ac:dyDescent="0.3">
      <c r="A31" s="64" t="s">
        <v>163</v>
      </c>
      <c r="B31" s="64" t="s">
        <v>519</v>
      </c>
      <c r="C31" s="64" t="s">
        <v>83</v>
      </c>
      <c r="D31" s="64" t="s">
        <v>520</v>
      </c>
      <c r="E31" s="64" t="s">
        <v>586</v>
      </c>
      <c r="F31" s="29">
        <v>2</v>
      </c>
      <c r="G31" s="29">
        <v>40</v>
      </c>
      <c r="H31" s="29"/>
      <c r="I31" s="22" t="s">
        <v>587</v>
      </c>
      <c r="J31" s="22" t="s">
        <v>588</v>
      </c>
      <c r="K31" s="34"/>
    </row>
    <row r="32" spans="1:104" x14ac:dyDescent="0.3">
      <c r="A32" s="64" t="s">
        <v>163</v>
      </c>
      <c r="B32" s="64" t="s">
        <v>519</v>
      </c>
      <c r="C32" s="64" t="s">
        <v>87</v>
      </c>
      <c r="D32" s="64" t="s">
        <v>520</v>
      </c>
      <c r="E32" s="64" t="s">
        <v>589</v>
      </c>
      <c r="F32" s="29">
        <v>2</v>
      </c>
      <c r="G32" s="29">
        <v>40</v>
      </c>
      <c r="H32" s="29"/>
      <c r="I32" s="22" t="s">
        <v>590</v>
      </c>
      <c r="J32" s="22" t="s">
        <v>588</v>
      </c>
      <c r="K32" s="34"/>
    </row>
    <row r="33" spans="1:11" x14ac:dyDescent="0.3">
      <c r="A33" s="64" t="s">
        <v>163</v>
      </c>
      <c r="B33" s="64" t="s">
        <v>519</v>
      </c>
      <c r="C33" s="64" t="s">
        <v>85</v>
      </c>
      <c r="D33" s="64" t="s">
        <v>520</v>
      </c>
      <c r="E33" s="64" t="s">
        <v>591</v>
      </c>
      <c r="F33" s="29">
        <v>2</v>
      </c>
      <c r="G33" s="29">
        <v>40</v>
      </c>
      <c r="H33" s="29"/>
      <c r="I33" s="22" t="s">
        <v>592</v>
      </c>
      <c r="J33" s="22" t="s">
        <v>588</v>
      </c>
      <c r="K33" s="34"/>
    </row>
    <row r="34" spans="1:11" x14ac:dyDescent="0.3">
      <c r="A34" s="22" t="s">
        <v>163</v>
      </c>
      <c r="B34" s="22" t="s">
        <v>742</v>
      </c>
      <c r="C34" s="22" t="s">
        <v>202</v>
      </c>
      <c r="D34" s="23"/>
      <c r="E34" s="23" t="s">
        <v>809</v>
      </c>
      <c r="F34" s="29">
        <v>2</v>
      </c>
      <c r="G34" s="29">
        <v>40</v>
      </c>
      <c r="H34" s="64"/>
      <c r="I34" s="22" t="s">
        <v>810</v>
      </c>
      <c r="J34" s="22" t="s">
        <v>811</v>
      </c>
      <c r="K34" s="34"/>
    </row>
    <row r="35" spans="1:11" x14ac:dyDescent="0.3">
      <c r="A35" s="22" t="s">
        <v>163</v>
      </c>
      <c r="B35" s="22" t="s">
        <v>742</v>
      </c>
      <c r="C35" s="22" t="s">
        <v>210</v>
      </c>
      <c r="D35" s="23"/>
      <c r="E35" s="23" t="s">
        <v>812</v>
      </c>
      <c r="F35" s="29">
        <v>2</v>
      </c>
      <c r="G35" s="29">
        <v>40</v>
      </c>
      <c r="H35" s="64"/>
      <c r="I35" s="22" t="s">
        <v>813</v>
      </c>
      <c r="J35" s="22" t="s">
        <v>811</v>
      </c>
      <c r="K35" s="34"/>
    </row>
    <row r="36" spans="1:11" x14ac:dyDescent="0.3">
      <c r="A36" s="22" t="s">
        <v>163</v>
      </c>
      <c r="B36" s="22" t="s">
        <v>742</v>
      </c>
      <c r="C36" s="22" t="s">
        <v>206</v>
      </c>
      <c r="D36" s="23"/>
      <c r="E36" s="23" t="s">
        <v>814</v>
      </c>
      <c r="F36" s="29">
        <v>2</v>
      </c>
      <c r="G36" s="29">
        <v>40</v>
      </c>
      <c r="H36" s="64"/>
      <c r="I36" s="22" t="s">
        <v>815</v>
      </c>
      <c r="J36" s="22" t="s">
        <v>811</v>
      </c>
      <c r="K36" s="34"/>
    </row>
    <row r="37" spans="1:11" x14ac:dyDescent="0.3">
      <c r="A37" s="22" t="s">
        <v>163</v>
      </c>
      <c r="B37" s="22" t="s">
        <v>931</v>
      </c>
      <c r="C37" s="22" t="s">
        <v>85</v>
      </c>
      <c r="D37" s="23"/>
      <c r="E37" s="22" t="s">
        <v>989</v>
      </c>
      <c r="F37" s="29">
        <v>2</v>
      </c>
      <c r="G37" s="29">
        <v>40</v>
      </c>
      <c r="H37" s="64"/>
      <c r="I37" s="22" t="s">
        <v>990</v>
      </c>
      <c r="J37" s="22" t="s">
        <v>991</v>
      </c>
      <c r="K37" s="34"/>
    </row>
    <row r="38" spans="1:11" x14ac:dyDescent="0.3">
      <c r="A38" s="22" t="s">
        <v>163</v>
      </c>
      <c r="B38" s="22" t="s">
        <v>931</v>
      </c>
      <c r="C38" s="22" t="s">
        <v>83</v>
      </c>
      <c r="D38" s="23"/>
      <c r="E38" s="22" t="s">
        <v>1126</v>
      </c>
      <c r="F38" s="29">
        <v>2</v>
      </c>
      <c r="G38" s="29">
        <v>40</v>
      </c>
      <c r="H38" s="64"/>
      <c r="I38" s="22" t="s">
        <v>1127</v>
      </c>
      <c r="J38" s="22" t="s">
        <v>1128</v>
      </c>
      <c r="K38" s="34"/>
    </row>
    <row r="39" spans="1:11" x14ac:dyDescent="0.3">
      <c r="A39" s="22" t="s">
        <v>163</v>
      </c>
      <c r="B39" s="22" t="s">
        <v>931</v>
      </c>
      <c r="C39" s="22" t="s">
        <v>87</v>
      </c>
      <c r="D39" s="23"/>
      <c r="E39" s="22" t="s">
        <v>1129</v>
      </c>
      <c r="F39" s="29">
        <v>2</v>
      </c>
      <c r="G39" s="29">
        <v>40</v>
      </c>
      <c r="H39" s="64"/>
      <c r="I39" s="22" t="s">
        <v>1130</v>
      </c>
      <c r="J39" s="22" t="s">
        <v>1131</v>
      </c>
      <c r="K39" s="34"/>
    </row>
    <row r="40" spans="1:11" x14ac:dyDescent="0.3">
      <c r="A40" s="22" t="s">
        <v>163</v>
      </c>
      <c r="B40" s="22" t="s">
        <v>1140</v>
      </c>
      <c r="C40" s="22" t="s">
        <v>83</v>
      </c>
      <c r="D40" s="23"/>
      <c r="E40" s="22" t="s">
        <v>1216</v>
      </c>
      <c r="F40" s="29">
        <v>2</v>
      </c>
      <c r="G40" s="29">
        <v>40</v>
      </c>
      <c r="H40" s="64"/>
      <c r="I40" s="22" t="s">
        <v>1217</v>
      </c>
      <c r="J40" s="22" t="s">
        <v>1128</v>
      </c>
      <c r="K40" s="34"/>
    </row>
    <row r="41" spans="1:11" x14ac:dyDescent="0.3">
      <c r="A41" s="22" t="s">
        <v>163</v>
      </c>
      <c r="B41" s="22" t="s">
        <v>1140</v>
      </c>
      <c r="C41" s="22" t="s">
        <v>87</v>
      </c>
      <c r="D41" s="23"/>
      <c r="E41" s="22" t="s">
        <v>1218</v>
      </c>
      <c r="F41" s="29">
        <v>2</v>
      </c>
      <c r="G41" s="29">
        <v>40</v>
      </c>
      <c r="H41" s="64"/>
      <c r="I41" s="22" t="s">
        <v>1219</v>
      </c>
      <c r="J41" s="22" t="s">
        <v>1131</v>
      </c>
      <c r="K41" s="34"/>
    </row>
    <row r="42" spans="1:11" x14ac:dyDescent="0.3">
      <c r="A42" s="22" t="s">
        <v>163</v>
      </c>
      <c r="B42" s="22" t="s">
        <v>1140</v>
      </c>
      <c r="C42" s="22" t="s">
        <v>85</v>
      </c>
      <c r="D42" s="23"/>
      <c r="E42" s="22" t="s">
        <v>1220</v>
      </c>
      <c r="F42" s="29">
        <v>2</v>
      </c>
      <c r="G42" s="29">
        <v>40</v>
      </c>
      <c r="H42" s="64"/>
      <c r="I42" s="22" t="s">
        <v>1221</v>
      </c>
      <c r="J42" s="22" t="s">
        <v>991</v>
      </c>
      <c r="K42" s="34"/>
    </row>
    <row r="43" spans="1:11" x14ac:dyDescent="0.3">
      <c r="A43" s="22" t="s">
        <v>163</v>
      </c>
      <c r="B43" s="22" t="s">
        <v>1321</v>
      </c>
      <c r="C43" s="22" t="s">
        <v>83</v>
      </c>
      <c r="D43" s="23"/>
      <c r="E43" s="22" t="s">
        <v>1406</v>
      </c>
      <c r="F43" s="29">
        <v>2</v>
      </c>
      <c r="G43" s="29">
        <v>40</v>
      </c>
      <c r="H43" s="64"/>
      <c r="I43" s="22" t="s">
        <v>1407</v>
      </c>
      <c r="J43" s="22" t="s">
        <v>1128</v>
      </c>
      <c r="K43" s="34"/>
    </row>
    <row r="44" spans="1:11" x14ac:dyDescent="0.3">
      <c r="A44" s="22" t="s">
        <v>163</v>
      </c>
      <c r="B44" s="22" t="s">
        <v>1321</v>
      </c>
      <c r="C44" s="22" t="s">
        <v>87</v>
      </c>
      <c r="D44" s="23"/>
      <c r="E44" s="22" t="s">
        <v>1408</v>
      </c>
      <c r="F44" s="29">
        <v>2</v>
      </c>
      <c r="G44" s="29">
        <v>40</v>
      </c>
      <c r="H44" s="64"/>
      <c r="I44" s="22" t="s">
        <v>1409</v>
      </c>
      <c r="J44" s="22" t="s">
        <v>1131</v>
      </c>
      <c r="K44" s="34"/>
    </row>
    <row r="45" spans="1:11" x14ac:dyDescent="0.3">
      <c r="A45" s="22" t="s">
        <v>163</v>
      </c>
      <c r="B45" s="22" t="s">
        <v>1321</v>
      </c>
      <c r="C45" s="22" t="s">
        <v>85</v>
      </c>
      <c r="D45" s="23"/>
      <c r="E45" s="22" t="s">
        <v>1410</v>
      </c>
      <c r="F45" s="29">
        <v>2</v>
      </c>
      <c r="G45" s="29">
        <v>40</v>
      </c>
      <c r="H45" s="64"/>
      <c r="I45" s="22" t="s">
        <v>1411</v>
      </c>
      <c r="J45" s="22" t="s">
        <v>991</v>
      </c>
      <c r="K45" s="34"/>
    </row>
    <row r="46" spans="1:11" x14ac:dyDescent="0.3">
      <c r="A46" s="22" t="s">
        <v>163</v>
      </c>
      <c r="B46" s="22" t="s">
        <v>1487</v>
      </c>
      <c r="C46" s="22" t="s">
        <v>165</v>
      </c>
      <c r="D46" s="23"/>
      <c r="E46" s="22" t="s">
        <v>1510</v>
      </c>
      <c r="F46" s="29">
        <v>2</v>
      </c>
      <c r="G46" s="29">
        <v>40</v>
      </c>
      <c r="H46" s="64"/>
      <c r="I46" s="22" t="s">
        <v>1511</v>
      </c>
      <c r="J46" s="22" t="s">
        <v>560</v>
      </c>
      <c r="K46" s="34"/>
    </row>
    <row r="47" spans="1:11" x14ac:dyDescent="0.3">
      <c r="A47" s="22" t="s">
        <v>163</v>
      </c>
      <c r="B47" s="22" t="s">
        <v>1606</v>
      </c>
      <c r="C47" s="22" t="s">
        <v>83</v>
      </c>
      <c r="D47" s="23"/>
      <c r="E47" s="22" t="s">
        <v>1655</v>
      </c>
      <c r="F47" s="29">
        <v>2</v>
      </c>
      <c r="G47" s="29">
        <v>40</v>
      </c>
      <c r="H47" s="64"/>
      <c r="I47" s="22" t="s">
        <v>1656</v>
      </c>
      <c r="J47" s="22" t="s">
        <v>811</v>
      </c>
      <c r="K47" s="34"/>
    </row>
    <row r="48" spans="1:11" x14ac:dyDescent="0.3">
      <c r="A48" s="22" t="s">
        <v>163</v>
      </c>
      <c r="B48" s="22" t="s">
        <v>1606</v>
      </c>
      <c r="C48" s="22" t="s">
        <v>87</v>
      </c>
      <c r="D48" s="23"/>
      <c r="E48" s="22" t="s">
        <v>1657</v>
      </c>
      <c r="F48" s="29">
        <v>2</v>
      </c>
      <c r="G48" s="29">
        <v>40</v>
      </c>
      <c r="H48" s="64"/>
      <c r="I48" s="22" t="s">
        <v>1658</v>
      </c>
      <c r="J48" s="22" t="s">
        <v>811</v>
      </c>
      <c r="K48" s="34"/>
    </row>
    <row r="49" spans="1:11" x14ac:dyDescent="0.3">
      <c r="A49" s="22" t="s">
        <v>163</v>
      </c>
      <c r="B49" s="22" t="s">
        <v>1606</v>
      </c>
      <c r="C49" s="64" t="s">
        <v>85</v>
      </c>
      <c r="D49" s="23"/>
      <c r="E49" s="22" t="s">
        <v>1659</v>
      </c>
      <c r="F49" s="29">
        <v>2</v>
      </c>
      <c r="G49" s="29">
        <v>40</v>
      </c>
      <c r="H49" s="64"/>
      <c r="I49" s="22" t="s">
        <v>1660</v>
      </c>
      <c r="J49" s="22" t="s">
        <v>811</v>
      </c>
      <c r="K49" s="34"/>
    </row>
    <row r="50" spans="1:11" x14ac:dyDescent="0.3">
      <c r="A50" s="22" t="s">
        <v>163</v>
      </c>
      <c r="B50" s="22" t="s">
        <v>1751</v>
      </c>
      <c r="C50" s="22" t="s">
        <v>83</v>
      </c>
      <c r="D50" s="23"/>
      <c r="E50" s="22" t="s">
        <v>1801</v>
      </c>
      <c r="F50" s="29">
        <v>2</v>
      </c>
      <c r="G50" s="29">
        <v>40</v>
      </c>
      <c r="H50" s="64"/>
      <c r="I50" s="22" t="s">
        <v>1802</v>
      </c>
      <c r="J50" s="22" t="s">
        <v>1803</v>
      </c>
      <c r="K50" s="34"/>
    </row>
    <row r="51" spans="1:11" x14ac:dyDescent="0.3">
      <c r="A51" s="22" t="s">
        <v>163</v>
      </c>
      <c r="B51" s="22" t="s">
        <v>1751</v>
      </c>
      <c r="C51" s="22" t="s">
        <v>87</v>
      </c>
      <c r="D51" s="23"/>
      <c r="E51" s="22" t="s">
        <v>1804</v>
      </c>
      <c r="F51" s="29">
        <v>2</v>
      </c>
      <c r="G51" s="29">
        <v>40</v>
      </c>
      <c r="H51" s="64"/>
      <c r="I51" s="22" t="s">
        <v>1805</v>
      </c>
      <c r="J51" s="22" t="s">
        <v>1803</v>
      </c>
      <c r="K51" s="34"/>
    </row>
    <row r="52" spans="1:11" x14ac:dyDescent="0.3">
      <c r="A52" s="22" t="s">
        <v>163</v>
      </c>
      <c r="B52" s="22" t="s">
        <v>1751</v>
      </c>
      <c r="C52" s="22" t="s">
        <v>85</v>
      </c>
      <c r="D52" s="23"/>
      <c r="E52" s="22" t="s">
        <v>1806</v>
      </c>
      <c r="F52" s="29">
        <v>2</v>
      </c>
      <c r="G52" s="29">
        <v>40</v>
      </c>
      <c r="H52" s="64"/>
      <c r="I52" s="22" t="s">
        <v>1807</v>
      </c>
      <c r="J52" s="22" t="s">
        <v>1803</v>
      </c>
      <c r="K52" s="34"/>
    </row>
    <row r="53" spans="1:11" x14ac:dyDescent="0.3">
      <c r="A53" s="29" t="s">
        <v>163</v>
      </c>
      <c r="B53" s="29" t="s">
        <v>164</v>
      </c>
      <c r="C53" s="29" t="s">
        <v>202</v>
      </c>
      <c r="D53" s="29"/>
      <c r="E53" s="29" t="s">
        <v>285</v>
      </c>
      <c r="F53" s="29">
        <v>3</v>
      </c>
      <c r="G53" s="29">
        <v>50</v>
      </c>
      <c r="H53" s="29"/>
      <c r="I53" s="22" t="s">
        <v>286</v>
      </c>
      <c r="J53" s="22" t="s">
        <v>287</v>
      </c>
      <c r="K53" s="34"/>
    </row>
    <row r="54" spans="1:11" x14ac:dyDescent="0.3">
      <c r="A54" s="29" t="s">
        <v>163</v>
      </c>
      <c r="B54" s="29" t="s">
        <v>164</v>
      </c>
      <c r="C54" s="29" t="s">
        <v>206</v>
      </c>
      <c r="D54" s="29"/>
      <c r="E54" s="29" t="s">
        <v>288</v>
      </c>
      <c r="F54" s="29">
        <v>3</v>
      </c>
      <c r="G54" s="29">
        <v>50</v>
      </c>
      <c r="H54" s="29"/>
      <c r="I54" s="22" t="s">
        <v>289</v>
      </c>
      <c r="J54" s="22" t="s">
        <v>290</v>
      </c>
      <c r="K54" s="34"/>
    </row>
    <row r="55" spans="1:11" x14ac:dyDescent="0.3">
      <c r="A55" s="29" t="s">
        <v>163</v>
      </c>
      <c r="B55" s="29" t="s">
        <v>164</v>
      </c>
      <c r="C55" s="29" t="s">
        <v>210</v>
      </c>
      <c r="D55" s="29"/>
      <c r="E55" s="29" t="s">
        <v>291</v>
      </c>
      <c r="F55" s="29">
        <v>3</v>
      </c>
      <c r="G55" s="29">
        <v>50</v>
      </c>
      <c r="H55" s="29"/>
      <c r="I55" s="22" t="s">
        <v>292</v>
      </c>
      <c r="J55" s="22" t="s">
        <v>293</v>
      </c>
      <c r="K55" s="34"/>
    </row>
    <row r="56" spans="1:11" x14ac:dyDescent="0.3">
      <c r="A56" s="64" t="s">
        <v>163</v>
      </c>
      <c r="B56" s="64" t="s">
        <v>519</v>
      </c>
      <c r="C56" s="64" t="s">
        <v>83</v>
      </c>
      <c r="D56" s="64" t="s">
        <v>520</v>
      </c>
      <c r="E56" s="64" t="s">
        <v>593</v>
      </c>
      <c r="F56" s="29">
        <v>3</v>
      </c>
      <c r="G56" s="29">
        <v>50</v>
      </c>
      <c r="H56" s="29"/>
      <c r="I56" s="22" t="s">
        <v>594</v>
      </c>
      <c r="J56" s="22" t="s">
        <v>595</v>
      </c>
      <c r="K56" s="34"/>
    </row>
    <row r="57" spans="1:11" x14ac:dyDescent="0.3">
      <c r="A57" s="64" t="s">
        <v>163</v>
      </c>
      <c r="B57" s="64" t="s">
        <v>519</v>
      </c>
      <c r="C57" s="64" t="s">
        <v>87</v>
      </c>
      <c r="D57" s="64" t="s">
        <v>520</v>
      </c>
      <c r="E57" s="64" t="s">
        <v>596</v>
      </c>
      <c r="F57" s="29">
        <v>3</v>
      </c>
      <c r="G57" s="29">
        <v>50</v>
      </c>
      <c r="H57" s="29"/>
      <c r="I57" s="22" t="s">
        <v>597</v>
      </c>
      <c r="J57" s="22" t="s">
        <v>595</v>
      </c>
      <c r="K57" s="34"/>
    </row>
    <row r="58" spans="1:11" x14ac:dyDescent="0.3">
      <c r="A58" s="64" t="s">
        <v>163</v>
      </c>
      <c r="B58" s="64" t="s">
        <v>519</v>
      </c>
      <c r="C58" s="64" t="s">
        <v>85</v>
      </c>
      <c r="D58" s="64" t="s">
        <v>520</v>
      </c>
      <c r="E58" s="64" t="s">
        <v>598</v>
      </c>
      <c r="F58" s="29">
        <v>3</v>
      </c>
      <c r="G58" s="29">
        <v>50</v>
      </c>
      <c r="H58" s="29"/>
      <c r="I58" s="22" t="s">
        <v>599</v>
      </c>
      <c r="J58" s="22" t="s">
        <v>595</v>
      </c>
      <c r="K58" s="34"/>
    </row>
    <row r="59" spans="1:11" x14ac:dyDescent="0.3">
      <c r="A59" s="22" t="s">
        <v>163</v>
      </c>
      <c r="B59" s="22" t="s">
        <v>742</v>
      </c>
      <c r="C59" s="22" t="s">
        <v>202</v>
      </c>
      <c r="D59" s="23"/>
      <c r="E59" s="23" t="s">
        <v>816</v>
      </c>
      <c r="F59" s="29">
        <v>3</v>
      </c>
      <c r="G59" s="29">
        <v>50</v>
      </c>
      <c r="H59" s="64"/>
      <c r="I59" s="22" t="s">
        <v>817</v>
      </c>
      <c r="J59" s="22" t="s">
        <v>818</v>
      </c>
      <c r="K59" s="34"/>
    </row>
    <row r="60" spans="1:11" x14ac:dyDescent="0.3">
      <c r="A60" s="22" t="s">
        <v>163</v>
      </c>
      <c r="B60" s="22" t="s">
        <v>742</v>
      </c>
      <c r="C60" s="22" t="s">
        <v>210</v>
      </c>
      <c r="D60" s="23"/>
      <c r="E60" s="23" t="s">
        <v>819</v>
      </c>
      <c r="F60" s="29">
        <v>3</v>
      </c>
      <c r="G60" s="29">
        <v>50</v>
      </c>
      <c r="H60" s="64"/>
      <c r="I60" s="22" t="s">
        <v>820</v>
      </c>
      <c r="J60" s="22" t="s">
        <v>818</v>
      </c>
      <c r="K60" s="34"/>
    </row>
    <row r="61" spans="1:11" x14ac:dyDescent="0.3">
      <c r="A61" s="22" t="s">
        <v>163</v>
      </c>
      <c r="B61" s="22" t="s">
        <v>742</v>
      </c>
      <c r="C61" s="22" t="s">
        <v>206</v>
      </c>
      <c r="D61" s="23"/>
      <c r="E61" s="23" t="s">
        <v>821</v>
      </c>
      <c r="F61" s="29">
        <v>3</v>
      </c>
      <c r="G61" s="29">
        <v>50</v>
      </c>
      <c r="H61" s="64"/>
      <c r="I61" s="22" t="s">
        <v>822</v>
      </c>
      <c r="J61" s="22" t="s">
        <v>818</v>
      </c>
      <c r="K61" s="34"/>
    </row>
    <row r="62" spans="1:11" x14ac:dyDescent="0.3">
      <c r="A62" s="22" t="s">
        <v>163</v>
      </c>
      <c r="B62" s="22" t="s">
        <v>931</v>
      </c>
      <c r="C62" s="22" t="s">
        <v>85</v>
      </c>
      <c r="D62" s="23"/>
      <c r="E62" s="22" t="s">
        <v>992</v>
      </c>
      <c r="F62" s="29">
        <v>3</v>
      </c>
      <c r="G62" s="29">
        <v>50</v>
      </c>
      <c r="H62" s="64"/>
      <c r="I62" s="22" t="s">
        <v>993</v>
      </c>
      <c r="J62" s="22" t="s">
        <v>994</v>
      </c>
      <c r="K62" s="34"/>
    </row>
    <row r="63" spans="1:11" x14ac:dyDescent="0.3">
      <c r="A63" s="22" t="s">
        <v>163</v>
      </c>
      <c r="B63" s="22" t="s">
        <v>931</v>
      </c>
      <c r="C63" s="22" t="s">
        <v>83</v>
      </c>
      <c r="D63" s="23"/>
      <c r="E63" s="22" t="s">
        <v>1132</v>
      </c>
      <c r="F63" s="29">
        <v>3</v>
      </c>
      <c r="G63" s="29">
        <v>50</v>
      </c>
      <c r="H63" s="64"/>
      <c r="I63" s="22" t="s">
        <v>1133</v>
      </c>
      <c r="J63" s="22" t="s">
        <v>1134</v>
      </c>
      <c r="K63" s="34"/>
    </row>
    <row r="64" spans="1:11" x14ac:dyDescent="0.3">
      <c r="A64" s="22" t="s">
        <v>163</v>
      </c>
      <c r="B64" s="22" t="s">
        <v>931</v>
      </c>
      <c r="C64" s="22" t="s">
        <v>87</v>
      </c>
      <c r="D64" s="23"/>
      <c r="E64" s="22" t="s">
        <v>1135</v>
      </c>
      <c r="F64" s="29">
        <v>3</v>
      </c>
      <c r="G64" s="29">
        <v>50</v>
      </c>
      <c r="H64" s="64"/>
      <c r="I64" s="22" t="s">
        <v>1136</v>
      </c>
      <c r="J64" s="22" t="s">
        <v>1137</v>
      </c>
      <c r="K64" s="34"/>
    </row>
    <row r="65" spans="1:11" x14ac:dyDescent="0.3">
      <c r="A65" s="22" t="s">
        <v>163</v>
      </c>
      <c r="B65" s="22" t="s">
        <v>1140</v>
      </c>
      <c r="C65" s="22" t="s">
        <v>83</v>
      </c>
      <c r="D65" s="23"/>
      <c r="E65" s="22" t="s">
        <v>1222</v>
      </c>
      <c r="F65" s="29">
        <v>3</v>
      </c>
      <c r="G65" s="29">
        <v>50</v>
      </c>
      <c r="H65" s="64"/>
      <c r="I65" s="22" t="s">
        <v>1217</v>
      </c>
      <c r="J65" s="22" t="s">
        <v>1134</v>
      </c>
      <c r="K65" s="34"/>
    </row>
    <row r="66" spans="1:11" x14ac:dyDescent="0.3">
      <c r="A66" s="22" t="s">
        <v>163</v>
      </c>
      <c r="B66" s="22" t="s">
        <v>1140</v>
      </c>
      <c r="C66" s="22" t="s">
        <v>87</v>
      </c>
      <c r="D66" s="23"/>
      <c r="E66" s="22" t="s">
        <v>1223</v>
      </c>
      <c r="F66" s="29">
        <v>3</v>
      </c>
      <c r="G66" s="29">
        <v>50</v>
      </c>
      <c r="H66" s="64"/>
      <c r="I66" s="22" t="s">
        <v>1219</v>
      </c>
      <c r="J66" s="22" t="s">
        <v>1137</v>
      </c>
      <c r="K66" s="34"/>
    </row>
    <row r="67" spans="1:11" x14ac:dyDescent="0.3">
      <c r="A67" s="22" t="s">
        <v>163</v>
      </c>
      <c r="B67" s="22" t="s">
        <v>1140</v>
      </c>
      <c r="C67" s="22" t="s">
        <v>85</v>
      </c>
      <c r="D67" s="23"/>
      <c r="E67" s="22" t="s">
        <v>1224</v>
      </c>
      <c r="F67" s="29">
        <v>3</v>
      </c>
      <c r="G67" s="29">
        <v>50</v>
      </c>
      <c r="H67" s="64"/>
      <c r="I67" s="22" t="s">
        <v>1221</v>
      </c>
      <c r="J67" s="22" t="s">
        <v>994</v>
      </c>
      <c r="K67" s="34"/>
    </row>
    <row r="68" spans="1:11" x14ac:dyDescent="0.3">
      <c r="A68" s="22" t="s">
        <v>163</v>
      </c>
      <c r="B68" s="22" t="s">
        <v>1321</v>
      </c>
      <c r="C68" s="22" t="s">
        <v>83</v>
      </c>
      <c r="D68" s="23"/>
      <c r="E68" s="22" t="s">
        <v>1412</v>
      </c>
      <c r="F68" s="29">
        <v>3</v>
      </c>
      <c r="G68" s="29">
        <v>50</v>
      </c>
      <c r="H68" s="64"/>
      <c r="I68" s="22" t="s">
        <v>1413</v>
      </c>
      <c r="J68" s="22" t="s">
        <v>1134</v>
      </c>
      <c r="K68" s="34"/>
    </row>
    <row r="69" spans="1:11" x14ac:dyDescent="0.3">
      <c r="A69" s="22" t="s">
        <v>163</v>
      </c>
      <c r="B69" s="22" t="s">
        <v>1321</v>
      </c>
      <c r="C69" s="22" t="s">
        <v>87</v>
      </c>
      <c r="D69" s="23"/>
      <c r="E69" s="22" t="s">
        <v>1414</v>
      </c>
      <c r="F69" s="29">
        <v>3</v>
      </c>
      <c r="G69" s="29">
        <v>50</v>
      </c>
      <c r="H69" s="64"/>
      <c r="I69" s="22" t="s">
        <v>1415</v>
      </c>
      <c r="J69" s="22" t="s">
        <v>1137</v>
      </c>
      <c r="K69" s="34"/>
    </row>
    <row r="70" spans="1:11" x14ac:dyDescent="0.3">
      <c r="A70" s="22" t="s">
        <v>163</v>
      </c>
      <c r="B70" s="22" t="s">
        <v>1321</v>
      </c>
      <c r="C70" s="22" t="s">
        <v>85</v>
      </c>
      <c r="D70" s="23"/>
      <c r="E70" s="22" t="s">
        <v>1416</v>
      </c>
      <c r="F70" s="29">
        <v>3</v>
      </c>
      <c r="G70" s="29">
        <v>50</v>
      </c>
      <c r="H70" s="64"/>
      <c r="I70" s="22" t="s">
        <v>1417</v>
      </c>
      <c r="J70" s="22" t="s">
        <v>994</v>
      </c>
      <c r="K70" s="34"/>
    </row>
    <row r="71" spans="1:11" x14ac:dyDescent="0.3">
      <c r="A71" s="22" t="s">
        <v>163</v>
      </c>
      <c r="B71" s="22" t="s">
        <v>1487</v>
      </c>
      <c r="C71" s="22" t="s">
        <v>165</v>
      </c>
      <c r="D71" s="23"/>
      <c r="E71" s="22" t="s">
        <v>1512</v>
      </c>
      <c r="F71" s="29">
        <v>3</v>
      </c>
      <c r="G71" s="29">
        <v>50</v>
      </c>
      <c r="H71" s="64"/>
      <c r="I71" s="22" t="s">
        <v>1513</v>
      </c>
      <c r="J71" s="22" t="s">
        <v>567</v>
      </c>
      <c r="K71" s="34"/>
    </row>
    <row r="72" spans="1:11" x14ac:dyDescent="0.3">
      <c r="A72" s="22" t="s">
        <v>163</v>
      </c>
      <c r="B72" s="22" t="s">
        <v>1606</v>
      </c>
      <c r="C72" s="22" t="s">
        <v>83</v>
      </c>
      <c r="D72" s="23"/>
      <c r="E72" s="22" t="s">
        <v>1661</v>
      </c>
      <c r="F72" s="29">
        <v>3</v>
      </c>
      <c r="G72" s="29">
        <v>50</v>
      </c>
      <c r="H72" s="64"/>
      <c r="I72" s="22" t="s">
        <v>1662</v>
      </c>
      <c r="J72" s="22" t="s">
        <v>818</v>
      </c>
      <c r="K72" s="34"/>
    </row>
    <row r="73" spans="1:11" x14ac:dyDescent="0.3">
      <c r="A73" s="22" t="s">
        <v>163</v>
      </c>
      <c r="B73" s="22" t="s">
        <v>1606</v>
      </c>
      <c r="C73" s="22" t="s">
        <v>87</v>
      </c>
      <c r="D73" s="23"/>
      <c r="E73" s="22" t="s">
        <v>1663</v>
      </c>
      <c r="F73" s="29">
        <v>3</v>
      </c>
      <c r="G73" s="29">
        <v>50</v>
      </c>
      <c r="H73" s="64"/>
      <c r="I73" s="22" t="s">
        <v>1664</v>
      </c>
      <c r="J73" s="22" t="s">
        <v>818</v>
      </c>
      <c r="K73" s="34"/>
    </row>
    <row r="74" spans="1:11" x14ac:dyDescent="0.3">
      <c r="A74" s="22" t="s">
        <v>163</v>
      </c>
      <c r="B74" s="22" t="s">
        <v>1606</v>
      </c>
      <c r="C74" s="64" t="s">
        <v>85</v>
      </c>
      <c r="D74" s="23"/>
      <c r="E74" s="22" t="s">
        <v>1665</v>
      </c>
      <c r="F74" s="29">
        <v>3</v>
      </c>
      <c r="G74" s="29">
        <v>50</v>
      </c>
      <c r="H74" s="64"/>
      <c r="I74" s="22" t="s">
        <v>1666</v>
      </c>
      <c r="J74" s="22" t="s">
        <v>818</v>
      </c>
      <c r="K74" s="34"/>
    </row>
    <row r="75" spans="1:11" x14ac:dyDescent="0.3">
      <c r="A75" s="22" t="s">
        <v>163</v>
      </c>
      <c r="B75" s="22" t="s">
        <v>1751</v>
      </c>
      <c r="C75" s="22" t="s">
        <v>83</v>
      </c>
      <c r="D75" s="23"/>
      <c r="E75" s="22" t="s">
        <v>1808</v>
      </c>
      <c r="F75" s="29">
        <v>3</v>
      </c>
      <c r="G75" s="29">
        <v>50</v>
      </c>
      <c r="H75" s="64"/>
      <c r="I75" s="22" t="s">
        <v>1809</v>
      </c>
      <c r="J75" s="22" t="s">
        <v>1810</v>
      </c>
      <c r="K75" s="34"/>
    </row>
    <row r="76" spans="1:11" x14ac:dyDescent="0.3">
      <c r="A76" s="22" t="s">
        <v>163</v>
      </c>
      <c r="B76" s="22" t="s">
        <v>1751</v>
      </c>
      <c r="C76" s="22" t="s">
        <v>87</v>
      </c>
      <c r="D76" s="23"/>
      <c r="E76" s="22" t="s">
        <v>1811</v>
      </c>
      <c r="F76" s="29">
        <v>3</v>
      </c>
      <c r="G76" s="29">
        <v>50</v>
      </c>
      <c r="H76" s="64"/>
      <c r="I76" s="22" t="s">
        <v>1812</v>
      </c>
      <c r="J76" s="22" t="s">
        <v>1810</v>
      </c>
      <c r="K76" s="34"/>
    </row>
    <row r="77" spans="1:11" x14ac:dyDescent="0.3">
      <c r="A77" s="22" t="s">
        <v>163</v>
      </c>
      <c r="B77" s="22" t="s">
        <v>1751</v>
      </c>
      <c r="C77" s="22" t="s">
        <v>85</v>
      </c>
      <c r="D77" s="23"/>
      <c r="E77" s="22" t="s">
        <v>1813</v>
      </c>
      <c r="F77" s="29">
        <v>3</v>
      </c>
      <c r="G77" s="29">
        <v>50</v>
      </c>
      <c r="H77" s="64"/>
      <c r="I77" s="22" t="s">
        <v>1814</v>
      </c>
      <c r="J77" s="22" t="s">
        <v>1810</v>
      </c>
      <c r="K77" s="34"/>
    </row>
    <row r="78" spans="1:11" x14ac:dyDescent="0.3">
      <c r="A78" s="29" t="s">
        <v>163</v>
      </c>
      <c r="B78" s="29" t="s">
        <v>164</v>
      </c>
      <c r="C78" s="29" t="s">
        <v>202</v>
      </c>
      <c r="D78" s="29"/>
      <c r="E78" s="29" t="s">
        <v>294</v>
      </c>
      <c r="F78" s="29">
        <v>4</v>
      </c>
      <c r="G78" s="29">
        <v>60</v>
      </c>
      <c r="H78" s="29"/>
      <c r="I78" s="22" t="s">
        <v>295</v>
      </c>
      <c r="J78" s="22" t="s">
        <v>296</v>
      </c>
      <c r="K78" s="34"/>
    </row>
    <row r="79" spans="1:11" x14ac:dyDescent="0.3">
      <c r="A79" s="29" t="s">
        <v>163</v>
      </c>
      <c r="B79" s="29" t="s">
        <v>164</v>
      </c>
      <c r="C79" s="29" t="s">
        <v>206</v>
      </c>
      <c r="D79" s="29"/>
      <c r="E79" s="29" t="s">
        <v>297</v>
      </c>
      <c r="F79" s="29">
        <v>4</v>
      </c>
      <c r="G79" s="29">
        <v>60</v>
      </c>
      <c r="H79" s="29"/>
      <c r="I79" s="22" t="s">
        <v>298</v>
      </c>
      <c r="J79" s="22" t="s">
        <v>299</v>
      </c>
      <c r="K79" s="34"/>
    </row>
    <row r="80" spans="1:11" x14ac:dyDescent="0.3">
      <c r="A80" s="29" t="s">
        <v>163</v>
      </c>
      <c r="B80" s="29" t="s">
        <v>164</v>
      </c>
      <c r="C80" s="29" t="s">
        <v>210</v>
      </c>
      <c r="D80" s="29"/>
      <c r="E80" s="29" t="s">
        <v>300</v>
      </c>
      <c r="F80" s="29">
        <v>4</v>
      </c>
      <c r="G80" s="29">
        <v>60</v>
      </c>
      <c r="H80" s="29"/>
      <c r="I80" s="22" t="s">
        <v>301</v>
      </c>
      <c r="J80" s="22" t="s">
        <v>302</v>
      </c>
      <c r="K80" s="34"/>
    </row>
    <row r="81" spans="1:11" x14ac:dyDescent="0.3">
      <c r="A81" s="64" t="s">
        <v>163</v>
      </c>
      <c r="B81" s="64" t="s">
        <v>519</v>
      </c>
      <c r="C81" s="64" t="s">
        <v>83</v>
      </c>
      <c r="D81" s="64" t="s">
        <v>520</v>
      </c>
      <c r="E81" s="64" t="s">
        <v>600</v>
      </c>
      <c r="F81" s="29">
        <v>4</v>
      </c>
      <c r="G81" s="29">
        <v>60</v>
      </c>
      <c r="H81" s="29"/>
      <c r="I81" s="22" t="s">
        <v>601</v>
      </c>
      <c r="J81" s="22" t="s">
        <v>602</v>
      </c>
      <c r="K81" s="34"/>
    </row>
    <row r="82" spans="1:11" x14ac:dyDescent="0.3">
      <c r="A82" s="64" t="s">
        <v>163</v>
      </c>
      <c r="B82" s="64" t="s">
        <v>519</v>
      </c>
      <c r="C82" s="64" t="s">
        <v>87</v>
      </c>
      <c r="D82" s="64" t="s">
        <v>520</v>
      </c>
      <c r="E82" s="64" t="s">
        <v>603</v>
      </c>
      <c r="F82" s="29">
        <v>4</v>
      </c>
      <c r="G82" s="29">
        <v>60</v>
      </c>
      <c r="H82" s="29"/>
      <c r="I82" s="22" t="s">
        <v>604</v>
      </c>
      <c r="J82" s="22" t="s">
        <v>602</v>
      </c>
      <c r="K82" s="34"/>
    </row>
    <row r="83" spans="1:11" x14ac:dyDescent="0.3">
      <c r="A83" s="64" t="s">
        <v>163</v>
      </c>
      <c r="B83" s="64" t="s">
        <v>519</v>
      </c>
      <c r="C83" s="64" t="s">
        <v>85</v>
      </c>
      <c r="D83" s="64" t="s">
        <v>520</v>
      </c>
      <c r="E83" s="64" t="s">
        <v>605</v>
      </c>
      <c r="F83" s="29">
        <v>4</v>
      </c>
      <c r="G83" s="29">
        <v>60</v>
      </c>
      <c r="H83" s="29"/>
      <c r="I83" s="22" t="s">
        <v>606</v>
      </c>
      <c r="J83" s="22" t="s">
        <v>602</v>
      </c>
      <c r="K83" s="34"/>
    </row>
    <row r="84" spans="1:11" x14ac:dyDescent="0.3">
      <c r="A84" s="22" t="s">
        <v>163</v>
      </c>
      <c r="B84" s="22" t="s">
        <v>742</v>
      </c>
      <c r="C84" s="22" t="s">
        <v>202</v>
      </c>
      <c r="D84" s="23"/>
      <c r="E84" s="23" t="s">
        <v>823</v>
      </c>
      <c r="F84" s="29">
        <v>4</v>
      </c>
      <c r="G84" s="29">
        <v>60</v>
      </c>
      <c r="H84" s="64"/>
      <c r="I84" s="22" t="s">
        <v>824</v>
      </c>
      <c r="J84" s="22" t="s">
        <v>825</v>
      </c>
      <c r="K84" s="34"/>
    </row>
    <row r="85" spans="1:11" x14ac:dyDescent="0.3">
      <c r="A85" s="22" t="s">
        <v>163</v>
      </c>
      <c r="B85" s="22" t="s">
        <v>742</v>
      </c>
      <c r="C85" s="22" t="s">
        <v>210</v>
      </c>
      <c r="D85" s="23"/>
      <c r="E85" s="23" t="s">
        <v>826</v>
      </c>
      <c r="F85" s="29">
        <v>4</v>
      </c>
      <c r="G85" s="29">
        <v>60</v>
      </c>
      <c r="H85" s="64"/>
      <c r="I85" s="22" t="s">
        <v>827</v>
      </c>
      <c r="J85" s="22" t="s">
        <v>825</v>
      </c>
      <c r="K85" s="34"/>
    </row>
    <row r="86" spans="1:11" x14ac:dyDescent="0.3">
      <c r="A86" s="22" t="s">
        <v>163</v>
      </c>
      <c r="B86" s="22" t="s">
        <v>742</v>
      </c>
      <c r="C86" s="22" t="s">
        <v>206</v>
      </c>
      <c r="D86" s="23"/>
      <c r="E86" s="23" t="s">
        <v>828</v>
      </c>
      <c r="F86" s="29">
        <v>4</v>
      </c>
      <c r="G86" s="29">
        <v>60</v>
      </c>
      <c r="H86" s="64"/>
      <c r="I86" s="22" t="s">
        <v>829</v>
      </c>
      <c r="J86" s="22" t="s">
        <v>825</v>
      </c>
      <c r="K86" s="34"/>
    </row>
    <row r="87" spans="1:11" x14ac:dyDescent="0.3">
      <c r="A87" s="22" t="s">
        <v>163</v>
      </c>
      <c r="B87" s="22" t="s">
        <v>931</v>
      </c>
      <c r="C87" s="22" t="s">
        <v>83</v>
      </c>
      <c r="D87" s="23"/>
      <c r="E87" s="22" t="s">
        <v>995</v>
      </c>
      <c r="F87" s="29">
        <v>4</v>
      </c>
      <c r="G87" s="29">
        <v>60</v>
      </c>
      <c r="H87" s="64"/>
      <c r="I87" s="22" t="s">
        <v>996</v>
      </c>
      <c r="J87" s="22" t="s">
        <v>997</v>
      </c>
      <c r="K87" s="34"/>
    </row>
    <row r="88" spans="1:11" x14ac:dyDescent="0.3">
      <c r="A88" s="22" t="s">
        <v>163</v>
      </c>
      <c r="B88" s="22" t="s">
        <v>931</v>
      </c>
      <c r="C88" s="22" t="s">
        <v>87</v>
      </c>
      <c r="D88" s="23"/>
      <c r="E88" s="22" t="s">
        <v>998</v>
      </c>
      <c r="F88" s="29">
        <v>4</v>
      </c>
      <c r="G88" s="29">
        <v>60</v>
      </c>
      <c r="H88" s="64"/>
      <c r="I88" s="22" t="s">
        <v>999</v>
      </c>
      <c r="J88" s="22" t="s">
        <v>1000</v>
      </c>
      <c r="K88" s="34"/>
    </row>
    <row r="89" spans="1:11" x14ac:dyDescent="0.3">
      <c r="A89" s="22" t="s">
        <v>163</v>
      </c>
      <c r="B89" s="22" t="s">
        <v>931</v>
      </c>
      <c r="C89" s="22" t="s">
        <v>85</v>
      </c>
      <c r="D89" s="23"/>
      <c r="E89" s="22" t="s">
        <v>1001</v>
      </c>
      <c r="F89" s="29">
        <v>4</v>
      </c>
      <c r="G89" s="29">
        <v>60</v>
      </c>
      <c r="H89" s="64"/>
      <c r="I89" s="22" t="s">
        <v>1002</v>
      </c>
      <c r="J89" s="22" t="s">
        <v>1003</v>
      </c>
      <c r="K89" s="34"/>
    </row>
    <row r="90" spans="1:11" x14ac:dyDescent="0.3">
      <c r="A90" s="22" t="s">
        <v>163</v>
      </c>
      <c r="B90" s="22" t="s">
        <v>1140</v>
      </c>
      <c r="C90" s="22" t="s">
        <v>83</v>
      </c>
      <c r="D90" s="23"/>
      <c r="E90" s="22" t="s">
        <v>1225</v>
      </c>
      <c r="F90" s="29">
        <v>4</v>
      </c>
      <c r="G90" s="29">
        <v>60</v>
      </c>
      <c r="H90" s="64"/>
      <c r="I90" s="22" t="s">
        <v>1226</v>
      </c>
      <c r="J90" s="22" t="s">
        <v>997</v>
      </c>
      <c r="K90" s="34"/>
    </row>
    <row r="91" spans="1:11" x14ac:dyDescent="0.3">
      <c r="A91" s="22" t="s">
        <v>163</v>
      </c>
      <c r="B91" s="22" t="s">
        <v>1140</v>
      </c>
      <c r="C91" s="22" t="s">
        <v>87</v>
      </c>
      <c r="D91" s="23"/>
      <c r="E91" s="22" t="s">
        <v>1227</v>
      </c>
      <c r="F91" s="29">
        <v>4</v>
      </c>
      <c r="G91" s="29">
        <v>60</v>
      </c>
      <c r="H91" s="64"/>
      <c r="I91" s="22" t="s">
        <v>1228</v>
      </c>
      <c r="J91" s="22" t="s">
        <v>1000</v>
      </c>
      <c r="K91" s="34"/>
    </row>
    <row r="92" spans="1:11" x14ac:dyDescent="0.3">
      <c r="A92" s="22" t="s">
        <v>163</v>
      </c>
      <c r="B92" s="22" t="s">
        <v>1140</v>
      </c>
      <c r="C92" s="22" t="s">
        <v>85</v>
      </c>
      <c r="D92" s="23"/>
      <c r="E92" s="22" t="s">
        <v>1229</v>
      </c>
      <c r="F92" s="29">
        <v>4</v>
      </c>
      <c r="G92" s="29">
        <v>60</v>
      </c>
      <c r="H92" s="64"/>
      <c r="I92" s="22" t="s">
        <v>1230</v>
      </c>
      <c r="J92" s="22" t="s">
        <v>1003</v>
      </c>
      <c r="K92" s="34"/>
    </row>
    <row r="93" spans="1:11" x14ac:dyDescent="0.3">
      <c r="A93" s="22" t="s">
        <v>163</v>
      </c>
      <c r="B93" s="22" t="s">
        <v>1321</v>
      </c>
      <c r="C93" s="22" t="s">
        <v>83</v>
      </c>
      <c r="D93" s="23"/>
      <c r="E93" s="22" t="s">
        <v>1418</v>
      </c>
      <c r="F93" s="29">
        <v>4</v>
      </c>
      <c r="G93" s="29">
        <v>60</v>
      </c>
      <c r="H93" s="64"/>
      <c r="I93" s="22" t="s">
        <v>1419</v>
      </c>
      <c r="J93" s="22" t="s">
        <v>997</v>
      </c>
      <c r="K93" s="34"/>
    </row>
    <row r="94" spans="1:11" x14ac:dyDescent="0.3">
      <c r="A94" s="22" t="s">
        <v>163</v>
      </c>
      <c r="B94" s="22" t="s">
        <v>1321</v>
      </c>
      <c r="C94" s="22" t="s">
        <v>87</v>
      </c>
      <c r="D94" s="23"/>
      <c r="E94" s="22" t="s">
        <v>1420</v>
      </c>
      <c r="F94" s="29">
        <v>4</v>
      </c>
      <c r="G94" s="29">
        <v>60</v>
      </c>
      <c r="H94" s="64"/>
      <c r="I94" s="22" t="s">
        <v>1421</v>
      </c>
      <c r="J94" s="22" t="s">
        <v>1000</v>
      </c>
      <c r="K94" s="34"/>
    </row>
    <row r="95" spans="1:11" x14ac:dyDescent="0.3">
      <c r="A95" s="22" t="s">
        <v>163</v>
      </c>
      <c r="B95" s="22" t="s">
        <v>1321</v>
      </c>
      <c r="C95" s="22" t="s">
        <v>85</v>
      </c>
      <c r="D95" s="23"/>
      <c r="E95" s="22" t="s">
        <v>1422</v>
      </c>
      <c r="F95" s="29">
        <v>4</v>
      </c>
      <c r="G95" s="29">
        <v>60</v>
      </c>
      <c r="H95" s="64"/>
      <c r="I95" s="22" t="s">
        <v>1423</v>
      </c>
      <c r="J95" s="22" t="s">
        <v>1003</v>
      </c>
      <c r="K95" s="34"/>
    </row>
    <row r="96" spans="1:11" x14ac:dyDescent="0.3">
      <c r="A96" s="22" t="s">
        <v>163</v>
      </c>
      <c r="B96" s="22" t="s">
        <v>1487</v>
      </c>
      <c r="C96" s="22" t="s">
        <v>165</v>
      </c>
      <c r="D96" s="23"/>
      <c r="E96" s="22" t="s">
        <v>1514</v>
      </c>
      <c r="F96" s="29">
        <v>4</v>
      </c>
      <c r="G96" s="29">
        <v>60</v>
      </c>
      <c r="H96" s="64"/>
      <c r="I96" s="22" t="s">
        <v>1515</v>
      </c>
      <c r="J96" s="22" t="s">
        <v>581</v>
      </c>
      <c r="K96" s="34"/>
    </row>
    <row r="97" spans="1:11" x14ac:dyDescent="0.3">
      <c r="A97" s="22" t="s">
        <v>163</v>
      </c>
      <c r="B97" s="22" t="s">
        <v>1606</v>
      </c>
      <c r="C97" s="22" t="s">
        <v>83</v>
      </c>
      <c r="D97" s="23"/>
      <c r="E97" s="22" t="s">
        <v>1667</v>
      </c>
      <c r="F97" s="29">
        <v>4</v>
      </c>
      <c r="G97" s="29">
        <v>60</v>
      </c>
      <c r="H97" s="64"/>
      <c r="I97" s="22" t="s">
        <v>1668</v>
      </c>
      <c r="J97" s="22" t="s">
        <v>825</v>
      </c>
      <c r="K97" s="34"/>
    </row>
    <row r="98" spans="1:11" x14ac:dyDescent="0.3">
      <c r="A98" s="22" t="s">
        <v>163</v>
      </c>
      <c r="B98" s="22" t="s">
        <v>1606</v>
      </c>
      <c r="C98" s="22" t="s">
        <v>87</v>
      </c>
      <c r="D98" s="23"/>
      <c r="E98" s="22" t="s">
        <v>1669</v>
      </c>
      <c r="F98" s="29">
        <v>4</v>
      </c>
      <c r="G98" s="29">
        <v>60</v>
      </c>
      <c r="H98" s="64"/>
      <c r="I98" s="22" t="s">
        <v>1670</v>
      </c>
      <c r="J98" s="22" t="s">
        <v>825</v>
      </c>
      <c r="K98" s="34"/>
    </row>
    <row r="99" spans="1:11" x14ac:dyDescent="0.3">
      <c r="A99" s="22" t="s">
        <v>163</v>
      </c>
      <c r="B99" s="22" t="s">
        <v>1606</v>
      </c>
      <c r="C99" s="64" t="s">
        <v>85</v>
      </c>
      <c r="D99" s="23"/>
      <c r="E99" s="22" t="s">
        <v>1671</v>
      </c>
      <c r="F99" s="29">
        <v>4</v>
      </c>
      <c r="G99" s="29">
        <v>60</v>
      </c>
      <c r="H99" s="64"/>
      <c r="I99" s="22" t="s">
        <v>1672</v>
      </c>
      <c r="J99" s="22" t="s">
        <v>825</v>
      </c>
      <c r="K99" s="34"/>
    </row>
    <row r="100" spans="1:11" x14ac:dyDescent="0.3">
      <c r="A100" s="22" t="s">
        <v>163</v>
      </c>
      <c r="B100" s="22" t="s">
        <v>1751</v>
      </c>
      <c r="C100" s="22" t="s">
        <v>83</v>
      </c>
      <c r="D100" s="23"/>
      <c r="E100" s="22" t="s">
        <v>1815</v>
      </c>
      <c r="F100" s="29">
        <v>4</v>
      </c>
      <c r="G100" s="29">
        <v>60</v>
      </c>
      <c r="H100" s="64"/>
      <c r="I100" s="22" t="s">
        <v>1816</v>
      </c>
      <c r="J100" s="22" t="s">
        <v>1817</v>
      </c>
      <c r="K100" s="34"/>
    </row>
    <row r="101" spans="1:11" x14ac:dyDescent="0.3">
      <c r="A101" s="22" t="s">
        <v>163</v>
      </c>
      <c r="B101" s="22" t="s">
        <v>1751</v>
      </c>
      <c r="C101" s="22" t="s">
        <v>87</v>
      </c>
      <c r="D101" s="23"/>
      <c r="E101" s="22" t="s">
        <v>1818</v>
      </c>
      <c r="F101" s="29">
        <v>4</v>
      </c>
      <c r="G101" s="29">
        <v>60</v>
      </c>
      <c r="H101" s="64"/>
      <c r="I101" s="22" t="s">
        <v>1819</v>
      </c>
      <c r="J101" s="22" t="s">
        <v>1817</v>
      </c>
      <c r="K101" s="34"/>
    </row>
    <row r="102" spans="1:11" x14ac:dyDescent="0.3">
      <c r="A102" s="22" t="s">
        <v>163</v>
      </c>
      <c r="B102" s="22" t="s">
        <v>1751</v>
      </c>
      <c r="C102" s="22" t="s">
        <v>85</v>
      </c>
      <c r="D102" s="23"/>
      <c r="E102" s="22" t="s">
        <v>1820</v>
      </c>
      <c r="F102" s="29">
        <v>4</v>
      </c>
      <c r="G102" s="29">
        <v>60</v>
      </c>
      <c r="H102" s="64"/>
      <c r="I102" s="22" t="s">
        <v>1821</v>
      </c>
      <c r="J102" s="22" t="s">
        <v>1817</v>
      </c>
      <c r="K102" s="34"/>
    </row>
    <row r="103" spans="1:11" x14ac:dyDescent="0.3">
      <c r="A103" s="29" t="s">
        <v>163</v>
      </c>
      <c r="B103" s="29" t="s">
        <v>164</v>
      </c>
      <c r="C103" s="29" t="s">
        <v>202</v>
      </c>
      <c r="D103" s="29"/>
      <c r="E103" s="29" t="s">
        <v>214</v>
      </c>
      <c r="F103" s="29">
        <v>5</v>
      </c>
      <c r="G103" s="29">
        <v>65</v>
      </c>
      <c r="H103" s="29"/>
      <c r="I103" s="22" t="s">
        <v>215</v>
      </c>
      <c r="J103" s="22" t="s">
        <v>216</v>
      </c>
      <c r="K103" s="34"/>
    </row>
    <row r="104" spans="1:11" x14ac:dyDescent="0.3">
      <c r="A104" s="29" t="s">
        <v>163</v>
      </c>
      <c r="B104" s="29" t="s">
        <v>164</v>
      </c>
      <c r="C104" s="29" t="s">
        <v>85</v>
      </c>
      <c r="D104" s="29"/>
      <c r="E104" s="29" t="s">
        <v>217</v>
      </c>
      <c r="F104" s="29">
        <v>5</v>
      </c>
      <c r="G104" s="29">
        <v>65</v>
      </c>
      <c r="H104" s="29"/>
      <c r="I104" s="22" t="s">
        <v>218</v>
      </c>
      <c r="J104" s="22" t="s">
        <v>219</v>
      </c>
      <c r="K104" s="34"/>
    </row>
    <row r="105" spans="1:11" x14ac:dyDescent="0.3">
      <c r="A105" s="29" t="s">
        <v>163</v>
      </c>
      <c r="B105" s="29" t="s">
        <v>164</v>
      </c>
      <c r="C105" s="29" t="s">
        <v>210</v>
      </c>
      <c r="D105" s="29"/>
      <c r="E105" s="29" t="s">
        <v>220</v>
      </c>
      <c r="F105" s="29">
        <v>5</v>
      </c>
      <c r="G105" s="29">
        <v>65</v>
      </c>
      <c r="H105" s="29"/>
      <c r="I105" s="22" t="s">
        <v>221</v>
      </c>
      <c r="J105" s="22" t="s">
        <v>222</v>
      </c>
      <c r="K105" s="34"/>
    </row>
    <row r="106" spans="1:11" x14ac:dyDescent="0.3">
      <c r="A106" s="64" t="s">
        <v>163</v>
      </c>
      <c r="B106" s="64" t="s">
        <v>519</v>
      </c>
      <c r="C106" s="64" t="s">
        <v>83</v>
      </c>
      <c r="D106" s="64" t="s">
        <v>520</v>
      </c>
      <c r="E106" s="64" t="s">
        <v>537</v>
      </c>
      <c r="F106" s="29">
        <v>5</v>
      </c>
      <c r="G106" s="29">
        <v>65</v>
      </c>
      <c r="H106" s="29"/>
      <c r="I106" s="22" t="s">
        <v>538</v>
      </c>
      <c r="J106" s="22" t="s">
        <v>539</v>
      </c>
      <c r="K106" s="34"/>
    </row>
    <row r="107" spans="1:11" x14ac:dyDescent="0.3">
      <c r="A107" s="64" t="s">
        <v>163</v>
      </c>
      <c r="B107" s="64" t="s">
        <v>519</v>
      </c>
      <c r="C107" s="64" t="s">
        <v>87</v>
      </c>
      <c r="D107" s="64" t="s">
        <v>520</v>
      </c>
      <c r="E107" s="64" t="s">
        <v>540</v>
      </c>
      <c r="F107" s="29">
        <v>5</v>
      </c>
      <c r="G107" s="29">
        <v>65</v>
      </c>
      <c r="H107" s="29"/>
      <c r="I107" s="22" t="s">
        <v>541</v>
      </c>
      <c r="J107" s="22" t="s">
        <v>539</v>
      </c>
      <c r="K107" s="34"/>
    </row>
    <row r="108" spans="1:11" x14ac:dyDescent="0.3">
      <c r="A108" s="64" t="s">
        <v>163</v>
      </c>
      <c r="B108" s="64" t="s">
        <v>519</v>
      </c>
      <c r="C108" s="64" t="s">
        <v>85</v>
      </c>
      <c r="D108" s="64" t="s">
        <v>520</v>
      </c>
      <c r="E108" s="64" t="s">
        <v>542</v>
      </c>
      <c r="F108" s="29">
        <v>5</v>
      </c>
      <c r="G108" s="29">
        <v>65</v>
      </c>
      <c r="H108" s="29"/>
      <c r="I108" s="22" t="s">
        <v>543</v>
      </c>
      <c r="J108" s="22" t="s">
        <v>539</v>
      </c>
      <c r="K108" s="34"/>
    </row>
    <row r="109" spans="1:11" x14ac:dyDescent="0.3">
      <c r="A109" s="22" t="s">
        <v>163</v>
      </c>
      <c r="B109" s="22" t="s">
        <v>742</v>
      </c>
      <c r="C109" s="22" t="s">
        <v>202</v>
      </c>
      <c r="D109" s="23"/>
      <c r="E109" s="23" t="s">
        <v>766</v>
      </c>
      <c r="F109" s="29">
        <v>5</v>
      </c>
      <c r="G109" s="29">
        <v>65</v>
      </c>
      <c r="H109" s="64"/>
      <c r="I109" s="22" t="s">
        <v>767</v>
      </c>
      <c r="J109" s="22" t="s">
        <v>768</v>
      </c>
      <c r="K109" s="34"/>
    </row>
    <row r="110" spans="1:11" x14ac:dyDescent="0.3">
      <c r="A110" s="22" t="s">
        <v>163</v>
      </c>
      <c r="B110" s="22" t="s">
        <v>742</v>
      </c>
      <c r="C110" s="22" t="s">
        <v>210</v>
      </c>
      <c r="D110" s="23"/>
      <c r="E110" s="23" t="s">
        <v>769</v>
      </c>
      <c r="F110" s="29">
        <v>5</v>
      </c>
      <c r="G110" s="29">
        <v>65</v>
      </c>
      <c r="H110" s="64"/>
      <c r="I110" s="22" t="s">
        <v>770</v>
      </c>
      <c r="J110" s="22" t="s">
        <v>768</v>
      </c>
      <c r="K110" s="34"/>
    </row>
    <row r="111" spans="1:11" x14ac:dyDescent="0.3">
      <c r="A111" s="22" t="s">
        <v>163</v>
      </c>
      <c r="B111" s="22" t="s">
        <v>742</v>
      </c>
      <c r="C111" s="22" t="s">
        <v>206</v>
      </c>
      <c r="D111" s="23"/>
      <c r="E111" s="23" t="s">
        <v>771</v>
      </c>
      <c r="F111" s="29">
        <v>5</v>
      </c>
      <c r="G111" s="29">
        <v>65</v>
      </c>
      <c r="H111" s="64"/>
      <c r="I111" s="22" t="s">
        <v>772</v>
      </c>
      <c r="J111" s="22" t="s">
        <v>768</v>
      </c>
      <c r="K111" s="34"/>
    </row>
    <row r="112" spans="1:11" x14ac:dyDescent="0.3">
      <c r="A112" s="22" t="s">
        <v>163</v>
      </c>
      <c r="B112" s="22" t="s">
        <v>931</v>
      </c>
      <c r="C112" s="22" t="s">
        <v>83</v>
      </c>
      <c r="D112" s="23"/>
      <c r="E112" s="22" t="s">
        <v>941</v>
      </c>
      <c r="F112" s="29">
        <v>5</v>
      </c>
      <c r="G112" s="29">
        <v>65</v>
      </c>
      <c r="H112" s="64"/>
      <c r="I112" s="22" t="s">
        <v>942</v>
      </c>
      <c r="J112" s="22" t="s">
        <v>216</v>
      </c>
      <c r="K112" s="34"/>
    </row>
    <row r="113" spans="1:11" x14ac:dyDescent="0.3">
      <c r="A113" s="22" t="s">
        <v>163</v>
      </c>
      <c r="B113" s="22" t="s">
        <v>931</v>
      </c>
      <c r="C113" s="22" t="s">
        <v>87</v>
      </c>
      <c r="D113" s="23"/>
      <c r="E113" s="22" t="s">
        <v>943</v>
      </c>
      <c r="F113" s="29">
        <v>5</v>
      </c>
      <c r="G113" s="29">
        <v>65</v>
      </c>
      <c r="H113" s="64"/>
      <c r="I113" s="22" t="s">
        <v>944</v>
      </c>
      <c r="J113" s="22" t="s">
        <v>222</v>
      </c>
      <c r="K113" s="34"/>
    </row>
    <row r="114" spans="1:11" x14ac:dyDescent="0.3">
      <c r="A114" s="22" t="s">
        <v>163</v>
      </c>
      <c r="B114" s="22" t="s">
        <v>931</v>
      </c>
      <c r="C114" s="22" t="s">
        <v>85</v>
      </c>
      <c r="D114" s="23"/>
      <c r="E114" s="22" t="s">
        <v>945</v>
      </c>
      <c r="F114" s="29">
        <v>5</v>
      </c>
      <c r="G114" s="29">
        <v>65</v>
      </c>
      <c r="H114" s="64"/>
      <c r="I114" s="22" t="s">
        <v>946</v>
      </c>
      <c r="J114" s="22" t="s">
        <v>219</v>
      </c>
      <c r="K114" s="34"/>
    </row>
    <row r="115" spans="1:11" x14ac:dyDescent="0.3">
      <c r="A115" s="22" t="s">
        <v>163</v>
      </c>
      <c r="B115" s="22" t="s">
        <v>1140</v>
      </c>
      <c r="C115" s="22" t="s">
        <v>83</v>
      </c>
      <c r="D115" s="23"/>
      <c r="E115" s="22" t="s">
        <v>1174</v>
      </c>
      <c r="F115" s="29">
        <v>5</v>
      </c>
      <c r="G115" s="29">
        <v>65</v>
      </c>
      <c r="H115" s="64"/>
      <c r="I115" s="22" t="s">
        <v>1175</v>
      </c>
      <c r="J115" s="22" t="s">
        <v>216</v>
      </c>
      <c r="K115" s="34"/>
    </row>
    <row r="116" spans="1:11" x14ac:dyDescent="0.3">
      <c r="A116" s="22" t="s">
        <v>163</v>
      </c>
      <c r="B116" s="22" t="s">
        <v>1140</v>
      </c>
      <c r="C116" s="22" t="s">
        <v>87</v>
      </c>
      <c r="D116" s="23"/>
      <c r="E116" s="22" t="s">
        <v>1176</v>
      </c>
      <c r="F116" s="29">
        <v>5</v>
      </c>
      <c r="G116" s="29">
        <v>65</v>
      </c>
      <c r="H116" s="64"/>
      <c r="I116" s="22" t="s">
        <v>1177</v>
      </c>
      <c r="J116" s="22" t="s">
        <v>222</v>
      </c>
      <c r="K116" s="34"/>
    </row>
    <row r="117" spans="1:11" x14ac:dyDescent="0.3">
      <c r="A117" s="22" t="s">
        <v>163</v>
      </c>
      <c r="B117" s="22" t="s">
        <v>1140</v>
      </c>
      <c r="C117" s="22" t="s">
        <v>85</v>
      </c>
      <c r="D117" s="23"/>
      <c r="E117" s="22" t="s">
        <v>1178</v>
      </c>
      <c r="F117" s="29">
        <v>5</v>
      </c>
      <c r="G117" s="29">
        <v>65</v>
      </c>
      <c r="H117" s="64"/>
      <c r="I117" s="22" t="s">
        <v>1179</v>
      </c>
      <c r="J117" s="22" t="s">
        <v>219</v>
      </c>
      <c r="K117" s="34"/>
    </row>
    <row r="118" spans="1:11" x14ac:dyDescent="0.3">
      <c r="A118" s="22" t="s">
        <v>163</v>
      </c>
      <c r="B118" s="22" t="s">
        <v>1321</v>
      </c>
      <c r="C118" s="22" t="s">
        <v>83</v>
      </c>
      <c r="D118" s="23"/>
      <c r="E118" s="22" t="s">
        <v>1364</v>
      </c>
      <c r="F118" s="29">
        <v>5</v>
      </c>
      <c r="G118" s="29">
        <v>65</v>
      </c>
      <c r="H118" s="64"/>
      <c r="I118" s="22" t="s">
        <v>1365</v>
      </c>
      <c r="J118" s="22" t="s">
        <v>216</v>
      </c>
      <c r="K118" s="34"/>
    </row>
    <row r="119" spans="1:11" x14ac:dyDescent="0.3">
      <c r="A119" s="22" t="s">
        <v>163</v>
      </c>
      <c r="B119" s="22" t="s">
        <v>1321</v>
      </c>
      <c r="C119" s="22" t="s">
        <v>87</v>
      </c>
      <c r="D119" s="23"/>
      <c r="E119" s="22" t="s">
        <v>1366</v>
      </c>
      <c r="F119" s="29">
        <v>5</v>
      </c>
      <c r="G119" s="29">
        <v>65</v>
      </c>
      <c r="H119" s="64"/>
      <c r="I119" s="22" t="s">
        <v>1367</v>
      </c>
      <c r="J119" s="22" t="s">
        <v>222</v>
      </c>
      <c r="K119" s="34"/>
    </row>
    <row r="120" spans="1:11" x14ac:dyDescent="0.3">
      <c r="A120" s="22" t="s">
        <v>163</v>
      </c>
      <c r="B120" s="22" t="s">
        <v>1321</v>
      </c>
      <c r="C120" s="22" t="s">
        <v>85</v>
      </c>
      <c r="D120" s="23"/>
      <c r="E120" s="22" t="s">
        <v>1368</v>
      </c>
      <c r="F120" s="29">
        <v>5</v>
      </c>
      <c r="G120" s="29">
        <v>65</v>
      </c>
      <c r="H120" s="64"/>
      <c r="I120" s="22" t="s">
        <v>1369</v>
      </c>
      <c r="J120" s="22" t="s">
        <v>219</v>
      </c>
      <c r="K120" s="34"/>
    </row>
    <row r="121" spans="1:11" x14ac:dyDescent="0.3">
      <c r="A121" s="22" t="s">
        <v>163</v>
      </c>
      <c r="B121" s="22" t="s">
        <v>1487</v>
      </c>
      <c r="C121" s="22" t="s">
        <v>165</v>
      </c>
      <c r="D121" s="23"/>
      <c r="E121" s="22" t="s">
        <v>1493</v>
      </c>
      <c r="F121" s="29">
        <v>5</v>
      </c>
      <c r="G121" s="29">
        <v>65</v>
      </c>
      <c r="H121" s="64"/>
      <c r="I121" s="22" t="s">
        <v>1494</v>
      </c>
      <c r="J121" s="22" t="s">
        <v>532</v>
      </c>
      <c r="K121" s="34"/>
    </row>
    <row r="122" spans="1:11" x14ac:dyDescent="0.3">
      <c r="A122" s="22" t="s">
        <v>163</v>
      </c>
      <c r="B122" s="22" t="s">
        <v>1606</v>
      </c>
      <c r="C122" s="22" t="s">
        <v>83</v>
      </c>
      <c r="D122" s="23"/>
      <c r="E122" s="22" t="s">
        <v>1613</v>
      </c>
      <c r="F122" s="29">
        <v>5</v>
      </c>
      <c r="G122" s="29">
        <v>65</v>
      </c>
      <c r="H122" s="64"/>
      <c r="I122" s="22" t="s">
        <v>1614</v>
      </c>
      <c r="J122" s="22" t="s">
        <v>768</v>
      </c>
      <c r="K122" s="34"/>
    </row>
    <row r="123" spans="1:11" x14ac:dyDescent="0.3">
      <c r="A123" s="22" t="s">
        <v>163</v>
      </c>
      <c r="B123" s="22" t="s">
        <v>1606</v>
      </c>
      <c r="C123" s="22" t="s">
        <v>87</v>
      </c>
      <c r="D123" s="23"/>
      <c r="E123" s="22" t="s">
        <v>1615</v>
      </c>
      <c r="F123" s="29">
        <v>5</v>
      </c>
      <c r="G123" s="29">
        <v>65</v>
      </c>
      <c r="H123" s="64"/>
      <c r="I123" s="22" t="s">
        <v>1616</v>
      </c>
      <c r="J123" s="22" t="s">
        <v>768</v>
      </c>
      <c r="K123" s="34"/>
    </row>
    <row r="124" spans="1:11" x14ac:dyDescent="0.3">
      <c r="A124" s="22" t="s">
        <v>163</v>
      </c>
      <c r="B124" s="22" t="s">
        <v>1606</v>
      </c>
      <c r="C124" s="64" t="s">
        <v>85</v>
      </c>
      <c r="D124" s="23"/>
      <c r="E124" s="22" t="s">
        <v>1617</v>
      </c>
      <c r="F124" s="29">
        <v>5</v>
      </c>
      <c r="G124" s="29">
        <v>65</v>
      </c>
      <c r="H124" s="64"/>
      <c r="I124" s="22" t="s">
        <v>1618</v>
      </c>
      <c r="J124" s="22" t="s">
        <v>768</v>
      </c>
      <c r="K124" s="34"/>
    </row>
    <row r="125" spans="1:11" x14ac:dyDescent="0.3">
      <c r="A125" s="22" t="s">
        <v>163</v>
      </c>
      <c r="B125" s="22" t="s">
        <v>1751</v>
      </c>
      <c r="C125" s="22" t="s">
        <v>83</v>
      </c>
      <c r="D125" s="23"/>
      <c r="E125" s="22" t="s">
        <v>1759</v>
      </c>
      <c r="F125" s="29">
        <v>5</v>
      </c>
      <c r="G125" s="29">
        <v>65</v>
      </c>
      <c r="H125" s="64"/>
      <c r="I125" s="22" t="s">
        <v>1760</v>
      </c>
      <c r="J125" s="22" t="s">
        <v>1761</v>
      </c>
      <c r="K125" s="34"/>
    </row>
    <row r="126" spans="1:11" x14ac:dyDescent="0.3">
      <c r="A126" s="22" t="s">
        <v>163</v>
      </c>
      <c r="B126" s="22" t="s">
        <v>1751</v>
      </c>
      <c r="C126" s="22" t="s">
        <v>87</v>
      </c>
      <c r="D126" s="23"/>
      <c r="E126" s="22" t="s">
        <v>1762</v>
      </c>
      <c r="F126" s="29">
        <v>5</v>
      </c>
      <c r="G126" s="29">
        <v>65</v>
      </c>
      <c r="H126" s="64"/>
      <c r="I126" s="22" t="s">
        <v>1763</v>
      </c>
      <c r="J126" s="22" t="s">
        <v>1761</v>
      </c>
      <c r="K126" s="34"/>
    </row>
    <row r="127" spans="1:11" x14ac:dyDescent="0.3">
      <c r="A127" s="22" t="s">
        <v>163</v>
      </c>
      <c r="B127" s="22" t="s">
        <v>1751</v>
      </c>
      <c r="C127" s="22" t="s">
        <v>85</v>
      </c>
      <c r="D127" s="23"/>
      <c r="E127" s="22" t="s">
        <v>1764</v>
      </c>
      <c r="F127" s="29">
        <v>5</v>
      </c>
      <c r="G127" s="29">
        <v>65</v>
      </c>
      <c r="H127" s="64"/>
      <c r="I127" s="22" t="s">
        <v>1765</v>
      </c>
      <c r="J127" s="22" t="s">
        <v>1761</v>
      </c>
      <c r="K127" s="34"/>
    </row>
    <row r="128" spans="1:11" x14ac:dyDescent="0.3">
      <c r="A128" s="29" t="s">
        <v>163</v>
      </c>
      <c r="B128" s="29" t="s">
        <v>164</v>
      </c>
      <c r="C128" s="29" t="s">
        <v>202</v>
      </c>
      <c r="D128" s="29"/>
      <c r="E128" s="29" t="s">
        <v>223</v>
      </c>
      <c r="F128" s="29">
        <v>6</v>
      </c>
      <c r="G128" s="29">
        <v>70</v>
      </c>
      <c r="H128" s="29"/>
      <c r="I128" s="22" t="s">
        <v>224</v>
      </c>
      <c r="J128" s="22" t="s">
        <v>225</v>
      </c>
      <c r="K128" s="34"/>
    </row>
    <row r="129" spans="1:11" x14ac:dyDescent="0.3">
      <c r="A129" s="29" t="s">
        <v>163</v>
      </c>
      <c r="B129" s="29" t="s">
        <v>164</v>
      </c>
      <c r="C129" s="29" t="s">
        <v>206</v>
      </c>
      <c r="D129" s="29"/>
      <c r="E129" s="29" t="s">
        <v>226</v>
      </c>
      <c r="F129" s="29">
        <v>6</v>
      </c>
      <c r="G129" s="29">
        <v>70</v>
      </c>
      <c r="H129" s="29"/>
      <c r="I129" s="22" t="s">
        <v>227</v>
      </c>
      <c r="J129" s="22" t="s">
        <v>228</v>
      </c>
      <c r="K129" s="34"/>
    </row>
    <row r="130" spans="1:11" x14ac:dyDescent="0.3">
      <c r="A130" s="29" t="s">
        <v>163</v>
      </c>
      <c r="B130" s="29" t="s">
        <v>164</v>
      </c>
      <c r="C130" s="29" t="s">
        <v>210</v>
      </c>
      <c r="D130" s="29"/>
      <c r="E130" s="29" t="s">
        <v>229</v>
      </c>
      <c r="F130" s="29">
        <v>6</v>
      </c>
      <c r="G130" s="29">
        <v>70</v>
      </c>
      <c r="H130" s="29"/>
      <c r="I130" s="22" t="s">
        <v>230</v>
      </c>
      <c r="J130" s="22" t="s">
        <v>231</v>
      </c>
      <c r="K130" s="34"/>
    </row>
    <row r="131" spans="1:11" x14ac:dyDescent="0.3">
      <c r="A131" s="64" t="s">
        <v>163</v>
      </c>
      <c r="B131" s="64" t="s">
        <v>519</v>
      </c>
      <c r="C131" s="64" t="s">
        <v>83</v>
      </c>
      <c r="D131" s="64" t="s">
        <v>520</v>
      </c>
      <c r="E131" s="64" t="s">
        <v>544</v>
      </c>
      <c r="F131" s="29">
        <v>6</v>
      </c>
      <c r="G131" s="29">
        <v>70</v>
      </c>
      <c r="H131" s="29"/>
      <c r="I131" s="22" t="s">
        <v>545</v>
      </c>
      <c r="J131" s="22" t="s">
        <v>546</v>
      </c>
      <c r="K131" s="34"/>
    </row>
    <row r="132" spans="1:11" x14ac:dyDescent="0.3">
      <c r="A132" s="64" t="s">
        <v>163</v>
      </c>
      <c r="B132" s="64" t="s">
        <v>519</v>
      </c>
      <c r="C132" s="64" t="s">
        <v>87</v>
      </c>
      <c r="D132" s="64" t="s">
        <v>520</v>
      </c>
      <c r="E132" s="64" t="s">
        <v>547</v>
      </c>
      <c r="F132" s="29">
        <v>6</v>
      </c>
      <c r="G132" s="29">
        <v>70</v>
      </c>
      <c r="H132" s="29"/>
      <c r="I132" s="22" t="s">
        <v>548</v>
      </c>
      <c r="J132" s="22" t="s">
        <v>546</v>
      </c>
      <c r="K132" s="34"/>
    </row>
    <row r="133" spans="1:11" x14ac:dyDescent="0.3">
      <c r="A133" s="64" t="s">
        <v>163</v>
      </c>
      <c r="B133" s="64" t="s">
        <v>519</v>
      </c>
      <c r="C133" s="64" t="s">
        <v>85</v>
      </c>
      <c r="D133" s="64" t="s">
        <v>520</v>
      </c>
      <c r="E133" s="64" t="s">
        <v>549</v>
      </c>
      <c r="F133" s="29">
        <v>6</v>
      </c>
      <c r="G133" s="29">
        <v>70</v>
      </c>
      <c r="H133" s="29"/>
      <c r="I133" s="22" t="s">
        <v>550</v>
      </c>
      <c r="J133" s="22" t="s">
        <v>546</v>
      </c>
      <c r="K133" s="34"/>
    </row>
    <row r="134" spans="1:11" x14ac:dyDescent="0.3">
      <c r="A134" s="22" t="s">
        <v>163</v>
      </c>
      <c r="B134" s="22" t="s">
        <v>742</v>
      </c>
      <c r="C134" s="22" t="s">
        <v>202</v>
      </c>
      <c r="D134" s="23"/>
      <c r="E134" s="23" t="s">
        <v>773</v>
      </c>
      <c r="F134" s="29">
        <v>6</v>
      </c>
      <c r="G134" s="29">
        <v>70</v>
      </c>
      <c r="H134" s="64"/>
      <c r="I134" s="22" t="s">
        <v>774</v>
      </c>
      <c r="J134" s="22" t="s">
        <v>228</v>
      </c>
      <c r="K134" s="34"/>
    </row>
    <row r="135" spans="1:11" x14ac:dyDescent="0.3">
      <c r="A135" s="22" t="s">
        <v>163</v>
      </c>
      <c r="B135" s="22" t="s">
        <v>742</v>
      </c>
      <c r="C135" s="22" t="s">
        <v>210</v>
      </c>
      <c r="D135" s="23"/>
      <c r="E135" s="23" t="s">
        <v>775</v>
      </c>
      <c r="F135" s="29">
        <v>6</v>
      </c>
      <c r="G135" s="29">
        <v>70</v>
      </c>
      <c r="H135" s="64"/>
      <c r="I135" s="22" t="s">
        <v>776</v>
      </c>
      <c r="J135" s="22" t="s">
        <v>228</v>
      </c>
      <c r="K135" s="34"/>
    </row>
    <row r="136" spans="1:11" x14ac:dyDescent="0.3">
      <c r="A136" s="22" t="s">
        <v>163</v>
      </c>
      <c r="B136" s="22" t="s">
        <v>742</v>
      </c>
      <c r="C136" s="22" t="s">
        <v>206</v>
      </c>
      <c r="D136" s="23"/>
      <c r="E136" s="23" t="s">
        <v>777</v>
      </c>
      <c r="F136" s="29">
        <v>6</v>
      </c>
      <c r="G136" s="29">
        <v>70</v>
      </c>
      <c r="H136" s="64"/>
      <c r="I136" s="22" t="s">
        <v>778</v>
      </c>
      <c r="J136" s="22" t="s">
        <v>228</v>
      </c>
      <c r="K136" s="34"/>
    </row>
    <row r="137" spans="1:11" x14ac:dyDescent="0.3">
      <c r="A137" s="22" t="s">
        <v>163</v>
      </c>
      <c r="B137" s="22" t="s">
        <v>931</v>
      </c>
      <c r="C137" s="22" t="s">
        <v>83</v>
      </c>
      <c r="D137" s="23"/>
      <c r="E137" s="22" t="s">
        <v>947</v>
      </c>
      <c r="F137" s="29">
        <v>6</v>
      </c>
      <c r="G137" s="29">
        <v>70</v>
      </c>
      <c r="H137" s="64"/>
      <c r="I137" s="22" t="s">
        <v>948</v>
      </c>
      <c r="J137" s="22" t="s">
        <v>225</v>
      </c>
      <c r="K137" s="34"/>
    </row>
    <row r="138" spans="1:11" x14ac:dyDescent="0.3">
      <c r="A138" s="22" t="s">
        <v>163</v>
      </c>
      <c r="B138" s="22" t="s">
        <v>931</v>
      </c>
      <c r="C138" s="22" t="s">
        <v>87</v>
      </c>
      <c r="D138" s="23"/>
      <c r="E138" s="22" t="s">
        <v>949</v>
      </c>
      <c r="F138" s="29">
        <v>6</v>
      </c>
      <c r="G138" s="29">
        <v>70</v>
      </c>
      <c r="H138" s="64"/>
      <c r="I138" s="22" t="s">
        <v>950</v>
      </c>
      <c r="J138" s="22" t="s">
        <v>231</v>
      </c>
      <c r="K138" s="34"/>
    </row>
    <row r="139" spans="1:11" x14ac:dyDescent="0.3">
      <c r="A139" s="22" t="s">
        <v>163</v>
      </c>
      <c r="B139" s="22" t="s">
        <v>931</v>
      </c>
      <c r="C139" s="22" t="s">
        <v>85</v>
      </c>
      <c r="D139" s="23"/>
      <c r="E139" s="22" t="s">
        <v>951</v>
      </c>
      <c r="F139" s="29">
        <v>6</v>
      </c>
      <c r="G139" s="29">
        <v>70</v>
      </c>
      <c r="H139" s="64"/>
      <c r="I139" s="22" t="s">
        <v>952</v>
      </c>
      <c r="J139" s="22" t="s">
        <v>953</v>
      </c>
      <c r="K139" s="34"/>
    </row>
    <row r="140" spans="1:11" x14ac:dyDescent="0.3">
      <c r="A140" s="22" t="s">
        <v>163</v>
      </c>
      <c r="B140" s="22" t="s">
        <v>1140</v>
      </c>
      <c r="C140" s="22" t="s">
        <v>83</v>
      </c>
      <c r="D140" s="23"/>
      <c r="E140" s="22" t="s">
        <v>1180</v>
      </c>
      <c r="F140" s="29">
        <v>6</v>
      </c>
      <c r="G140" s="29">
        <v>70</v>
      </c>
      <c r="H140" s="64"/>
      <c r="I140" s="22" t="s">
        <v>1181</v>
      </c>
      <c r="J140" s="22" t="s">
        <v>225</v>
      </c>
      <c r="K140" s="34"/>
    </row>
    <row r="141" spans="1:11" x14ac:dyDescent="0.3">
      <c r="A141" s="22" t="s">
        <v>163</v>
      </c>
      <c r="B141" s="22" t="s">
        <v>1140</v>
      </c>
      <c r="C141" s="22" t="s">
        <v>87</v>
      </c>
      <c r="D141" s="23"/>
      <c r="E141" s="22" t="s">
        <v>1182</v>
      </c>
      <c r="F141" s="29">
        <v>6</v>
      </c>
      <c r="G141" s="29">
        <v>70</v>
      </c>
      <c r="H141" s="64"/>
      <c r="I141" s="22" t="s">
        <v>1183</v>
      </c>
      <c r="J141" s="22" t="s">
        <v>231</v>
      </c>
      <c r="K141" s="34"/>
    </row>
    <row r="142" spans="1:11" x14ac:dyDescent="0.3">
      <c r="A142" s="22" t="s">
        <v>163</v>
      </c>
      <c r="B142" s="22" t="s">
        <v>1140</v>
      </c>
      <c r="C142" s="22" t="s">
        <v>85</v>
      </c>
      <c r="D142" s="23"/>
      <c r="E142" s="22" t="s">
        <v>1184</v>
      </c>
      <c r="F142" s="29">
        <v>6</v>
      </c>
      <c r="G142" s="29">
        <v>70</v>
      </c>
      <c r="H142" s="64"/>
      <c r="I142" s="22" t="s">
        <v>1185</v>
      </c>
      <c r="J142" s="22" t="s">
        <v>953</v>
      </c>
      <c r="K142" s="34"/>
    </row>
    <row r="143" spans="1:11" x14ac:dyDescent="0.3">
      <c r="A143" s="22" t="s">
        <v>163</v>
      </c>
      <c r="B143" s="22" t="s">
        <v>1321</v>
      </c>
      <c r="C143" s="22" t="s">
        <v>83</v>
      </c>
      <c r="D143" s="23"/>
      <c r="E143" s="22" t="s">
        <v>1370</v>
      </c>
      <c r="F143" s="29">
        <v>6</v>
      </c>
      <c r="G143" s="29">
        <v>70</v>
      </c>
      <c r="H143" s="64"/>
      <c r="I143" s="22" t="s">
        <v>1371</v>
      </c>
      <c r="J143" s="22" t="s">
        <v>225</v>
      </c>
      <c r="K143" s="34"/>
    </row>
    <row r="144" spans="1:11" x14ac:dyDescent="0.3">
      <c r="A144" s="22" t="s">
        <v>163</v>
      </c>
      <c r="B144" s="22" t="s">
        <v>1321</v>
      </c>
      <c r="C144" s="22" t="s">
        <v>87</v>
      </c>
      <c r="D144" s="23"/>
      <c r="E144" s="22" t="s">
        <v>1372</v>
      </c>
      <c r="F144" s="29">
        <v>6</v>
      </c>
      <c r="G144" s="29">
        <v>70</v>
      </c>
      <c r="H144" s="64"/>
      <c r="I144" s="22" t="s">
        <v>1373</v>
      </c>
      <c r="J144" s="22" t="s">
        <v>231</v>
      </c>
      <c r="K144" s="34"/>
    </row>
    <row r="145" spans="1:11" x14ac:dyDescent="0.3">
      <c r="A145" s="22" t="s">
        <v>163</v>
      </c>
      <c r="B145" s="22" t="s">
        <v>1321</v>
      </c>
      <c r="C145" s="22" t="s">
        <v>85</v>
      </c>
      <c r="D145" s="23"/>
      <c r="E145" s="22" t="s">
        <v>1374</v>
      </c>
      <c r="F145" s="29">
        <v>6</v>
      </c>
      <c r="G145" s="29">
        <v>70</v>
      </c>
      <c r="H145" s="64"/>
      <c r="I145" s="22" t="s">
        <v>1375</v>
      </c>
      <c r="J145" s="22" t="s">
        <v>953</v>
      </c>
      <c r="K145" s="34"/>
    </row>
    <row r="146" spans="1:11" x14ac:dyDescent="0.3">
      <c r="A146" s="22" t="s">
        <v>163</v>
      </c>
      <c r="B146" s="22" t="s">
        <v>1487</v>
      </c>
      <c r="C146" s="22" t="s">
        <v>63</v>
      </c>
      <c r="D146" s="23"/>
      <c r="E146" s="22" t="s">
        <v>1495</v>
      </c>
      <c r="F146" s="29">
        <v>6</v>
      </c>
      <c r="G146" s="29">
        <v>70</v>
      </c>
      <c r="H146" s="64"/>
      <c r="I146" s="22" t="s">
        <v>1496</v>
      </c>
      <c r="J146" s="22" t="s">
        <v>1497</v>
      </c>
      <c r="K146" s="34"/>
    </row>
    <row r="147" spans="1:11" x14ac:dyDescent="0.3">
      <c r="A147" s="22" t="s">
        <v>163</v>
      </c>
      <c r="B147" s="22" t="s">
        <v>1606</v>
      </c>
      <c r="C147" s="22" t="s">
        <v>83</v>
      </c>
      <c r="D147" s="23"/>
      <c r="E147" s="22" t="s">
        <v>1619</v>
      </c>
      <c r="F147" s="29">
        <v>6</v>
      </c>
      <c r="G147" s="29">
        <v>70</v>
      </c>
      <c r="H147" s="64"/>
      <c r="I147" s="22" t="s">
        <v>1620</v>
      </c>
      <c r="J147" s="22" t="s">
        <v>228</v>
      </c>
      <c r="K147" s="34"/>
    </row>
    <row r="148" spans="1:11" x14ac:dyDescent="0.3">
      <c r="A148" s="22" t="s">
        <v>163</v>
      </c>
      <c r="B148" s="22" t="s">
        <v>1606</v>
      </c>
      <c r="C148" s="22" t="s">
        <v>87</v>
      </c>
      <c r="D148" s="23"/>
      <c r="E148" s="22" t="s">
        <v>1621</v>
      </c>
      <c r="F148" s="29">
        <v>6</v>
      </c>
      <c r="G148" s="29">
        <v>70</v>
      </c>
      <c r="H148" s="64"/>
      <c r="I148" s="22" t="s">
        <v>1622</v>
      </c>
      <c r="J148" s="22" t="s">
        <v>228</v>
      </c>
      <c r="K148" s="34"/>
    </row>
    <row r="149" spans="1:11" x14ac:dyDescent="0.3">
      <c r="A149" s="22" t="s">
        <v>163</v>
      </c>
      <c r="B149" s="22" t="s">
        <v>1606</v>
      </c>
      <c r="C149" s="64" t="s">
        <v>85</v>
      </c>
      <c r="D149" s="23"/>
      <c r="E149" s="22" t="s">
        <v>1623</v>
      </c>
      <c r="F149" s="29">
        <v>6</v>
      </c>
      <c r="G149" s="29">
        <v>70</v>
      </c>
      <c r="H149" s="64"/>
      <c r="I149" s="22" t="s">
        <v>1624</v>
      </c>
      <c r="J149" s="22" t="s">
        <v>228</v>
      </c>
      <c r="K149" s="34"/>
    </row>
    <row r="150" spans="1:11" x14ac:dyDescent="0.3">
      <c r="A150" s="22" t="s">
        <v>163</v>
      </c>
      <c r="B150" s="22" t="s">
        <v>1751</v>
      </c>
      <c r="C150" s="22" t="s">
        <v>83</v>
      </c>
      <c r="D150" s="23"/>
      <c r="E150" s="22" t="s">
        <v>1766</v>
      </c>
      <c r="F150" s="29">
        <v>6</v>
      </c>
      <c r="G150" s="29">
        <v>70</v>
      </c>
      <c r="H150" s="64"/>
      <c r="I150" s="22" t="s">
        <v>1620</v>
      </c>
      <c r="J150" s="22" t="s">
        <v>1767</v>
      </c>
      <c r="K150" s="34"/>
    </row>
    <row r="151" spans="1:11" x14ac:dyDescent="0.3">
      <c r="A151" s="22" t="s">
        <v>163</v>
      </c>
      <c r="B151" s="22" t="s">
        <v>1751</v>
      </c>
      <c r="C151" s="22" t="s">
        <v>87</v>
      </c>
      <c r="D151" s="23"/>
      <c r="E151" s="22" t="s">
        <v>1768</v>
      </c>
      <c r="F151" s="29">
        <v>6</v>
      </c>
      <c r="G151" s="29">
        <v>70</v>
      </c>
      <c r="H151" s="64"/>
      <c r="I151" s="22" t="s">
        <v>1622</v>
      </c>
      <c r="J151" s="22" t="s">
        <v>1767</v>
      </c>
      <c r="K151" s="34"/>
    </row>
    <row r="152" spans="1:11" x14ac:dyDescent="0.3">
      <c r="A152" s="22" t="s">
        <v>163</v>
      </c>
      <c r="B152" s="22" t="s">
        <v>1751</v>
      </c>
      <c r="C152" s="22" t="s">
        <v>85</v>
      </c>
      <c r="D152" s="23"/>
      <c r="E152" s="22" t="s">
        <v>1769</v>
      </c>
      <c r="F152" s="29">
        <v>6</v>
      </c>
      <c r="G152" s="29">
        <v>70</v>
      </c>
      <c r="H152" s="64"/>
      <c r="I152" s="22" t="s">
        <v>1624</v>
      </c>
      <c r="J152" s="22" t="s">
        <v>1767</v>
      </c>
      <c r="K152" s="34"/>
    </row>
    <row r="153" spans="1:11" x14ac:dyDescent="0.3">
      <c r="A153" s="29" t="s">
        <v>163</v>
      </c>
      <c r="B153" s="29" t="s">
        <v>164</v>
      </c>
      <c r="C153" s="29" t="s">
        <v>202</v>
      </c>
      <c r="D153" s="29"/>
      <c r="E153" s="29" t="s">
        <v>232</v>
      </c>
      <c r="F153" s="29">
        <v>7</v>
      </c>
      <c r="G153" s="29">
        <v>75</v>
      </c>
      <c r="H153" s="29"/>
      <c r="I153" s="22" t="s">
        <v>233</v>
      </c>
      <c r="J153" s="22" t="s">
        <v>234</v>
      </c>
      <c r="K153" s="34"/>
    </row>
    <row r="154" spans="1:11" x14ac:dyDescent="0.3">
      <c r="A154" s="29" t="s">
        <v>163</v>
      </c>
      <c r="B154" s="29" t="s">
        <v>164</v>
      </c>
      <c r="C154" s="29" t="s">
        <v>206</v>
      </c>
      <c r="D154" s="29"/>
      <c r="E154" s="29" t="s">
        <v>235</v>
      </c>
      <c r="F154" s="29">
        <v>7</v>
      </c>
      <c r="G154" s="29">
        <v>75</v>
      </c>
      <c r="H154" s="29"/>
      <c r="I154" s="22" t="s">
        <v>236</v>
      </c>
      <c r="J154" s="22" t="s">
        <v>237</v>
      </c>
      <c r="K154" s="34"/>
    </row>
    <row r="155" spans="1:11" x14ac:dyDescent="0.3">
      <c r="A155" s="29" t="s">
        <v>163</v>
      </c>
      <c r="B155" s="29" t="s">
        <v>164</v>
      </c>
      <c r="C155" s="29" t="s">
        <v>210</v>
      </c>
      <c r="D155" s="29"/>
      <c r="E155" s="29" t="s">
        <v>238</v>
      </c>
      <c r="F155" s="29">
        <v>7</v>
      </c>
      <c r="G155" s="29">
        <v>75</v>
      </c>
      <c r="H155" s="29"/>
      <c r="I155" s="22" t="s">
        <v>239</v>
      </c>
      <c r="J155" s="22" t="s">
        <v>240</v>
      </c>
      <c r="K155" s="34"/>
    </row>
    <row r="156" spans="1:11" x14ac:dyDescent="0.3">
      <c r="A156" s="64" t="s">
        <v>163</v>
      </c>
      <c r="B156" s="64" t="s">
        <v>519</v>
      </c>
      <c r="C156" s="64" t="s">
        <v>83</v>
      </c>
      <c r="D156" s="64" t="s">
        <v>520</v>
      </c>
      <c r="E156" s="64" t="s">
        <v>551</v>
      </c>
      <c r="F156" s="29">
        <v>7</v>
      </c>
      <c r="G156" s="29">
        <v>75</v>
      </c>
      <c r="H156" s="29"/>
      <c r="I156" s="22" t="s">
        <v>552</v>
      </c>
      <c r="J156" s="22" t="s">
        <v>553</v>
      </c>
      <c r="K156" s="34"/>
    </row>
    <row r="157" spans="1:11" x14ac:dyDescent="0.3">
      <c r="A157" s="64" t="s">
        <v>163</v>
      </c>
      <c r="B157" s="64" t="s">
        <v>519</v>
      </c>
      <c r="C157" s="64" t="s">
        <v>87</v>
      </c>
      <c r="D157" s="64" t="s">
        <v>520</v>
      </c>
      <c r="E157" s="64" t="s">
        <v>554</v>
      </c>
      <c r="F157" s="29">
        <v>7</v>
      </c>
      <c r="G157" s="29">
        <v>75</v>
      </c>
      <c r="H157" s="29"/>
      <c r="I157" s="22" t="s">
        <v>555</v>
      </c>
      <c r="J157" s="22" t="s">
        <v>553</v>
      </c>
      <c r="K157" s="34"/>
    </row>
    <row r="158" spans="1:11" x14ac:dyDescent="0.3">
      <c r="A158" s="64" t="s">
        <v>163</v>
      </c>
      <c r="B158" s="64" t="s">
        <v>519</v>
      </c>
      <c r="C158" s="64" t="s">
        <v>85</v>
      </c>
      <c r="D158" s="64" t="s">
        <v>520</v>
      </c>
      <c r="E158" s="64" t="s">
        <v>556</v>
      </c>
      <c r="F158" s="29">
        <v>7</v>
      </c>
      <c r="G158" s="29">
        <v>75</v>
      </c>
      <c r="H158" s="29"/>
      <c r="I158" s="22" t="s">
        <v>557</v>
      </c>
      <c r="J158" s="22" t="s">
        <v>553</v>
      </c>
      <c r="K158" s="34"/>
    </row>
    <row r="159" spans="1:11" x14ac:dyDescent="0.3">
      <c r="A159" s="22" t="s">
        <v>163</v>
      </c>
      <c r="B159" s="22" t="s">
        <v>742</v>
      </c>
      <c r="C159" s="22" t="s">
        <v>202</v>
      </c>
      <c r="D159" s="23"/>
      <c r="E159" s="23" t="s">
        <v>779</v>
      </c>
      <c r="F159" s="29">
        <v>7</v>
      </c>
      <c r="G159" s="29">
        <v>75</v>
      </c>
      <c r="H159" s="64"/>
      <c r="I159" s="22" t="s">
        <v>780</v>
      </c>
      <c r="J159" s="22" t="s">
        <v>237</v>
      </c>
      <c r="K159" s="34"/>
    </row>
    <row r="160" spans="1:11" x14ac:dyDescent="0.3">
      <c r="A160" s="22" t="s">
        <v>163</v>
      </c>
      <c r="B160" s="22" t="s">
        <v>742</v>
      </c>
      <c r="C160" s="22" t="s">
        <v>210</v>
      </c>
      <c r="D160" s="23"/>
      <c r="E160" s="23" t="s">
        <v>781</v>
      </c>
      <c r="F160" s="29">
        <v>7</v>
      </c>
      <c r="G160" s="29">
        <v>75</v>
      </c>
      <c r="H160" s="64"/>
      <c r="I160" s="22" t="s">
        <v>782</v>
      </c>
      <c r="J160" s="22" t="s">
        <v>237</v>
      </c>
      <c r="K160" s="34"/>
    </row>
    <row r="161" spans="1:11" x14ac:dyDescent="0.3">
      <c r="A161" s="22" t="s">
        <v>163</v>
      </c>
      <c r="B161" s="22" t="s">
        <v>742</v>
      </c>
      <c r="C161" s="22" t="s">
        <v>206</v>
      </c>
      <c r="D161" s="23"/>
      <c r="E161" s="23" t="s">
        <v>783</v>
      </c>
      <c r="F161" s="29">
        <v>7</v>
      </c>
      <c r="G161" s="29">
        <v>75</v>
      </c>
      <c r="H161" s="64"/>
      <c r="I161" s="22" t="s">
        <v>784</v>
      </c>
      <c r="J161" s="22" t="s">
        <v>237</v>
      </c>
      <c r="K161" s="34"/>
    </row>
    <row r="162" spans="1:11" x14ac:dyDescent="0.3">
      <c r="A162" s="22" t="s">
        <v>163</v>
      </c>
      <c r="B162" s="22" t="s">
        <v>931</v>
      </c>
      <c r="C162" s="22" t="s">
        <v>83</v>
      </c>
      <c r="D162" s="23"/>
      <c r="E162" s="22" t="s">
        <v>954</v>
      </c>
      <c r="F162" s="29">
        <v>7</v>
      </c>
      <c r="G162" s="29">
        <v>75</v>
      </c>
      <c r="H162" s="64"/>
      <c r="I162" s="22" t="s">
        <v>955</v>
      </c>
      <c r="J162" s="22" t="s">
        <v>234</v>
      </c>
      <c r="K162" s="34"/>
    </row>
    <row r="163" spans="1:11" x14ac:dyDescent="0.3">
      <c r="A163" s="22" t="s">
        <v>163</v>
      </c>
      <c r="B163" s="22" t="s">
        <v>931</v>
      </c>
      <c r="C163" s="22" t="s">
        <v>87</v>
      </c>
      <c r="D163" s="23"/>
      <c r="E163" s="22" t="s">
        <v>956</v>
      </c>
      <c r="F163" s="29">
        <v>7</v>
      </c>
      <c r="G163" s="29">
        <v>75</v>
      </c>
      <c r="H163" s="64"/>
      <c r="I163" s="22" t="s">
        <v>957</v>
      </c>
      <c r="J163" s="22" t="s">
        <v>240</v>
      </c>
      <c r="K163" s="34"/>
    </row>
    <row r="164" spans="1:11" x14ac:dyDescent="0.3">
      <c r="A164" s="22" t="s">
        <v>163</v>
      </c>
      <c r="B164" s="22" t="s">
        <v>931</v>
      </c>
      <c r="C164" s="22" t="s">
        <v>85</v>
      </c>
      <c r="D164" s="23"/>
      <c r="E164" s="22" t="s">
        <v>958</v>
      </c>
      <c r="F164" s="29">
        <v>7</v>
      </c>
      <c r="G164" s="29">
        <v>75</v>
      </c>
      <c r="H164" s="64"/>
      <c r="I164" s="22" t="s">
        <v>959</v>
      </c>
      <c r="J164" s="22" t="s">
        <v>960</v>
      </c>
      <c r="K164" s="34"/>
    </row>
    <row r="165" spans="1:11" x14ac:dyDescent="0.3">
      <c r="A165" s="22" t="s">
        <v>163</v>
      </c>
      <c r="B165" s="22" t="s">
        <v>1140</v>
      </c>
      <c r="C165" s="22" t="s">
        <v>83</v>
      </c>
      <c r="D165" s="23"/>
      <c r="E165" s="22" t="s">
        <v>1186</v>
      </c>
      <c r="F165" s="29">
        <v>7</v>
      </c>
      <c r="G165" s="29">
        <v>75</v>
      </c>
      <c r="H165" s="64"/>
      <c r="I165" s="22" t="s">
        <v>1187</v>
      </c>
      <c r="J165" s="22" t="s">
        <v>234</v>
      </c>
      <c r="K165" s="34"/>
    </row>
    <row r="166" spans="1:11" x14ac:dyDescent="0.3">
      <c r="A166" s="22" t="s">
        <v>163</v>
      </c>
      <c r="B166" s="22" t="s">
        <v>1140</v>
      </c>
      <c r="C166" s="22" t="s">
        <v>87</v>
      </c>
      <c r="D166" s="23"/>
      <c r="E166" s="22" t="s">
        <v>1188</v>
      </c>
      <c r="F166" s="29">
        <v>7</v>
      </c>
      <c r="G166" s="29">
        <v>75</v>
      </c>
      <c r="H166" s="64"/>
      <c r="I166" s="22" t="s">
        <v>1189</v>
      </c>
      <c r="J166" s="22" t="s">
        <v>240</v>
      </c>
      <c r="K166" s="34"/>
    </row>
    <row r="167" spans="1:11" x14ac:dyDescent="0.3">
      <c r="A167" s="22" t="s">
        <v>163</v>
      </c>
      <c r="B167" s="22" t="s">
        <v>1140</v>
      </c>
      <c r="C167" s="22" t="s">
        <v>85</v>
      </c>
      <c r="D167" s="23"/>
      <c r="E167" s="22" t="s">
        <v>1190</v>
      </c>
      <c r="F167" s="29">
        <v>7</v>
      </c>
      <c r="G167" s="29">
        <v>75</v>
      </c>
      <c r="H167" s="64"/>
      <c r="I167" s="22" t="s">
        <v>1191</v>
      </c>
      <c r="J167" s="22" t="s">
        <v>960</v>
      </c>
      <c r="K167" s="34"/>
    </row>
    <row r="168" spans="1:11" x14ac:dyDescent="0.3">
      <c r="A168" s="22" t="s">
        <v>163</v>
      </c>
      <c r="B168" s="22" t="s">
        <v>1321</v>
      </c>
      <c r="C168" s="22" t="s">
        <v>83</v>
      </c>
      <c r="D168" s="23"/>
      <c r="E168" s="22" t="s">
        <v>1376</v>
      </c>
      <c r="F168" s="29">
        <v>7</v>
      </c>
      <c r="G168" s="29">
        <v>75</v>
      </c>
      <c r="H168" s="64"/>
      <c r="I168" s="22" t="s">
        <v>1377</v>
      </c>
      <c r="J168" s="22" t="s">
        <v>234</v>
      </c>
      <c r="K168" s="34"/>
    </row>
    <row r="169" spans="1:11" x14ac:dyDescent="0.3">
      <c r="A169" s="22" t="s">
        <v>163</v>
      </c>
      <c r="B169" s="22" t="s">
        <v>1321</v>
      </c>
      <c r="C169" s="22" t="s">
        <v>87</v>
      </c>
      <c r="D169" s="23"/>
      <c r="E169" s="22" t="s">
        <v>1378</v>
      </c>
      <c r="F169" s="29">
        <v>7</v>
      </c>
      <c r="G169" s="29">
        <v>75</v>
      </c>
      <c r="H169" s="64"/>
      <c r="I169" s="22" t="s">
        <v>1379</v>
      </c>
      <c r="J169" s="22" t="s">
        <v>240</v>
      </c>
      <c r="K169" s="34"/>
    </row>
    <row r="170" spans="1:11" x14ac:dyDescent="0.3">
      <c r="A170" s="22" t="s">
        <v>163</v>
      </c>
      <c r="B170" s="22" t="s">
        <v>1321</v>
      </c>
      <c r="C170" s="22" t="s">
        <v>85</v>
      </c>
      <c r="D170" s="23"/>
      <c r="E170" s="22" t="s">
        <v>1380</v>
      </c>
      <c r="F170" s="29">
        <v>7</v>
      </c>
      <c r="G170" s="29">
        <v>75</v>
      </c>
      <c r="H170" s="64"/>
      <c r="I170" s="22" t="s">
        <v>1381</v>
      </c>
      <c r="J170" s="22" t="s">
        <v>960</v>
      </c>
      <c r="K170" s="34"/>
    </row>
    <row r="171" spans="1:11" x14ac:dyDescent="0.3">
      <c r="A171" s="22" t="s">
        <v>163</v>
      </c>
      <c r="B171" s="22" t="s">
        <v>1487</v>
      </c>
      <c r="C171" s="22" t="s">
        <v>165</v>
      </c>
      <c r="D171" s="23"/>
      <c r="E171" s="22" t="s">
        <v>1498</v>
      </c>
      <c r="F171" s="29">
        <v>7</v>
      </c>
      <c r="G171" s="29">
        <v>75</v>
      </c>
      <c r="H171" s="64"/>
      <c r="I171" s="22" t="s">
        <v>1499</v>
      </c>
      <c r="J171" s="22" t="s">
        <v>539</v>
      </c>
      <c r="K171" s="34"/>
    </row>
    <row r="172" spans="1:11" x14ac:dyDescent="0.3">
      <c r="A172" s="22" t="s">
        <v>163</v>
      </c>
      <c r="B172" s="22" t="s">
        <v>1606</v>
      </c>
      <c r="C172" s="22" t="s">
        <v>83</v>
      </c>
      <c r="D172" s="23"/>
      <c r="E172" s="22" t="s">
        <v>1625</v>
      </c>
      <c r="F172" s="29">
        <v>7</v>
      </c>
      <c r="G172" s="29">
        <v>75</v>
      </c>
      <c r="H172" s="64"/>
      <c r="I172" s="22" t="s">
        <v>1626</v>
      </c>
      <c r="J172" s="22" t="s">
        <v>237</v>
      </c>
      <c r="K172" s="34"/>
    </row>
    <row r="173" spans="1:11" x14ac:dyDescent="0.3">
      <c r="A173" s="22" t="s">
        <v>163</v>
      </c>
      <c r="B173" s="22" t="s">
        <v>1606</v>
      </c>
      <c r="C173" s="22" t="s">
        <v>87</v>
      </c>
      <c r="D173" s="23"/>
      <c r="E173" s="22" t="s">
        <v>1627</v>
      </c>
      <c r="F173" s="29">
        <v>7</v>
      </c>
      <c r="G173" s="29">
        <v>75</v>
      </c>
      <c r="H173" s="64"/>
      <c r="I173" s="22" t="s">
        <v>1628</v>
      </c>
      <c r="J173" s="22" t="s">
        <v>237</v>
      </c>
      <c r="K173" s="34"/>
    </row>
    <row r="174" spans="1:11" x14ac:dyDescent="0.3">
      <c r="A174" s="22" t="s">
        <v>163</v>
      </c>
      <c r="B174" s="22" t="s">
        <v>1606</v>
      </c>
      <c r="C174" s="64" t="s">
        <v>85</v>
      </c>
      <c r="D174" s="23"/>
      <c r="E174" s="22" t="s">
        <v>1629</v>
      </c>
      <c r="F174" s="29">
        <v>7</v>
      </c>
      <c r="G174" s="29">
        <v>75</v>
      </c>
      <c r="H174" s="64"/>
      <c r="I174" s="22" t="s">
        <v>1630</v>
      </c>
      <c r="J174" s="22" t="s">
        <v>237</v>
      </c>
      <c r="K174" s="34"/>
    </row>
    <row r="175" spans="1:11" x14ac:dyDescent="0.3">
      <c r="A175" s="22" t="s">
        <v>163</v>
      </c>
      <c r="B175" s="22" t="s">
        <v>1751</v>
      </c>
      <c r="C175" s="22" t="s">
        <v>83</v>
      </c>
      <c r="D175" s="23"/>
      <c r="E175" s="22" t="s">
        <v>1770</v>
      </c>
      <c r="F175" s="29">
        <v>7</v>
      </c>
      <c r="G175" s="29">
        <v>75</v>
      </c>
      <c r="H175" s="64"/>
      <c r="I175" s="22" t="s">
        <v>1626</v>
      </c>
      <c r="J175" s="22" t="s">
        <v>1771</v>
      </c>
      <c r="K175" s="34"/>
    </row>
    <row r="176" spans="1:11" x14ac:dyDescent="0.3">
      <c r="A176" s="22" t="s">
        <v>163</v>
      </c>
      <c r="B176" s="22" t="s">
        <v>1751</v>
      </c>
      <c r="C176" s="22" t="s">
        <v>87</v>
      </c>
      <c r="D176" s="23"/>
      <c r="E176" s="22" t="s">
        <v>1772</v>
      </c>
      <c r="F176" s="29">
        <v>7</v>
      </c>
      <c r="G176" s="29">
        <v>75</v>
      </c>
      <c r="H176" s="64"/>
      <c r="I176" s="22" t="s">
        <v>1628</v>
      </c>
      <c r="J176" s="22" t="s">
        <v>1771</v>
      </c>
      <c r="K176" s="34"/>
    </row>
    <row r="177" spans="1:11" x14ac:dyDescent="0.3">
      <c r="A177" s="22" t="s">
        <v>163</v>
      </c>
      <c r="B177" s="22" t="s">
        <v>1751</v>
      </c>
      <c r="C177" s="22" t="s">
        <v>85</v>
      </c>
      <c r="D177" s="23"/>
      <c r="E177" s="22" t="s">
        <v>1773</v>
      </c>
      <c r="F177" s="29">
        <v>7</v>
      </c>
      <c r="G177" s="29">
        <v>75</v>
      </c>
      <c r="H177" s="64"/>
      <c r="I177" s="22" t="s">
        <v>1630</v>
      </c>
      <c r="J177" s="22" t="s">
        <v>1771</v>
      </c>
      <c r="K177" s="34"/>
    </row>
    <row r="178" spans="1:11" x14ac:dyDescent="0.3">
      <c r="A178" s="29" t="s">
        <v>163</v>
      </c>
      <c r="B178" s="29" t="s">
        <v>164</v>
      </c>
      <c r="C178" s="29" t="s">
        <v>202</v>
      </c>
      <c r="D178" s="29"/>
      <c r="E178" s="29" t="s">
        <v>1899</v>
      </c>
      <c r="F178" s="29">
        <v>8</v>
      </c>
      <c r="G178" s="29">
        <v>80</v>
      </c>
      <c r="H178" s="29">
        <v>1</v>
      </c>
      <c r="I178" s="22" t="s">
        <v>241</v>
      </c>
      <c r="J178" s="22" t="s">
        <v>242</v>
      </c>
      <c r="K178" s="34"/>
    </row>
    <row r="179" spans="1:11" x14ac:dyDescent="0.3">
      <c r="A179" s="29" t="s">
        <v>163</v>
      </c>
      <c r="B179" s="29" t="s">
        <v>164</v>
      </c>
      <c r="C179" s="29" t="s">
        <v>206</v>
      </c>
      <c r="D179" s="29"/>
      <c r="E179" s="29" t="s">
        <v>243</v>
      </c>
      <c r="F179" s="29">
        <v>8</v>
      </c>
      <c r="G179" s="29">
        <v>80</v>
      </c>
      <c r="H179" s="29">
        <v>1</v>
      </c>
      <c r="I179" s="22" t="s">
        <v>244</v>
      </c>
      <c r="J179" s="22" t="s">
        <v>245</v>
      </c>
      <c r="K179" s="34"/>
    </row>
    <row r="180" spans="1:11" x14ac:dyDescent="0.3">
      <c r="A180" s="29" t="s">
        <v>163</v>
      </c>
      <c r="B180" s="29" t="s">
        <v>164</v>
      </c>
      <c r="C180" s="29" t="s">
        <v>210</v>
      </c>
      <c r="D180" s="29"/>
      <c r="E180" s="29" t="s">
        <v>246</v>
      </c>
      <c r="F180" s="29">
        <v>8</v>
      </c>
      <c r="G180" s="29">
        <v>80</v>
      </c>
      <c r="H180" s="29">
        <v>1</v>
      </c>
      <c r="I180" s="22" t="s">
        <v>247</v>
      </c>
      <c r="J180" s="22" t="s">
        <v>248</v>
      </c>
      <c r="K180" s="34"/>
    </row>
    <row r="181" spans="1:11" x14ac:dyDescent="0.3">
      <c r="A181" s="64" t="s">
        <v>163</v>
      </c>
      <c r="B181" s="64" t="s">
        <v>519</v>
      </c>
      <c r="C181" s="64" t="s">
        <v>83</v>
      </c>
      <c r="D181" s="64" t="s">
        <v>520</v>
      </c>
      <c r="E181" s="64" t="s">
        <v>558</v>
      </c>
      <c r="F181" s="29">
        <v>8</v>
      </c>
      <c r="G181" s="29">
        <v>80</v>
      </c>
      <c r="H181" s="29">
        <v>1</v>
      </c>
      <c r="I181" s="22" t="s">
        <v>559</v>
      </c>
      <c r="J181" s="22" t="s">
        <v>560</v>
      </c>
      <c r="K181" s="34"/>
    </row>
    <row r="182" spans="1:11" x14ac:dyDescent="0.3">
      <c r="A182" s="64" t="s">
        <v>163</v>
      </c>
      <c r="B182" s="64" t="s">
        <v>519</v>
      </c>
      <c r="C182" s="64" t="s">
        <v>87</v>
      </c>
      <c r="D182" s="64" t="s">
        <v>520</v>
      </c>
      <c r="E182" s="64" t="s">
        <v>561</v>
      </c>
      <c r="F182" s="29">
        <v>8</v>
      </c>
      <c r="G182" s="29">
        <v>80</v>
      </c>
      <c r="H182" s="29">
        <v>1</v>
      </c>
      <c r="I182" s="22" t="s">
        <v>562</v>
      </c>
      <c r="J182" s="22" t="s">
        <v>560</v>
      </c>
      <c r="K182" s="34"/>
    </row>
    <row r="183" spans="1:11" x14ac:dyDescent="0.3">
      <c r="A183" s="64" t="s">
        <v>163</v>
      </c>
      <c r="B183" s="64" t="s">
        <v>519</v>
      </c>
      <c r="C183" s="64" t="s">
        <v>85</v>
      </c>
      <c r="D183" s="64" t="s">
        <v>520</v>
      </c>
      <c r="E183" s="64" t="s">
        <v>563</v>
      </c>
      <c r="F183" s="29">
        <v>8</v>
      </c>
      <c r="G183" s="29">
        <v>80</v>
      </c>
      <c r="H183" s="29">
        <v>1</v>
      </c>
      <c r="I183" s="22" t="s">
        <v>564</v>
      </c>
      <c r="J183" s="22" t="s">
        <v>560</v>
      </c>
      <c r="K183" s="34"/>
    </row>
    <row r="184" spans="1:11" x14ac:dyDescent="0.3">
      <c r="A184" s="22" t="s">
        <v>163</v>
      </c>
      <c r="B184" s="22" t="s">
        <v>742</v>
      </c>
      <c r="C184" s="22" t="s">
        <v>202</v>
      </c>
      <c r="D184" s="23"/>
      <c r="E184" s="23" t="s">
        <v>785</v>
      </c>
      <c r="F184" s="29">
        <v>8</v>
      </c>
      <c r="G184" s="29">
        <v>80</v>
      </c>
      <c r="H184" s="29">
        <v>1</v>
      </c>
      <c r="I184" s="22" t="s">
        <v>786</v>
      </c>
      <c r="J184" s="22" t="s">
        <v>245</v>
      </c>
      <c r="K184" s="34"/>
    </row>
    <row r="185" spans="1:11" x14ac:dyDescent="0.3">
      <c r="A185" s="22" t="s">
        <v>163</v>
      </c>
      <c r="B185" s="22" t="s">
        <v>742</v>
      </c>
      <c r="C185" s="22" t="s">
        <v>210</v>
      </c>
      <c r="D185" s="23"/>
      <c r="E185" s="23" t="s">
        <v>787</v>
      </c>
      <c r="F185" s="29">
        <v>8</v>
      </c>
      <c r="G185" s="29">
        <v>80</v>
      </c>
      <c r="H185" s="29">
        <v>1</v>
      </c>
      <c r="I185" s="22" t="s">
        <v>788</v>
      </c>
      <c r="J185" s="22" t="s">
        <v>245</v>
      </c>
      <c r="K185" s="34"/>
    </row>
    <row r="186" spans="1:11" x14ac:dyDescent="0.3">
      <c r="A186" s="22" t="s">
        <v>163</v>
      </c>
      <c r="B186" s="22" t="s">
        <v>742</v>
      </c>
      <c r="C186" s="22" t="s">
        <v>206</v>
      </c>
      <c r="D186" s="23"/>
      <c r="E186" s="23" t="s">
        <v>789</v>
      </c>
      <c r="F186" s="29">
        <v>8</v>
      </c>
      <c r="G186" s="29">
        <v>80</v>
      </c>
      <c r="H186" s="29">
        <v>1</v>
      </c>
      <c r="I186" s="22" t="s">
        <v>790</v>
      </c>
      <c r="J186" s="22" t="s">
        <v>245</v>
      </c>
      <c r="K186" s="34"/>
    </row>
    <row r="187" spans="1:11" x14ac:dyDescent="0.3">
      <c r="A187" s="22" t="s">
        <v>163</v>
      </c>
      <c r="B187" s="22" t="s">
        <v>931</v>
      </c>
      <c r="C187" s="22" t="s">
        <v>83</v>
      </c>
      <c r="D187" s="23"/>
      <c r="E187" s="22" t="s">
        <v>961</v>
      </c>
      <c r="F187" s="29">
        <v>8</v>
      </c>
      <c r="G187" s="29">
        <v>80</v>
      </c>
      <c r="H187" s="29">
        <v>1</v>
      </c>
      <c r="I187" s="22" t="s">
        <v>962</v>
      </c>
      <c r="J187" s="22" t="s">
        <v>242</v>
      </c>
      <c r="K187" s="34"/>
    </row>
    <row r="188" spans="1:11" x14ac:dyDescent="0.3">
      <c r="A188" s="22" t="s">
        <v>163</v>
      </c>
      <c r="B188" s="22" t="s">
        <v>931</v>
      </c>
      <c r="C188" s="22" t="s">
        <v>87</v>
      </c>
      <c r="D188" s="23"/>
      <c r="E188" s="22" t="s">
        <v>963</v>
      </c>
      <c r="F188" s="29">
        <v>8</v>
      </c>
      <c r="G188" s="29">
        <v>80</v>
      </c>
      <c r="H188" s="29">
        <v>1</v>
      </c>
      <c r="I188" s="22" t="s">
        <v>964</v>
      </c>
      <c r="J188" s="22" t="s">
        <v>248</v>
      </c>
      <c r="K188" s="34"/>
    </row>
    <row r="189" spans="1:11" x14ac:dyDescent="0.3">
      <c r="A189" s="22" t="s">
        <v>163</v>
      </c>
      <c r="B189" s="22" t="s">
        <v>931</v>
      </c>
      <c r="C189" s="22" t="s">
        <v>85</v>
      </c>
      <c r="D189" s="23"/>
      <c r="E189" s="22" t="s">
        <v>965</v>
      </c>
      <c r="F189" s="29">
        <v>8</v>
      </c>
      <c r="G189" s="29">
        <v>80</v>
      </c>
      <c r="H189" s="29">
        <v>1</v>
      </c>
      <c r="I189" s="22" t="s">
        <v>966</v>
      </c>
      <c r="J189" s="22" t="s">
        <v>967</v>
      </c>
      <c r="K189" s="34"/>
    </row>
    <row r="190" spans="1:11" x14ac:dyDescent="0.3">
      <c r="A190" s="22" t="s">
        <v>163</v>
      </c>
      <c r="B190" s="22" t="s">
        <v>1140</v>
      </c>
      <c r="C190" s="22" t="s">
        <v>83</v>
      </c>
      <c r="D190" s="23"/>
      <c r="E190" s="22" t="s">
        <v>1192</v>
      </c>
      <c r="F190" s="29">
        <v>8</v>
      </c>
      <c r="G190" s="29">
        <v>80</v>
      </c>
      <c r="H190" s="29">
        <v>1</v>
      </c>
      <c r="I190" s="22" t="s">
        <v>1193</v>
      </c>
      <c r="J190" s="22" t="s">
        <v>242</v>
      </c>
      <c r="K190" s="34"/>
    </row>
    <row r="191" spans="1:11" x14ac:dyDescent="0.3">
      <c r="A191" s="22" t="s">
        <v>163</v>
      </c>
      <c r="B191" s="22" t="s">
        <v>1140</v>
      </c>
      <c r="C191" s="22" t="s">
        <v>87</v>
      </c>
      <c r="D191" s="23"/>
      <c r="E191" s="22" t="s">
        <v>1194</v>
      </c>
      <c r="F191" s="29">
        <v>8</v>
      </c>
      <c r="G191" s="29">
        <v>80</v>
      </c>
      <c r="H191" s="29">
        <v>1</v>
      </c>
      <c r="I191" s="22" t="s">
        <v>1195</v>
      </c>
      <c r="J191" s="22" t="s">
        <v>248</v>
      </c>
      <c r="K191" s="34"/>
    </row>
    <row r="192" spans="1:11" x14ac:dyDescent="0.3">
      <c r="A192" s="22" t="s">
        <v>163</v>
      </c>
      <c r="B192" s="22" t="s">
        <v>1140</v>
      </c>
      <c r="C192" s="22" t="s">
        <v>85</v>
      </c>
      <c r="D192" s="23"/>
      <c r="E192" s="22" t="s">
        <v>1196</v>
      </c>
      <c r="F192" s="29">
        <v>8</v>
      </c>
      <c r="G192" s="29">
        <v>80</v>
      </c>
      <c r="H192" s="29">
        <v>1</v>
      </c>
      <c r="I192" s="22" t="s">
        <v>1197</v>
      </c>
      <c r="J192" s="22" t="s">
        <v>967</v>
      </c>
      <c r="K192" s="34"/>
    </row>
    <row r="193" spans="1:11" x14ac:dyDescent="0.3">
      <c r="A193" s="22" t="s">
        <v>163</v>
      </c>
      <c r="B193" s="22" t="s">
        <v>1321</v>
      </c>
      <c r="C193" s="22" t="s">
        <v>83</v>
      </c>
      <c r="D193" s="23"/>
      <c r="E193" s="22" t="s">
        <v>1382</v>
      </c>
      <c r="F193" s="29">
        <v>8</v>
      </c>
      <c r="G193" s="29">
        <v>80</v>
      </c>
      <c r="H193" s="29">
        <v>1</v>
      </c>
      <c r="I193" s="22" t="s">
        <v>1383</v>
      </c>
      <c r="J193" s="22" t="s">
        <v>242</v>
      </c>
      <c r="K193" s="34"/>
    </row>
    <row r="194" spans="1:11" x14ac:dyDescent="0.3">
      <c r="A194" s="22" t="s">
        <v>163</v>
      </c>
      <c r="B194" s="22" t="s">
        <v>1321</v>
      </c>
      <c r="C194" s="22" t="s">
        <v>87</v>
      </c>
      <c r="D194" s="23"/>
      <c r="E194" s="22" t="s">
        <v>1384</v>
      </c>
      <c r="F194" s="29">
        <v>8</v>
      </c>
      <c r="G194" s="29">
        <v>80</v>
      </c>
      <c r="H194" s="29">
        <v>1</v>
      </c>
      <c r="I194" s="22" t="s">
        <v>1385</v>
      </c>
      <c r="J194" s="22" t="s">
        <v>248</v>
      </c>
      <c r="K194" s="34"/>
    </row>
    <row r="195" spans="1:11" x14ac:dyDescent="0.3">
      <c r="A195" s="22" t="s">
        <v>163</v>
      </c>
      <c r="B195" s="22" t="s">
        <v>1321</v>
      </c>
      <c r="C195" s="22" t="s">
        <v>85</v>
      </c>
      <c r="D195" s="23"/>
      <c r="E195" s="22" t="s">
        <v>1386</v>
      </c>
      <c r="F195" s="29">
        <v>8</v>
      </c>
      <c r="G195" s="29">
        <v>80</v>
      </c>
      <c r="H195" s="29">
        <v>1</v>
      </c>
      <c r="I195" s="22" t="s">
        <v>1387</v>
      </c>
      <c r="J195" s="22" t="s">
        <v>967</v>
      </c>
      <c r="K195" s="34"/>
    </row>
    <row r="196" spans="1:11" x14ac:dyDescent="0.3">
      <c r="A196" s="22" t="s">
        <v>163</v>
      </c>
      <c r="B196" s="22" t="s">
        <v>1487</v>
      </c>
      <c r="C196" s="22" t="s">
        <v>165</v>
      </c>
      <c r="D196" s="23"/>
      <c r="E196" s="22" t="s">
        <v>1500</v>
      </c>
      <c r="F196" s="29">
        <v>8</v>
      </c>
      <c r="G196" s="29">
        <v>80</v>
      </c>
      <c r="H196" s="29">
        <v>1</v>
      </c>
      <c r="I196" s="22" t="s">
        <v>1501</v>
      </c>
      <c r="J196" s="22" t="s">
        <v>1502</v>
      </c>
      <c r="K196" s="34"/>
    </row>
    <row r="197" spans="1:11" x14ac:dyDescent="0.3">
      <c r="A197" s="22" t="s">
        <v>163</v>
      </c>
      <c r="B197" s="22" t="s">
        <v>1606</v>
      </c>
      <c r="C197" s="22" t="s">
        <v>83</v>
      </c>
      <c r="D197" s="23"/>
      <c r="E197" s="22" t="s">
        <v>1631</v>
      </c>
      <c r="F197" s="29">
        <v>8</v>
      </c>
      <c r="G197" s="29">
        <v>80</v>
      </c>
      <c r="H197" s="29">
        <v>1</v>
      </c>
      <c r="I197" s="22" t="s">
        <v>1632</v>
      </c>
      <c r="J197" s="22" t="s">
        <v>245</v>
      </c>
      <c r="K197" s="34"/>
    </row>
    <row r="198" spans="1:11" x14ac:dyDescent="0.3">
      <c r="A198" s="22" t="s">
        <v>163</v>
      </c>
      <c r="B198" s="22" t="s">
        <v>1606</v>
      </c>
      <c r="C198" s="22" t="s">
        <v>87</v>
      </c>
      <c r="D198" s="23"/>
      <c r="E198" s="22" t="s">
        <v>1633</v>
      </c>
      <c r="F198" s="29">
        <v>8</v>
      </c>
      <c r="G198" s="29">
        <v>80</v>
      </c>
      <c r="H198" s="29">
        <v>1</v>
      </c>
      <c r="I198" s="22" t="s">
        <v>1634</v>
      </c>
      <c r="J198" s="22" t="s">
        <v>245</v>
      </c>
      <c r="K198" s="34"/>
    </row>
    <row r="199" spans="1:11" x14ac:dyDescent="0.3">
      <c r="A199" s="22" t="s">
        <v>163</v>
      </c>
      <c r="B199" s="22" t="s">
        <v>1606</v>
      </c>
      <c r="C199" s="64" t="s">
        <v>85</v>
      </c>
      <c r="D199" s="23"/>
      <c r="E199" s="22" t="s">
        <v>1635</v>
      </c>
      <c r="F199" s="29">
        <v>8</v>
      </c>
      <c r="G199" s="29">
        <v>80</v>
      </c>
      <c r="H199" s="29">
        <v>1</v>
      </c>
      <c r="I199" s="22" t="s">
        <v>1636</v>
      </c>
      <c r="J199" s="22" t="s">
        <v>245</v>
      </c>
      <c r="K199" s="34"/>
    </row>
    <row r="200" spans="1:11" x14ac:dyDescent="0.3">
      <c r="A200" s="22" t="s">
        <v>163</v>
      </c>
      <c r="B200" s="22" t="s">
        <v>1751</v>
      </c>
      <c r="C200" s="22" t="s">
        <v>83</v>
      </c>
      <c r="D200" s="23"/>
      <c r="E200" s="22" t="s">
        <v>1774</v>
      </c>
      <c r="F200" s="29">
        <v>8</v>
      </c>
      <c r="G200" s="29">
        <v>80</v>
      </c>
      <c r="H200" s="29">
        <v>1</v>
      </c>
      <c r="I200" s="22" t="s">
        <v>1775</v>
      </c>
      <c r="J200" s="22" t="s">
        <v>1776</v>
      </c>
      <c r="K200" s="34"/>
    </row>
    <row r="201" spans="1:11" x14ac:dyDescent="0.3">
      <c r="A201" s="22" t="s">
        <v>163</v>
      </c>
      <c r="B201" s="22" t="s">
        <v>1751</v>
      </c>
      <c r="C201" s="22" t="s">
        <v>87</v>
      </c>
      <c r="D201" s="23"/>
      <c r="E201" s="22" t="s">
        <v>1777</v>
      </c>
      <c r="F201" s="29">
        <v>8</v>
      </c>
      <c r="G201" s="29">
        <v>80</v>
      </c>
      <c r="H201" s="29">
        <v>1</v>
      </c>
      <c r="I201" s="22" t="s">
        <v>1634</v>
      </c>
      <c r="J201" s="22" t="s">
        <v>1776</v>
      </c>
      <c r="K201" s="34"/>
    </row>
    <row r="202" spans="1:11" x14ac:dyDescent="0.3">
      <c r="A202" s="22" t="s">
        <v>163</v>
      </c>
      <c r="B202" s="22" t="s">
        <v>1751</v>
      </c>
      <c r="C202" s="22" t="s">
        <v>85</v>
      </c>
      <c r="D202" s="23"/>
      <c r="E202" s="22" t="s">
        <v>1778</v>
      </c>
      <c r="F202" s="29">
        <v>8</v>
      </c>
      <c r="G202" s="29">
        <v>80</v>
      </c>
      <c r="H202" s="29">
        <v>1</v>
      </c>
      <c r="I202" s="22" t="s">
        <v>1779</v>
      </c>
      <c r="J202" s="22" t="s">
        <v>1776</v>
      </c>
      <c r="K202" s="34"/>
    </row>
    <row r="203" spans="1:11" x14ac:dyDescent="0.3">
      <c r="A203" s="29" t="s">
        <v>163</v>
      </c>
      <c r="B203" s="29" t="s">
        <v>164</v>
      </c>
      <c r="C203" s="29" t="s">
        <v>202</v>
      </c>
      <c r="D203" s="29"/>
      <c r="E203" s="29" t="s">
        <v>249</v>
      </c>
      <c r="F203" s="29">
        <v>9</v>
      </c>
      <c r="G203" s="29">
        <v>90</v>
      </c>
      <c r="H203" s="29">
        <v>2</v>
      </c>
      <c r="I203" s="22" t="s">
        <v>250</v>
      </c>
      <c r="J203" s="22" t="s">
        <v>251</v>
      </c>
      <c r="K203" s="34"/>
    </row>
    <row r="204" spans="1:11" x14ac:dyDescent="0.3">
      <c r="A204" s="29" t="s">
        <v>163</v>
      </c>
      <c r="B204" s="29" t="s">
        <v>164</v>
      </c>
      <c r="C204" s="29" t="s">
        <v>206</v>
      </c>
      <c r="D204" s="29"/>
      <c r="E204" s="29" t="s">
        <v>252</v>
      </c>
      <c r="F204" s="29">
        <v>9</v>
      </c>
      <c r="G204" s="29">
        <v>90</v>
      </c>
      <c r="H204" s="29">
        <v>2</v>
      </c>
      <c r="I204" s="22" t="s">
        <v>253</v>
      </c>
      <c r="J204" s="22" t="s">
        <v>254</v>
      </c>
      <c r="K204" s="34"/>
    </row>
    <row r="205" spans="1:11" x14ac:dyDescent="0.3">
      <c r="A205" s="29" t="s">
        <v>163</v>
      </c>
      <c r="B205" s="29" t="s">
        <v>164</v>
      </c>
      <c r="C205" s="29" t="s">
        <v>210</v>
      </c>
      <c r="D205" s="29"/>
      <c r="E205" s="29" t="s">
        <v>255</v>
      </c>
      <c r="F205" s="29">
        <v>9</v>
      </c>
      <c r="G205" s="29">
        <v>90</v>
      </c>
      <c r="H205" s="29">
        <v>2</v>
      </c>
      <c r="I205" s="22" t="s">
        <v>256</v>
      </c>
      <c r="J205" s="22" t="s">
        <v>257</v>
      </c>
      <c r="K205" s="34"/>
    </row>
    <row r="206" spans="1:11" x14ac:dyDescent="0.3">
      <c r="A206" s="64" t="s">
        <v>163</v>
      </c>
      <c r="B206" s="64" t="s">
        <v>519</v>
      </c>
      <c r="C206" s="64" t="s">
        <v>83</v>
      </c>
      <c r="D206" s="64" t="s">
        <v>520</v>
      </c>
      <c r="E206" s="64" t="s">
        <v>565</v>
      </c>
      <c r="F206" s="29">
        <v>9</v>
      </c>
      <c r="G206" s="29">
        <v>90</v>
      </c>
      <c r="H206" s="29">
        <v>2</v>
      </c>
      <c r="I206" s="22" t="s">
        <v>566</v>
      </c>
      <c r="J206" s="22" t="s">
        <v>567</v>
      </c>
      <c r="K206" s="34"/>
    </row>
    <row r="207" spans="1:11" x14ac:dyDescent="0.3">
      <c r="A207" s="64" t="s">
        <v>163</v>
      </c>
      <c r="B207" s="64" t="s">
        <v>519</v>
      </c>
      <c r="C207" s="64" t="s">
        <v>87</v>
      </c>
      <c r="D207" s="64" t="s">
        <v>520</v>
      </c>
      <c r="E207" s="64" t="s">
        <v>568</v>
      </c>
      <c r="F207" s="29">
        <v>9</v>
      </c>
      <c r="G207" s="29">
        <v>90</v>
      </c>
      <c r="H207" s="29">
        <v>2</v>
      </c>
      <c r="I207" s="22" t="s">
        <v>569</v>
      </c>
      <c r="J207" s="22" t="s">
        <v>567</v>
      </c>
      <c r="K207" s="34"/>
    </row>
    <row r="208" spans="1:11" x14ac:dyDescent="0.3">
      <c r="A208" s="64" t="s">
        <v>163</v>
      </c>
      <c r="B208" s="64" t="s">
        <v>519</v>
      </c>
      <c r="C208" s="64" t="s">
        <v>85</v>
      </c>
      <c r="D208" s="64" t="s">
        <v>520</v>
      </c>
      <c r="E208" s="64" t="s">
        <v>570</v>
      </c>
      <c r="F208" s="29">
        <v>9</v>
      </c>
      <c r="G208" s="29">
        <v>90</v>
      </c>
      <c r="H208" s="29">
        <v>2</v>
      </c>
      <c r="I208" s="22" t="s">
        <v>571</v>
      </c>
      <c r="J208" s="22" t="s">
        <v>567</v>
      </c>
      <c r="K208" s="34"/>
    </row>
    <row r="209" spans="1:11" x14ac:dyDescent="0.3">
      <c r="A209" s="22" t="s">
        <v>163</v>
      </c>
      <c r="B209" s="22" t="s">
        <v>742</v>
      </c>
      <c r="C209" s="22" t="s">
        <v>202</v>
      </c>
      <c r="D209" s="23"/>
      <c r="E209" s="23" t="s">
        <v>791</v>
      </c>
      <c r="F209" s="29">
        <v>9</v>
      </c>
      <c r="G209" s="29">
        <v>90</v>
      </c>
      <c r="H209" s="29">
        <v>2</v>
      </c>
      <c r="I209" s="22" t="s">
        <v>792</v>
      </c>
      <c r="J209" s="22" t="s">
        <v>254</v>
      </c>
      <c r="K209" s="34"/>
    </row>
    <row r="210" spans="1:11" x14ac:dyDescent="0.3">
      <c r="A210" s="22" t="s">
        <v>163</v>
      </c>
      <c r="B210" s="22" t="s">
        <v>742</v>
      </c>
      <c r="C210" s="22" t="s">
        <v>210</v>
      </c>
      <c r="D210" s="23"/>
      <c r="E210" s="23" t="s">
        <v>793</v>
      </c>
      <c r="F210" s="29">
        <v>9</v>
      </c>
      <c r="G210" s="29">
        <v>90</v>
      </c>
      <c r="H210" s="29">
        <v>2</v>
      </c>
      <c r="I210" s="22" t="s">
        <v>794</v>
      </c>
      <c r="J210" s="22" t="s">
        <v>254</v>
      </c>
      <c r="K210" s="34"/>
    </row>
    <row r="211" spans="1:11" x14ac:dyDescent="0.3">
      <c r="A211" s="22" t="s">
        <v>163</v>
      </c>
      <c r="B211" s="22" t="s">
        <v>742</v>
      </c>
      <c r="C211" s="22" t="s">
        <v>206</v>
      </c>
      <c r="D211" s="23"/>
      <c r="E211" s="23" t="s">
        <v>795</v>
      </c>
      <c r="F211" s="29">
        <v>9</v>
      </c>
      <c r="G211" s="29">
        <v>90</v>
      </c>
      <c r="H211" s="29">
        <v>2</v>
      </c>
      <c r="I211" s="22" t="s">
        <v>796</v>
      </c>
      <c r="J211" s="22" t="s">
        <v>254</v>
      </c>
      <c r="K211" s="34"/>
    </row>
    <row r="212" spans="1:11" x14ac:dyDescent="0.3">
      <c r="A212" s="22" t="s">
        <v>163</v>
      </c>
      <c r="B212" s="22" t="s">
        <v>931</v>
      </c>
      <c r="C212" s="22" t="s">
        <v>83</v>
      </c>
      <c r="D212" s="23"/>
      <c r="E212" s="22" t="s">
        <v>968</v>
      </c>
      <c r="F212" s="29">
        <v>9</v>
      </c>
      <c r="G212" s="29">
        <v>90</v>
      </c>
      <c r="H212" s="29">
        <v>2</v>
      </c>
      <c r="I212" s="22" t="s">
        <v>969</v>
      </c>
      <c r="J212" s="22" t="s">
        <v>251</v>
      </c>
      <c r="K212" s="34"/>
    </row>
    <row r="213" spans="1:11" x14ac:dyDescent="0.3">
      <c r="A213" s="22" t="s">
        <v>163</v>
      </c>
      <c r="B213" s="22" t="s">
        <v>931</v>
      </c>
      <c r="C213" s="22" t="s">
        <v>87</v>
      </c>
      <c r="D213" s="23"/>
      <c r="E213" s="22" t="s">
        <v>970</v>
      </c>
      <c r="F213" s="29">
        <v>9</v>
      </c>
      <c r="G213" s="29">
        <v>90</v>
      </c>
      <c r="H213" s="29">
        <v>2</v>
      </c>
      <c r="I213" s="22" t="s">
        <v>971</v>
      </c>
      <c r="J213" s="22" t="s">
        <v>257</v>
      </c>
      <c r="K213" s="34"/>
    </row>
    <row r="214" spans="1:11" x14ac:dyDescent="0.3">
      <c r="A214" s="22" t="s">
        <v>163</v>
      </c>
      <c r="B214" s="22" t="s">
        <v>931</v>
      </c>
      <c r="C214" s="22" t="s">
        <v>85</v>
      </c>
      <c r="D214" s="23"/>
      <c r="E214" s="22" t="s">
        <v>972</v>
      </c>
      <c r="F214" s="29">
        <v>9</v>
      </c>
      <c r="G214" s="29">
        <v>90</v>
      </c>
      <c r="H214" s="29">
        <v>2</v>
      </c>
      <c r="I214" s="22" t="s">
        <v>973</v>
      </c>
      <c r="J214" s="22" t="s">
        <v>974</v>
      </c>
      <c r="K214" s="34"/>
    </row>
    <row r="215" spans="1:11" x14ac:dyDescent="0.3">
      <c r="A215" s="22" t="s">
        <v>163</v>
      </c>
      <c r="B215" s="22" t="s">
        <v>1140</v>
      </c>
      <c r="C215" s="22" t="s">
        <v>83</v>
      </c>
      <c r="D215" s="23"/>
      <c r="E215" s="22" t="s">
        <v>1198</v>
      </c>
      <c r="F215" s="29">
        <v>9</v>
      </c>
      <c r="G215" s="29">
        <v>90</v>
      </c>
      <c r="H215" s="29">
        <v>2</v>
      </c>
      <c r="I215" s="22" t="s">
        <v>1199</v>
      </c>
      <c r="J215" s="22" t="s">
        <v>251</v>
      </c>
      <c r="K215" s="34"/>
    </row>
    <row r="216" spans="1:11" x14ac:dyDescent="0.3">
      <c r="A216" s="22" t="s">
        <v>163</v>
      </c>
      <c r="B216" s="22" t="s">
        <v>1140</v>
      </c>
      <c r="C216" s="22" t="s">
        <v>87</v>
      </c>
      <c r="D216" s="23"/>
      <c r="E216" s="22" t="s">
        <v>1200</v>
      </c>
      <c r="F216" s="29">
        <v>9</v>
      </c>
      <c r="G216" s="29">
        <v>90</v>
      </c>
      <c r="H216" s="29">
        <v>2</v>
      </c>
      <c r="I216" s="22" t="s">
        <v>1201</v>
      </c>
      <c r="J216" s="22" t="s">
        <v>257</v>
      </c>
      <c r="K216" s="34"/>
    </row>
    <row r="217" spans="1:11" x14ac:dyDescent="0.3">
      <c r="A217" s="22" t="s">
        <v>163</v>
      </c>
      <c r="B217" s="22" t="s">
        <v>1140</v>
      </c>
      <c r="C217" s="22" t="s">
        <v>85</v>
      </c>
      <c r="D217" s="23"/>
      <c r="E217" s="22" t="s">
        <v>1202</v>
      </c>
      <c r="F217" s="29">
        <v>9</v>
      </c>
      <c r="G217" s="29">
        <v>90</v>
      </c>
      <c r="H217" s="29">
        <v>2</v>
      </c>
      <c r="I217" s="22" t="s">
        <v>1203</v>
      </c>
      <c r="J217" s="22" t="s">
        <v>974</v>
      </c>
      <c r="K217" s="34"/>
    </row>
    <row r="218" spans="1:11" x14ac:dyDescent="0.3">
      <c r="A218" s="22" t="s">
        <v>163</v>
      </c>
      <c r="B218" s="22" t="s">
        <v>1321</v>
      </c>
      <c r="C218" s="22" t="s">
        <v>83</v>
      </c>
      <c r="D218" s="23"/>
      <c r="E218" s="22" t="s">
        <v>1388</v>
      </c>
      <c r="F218" s="29">
        <v>9</v>
      </c>
      <c r="G218" s="29">
        <v>90</v>
      </c>
      <c r="H218" s="29">
        <v>2</v>
      </c>
      <c r="I218" s="22" t="s">
        <v>1389</v>
      </c>
      <c r="J218" s="22" t="s">
        <v>251</v>
      </c>
      <c r="K218" s="34"/>
    </row>
    <row r="219" spans="1:11" x14ac:dyDescent="0.3">
      <c r="A219" s="22" t="s">
        <v>163</v>
      </c>
      <c r="B219" s="22" t="s">
        <v>1321</v>
      </c>
      <c r="C219" s="22" t="s">
        <v>87</v>
      </c>
      <c r="D219" s="23"/>
      <c r="E219" s="22" t="s">
        <v>1390</v>
      </c>
      <c r="F219" s="29">
        <v>9</v>
      </c>
      <c r="G219" s="29">
        <v>90</v>
      </c>
      <c r="H219" s="29">
        <v>2</v>
      </c>
      <c r="I219" s="22" t="s">
        <v>1391</v>
      </c>
      <c r="J219" s="22" t="s">
        <v>257</v>
      </c>
      <c r="K219" s="34"/>
    </row>
    <row r="220" spans="1:11" x14ac:dyDescent="0.3">
      <c r="A220" s="22" t="s">
        <v>163</v>
      </c>
      <c r="B220" s="22" t="s">
        <v>1321</v>
      </c>
      <c r="C220" s="22" t="s">
        <v>85</v>
      </c>
      <c r="D220" s="23"/>
      <c r="E220" s="22" t="s">
        <v>1392</v>
      </c>
      <c r="F220" s="29">
        <v>9</v>
      </c>
      <c r="G220" s="29">
        <v>90</v>
      </c>
      <c r="H220" s="29">
        <v>2</v>
      </c>
      <c r="I220" s="22" t="s">
        <v>1393</v>
      </c>
      <c r="J220" s="22" t="s">
        <v>974</v>
      </c>
      <c r="K220" s="34"/>
    </row>
    <row r="221" spans="1:11" x14ac:dyDescent="0.3">
      <c r="A221" s="22" t="s">
        <v>163</v>
      </c>
      <c r="B221" s="22" t="s">
        <v>1487</v>
      </c>
      <c r="C221" s="22" t="s">
        <v>165</v>
      </c>
      <c r="D221" s="23"/>
      <c r="E221" s="22" t="s">
        <v>1503</v>
      </c>
      <c r="F221" s="29">
        <v>9</v>
      </c>
      <c r="G221" s="29">
        <v>90</v>
      </c>
      <c r="H221" s="29">
        <v>2</v>
      </c>
      <c r="I221" s="22" t="s">
        <v>1504</v>
      </c>
      <c r="J221" s="22" t="s">
        <v>546</v>
      </c>
      <c r="K221" s="34"/>
    </row>
    <row r="222" spans="1:11" x14ac:dyDescent="0.3">
      <c r="A222" s="22" t="s">
        <v>163</v>
      </c>
      <c r="B222" s="22" t="s">
        <v>1606</v>
      </c>
      <c r="C222" s="22" t="s">
        <v>83</v>
      </c>
      <c r="D222" s="23"/>
      <c r="E222" s="22" t="s">
        <v>1637</v>
      </c>
      <c r="F222" s="29">
        <v>9</v>
      </c>
      <c r="G222" s="29">
        <v>90</v>
      </c>
      <c r="H222" s="29">
        <v>2</v>
      </c>
      <c r="I222" s="22" t="s">
        <v>1638</v>
      </c>
      <c r="J222" s="22" t="s">
        <v>254</v>
      </c>
      <c r="K222" s="34"/>
    </row>
    <row r="223" spans="1:11" x14ac:dyDescent="0.3">
      <c r="A223" s="22" t="s">
        <v>163</v>
      </c>
      <c r="B223" s="22" t="s">
        <v>1606</v>
      </c>
      <c r="C223" s="22" t="s">
        <v>87</v>
      </c>
      <c r="D223" s="23"/>
      <c r="E223" s="22" t="s">
        <v>1639</v>
      </c>
      <c r="F223" s="29">
        <v>9</v>
      </c>
      <c r="G223" s="29">
        <v>90</v>
      </c>
      <c r="H223" s="29">
        <v>2</v>
      </c>
      <c r="I223" s="22" t="s">
        <v>1640</v>
      </c>
      <c r="J223" s="22" t="s">
        <v>254</v>
      </c>
      <c r="K223" s="34"/>
    </row>
    <row r="224" spans="1:11" x14ac:dyDescent="0.3">
      <c r="A224" s="22" t="s">
        <v>163</v>
      </c>
      <c r="B224" s="22" t="s">
        <v>1606</v>
      </c>
      <c r="C224" s="64" t="s">
        <v>85</v>
      </c>
      <c r="D224" s="23"/>
      <c r="E224" s="22" t="s">
        <v>1641</v>
      </c>
      <c r="F224" s="29">
        <v>9</v>
      </c>
      <c r="G224" s="29">
        <v>90</v>
      </c>
      <c r="H224" s="29">
        <v>2</v>
      </c>
      <c r="I224" s="22" t="s">
        <v>1642</v>
      </c>
      <c r="J224" s="22" t="s">
        <v>254</v>
      </c>
      <c r="K224" s="34"/>
    </row>
    <row r="225" spans="1:11" x14ac:dyDescent="0.3">
      <c r="A225" s="22" t="s">
        <v>163</v>
      </c>
      <c r="B225" s="22" t="s">
        <v>1751</v>
      </c>
      <c r="C225" s="22" t="s">
        <v>83</v>
      </c>
      <c r="D225" s="23"/>
      <c r="E225" s="22" t="s">
        <v>1780</v>
      </c>
      <c r="F225" s="29">
        <v>9</v>
      </c>
      <c r="G225" s="29">
        <v>90</v>
      </c>
      <c r="H225" s="29">
        <v>2</v>
      </c>
      <c r="I225" s="22" t="s">
        <v>1781</v>
      </c>
      <c r="J225" s="22" t="s">
        <v>1782</v>
      </c>
      <c r="K225" s="34"/>
    </row>
    <row r="226" spans="1:11" x14ac:dyDescent="0.3">
      <c r="A226" s="22" t="s">
        <v>163</v>
      </c>
      <c r="B226" s="22" t="s">
        <v>1751</v>
      </c>
      <c r="C226" s="22" t="s">
        <v>87</v>
      </c>
      <c r="D226" s="23"/>
      <c r="E226" s="22" t="s">
        <v>1783</v>
      </c>
      <c r="F226" s="29">
        <v>9</v>
      </c>
      <c r="G226" s="29">
        <v>90</v>
      </c>
      <c r="H226" s="29">
        <v>2</v>
      </c>
      <c r="I226" s="22" t="s">
        <v>1784</v>
      </c>
      <c r="J226" s="22" t="s">
        <v>1782</v>
      </c>
      <c r="K226" s="34"/>
    </row>
    <row r="227" spans="1:11" x14ac:dyDescent="0.3">
      <c r="A227" s="22" t="s">
        <v>163</v>
      </c>
      <c r="B227" s="22" t="s">
        <v>1751</v>
      </c>
      <c r="C227" s="22" t="s">
        <v>85</v>
      </c>
      <c r="D227" s="23"/>
      <c r="E227" s="22" t="s">
        <v>1785</v>
      </c>
      <c r="F227" s="29">
        <v>9</v>
      </c>
      <c r="G227" s="29">
        <v>90</v>
      </c>
      <c r="H227" s="29">
        <v>2</v>
      </c>
      <c r="I227" s="22" t="s">
        <v>1786</v>
      </c>
      <c r="J227" s="22" t="s">
        <v>1782</v>
      </c>
      <c r="K227" s="34"/>
    </row>
    <row r="228" spans="1:11" x14ac:dyDescent="0.3">
      <c r="A228" s="29" t="s">
        <v>163</v>
      </c>
      <c r="B228" s="29" t="s">
        <v>164</v>
      </c>
      <c r="C228" s="29" t="s">
        <v>202</v>
      </c>
      <c r="D228" s="29"/>
      <c r="E228" s="29" t="s">
        <v>258</v>
      </c>
      <c r="F228" s="29">
        <v>10</v>
      </c>
      <c r="G228" s="29">
        <v>100</v>
      </c>
      <c r="H228" s="29">
        <v>3</v>
      </c>
      <c r="I228" s="22" t="s">
        <v>259</v>
      </c>
      <c r="J228" s="22" t="s">
        <v>260</v>
      </c>
      <c r="K228" s="34"/>
    </row>
    <row r="229" spans="1:11" x14ac:dyDescent="0.3">
      <c r="A229" s="29" t="s">
        <v>163</v>
      </c>
      <c r="B229" s="29" t="s">
        <v>164</v>
      </c>
      <c r="C229" s="29" t="s">
        <v>206</v>
      </c>
      <c r="D229" s="29"/>
      <c r="E229" s="29" t="s">
        <v>261</v>
      </c>
      <c r="F229" s="29">
        <v>10</v>
      </c>
      <c r="G229" s="29">
        <v>100</v>
      </c>
      <c r="H229" s="29">
        <v>3</v>
      </c>
      <c r="I229" s="22" t="s">
        <v>262</v>
      </c>
      <c r="J229" s="22" t="s">
        <v>263</v>
      </c>
      <c r="K229" s="34"/>
    </row>
    <row r="230" spans="1:11" x14ac:dyDescent="0.3">
      <c r="A230" s="29" t="s">
        <v>163</v>
      </c>
      <c r="B230" s="29" t="s">
        <v>164</v>
      </c>
      <c r="C230" s="29" t="s">
        <v>210</v>
      </c>
      <c r="D230" s="29"/>
      <c r="E230" s="29" t="s">
        <v>264</v>
      </c>
      <c r="F230" s="29">
        <v>10</v>
      </c>
      <c r="G230" s="29">
        <v>100</v>
      </c>
      <c r="H230" s="29">
        <v>3</v>
      </c>
      <c r="I230" s="22" t="s">
        <v>265</v>
      </c>
      <c r="J230" s="22" t="s">
        <v>266</v>
      </c>
      <c r="K230" s="34"/>
    </row>
    <row r="231" spans="1:11" x14ac:dyDescent="0.3">
      <c r="A231" s="64" t="s">
        <v>163</v>
      </c>
      <c r="B231" s="64" t="s">
        <v>519</v>
      </c>
      <c r="C231" s="64" t="s">
        <v>83</v>
      </c>
      <c r="D231" s="64" t="s">
        <v>520</v>
      </c>
      <c r="E231" s="64" t="s">
        <v>572</v>
      </c>
      <c r="F231" s="29">
        <v>10</v>
      </c>
      <c r="G231" s="29">
        <v>100</v>
      </c>
      <c r="H231" s="29">
        <v>3</v>
      </c>
      <c r="I231" s="22" t="s">
        <v>573</v>
      </c>
      <c r="J231" s="22" t="s">
        <v>574</v>
      </c>
      <c r="K231" s="34"/>
    </row>
    <row r="232" spans="1:11" x14ac:dyDescent="0.3">
      <c r="A232" s="64" t="s">
        <v>163</v>
      </c>
      <c r="B232" s="64" t="s">
        <v>519</v>
      </c>
      <c r="C232" s="64" t="s">
        <v>87</v>
      </c>
      <c r="D232" s="64" t="s">
        <v>520</v>
      </c>
      <c r="E232" s="64" t="s">
        <v>575</v>
      </c>
      <c r="F232" s="29">
        <v>10</v>
      </c>
      <c r="G232" s="29">
        <v>100</v>
      </c>
      <c r="H232" s="29">
        <v>3</v>
      </c>
      <c r="I232" s="22" t="s">
        <v>576</v>
      </c>
      <c r="J232" s="22" t="s">
        <v>574</v>
      </c>
      <c r="K232" s="34"/>
    </row>
    <row r="233" spans="1:11" x14ac:dyDescent="0.3">
      <c r="A233" s="64" t="s">
        <v>163</v>
      </c>
      <c r="B233" s="64" t="s">
        <v>519</v>
      </c>
      <c r="C233" s="64" t="s">
        <v>85</v>
      </c>
      <c r="D233" s="64" t="s">
        <v>520</v>
      </c>
      <c r="E233" s="64" t="s">
        <v>577</v>
      </c>
      <c r="F233" s="29">
        <v>10</v>
      </c>
      <c r="G233" s="29">
        <v>100</v>
      </c>
      <c r="H233" s="29">
        <v>3</v>
      </c>
      <c r="I233" s="22" t="s">
        <v>578</v>
      </c>
      <c r="J233" s="22" t="s">
        <v>574</v>
      </c>
      <c r="K233" s="34"/>
    </row>
    <row r="234" spans="1:11" x14ac:dyDescent="0.3">
      <c r="A234" s="22" t="s">
        <v>163</v>
      </c>
      <c r="B234" s="22" t="s">
        <v>742</v>
      </c>
      <c r="C234" s="22" t="s">
        <v>202</v>
      </c>
      <c r="D234" s="23"/>
      <c r="E234" s="23" t="s">
        <v>797</v>
      </c>
      <c r="F234" s="29">
        <v>10</v>
      </c>
      <c r="G234" s="29">
        <v>100</v>
      </c>
      <c r="H234" s="29">
        <v>3</v>
      </c>
      <c r="I234" s="22" t="s">
        <v>798</v>
      </c>
      <c r="J234" s="22" t="s">
        <v>263</v>
      </c>
      <c r="K234" s="34"/>
    </row>
    <row r="235" spans="1:11" x14ac:dyDescent="0.3">
      <c r="A235" s="22" t="s">
        <v>163</v>
      </c>
      <c r="B235" s="22" t="s">
        <v>742</v>
      </c>
      <c r="C235" s="22" t="s">
        <v>210</v>
      </c>
      <c r="D235" s="23"/>
      <c r="E235" s="23" t="s">
        <v>799</v>
      </c>
      <c r="F235" s="29">
        <v>10</v>
      </c>
      <c r="G235" s="29">
        <v>100</v>
      </c>
      <c r="H235" s="29">
        <v>3</v>
      </c>
      <c r="I235" s="22" t="s">
        <v>800</v>
      </c>
      <c r="J235" s="22" t="s">
        <v>263</v>
      </c>
      <c r="K235" s="34"/>
    </row>
    <row r="236" spans="1:11" x14ac:dyDescent="0.3">
      <c r="A236" s="22" t="s">
        <v>163</v>
      </c>
      <c r="B236" s="22" t="s">
        <v>742</v>
      </c>
      <c r="C236" s="22" t="s">
        <v>206</v>
      </c>
      <c r="D236" s="23"/>
      <c r="E236" s="23" t="s">
        <v>801</v>
      </c>
      <c r="F236" s="29">
        <v>10</v>
      </c>
      <c r="G236" s="29">
        <v>100</v>
      </c>
      <c r="H236" s="29">
        <v>3</v>
      </c>
      <c r="I236" s="22" t="s">
        <v>802</v>
      </c>
      <c r="J236" s="22" t="s">
        <v>263</v>
      </c>
      <c r="K236" s="34"/>
    </row>
    <row r="237" spans="1:11" x14ac:dyDescent="0.3">
      <c r="A237" s="22" t="s">
        <v>163</v>
      </c>
      <c r="B237" s="22" t="s">
        <v>931</v>
      </c>
      <c r="C237" s="22" t="s">
        <v>83</v>
      </c>
      <c r="D237" s="23"/>
      <c r="E237" s="22" t="s">
        <v>975</v>
      </c>
      <c r="F237" s="29">
        <v>10</v>
      </c>
      <c r="G237" s="29">
        <v>100</v>
      </c>
      <c r="H237" s="29">
        <v>3</v>
      </c>
      <c r="I237" s="22" t="s">
        <v>976</v>
      </c>
      <c r="J237" s="22" t="s">
        <v>260</v>
      </c>
      <c r="K237" s="34"/>
    </row>
    <row r="238" spans="1:11" x14ac:dyDescent="0.3">
      <c r="A238" s="22" t="s">
        <v>163</v>
      </c>
      <c r="B238" s="22" t="s">
        <v>931</v>
      </c>
      <c r="C238" s="22" t="s">
        <v>87</v>
      </c>
      <c r="D238" s="23"/>
      <c r="E238" s="22" t="s">
        <v>977</v>
      </c>
      <c r="F238" s="29">
        <v>10</v>
      </c>
      <c r="G238" s="29">
        <v>100</v>
      </c>
      <c r="H238" s="29">
        <v>3</v>
      </c>
      <c r="I238" s="22" t="s">
        <v>978</v>
      </c>
      <c r="J238" s="22" t="s">
        <v>266</v>
      </c>
      <c r="K238" s="34"/>
    </row>
    <row r="239" spans="1:11" x14ac:dyDescent="0.3">
      <c r="A239" s="22" t="s">
        <v>163</v>
      </c>
      <c r="B239" s="22" t="s">
        <v>931</v>
      </c>
      <c r="C239" s="22" t="s">
        <v>85</v>
      </c>
      <c r="D239" s="23"/>
      <c r="E239" s="22" t="s">
        <v>979</v>
      </c>
      <c r="F239" s="29">
        <v>10</v>
      </c>
      <c r="G239" s="29">
        <v>100</v>
      </c>
      <c r="H239" s="29">
        <v>3</v>
      </c>
      <c r="I239" s="22" t="s">
        <v>980</v>
      </c>
      <c r="J239" s="22" t="s">
        <v>981</v>
      </c>
      <c r="K239" s="34"/>
    </row>
    <row r="240" spans="1:11" x14ac:dyDescent="0.3">
      <c r="A240" s="22" t="s">
        <v>163</v>
      </c>
      <c r="B240" s="22" t="s">
        <v>1140</v>
      </c>
      <c r="C240" s="22" t="s">
        <v>83</v>
      </c>
      <c r="D240" s="23"/>
      <c r="E240" s="22" t="s">
        <v>1204</v>
      </c>
      <c r="F240" s="29">
        <v>10</v>
      </c>
      <c r="G240" s="29">
        <v>100</v>
      </c>
      <c r="H240" s="29">
        <v>3</v>
      </c>
      <c r="I240" s="22" t="s">
        <v>1205</v>
      </c>
      <c r="J240" s="22" t="s">
        <v>260</v>
      </c>
      <c r="K240" s="34"/>
    </row>
    <row r="241" spans="1:11" x14ac:dyDescent="0.3">
      <c r="A241" s="22" t="s">
        <v>163</v>
      </c>
      <c r="B241" s="22" t="s">
        <v>1140</v>
      </c>
      <c r="C241" s="22" t="s">
        <v>87</v>
      </c>
      <c r="D241" s="23"/>
      <c r="E241" s="22" t="s">
        <v>1206</v>
      </c>
      <c r="F241" s="29">
        <v>10</v>
      </c>
      <c r="G241" s="29">
        <v>100</v>
      </c>
      <c r="H241" s="29">
        <v>3</v>
      </c>
      <c r="I241" s="22" t="s">
        <v>1207</v>
      </c>
      <c r="J241" s="22" t="s">
        <v>266</v>
      </c>
      <c r="K241" s="34"/>
    </row>
    <row r="242" spans="1:11" x14ac:dyDescent="0.3">
      <c r="A242" s="22" t="s">
        <v>163</v>
      </c>
      <c r="B242" s="22" t="s">
        <v>1140</v>
      </c>
      <c r="C242" s="22" t="s">
        <v>85</v>
      </c>
      <c r="D242" s="23"/>
      <c r="E242" s="22" t="s">
        <v>1208</v>
      </c>
      <c r="F242" s="29">
        <v>10</v>
      </c>
      <c r="G242" s="29">
        <v>100</v>
      </c>
      <c r="H242" s="29">
        <v>3</v>
      </c>
      <c r="I242" s="22" t="s">
        <v>1209</v>
      </c>
      <c r="J242" s="22" t="s">
        <v>981</v>
      </c>
      <c r="K242" s="34"/>
    </row>
    <row r="243" spans="1:11" x14ac:dyDescent="0.3">
      <c r="A243" s="22" t="s">
        <v>163</v>
      </c>
      <c r="B243" s="22" t="s">
        <v>1321</v>
      </c>
      <c r="C243" s="22" t="s">
        <v>83</v>
      </c>
      <c r="D243" s="23"/>
      <c r="E243" s="22" t="s">
        <v>1394</v>
      </c>
      <c r="F243" s="29">
        <v>10</v>
      </c>
      <c r="G243" s="29">
        <v>100</v>
      </c>
      <c r="H243" s="29">
        <v>3</v>
      </c>
      <c r="I243" s="22" t="s">
        <v>1395</v>
      </c>
      <c r="J243" s="22" t="s">
        <v>260</v>
      </c>
      <c r="K243" s="34"/>
    </row>
    <row r="244" spans="1:11" x14ac:dyDescent="0.3">
      <c r="A244" s="22" t="s">
        <v>163</v>
      </c>
      <c r="B244" s="22" t="s">
        <v>1321</v>
      </c>
      <c r="C244" s="22" t="s">
        <v>87</v>
      </c>
      <c r="D244" s="23"/>
      <c r="E244" s="22" t="s">
        <v>1396</v>
      </c>
      <c r="F244" s="29">
        <v>10</v>
      </c>
      <c r="G244" s="29">
        <v>100</v>
      </c>
      <c r="H244" s="29">
        <v>3</v>
      </c>
      <c r="I244" s="22" t="s">
        <v>1397</v>
      </c>
      <c r="J244" s="22" t="s">
        <v>266</v>
      </c>
      <c r="K244" s="34"/>
    </row>
    <row r="245" spans="1:11" x14ac:dyDescent="0.3">
      <c r="A245" s="22" t="s">
        <v>163</v>
      </c>
      <c r="B245" s="22" t="s">
        <v>1321</v>
      </c>
      <c r="C245" s="22" t="s">
        <v>85</v>
      </c>
      <c r="D245" s="23"/>
      <c r="E245" s="22" t="s">
        <v>1398</v>
      </c>
      <c r="F245" s="29">
        <v>10</v>
      </c>
      <c r="G245" s="29">
        <v>100</v>
      </c>
      <c r="H245" s="29">
        <v>3</v>
      </c>
      <c r="I245" s="22" t="s">
        <v>1399</v>
      </c>
      <c r="J245" s="22" t="s">
        <v>981</v>
      </c>
      <c r="K245" s="34"/>
    </row>
    <row r="246" spans="1:11" x14ac:dyDescent="0.3">
      <c r="A246" s="22" t="s">
        <v>163</v>
      </c>
      <c r="B246" s="22" t="s">
        <v>1487</v>
      </c>
      <c r="C246" s="22" t="s">
        <v>165</v>
      </c>
      <c r="D246" s="23"/>
      <c r="E246" s="22" t="s">
        <v>1505</v>
      </c>
      <c r="F246" s="29">
        <v>10</v>
      </c>
      <c r="G246" s="29">
        <v>100</v>
      </c>
      <c r="H246" s="29">
        <v>3</v>
      </c>
      <c r="I246" s="22" t="s">
        <v>1506</v>
      </c>
      <c r="J246" s="22" t="s">
        <v>1507</v>
      </c>
      <c r="K246" s="34"/>
    </row>
    <row r="247" spans="1:11" x14ac:dyDescent="0.3">
      <c r="A247" s="22" t="s">
        <v>163</v>
      </c>
      <c r="B247" s="22" t="s">
        <v>1606</v>
      </c>
      <c r="C247" s="22" t="s">
        <v>83</v>
      </c>
      <c r="D247" s="23"/>
      <c r="E247" s="22" t="s">
        <v>1643</v>
      </c>
      <c r="F247" s="29">
        <v>10</v>
      </c>
      <c r="G247" s="29">
        <v>100</v>
      </c>
      <c r="H247" s="29">
        <v>3</v>
      </c>
      <c r="I247" s="22" t="s">
        <v>1644</v>
      </c>
      <c r="J247" s="22" t="s">
        <v>263</v>
      </c>
      <c r="K247" s="34"/>
    </row>
    <row r="248" spans="1:11" x14ac:dyDescent="0.3">
      <c r="A248" s="22" t="s">
        <v>163</v>
      </c>
      <c r="B248" s="22" t="s">
        <v>1606</v>
      </c>
      <c r="C248" s="22" t="s">
        <v>87</v>
      </c>
      <c r="D248" s="23"/>
      <c r="E248" s="22" t="s">
        <v>1645</v>
      </c>
      <c r="F248" s="29">
        <v>10</v>
      </c>
      <c r="G248" s="29">
        <v>100</v>
      </c>
      <c r="H248" s="29">
        <v>3</v>
      </c>
      <c r="I248" s="22" t="s">
        <v>1646</v>
      </c>
      <c r="J248" s="22" t="s">
        <v>263</v>
      </c>
      <c r="K248" s="34"/>
    </row>
    <row r="249" spans="1:11" x14ac:dyDescent="0.3">
      <c r="A249" s="22" t="s">
        <v>163</v>
      </c>
      <c r="B249" s="22" t="s">
        <v>1606</v>
      </c>
      <c r="C249" s="64" t="s">
        <v>85</v>
      </c>
      <c r="D249" s="23"/>
      <c r="E249" s="22" t="s">
        <v>1647</v>
      </c>
      <c r="F249" s="29">
        <v>10</v>
      </c>
      <c r="G249" s="29">
        <v>100</v>
      </c>
      <c r="H249" s="29">
        <v>3</v>
      </c>
      <c r="I249" s="22" t="s">
        <v>1648</v>
      </c>
      <c r="J249" s="22" t="s">
        <v>263</v>
      </c>
      <c r="K249" s="34"/>
    </row>
    <row r="250" spans="1:11" x14ac:dyDescent="0.3">
      <c r="A250" s="22" t="s">
        <v>163</v>
      </c>
      <c r="B250" s="22" t="s">
        <v>1751</v>
      </c>
      <c r="C250" s="22" t="s">
        <v>83</v>
      </c>
      <c r="D250" s="23"/>
      <c r="E250" s="22" t="s">
        <v>1787</v>
      </c>
      <c r="F250" s="29">
        <v>10</v>
      </c>
      <c r="G250" s="29">
        <v>100</v>
      </c>
      <c r="H250" s="29">
        <v>3</v>
      </c>
      <c r="I250" s="22" t="s">
        <v>1788</v>
      </c>
      <c r="J250" s="22" t="s">
        <v>1789</v>
      </c>
      <c r="K250" s="34"/>
    </row>
    <row r="251" spans="1:11" x14ac:dyDescent="0.3">
      <c r="A251" s="22" t="s">
        <v>163</v>
      </c>
      <c r="B251" s="22" t="s">
        <v>1751</v>
      </c>
      <c r="C251" s="22" t="s">
        <v>87</v>
      </c>
      <c r="D251" s="23"/>
      <c r="E251" s="22" t="s">
        <v>1790</v>
      </c>
      <c r="F251" s="29">
        <v>10</v>
      </c>
      <c r="G251" s="29">
        <v>100</v>
      </c>
      <c r="H251" s="29">
        <v>3</v>
      </c>
      <c r="I251" s="22" t="s">
        <v>1791</v>
      </c>
      <c r="J251" s="22" t="s">
        <v>1789</v>
      </c>
      <c r="K251" s="34"/>
    </row>
    <row r="252" spans="1:11" x14ac:dyDescent="0.3">
      <c r="A252" s="22" t="s">
        <v>163</v>
      </c>
      <c r="B252" s="22" t="s">
        <v>1751</v>
      </c>
      <c r="C252" s="22" t="s">
        <v>85</v>
      </c>
      <c r="D252" s="23"/>
      <c r="E252" s="22" t="s">
        <v>1792</v>
      </c>
      <c r="F252" s="29">
        <v>10</v>
      </c>
      <c r="G252" s="29">
        <v>100</v>
      </c>
      <c r="H252" s="29">
        <v>3</v>
      </c>
      <c r="I252" s="22" t="s">
        <v>1793</v>
      </c>
      <c r="J252" s="22" t="s">
        <v>1789</v>
      </c>
      <c r="K252" s="34"/>
    </row>
    <row r="253" spans="1:11" x14ac:dyDescent="0.3">
      <c r="A253" s="29" t="s">
        <v>163</v>
      </c>
      <c r="B253" s="29" t="s">
        <v>164</v>
      </c>
      <c r="C253" s="29" t="s">
        <v>202</v>
      </c>
      <c r="D253" s="29"/>
      <c r="E253" s="29" t="s">
        <v>267</v>
      </c>
      <c r="F253" s="29">
        <v>11</v>
      </c>
      <c r="G253" s="29">
        <v>105</v>
      </c>
      <c r="H253" s="29">
        <v>4</v>
      </c>
      <c r="I253" s="22" t="s">
        <v>268</v>
      </c>
      <c r="J253" s="22" t="s">
        <v>269</v>
      </c>
      <c r="K253" s="34"/>
    </row>
    <row r="254" spans="1:11" x14ac:dyDescent="0.3">
      <c r="A254" s="29" t="s">
        <v>163</v>
      </c>
      <c r="B254" s="29" t="s">
        <v>164</v>
      </c>
      <c r="C254" s="29" t="s">
        <v>206</v>
      </c>
      <c r="D254" s="29"/>
      <c r="E254" s="29" t="s">
        <v>270</v>
      </c>
      <c r="F254" s="29">
        <v>11</v>
      </c>
      <c r="G254" s="29">
        <v>105</v>
      </c>
      <c r="H254" s="29">
        <v>4</v>
      </c>
      <c r="I254" s="22" t="s">
        <v>271</v>
      </c>
      <c r="J254" s="22" t="s">
        <v>272</v>
      </c>
      <c r="K254" s="34"/>
    </row>
    <row r="255" spans="1:11" x14ac:dyDescent="0.3">
      <c r="A255" s="29" t="s">
        <v>163</v>
      </c>
      <c r="B255" s="29" t="s">
        <v>164</v>
      </c>
      <c r="C255" s="29" t="s">
        <v>210</v>
      </c>
      <c r="D255" s="29"/>
      <c r="E255" s="29" t="s">
        <v>273</v>
      </c>
      <c r="F255" s="29">
        <v>11</v>
      </c>
      <c r="G255" s="29">
        <v>105</v>
      </c>
      <c r="H255" s="29">
        <v>4</v>
      </c>
      <c r="I255" s="22" t="s">
        <v>274</v>
      </c>
      <c r="J255" s="22" t="s">
        <v>275</v>
      </c>
      <c r="K255" s="34"/>
    </row>
    <row r="256" spans="1:11" x14ac:dyDescent="0.3">
      <c r="A256" s="64" t="s">
        <v>163</v>
      </c>
      <c r="B256" s="64" t="s">
        <v>519</v>
      </c>
      <c r="C256" s="64" t="s">
        <v>83</v>
      </c>
      <c r="D256" s="64" t="s">
        <v>520</v>
      </c>
      <c r="E256" s="64" t="s">
        <v>579</v>
      </c>
      <c r="F256" s="29">
        <v>11</v>
      </c>
      <c r="G256" s="29">
        <v>105</v>
      </c>
      <c r="H256" s="29">
        <v>4</v>
      </c>
      <c r="I256" s="22" t="s">
        <v>580</v>
      </c>
      <c r="J256" s="22" t="s">
        <v>581</v>
      </c>
      <c r="K256" s="34"/>
    </row>
    <row r="257" spans="1:11" x14ac:dyDescent="0.3">
      <c r="A257" s="64" t="s">
        <v>163</v>
      </c>
      <c r="B257" s="64" t="s">
        <v>519</v>
      </c>
      <c r="C257" s="64" t="s">
        <v>87</v>
      </c>
      <c r="D257" s="64" t="s">
        <v>520</v>
      </c>
      <c r="E257" s="64" t="s">
        <v>582</v>
      </c>
      <c r="F257" s="29">
        <v>11</v>
      </c>
      <c r="G257" s="29">
        <v>105</v>
      </c>
      <c r="H257" s="29">
        <v>4</v>
      </c>
      <c r="I257" s="22" t="s">
        <v>583</v>
      </c>
      <c r="J257" s="22" t="s">
        <v>581</v>
      </c>
      <c r="K257" s="34"/>
    </row>
    <row r="258" spans="1:11" x14ac:dyDescent="0.3">
      <c r="A258" s="64" t="s">
        <v>163</v>
      </c>
      <c r="B258" s="64" t="s">
        <v>519</v>
      </c>
      <c r="C258" s="64" t="s">
        <v>85</v>
      </c>
      <c r="D258" s="64" t="s">
        <v>520</v>
      </c>
      <c r="E258" s="64" t="s">
        <v>584</v>
      </c>
      <c r="F258" s="29">
        <v>11</v>
      </c>
      <c r="G258" s="29">
        <v>105</v>
      </c>
      <c r="H258" s="29">
        <v>4</v>
      </c>
      <c r="I258" s="22" t="s">
        <v>585</v>
      </c>
      <c r="J258" s="22" t="s">
        <v>581</v>
      </c>
      <c r="K258" s="34"/>
    </row>
    <row r="259" spans="1:11" x14ac:dyDescent="0.3">
      <c r="A259" s="22" t="s">
        <v>163</v>
      </c>
      <c r="B259" s="22" t="s">
        <v>742</v>
      </c>
      <c r="C259" s="22" t="s">
        <v>202</v>
      </c>
      <c r="D259" s="23"/>
      <c r="E259" s="23" t="s">
        <v>803</v>
      </c>
      <c r="F259" s="29">
        <v>11</v>
      </c>
      <c r="G259" s="29">
        <v>105</v>
      </c>
      <c r="H259" s="29">
        <v>4</v>
      </c>
      <c r="I259" s="22" t="s">
        <v>804</v>
      </c>
      <c r="J259" s="22" t="s">
        <v>272</v>
      </c>
      <c r="K259" s="34"/>
    </row>
    <row r="260" spans="1:11" x14ac:dyDescent="0.3">
      <c r="A260" s="22" t="s">
        <v>163</v>
      </c>
      <c r="B260" s="22" t="s">
        <v>742</v>
      </c>
      <c r="C260" s="22" t="s">
        <v>210</v>
      </c>
      <c r="D260" s="23"/>
      <c r="E260" s="23" t="s">
        <v>805</v>
      </c>
      <c r="F260" s="29">
        <v>11</v>
      </c>
      <c r="G260" s="29">
        <v>105</v>
      </c>
      <c r="H260" s="29">
        <v>4</v>
      </c>
      <c r="I260" s="22" t="s">
        <v>806</v>
      </c>
      <c r="J260" s="22" t="s">
        <v>272</v>
      </c>
      <c r="K260" s="34"/>
    </row>
    <row r="261" spans="1:11" x14ac:dyDescent="0.3">
      <c r="A261" s="22" t="s">
        <v>163</v>
      </c>
      <c r="B261" s="22" t="s">
        <v>742</v>
      </c>
      <c r="C261" s="22" t="s">
        <v>206</v>
      </c>
      <c r="D261" s="23"/>
      <c r="E261" s="23" t="s">
        <v>807</v>
      </c>
      <c r="F261" s="29">
        <v>11</v>
      </c>
      <c r="G261" s="29">
        <v>105</v>
      </c>
      <c r="H261" s="29">
        <v>4</v>
      </c>
      <c r="I261" s="22" t="s">
        <v>808</v>
      </c>
      <c r="J261" s="22" t="s">
        <v>272</v>
      </c>
      <c r="K261" s="34"/>
    </row>
    <row r="262" spans="1:11" x14ac:dyDescent="0.3">
      <c r="A262" s="22" t="s">
        <v>163</v>
      </c>
      <c r="B262" s="22" t="s">
        <v>931</v>
      </c>
      <c r="C262" s="22" t="s">
        <v>83</v>
      </c>
      <c r="D262" s="23"/>
      <c r="E262" s="22" t="s">
        <v>982</v>
      </c>
      <c r="F262" s="29">
        <v>11</v>
      </c>
      <c r="G262" s="29">
        <v>105</v>
      </c>
      <c r="H262" s="29">
        <v>4</v>
      </c>
      <c r="I262" s="22" t="s">
        <v>983</v>
      </c>
      <c r="J262" s="22" t="s">
        <v>269</v>
      </c>
      <c r="K262" s="34"/>
    </row>
    <row r="263" spans="1:11" x14ac:dyDescent="0.3">
      <c r="A263" s="22" t="s">
        <v>163</v>
      </c>
      <c r="B263" s="22" t="s">
        <v>931</v>
      </c>
      <c r="C263" s="22" t="s">
        <v>87</v>
      </c>
      <c r="D263" s="23"/>
      <c r="E263" s="22" t="s">
        <v>984</v>
      </c>
      <c r="F263" s="29">
        <v>11</v>
      </c>
      <c r="G263" s="29">
        <v>105</v>
      </c>
      <c r="H263" s="29">
        <v>4</v>
      </c>
      <c r="I263" s="22" t="s">
        <v>985</v>
      </c>
      <c r="J263" s="22" t="s">
        <v>275</v>
      </c>
      <c r="K263" s="34"/>
    </row>
    <row r="264" spans="1:11" x14ac:dyDescent="0.3">
      <c r="A264" s="22" t="s">
        <v>163</v>
      </c>
      <c r="B264" s="22" t="s">
        <v>931</v>
      </c>
      <c r="C264" s="22" t="s">
        <v>85</v>
      </c>
      <c r="D264" s="23"/>
      <c r="E264" s="22" t="s">
        <v>986</v>
      </c>
      <c r="F264" s="29">
        <v>11</v>
      </c>
      <c r="G264" s="29">
        <v>105</v>
      </c>
      <c r="H264" s="29">
        <v>4</v>
      </c>
      <c r="I264" s="22" t="s">
        <v>987</v>
      </c>
      <c r="J264" s="22" t="s">
        <v>988</v>
      </c>
      <c r="K264" s="34"/>
    </row>
    <row r="265" spans="1:11" x14ac:dyDescent="0.3">
      <c r="A265" s="22" t="s">
        <v>163</v>
      </c>
      <c r="B265" s="22" t="s">
        <v>1140</v>
      </c>
      <c r="C265" s="22" t="s">
        <v>83</v>
      </c>
      <c r="D265" s="23"/>
      <c r="E265" s="22" t="s">
        <v>1210</v>
      </c>
      <c r="F265" s="29">
        <v>11</v>
      </c>
      <c r="G265" s="29">
        <v>105</v>
      </c>
      <c r="H265" s="29">
        <v>4</v>
      </c>
      <c r="I265" s="22" t="s">
        <v>1211</v>
      </c>
      <c r="J265" s="22" t="s">
        <v>269</v>
      </c>
      <c r="K265" s="34"/>
    </row>
    <row r="266" spans="1:11" x14ac:dyDescent="0.3">
      <c r="A266" s="22" t="s">
        <v>163</v>
      </c>
      <c r="B266" s="22" t="s">
        <v>1140</v>
      </c>
      <c r="C266" s="22" t="s">
        <v>87</v>
      </c>
      <c r="D266" s="23"/>
      <c r="E266" s="22" t="s">
        <v>1212</v>
      </c>
      <c r="F266" s="29">
        <v>11</v>
      </c>
      <c r="G266" s="29">
        <v>105</v>
      </c>
      <c r="H266" s="29">
        <v>4</v>
      </c>
      <c r="I266" s="22" t="s">
        <v>1213</v>
      </c>
      <c r="J266" s="22" t="s">
        <v>275</v>
      </c>
      <c r="K266" s="34"/>
    </row>
    <row r="267" spans="1:11" x14ac:dyDescent="0.3">
      <c r="A267" s="22" t="s">
        <v>163</v>
      </c>
      <c r="B267" s="22" t="s">
        <v>1140</v>
      </c>
      <c r="C267" s="22" t="s">
        <v>85</v>
      </c>
      <c r="D267" s="23"/>
      <c r="E267" s="22" t="s">
        <v>1214</v>
      </c>
      <c r="F267" s="29">
        <v>11</v>
      </c>
      <c r="G267" s="29">
        <v>105</v>
      </c>
      <c r="H267" s="29">
        <v>4</v>
      </c>
      <c r="I267" s="22" t="s">
        <v>1215</v>
      </c>
      <c r="J267" s="22" t="s">
        <v>988</v>
      </c>
      <c r="K267" s="34"/>
    </row>
    <row r="268" spans="1:11" x14ac:dyDescent="0.3">
      <c r="A268" s="22" t="s">
        <v>163</v>
      </c>
      <c r="B268" s="22" t="s">
        <v>1321</v>
      </c>
      <c r="C268" s="22" t="s">
        <v>83</v>
      </c>
      <c r="D268" s="23"/>
      <c r="E268" s="22" t="s">
        <v>1400</v>
      </c>
      <c r="F268" s="29">
        <v>11</v>
      </c>
      <c r="G268" s="29">
        <v>105</v>
      </c>
      <c r="H268" s="29">
        <v>4</v>
      </c>
      <c r="I268" s="22" t="s">
        <v>1401</v>
      </c>
      <c r="J268" s="22" t="s">
        <v>269</v>
      </c>
      <c r="K268" s="34"/>
    </row>
    <row r="269" spans="1:11" x14ac:dyDescent="0.3">
      <c r="A269" s="22" t="s">
        <v>163</v>
      </c>
      <c r="B269" s="22" t="s">
        <v>1321</v>
      </c>
      <c r="C269" s="22" t="s">
        <v>87</v>
      </c>
      <c r="D269" s="23"/>
      <c r="E269" s="22" t="s">
        <v>1402</v>
      </c>
      <c r="F269" s="29">
        <v>11</v>
      </c>
      <c r="G269" s="29">
        <v>105</v>
      </c>
      <c r="H269" s="29">
        <v>4</v>
      </c>
      <c r="I269" s="22" t="s">
        <v>1403</v>
      </c>
      <c r="J269" s="22" t="s">
        <v>275</v>
      </c>
      <c r="K269" s="34"/>
    </row>
    <row r="270" spans="1:11" x14ac:dyDescent="0.3">
      <c r="A270" s="22" t="s">
        <v>163</v>
      </c>
      <c r="B270" s="22" t="s">
        <v>1321</v>
      </c>
      <c r="C270" s="22" t="s">
        <v>85</v>
      </c>
      <c r="D270" s="23"/>
      <c r="E270" s="22" t="s">
        <v>1404</v>
      </c>
      <c r="F270" s="29">
        <v>11</v>
      </c>
      <c r="G270" s="29">
        <v>105</v>
      </c>
      <c r="H270" s="29">
        <v>4</v>
      </c>
      <c r="I270" s="22" t="s">
        <v>1405</v>
      </c>
      <c r="J270" s="22" t="s">
        <v>988</v>
      </c>
      <c r="K270" s="34"/>
    </row>
    <row r="271" spans="1:11" x14ac:dyDescent="0.3">
      <c r="A271" s="22" t="s">
        <v>163</v>
      </c>
      <c r="B271" s="22" t="s">
        <v>1487</v>
      </c>
      <c r="C271" s="22" t="s">
        <v>165</v>
      </c>
      <c r="D271" s="23"/>
      <c r="E271" s="22" t="s">
        <v>1508</v>
      </c>
      <c r="F271" s="29">
        <v>11</v>
      </c>
      <c r="G271" s="29">
        <v>105</v>
      </c>
      <c r="H271" s="29">
        <v>4</v>
      </c>
      <c r="I271" s="22" t="s">
        <v>1509</v>
      </c>
      <c r="J271" s="22" t="s">
        <v>553</v>
      </c>
      <c r="K271" s="34"/>
    </row>
    <row r="272" spans="1:11" x14ac:dyDescent="0.3">
      <c r="A272" s="22" t="s">
        <v>163</v>
      </c>
      <c r="B272" s="22" t="s">
        <v>1606</v>
      </c>
      <c r="C272" s="22" t="s">
        <v>83</v>
      </c>
      <c r="D272" s="23"/>
      <c r="E272" s="22" t="s">
        <v>1649</v>
      </c>
      <c r="F272" s="29">
        <v>11</v>
      </c>
      <c r="G272" s="29">
        <v>105</v>
      </c>
      <c r="H272" s="29">
        <v>4</v>
      </c>
      <c r="I272" s="22" t="s">
        <v>1650</v>
      </c>
      <c r="J272" s="22" t="s">
        <v>272</v>
      </c>
      <c r="K272" s="34"/>
    </row>
    <row r="273" spans="1:11" x14ac:dyDescent="0.3">
      <c r="A273" s="22" t="s">
        <v>163</v>
      </c>
      <c r="B273" s="22" t="s">
        <v>1606</v>
      </c>
      <c r="C273" s="22" t="s">
        <v>87</v>
      </c>
      <c r="D273" s="23"/>
      <c r="E273" s="22" t="s">
        <v>1651</v>
      </c>
      <c r="F273" s="29">
        <v>11</v>
      </c>
      <c r="G273" s="29">
        <v>105</v>
      </c>
      <c r="H273" s="29">
        <v>4</v>
      </c>
      <c r="I273" s="22" t="s">
        <v>1652</v>
      </c>
      <c r="J273" s="22" t="s">
        <v>272</v>
      </c>
      <c r="K273" s="34"/>
    </row>
    <row r="274" spans="1:11" x14ac:dyDescent="0.3">
      <c r="A274" s="22" t="s">
        <v>163</v>
      </c>
      <c r="B274" s="22" t="s">
        <v>1606</v>
      </c>
      <c r="C274" s="64" t="s">
        <v>85</v>
      </c>
      <c r="D274" s="23"/>
      <c r="E274" s="22" t="s">
        <v>1653</v>
      </c>
      <c r="F274" s="29">
        <v>11</v>
      </c>
      <c r="G274" s="29">
        <v>105</v>
      </c>
      <c r="H274" s="29">
        <v>4</v>
      </c>
      <c r="I274" s="22" t="s">
        <v>1654</v>
      </c>
      <c r="J274" s="22" t="s">
        <v>272</v>
      </c>
      <c r="K274" s="34"/>
    </row>
    <row r="275" spans="1:11" x14ac:dyDescent="0.3">
      <c r="A275" s="22" t="s">
        <v>163</v>
      </c>
      <c r="B275" s="22" t="s">
        <v>1751</v>
      </c>
      <c r="C275" s="22" t="s">
        <v>83</v>
      </c>
      <c r="D275" s="23"/>
      <c r="E275" s="22" t="s">
        <v>1794</v>
      </c>
      <c r="F275" s="29">
        <v>11</v>
      </c>
      <c r="G275" s="29">
        <v>105</v>
      </c>
      <c r="H275" s="29">
        <v>4</v>
      </c>
      <c r="I275" s="22" t="s">
        <v>1795</v>
      </c>
      <c r="J275" s="22" t="s">
        <v>1796</v>
      </c>
      <c r="K275" s="34"/>
    </row>
    <row r="276" spans="1:11" x14ac:dyDescent="0.3">
      <c r="A276" s="22" t="s">
        <v>163</v>
      </c>
      <c r="B276" s="22" t="s">
        <v>1751</v>
      </c>
      <c r="C276" s="22" t="s">
        <v>87</v>
      </c>
      <c r="D276" s="23"/>
      <c r="E276" s="22" t="s">
        <v>1797</v>
      </c>
      <c r="F276" s="29">
        <v>11</v>
      </c>
      <c r="G276" s="29">
        <v>105</v>
      </c>
      <c r="H276" s="29">
        <v>4</v>
      </c>
      <c r="I276" s="22" t="s">
        <v>1798</v>
      </c>
      <c r="J276" s="22" t="s">
        <v>1796</v>
      </c>
      <c r="K276" s="34"/>
    </row>
    <row r="277" spans="1:11" x14ac:dyDescent="0.3">
      <c r="A277" s="22" t="s">
        <v>163</v>
      </c>
      <c r="B277" s="22" t="s">
        <v>1751</v>
      </c>
      <c r="C277" s="22" t="s">
        <v>85</v>
      </c>
      <c r="D277" s="23"/>
      <c r="E277" s="22" t="s">
        <v>1799</v>
      </c>
      <c r="F277" s="29">
        <v>11</v>
      </c>
      <c r="G277" s="29">
        <v>105</v>
      </c>
      <c r="H277" s="29">
        <v>4</v>
      </c>
      <c r="I277" s="22" t="s">
        <v>1800</v>
      </c>
      <c r="J277" s="22" t="s">
        <v>1796</v>
      </c>
      <c r="K277" s="34"/>
    </row>
    <row r="278" spans="1:11" x14ac:dyDescent="0.3">
      <c r="A278" s="29" t="s">
        <v>163</v>
      </c>
      <c r="B278" s="29" t="s">
        <v>164</v>
      </c>
      <c r="C278" s="29" t="s">
        <v>165</v>
      </c>
      <c r="D278" s="29"/>
      <c r="E278" s="29" t="s">
        <v>315</v>
      </c>
      <c r="F278" s="29">
        <v>12</v>
      </c>
      <c r="G278" s="29"/>
      <c r="H278" s="29">
        <v>5</v>
      </c>
      <c r="I278" s="22" t="s">
        <v>316</v>
      </c>
      <c r="J278" s="22" t="s">
        <v>317</v>
      </c>
      <c r="K278" s="34"/>
    </row>
    <row r="279" spans="1:11" x14ac:dyDescent="0.3">
      <c r="A279" s="64" t="s">
        <v>163</v>
      </c>
      <c r="B279" s="64" t="s">
        <v>519</v>
      </c>
      <c r="C279" s="64" t="s">
        <v>165</v>
      </c>
      <c r="D279" s="64" t="s">
        <v>520</v>
      </c>
      <c r="E279" s="64" t="s">
        <v>619</v>
      </c>
      <c r="F279" s="29">
        <v>12</v>
      </c>
      <c r="G279" s="64"/>
      <c r="H279" s="64">
        <v>5</v>
      </c>
      <c r="I279" s="22" t="s">
        <v>620</v>
      </c>
      <c r="J279" s="22" t="s">
        <v>621</v>
      </c>
      <c r="K279" s="34"/>
    </row>
    <row r="280" spans="1:11" x14ac:dyDescent="0.3">
      <c r="A280" s="22" t="s">
        <v>163</v>
      </c>
      <c r="B280" s="22" t="s">
        <v>742</v>
      </c>
      <c r="C280" s="22" t="s">
        <v>165</v>
      </c>
      <c r="D280" s="23"/>
      <c r="E280" s="23" t="s">
        <v>838</v>
      </c>
      <c r="F280" s="29">
        <v>12</v>
      </c>
      <c r="G280" s="23"/>
      <c r="H280" s="64">
        <v>5</v>
      </c>
      <c r="I280" s="22" t="s">
        <v>839</v>
      </c>
      <c r="J280" s="22" t="s">
        <v>840</v>
      </c>
      <c r="K280" s="34"/>
    </row>
    <row r="281" spans="1:11" x14ac:dyDescent="0.3">
      <c r="A281" s="22" t="s">
        <v>163</v>
      </c>
      <c r="B281" s="22" t="s">
        <v>931</v>
      </c>
      <c r="C281" s="22" t="s">
        <v>165</v>
      </c>
      <c r="D281" s="23"/>
      <c r="E281" s="22" t="s">
        <v>1016</v>
      </c>
      <c r="F281" s="29">
        <v>12</v>
      </c>
      <c r="G281" s="22"/>
      <c r="H281" s="64">
        <v>5</v>
      </c>
      <c r="I281" s="22" t="s">
        <v>1017</v>
      </c>
      <c r="J281" s="22" t="s">
        <v>1018</v>
      </c>
      <c r="K281" s="34"/>
    </row>
    <row r="282" spans="1:11" x14ac:dyDescent="0.3">
      <c r="A282" s="22" t="s">
        <v>163</v>
      </c>
      <c r="B282" s="22" t="s">
        <v>1140</v>
      </c>
      <c r="C282" s="22" t="s">
        <v>165</v>
      </c>
      <c r="D282" s="23"/>
      <c r="E282" s="22" t="s">
        <v>1239</v>
      </c>
      <c r="F282" s="29">
        <v>12</v>
      </c>
      <c r="G282" s="22"/>
      <c r="H282" s="64">
        <v>5</v>
      </c>
      <c r="I282" s="22" t="s">
        <v>1240</v>
      </c>
      <c r="J282" s="22" t="s">
        <v>1018</v>
      </c>
      <c r="K282" s="34"/>
    </row>
    <row r="283" spans="1:11" x14ac:dyDescent="0.3">
      <c r="A283" s="22" t="s">
        <v>163</v>
      </c>
      <c r="B283" s="22" t="s">
        <v>1321</v>
      </c>
      <c r="C283" s="22" t="s">
        <v>165</v>
      </c>
      <c r="D283" s="23"/>
      <c r="E283" s="22" t="s">
        <v>1432</v>
      </c>
      <c r="F283" s="29">
        <v>12</v>
      </c>
      <c r="G283" s="22"/>
      <c r="H283" s="64">
        <v>5</v>
      </c>
      <c r="I283" s="22" t="s">
        <v>1433</v>
      </c>
      <c r="J283" s="22" t="s">
        <v>1018</v>
      </c>
      <c r="K283" s="34"/>
    </row>
    <row r="284" spans="1:11" x14ac:dyDescent="0.3">
      <c r="A284" s="22" t="s">
        <v>163</v>
      </c>
      <c r="B284" s="22" t="s">
        <v>1487</v>
      </c>
      <c r="C284" s="22" t="s">
        <v>165</v>
      </c>
      <c r="D284" s="23"/>
      <c r="E284" s="22" t="s">
        <v>1525</v>
      </c>
      <c r="F284" s="29">
        <v>12</v>
      </c>
      <c r="G284" s="22"/>
      <c r="H284" s="64">
        <v>5</v>
      </c>
      <c r="I284" s="22" t="s">
        <v>1526</v>
      </c>
      <c r="J284" s="22" t="s">
        <v>1527</v>
      </c>
      <c r="K284" s="34"/>
    </row>
    <row r="285" spans="1:11" x14ac:dyDescent="0.3">
      <c r="A285" s="22" t="s">
        <v>163</v>
      </c>
      <c r="B285" s="22" t="s">
        <v>1606</v>
      </c>
      <c r="C285" s="22" t="s">
        <v>165</v>
      </c>
      <c r="D285" s="23"/>
      <c r="E285" s="22" t="s">
        <v>1681</v>
      </c>
      <c r="F285" s="29">
        <v>12</v>
      </c>
      <c r="G285" s="22"/>
      <c r="H285" s="64">
        <v>5</v>
      </c>
      <c r="I285" s="22" t="s">
        <v>1682</v>
      </c>
      <c r="J285" s="22" t="s">
        <v>1683</v>
      </c>
      <c r="K285" s="34"/>
    </row>
    <row r="286" spans="1:11" x14ac:dyDescent="0.3">
      <c r="A286" s="22" t="s">
        <v>163</v>
      </c>
      <c r="B286" s="22" t="s">
        <v>1751</v>
      </c>
      <c r="C286" s="22" t="s">
        <v>165</v>
      </c>
      <c r="D286" s="23"/>
      <c r="E286" s="22" t="s">
        <v>1830</v>
      </c>
      <c r="F286" s="29">
        <v>12</v>
      </c>
      <c r="G286" s="22"/>
      <c r="H286" s="64">
        <v>5</v>
      </c>
      <c r="I286" s="22" t="s">
        <v>1831</v>
      </c>
      <c r="J286" s="22" t="s">
        <v>1832</v>
      </c>
      <c r="K286" s="34"/>
    </row>
    <row r="287" spans="1:11" x14ac:dyDescent="0.3">
      <c r="A287" s="29" t="s">
        <v>163</v>
      </c>
      <c r="B287" s="29" t="s">
        <v>164</v>
      </c>
      <c r="C287" s="29" t="s">
        <v>165</v>
      </c>
      <c r="D287" s="29"/>
      <c r="E287" s="29" t="s">
        <v>318</v>
      </c>
      <c r="F287" s="29">
        <v>13</v>
      </c>
      <c r="G287" s="29"/>
      <c r="H287" s="29">
        <v>6</v>
      </c>
      <c r="I287" s="22" t="s">
        <v>319</v>
      </c>
      <c r="J287" s="22" t="s">
        <v>320</v>
      </c>
      <c r="K287" s="34"/>
    </row>
    <row r="288" spans="1:11" x14ac:dyDescent="0.3">
      <c r="A288" s="64" t="s">
        <v>163</v>
      </c>
      <c r="B288" s="64" t="s">
        <v>519</v>
      </c>
      <c r="C288" s="64" t="s">
        <v>165</v>
      </c>
      <c r="D288" s="64" t="s">
        <v>520</v>
      </c>
      <c r="E288" s="64" t="s">
        <v>622</v>
      </c>
      <c r="F288" s="29">
        <v>13</v>
      </c>
      <c r="G288" s="64"/>
      <c r="H288" s="64">
        <v>6</v>
      </c>
      <c r="I288" s="22" t="s">
        <v>623</v>
      </c>
      <c r="J288" s="22" t="s">
        <v>624</v>
      </c>
      <c r="K288" s="34"/>
    </row>
    <row r="289" spans="1:11" x14ac:dyDescent="0.3">
      <c r="A289" s="22" t="s">
        <v>163</v>
      </c>
      <c r="B289" s="22" t="s">
        <v>742</v>
      </c>
      <c r="C289" s="22" t="s">
        <v>165</v>
      </c>
      <c r="D289" s="23"/>
      <c r="E289" s="23" t="s">
        <v>841</v>
      </c>
      <c r="F289" s="29">
        <v>13</v>
      </c>
      <c r="G289" s="23"/>
      <c r="H289" s="64">
        <v>6</v>
      </c>
      <c r="I289" s="22" t="s">
        <v>842</v>
      </c>
      <c r="J289" s="22" t="s">
        <v>843</v>
      </c>
      <c r="K289" s="34"/>
    </row>
    <row r="290" spans="1:11" x14ac:dyDescent="0.3">
      <c r="A290" s="22" t="s">
        <v>163</v>
      </c>
      <c r="B290" s="22" t="s">
        <v>931</v>
      </c>
      <c r="C290" s="22" t="s">
        <v>165</v>
      </c>
      <c r="D290" s="23"/>
      <c r="E290" s="22" t="s">
        <v>1019</v>
      </c>
      <c r="F290" s="29">
        <v>13</v>
      </c>
      <c r="G290" s="22"/>
      <c r="H290" s="64">
        <v>6</v>
      </c>
      <c r="I290" s="22" t="s">
        <v>1020</v>
      </c>
      <c r="J290" s="22" t="s">
        <v>1021</v>
      </c>
      <c r="K290" s="34"/>
    </row>
    <row r="291" spans="1:11" x14ac:dyDescent="0.3">
      <c r="A291" s="22" t="s">
        <v>163</v>
      </c>
      <c r="B291" s="22" t="s">
        <v>1140</v>
      </c>
      <c r="C291" s="22" t="s">
        <v>165</v>
      </c>
      <c r="D291" s="23"/>
      <c r="E291" s="22" t="s">
        <v>1241</v>
      </c>
      <c r="F291" s="29">
        <v>13</v>
      </c>
      <c r="G291" s="22"/>
      <c r="H291" s="64">
        <v>6</v>
      </c>
      <c r="I291" s="22" t="s">
        <v>1242</v>
      </c>
      <c r="J291" s="22" t="s">
        <v>1021</v>
      </c>
      <c r="K291" s="34"/>
    </row>
    <row r="292" spans="1:11" x14ac:dyDescent="0.3">
      <c r="A292" s="22" t="s">
        <v>163</v>
      </c>
      <c r="B292" s="22" t="s">
        <v>1321</v>
      </c>
      <c r="C292" s="22" t="s">
        <v>165</v>
      </c>
      <c r="D292" s="23"/>
      <c r="E292" s="22" t="s">
        <v>1434</v>
      </c>
      <c r="F292" s="29">
        <v>13</v>
      </c>
      <c r="G292" s="22"/>
      <c r="H292" s="64">
        <v>6</v>
      </c>
      <c r="I292" s="22" t="s">
        <v>1435</v>
      </c>
      <c r="J292" s="22" t="s">
        <v>1021</v>
      </c>
      <c r="K292" s="34"/>
    </row>
    <row r="293" spans="1:11" x14ac:dyDescent="0.3">
      <c r="A293" s="22" t="s">
        <v>163</v>
      </c>
      <c r="B293" s="22" t="s">
        <v>1487</v>
      </c>
      <c r="C293" s="22" t="s">
        <v>165</v>
      </c>
      <c r="D293" s="23"/>
      <c r="E293" s="22" t="s">
        <v>1528</v>
      </c>
      <c r="F293" s="29">
        <v>13</v>
      </c>
      <c r="G293" s="22"/>
      <c r="H293" s="64">
        <v>6</v>
      </c>
      <c r="I293" s="22" t="s">
        <v>1529</v>
      </c>
      <c r="J293" s="22" t="s">
        <v>1530</v>
      </c>
      <c r="K293" s="34"/>
    </row>
    <row r="294" spans="1:11" x14ac:dyDescent="0.3">
      <c r="A294" s="22" t="s">
        <v>163</v>
      </c>
      <c r="B294" s="22" t="s">
        <v>1606</v>
      </c>
      <c r="C294" s="22" t="s">
        <v>165</v>
      </c>
      <c r="D294" s="23"/>
      <c r="E294" s="22" t="s">
        <v>1684</v>
      </c>
      <c r="F294" s="29">
        <v>13</v>
      </c>
      <c r="G294" s="22"/>
      <c r="H294" s="64">
        <v>6</v>
      </c>
      <c r="I294" s="22" t="s">
        <v>1685</v>
      </c>
      <c r="J294" s="22" t="s">
        <v>1686</v>
      </c>
      <c r="K294" s="34"/>
    </row>
    <row r="295" spans="1:11" x14ac:dyDescent="0.3">
      <c r="A295" s="22" t="s">
        <v>163</v>
      </c>
      <c r="B295" s="22" t="s">
        <v>1751</v>
      </c>
      <c r="C295" s="22" t="s">
        <v>165</v>
      </c>
      <c r="D295" s="23"/>
      <c r="E295" s="22" t="s">
        <v>1833</v>
      </c>
      <c r="F295" s="29">
        <v>13</v>
      </c>
      <c r="G295" s="22"/>
      <c r="H295" s="22">
        <v>6</v>
      </c>
      <c r="I295" s="22" t="s">
        <v>1834</v>
      </c>
      <c r="J295" s="22" t="s">
        <v>1835</v>
      </c>
      <c r="K295" s="34"/>
    </row>
    <row r="296" spans="1:11" x14ac:dyDescent="0.3">
      <c r="A296" s="29" t="s">
        <v>163</v>
      </c>
      <c r="B296" s="29" t="s">
        <v>164</v>
      </c>
      <c r="C296" s="29" t="s">
        <v>165</v>
      </c>
      <c r="D296" s="29"/>
      <c r="E296" s="29" t="s">
        <v>321</v>
      </c>
      <c r="F296" s="29">
        <v>14</v>
      </c>
      <c r="G296" s="29"/>
      <c r="H296" s="29">
        <v>7</v>
      </c>
      <c r="I296" s="22" t="s">
        <v>322</v>
      </c>
      <c r="J296" s="22" t="s">
        <v>323</v>
      </c>
      <c r="K296" s="34"/>
    </row>
    <row r="297" spans="1:11" x14ac:dyDescent="0.3">
      <c r="A297" s="64" t="s">
        <v>163</v>
      </c>
      <c r="B297" s="64" t="s">
        <v>519</v>
      </c>
      <c r="C297" s="64" t="s">
        <v>165</v>
      </c>
      <c r="D297" s="64" t="s">
        <v>520</v>
      </c>
      <c r="E297" s="64" t="s">
        <v>625</v>
      </c>
      <c r="F297" s="29">
        <v>14</v>
      </c>
      <c r="G297" s="64"/>
      <c r="H297" s="64">
        <v>7</v>
      </c>
      <c r="I297" s="22" t="s">
        <v>626</v>
      </c>
      <c r="J297" s="22" t="s">
        <v>627</v>
      </c>
      <c r="K297" s="34"/>
    </row>
    <row r="298" spans="1:11" x14ac:dyDescent="0.3">
      <c r="A298" s="22" t="s">
        <v>163</v>
      </c>
      <c r="B298" s="22" t="s">
        <v>742</v>
      </c>
      <c r="C298" s="22" t="s">
        <v>165</v>
      </c>
      <c r="D298" s="23"/>
      <c r="E298" s="23" t="s">
        <v>844</v>
      </c>
      <c r="F298" s="29">
        <v>14</v>
      </c>
      <c r="G298" s="23"/>
      <c r="H298" s="64">
        <v>7</v>
      </c>
      <c r="I298" s="22" t="s">
        <v>845</v>
      </c>
      <c r="J298" s="22" t="s">
        <v>846</v>
      </c>
      <c r="K298" s="34"/>
    </row>
    <row r="299" spans="1:11" x14ac:dyDescent="0.3">
      <c r="A299" s="22" t="s">
        <v>163</v>
      </c>
      <c r="B299" s="22" t="s">
        <v>931</v>
      </c>
      <c r="C299" s="22" t="s">
        <v>165</v>
      </c>
      <c r="D299" s="23"/>
      <c r="E299" s="22" t="s">
        <v>1022</v>
      </c>
      <c r="F299" s="29">
        <v>14</v>
      </c>
      <c r="G299" s="22"/>
      <c r="H299" s="64">
        <v>7</v>
      </c>
      <c r="I299" s="22" t="s">
        <v>1023</v>
      </c>
      <c r="J299" s="22" t="s">
        <v>1024</v>
      </c>
      <c r="K299" s="34"/>
    </row>
    <row r="300" spans="1:11" x14ac:dyDescent="0.3">
      <c r="A300" s="22" t="s">
        <v>163</v>
      </c>
      <c r="B300" s="22" t="s">
        <v>1140</v>
      </c>
      <c r="C300" s="22" t="s">
        <v>165</v>
      </c>
      <c r="D300" s="23"/>
      <c r="E300" s="22" t="s">
        <v>1243</v>
      </c>
      <c r="F300" s="29">
        <v>14</v>
      </c>
      <c r="G300" s="22"/>
      <c r="H300" s="64">
        <v>7</v>
      </c>
      <c r="I300" s="22" t="s">
        <v>1244</v>
      </c>
      <c r="J300" s="22" t="s">
        <v>1024</v>
      </c>
      <c r="K300" s="34"/>
    </row>
    <row r="301" spans="1:11" x14ac:dyDescent="0.3">
      <c r="A301" s="22" t="s">
        <v>163</v>
      </c>
      <c r="B301" s="22" t="s">
        <v>1321</v>
      </c>
      <c r="C301" s="22" t="s">
        <v>165</v>
      </c>
      <c r="D301" s="23"/>
      <c r="E301" s="22" t="s">
        <v>1436</v>
      </c>
      <c r="F301" s="29">
        <v>14</v>
      </c>
      <c r="G301" s="22"/>
      <c r="H301" s="64">
        <v>7</v>
      </c>
      <c r="I301" s="22" t="s">
        <v>1437</v>
      </c>
      <c r="J301" s="22" t="s">
        <v>1024</v>
      </c>
      <c r="K301" s="34"/>
    </row>
    <row r="302" spans="1:11" x14ac:dyDescent="0.3">
      <c r="A302" s="22" t="s">
        <v>163</v>
      </c>
      <c r="B302" s="22" t="s">
        <v>1487</v>
      </c>
      <c r="C302" s="22" t="s">
        <v>165</v>
      </c>
      <c r="D302" s="23"/>
      <c r="E302" s="22" t="s">
        <v>1531</v>
      </c>
      <c r="F302" s="29">
        <v>14</v>
      </c>
      <c r="G302" s="22"/>
      <c r="H302" s="64">
        <v>7</v>
      </c>
      <c r="I302" s="22" t="s">
        <v>1532</v>
      </c>
      <c r="J302" s="22" t="s">
        <v>1533</v>
      </c>
      <c r="K302" s="34"/>
    </row>
    <row r="303" spans="1:11" x14ac:dyDescent="0.3">
      <c r="A303" s="22" t="s">
        <v>163</v>
      </c>
      <c r="B303" s="22" t="s">
        <v>1606</v>
      </c>
      <c r="C303" s="22" t="s">
        <v>165</v>
      </c>
      <c r="D303" s="23"/>
      <c r="E303" s="22" t="s">
        <v>1687</v>
      </c>
      <c r="F303" s="29">
        <v>14</v>
      </c>
      <c r="G303" s="22"/>
      <c r="H303" s="64">
        <v>7</v>
      </c>
      <c r="I303" s="22" t="s">
        <v>1688</v>
      </c>
      <c r="J303" s="22" t="s">
        <v>1689</v>
      </c>
      <c r="K303" s="34"/>
    </row>
    <row r="304" spans="1:11" x14ac:dyDescent="0.3">
      <c r="A304" s="22" t="s">
        <v>163</v>
      </c>
      <c r="B304" s="22" t="s">
        <v>1751</v>
      </c>
      <c r="C304" s="22" t="s">
        <v>165</v>
      </c>
      <c r="D304" s="23"/>
      <c r="E304" s="22" t="s">
        <v>1836</v>
      </c>
      <c r="F304" s="29">
        <v>14</v>
      </c>
      <c r="G304" s="22"/>
      <c r="H304" s="22">
        <v>7</v>
      </c>
      <c r="I304" s="22" t="s">
        <v>1837</v>
      </c>
      <c r="J304" s="22" t="s">
        <v>1838</v>
      </c>
      <c r="K304" s="34"/>
    </row>
    <row r="305" spans="1:11" x14ac:dyDescent="0.3">
      <c r="A305" s="29" t="s">
        <v>163</v>
      </c>
      <c r="B305" s="29" t="s">
        <v>164</v>
      </c>
      <c r="C305" s="29" t="s">
        <v>165</v>
      </c>
      <c r="D305" s="29"/>
      <c r="E305" s="29" t="s">
        <v>324</v>
      </c>
      <c r="F305" s="29">
        <v>15</v>
      </c>
      <c r="G305" s="29"/>
      <c r="H305" s="29">
        <v>8</v>
      </c>
      <c r="I305" s="22" t="s">
        <v>325</v>
      </c>
      <c r="J305" s="22" t="s">
        <v>326</v>
      </c>
      <c r="K305" s="34"/>
    </row>
    <row r="306" spans="1:11" x14ac:dyDescent="0.3">
      <c r="A306" s="64" t="s">
        <v>163</v>
      </c>
      <c r="B306" s="64" t="s">
        <v>519</v>
      </c>
      <c r="C306" s="64" t="s">
        <v>165</v>
      </c>
      <c r="D306" s="64" t="s">
        <v>520</v>
      </c>
      <c r="E306" s="64" t="s">
        <v>628</v>
      </c>
      <c r="F306" s="29">
        <v>15</v>
      </c>
      <c r="G306" s="64"/>
      <c r="H306" s="64">
        <v>8</v>
      </c>
      <c r="I306" s="22" t="s">
        <v>629</v>
      </c>
      <c r="J306" s="22" t="s">
        <v>630</v>
      </c>
      <c r="K306" s="34"/>
    </row>
    <row r="307" spans="1:11" x14ac:dyDescent="0.3">
      <c r="A307" s="22" t="s">
        <v>163</v>
      </c>
      <c r="B307" s="22" t="s">
        <v>742</v>
      </c>
      <c r="C307" s="22" t="s">
        <v>165</v>
      </c>
      <c r="D307" s="23"/>
      <c r="E307" s="23" t="s">
        <v>847</v>
      </c>
      <c r="F307" s="29">
        <v>15</v>
      </c>
      <c r="G307" s="23"/>
      <c r="H307" s="64">
        <v>8</v>
      </c>
      <c r="I307" s="22" t="s">
        <v>848</v>
      </c>
      <c r="J307" s="22" t="s">
        <v>849</v>
      </c>
      <c r="K307" s="34"/>
    </row>
    <row r="308" spans="1:11" x14ac:dyDescent="0.3">
      <c r="A308" s="22" t="s">
        <v>163</v>
      </c>
      <c r="B308" s="22" t="s">
        <v>931</v>
      </c>
      <c r="C308" s="22" t="s">
        <v>165</v>
      </c>
      <c r="D308" s="23"/>
      <c r="E308" s="22" t="s">
        <v>1025</v>
      </c>
      <c r="F308" s="29">
        <v>15</v>
      </c>
      <c r="G308" s="22"/>
      <c r="H308" s="64">
        <v>8</v>
      </c>
      <c r="I308" s="22" t="s">
        <v>1026</v>
      </c>
      <c r="J308" s="22" t="s">
        <v>1027</v>
      </c>
      <c r="K308" s="34"/>
    </row>
    <row r="309" spans="1:11" x14ac:dyDescent="0.3">
      <c r="A309" s="22" t="s">
        <v>163</v>
      </c>
      <c r="B309" s="22" t="s">
        <v>1140</v>
      </c>
      <c r="C309" s="22" t="s">
        <v>165</v>
      </c>
      <c r="D309" s="23"/>
      <c r="E309" s="22" t="s">
        <v>1245</v>
      </c>
      <c r="F309" s="29">
        <v>15</v>
      </c>
      <c r="G309" s="22"/>
      <c r="H309" s="64">
        <v>8</v>
      </c>
      <c r="I309" s="22" t="s">
        <v>1246</v>
      </c>
      <c r="J309" s="22" t="s">
        <v>1027</v>
      </c>
      <c r="K309" s="34"/>
    </row>
    <row r="310" spans="1:11" x14ac:dyDescent="0.3">
      <c r="A310" s="22" t="s">
        <v>163</v>
      </c>
      <c r="B310" s="22" t="s">
        <v>1321</v>
      </c>
      <c r="C310" s="22" t="s">
        <v>165</v>
      </c>
      <c r="D310" s="23"/>
      <c r="E310" s="22" t="s">
        <v>1438</v>
      </c>
      <c r="F310" s="29">
        <v>15</v>
      </c>
      <c r="G310" s="22"/>
      <c r="H310" s="64">
        <v>8</v>
      </c>
      <c r="I310" s="22" t="s">
        <v>1439</v>
      </c>
      <c r="J310" s="22" t="s">
        <v>1027</v>
      </c>
      <c r="K310" s="34"/>
    </row>
    <row r="311" spans="1:11" x14ac:dyDescent="0.3">
      <c r="A311" s="22" t="s">
        <v>163</v>
      </c>
      <c r="B311" s="22" t="s">
        <v>1487</v>
      </c>
      <c r="C311" s="22" t="s">
        <v>165</v>
      </c>
      <c r="D311" s="23"/>
      <c r="E311" s="22" t="s">
        <v>1534</v>
      </c>
      <c r="F311" s="29">
        <v>15</v>
      </c>
      <c r="G311" s="22"/>
      <c r="H311" s="64">
        <v>8</v>
      </c>
      <c r="I311" s="22" t="s">
        <v>1535</v>
      </c>
      <c r="J311" s="22" t="s">
        <v>1536</v>
      </c>
      <c r="K311" s="34"/>
    </row>
    <row r="312" spans="1:11" x14ac:dyDescent="0.3">
      <c r="A312" s="22" t="s">
        <v>163</v>
      </c>
      <c r="B312" s="22" t="s">
        <v>1606</v>
      </c>
      <c r="C312" s="22" t="s">
        <v>165</v>
      </c>
      <c r="D312" s="23"/>
      <c r="E312" s="22" t="s">
        <v>1690</v>
      </c>
      <c r="F312" s="29">
        <v>15</v>
      </c>
      <c r="G312" s="22"/>
      <c r="H312" s="64">
        <v>8</v>
      </c>
      <c r="I312" s="22" t="s">
        <v>1691</v>
      </c>
      <c r="J312" s="22" t="s">
        <v>1692</v>
      </c>
      <c r="K312" s="34"/>
    </row>
    <row r="313" spans="1:11" x14ac:dyDescent="0.3">
      <c r="A313" s="22" t="s">
        <v>163</v>
      </c>
      <c r="B313" s="22" t="s">
        <v>1751</v>
      </c>
      <c r="C313" s="22" t="s">
        <v>165</v>
      </c>
      <c r="D313" s="23"/>
      <c r="E313" s="22" t="s">
        <v>1839</v>
      </c>
      <c r="F313" s="29">
        <v>15</v>
      </c>
      <c r="G313" s="22"/>
      <c r="H313" s="22">
        <v>8</v>
      </c>
      <c r="I313" s="22" t="s">
        <v>1840</v>
      </c>
      <c r="J313" s="22" t="s">
        <v>1841</v>
      </c>
      <c r="K313" s="34"/>
    </row>
    <row r="314" spans="1:11" x14ac:dyDescent="0.3">
      <c r="A314" s="29" t="s">
        <v>163</v>
      </c>
      <c r="B314" s="29" t="s">
        <v>164</v>
      </c>
      <c r="C314" s="29" t="s">
        <v>165</v>
      </c>
      <c r="D314" s="29"/>
      <c r="E314" s="29" t="s">
        <v>327</v>
      </c>
      <c r="F314" s="29">
        <v>16</v>
      </c>
      <c r="G314" s="29"/>
      <c r="H314" s="29">
        <v>9</v>
      </c>
      <c r="I314" s="22" t="s">
        <v>328</v>
      </c>
      <c r="J314" s="22" t="s">
        <v>329</v>
      </c>
      <c r="K314" s="34"/>
    </row>
    <row r="315" spans="1:11" x14ac:dyDescent="0.3">
      <c r="A315" s="64" t="s">
        <v>163</v>
      </c>
      <c r="B315" s="64" t="s">
        <v>519</v>
      </c>
      <c r="C315" s="64" t="s">
        <v>165</v>
      </c>
      <c r="D315" s="64" t="s">
        <v>520</v>
      </c>
      <c r="E315" s="64" t="s">
        <v>631</v>
      </c>
      <c r="F315" s="29">
        <v>16</v>
      </c>
      <c r="G315" s="64"/>
      <c r="H315" s="64">
        <v>9</v>
      </c>
      <c r="I315" s="22" t="s">
        <v>632</v>
      </c>
      <c r="J315" s="22" t="s">
        <v>633</v>
      </c>
      <c r="K315" s="34"/>
    </row>
    <row r="316" spans="1:11" x14ac:dyDescent="0.3">
      <c r="A316" s="22" t="s">
        <v>163</v>
      </c>
      <c r="B316" s="22" t="s">
        <v>742</v>
      </c>
      <c r="C316" s="22" t="s">
        <v>165</v>
      </c>
      <c r="D316" s="23"/>
      <c r="E316" s="23" t="s">
        <v>850</v>
      </c>
      <c r="F316" s="29">
        <v>16</v>
      </c>
      <c r="G316" s="23"/>
      <c r="H316" s="64">
        <v>9</v>
      </c>
      <c r="I316" s="22" t="s">
        <v>851</v>
      </c>
      <c r="J316" s="22" t="s">
        <v>852</v>
      </c>
      <c r="K316" s="34"/>
    </row>
    <row r="317" spans="1:11" x14ac:dyDescent="0.3">
      <c r="A317" s="22" t="s">
        <v>163</v>
      </c>
      <c r="B317" s="22" t="s">
        <v>931</v>
      </c>
      <c r="C317" s="22" t="s">
        <v>165</v>
      </c>
      <c r="D317" s="23"/>
      <c r="E317" s="22" t="s">
        <v>1028</v>
      </c>
      <c r="F317" s="29">
        <v>16</v>
      </c>
      <c r="G317" s="22"/>
      <c r="H317" s="64">
        <v>9</v>
      </c>
      <c r="I317" s="22" t="s">
        <v>1029</v>
      </c>
      <c r="J317" s="22" t="s">
        <v>1030</v>
      </c>
      <c r="K317" s="34"/>
    </row>
    <row r="318" spans="1:11" x14ac:dyDescent="0.3">
      <c r="A318" s="22" t="s">
        <v>163</v>
      </c>
      <c r="B318" s="22" t="s">
        <v>1140</v>
      </c>
      <c r="C318" s="22" t="s">
        <v>165</v>
      </c>
      <c r="D318" s="23"/>
      <c r="E318" s="22" t="s">
        <v>1247</v>
      </c>
      <c r="F318" s="29">
        <v>16</v>
      </c>
      <c r="G318" s="22"/>
      <c r="H318" s="64">
        <v>9</v>
      </c>
      <c r="I318" s="22" t="s">
        <v>1248</v>
      </c>
      <c r="J318" s="22" t="s">
        <v>1030</v>
      </c>
      <c r="K318" s="34"/>
    </row>
    <row r="319" spans="1:11" x14ac:dyDescent="0.3">
      <c r="A319" s="22" t="s">
        <v>163</v>
      </c>
      <c r="B319" s="22" t="s">
        <v>1321</v>
      </c>
      <c r="C319" s="22" t="s">
        <v>165</v>
      </c>
      <c r="D319" s="23"/>
      <c r="E319" s="22" t="s">
        <v>1440</v>
      </c>
      <c r="F319" s="29">
        <v>16</v>
      </c>
      <c r="G319" s="22"/>
      <c r="H319" s="64">
        <v>9</v>
      </c>
      <c r="I319" s="22" t="s">
        <v>1441</v>
      </c>
      <c r="J319" s="22" t="s">
        <v>1030</v>
      </c>
      <c r="K319" s="34"/>
    </row>
    <row r="320" spans="1:11" x14ac:dyDescent="0.3">
      <c r="A320" s="22" t="s">
        <v>163</v>
      </c>
      <c r="B320" s="22" t="s">
        <v>1487</v>
      </c>
      <c r="C320" s="22" t="s">
        <v>165</v>
      </c>
      <c r="D320" s="23"/>
      <c r="E320" s="22" t="s">
        <v>1537</v>
      </c>
      <c r="F320" s="29">
        <v>16</v>
      </c>
      <c r="G320" s="22"/>
      <c r="H320" s="64">
        <v>9</v>
      </c>
      <c r="I320" s="22" t="s">
        <v>1538</v>
      </c>
      <c r="J320" s="22" t="s">
        <v>1539</v>
      </c>
      <c r="K320" s="34"/>
    </row>
    <row r="321" spans="1:11" x14ac:dyDescent="0.3">
      <c r="A321" s="22" t="s">
        <v>163</v>
      </c>
      <c r="B321" s="22" t="s">
        <v>1606</v>
      </c>
      <c r="C321" s="22" t="s">
        <v>165</v>
      </c>
      <c r="D321" s="23"/>
      <c r="E321" s="22" t="s">
        <v>1693</v>
      </c>
      <c r="F321" s="29">
        <v>16</v>
      </c>
      <c r="G321" s="22"/>
      <c r="H321" s="64">
        <v>9</v>
      </c>
      <c r="I321" s="22" t="s">
        <v>1694</v>
      </c>
      <c r="J321" s="22" t="s">
        <v>918</v>
      </c>
      <c r="K321" s="34"/>
    </row>
    <row r="322" spans="1:11" x14ac:dyDescent="0.3">
      <c r="A322" s="22" t="s">
        <v>163</v>
      </c>
      <c r="B322" s="22" t="s">
        <v>1751</v>
      </c>
      <c r="C322" s="22" t="s">
        <v>165</v>
      </c>
      <c r="D322" s="23"/>
      <c r="E322" s="22" t="s">
        <v>1842</v>
      </c>
      <c r="F322" s="29">
        <v>16</v>
      </c>
      <c r="G322" s="22"/>
      <c r="H322" s="22">
        <v>9</v>
      </c>
      <c r="I322" s="22" t="s">
        <v>1843</v>
      </c>
      <c r="J322" s="22" t="s">
        <v>1844</v>
      </c>
      <c r="K322" s="34"/>
    </row>
    <row r="323" spans="1:11" x14ac:dyDescent="0.3">
      <c r="A323" s="29" t="s">
        <v>163</v>
      </c>
      <c r="B323" s="29" t="s">
        <v>164</v>
      </c>
      <c r="C323" s="29" t="s">
        <v>165</v>
      </c>
      <c r="D323" s="29"/>
      <c r="E323" s="29" t="s">
        <v>330</v>
      </c>
      <c r="F323" s="29">
        <v>17</v>
      </c>
      <c r="G323" s="29"/>
      <c r="H323" s="29">
        <v>10</v>
      </c>
      <c r="I323" s="22" t="s">
        <v>331</v>
      </c>
      <c r="J323" s="22" t="s">
        <v>332</v>
      </c>
      <c r="K323" s="34"/>
    </row>
    <row r="324" spans="1:11" x14ac:dyDescent="0.3">
      <c r="A324" s="64" t="s">
        <v>163</v>
      </c>
      <c r="B324" s="64" t="s">
        <v>519</v>
      </c>
      <c r="C324" s="64" t="s">
        <v>165</v>
      </c>
      <c r="D324" s="64" t="s">
        <v>520</v>
      </c>
      <c r="E324" s="64" t="s">
        <v>634</v>
      </c>
      <c r="F324" s="29">
        <v>17</v>
      </c>
      <c r="G324" s="64"/>
      <c r="H324" s="64">
        <v>10</v>
      </c>
      <c r="I324" s="22" t="s">
        <v>635</v>
      </c>
      <c r="J324" s="22" t="s">
        <v>636</v>
      </c>
      <c r="K324" s="34"/>
    </row>
    <row r="325" spans="1:11" x14ac:dyDescent="0.3">
      <c r="A325" s="22" t="s">
        <v>163</v>
      </c>
      <c r="B325" s="22" t="s">
        <v>742</v>
      </c>
      <c r="C325" s="22" t="s">
        <v>165</v>
      </c>
      <c r="D325" s="23"/>
      <c r="E325" s="23" t="s">
        <v>853</v>
      </c>
      <c r="F325" s="29">
        <v>17</v>
      </c>
      <c r="G325" s="23"/>
      <c r="H325" s="64">
        <v>10</v>
      </c>
      <c r="I325" s="22" t="s">
        <v>854</v>
      </c>
      <c r="J325" s="22" t="s">
        <v>855</v>
      </c>
      <c r="K325" s="34"/>
    </row>
    <row r="326" spans="1:11" x14ac:dyDescent="0.3">
      <c r="A326" s="22" t="s">
        <v>163</v>
      </c>
      <c r="B326" s="22" t="s">
        <v>931</v>
      </c>
      <c r="C326" s="22" t="s">
        <v>165</v>
      </c>
      <c r="D326" s="23"/>
      <c r="E326" s="22" t="s">
        <v>1031</v>
      </c>
      <c r="F326" s="29">
        <v>17</v>
      </c>
      <c r="G326" s="22"/>
      <c r="H326" s="64">
        <v>10</v>
      </c>
      <c r="I326" s="22" t="s">
        <v>1032</v>
      </c>
      <c r="J326" s="22" t="s">
        <v>1033</v>
      </c>
      <c r="K326" s="34"/>
    </row>
    <row r="327" spans="1:11" x14ac:dyDescent="0.3">
      <c r="A327" s="22" t="s">
        <v>163</v>
      </c>
      <c r="B327" s="22" t="s">
        <v>1140</v>
      </c>
      <c r="C327" s="22" t="s">
        <v>165</v>
      </c>
      <c r="D327" s="23"/>
      <c r="E327" s="22" t="s">
        <v>1249</v>
      </c>
      <c r="F327" s="29">
        <v>17</v>
      </c>
      <c r="G327" s="22"/>
      <c r="H327" s="64">
        <v>10</v>
      </c>
      <c r="I327" s="22" t="s">
        <v>1250</v>
      </c>
      <c r="J327" s="22" t="s">
        <v>1033</v>
      </c>
      <c r="K327" s="34"/>
    </row>
    <row r="328" spans="1:11" x14ac:dyDescent="0.3">
      <c r="A328" s="22" t="s">
        <v>163</v>
      </c>
      <c r="B328" s="22" t="s">
        <v>1321</v>
      </c>
      <c r="C328" s="22" t="s">
        <v>165</v>
      </c>
      <c r="D328" s="23"/>
      <c r="E328" s="22" t="s">
        <v>1442</v>
      </c>
      <c r="F328" s="29">
        <v>17</v>
      </c>
      <c r="G328" s="22"/>
      <c r="H328" s="64">
        <v>10</v>
      </c>
      <c r="I328" s="22" t="s">
        <v>1443</v>
      </c>
      <c r="J328" s="22" t="s">
        <v>1033</v>
      </c>
      <c r="K328" s="34"/>
    </row>
    <row r="329" spans="1:11" x14ac:dyDescent="0.3">
      <c r="A329" s="22" t="s">
        <v>163</v>
      </c>
      <c r="B329" s="22" t="s">
        <v>1487</v>
      </c>
      <c r="C329" s="22" t="s">
        <v>165</v>
      </c>
      <c r="D329" s="23"/>
      <c r="E329" s="22" t="s">
        <v>1540</v>
      </c>
      <c r="F329" s="29">
        <v>17</v>
      </c>
      <c r="G329" s="22"/>
      <c r="H329" s="64">
        <v>10</v>
      </c>
      <c r="I329" s="22" t="s">
        <v>1541</v>
      </c>
      <c r="J329" s="22" t="s">
        <v>595</v>
      </c>
      <c r="K329" s="34"/>
    </row>
    <row r="330" spans="1:11" x14ac:dyDescent="0.3">
      <c r="A330" s="22" t="s">
        <v>163</v>
      </c>
      <c r="B330" s="22" t="s">
        <v>1606</v>
      </c>
      <c r="C330" s="22" t="s">
        <v>165</v>
      </c>
      <c r="D330" s="23"/>
      <c r="E330" s="22" t="s">
        <v>1695</v>
      </c>
      <c r="F330" s="29">
        <v>17</v>
      </c>
      <c r="G330" s="22"/>
      <c r="H330" s="64">
        <v>10</v>
      </c>
      <c r="I330" s="22" t="s">
        <v>1696</v>
      </c>
      <c r="J330" s="22" t="s">
        <v>1697</v>
      </c>
      <c r="K330" s="34"/>
    </row>
    <row r="331" spans="1:11" x14ac:dyDescent="0.3">
      <c r="A331" s="22" t="s">
        <v>163</v>
      </c>
      <c r="B331" s="22" t="s">
        <v>1751</v>
      </c>
      <c r="C331" s="22" t="s">
        <v>165</v>
      </c>
      <c r="D331" s="23"/>
      <c r="E331" s="22" t="s">
        <v>1845</v>
      </c>
      <c r="F331" s="29">
        <v>17</v>
      </c>
      <c r="G331" s="22"/>
      <c r="H331" s="22">
        <v>10</v>
      </c>
      <c r="I331" s="22" t="s">
        <v>1846</v>
      </c>
      <c r="J331" s="22" t="s">
        <v>1847</v>
      </c>
      <c r="K331" s="34"/>
    </row>
    <row r="332" spans="1:11" x14ac:dyDescent="0.3">
      <c r="A332" s="29" t="s">
        <v>163</v>
      </c>
      <c r="B332" s="29" t="s">
        <v>164</v>
      </c>
      <c r="C332" s="29" t="s">
        <v>165</v>
      </c>
      <c r="D332" s="29"/>
      <c r="E332" s="29" t="s">
        <v>351</v>
      </c>
      <c r="F332" s="29">
        <v>18</v>
      </c>
      <c r="G332" s="29"/>
      <c r="H332" s="29">
        <v>11</v>
      </c>
      <c r="I332" s="22" t="s">
        <v>352</v>
      </c>
      <c r="J332" s="22" t="s">
        <v>353</v>
      </c>
      <c r="K332" s="34"/>
    </row>
    <row r="333" spans="1:11" x14ac:dyDescent="0.3">
      <c r="A333" s="64" t="s">
        <v>163</v>
      </c>
      <c r="B333" s="64" t="s">
        <v>519</v>
      </c>
      <c r="C333" s="64" t="s">
        <v>165</v>
      </c>
      <c r="D333" s="64" t="s">
        <v>520</v>
      </c>
      <c r="E333" s="64" t="s">
        <v>655</v>
      </c>
      <c r="F333" s="29">
        <v>18</v>
      </c>
      <c r="G333" s="64"/>
      <c r="H333" s="64">
        <v>11</v>
      </c>
      <c r="I333" s="22" t="s">
        <v>656</v>
      </c>
      <c r="J333" s="22" t="s">
        <v>657</v>
      </c>
      <c r="K333" s="34"/>
    </row>
    <row r="334" spans="1:11" x14ac:dyDescent="0.3">
      <c r="A334" s="22" t="s">
        <v>163</v>
      </c>
      <c r="B334" s="22" t="s">
        <v>742</v>
      </c>
      <c r="C334" s="22" t="s">
        <v>165</v>
      </c>
      <c r="D334" s="23"/>
      <c r="E334" s="23" t="s">
        <v>872</v>
      </c>
      <c r="F334" s="29">
        <v>18</v>
      </c>
      <c r="G334" s="23"/>
      <c r="H334" s="64">
        <v>11</v>
      </c>
      <c r="I334" s="22" t="s">
        <v>873</v>
      </c>
      <c r="J334" s="22" t="s">
        <v>874</v>
      </c>
      <c r="K334" s="34"/>
    </row>
    <row r="335" spans="1:11" x14ac:dyDescent="0.3">
      <c r="A335" s="22" t="s">
        <v>163</v>
      </c>
      <c r="B335" s="22" t="s">
        <v>931</v>
      </c>
      <c r="C335" s="22" t="s">
        <v>165</v>
      </c>
      <c r="D335" s="23"/>
      <c r="E335" s="22" t="s">
        <v>1046</v>
      </c>
      <c r="F335" s="29">
        <v>18</v>
      </c>
      <c r="G335" s="22"/>
      <c r="H335" s="64">
        <v>11</v>
      </c>
      <c r="I335" s="22" t="s">
        <v>1047</v>
      </c>
      <c r="J335" s="22" t="s">
        <v>874</v>
      </c>
      <c r="K335" s="34"/>
    </row>
    <row r="336" spans="1:11" x14ac:dyDescent="0.3">
      <c r="A336" s="22" t="s">
        <v>163</v>
      </c>
      <c r="B336" s="22" t="s">
        <v>1140</v>
      </c>
      <c r="C336" s="22" t="s">
        <v>165</v>
      </c>
      <c r="D336" s="23"/>
      <c r="E336" s="22" t="s">
        <v>1263</v>
      </c>
      <c r="F336" s="29">
        <v>18</v>
      </c>
      <c r="G336" s="22"/>
      <c r="H336" s="64">
        <v>11</v>
      </c>
      <c r="I336" s="22" t="s">
        <v>1264</v>
      </c>
      <c r="J336" s="22" t="s">
        <v>1265</v>
      </c>
      <c r="K336" s="34"/>
    </row>
    <row r="337" spans="1:11" x14ac:dyDescent="0.3">
      <c r="A337" s="22" t="s">
        <v>163</v>
      </c>
      <c r="B337" s="22" t="s">
        <v>1321</v>
      </c>
      <c r="C337" s="22" t="s">
        <v>165</v>
      </c>
      <c r="D337" s="23"/>
      <c r="E337" s="22" t="s">
        <v>1450</v>
      </c>
      <c r="F337" s="29">
        <v>18</v>
      </c>
      <c r="G337" s="22"/>
      <c r="H337" s="64">
        <v>11</v>
      </c>
      <c r="I337" s="22" t="s">
        <v>1264</v>
      </c>
      <c r="J337" s="22" t="s">
        <v>1265</v>
      </c>
      <c r="K337" s="34"/>
    </row>
    <row r="338" spans="1:11" x14ac:dyDescent="0.3">
      <c r="A338" s="22" t="s">
        <v>163</v>
      </c>
      <c r="B338" s="22" t="s">
        <v>1487</v>
      </c>
      <c r="C338" s="22" t="s">
        <v>165</v>
      </c>
      <c r="D338" s="23"/>
      <c r="E338" s="22" t="s">
        <v>1558</v>
      </c>
      <c r="F338" s="29">
        <v>18</v>
      </c>
      <c r="G338" s="22"/>
      <c r="H338" s="64">
        <v>11</v>
      </c>
      <c r="I338" s="22" t="s">
        <v>1559</v>
      </c>
      <c r="J338" s="22" t="s">
        <v>1560</v>
      </c>
      <c r="K338" s="34"/>
    </row>
    <row r="339" spans="1:11" x14ac:dyDescent="0.3">
      <c r="A339" s="22" t="s">
        <v>163</v>
      </c>
      <c r="B339" s="22" t="s">
        <v>1606</v>
      </c>
      <c r="C339" s="22" t="s">
        <v>165</v>
      </c>
      <c r="D339" s="23"/>
      <c r="E339" s="22" t="s">
        <v>1710</v>
      </c>
      <c r="F339" s="29">
        <v>18</v>
      </c>
      <c r="G339" s="22"/>
      <c r="H339" s="64">
        <v>11</v>
      </c>
      <c r="I339" s="22" t="s">
        <v>1711</v>
      </c>
      <c r="J339" s="22" t="s">
        <v>874</v>
      </c>
      <c r="K339" s="34"/>
    </row>
    <row r="340" spans="1:11" x14ac:dyDescent="0.3">
      <c r="A340" s="22" t="s">
        <v>163</v>
      </c>
      <c r="B340" s="22" t="s">
        <v>1751</v>
      </c>
      <c r="C340" s="22" t="s">
        <v>165</v>
      </c>
      <c r="D340" s="23"/>
      <c r="E340" s="22" t="s">
        <v>1854</v>
      </c>
      <c r="F340" s="29">
        <v>18</v>
      </c>
      <c r="G340" s="22"/>
      <c r="H340" s="22">
        <v>11</v>
      </c>
      <c r="I340" s="22" t="s">
        <v>1711</v>
      </c>
      <c r="J340" s="22" t="s">
        <v>874</v>
      </c>
      <c r="K340" s="34"/>
    </row>
    <row r="341" spans="1:11" x14ac:dyDescent="0.3">
      <c r="A341" s="29" t="s">
        <v>163</v>
      </c>
      <c r="B341" s="29" t="s">
        <v>164</v>
      </c>
      <c r="C341" s="29" t="s">
        <v>165</v>
      </c>
      <c r="D341" s="29"/>
      <c r="E341" s="29" t="s">
        <v>354</v>
      </c>
      <c r="F341" s="29">
        <v>19</v>
      </c>
      <c r="G341" s="29"/>
      <c r="H341" s="29">
        <v>12</v>
      </c>
      <c r="I341" s="22" t="s">
        <v>355</v>
      </c>
      <c r="J341" s="22" t="s">
        <v>356</v>
      </c>
      <c r="K341" s="34"/>
    </row>
    <row r="342" spans="1:11" x14ac:dyDescent="0.3">
      <c r="A342" s="64" t="s">
        <v>163</v>
      </c>
      <c r="B342" s="64" t="s">
        <v>519</v>
      </c>
      <c r="C342" s="64" t="s">
        <v>165</v>
      </c>
      <c r="D342" s="64" t="s">
        <v>520</v>
      </c>
      <c r="E342" s="64" t="s">
        <v>658</v>
      </c>
      <c r="F342" s="29">
        <v>19</v>
      </c>
      <c r="G342" s="64"/>
      <c r="H342" s="64">
        <v>12</v>
      </c>
      <c r="I342" s="22" t="s">
        <v>659</v>
      </c>
      <c r="J342" s="22" t="s">
        <v>660</v>
      </c>
      <c r="K342" s="34"/>
    </row>
    <row r="343" spans="1:11" x14ac:dyDescent="0.3">
      <c r="A343" s="22" t="s">
        <v>163</v>
      </c>
      <c r="B343" s="22" t="s">
        <v>742</v>
      </c>
      <c r="C343" s="22" t="s">
        <v>165</v>
      </c>
      <c r="D343" s="23"/>
      <c r="E343" s="23" t="s">
        <v>875</v>
      </c>
      <c r="F343" s="29">
        <v>19</v>
      </c>
      <c r="G343" s="23"/>
      <c r="H343" s="64">
        <v>12</v>
      </c>
      <c r="I343" s="22" t="s">
        <v>876</v>
      </c>
      <c r="J343" s="22" t="s">
        <v>877</v>
      </c>
      <c r="K343" s="34"/>
    </row>
    <row r="344" spans="1:11" x14ac:dyDescent="0.3">
      <c r="A344" s="22" t="s">
        <v>163</v>
      </c>
      <c r="B344" s="22" t="s">
        <v>931</v>
      </c>
      <c r="C344" s="64" t="s">
        <v>85</v>
      </c>
      <c r="D344" s="23"/>
      <c r="E344" s="22" t="s">
        <v>1048</v>
      </c>
      <c r="F344" s="29">
        <v>19</v>
      </c>
      <c r="G344" s="22"/>
      <c r="H344" s="64">
        <v>12</v>
      </c>
      <c r="I344" s="22" t="s">
        <v>1049</v>
      </c>
      <c r="J344" s="22" t="s">
        <v>877</v>
      </c>
      <c r="K344" s="34"/>
    </row>
    <row r="345" spans="1:11" x14ac:dyDescent="0.3">
      <c r="A345" s="22" t="s">
        <v>163</v>
      </c>
      <c r="B345" s="22" t="s">
        <v>1140</v>
      </c>
      <c r="C345" s="22" t="s">
        <v>165</v>
      </c>
      <c r="D345" s="23"/>
      <c r="E345" s="22" t="s">
        <v>1266</v>
      </c>
      <c r="F345" s="29">
        <v>19</v>
      </c>
      <c r="G345" s="22"/>
      <c r="H345" s="64">
        <v>12</v>
      </c>
      <c r="I345" s="22" t="s">
        <v>1267</v>
      </c>
      <c r="J345" s="22" t="s">
        <v>1268</v>
      </c>
      <c r="K345" s="34"/>
    </row>
    <row r="346" spans="1:11" x14ac:dyDescent="0.3">
      <c r="A346" s="22" t="s">
        <v>163</v>
      </c>
      <c r="B346" s="22" t="s">
        <v>1321</v>
      </c>
      <c r="C346" s="64" t="s">
        <v>85</v>
      </c>
      <c r="D346" s="23"/>
      <c r="E346" s="22" t="s">
        <v>1451</v>
      </c>
      <c r="F346" s="29">
        <v>19</v>
      </c>
      <c r="G346" s="22"/>
      <c r="H346" s="64">
        <v>12</v>
      </c>
      <c r="I346" s="22" t="s">
        <v>1452</v>
      </c>
      <c r="J346" s="22" t="s">
        <v>1268</v>
      </c>
      <c r="K346" s="34"/>
    </row>
    <row r="347" spans="1:11" x14ac:dyDescent="0.3">
      <c r="A347" s="22" t="s">
        <v>163</v>
      </c>
      <c r="B347" s="22" t="s">
        <v>1487</v>
      </c>
      <c r="C347" s="64" t="s">
        <v>85</v>
      </c>
      <c r="D347" s="23"/>
      <c r="E347" s="22" t="s">
        <v>1561</v>
      </c>
      <c r="F347" s="29">
        <v>19</v>
      </c>
      <c r="G347" s="22"/>
      <c r="H347" s="64">
        <v>12</v>
      </c>
      <c r="I347" s="22" t="s">
        <v>1562</v>
      </c>
      <c r="J347" s="22" t="s">
        <v>1563</v>
      </c>
      <c r="K347" s="34"/>
    </row>
    <row r="348" spans="1:11" x14ac:dyDescent="0.3">
      <c r="A348" s="22" t="s">
        <v>163</v>
      </c>
      <c r="B348" s="22" t="s">
        <v>1606</v>
      </c>
      <c r="C348" s="22" t="s">
        <v>165</v>
      </c>
      <c r="D348" s="23"/>
      <c r="E348" s="22" t="s">
        <v>1712</v>
      </c>
      <c r="F348" s="29">
        <v>19</v>
      </c>
      <c r="G348" s="22"/>
      <c r="H348" s="64">
        <v>12</v>
      </c>
      <c r="I348" s="22" t="s">
        <v>1713</v>
      </c>
      <c r="J348" s="22" t="s">
        <v>877</v>
      </c>
      <c r="K348" s="34"/>
    </row>
    <row r="349" spans="1:11" x14ac:dyDescent="0.3">
      <c r="A349" s="22" t="s">
        <v>163</v>
      </c>
      <c r="B349" s="22" t="s">
        <v>1751</v>
      </c>
      <c r="C349" s="22" t="s">
        <v>165</v>
      </c>
      <c r="D349" s="23"/>
      <c r="E349" s="22" t="s">
        <v>1855</v>
      </c>
      <c r="F349" s="29">
        <v>19</v>
      </c>
      <c r="G349" s="22"/>
      <c r="H349" s="22">
        <v>12</v>
      </c>
      <c r="I349" s="22" t="s">
        <v>1713</v>
      </c>
      <c r="J349" s="22" t="s">
        <v>877</v>
      </c>
      <c r="K349" s="34"/>
    </row>
    <row r="350" spans="1:11" x14ac:dyDescent="0.3">
      <c r="A350" s="29" t="s">
        <v>163</v>
      </c>
      <c r="B350" s="29" t="s">
        <v>164</v>
      </c>
      <c r="C350" s="29" t="s">
        <v>165</v>
      </c>
      <c r="D350" s="29"/>
      <c r="E350" s="29" t="s">
        <v>357</v>
      </c>
      <c r="F350" s="29">
        <v>20</v>
      </c>
      <c r="G350" s="29"/>
      <c r="H350" s="29">
        <v>13</v>
      </c>
      <c r="I350" s="22" t="s">
        <v>358</v>
      </c>
      <c r="J350" s="22" t="s">
        <v>359</v>
      </c>
      <c r="K350" s="34"/>
    </row>
    <row r="351" spans="1:11" x14ac:dyDescent="0.3">
      <c r="A351" s="64" t="s">
        <v>163</v>
      </c>
      <c r="B351" s="64" t="s">
        <v>519</v>
      </c>
      <c r="C351" s="64" t="s">
        <v>165</v>
      </c>
      <c r="D351" s="64" t="s">
        <v>520</v>
      </c>
      <c r="E351" s="64" t="s">
        <v>661</v>
      </c>
      <c r="F351" s="29">
        <v>20</v>
      </c>
      <c r="G351" s="64"/>
      <c r="H351" s="64">
        <v>13</v>
      </c>
      <c r="I351" s="22" t="s">
        <v>662</v>
      </c>
      <c r="J351" s="22" t="s">
        <v>663</v>
      </c>
      <c r="K351" s="34"/>
    </row>
    <row r="352" spans="1:11" x14ac:dyDescent="0.3">
      <c r="A352" s="22" t="s">
        <v>163</v>
      </c>
      <c r="B352" s="22" t="s">
        <v>742</v>
      </c>
      <c r="C352" s="22" t="s">
        <v>165</v>
      </c>
      <c r="D352" s="23"/>
      <c r="E352" s="23" t="s">
        <v>878</v>
      </c>
      <c r="F352" s="29">
        <v>20</v>
      </c>
      <c r="G352" s="23"/>
      <c r="H352" s="64">
        <v>13</v>
      </c>
      <c r="I352" s="22" t="s">
        <v>879</v>
      </c>
      <c r="J352" s="22" t="s">
        <v>880</v>
      </c>
      <c r="K352" s="34"/>
    </row>
    <row r="353" spans="1:11" x14ac:dyDescent="0.3">
      <c r="A353" s="22" t="s">
        <v>163</v>
      </c>
      <c r="B353" s="22" t="s">
        <v>931</v>
      </c>
      <c r="C353" s="22" t="s">
        <v>165</v>
      </c>
      <c r="D353" s="23"/>
      <c r="E353" s="22" t="s">
        <v>1050</v>
      </c>
      <c r="F353" s="29">
        <v>20</v>
      </c>
      <c r="G353" s="22"/>
      <c r="H353" s="64">
        <v>13</v>
      </c>
      <c r="I353" s="22" t="s">
        <v>1051</v>
      </c>
      <c r="J353" s="22" t="s">
        <v>880</v>
      </c>
      <c r="K353" s="34"/>
    </row>
    <row r="354" spans="1:11" x14ac:dyDescent="0.3">
      <c r="A354" s="22" t="s">
        <v>163</v>
      </c>
      <c r="B354" s="22" t="s">
        <v>1140</v>
      </c>
      <c r="C354" s="22" t="s">
        <v>165</v>
      </c>
      <c r="D354" s="23"/>
      <c r="E354" s="22" t="s">
        <v>1269</v>
      </c>
      <c r="F354" s="29">
        <v>20</v>
      </c>
      <c r="G354" s="22"/>
      <c r="H354" s="64">
        <v>13</v>
      </c>
      <c r="I354" s="22" t="s">
        <v>1270</v>
      </c>
      <c r="J354" s="22" t="s">
        <v>1271</v>
      </c>
      <c r="K354" s="34"/>
    </row>
    <row r="355" spans="1:11" x14ac:dyDescent="0.3">
      <c r="A355" s="22" t="s">
        <v>163</v>
      </c>
      <c r="B355" s="22" t="s">
        <v>1321</v>
      </c>
      <c r="C355" s="22" t="s">
        <v>165</v>
      </c>
      <c r="D355" s="23"/>
      <c r="E355" s="22" t="s">
        <v>1453</v>
      </c>
      <c r="F355" s="29">
        <v>20</v>
      </c>
      <c r="G355" s="22"/>
      <c r="H355" s="64">
        <v>13</v>
      </c>
      <c r="I355" s="22" t="s">
        <v>1270</v>
      </c>
      <c r="J355" s="22" t="s">
        <v>1271</v>
      </c>
      <c r="K355" s="34"/>
    </row>
    <row r="356" spans="1:11" x14ac:dyDescent="0.3">
      <c r="A356" s="22" t="s">
        <v>163</v>
      </c>
      <c r="B356" s="22" t="s">
        <v>1487</v>
      </c>
      <c r="C356" s="22" t="s">
        <v>165</v>
      </c>
      <c r="D356" s="23"/>
      <c r="E356" s="22" t="s">
        <v>1564</v>
      </c>
      <c r="F356" s="29">
        <v>20</v>
      </c>
      <c r="G356" s="22"/>
      <c r="H356" s="64">
        <v>13</v>
      </c>
      <c r="I356" s="22" t="s">
        <v>1565</v>
      </c>
      <c r="J356" s="22" t="s">
        <v>639</v>
      </c>
      <c r="K356" s="34"/>
    </row>
    <row r="357" spans="1:11" x14ac:dyDescent="0.3">
      <c r="A357" s="22" t="s">
        <v>163</v>
      </c>
      <c r="B357" s="22" t="s">
        <v>1606</v>
      </c>
      <c r="C357" s="22" t="s">
        <v>165</v>
      </c>
      <c r="D357" s="23"/>
      <c r="E357" s="22" t="s">
        <v>1714</v>
      </c>
      <c r="F357" s="29">
        <v>20</v>
      </c>
      <c r="G357" s="22"/>
      <c r="H357" s="64">
        <v>13</v>
      </c>
      <c r="I357" s="22" t="s">
        <v>1715</v>
      </c>
      <c r="J357" s="22" t="s">
        <v>880</v>
      </c>
      <c r="K357" s="34"/>
    </row>
    <row r="358" spans="1:11" x14ac:dyDescent="0.3">
      <c r="A358" s="22" t="s">
        <v>163</v>
      </c>
      <c r="B358" s="22" t="s">
        <v>1751</v>
      </c>
      <c r="C358" s="22" t="s">
        <v>165</v>
      </c>
      <c r="D358" s="23"/>
      <c r="E358" s="22" t="s">
        <v>1856</v>
      </c>
      <c r="F358" s="29">
        <v>20</v>
      </c>
      <c r="G358" s="22"/>
      <c r="H358" s="22">
        <v>13</v>
      </c>
      <c r="I358" s="22" t="s">
        <v>1715</v>
      </c>
      <c r="J358" s="22" t="s">
        <v>880</v>
      </c>
      <c r="K358" s="34"/>
    </row>
    <row r="359" spans="1:11" x14ac:dyDescent="0.3">
      <c r="A359" s="29" t="s">
        <v>163</v>
      </c>
      <c r="B359" s="29" t="s">
        <v>164</v>
      </c>
      <c r="C359" s="29" t="s">
        <v>165</v>
      </c>
      <c r="D359" s="29"/>
      <c r="E359" s="29" t="s">
        <v>360</v>
      </c>
      <c r="F359" s="29">
        <v>21</v>
      </c>
      <c r="G359" s="29"/>
      <c r="H359" s="29">
        <v>14</v>
      </c>
      <c r="I359" s="22" t="s">
        <v>361</v>
      </c>
      <c r="J359" s="22" t="s">
        <v>362</v>
      </c>
      <c r="K359" s="34"/>
    </row>
    <row r="360" spans="1:11" x14ac:dyDescent="0.3">
      <c r="A360" s="64" t="s">
        <v>163</v>
      </c>
      <c r="B360" s="64" t="s">
        <v>519</v>
      </c>
      <c r="C360" s="64" t="s">
        <v>165</v>
      </c>
      <c r="D360" s="64" t="s">
        <v>520</v>
      </c>
      <c r="E360" s="64" t="s">
        <v>664</v>
      </c>
      <c r="F360" s="29">
        <v>21</v>
      </c>
      <c r="G360" s="64"/>
      <c r="H360" s="64">
        <v>14</v>
      </c>
      <c r="I360" s="22" t="s">
        <v>665</v>
      </c>
      <c r="J360" s="22" t="s">
        <v>666</v>
      </c>
      <c r="K360" s="34"/>
    </row>
    <row r="361" spans="1:11" x14ac:dyDescent="0.3">
      <c r="A361" s="22" t="s">
        <v>163</v>
      </c>
      <c r="B361" s="22" t="s">
        <v>742</v>
      </c>
      <c r="C361" s="22" t="s">
        <v>165</v>
      </c>
      <c r="D361" s="23"/>
      <c r="E361" s="23" t="s">
        <v>881</v>
      </c>
      <c r="F361" s="29">
        <v>21</v>
      </c>
      <c r="G361" s="23"/>
      <c r="H361" s="64">
        <v>14</v>
      </c>
      <c r="I361" s="22" t="s">
        <v>882</v>
      </c>
      <c r="J361" s="22" t="s">
        <v>883</v>
      </c>
      <c r="K361" s="34"/>
    </row>
    <row r="362" spans="1:11" x14ac:dyDescent="0.3">
      <c r="A362" s="22" t="s">
        <v>163</v>
      </c>
      <c r="B362" s="22" t="s">
        <v>931</v>
      </c>
      <c r="C362" s="22" t="s">
        <v>165</v>
      </c>
      <c r="D362" s="23"/>
      <c r="E362" s="22" t="s">
        <v>1052</v>
      </c>
      <c r="F362" s="29">
        <v>21</v>
      </c>
      <c r="G362" s="22"/>
      <c r="H362" s="64">
        <v>14</v>
      </c>
      <c r="I362" s="22" t="s">
        <v>1053</v>
      </c>
      <c r="J362" s="22" t="s">
        <v>883</v>
      </c>
      <c r="K362" s="34"/>
    </row>
    <row r="363" spans="1:11" x14ac:dyDescent="0.3">
      <c r="A363" s="22" t="s">
        <v>163</v>
      </c>
      <c r="B363" s="22" t="s">
        <v>1140</v>
      </c>
      <c r="C363" s="22" t="s">
        <v>165</v>
      </c>
      <c r="D363" s="23"/>
      <c r="E363" s="22" t="s">
        <v>1272</v>
      </c>
      <c r="F363" s="29">
        <v>21</v>
      </c>
      <c r="G363" s="22"/>
      <c r="H363" s="64">
        <v>14</v>
      </c>
      <c r="I363" s="22" t="s">
        <v>1273</v>
      </c>
      <c r="J363" s="22" t="s">
        <v>1274</v>
      </c>
      <c r="K363" s="34"/>
    </row>
    <row r="364" spans="1:11" x14ac:dyDescent="0.3">
      <c r="A364" s="22" t="s">
        <v>163</v>
      </c>
      <c r="B364" s="22" t="s">
        <v>1321</v>
      </c>
      <c r="C364" s="22" t="s">
        <v>165</v>
      </c>
      <c r="D364" s="23"/>
      <c r="E364" s="22" t="s">
        <v>1454</v>
      </c>
      <c r="F364" s="29">
        <v>21</v>
      </c>
      <c r="G364" s="22"/>
      <c r="H364" s="64">
        <v>14</v>
      </c>
      <c r="I364" s="22" t="s">
        <v>1273</v>
      </c>
      <c r="J364" s="22" t="s">
        <v>1274</v>
      </c>
      <c r="K364" s="34"/>
    </row>
    <row r="365" spans="1:11" x14ac:dyDescent="0.3">
      <c r="A365" s="22" t="s">
        <v>163</v>
      </c>
      <c r="B365" s="22" t="s">
        <v>1487</v>
      </c>
      <c r="C365" s="22" t="s">
        <v>165</v>
      </c>
      <c r="D365" s="23"/>
      <c r="E365" s="22" t="s">
        <v>1566</v>
      </c>
      <c r="F365" s="29">
        <v>21</v>
      </c>
      <c r="G365" s="22"/>
      <c r="H365" s="64">
        <v>14</v>
      </c>
      <c r="I365" s="22" t="s">
        <v>1567</v>
      </c>
      <c r="J365" s="22" t="s">
        <v>1568</v>
      </c>
      <c r="K365" s="34"/>
    </row>
    <row r="366" spans="1:11" x14ac:dyDescent="0.3">
      <c r="A366" s="22" t="s">
        <v>163</v>
      </c>
      <c r="B366" s="22" t="s">
        <v>1606</v>
      </c>
      <c r="C366" s="22" t="s">
        <v>165</v>
      </c>
      <c r="D366" s="23"/>
      <c r="E366" s="22" t="s">
        <v>1716</v>
      </c>
      <c r="F366" s="29">
        <v>21</v>
      </c>
      <c r="G366" s="22"/>
      <c r="H366" s="64">
        <v>14</v>
      </c>
      <c r="I366" s="22" t="s">
        <v>1717</v>
      </c>
      <c r="J366" s="22" t="s">
        <v>883</v>
      </c>
      <c r="K366" s="34"/>
    </row>
    <row r="367" spans="1:11" x14ac:dyDescent="0.3">
      <c r="A367" s="22" t="s">
        <v>163</v>
      </c>
      <c r="B367" s="22" t="s">
        <v>1751</v>
      </c>
      <c r="C367" s="22" t="s">
        <v>165</v>
      </c>
      <c r="D367" s="23"/>
      <c r="E367" s="22" t="s">
        <v>1857</v>
      </c>
      <c r="F367" s="29">
        <v>21</v>
      </c>
      <c r="G367" s="22"/>
      <c r="H367" s="22">
        <v>14</v>
      </c>
      <c r="I367" s="22" t="s">
        <v>1717</v>
      </c>
      <c r="J367" s="22" t="s">
        <v>883</v>
      </c>
      <c r="K367" s="34"/>
    </row>
    <row r="368" spans="1:11" x14ac:dyDescent="0.3">
      <c r="A368" s="29" t="s">
        <v>163</v>
      </c>
      <c r="B368" s="29" t="s">
        <v>164</v>
      </c>
      <c r="C368" s="29" t="s">
        <v>165</v>
      </c>
      <c r="D368" s="29"/>
      <c r="E368" s="29" t="s">
        <v>363</v>
      </c>
      <c r="F368" s="29">
        <v>22</v>
      </c>
      <c r="G368" s="29"/>
      <c r="H368" s="29">
        <v>15</v>
      </c>
      <c r="I368" s="22" t="s">
        <v>364</v>
      </c>
      <c r="J368" s="22" t="s">
        <v>365</v>
      </c>
      <c r="K368" s="34"/>
    </row>
    <row r="369" spans="1:11" x14ac:dyDescent="0.3">
      <c r="A369" s="64" t="s">
        <v>163</v>
      </c>
      <c r="B369" s="64" t="s">
        <v>519</v>
      </c>
      <c r="C369" s="64" t="s">
        <v>165</v>
      </c>
      <c r="D369" s="64" t="s">
        <v>520</v>
      </c>
      <c r="E369" s="64" t="s">
        <v>667</v>
      </c>
      <c r="F369" s="29">
        <v>22</v>
      </c>
      <c r="G369" s="64"/>
      <c r="H369" s="64">
        <v>15</v>
      </c>
      <c r="I369" s="22" t="s">
        <v>668</v>
      </c>
      <c r="J369" s="22" t="s">
        <v>669</v>
      </c>
      <c r="K369" s="34"/>
    </row>
    <row r="370" spans="1:11" x14ac:dyDescent="0.3">
      <c r="A370" s="22" t="s">
        <v>163</v>
      </c>
      <c r="B370" s="22" t="s">
        <v>742</v>
      </c>
      <c r="C370" s="22" t="s">
        <v>165</v>
      </c>
      <c r="D370" s="23"/>
      <c r="E370" s="23" t="s">
        <v>884</v>
      </c>
      <c r="F370" s="29">
        <v>22</v>
      </c>
      <c r="G370" s="23"/>
      <c r="H370" s="64">
        <v>15</v>
      </c>
      <c r="I370" s="22" t="s">
        <v>885</v>
      </c>
      <c r="J370" s="22" t="s">
        <v>886</v>
      </c>
      <c r="K370" s="34"/>
    </row>
    <row r="371" spans="1:11" x14ac:dyDescent="0.3">
      <c r="A371" s="22" t="s">
        <v>163</v>
      </c>
      <c r="B371" s="22" t="s">
        <v>931</v>
      </c>
      <c r="C371" s="22" t="s">
        <v>165</v>
      </c>
      <c r="D371" s="23"/>
      <c r="E371" s="22" t="s">
        <v>1054</v>
      </c>
      <c r="F371" s="29">
        <v>22</v>
      </c>
      <c r="G371" s="22"/>
      <c r="H371" s="64">
        <v>15</v>
      </c>
      <c r="I371" s="22" t="s">
        <v>1055</v>
      </c>
      <c r="J371" s="22" t="s">
        <v>886</v>
      </c>
      <c r="K371" s="34"/>
    </row>
    <row r="372" spans="1:11" x14ac:dyDescent="0.3">
      <c r="A372" s="22" t="s">
        <v>163</v>
      </c>
      <c r="B372" s="22" t="s">
        <v>1140</v>
      </c>
      <c r="C372" s="22" t="s">
        <v>165</v>
      </c>
      <c r="D372" s="23"/>
      <c r="E372" s="22" t="s">
        <v>1275</v>
      </c>
      <c r="F372" s="29">
        <v>22</v>
      </c>
      <c r="G372" s="22"/>
      <c r="H372" s="64">
        <v>15</v>
      </c>
      <c r="I372" s="22" t="s">
        <v>1276</v>
      </c>
      <c r="J372" s="22" t="s">
        <v>1277</v>
      </c>
      <c r="K372" s="34"/>
    </row>
    <row r="373" spans="1:11" x14ac:dyDescent="0.3">
      <c r="A373" s="22" t="s">
        <v>163</v>
      </c>
      <c r="B373" s="22" t="s">
        <v>1321</v>
      </c>
      <c r="C373" s="22" t="s">
        <v>165</v>
      </c>
      <c r="D373" s="23"/>
      <c r="E373" s="22" t="s">
        <v>1455</v>
      </c>
      <c r="F373" s="29">
        <v>22</v>
      </c>
      <c r="G373" s="22"/>
      <c r="H373" s="64">
        <v>15</v>
      </c>
      <c r="I373" s="22" t="s">
        <v>1276</v>
      </c>
      <c r="J373" s="22" t="s">
        <v>1277</v>
      </c>
      <c r="K373" s="34"/>
    </row>
    <row r="374" spans="1:11" x14ac:dyDescent="0.3">
      <c r="A374" s="22" t="s">
        <v>163</v>
      </c>
      <c r="B374" s="22" t="s">
        <v>1487</v>
      </c>
      <c r="C374" s="22" t="s">
        <v>165</v>
      </c>
      <c r="D374" s="23"/>
      <c r="E374" s="22" t="s">
        <v>1569</v>
      </c>
      <c r="F374" s="29">
        <v>22</v>
      </c>
      <c r="G374" s="22"/>
      <c r="H374" s="64">
        <v>15</v>
      </c>
      <c r="I374" s="22" t="s">
        <v>1570</v>
      </c>
      <c r="J374" s="22" t="s">
        <v>1571</v>
      </c>
      <c r="K374" s="34"/>
    </row>
    <row r="375" spans="1:11" x14ac:dyDescent="0.3">
      <c r="A375" s="22" t="s">
        <v>163</v>
      </c>
      <c r="B375" s="22" t="s">
        <v>1606</v>
      </c>
      <c r="C375" s="22" t="s">
        <v>165</v>
      </c>
      <c r="D375" s="23"/>
      <c r="E375" s="22" t="s">
        <v>1718</v>
      </c>
      <c r="F375" s="29">
        <v>22</v>
      </c>
      <c r="G375" s="22"/>
      <c r="H375" s="64">
        <v>15</v>
      </c>
      <c r="I375" s="22" t="s">
        <v>1719</v>
      </c>
      <c r="J375" s="22" t="s">
        <v>886</v>
      </c>
      <c r="K375" s="34"/>
    </row>
    <row r="376" spans="1:11" x14ac:dyDescent="0.3">
      <c r="A376" s="22" t="s">
        <v>163</v>
      </c>
      <c r="B376" s="22" t="s">
        <v>1751</v>
      </c>
      <c r="C376" s="22" t="s">
        <v>165</v>
      </c>
      <c r="D376" s="23"/>
      <c r="E376" s="22" t="s">
        <v>1858</v>
      </c>
      <c r="F376" s="29">
        <v>22</v>
      </c>
      <c r="G376" s="22"/>
      <c r="H376" s="22">
        <v>15</v>
      </c>
      <c r="I376" s="22" t="s">
        <v>1719</v>
      </c>
      <c r="J376" s="22" t="s">
        <v>886</v>
      </c>
      <c r="K376" s="34"/>
    </row>
    <row r="377" spans="1:11" x14ac:dyDescent="0.3">
      <c r="A377" s="29" t="s">
        <v>163</v>
      </c>
      <c r="B377" s="29" t="s">
        <v>164</v>
      </c>
      <c r="C377" s="29" t="s">
        <v>165</v>
      </c>
      <c r="D377" s="29"/>
      <c r="E377" s="29" t="s">
        <v>366</v>
      </c>
      <c r="F377" s="29">
        <v>23</v>
      </c>
      <c r="G377" s="29"/>
      <c r="H377" s="29">
        <v>16</v>
      </c>
      <c r="I377" s="22" t="s">
        <v>367</v>
      </c>
      <c r="J377" s="22" t="s">
        <v>368</v>
      </c>
      <c r="K377" s="34"/>
    </row>
    <row r="378" spans="1:11" x14ac:dyDescent="0.3">
      <c r="A378" s="64" t="s">
        <v>163</v>
      </c>
      <c r="B378" s="64" t="s">
        <v>519</v>
      </c>
      <c r="C378" s="64" t="s">
        <v>165</v>
      </c>
      <c r="D378" s="64" t="s">
        <v>520</v>
      </c>
      <c r="E378" s="64" t="s">
        <v>670</v>
      </c>
      <c r="F378" s="29">
        <v>23</v>
      </c>
      <c r="G378" s="64"/>
      <c r="H378" s="64">
        <v>16</v>
      </c>
      <c r="I378" s="22" t="s">
        <v>671</v>
      </c>
      <c r="J378" s="22" t="s">
        <v>672</v>
      </c>
      <c r="K378" s="34"/>
    </row>
    <row r="379" spans="1:11" x14ac:dyDescent="0.3">
      <c r="A379" s="22" t="s">
        <v>163</v>
      </c>
      <c r="B379" s="22" t="s">
        <v>742</v>
      </c>
      <c r="C379" s="22" t="s">
        <v>165</v>
      </c>
      <c r="D379" s="23"/>
      <c r="E379" s="23" t="s">
        <v>887</v>
      </c>
      <c r="F379" s="29">
        <v>23</v>
      </c>
      <c r="G379" s="23"/>
      <c r="H379" s="64">
        <v>16</v>
      </c>
      <c r="I379" s="22" t="s">
        <v>888</v>
      </c>
      <c r="J379" s="22" t="s">
        <v>889</v>
      </c>
      <c r="K379" s="34"/>
    </row>
    <row r="380" spans="1:11" x14ac:dyDescent="0.3">
      <c r="A380" s="22" t="s">
        <v>163</v>
      </c>
      <c r="B380" s="22" t="s">
        <v>931</v>
      </c>
      <c r="C380" s="22" t="s">
        <v>165</v>
      </c>
      <c r="D380" s="23"/>
      <c r="E380" s="22" t="s">
        <v>1056</v>
      </c>
      <c r="F380" s="29">
        <v>23</v>
      </c>
      <c r="G380" s="22"/>
      <c r="H380" s="64">
        <v>16</v>
      </c>
      <c r="I380" s="22" t="s">
        <v>1057</v>
      </c>
      <c r="J380" s="22" t="s">
        <v>889</v>
      </c>
      <c r="K380" s="34"/>
    </row>
    <row r="381" spans="1:11" x14ac:dyDescent="0.3">
      <c r="A381" s="22" t="s">
        <v>163</v>
      </c>
      <c r="B381" s="22" t="s">
        <v>1140</v>
      </c>
      <c r="C381" s="22" t="s">
        <v>165</v>
      </c>
      <c r="D381" s="23"/>
      <c r="E381" s="22" t="s">
        <v>1278</v>
      </c>
      <c r="F381" s="29">
        <v>23</v>
      </c>
      <c r="G381" s="22"/>
      <c r="H381" s="64">
        <v>16</v>
      </c>
      <c r="I381" s="22" t="s">
        <v>1279</v>
      </c>
      <c r="J381" s="22" t="s">
        <v>1280</v>
      </c>
      <c r="K381" s="34"/>
    </row>
    <row r="382" spans="1:11" x14ac:dyDescent="0.3">
      <c r="A382" s="22" t="s">
        <v>163</v>
      </c>
      <c r="B382" s="22" t="s">
        <v>1321</v>
      </c>
      <c r="C382" s="22" t="s">
        <v>165</v>
      </c>
      <c r="D382" s="23"/>
      <c r="E382" s="22" t="s">
        <v>1456</v>
      </c>
      <c r="F382" s="29">
        <v>23</v>
      </c>
      <c r="G382" s="22"/>
      <c r="H382" s="64">
        <v>16</v>
      </c>
      <c r="I382" s="22" t="s">
        <v>1279</v>
      </c>
      <c r="J382" s="22" t="s">
        <v>1280</v>
      </c>
      <c r="K382" s="34"/>
    </row>
    <row r="383" spans="1:11" x14ac:dyDescent="0.3">
      <c r="A383" s="22" t="s">
        <v>163</v>
      </c>
      <c r="B383" s="22" t="s">
        <v>1487</v>
      </c>
      <c r="C383" s="22" t="s">
        <v>165</v>
      </c>
      <c r="D383" s="23"/>
      <c r="E383" s="22" t="s">
        <v>1572</v>
      </c>
      <c r="F383" s="29">
        <v>23</v>
      </c>
      <c r="G383" s="22"/>
      <c r="H383" s="64">
        <v>16</v>
      </c>
      <c r="I383" s="22" t="s">
        <v>1573</v>
      </c>
      <c r="J383" s="22" t="s">
        <v>1574</v>
      </c>
      <c r="K383" s="34"/>
    </row>
    <row r="384" spans="1:11" x14ac:dyDescent="0.3">
      <c r="A384" s="22" t="s">
        <v>163</v>
      </c>
      <c r="B384" s="22" t="s">
        <v>1606</v>
      </c>
      <c r="C384" s="22" t="s">
        <v>165</v>
      </c>
      <c r="D384" s="23"/>
      <c r="E384" s="22" t="s">
        <v>1720</v>
      </c>
      <c r="F384" s="29">
        <v>23</v>
      </c>
      <c r="G384" s="22"/>
      <c r="H384" s="64">
        <v>16</v>
      </c>
      <c r="I384" s="22" t="s">
        <v>1721</v>
      </c>
      <c r="J384" s="22" t="s">
        <v>889</v>
      </c>
      <c r="K384" s="34"/>
    </row>
    <row r="385" spans="1:11" x14ac:dyDescent="0.3">
      <c r="A385" s="22" t="s">
        <v>163</v>
      </c>
      <c r="B385" s="22" t="s">
        <v>1751</v>
      </c>
      <c r="C385" s="22" t="s">
        <v>165</v>
      </c>
      <c r="D385" s="23"/>
      <c r="E385" s="22" t="s">
        <v>1859</v>
      </c>
      <c r="F385" s="29">
        <v>23</v>
      </c>
      <c r="G385" s="22"/>
      <c r="H385" s="22">
        <v>16</v>
      </c>
      <c r="I385" s="22" t="s">
        <v>1721</v>
      </c>
      <c r="J385" s="22" t="s">
        <v>889</v>
      </c>
      <c r="K385" s="34"/>
    </row>
    <row r="386" spans="1:11" x14ac:dyDescent="0.3">
      <c r="A386" s="29" t="s">
        <v>163</v>
      </c>
      <c r="B386" s="29" t="s">
        <v>164</v>
      </c>
      <c r="C386" s="29" t="s">
        <v>165</v>
      </c>
      <c r="D386" s="29"/>
      <c r="E386" s="29" t="s">
        <v>369</v>
      </c>
      <c r="F386" s="29">
        <v>24</v>
      </c>
      <c r="G386" s="29"/>
      <c r="H386" s="29">
        <v>17</v>
      </c>
      <c r="I386" s="22" t="s">
        <v>370</v>
      </c>
      <c r="J386" s="22" t="s">
        <v>371</v>
      </c>
      <c r="K386" s="34"/>
    </row>
    <row r="387" spans="1:11" x14ac:dyDescent="0.3">
      <c r="A387" s="64" t="s">
        <v>163</v>
      </c>
      <c r="B387" s="64" t="s">
        <v>519</v>
      </c>
      <c r="C387" s="64" t="s">
        <v>165</v>
      </c>
      <c r="D387" s="64" t="s">
        <v>520</v>
      </c>
      <c r="E387" s="64" t="s">
        <v>673</v>
      </c>
      <c r="F387" s="29">
        <v>24</v>
      </c>
      <c r="G387" s="64"/>
      <c r="H387" s="64">
        <v>17</v>
      </c>
      <c r="I387" s="22" t="s">
        <v>674</v>
      </c>
      <c r="J387" s="22" t="s">
        <v>675</v>
      </c>
      <c r="K387" s="34"/>
    </row>
    <row r="388" spans="1:11" x14ac:dyDescent="0.3">
      <c r="A388" s="22" t="s">
        <v>163</v>
      </c>
      <c r="B388" s="22" t="s">
        <v>742</v>
      </c>
      <c r="C388" s="22" t="s">
        <v>165</v>
      </c>
      <c r="D388" s="23"/>
      <c r="E388" s="23" t="s">
        <v>890</v>
      </c>
      <c r="F388" s="29">
        <v>24</v>
      </c>
      <c r="G388" s="23"/>
      <c r="H388" s="64">
        <v>17</v>
      </c>
      <c r="I388" s="22" t="s">
        <v>891</v>
      </c>
      <c r="J388" s="22" t="s">
        <v>892</v>
      </c>
      <c r="K388" s="34"/>
    </row>
    <row r="389" spans="1:11" x14ac:dyDescent="0.3">
      <c r="A389" s="22" t="s">
        <v>163</v>
      </c>
      <c r="B389" s="22" t="s">
        <v>931</v>
      </c>
      <c r="C389" s="22" t="s">
        <v>165</v>
      </c>
      <c r="D389" s="23"/>
      <c r="E389" s="22" t="s">
        <v>1058</v>
      </c>
      <c r="F389" s="29">
        <v>24</v>
      </c>
      <c r="G389" s="22"/>
      <c r="H389" s="64">
        <v>17</v>
      </c>
      <c r="I389" s="22" t="s">
        <v>1059</v>
      </c>
      <c r="J389" s="22" t="s">
        <v>892</v>
      </c>
      <c r="K389" s="34"/>
    </row>
    <row r="390" spans="1:11" x14ac:dyDescent="0.3">
      <c r="A390" s="22" t="s">
        <v>163</v>
      </c>
      <c r="B390" s="22" t="s">
        <v>1140</v>
      </c>
      <c r="C390" s="22" t="s">
        <v>165</v>
      </c>
      <c r="D390" s="23"/>
      <c r="E390" s="22" t="s">
        <v>1281</v>
      </c>
      <c r="F390" s="29">
        <v>24</v>
      </c>
      <c r="G390" s="22"/>
      <c r="H390" s="64">
        <v>17</v>
      </c>
      <c r="I390" s="22" t="s">
        <v>1282</v>
      </c>
      <c r="J390" s="22" t="s">
        <v>1283</v>
      </c>
      <c r="K390" s="34"/>
    </row>
    <row r="391" spans="1:11" x14ac:dyDescent="0.3">
      <c r="A391" s="22" t="s">
        <v>163</v>
      </c>
      <c r="B391" s="22" t="s">
        <v>1321</v>
      </c>
      <c r="C391" s="22" t="s">
        <v>165</v>
      </c>
      <c r="D391" s="23"/>
      <c r="E391" s="22" t="s">
        <v>1457</v>
      </c>
      <c r="F391" s="29">
        <v>24</v>
      </c>
      <c r="G391" s="22"/>
      <c r="H391" s="64">
        <v>17</v>
      </c>
      <c r="I391" s="22" t="s">
        <v>1282</v>
      </c>
      <c r="J391" s="22" t="s">
        <v>1283</v>
      </c>
      <c r="K391" s="34"/>
    </row>
    <row r="392" spans="1:11" x14ac:dyDescent="0.3">
      <c r="A392" s="22" t="s">
        <v>163</v>
      </c>
      <c r="B392" s="22" t="s">
        <v>1487</v>
      </c>
      <c r="C392" s="22" t="s">
        <v>165</v>
      </c>
      <c r="D392" s="23"/>
      <c r="E392" s="22" t="s">
        <v>1575</v>
      </c>
      <c r="F392" s="29">
        <v>24</v>
      </c>
      <c r="G392" s="22"/>
      <c r="H392" s="64">
        <v>17</v>
      </c>
      <c r="I392" s="22" t="s">
        <v>1576</v>
      </c>
      <c r="J392" s="22" t="s">
        <v>1577</v>
      </c>
      <c r="K392" s="34"/>
    </row>
    <row r="393" spans="1:11" x14ac:dyDescent="0.3">
      <c r="A393" s="22" t="s">
        <v>163</v>
      </c>
      <c r="B393" s="22" t="s">
        <v>1606</v>
      </c>
      <c r="C393" s="22" t="s">
        <v>165</v>
      </c>
      <c r="D393" s="23"/>
      <c r="E393" s="22" t="s">
        <v>1722</v>
      </c>
      <c r="F393" s="29">
        <v>24</v>
      </c>
      <c r="G393" s="22"/>
      <c r="H393" s="64">
        <v>17</v>
      </c>
      <c r="I393" s="22" t="s">
        <v>1723</v>
      </c>
      <c r="J393" s="22" t="s">
        <v>892</v>
      </c>
      <c r="K393" s="34"/>
    </row>
    <row r="394" spans="1:11" x14ac:dyDescent="0.3">
      <c r="A394" s="22" t="s">
        <v>163</v>
      </c>
      <c r="B394" s="22" t="s">
        <v>1751</v>
      </c>
      <c r="C394" s="22" t="s">
        <v>165</v>
      </c>
      <c r="D394" s="23"/>
      <c r="E394" s="22" t="s">
        <v>1860</v>
      </c>
      <c r="F394" s="29">
        <v>24</v>
      </c>
      <c r="G394" s="22"/>
      <c r="H394" s="22">
        <v>17</v>
      </c>
      <c r="I394" s="22" t="s">
        <v>1723</v>
      </c>
      <c r="J394" s="22" t="s">
        <v>892</v>
      </c>
      <c r="K394" s="34"/>
    </row>
    <row r="395" spans="1:11" x14ac:dyDescent="0.3">
      <c r="A395" s="29" t="s">
        <v>163</v>
      </c>
      <c r="B395" s="29" t="s">
        <v>164</v>
      </c>
      <c r="C395" s="29" t="s">
        <v>165</v>
      </c>
      <c r="D395" s="29"/>
      <c r="E395" s="29" t="s">
        <v>372</v>
      </c>
      <c r="F395" s="29">
        <v>25</v>
      </c>
      <c r="G395" s="29"/>
      <c r="H395" s="29">
        <v>18</v>
      </c>
      <c r="I395" s="22" t="s">
        <v>373</v>
      </c>
      <c r="J395" s="22" t="s">
        <v>374</v>
      </c>
      <c r="K395" s="34"/>
    </row>
    <row r="396" spans="1:11" x14ac:dyDescent="0.3">
      <c r="A396" s="64" t="s">
        <v>163</v>
      </c>
      <c r="B396" s="64" t="s">
        <v>519</v>
      </c>
      <c r="C396" s="64" t="s">
        <v>165</v>
      </c>
      <c r="D396" s="64" t="s">
        <v>520</v>
      </c>
      <c r="E396" s="64" t="s">
        <v>676</v>
      </c>
      <c r="F396" s="29">
        <v>25</v>
      </c>
      <c r="G396" s="64"/>
      <c r="H396" s="64">
        <v>18</v>
      </c>
      <c r="I396" s="22" t="s">
        <v>677</v>
      </c>
      <c r="J396" s="22" t="s">
        <v>678</v>
      </c>
      <c r="K396" s="34"/>
    </row>
    <row r="397" spans="1:11" x14ac:dyDescent="0.3">
      <c r="A397" s="22" t="s">
        <v>163</v>
      </c>
      <c r="B397" s="22" t="s">
        <v>742</v>
      </c>
      <c r="C397" s="22" t="s">
        <v>165</v>
      </c>
      <c r="D397" s="23"/>
      <c r="E397" s="23" t="s">
        <v>893</v>
      </c>
      <c r="F397" s="29">
        <v>25</v>
      </c>
      <c r="G397" s="23"/>
      <c r="H397" s="64">
        <v>18</v>
      </c>
      <c r="I397" s="22" t="s">
        <v>894</v>
      </c>
      <c r="J397" s="22" t="s">
        <v>895</v>
      </c>
      <c r="K397" s="34"/>
    </row>
    <row r="398" spans="1:11" x14ac:dyDescent="0.3">
      <c r="A398" s="22" t="s">
        <v>163</v>
      </c>
      <c r="B398" s="22" t="s">
        <v>931</v>
      </c>
      <c r="C398" s="22" t="s">
        <v>165</v>
      </c>
      <c r="D398" s="23"/>
      <c r="E398" s="22" t="s">
        <v>1060</v>
      </c>
      <c r="F398" s="29">
        <v>25</v>
      </c>
      <c r="G398" s="22"/>
      <c r="H398" s="64">
        <v>18</v>
      </c>
      <c r="I398" s="22" t="s">
        <v>1061</v>
      </c>
      <c r="J398" s="22" t="s">
        <v>895</v>
      </c>
      <c r="K398" s="34"/>
    </row>
    <row r="399" spans="1:11" x14ac:dyDescent="0.3">
      <c r="A399" s="22" t="s">
        <v>163</v>
      </c>
      <c r="B399" s="22" t="s">
        <v>1140</v>
      </c>
      <c r="C399" s="22" t="s">
        <v>165</v>
      </c>
      <c r="D399" s="23"/>
      <c r="E399" s="22" t="s">
        <v>1284</v>
      </c>
      <c r="F399" s="29">
        <v>25</v>
      </c>
      <c r="G399" s="22"/>
      <c r="H399" s="64">
        <v>18</v>
      </c>
      <c r="I399" s="22" t="s">
        <v>1285</v>
      </c>
      <c r="J399" s="22" t="s">
        <v>1286</v>
      </c>
      <c r="K399" s="34"/>
    </row>
    <row r="400" spans="1:11" x14ac:dyDescent="0.3">
      <c r="A400" s="22" t="s">
        <v>163</v>
      </c>
      <c r="B400" s="22" t="s">
        <v>1321</v>
      </c>
      <c r="C400" s="22" t="s">
        <v>165</v>
      </c>
      <c r="D400" s="23"/>
      <c r="E400" s="22" t="s">
        <v>1458</v>
      </c>
      <c r="F400" s="29">
        <v>25</v>
      </c>
      <c r="G400" s="22"/>
      <c r="H400" s="64">
        <v>18</v>
      </c>
      <c r="I400" s="22" t="s">
        <v>1285</v>
      </c>
      <c r="J400" s="22" t="s">
        <v>1286</v>
      </c>
      <c r="K400" s="34"/>
    </row>
    <row r="401" spans="1:11" x14ac:dyDescent="0.3">
      <c r="A401" s="22" t="s">
        <v>163</v>
      </c>
      <c r="B401" s="22" t="s">
        <v>1487</v>
      </c>
      <c r="C401" s="22" t="s">
        <v>165</v>
      </c>
      <c r="D401" s="23"/>
      <c r="E401" s="22" t="s">
        <v>1578</v>
      </c>
      <c r="F401" s="29">
        <v>25</v>
      </c>
      <c r="G401" s="22"/>
      <c r="H401" s="64">
        <v>18</v>
      </c>
      <c r="I401" s="22" t="s">
        <v>1579</v>
      </c>
      <c r="J401" s="22" t="s">
        <v>645</v>
      </c>
      <c r="K401" s="34"/>
    </row>
    <row r="402" spans="1:11" x14ac:dyDescent="0.3">
      <c r="A402" s="22" t="s">
        <v>163</v>
      </c>
      <c r="B402" s="22" t="s">
        <v>1606</v>
      </c>
      <c r="C402" s="22" t="s">
        <v>165</v>
      </c>
      <c r="D402" s="23"/>
      <c r="E402" s="22" t="s">
        <v>1724</v>
      </c>
      <c r="F402" s="29">
        <v>25</v>
      </c>
      <c r="G402" s="22"/>
      <c r="H402" s="64">
        <v>18</v>
      </c>
      <c r="I402" s="22" t="s">
        <v>1725</v>
      </c>
      <c r="J402" s="22" t="s">
        <v>895</v>
      </c>
      <c r="K402" s="34"/>
    </row>
    <row r="403" spans="1:11" x14ac:dyDescent="0.3">
      <c r="A403" s="22" t="s">
        <v>163</v>
      </c>
      <c r="B403" s="22" t="s">
        <v>1751</v>
      </c>
      <c r="C403" s="22" t="s">
        <v>165</v>
      </c>
      <c r="D403" s="23"/>
      <c r="E403" s="22" t="s">
        <v>1861</v>
      </c>
      <c r="F403" s="29">
        <v>25</v>
      </c>
      <c r="G403" s="22"/>
      <c r="H403" s="22">
        <v>18</v>
      </c>
      <c r="I403" s="22" t="s">
        <v>1725</v>
      </c>
      <c r="J403" s="22" t="s">
        <v>895</v>
      </c>
      <c r="K403" s="34"/>
    </row>
    <row r="404" spans="1:11" x14ac:dyDescent="0.3">
      <c r="A404" s="29" t="s">
        <v>163</v>
      </c>
      <c r="B404" s="29" t="s">
        <v>164</v>
      </c>
      <c r="C404" s="29" t="s">
        <v>165</v>
      </c>
      <c r="D404" s="29"/>
      <c r="E404" s="29" t="s">
        <v>375</v>
      </c>
      <c r="F404" s="29">
        <v>26</v>
      </c>
      <c r="G404" s="29"/>
      <c r="H404" s="29">
        <v>19</v>
      </c>
      <c r="I404" s="22" t="s">
        <v>376</v>
      </c>
      <c r="J404" s="22" t="s">
        <v>377</v>
      </c>
      <c r="K404" s="34"/>
    </row>
    <row r="405" spans="1:11" x14ac:dyDescent="0.3">
      <c r="A405" s="64" t="s">
        <v>163</v>
      </c>
      <c r="B405" s="64" t="s">
        <v>519</v>
      </c>
      <c r="C405" s="64" t="s">
        <v>165</v>
      </c>
      <c r="D405" s="64" t="s">
        <v>520</v>
      </c>
      <c r="E405" s="64" t="s">
        <v>679</v>
      </c>
      <c r="F405" s="29">
        <v>26</v>
      </c>
      <c r="G405" s="64"/>
      <c r="H405" s="64">
        <v>19</v>
      </c>
      <c r="I405" s="22" t="s">
        <v>680</v>
      </c>
      <c r="J405" s="22" t="s">
        <v>681</v>
      </c>
      <c r="K405" s="34"/>
    </row>
    <row r="406" spans="1:11" x14ac:dyDescent="0.3">
      <c r="A406" s="22" t="s">
        <v>163</v>
      </c>
      <c r="B406" s="22" t="s">
        <v>742</v>
      </c>
      <c r="C406" s="22" t="s">
        <v>165</v>
      </c>
      <c r="D406" s="23"/>
      <c r="E406" s="23" t="s">
        <v>896</v>
      </c>
      <c r="F406" s="29">
        <v>26</v>
      </c>
      <c r="G406" s="23"/>
      <c r="H406" s="64">
        <v>19</v>
      </c>
      <c r="I406" s="22" t="s">
        <v>897</v>
      </c>
      <c r="J406" s="22" t="s">
        <v>898</v>
      </c>
      <c r="K406" s="34"/>
    </row>
    <row r="407" spans="1:11" x14ac:dyDescent="0.3">
      <c r="A407" s="22" t="s">
        <v>163</v>
      </c>
      <c r="B407" s="22" t="s">
        <v>931</v>
      </c>
      <c r="C407" s="22" t="s">
        <v>165</v>
      </c>
      <c r="D407" s="23"/>
      <c r="E407" s="22" t="s">
        <v>1062</v>
      </c>
      <c r="F407" s="29">
        <v>26</v>
      </c>
      <c r="G407" s="22"/>
      <c r="H407" s="64">
        <v>19</v>
      </c>
      <c r="I407" s="22" t="s">
        <v>1063</v>
      </c>
      <c r="J407" s="22" t="s">
        <v>898</v>
      </c>
      <c r="K407" s="34"/>
    </row>
    <row r="408" spans="1:11" x14ac:dyDescent="0.3">
      <c r="A408" s="22" t="s">
        <v>163</v>
      </c>
      <c r="B408" s="22" t="s">
        <v>1140</v>
      </c>
      <c r="C408" s="22" t="s">
        <v>165</v>
      </c>
      <c r="D408" s="23"/>
      <c r="E408" s="22" t="s">
        <v>1287</v>
      </c>
      <c r="F408" s="29">
        <v>26</v>
      </c>
      <c r="G408" s="22"/>
      <c r="H408" s="64">
        <v>19</v>
      </c>
      <c r="I408" s="22" t="s">
        <v>1288</v>
      </c>
      <c r="J408" s="22" t="s">
        <v>1289</v>
      </c>
      <c r="K408" s="34"/>
    </row>
    <row r="409" spans="1:11" x14ac:dyDescent="0.3">
      <c r="A409" s="22" t="s">
        <v>163</v>
      </c>
      <c r="B409" s="22" t="s">
        <v>1321</v>
      </c>
      <c r="C409" s="22" t="s">
        <v>165</v>
      </c>
      <c r="D409" s="23"/>
      <c r="E409" s="22" t="s">
        <v>1459</v>
      </c>
      <c r="F409" s="29">
        <v>26</v>
      </c>
      <c r="G409" s="22"/>
      <c r="H409" s="64">
        <v>19</v>
      </c>
      <c r="I409" s="22" t="s">
        <v>1288</v>
      </c>
      <c r="J409" s="22" t="s">
        <v>1289</v>
      </c>
      <c r="K409" s="34"/>
    </row>
    <row r="410" spans="1:11" x14ac:dyDescent="0.3">
      <c r="A410" s="22" t="s">
        <v>163</v>
      </c>
      <c r="B410" s="22" t="s">
        <v>1487</v>
      </c>
      <c r="C410" s="22" t="s">
        <v>165</v>
      </c>
      <c r="D410" s="23"/>
      <c r="E410" s="22" t="s">
        <v>1580</v>
      </c>
      <c r="F410" s="29">
        <v>26</v>
      </c>
      <c r="G410" s="22"/>
      <c r="H410" s="64">
        <v>19</v>
      </c>
      <c r="I410" s="22" t="s">
        <v>1581</v>
      </c>
      <c r="J410" s="22" t="s">
        <v>1582</v>
      </c>
      <c r="K410" s="34"/>
    </row>
    <row r="411" spans="1:11" x14ac:dyDescent="0.3">
      <c r="A411" s="22" t="s">
        <v>163</v>
      </c>
      <c r="B411" s="22" t="s">
        <v>1606</v>
      </c>
      <c r="C411" s="22" t="s">
        <v>165</v>
      </c>
      <c r="D411" s="23"/>
      <c r="E411" s="22" t="s">
        <v>1726</v>
      </c>
      <c r="F411" s="29">
        <v>26</v>
      </c>
      <c r="G411" s="22"/>
      <c r="H411" s="64">
        <v>19</v>
      </c>
      <c r="I411" s="22" t="s">
        <v>1727</v>
      </c>
      <c r="J411" s="22" t="s">
        <v>898</v>
      </c>
      <c r="K411" s="34"/>
    </row>
    <row r="412" spans="1:11" x14ac:dyDescent="0.3">
      <c r="A412" s="22" t="s">
        <v>163</v>
      </c>
      <c r="B412" s="22" t="s">
        <v>1751</v>
      </c>
      <c r="C412" s="22" t="s">
        <v>165</v>
      </c>
      <c r="D412" s="23"/>
      <c r="E412" s="22" t="s">
        <v>1862</v>
      </c>
      <c r="F412" s="29">
        <v>26</v>
      </c>
      <c r="G412" s="22"/>
      <c r="H412" s="22">
        <v>19</v>
      </c>
      <c r="I412" s="22" t="s">
        <v>1727</v>
      </c>
      <c r="J412" s="22" t="s">
        <v>898</v>
      </c>
      <c r="K412" s="34"/>
    </row>
    <row r="413" spans="1:11" x14ac:dyDescent="0.3">
      <c r="A413" s="29" t="s">
        <v>163</v>
      </c>
      <c r="B413" s="29" t="s">
        <v>164</v>
      </c>
      <c r="C413" s="29" t="s">
        <v>165</v>
      </c>
      <c r="D413" s="29"/>
      <c r="E413" s="29" t="s">
        <v>378</v>
      </c>
      <c r="F413" s="29">
        <v>27</v>
      </c>
      <c r="G413" s="29"/>
      <c r="H413" s="29">
        <v>20</v>
      </c>
      <c r="I413" s="22" t="s">
        <v>379</v>
      </c>
      <c r="J413" s="22" t="s">
        <v>380</v>
      </c>
      <c r="K413" s="34"/>
    </row>
    <row r="414" spans="1:11" x14ac:dyDescent="0.3">
      <c r="A414" s="64" t="s">
        <v>163</v>
      </c>
      <c r="B414" s="64" t="s">
        <v>519</v>
      </c>
      <c r="C414" s="64" t="s">
        <v>165</v>
      </c>
      <c r="D414" s="64" t="s">
        <v>520</v>
      </c>
      <c r="E414" s="64" t="s">
        <v>682</v>
      </c>
      <c r="F414" s="29">
        <v>27</v>
      </c>
      <c r="G414" s="64"/>
      <c r="H414" s="64">
        <v>20</v>
      </c>
      <c r="I414" s="22" t="s">
        <v>683</v>
      </c>
      <c r="J414" s="22" t="s">
        <v>684</v>
      </c>
      <c r="K414" s="34"/>
    </row>
    <row r="415" spans="1:11" x14ac:dyDescent="0.3">
      <c r="A415" s="22" t="s">
        <v>163</v>
      </c>
      <c r="B415" s="22" t="s">
        <v>742</v>
      </c>
      <c r="C415" s="22" t="s">
        <v>165</v>
      </c>
      <c r="D415" s="23"/>
      <c r="E415" s="23" t="s">
        <v>899</v>
      </c>
      <c r="F415" s="29">
        <v>27</v>
      </c>
      <c r="G415" s="23"/>
      <c r="H415" s="64">
        <v>20</v>
      </c>
      <c r="I415" s="22" t="s">
        <v>900</v>
      </c>
      <c r="J415" s="22" t="s">
        <v>901</v>
      </c>
      <c r="K415" s="34"/>
    </row>
    <row r="416" spans="1:11" x14ac:dyDescent="0.3">
      <c r="A416" s="22" t="s">
        <v>163</v>
      </c>
      <c r="B416" s="22" t="s">
        <v>931</v>
      </c>
      <c r="C416" s="22" t="s">
        <v>165</v>
      </c>
      <c r="D416" s="23"/>
      <c r="E416" s="22" t="s">
        <v>1064</v>
      </c>
      <c r="F416" s="29">
        <v>27</v>
      </c>
      <c r="G416" s="22"/>
      <c r="H416" s="64">
        <v>20</v>
      </c>
      <c r="I416" s="22" t="s">
        <v>1065</v>
      </c>
      <c r="J416" s="22" t="s">
        <v>901</v>
      </c>
      <c r="K416" s="34"/>
    </row>
    <row r="417" spans="1:11" x14ac:dyDescent="0.3">
      <c r="A417" s="22" t="s">
        <v>163</v>
      </c>
      <c r="B417" s="22" t="s">
        <v>1140</v>
      </c>
      <c r="C417" s="22" t="s">
        <v>165</v>
      </c>
      <c r="D417" s="23"/>
      <c r="E417" s="22" t="s">
        <v>1290</v>
      </c>
      <c r="F417" s="29">
        <v>27</v>
      </c>
      <c r="G417" s="22"/>
      <c r="H417" s="64">
        <v>20</v>
      </c>
      <c r="I417" s="22" t="s">
        <v>1291</v>
      </c>
      <c r="J417" s="22" t="s">
        <v>1292</v>
      </c>
      <c r="K417" s="34"/>
    </row>
    <row r="418" spans="1:11" x14ac:dyDescent="0.3">
      <c r="A418" s="22" t="s">
        <v>163</v>
      </c>
      <c r="B418" s="22" t="s">
        <v>1321</v>
      </c>
      <c r="C418" s="22" t="s">
        <v>165</v>
      </c>
      <c r="D418" s="23"/>
      <c r="E418" s="22" t="s">
        <v>1460</v>
      </c>
      <c r="F418" s="29">
        <v>27</v>
      </c>
      <c r="G418" s="22"/>
      <c r="H418" s="64">
        <v>20</v>
      </c>
      <c r="I418" s="22" t="s">
        <v>1291</v>
      </c>
      <c r="J418" s="22" t="s">
        <v>1292</v>
      </c>
      <c r="K418" s="34"/>
    </row>
    <row r="419" spans="1:11" x14ac:dyDescent="0.3">
      <c r="A419" s="22" t="s">
        <v>163</v>
      </c>
      <c r="B419" s="22" t="s">
        <v>1487</v>
      </c>
      <c r="C419" s="22" t="s">
        <v>165</v>
      </c>
      <c r="D419" s="23"/>
      <c r="E419" s="22" t="s">
        <v>1583</v>
      </c>
      <c r="F419" s="29">
        <v>27</v>
      </c>
      <c r="G419" s="22"/>
      <c r="H419" s="64">
        <v>20</v>
      </c>
      <c r="I419" s="22" t="s">
        <v>1584</v>
      </c>
      <c r="J419" s="22" t="s">
        <v>1585</v>
      </c>
      <c r="K419" s="34"/>
    </row>
    <row r="420" spans="1:11" x14ac:dyDescent="0.3">
      <c r="A420" s="22" t="s">
        <v>163</v>
      </c>
      <c r="B420" s="22" t="s">
        <v>1606</v>
      </c>
      <c r="C420" s="22" t="s">
        <v>165</v>
      </c>
      <c r="D420" s="23"/>
      <c r="E420" s="22" t="s">
        <v>1728</v>
      </c>
      <c r="F420" s="29">
        <v>27</v>
      </c>
      <c r="G420" s="22"/>
      <c r="H420" s="64">
        <v>20</v>
      </c>
      <c r="I420" s="22" t="s">
        <v>1729</v>
      </c>
      <c r="J420" s="22" t="s">
        <v>901</v>
      </c>
      <c r="K420" s="34"/>
    </row>
    <row r="421" spans="1:11" x14ac:dyDescent="0.3">
      <c r="A421" s="22" t="s">
        <v>163</v>
      </c>
      <c r="B421" s="22" t="s">
        <v>1751</v>
      </c>
      <c r="C421" s="22" t="s">
        <v>165</v>
      </c>
      <c r="D421" s="23"/>
      <c r="E421" s="22" t="s">
        <v>1863</v>
      </c>
      <c r="F421" s="29">
        <v>27</v>
      </c>
      <c r="G421" s="22"/>
      <c r="H421" s="22">
        <v>20</v>
      </c>
      <c r="I421" s="22" t="s">
        <v>1729</v>
      </c>
      <c r="J421" s="22" t="s">
        <v>901</v>
      </c>
      <c r="K421" s="34"/>
    </row>
    <row r="422" spans="1:11" x14ac:dyDescent="0.3">
      <c r="A422" s="23" t="s">
        <v>163</v>
      </c>
      <c r="B422" s="23" t="s">
        <v>164</v>
      </c>
      <c r="C422" s="23" t="s">
        <v>165</v>
      </c>
      <c r="D422" s="23"/>
      <c r="E422" s="23" t="s">
        <v>166</v>
      </c>
      <c r="F422" s="23"/>
      <c r="G422" s="23">
        <v>1</v>
      </c>
      <c r="H422" s="23"/>
      <c r="I422" s="22" t="s">
        <v>167</v>
      </c>
      <c r="J422" s="22"/>
      <c r="K422" s="34"/>
    </row>
    <row r="423" spans="1:11" x14ac:dyDescent="0.3">
      <c r="A423" s="23" t="s">
        <v>163</v>
      </c>
      <c r="B423" s="23" t="s">
        <v>164</v>
      </c>
      <c r="C423" s="23" t="s">
        <v>165</v>
      </c>
      <c r="D423" s="23"/>
      <c r="E423" s="23" t="s">
        <v>168</v>
      </c>
      <c r="F423" s="23"/>
      <c r="G423" s="23">
        <v>1</v>
      </c>
      <c r="H423" s="23"/>
      <c r="I423" s="22" t="s">
        <v>167</v>
      </c>
      <c r="J423" s="22"/>
      <c r="K423" s="34"/>
    </row>
    <row r="424" spans="1:11" x14ac:dyDescent="0.3">
      <c r="A424" s="23" t="s">
        <v>163</v>
      </c>
      <c r="B424" s="23" t="s">
        <v>164</v>
      </c>
      <c r="C424" s="23" t="s">
        <v>165</v>
      </c>
      <c r="D424" s="23"/>
      <c r="E424" s="23" t="s">
        <v>169</v>
      </c>
      <c r="F424" s="23"/>
      <c r="G424" s="23">
        <v>5</v>
      </c>
      <c r="H424" s="23"/>
      <c r="I424" s="64" t="s">
        <v>170</v>
      </c>
      <c r="J424" s="22"/>
      <c r="K424" s="34"/>
    </row>
    <row r="425" spans="1:11" x14ac:dyDescent="0.3">
      <c r="A425" s="23" t="s">
        <v>163</v>
      </c>
      <c r="B425" s="23" t="s">
        <v>164</v>
      </c>
      <c r="C425" s="23" t="s">
        <v>165</v>
      </c>
      <c r="D425" s="23"/>
      <c r="E425" s="23" t="s">
        <v>171</v>
      </c>
      <c r="F425" s="23"/>
      <c r="G425" s="23">
        <v>5</v>
      </c>
      <c r="H425" s="23"/>
      <c r="I425" s="64" t="s">
        <v>172</v>
      </c>
      <c r="J425" s="22"/>
      <c r="K425" s="34"/>
    </row>
    <row r="426" spans="1:11" x14ac:dyDescent="0.3">
      <c r="A426" s="23" t="s">
        <v>163</v>
      </c>
      <c r="B426" s="23" t="s">
        <v>164</v>
      </c>
      <c r="C426" s="23" t="s">
        <v>165</v>
      </c>
      <c r="D426" s="23"/>
      <c r="E426" s="23" t="s">
        <v>173</v>
      </c>
      <c r="F426" s="23"/>
      <c r="G426" s="23">
        <v>5</v>
      </c>
      <c r="H426" s="23"/>
      <c r="I426" s="64" t="s">
        <v>174</v>
      </c>
      <c r="J426" s="22"/>
      <c r="K426" s="34"/>
    </row>
    <row r="427" spans="1:11" x14ac:dyDescent="0.3">
      <c r="A427" s="23" t="s">
        <v>163</v>
      </c>
      <c r="B427" s="23" t="s">
        <v>164</v>
      </c>
      <c r="C427" s="23" t="s">
        <v>165</v>
      </c>
      <c r="D427" s="23"/>
      <c r="E427" s="23" t="s">
        <v>175</v>
      </c>
      <c r="F427" s="23"/>
      <c r="G427" s="23">
        <v>10</v>
      </c>
      <c r="H427" s="23"/>
      <c r="I427" s="64" t="s">
        <v>176</v>
      </c>
      <c r="J427" s="22"/>
      <c r="K427" s="34"/>
    </row>
    <row r="428" spans="1:11" x14ac:dyDescent="0.3">
      <c r="A428" s="23" t="s">
        <v>163</v>
      </c>
      <c r="B428" s="23" t="s">
        <v>164</v>
      </c>
      <c r="C428" s="23" t="s">
        <v>165</v>
      </c>
      <c r="D428" s="23"/>
      <c r="E428" s="23" t="s">
        <v>177</v>
      </c>
      <c r="F428" s="23"/>
      <c r="G428" s="23">
        <v>10</v>
      </c>
      <c r="H428" s="23"/>
      <c r="I428" s="64" t="s">
        <v>178</v>
      </c>
      <c r="J428" s="22"/>
      <c r="K428" s="34"/>
    </row>
    <row r="429" spans="1:11" x14ac:dyDescent="0.3">
      <c r="A429" s="23" t="s">
        <v>163</v>
      </c>
      <c r="B429" s="23" t="s">
        <v>164</v>
      </c>
      <c r="C429" s="23" t="s">
        <v>165</v>
      </c>
      <c r="D429" s="23"/>
      <c r="E429" s="23" t="s">
        <v>179</v>
      </c>
      <c r="F429" s="23"/>
      <c r="G429" s="23">
        <v>10</v>
      </c>
      <c r="H429" s="23"/>
      <c r="I429" s="64" t="s">
        <v>180</v>
      </c>
      <c r="J429" s="22"/>
      <c r="K429" s="34"/>
    </row>
    <row r="430" spans="1:11" x14ac:dyDescent="0.3">
      <c r="A430" s="23" t="s">
        <v>163</v>
      </c>
      <c r="B430" s="23" t="s">
        <v>164</v>
      </c>
      <c r="C430" s="23" t="s">
        <v>165</v>
      </c>
      <c r="D430" s="23"/>
      <c r="E430" s="23" t="s">
        <v>181</v>
      </c>
      <c r="F430" s="23"/>
      <c r="G430" s="23">
        <v>15</v>
      </c>
      <c r="H430" s="23"/>
      <c r="I430" s="64" t="s">
        <v>182</v>
      </c>
      <c r="J430" s="22"/>
      <c r="K430" s="34"/>
    </row>
    <row r="431" spans="1:11" x14ac:dyDescent="0.3">
      <c r="A431" s="23" t="s">
        <v>163</v>
      </c>
      <c r="B431" s="23" t="s">
        <v>164</v>
      </c>
      <c r="C431" s="23" t="s">
        <v>165</v>
      </c>
      <c r="D431" s="23"/>
      <c r="E431" s="23" t="s">
        <v>183</v>
      </c>
      <c r="F431" s="23"/>
      <c r="G431" s="23">
        <v>15</v>
      </c>
      <c r="H431" s="23"/>
      <c r="I431" s="64" t="s">
        <v>184</v>
      </c>
      <c r="J431" s="22"/>
      <c r="K431" s="34"/>
    </row>
    <row r="432" spans="1:11" x14ac:dyDescent="0.3">
      <c r="A432" s="23" t="s">
        <v>163</v>
      </c>
      <c r="B432" s="23" t="s">
        <v>164</v>
      </c>
      <c r="C432" s="23" t="s">
        <v>165</v>
      </c>
      <c r="D432" s="23"/>
      <c r="E432" s="23" t="s">
        <v>185</v>
      </c>
      <c r="F432" s="23"/>
      <c r="G432" s="23">
        <v>20</v>
      </c>
      <c r="H432" s="23"/>
      <c r="I432" s="64" t="s">
        <v>186</v>
      </c>
      <c r="J432" s="22"/>
      <c r="K432" s="34"/>
    </row>
    <row r="433" spans="1:11" x14ac:dyDescent="0.3">
      <c r="A433" s="23" t="s">
        <v>163</v>
      </c>
      <c r="B433" s="23" t="s">
        <v>164</v>
      </c>
      <c r="C433" s="23" t="s">
        <v>165</v>
      </c>
      <c r="D433" s="23"/>
      <c r="E433" s="23" t="s">
        <v>187</v>
      </c>
      <c r="F433" s="23"/>
      <c r="G433" s="23">
        <v>20</v>
      </c>
      <c r="H433" s="23"/>
      <c r="I433" s="22" t="s">
        <v>188</v>
      </c>
      <c r="J433" s="22"/>
      <c r="K433" s="34"/>
    </row>
    <row r="434" spans="1:11" x14ac:dyDescent="0.3">
      <c r="A434" s="23" t="s">
        <v>163</v>
      </c>
      <c r="B434" s="23" t="s">
        <v>164</v>
      </c>
      <c r="C434" s="23" t="s">
        <v>165</v>
      </c>
      <c r="D434" s="23"/>
      <c r="E434" s="23" t="s">
        <v>189</v>
      </c>
      <c r="F434" s="23"/>
      <c r="G434" s="23">
        <v>20</v>
      </c>
      <c r="H434" s="23"/>
      <c r="I434" s="22" t="s">
        <v>190</v>
      </c>
      <c r="J434" s="22"/>
      <c r="K434" s="34"/>
    </row>
    <row r="435" spans="1:11" x14ac:dyDescent="0.3">
      <c r="A435" s="23" t="s">
        <v>163</v>
      </c>
      <c r="B435" s="23" t="s">
        <v>164</v>
      </c>
      <c r="C435" s="23" t="s">
        <v>165</v>
      </c>
      <c r="D435" s="23"/>
      <c r="E435" s="23" t="s">
        <v>191</v>
      </c>
      <c r="F435" s="23"/>
      <c r="G435" s="23">
        <v>20</v>
      </c>
      <c r="H435" s="23"/>
      <c r="I435" s="22" t="s">
        <v>192</v>
      </c>
      <c r="J435" s="22"/>
      <c r="K435" s="34"/>
    </row>
    <row r="436" spans="1:11" x14ac:dyDescent="0.3">
      <c r="A436" s="23" t="s">
        <v>163</v>
      </c>
      <c r="B436" s="23" t="s">
        <v>164</v>
      </c>
      <c r="C436" s="23" t="s">
        <v>165</v>
      </c>
      <c r="D436" s="23"/>
      <c r="E436" s="23" t="s">
        <v>193</v>
      </c>
      <c r="F436" s="23"/>
      <c r="G436" s="23">
        <v>20</v>
      </c>
      <c r="H436" s="23"/>
      <c r="I436" s="22" t="s">
        <v>194</v>
      </c>
      <c r="J436" s="22"/>
      <c r="K436" s="34"/>
    </row>
    <row r="437" spans="1:11" x14ac:dyDescent="0.3">
      <c r="A437" s="23" t="s">
        <v>163</v>
      </c>
      <c r="B437" s="23" t="s">
        <v>164</v>
      </c>
      <c r="C437" s="23" t="s">
        <v>165</v>
      </c>
      <c r="D437" s="23"/>
      <c r="E437" s="23" t="s">
        <v>195</v>
      </c>
      <c r="F437" s="23"/>
      <c r="G437" s="23">
        <v>20</v>
      </c>
      <c r="H437" s="23"/>
      <c r="I437" s="22" t="s">
        <v>196</v>
      </c>
      <c r="J437" s="22"/>
      <c r="K437" s="34"/>
    </row>
    <row r="438" spans="1:11" x14ac:dyDescent="0.3">
      <c r="A438" s="23" t="s">
        <v>163</v>
      </c>
      <c r="B438" s="23" t="s">
        <v>164</v>
      </c>
      <c r="C438" s="23" t="s">
        <v>165</v>
      </c>
      <c r="D438" s="23"/>
      <c r="E438" s="23" t="s">
        <v>197</v>
      </c>
      <c r="F438" s="23"/>
      <c r="G438" s="23">
        <v>25</v>
      </c>
      <c r="H438" s="23"/>
      <c r="I438" s="22" t="s">
        <v>198</v>
      </c>
      <c r="J438" s="22"/>
      <c r="K438" s="73"/>
    </row>
    <row r="439" spans="1:11" x14ac:dyDescent="0.3">
      <c r="A439" s="23" t="s">
        <v>163</v>
      </c>
      <c r="B439" s="23" t="s">
        <v>164</v>
      </c>
      <c r="C439" s="23" t="s">
        <v>165</v>
      </c>
      <c r="D439" s="23"/>
      <c r="E439" s="23" t="s">
        <v>199</v>
      </c>
      <c r="F439" s="23"/>
      <c r="G439" s="23">
        <v>30</v>
      </c>
      <c r="H439" s="23"/>
      <c r="I439" s="62" t="s">
        <v>200</v>
      </c>
      <c r="J439" s="62" t="s">
        <v>201</v>
      </c>
      <c r="K439" s="34"/>
    </row>
    <row r="440" spans="1:11" x14ac:dyDescent="0.3">
      <c r="A440" s="29" t="s">
        <v>163</v>
      </c>
      <c r="B440" s="29" t="s">
        <v>164</v>
      </c>
      <c r="C440" s="29" t="s">
        <v>165</v>
      </c>
      <c r="D440" s="29"/>
      <c r="E440" s="29" t="s">
        <v>303</v>
      </c>
      <c r="F440" s="29"/>
      <c r="G440" s="29"/>
      <c r="H440" s="29"/>
      <c r="I440" s="22" t="s">
        <v>304</v>
      </c>
      <c r="J440" s="22" t="s">
        <v>305</v>
      </c>
      <c r="K440" s="34"/>
    </row>
    <row r="441" spans="1:11" x14ac:dyDescent="0.3">
      <c r="A441" s="29" t="s">
        <v>163</v>
      </c>
      <c r="B441" s="29" t="s">
        <v>164</v>
      </c>
      <c r="C441" s="29" t="s">
        <v>165</v>
      </c>
      <c r="D441" s="29"/>
      <c r="E441" s="29" t="s">
        <v>306</v>
      </c>
      <c r="F441" s="29"/>
      <c r="G441" s="29"/>
      <c r="H441" s="29"/>
      <c r="I441" s="22" t="s">
        <v>307</v>
      </c>
      <c r="J441" s="22" t="s">
        <v>308</v>
      </c>
      <c r="K441" s="34"/>
    </row>
    <row r="442" spans="1:11" x14ac:dyDescent="0.3">
      <c r="A442" s="29" t="s">
        <v>163</v>
      </c>
      <c r="B442" s="29" t="s">
        <v>164</v>
      </c>
      <c r="C442" s="29" t="s">
        <v>165</v>
      </c>
      <c r="D442" s="29"/>
      <c r="E442" s="29" t="s">
        <v>309</v>
      </c>
      <c r="F442" s="29"/>
      <c r="G442" s="29"/>
      <c r="H442" s="29"/>
      <c r="I442" s="22" t="s">
        <v>310</v>
      </c>
      <c r="J442" s="22" t="s">
        <v>311</v>
      </c>
      <c r="K442" s="34"/>
    </row>
    <row r="443" spans="1:11" x14ac:dyDescent="0.3">
      <c r="A443" s="29" t="s">
        <v>163</v>
      </c>
      <c r="B443" s="29" t="s">
        <v>164</v>
      </c>
      <c r="C443" s="29" t="s">
        <v>165</v>
      </c>
      <c r="D443" s="29"/>
      <c r="E443" s="29" t="s">
        <v>312</v>
      </c>
      <c r="F443" s="29"/>
      <c r="G443" s="29"/>
      <c r="H443" s="29"/>
      <c r="I443" s="22" t="s">
        <v>313</v>
      </c>
      <c r="J443" s="22" t="s">
        <v>314</v>
      </c>
      <c r="K443" s="34"/>
    </row>
    <row r="444" spans="1:11" x14ac:dyDescent="0.3">
      <c r="A444" s="29" t="s">
        <v>163</v>
      </c>
      <c r="B444" s="29" t="s">
        <v>164</v>
      </c>
      <c r="C444" s="29" t="s">
        <v>165</v>
      </c>
      <c r="D444" s="29"/>
      <c r="E444" s="29" t="s">
        <v>333</v>
      </c>
      <c r="F444" s="29"/>
      <c r="G444" s="29"/>
      <c r="H444" s="29"/>
      <c r="I444" s="22" t="s">
        <v>334</v>
      </c>
      <c r="J444" s="22" t="s">
        <v>335</v>
      </c>
      <c r="K444" s="34"/>
    </row>
    <row r="445" spans="1:11" x14ac:dyDescent="0.3">
      <c r="A445" s="29" t="s">
        <v>163</v>
      </c>
      <c r="B445" s="29" t="s">
        <v>164</v>
      </c>
      <c r="C445" s="29" t="s">
        <v>165</v>
      </c>
      <c r="D445" s="29"/>
      <c r="E445" s="29" t="s">
        <v>336</v>
      </c>
      <c r="F445" s="29"/>
      <c r="G445" s="29"/>
      <c r="H445" s="29"/>
      <c r="I445" s="22" t="s">
        <v>337</v>
      </c>
      <c r="J445" s="22" t="s">
        <v>338</v>
      </c>
      <c r="K445" s="34"/>
    </row>
    <row r="446" spans="1:11" x14ac:dyDescent="0.3">
      <c r="A446" s="29" t="s">
        <v>163</v>
      </c>
      <c r="B446" s="29" t="s">
        <v>164</v>
      </c>
      <c r="C446" s="29" t="s">
        <v>165</v>
      </c>
      <c r="D446" s="29"/>
      <c r="E446" s="29" t="s">
        <v>339</v>
      </c>
      <c r="F446" s="29"/>
      <c r="G446" s="29"/>
      <c r="H446" s="29"/>
      <c r="I446" s="22" t="s">
        <v>340</v>
      </c>
      <c r="J446" s="22" t="s">
        <v>341</v>
      </c>
      <c r="K446" s="34"/>
    </row>
    <row r="447" spans="1:11" x14ac:dyDescent="0.3">
      <c r="A447" s="29" t="s">
        <v>163</v>
      </c>
      <c r="B447" s="29" t="s">
        <v>164</v>
      </c>
      <c r="C447" s="29" t="s">
        <v>165</v>
      </c>
      <c r="D447" s="29"/>
      <c r="E447" s="29" t="s">
        <v>342</v>
      </c>
      <c r="F447" s="29"/>
      <c r="G447" s="29"/>
      <c r="H447" s="29"/>
      <c r="I447" s="22" t="s">
        <v>343</v>
      </c>
      <c r="J447" s="22" t="s">
        <v>344</v>
      </c>
      <c r="K447" s="34"/>
    </row>
    <row r="448" spans="1:11" x14ac:dyDescent="0.3">
      <c r="A448" s="29" t="s">
        <v>163</v>
      </c>
      <c r="B448" s="29" t="s">
        <v>164</v>
      </c>
      <c r="C448" s="29" t="s">
        <v>165</v>
      </c>
      <c r="D448" s="29"/>
      <c r="E448" s="29" t="s">
        <v>345</v>
      </c>
      <c r="F448" s="29"/>
      <c r="G448" s="29"/>
      <c r="H448" s="29"/>
      <c r="I448" s="22" t="s">
        <v>346</v>
      </c>
      <c r="J448" s="22" t="s">
        <v>347</v>
      </c>
      <c r="K448" s="34"/>
    </row>
    <row r="449" spans="1:11" x14ac:dyDescent="0.3">
      <c r="A449" s="29" t="s">
        <v>163</v>
      </c>
      <c r="B449" s="29" t="s">
        <v>164</v>
      </c>
      <c r="C449" s="29" t="s">
        <v>165</v>
      </c>
      <c r="D449" s="29"/>
      <c r="E449" s="29" t="s">
        <v>348</v>
      </c>
      <c r="F449" s="29"/>
      <c r="G449" s="29"/>
      <c r="H449" s="29"/>
      <c r="I449" s="22" t="s">
        <v>349</v>
      </c>
      <c r="J449" s="22" t="s">
        <v>350</v>
      </c>
      <c r="K449" s="34"/>
    </row>
    <row r="450" spans="1:11" x14ac:dyDescent="0.3">
      <c r="A450" s="26" t="s">
        <v>163</v>
      </c>
      <c r="B450" s="26" t="s">
        <v>164</v>
      </c>
      <c r="C450" s="26" t="s">
        <v>165</v>
      </c>
      <c r="D450" s="26"/>
      <c r="E450" s="26" t="s">
        <v>381</v>
      </c>
      <c r="F450" s="26"/>
      <c r="G450" s="26">
        <v>1</v>
      </c>
      <c r="H450" s="26"/>
      <c r="I450" s="22" t="s">
        <v>382</v>
      </c>
      <c r="J450" s="22"/>
      <c r="K450" s="34"/>
    </row>
    <row r="451" spans="1:11" x14ac:dyDescent="0.3">
      <c r="A451" s="26" t="s">
        <v>163</v>
      </c>
      <c r="B451" s="26" t="s">
        <v>164</v>
      </c>
      <c r="C451" s="26" t="s">
        <v>165</v>
      </c>
      <c r="D451" s="26"/>
      <c r="E451" s="26" t="s">
        <v>383</v>
      </c>
      <c r="F451" s="26"/>
      <c r="G451" s="26">
        <v>1</v>
      </c>
      <c r="H451" s="26"/>
      <c r="I451" s="22" t="s">
        <v>384</v>
      </c>
      <c r="J451" s="22"/>
      <c r="K451" s="34"/>
    </row>
    <row r="452" spans="1:11" x14ac:dyDescent="0.3">
      <c r="A452" s="26" t="s">
        <v>163</v>
      </c>
      <c r="B452" s="26" t="s">
        <v>164</v>
      </c>
      <c r="C452" s="26" t="s">
        <v>165</v>
      </c>
      <c r="D452" s="26"/>
      <c r="E452" s="26" t="s">
        <v>385</v>
      </c>
      <c r="F452" s="26"/>
      <c r="G452" s="26">
        <v>1</v>
      </c>
      <c r="H452" s="26"/>
      <c r="I452" s="22" t="s">
        <v>386</v>
      </c>
      <c r="J452" s="22"/>
      <c r="K452" s="34"/>
    </row>
    <row r="453" spans="1:11" x14ac:dyDescent="0.3">
      <c r="A453" s="26" t="s">
        <v>163</v>
      </c>
      <c r="B453" s="26" t="s">
        <v>164</v>
      </c>
      <c r="C453" s="26" t="s">
        <v>165</v>
      </c>
      <c r="D453" s="26"/>
      <c r="E453" s="26" t="s">
        <v>387</v>
      </c>
      <c r="F453" s="26"/>
      <c r="G453" s="26"/>
      <c r="H453" s="26"/>
      <c r="I453" s="22" t="s">
        <v>388</v>
      </c>
      <c r="J453" s="22" t="s">
        <v>201</v>
      </c>
      <c r="K453" s="34"/>
    </row>
    <row r="454" spans="1:11" x14ac:dyDescent="0.3">
      <c r="A454" s="26" t="s">
        <v>163</v>
      </c>
      <c r="B454" s="26" t="s">
        <v>164</v>
      </c>
      <c r="C454" s="26" t="s">
        <v>165</v>
      </c>
      <c r="D454" s="26"/>
      <c r="E454" s="26" t="s">
        <v>389</v>
      </c>
      <c r="F454" s="29"/>
      <c r="G454" s="26"/>
      <c r="H454" s="26"/>
      <c r="I454" s="22" t="s">
        <v>390</v>
      </c>
      <c r="J454" s="22" t="s">
        <v>201</v>
      </c>
      <c r="K454" s="34"/>
    </row>
    <row r="455" spans="1:11" x14ac:dyDescent="0.3">
      <c r="A455" s="26" t="s">
        <v>163</v>
      </c>
      <c r="B455" s="26" t="s">
        <v>164</v>
      </c>
      <c r="C455" s="26" t="s">
        <v>165</v>
      </c>
      <c r="D455" s="26"/>
      <c r="E455" s="26" t="s">
        <v>391</v>
      </c>
      <c r="F455" s="26"/>
      <c r="G455" s="26"/>
      <c r="H455" s="26"/>
      <c r="I455" s="22" t="s">
        <v>392</v>
      </c>
      <c r="J455" s="22" t="s">
        <v>201</v>
      </c>
      <c r="K455" s="34"/>
    </row>
    <row r="456" spans="1:11" x14ac:dyDescent="0.3">
      <c r="A456" s="26" t="s">
        <v>163</v>
      </c>
      <c r="B456" s="26" t="s">
        <v>164</v>
      </c>
      <c r="C456" s="26" t="s">
        <v>165</v>
      </c>
      <c r="D456" s="26"/>
      <c r="E456" s="26" t="s">
        <v>393</v>
      </c>
      <c r="F456" s="26"/>
      <c r="G456" s="26"/>
      <c r="H456" s="26"/>
      <c r="I456" s="22" t="s">
        <v>394</v>
      </c>
      <c r="J456" s="22" t="s">
        <v>201</v>
      </c>
      <c r="K456" s="34"/>
    </row>
    <row r="457" spans="1:11" x14ac:dyDescent="0.3">
      <c r="A457" s="26" t="s">
        <v>163</v>
      </c>
      <c r="B457" s="26" t="s">
        <v>164</v>
      </c>
      <c r="C457" s="26" t="s">
        <v>165</v>
      </c>
      <c r="D457" s="26"/>
      <c r="E457" s="26" t="s">
        <v>395</v>
      </c>
      <c r="F457" s="26"/>
      <c r="G457" s="26"/>
      <c r="H457" s="26"/>
      <c r="I457" s="22"/>
      <c r="J457" s="22" t="s">
        <v>201</v>
      </c>
      <c r="K457" s="34"/>
    </row>
    <row r="458" spans="1:11" x14ac:dyDescent="0.3">
      <c r="A458" s="26" t="s">
        <v>163</v>
      </c>
      <c r="B458" s="26" t="s">
        <v>164</v>
      </c>
      <c r="C458" s="26" t="s">
        <v>165</v>
      </c>
      <c r="D458" s="26"/>
      <c r="E458" s="26" t="s">
        <v>396</v>
      </c>
      <c r="F458" s="26"/>
      <c r="G458" s="26"/>
      <c r="H458" s="26"/>
      <c r="I458" s="22"/>
      <c r="J458" s="22" t="s">
        <v>201</v>
      </c>
      <c r="K458" s="34"/>
    </row>
    <row r="459" spans="1:11" x14ac:dyDescent="0.3">
      <c r="A459" s="26" t="s">
        <v>163</v>
      </c>
      <c r="B459" s="26" t="s">
        <v>164</v>
      </c>
      <c r="C459" s="26" t="s">
        <v>165</v>
      </c>
      <c r="D459" s="26"/>
      <c r="E459" s="26" t="s">
        <v>397</v>
      </c>
      <c r="F459" s="26"/>
      <c r="G459" s="26"/>
      <c r="H459" s="26"/>
      <c r="I459" s="22" t="s">
        <v>398</v>
      </c>
      <c r="J459" s="22" t="s">
        <v>201</v>
      </c>
      <c r="K459" s="34"/>
    </row>
    <row r="460" spans="1:11" x14ac:dyDescent="0.3">
      <c r="A460" s="26" t="s">
        <v>163</v>
      </c>
      <c r="B460" s="26" t="s">
        <v>164</v>
      </c>
      <c r="C460" s="26" t="s">
        <v>165</v>
      </c>
      <c r="D460" s="26"/>
      <c r="E460" s="26" t="s">
        <v>399</v>
      </c>
      <c r="F460" s="26"/>
      <c r="G460" s="26"/>
      <c r="H460" s="26"/>
      <c r="I460" s="22" t="s">
        <v>398</v>
      </c>
      <c r="J460" s="22" t="s">
        <v>201</v>
      </c>
      <c r="K460" s="34"/>
    </row>
    <row r="461" spans="1:11" x14ac:dyDescent="0.3">
      <c r="A461" s="26" t="s">
        <v>163</v>
      </c>
      <c r="B461" s="26" t="s">
        <v>164</v>
      </c>
      <c r="C461" s="26" t="s">
        <v>165</v>
      </c>
      <c r="D461" s="26"/>
      <c r="E461" s="26" t="s">
        <v>400</v>
      </c>
      <c r="F461" s="26"/>
      <c r="G461" s="26"/>
      <c r="H461" s="26"/>
      <c r="I461" s="22" t="s">
        <v>398</v>
      </c>
      <c r="J461" s="22" t="s">
        <v>201</v>
      </c>
      <c r="K461" s="34"/>
    </row>
    <row r="462" spans="1:11" x14ac:dyDescent="0.3">
      <c r="A462" s="26" t="s">
        <v>163</v>
      </c>
      <c r="B462" s="26" t="s">
        <v>164</v>
      </c>
      <c r="C462" s="26" t="s">
        <v>165</v>
      </c>
      <c r="D462" s="26"/>
      <c r="E462" s="26" t="s">
        <v>401</v>
      </c>
      <c r="F462" s="26"/>
      <c r="G462" s="26"/>
      <c r="H462" s="26"/>
      <c r="I462" s="22" t="s">
        <v>398</v>
      </c>
      <c r="J462" s="22"/>
      <c r="K462" s="34"/>
    </row>
    <row r="463" spans="1:11" x14ac:dyDescent="0.3">
      <c r="A463" s="26" t="s">
        <v>163</v>
      </c>
      <c r="B463" s="26" t="s">
        <v>164</v>
      </c>
      <c r="C463" s="26" t="s">
        <v>165</v>
      </c>
      <c r="D463" s="26"/>
      <c r="E463" s="26" t="s">
        <v>402</v>
      </c>
      <c r="F463" s="26"/>
      <c r="G463" s="26"/>
      <c r="H463" s="26"/>
      <c r="I463" s="22" t="s">
        <v>398</v>
      </c>
      <c r="J463" s="22"/>
      <c r="K463" s="34"/>
    </row>
    <row r="464" spans="1:11" x14ac:dyDescent="0.3">
      <c r="A464" s="26" t="s">
        <v>163</v>
      </c>
      <c r="B464" s="26" t="s">
        <v>164</v>
      </c>
      <c r="C464" s="26" t="s">
        <v>165</v>
      </c>
      <c r="D464" s="26"/>
      <c r="E464" s="26" t="s">
        <v>403</v>
      </c>
      <c r="F464" s="26"/>
      <c r="G464" s="26"/>
      <c r="H464" s="26"/>
      <c r="I464" s="22" t="s">
        <v>398</v>
      </c>
      <c r="J464" s="22"/>
      <c r="K464" s="34"/>
    </row>
    <row r="465" spans="1:11" x14ac:dyDescent="0.3">
      <c r="A465" s="26" t="s">
        <v>163</v>
      </c>
      <c r="B465" s="26" t="s">
        <v>164</v>
      </c>
      <c r="C465" s="26" t="s">
        <v>165</v>
      </c>
      <c r="D465" s="26"/>
      <c r="E465" s="26" t="s">
        <v>404</v>
      </c>
      <c r="F465" s="26"/>
      <c r="G465" s="26"/>
      <c r="H465" s="26"/>
      <c r="I465" s="22" t="s">
        <v>398</v>
      </c>
      <c r="J465" s="22"/>
      <c r="K465" s="34"/>
    </row>
    <row r="466" spans="1:11" x14ac:dyDescent="0.3">
      <c r="A466" s="26" t="s">
        <v>163</v>
      </c>
      <c r="B466" s="26" t="s">
        <v>164</v>
      </c>
      <c r="C466" s="26" t="s">
        <v>165</v>
      </c>
      <c r="D466" s="26"/>
      <c r="E466" s="26" t="s">
        <v>405</v>
      </c>
      <c r="F466" s="26"/>
      <c r="G466" s="26"/>
      <c r="H466" s="26"/>
      <c r="I466" s="22" t="s">
        <v>406</v>
      </c>
      <c r="J466" s="22" t="s">
        <v>201</v>
      </c>
      <c r="K466" s="34"/>
    </row>
    <row r="467" spans="1:11" x14ac:dyDescent="0.3">
      <c r="A467" s="26" t="s">
        <v>163</v>
      </c>
      <c r="B467" s="26" t="s">
        <v>164</v>
      </c>
      <c r="C467" s="26" t="s">
        <v>165</v>
      </c>
      <c r="D467" s="26"/>
      <c r="E467" s="26" t="s">
        <v>407</v>
      </c>
      <c r="F467" s="26"/>
      <c r="G467" s="26"/>
      <c r="H467" s="26"/>
      <c r="I467" s="22" t="s">
        <v>406</v>
      </c>
      <c r="J467" s="22" t="s">
        <v>201</v>
      </c>
      <c r="K467" s="34"/>
    </row>
    <row r="468" spans="1:11" x14ac:dyDescent="0.3">
      <c r="A468" s="26" t="s">
        <v>163</v>
      </c>
      <c r="B468" s="26" t="s">
        <v>164</v>
      </c>
      <c r="C468" s="26" t="s">
        <v>165</v>
      </c>
      <c r="D468" s="26"/>
      <c r="E468" s="26" t="s">
        <v>408</v>
      </c>
      <c r="F468" s="26"/>
      <c r="G468" s="26"/>
      <c r="H468" s="26"/>
      <c r="I468" s="22" t="s">
        <v>406</v>
      </c>
      <c r="J468" s="22" t="s">
        <v>201</v>
      </c>
      <c r="K468" s="34"/>
    </row>
    <row r="469" spans="1:11" x14ac:dyDescent="0.3">
      <c r="A469" s="26" t="s">
        <v>163</v>
      </c>
      <c r="B469" s="26" t="s">
        <v>164</v>
      </c>
      <c r="C469" s="26" t="s">
        <v>165</v>
      </c>
      <c r="D469" s="26"/>
      <c r="E469" s="26" t="s">
        <v>409</v>
      </c>
      <c r="F469" s="26"/>
      <c r="G469" s="26"/>
      <c r="H469" s="26"/>
      <c r="I469" s="22" t="s">
        <v>406</v>
      </c>
      <c r="J469" s="22"/>
      <c r="K469" s="34"/>
    </row>
    <row r="470" spans="1:11" x14ac:dyDescent="0.3">
      <c r="A470" s="26" t="s">
        <v>163</v>
      </c>
      <c r="B470" s="26" t="s">
        <v>164</v>
      </c>
      <c r="C470" s="26" t="s">
        <v>165</v>
      </c>
      <c r="D470" s="26"/>
      <c r="E470" s="26" t="s">
        <v>410</v>
      </c>
      <c r="F470" s="26"/>
      <c r="G470" s="26"/>
      <c r="H470" s="26"/>
      <c r="I470" s="22" t="s">
        <v>406</v>
      </c>
      <c r="J470" s="22"/>
      <c r="K470" s="34"/>
    </row>
    <row r="471" spans="1:11" x14ac:dyDescent="0.3">
      <c r="A471" s="26" t="s">
        <v>163</v>
      </c>
      <c r="B471" s="26" t="s">
        <v>164</v>
      </c>
      <c r="C471" s="26" t="s">
        <v>165</v>
      </c>
      <c r="D471" s="26"/>
      <c r="E471" s="26" t="s">
        <v>411</v>
      </c>
      <c r="F471" s="26"/>
      <c r="G471" s="26"/>
      <c r="H471" s="26"/>
      <c r="I471" s="22" t="s">
        <v>406</v>
      </c>
      <c r="J471" s="22"/>
      <c r="K471" s="34"/>
    </row>
    <row r="472" spans="1:11" x14ac:dyDescent="0.3">
      <c r="A472" s="26" t="s">
        <v>163</v>
      </c>
      <c r="B472" s="26" t="s">
        <v>164</v>
      </c>
      <c r="C472" s="26" t="s">
        <v>165</v>
      </c>
      <c r="D472" s="26"/>
      <c r="E472" s="26" t="s">
        <v>412</v>
      </c>
      <c r="F472" s="26"/>
      <c r="G472" s="26"/>
      <c r="H472" s="26"/>
      <c r="I472" s="22" t="s">
        <v>406</v>
      </c>
      <c r="J472" s="22" t="s">
        <v>201</v>
      </c>
      <c r="K472" s="34"/>
    </row>
    <row r="473" spans="1:11" x14ac:dyDescent="0.3">
      <c r="A473" s="26" t="s">
        <v>163</v>
      </c>
      <c r="B473" s="26" t="s">
        <v>164</v>
      </c>
      <c r="C473" s="26" t="s">
        <v>165</v>
      </c>
      <c r="D473" s="26"/>
      <c r="E473" s="26" t="s">
        <v>413</v>
      </c>
      <c r="F473" s="26"/>
      <c r="G473" s="26"/>
      <c r="H473" s="26"/>
      <c r="I473" s="22" t="s">
        <v>414</v>
      </c>
      <c r="J473" s="22" t="s">
        <v>201</v>
      </c>
      <c r="K473" s="34"/>
    </row>
    <row r="474" spans="1:11" x14ac:dyDescent="0.3">
      <c r="A474" s="26" t="s">
        <v>163</v>
      </c>
      <c r="B474" s="26" t="s">
        <v>164</v>
      </c>
      <c r="C474" s="26" t="s">
        <v>165</v>
      </c>
      <c r="D474" s="26"/>
      <c r="E474" s="26" t="s">
        <v>415</v>
      </c>
      <c r="F474" s="26"/>
      <c r="G474" s="26"/>
      <c r="H474" s="26"/>
      <c r="I474" s="22" t="s">
        <v>414</v>
      </c>
      <c r="J474" s="22" t="s">
        <v>201</v>
      </c>
      <c r="K474" s="34"/>
    </row>
    <row r="475" spans="1:11" x14ac:dyDescent="0.3">
      <c r="A475" s="26" t="s">
        <v>163</v>
      </c>
      <c r="B475" s="26" t="s">
        <v>164</v>
      </c>
      <c r="C475" s="26" t="s">
        <v>165</v>
      </c>
      <c r="D475" s="26"/>
      <c r="E475" s="26" t="s">
        <v>416</v>
      </c>
      <c r="F475" s="26"/>
      <c r="G475" s="26"/>
      <c r="H475" s="26"/>
      <c r="I475" s="22" t="s">
        <v>414</v>
      </c>
      <c r="J475" s="22" t="s">
        <v>201</v>
      </c>
      <c r="K475" s="34"/>
    </row>
    <row r="476" spans="1:11" x14ac:dyDescent="0.3">
      <c r="A476" s="26" t="s">
        <v>163</v>
      </c>
      <c r="B476" s="26" t="s">
        <v>164</v>
      </c>
      <c r="C476" s="26" t="s">
        <v>165</v>
      </c>
      <c r="D476" s="26"/>
      <c r="E476" s="26" t="s">
        <v>417</v>
      </c>
      <c r="F476" s="26"/>
      <c r="G476" s="26"/>
      <c r="H476" s="26"/>
      <c r="I476" s="22" t="s">
        <v>414</v>
      </c>
      <c r="J476" s="22" t="s">
        <v>201</v>
      </c>
      <c r="K476" s="34"/>
    </row>
    <row r="477" spans="1:11" x14ac:dyDescent="0.3">
      <c r="A477" s="26" t="s">
        <v>163</v>
      </c>
      <c r="B477" s="26" t="s">
        <v>164</v>
      </c>
      <c r="C477" s="26" t="s">
        <v>165</v>
      </c>
      <c r="D477" s="26"/>
      <c r="E477" s="26" t="s">
        <v>418</v>
      </c>
      <c r="F477" s="26"/>
      <c r="G477" s="26"/>
      <c r="H477" s="26"/>
      <c r="I477" s="22" t="s">
        <v>414</v>
      </c>
      <c r="J477" s="22"/>
      <c r="K477" s="34"/>
    </row>
    <row r="478" spans="1:11" x14ac:dyDescent="0.3">
      <c r="A478" s="26" t="s">
        <v>163</v>
      </c>
      <c r="B478" s="26" t="s">
        <v>164</v>
      </c>
      <c r="C478" s="26" t="s">
        <v>165</v>
      </c>
      <c r="D478" s="26"/>
      <c r="E478" s="26" t="s">
        <v>419</v>
      </c>
      <c r="F478" s="26"/>
      <c r="G478" s="26"/>
      <c r="H478" s="26"/>
      <c r="I478" s="22" t="s">
        <v>414</v>
      </c>
      <c r="J478" s="22"/>
      <c r="K478" s="34"/>
    </row>
    <row r="479" spans="1:11" x14ac:dyDescent="0.3">
      <c r="A479" s="26" t="s">
        <v>163</v>
      </c>
      <c r="B479" s="26" t="s">
        <v>164</v>
      </c>
      <c r="C479" s="26" t="s">
        <v>165</v>
      </c>
      <c r="D479" s="26"/>
      <c r="E479" s="26" t="s">
        <v>420</v>
      </c>
      <c r="F479" s="26"/>
      <c r="G479" s="26"/>
      <c r="H479" s="26"/>
      <c r="I479" s="22" t="s">
        <v>414</v>
      </c>
      <c r="J479" s="22"/>
      <c r="K479" s="34"/>
    </row>
    <row r="480" spans="1:11" x14ac:dyDescent="0.3">
      <c r="A480" s="26" t="s">
        <v>163</v>
      </c>
      <c r="B480" s="26" t="s">
        <v>164</v>
      </c>
      <c r="C480" s="26" t="s">
        <v>165</v>
      </c>
      <c r="D480" s="26"/>
      <c r="E480" s="26" t="s">
        <v>421</v>
      </c>
      <c r="F480" s="26"/>
      <c r="G480" s="26"/>
      <c r="H480" s="26"/>
      <c r="I480" s="22"/>
      <c r="J480" s="22" t="s">
        <v>201</v>
      </c>
      <c r="K480" s="34"/>
    </row>
    <row r="481" spans="1:11" x14ac:dyDescent="0.3">
      <c r="A481" s="26" t="s">
        <v>163</v>
      </c>
      <c r="B481" s="26" t="s">
        <v>164</v>
      </c>
      <c r="C481" s="26" t="s">
        <v>165</v>
      </c>
      <c r="D481" s="26"/>
      <c r="E481" s="26" t="s">
        <v>422</v>
      </c>
      <c r="F481" s="26"/>
      <c r="G481" s="26"/>
      <c r="H481" s="26"/>
      <c r="I481" s="22"/>
      <c r="J481" s="22" t="s">
        <v>201</v>
      </c>
      <c r="K481" s="34"/>
    </row>
    <row r="482" spans="1:11" x14ac:dyDescent="0.3">
      <c r="A482" s="26" t="s">
        <v>163</v>
      </c>
      <c r="B482" s="26" t="s">
        <v>164</v>
      </c>
      <c r="C482" s="26" t="s">
        <v>165</v>
      </c>
      <c r="D482" s="26"/>
      <c r="E482" s="26" t="s">
        <v>423</v>
      </c>
      <c r="F482" s="26"/>
      <c r="G482" s="26"/>
      <c r="H482" s="26"/>
      <c r="I482" s="22"/>
      <c r="J482" s="22" t="s">
        <v>201</v>
      </c>
      <c r="K482" s="34"/>
    </row>
    <row r="483" spans="1:11" x14ac:dyDescent="0.3">
      <c r="A483" s="26" t="s">
        <v>163</v>
      </c>
      <c r="B483" s="26" t="s">
        <v>164</v>
      </c>
      <c r="C483" s="26" t="s">
        <v>165</v>
      </c>
      <c r="D483" s="26"/>
      <c r="E483" s="26" t="s">
        <v>424</v>
      </c>
      <c r="F483" s="26"/>
      <c r="G483" s="26"/>
      <c r="H483" s="26"/>
      <c r="I483" s="22"/>
      <c r="J483" s="22" t="s">
        <v>201</v>
      </c>
      <c r="K483" s="34"/>
    </row>
    <row r="484" spans="1:11" x14ac:dyDescent="0.3">
      <c r="A484" s="26" t="s">
        <v>163</v>
      </c>
      <c r="B484" s="26" t="s">
        <v>164</v>
      </c>
      <c r="C484" s="26" t="s">
        <v>165</v>
      </c>
      <c r="D484" s="26"/>
      <c r="E484" s="26" t="s">
        <v>425</v>
      </c>
      <c r="F484" s="26"/>
      <c r="G484" s="26"/>
      <c r="H484" s="26"/>
      <c r="I484" s="22"/>
      <c r="J484" s="22" t="s">
        <v>201</v>
      </c>
      <c r="K484" s="34"/>
    </row>
    <row r="485" spans="1:11" x14ac:dyDescent="0.3">
      <c r="A485" s="26" t="s">
        <v>163</v>
      </c>
      <c r="B485" s="26" t="s">
        <v>164</v>
      </c>
      <c r="C485" s="26" t="s">
        <v>165</v>
      </c>
      <c r="D485" s="26"/>
      <c r="E485" s="26" t="s">
        <v>426</v>
      </c>
      <c r="F485" s="26"/>
      <c r="G485" s="26"/>
      <c r="H485" s="26"/>
      <c r="I485" s="22"/>
      <c r="J485" s="22" t="s">
        <v>201</v>
      </c>
      <c r="K485" s="34"/>
    </row>
    <row r="486" spans="1:11" x14ac:dyDescent="0.3">
      <c r="A486" s="26" t="s">
        <v>163</v>
      </c>
      <c r="B486" s="26" t="s">
        <v>164</v>
      </c>
      <c r="C486" s="26" t="s">
        <v>165</v>
      </c>
      <c r="D486" s="26"/>
      <c r="E486" s="26" t="s">
        <v>427</v>
      </c>
      <c r="F486" s="26"/>
      <c r="G486" s="26"/>
      <c r="H486" s="26"/>
      <c r="I486" s="22"/>
      <c r="J486" s="22" t="s">
        <v>201</v>
      </c>
      <c r="K486" s="34"/>
    </row>
    <row r="487" spans="1:11" x14ac:dyDescent="0.3">
      <c r="A487" s="26" t="s">
        <v>163</v>
      </c>
      <c r="B487" s="26" t="s">
        <v>164</v>
      </c>
      <c r="C487" s="26" t="s">
        <v>165</v>
      </c>
      <c r="D487" s="26"/>
      <c r="E487" s="26" t="s">
        <v>428</v>
      </c>
      <c r="F487" s="26"/>
      <c r="G487" s="26"/>
      <c r="H487" s="26"/>
      <c r="I487" s="22"/>
      <c r="J487" s="22" t="s">
        <v>201</v>
      </c>
      <c r="K487" s="34"/>
    </row>
    <row r="488" spans="1:11" x14ac:dyDescent="0.3">
      <c r="A488" s="26" t="s">
        <v>163</v>
      </c>
      <c r="B488" s="26" t="s">
        <v>164</v>
      </c>
      <c r="C488" s="26" t="s">
        <v>165</v>
      </c>
      <c r="D488" s="26"/>
      <c r="E488" s="26" t="s">
        <v>429</v>
      </c>
      <c r="F488" s="26"/>
      <c r="G488" s="26"/>
      <c r="H488" s="26"/>
      <c r="I488" s="22"/>
      <c r="J488" s="22" t="s">
        <v>201</v>
      </c>
      <c r="K488" s="34"/>
    </row>
    <row r="489" spans="1:11" x14ac:dyDescent="0.3">
      <c r="A489" s="26" t="s">
        <v>163</v>
      </c>
      <c r="B489" s="26" t="s">
        <v>164</v>
      </c>
      <c r="C489" s="26" t="s">
        <v>165</v>
      </c>
      <c r="D489" s="26"/>
      <c r="E489" s="26" t="s">
        <v>430</v>
      </c>
      <c r="F489" s="26"/>
      <c r="G489" s="26"/>
      <c r="H489" s="26"/>
      <c r="I489" s="22"/>
      <c r="J489" s="22" t="s">
        <v>201</v>
      </c>
      <c r="K489" s="34"/>
    </row>
    <row r="490" spans="1:11" x14ac:dyDescent="0.3">
      <c r="A490" s="26" t="s">
        <v>163</v>
      </c>
      <c r="B490" s="26" t="s">
        <v>164</v>
      </c>
      <c r="C490" s="26" t="s">
        <v>165</v>
      </c>
      <c r="D490" s="26"/>
      <c r="E490" s="26" t="s">
        <v>431</v>
      </c>
      <c r="F490" s="26"/>
      <c r="G490" s="26"/>
      <c r="H490" s="26"/>
      <c r="I490" s="22"/>
      <c r="J490" s="22" t="s">
        <v>201</v>
      </c>
      <c r="K490" s="34"/>
    </row>
    <row r="491" spans="1:11" x14ac:dyDescent="0.3">
      <c r="A491" s="26" t="s">
        <v>163</v>
      </c>
      <c r="B491" s="26" t="s">
        <v>164</v>
      </c>
      <c r="C491" s="26" t="s">
        <v>165</v>
      </c>
      <c r="D491" s="26"/>
      <c r="E491" s="26" t="s">
        <v>432</v>
      </c>
      <c r="F491" s="26"/>
      <c r="G491" s="26"/>
      <c r="H491" s="26"/>
      <c r="I491" s="22"/>
      <c r="J491" s="22" t="s">
        <v>201</v>
      </c>
      <c r="K491" s="34"/>
    </row>
    <row r="492" spans="1:11" x14ac:dyDescent="0.3">
      <c r="A492" s="26" t="s">
        <v>163</v>
      </c>
      <c r="B492" s="26" t="s">
        <v>164</v>
      </c>
      <c r="C492" s="26" t="s">
        <v>165</v>
      </c>
      <c r="D492" s="26"/>
      <c r="E492" s="26" t="s">
        <v>433</v>
      </c>
      <c r="F492" s="26"/>
      <c r="G492" s="26"/>
      <c r="H492" s="26"/>
      <c r="I492" s="22"/>
      <c r="J492" s="22" t="s">
        <v>201</v>
      </c>
      <c r="K492" s="34"/>
    </row>
    <row r="493" spans="1:11" x14ac:dyDescent="0.3">
      <c r="A493" s="26" t="s">
        <v>163</v>
      </c>
      <c r="B493" s="26" t="s">
        <v>164</v>
      </c>
      <c r="C493" s="26" t="s">
        <v>165</v>
      </c>
      <c r="D493" s="26"/>
      <c r="E493" s="26" t="s">
        <v>434</v>
      </c>
      <c r="F493" s="26"/>
      <c r="G493" s="26"/>
      <c r="H493" s="26"/>
      <c r="I493" s="22"/>
      <c r="J493" s="22" t="s">
        <v>201</v>
      </c>
      <c r="K493" s="34"/>
    </row>
    <row r="494" spans="1:11" x14ac:dyDescent="0.3">
      <c r="A494" s="26" t="s">
        <v>163</v>
      </c>
      <c r="B494" s="26" t="s">
        <v>164</v>
      </c>
      <c r="C494" s="26" t="s">
        <v>165</v>
      </c>
      <c r="D494" s="26"/>
      <c r="E494" s="26" t="s">
        <v>435</v>
      </c>
      <c r="F494" s="26"/>
      <c r="G494" s="26"/>
      <c r="H494" s="26"/>
      <c r="I494" s="22" t="s">
        <v>436</v>
      </c>
      <c r="J494" s="22" t="s">
        <v>201</v>
      </c>
      <c r="K494" s="34"/>
    </row>
    <row r="495" spans="1:11" x14ac:dyDescent="0.3">
      <c r="A495" s="26" t="s">
        <v>163</v>
      </c>
      <c r="B495" s="26" t="s">
        <v>164</v>
      </c>
      <c r="C495" s="26" t="s">
        <v>165</v>
      </c>
      <c r="D495" s="26"/>
      <c r="E495" s="26" t="s">
        <v>437</v>
      </c>
      <c r="F495" s="26"/>
      <c r="G495" s="26"/>
      <c r="H495" s="26"/>
      <c r="I495" s="22" t="s">
        <v>436</v>
      </c>
      <c r="J495" s="22" t="s">
        <v>201</v>
      </c>
      <c r="K495" s="34"/>
    </row>
    <row r="496" spans="1:11" x14ac:dyDescent="0.3">
      <c r="A496" s="26" t="s">
        <v>163</v>
      </c>
      <c r="B496" s="26" t="s">
        <v>164</v>
      </c>
      <c r="C496" s="26" t="s">
        <v>165</v>
      </c>
      <c r="D496" s="26"/>
      <c r="E496" s="26" t="s">
        <v>438</v>
      </c>
      <c r="F496" s="26"/>
      <c r="G496" s="26"/>
      <c r="H496" s="26"/>
      <c r="I496" s="22" t="s">
        <v>436</v>
      </c>
      <c r="J496" s="22" t="s">
        <v>201</v>
      </c>
      <c r="K496" s="34"/>
    </row>
    <row r="497" spans="1:11" x14ac:dyDescent="0.3">
      <c r="A497" s="26" t="s">
        <v>163</v>
      </c>
      <c r="B497" s="26" t="s">
        <v>164</v>
      </c>
      <c r="C497" s="26" t="s">
        <v>165</v>
      </c>
      <c r="D497" s="26"/>
      <c r="E497" s="26" t="s">
        <v>439</v>
      </c>
      <c r="F497" s="26"/>
      <c r="G497" s="26"/>
      <c r="H497" s="26"/>
      <c r="I497" s="22" t="s">
        <v>436</v>
      </c>
      <c r="J497" s="22" t="s">
        <v>201</v>
      </c>
      <c r="K497" s="34"/>
    </row>
    <row r="498" spans="1:11" x14ac:dyDescent="0.3">
      <c r="A498" s="26" t="s">
        <v>163</v>
      </c>
      <c r="B498" s="26" t="s">
        <v>164</v>
      </c>
      <c r="C498" s="26" t="s">
        <v>165</v>
      </c>
      <c r="D498" s="26"/>
      <c r="E498" s="26" t="s">
        <v>440</v>
      </c>
      <c r="F498" s="26"/>
      <c r="G498" s="26"/>
      <c r="H498" s="26"/>
      <c r="I498" s="22" t="s">
        <v>436</v>
      </c>
      <c r="J498" s="22" t="s">
        <v>201</v>
      </c>
      <c r="K498" s="34"/>
    </row>
    <row r="499" spans="1:11" x14ac:dyDescent="0.3">
      <c r="A499" s="26" t="s">
        <v>163</v>
      </c>
      <c r="B499" s="26" t="s">
        <v>164</v>
      </c>
      <c r="C499" s="26" t="s">
        <v>165</v>
      </c>
      <c r="D499" s="26"/>
      <c r="E499" s="26" t="s">
        <v>441</v>
      </c>
      <c r="F499" s="26"/>
      <c r="G499" s="26"/>
      <c r="H499" s="26"/>
      <c r="I499" s="22" t="s">
        <v>436</v>
      </c>
      <c r="J499" s="22" t="s">
        <v>201</v>
      </c>
      <c r="K499" s="34"/>
    </row>
    <row r="500" spans="1:11" x14ac:dyDescent="0.3">
      <c r="A500" s="26" t="s">
        <v>163</v>
      </c>
      <c r="B500" s="26" t="s">
        <v>164</v>
      </c>
      <c r="C500" s="26" t="s">
        <v>165</v>
      </c>
      <c r="D500" s="26"/>
      <c r="E500" s="26" t="s">
        <v>442</v>
      </c>
      <c r="F500" s="26"/>
      <c r="G500" s="26"/>
      <c r="H500" s="26"/>
      <c r="I500" s="22" t="s">
        <v>436</v>
      </c>
      <c r="J500" s="22" t="s">
        <v>201</v>
      </c>
      <c r="K500" s="34"/>
    </row>
    <row r="501" spans="1:11" x14ac:dyDescent="0.3">
      <c r="A501" s="26" t="s">
        <v>163</v>
      </c>
      <c r="B501" s="26" t="s">
        <v>164</v>
      </c>
      <c r="C501" s="26" t="s">
        <v>165</v>
      </c>
      <c r="D501" s="26"/>
      <c r="E501" s="26" t="s">
        <v>443</v>
      </c>
      <c r="F501" s="26"/>
      <c r="G501" s="26"/>
      <c r="H501" s="26"/>
      <c r="I501" s="22" t="s">
        <v>444</v>
      </c>
      <c r="J501" s="22" t="s">
        <v>201</v>
      </c>
      <c r="K501" s="34"/>
    </row>
    <row r="502" spans="1:11" x14ac:dyDescent="0.3">
      <c r="A502" s="26" t="s">
        <v>163</v>
      </c>
      <c r="B502" s="26" t="s">
        <v>164</v>
      </c>
      <c r="C502" s="26" t="s">
        <v>165</v>
      </c>
      <c r="D502" s="26"/>
      <c r="E502" s="26" t="s">
        <v>445</v>
      </c>
      <c r="F502" s="26"/>
      <c r="G502" s="26"/>
      <c r="H502" s="26"/>
      <c r="I502" s="22" t="s">
        <v>444</v>
      </c>
      <c r="J502" s="22" t="s">
        <v>201</v>
      </c>
      <c r="K502" s="34"/>
    </row>
    <row r="503" spans="1:11" x14ac:dyDescent="0.3">
      <c r="A503" s="26" t="s">
        <v>163</v>
      </c>
      <c r="B503" s="26" t="s">
        <v>164</v>
      </c>
      <c r="C503" s="26" t="s">
        <v>165</v>
      </c>
      <c r="D503" s="26"/>
      <c r="E503" s="26" t="s">
        <v>446</v>
      </c>
      <c r="F503" s="26"/>
      <c r="G503" s="26"/>
      <c r="H503" s="26"/>
      <c r="I503" s="22" t="s">
        <v>444</v>
      </c>
      <c r="J503" s="22" t="s">
        <v>201</v>
      </c>
      <c r="K503" s="34"/>
    </row>
    <row r="504" spans="1:11" x14ac:dyDescent="0.3">
      <c r="A504" s="26" t="s">
        <v>163</v>
      </c>
      <c r="B504" s="26" t="s">
        <v>164</v>
      </c>
      <c r="C504" s="26" t="s">
        <v>165</v>
      </c>
      <c r="D504" s="26"/>
      <c r="E504" s="26" t="s">
        <v>447</v>
      </c>
      <c r="F504" s="26"/>
      <c r="G504" s="26"/>
      <c r="H504" s="26"/>
      <c r="I504" s="22" t="s">
        <v>444</v>
      </c>
      <c r="J504" s="22" t="s">
        <v>201</v>
      </c>
      <c r="K504" s="34"/>
    </row>
    <row r="505" spans="1:11" x14ac:dyDescent="0.3">
      <c r="A505" s="26" t="s">
        <v>163</v>
      </c>
      <c r="B505" s="26" t="s">
        <v>164</v>
      </c>
      <c r="C505" s="26" t="s">
        <v>165</v>
      </c>
      <c r="D505" s="26"/>
      <c r="E505" s="26" t="s">
        <v>448</v>
      </c>
      <c r="F505" s="26"/>
      <c r="G505" s="26"/>
      <c r="H505" s="26"/>
      <c r="I505" s="22" t="s">
        <v>444</v>
      </c>
      <c r="J505" s="22" t="s">
        <v>201</v>
      </c>
      <c r="K505" s="34"/>
    </row>
    <row r="506" spans="1:11" x14ac:dyDescent="0.3">
      <c r="A506" s="26" t="s">
        <v>163</v>
      </c>
      <c r="B506" s="26" t="s">
        <v>164</v>
      </c>
      <c r="C506" s="26" t="s">
        <v>165</v>
      </c>
      <c r="D506" s="26"/>
      <c r="E506" s="26" t="s">
        <v>449</v>
      </c>
      <c r="F506" s="26"/>
      <c r="G506" s="26"/>
      <c r="H506" s="26"/>
      <c r="I506" s="22" t="s">
        <v>444</v>
      </c>
      <c r="J506" s="22" t="s">
        <v>201</v>
      </c>
      <c r="K506" s="34"/>
    </row>
    <row r="507" spans="1:11" x14ac:dyDescent="0.3">
      <c r="A507" s="26" t="s">
        <v>163</v>
      </c>
      <c r="B507" s="26" t="s">
        <v>164</v>
      </c>
      <c r="C507" s="26" t="s">
        <v>165</v>
      </c>
      <c r="D507" s="26"/>
      <c r="E507" s="26" t="s">
        <v>450</v>
      </c>
      <c r="F507" s="26"/>
      <c r="G507" s="26"/>
      <c r="H507" s="26"/>
      <c r="I507" s="22" t="s">
        <v>444</v>
      </c>
      <c r="J507" s="22" t="s">
        <v>201</v>
      </c>
      <c r="K507" s="34"/>
    </row>
    <row r="508" spans="1:11" x14ac:dyDescent="0.3">
      <c r="A508" s="26" t="s">
        <v>163</v>
      </c>
      <c r="B508" s="26" t="s">
        <v>164</v>
      </c>
      <c r="C508" s="26" t="s">
        <v>165</v>
      </c>
      <c r="D508" s="26"/>
      <c r="E508" s="26" t="s">
        <v>451</v>
      </c>
      <c r="F508" s="26"/>
      <c r="G508" s="26"/>
      <c r="H508" s="26"/>
      <c r="I508" s="22" t="s">
        <v>452</v>
      </c>
      <c r="J508" s="22" t="s">
        <v>201</v>
      </c>
      <c r="K508" s="34"/>
    </row>
    <row r="509" spans="1:11" x14ac:dyDescent="0.3">
      <c r="A509" s="26" t="s">
        <v>163</v>
      </c>
      <c r="B509" s="26" t="s">
        <v>164</v>
      </c>
      <c r="C509" s="26" t="s">
        <v>165</v>
      </c>
      <c r="D509" s="26"/>
      <c r="E509" s="26" t="s">
        <v>453</v>
      </c>
      <c r="F509" s="26"/>
      <c r="G509" s="26"/>
      <c r="H509" s="26"/>
      <c r="I509" s="22" t="s">
        <v>452</v>
      </c>
      <c r="J509" s="22" t="s">
        <v>201</v>
      </c>
      <c r="K509" s="34"/>
    </row>
    <row r="510" spans="1:11" x14ac:dyDescent="0.3">
      <c r="A510" s="26" t="s">
        <v>163</v>
      </c>
      <c r="B510" s="26" t="s">
        <v>164</v>
      </c>
      <c r="C510" s="26" t="s">
        <v>165</v>
      </c>
      <c r="D510" s="26"/>
      <c r="E510" s="26" t="s">
        <v>454</v>
      </c>
      <c r="F510" s="26"/>
      <c r="G510" s="26"/>
      <c r="H510" s="26"/>
      <c r="I510" s="22" t="s">
        <v>452</v>
      </c>
      <c r="J510" s="22" t="s">
        <v>201</v>
      </c>
      <c r="K510" s="34"/>
    </row>
    <row r="511" spans="1:11" x14ac:dyDescent="0.3">
      <c r="A511" s="26" t="s">
        <v>163</v>
      </c>
      <c r="B511" s="26" t="s">
        <v>164</v>
      </c>
      <c r="C511" s="26" t="s">
        <v>165</v>
      </c>
      <c r="D511" s="26"/>
      <c r="E511" s="26" t="s">
        <v>455</v>
      </c>
      <c r="F511" s="26"/>
      <c r="G511" s="26"/>
      <c r="H511" s="26"/>
      <c r="I511" s="22" t="s">
        <v>452</v>
      </c>
      <c r="J511" s="22" t="s">
        <v>201</v>
      </c>
      <c r="K511" s="34"/>
    </row>
    <row r="512" spans="1:11" x14ac:dyDescent="0.3">
      <c r="A512" s="26" t="s">
        <v>163</v>
      </c>
      <c r="B512" s="26" t="s">
        <v>164</v>
      </c>
      <c r="C512" s="26" t="s">
        <v>165</v>
      </c>
      <c r="D512" s="26"/>
      <c r="E512" s="26" t="s">
        <v>456</v>
      </c>
      <c r="F512" s="26"/>
      <c r="G512" s="26"/>
      <c r="H512" s="26"/>
      <c r="I512" s="22" t="s">
        <v>452</v>
      </c>
      <c r="J512" s="22" t="s">
        <v>201</v>
      </c>
      <c r="K512" s="34"/>
    </row>
    <row r="513" spans="1:11" x14ac:dyDescent="0.3">
      <c r="A513" s="26" t="s">
        <v>163</v>
      </c>
      <c r="B513" s="26" t="s">
        <v>164</v>
      </c>
      <c r="C513" s="26" t="s">
        <v>165</v>
      </c>
      <c r="D513" s="26"/>
      <c r="E513" s="26" t="s">
        <v>457</v>
      </c>
      <c r="F513" s="26"/>
      <c r="G513" s="26"/>
      <c r="H513" s="26"/>
      <c r="I513" s="22" t="s">
        <v>452</v>
      </c>
      <c r="J513" s="22" t="s">
        <v>201</v>
      </c>
      <c r="K513" s="34"/>
    </row>
    <row r="514" spans="1:11" x14ac:dyDescent="0.3">
      <c r="A514" s="26" t="s">
        <v>163</v>
      </c>
      <c r="B514" s="26" t="s">
        <v>164</v>
      </c>
      <c r="C514" s="26" t="s">
        <v>165</v>
      </c>
      <c r="D514" s="26"/>
      <c r="E514" s="26" t="s">
        <v>458</v>
      </c>
      <c r="F514" s="26"/>
      <c r="G514" s="26"/>
      <c r="H514" s="26"/>
      <c r="I514" s="22" t="s">
        <v>452</v>
      </c>
      <c r="J514" s="22" t="s">
        <v>201</v>
      </c>
      <c r="K514" s="34"/>
    </row>
    <row r="515" spans="1:11" x14ac:dyDescent="0.3">
      <c r="A515" s="26" t="s">
        <v>163</v>
      </c>
      <c r="B515" s="26" t="s">
        <v>164</v>
      </c>
      <c r="C515" s="26" t="s">
        <v>165</v>
      </c>
      <c r="D515" s="26"/>
      <c r="E515" s="26" t="s">
        <v>459</v>
      </c>
      <c r="F515" s="26"/>
      <c r="G515" s="26"/>
      <c r="H515" s="26"/>
      <c r="I515" s="22"/>
      <c r="J515" s="22" t="s">
        <v>201</v>
      </c>
      <c r="K515" s="34"/>
    </row>
    <row r="516" spans="1:11" x14ac:dyDescent="0.3">
      <c r="A516" s="26" t="s">
        <v>163</v>
      </c>
      <c r="B516" s="26" t="s">
        <v>164</v>
      </c>
      <c r="C516" s="26" t="s">
        <v>165</v>
      </c>
      <c r="D516" s="26"/>
      <c r="E516" s="26" t="s">
        <v>460</v>
      </c>
      <c r="F516" s="26"/>
      <c r="G516" s="26"/>
      <c r="H516" s="26"/>
      <c r="I516" s="22"/>
      <c r="J516" s="22" t="s">
        <v>201</v>
      </c>
      <c r="K516" s="34"/>
    </row>
    <row r="517" spans="1:11" x14ac:dyDescent="0.3">
      <c r="A517" s="26" t="s">
        <v>163</v>
      </c>
      <c r="B517" s="26" t="s">
        <v>164</v>
      </c>
      <c r="C517" s="26" t="s">
        <v>165</v>
      </c>
      <c r="D517" s="26"/>
      <c r="E517" s="26" t="s">
        <v>461</v>
      </c>
      <c r="F517" s="26"/>
      <c r="G517" s="26"/>
      <c r="H517" s="26"/>
      <c r="I517" s="22"/>
      <c r="J517" s="22" t="s">
        <v>201</v>
      </c>
      <c r="K517" s="34"/>
    </row>
    <row r="518" spans="1:11" x14ac:dyDescent="0.3">
      <c r="A518" s="26" t="s">
        <v>163</v>
      </c>
      <c r="B518" s="26" t="s">
        <v>164</v>
      </c>
      <c r="C518" s="26" t="s">
        <v>165</v>
      </c>
      <c r="D518" s="26"/>
      <c r="E518" s="26" t="s">
        <v>462</v>
      </c>
      <c r="F518" s="26"/>
      <c r="G518" s="26"/>
      <c r="H518" s="26"/>
      <c r="I518" s="22"/>
      <c r="J518" s="22" t="s">
        <v>201</v>
      </c>
      <c r="K518" s="34"/>
    </row>
    <row r="519" spans="1:11" x14ac:dyDescent="0.3">
      <c r="A519" s="26" t="s">
        <v>163</v>
      </c>
      <c r="B519" s="26" t="s">
        <v>164</v>
      </c>
      <c r="C519" s="26" t="s">
        <v>165</v>
      </c>
      <c r="D519" s="26"/>
      <c r="E519" s="26" t="s">
        <v>463</v>
      </c>
      <c r="F519" s="26"/>
      <c r="G519" s="26"/>
      <c r="H519" s="26"/>
      <c r="I519" s="22"/>
      <c r="J519" s="22" t="s">
        <v>201</v>
      </c>
      <c r="K519" s="34"/>
    </row>
    <row r="520" spans="1:11" x14ac:dyDescent="0.3">
      <c r="A520" s="26" t="s">
        <v>163</v>
      </c>
      <c r="B520" s="26" t="s">
        <v>164</v>
      </c>
      <c r="C520" s="26" t="s">
        <v>165</v>
      </c>
      <c r="D520" s="26"/>
      <c r="E520" s="26" t="s">
        <v>464</v>
      </c>
      <c r="F520" s="26"/>
      <c r="G520" s="26"/>
      <c r="H520" s="26"/>
      <c r="I520" s="22"/>
      <c r="J520" s="22" t="s">
        <v>201</v>
      </c>
      <c r="K520" s="34"/>
    </row>
    <row r="521" spans="1:11" x14ac:dyDescent="0.3">
      <c r="A521" s="26" t="s">
        <v>163</v>
      </c>
      <c r="B521" s="26" t="s">
        <v>164</v>
      </c>
      <c r="C521" s="26" t="s">
        <v>165</v>
      </c>
      <c r="D521" s="26"/>
      <c r="E521" s="26" t="s">
        <v>465</v>
      </c>
      <c r="F521" s="26"/>
      <c r="G521" s="26"/>
      <c r="H521" s="26"/>
      <c r="I521" s="22"/>
      <c r="J521" s="22" t="s">
        <v>201</v>
      </c>
      <c r="K521" s="34"/>
    </row>
    <row r="522" spans="1:11" x14ac:dyDescent="0.3">
      <c r="A522" s="26" t="s">
        <v>163</v>
      </c>
      <c r="B522" s="26" t="s">
        <v>164</v>
      </c>
      <c r="C522" s="26" t="s">
        <v>165</v>
      </c>
      <c r="D522" s="26"/>
      <c r="E522" s="26" t="s">
        <v>466</v>
      </c>
      <c r="F522" s="26"/>
      <c r="G522" s="26"/>
      <c r="H522" s="26"/>
      <c r="I522" s="22"/>
      <c r="J522" s="22" t="s">
        <v>201</v>
      </c>
      <c r="K522" s="34"/>
    </row>
    <row r="523" spans="1:11" x14ac:dyDescent="0.3">
      <c r="A523" s="26" t="s">
        <v>163</v>
      </c>
      <c r="B523" s="26" t="s">
        <v>164</v>
      </c>
      <c r="C523" s="26" t="s">
        <v>165</v>
      </c>
      <c r="D523" s="26"/>
      <c r="E523" s="26" t="s">
        <v>467</v>
      </c>
      <c r="F523" s="26"/>
      <c r="G523" s="26"/>
      <c r="H523" s="26"/>
      <c r="I523" s="22"/>
      <c r="J523" s="22" t="s">
        <v>201</v>
      </c>
      <c r="K523" s="34"/>
    </row>
    <row r="524" spans="1:11" x14ac:dyDescent="0.3">
      <c r="A524" s="26" t="s">
        <v>163</v>
      </c>
      <c r="B524" s="26" t="s">
        <v>164</v>
      </c>
      <c r="C524" s="26" t="s">
        <v>165</v>
      </c>
      <c r="D524" s="26"/>
      <c r="E524" s="26" t="s">
        <v>468</v>
      </c>
      <c r="F524" s="26"/>
      <c r="G524" s="26"/>
      <c r="H524" s="26"/>
      <c r="I524" s="22"/>
      <c r="J524" s="22" t="s">
        <v>201</v>
      </c>
      <c r="K524" s="34"/>
    </row>
    <row r="525" spans="1:11" x14ac:dyDescent="0.3">
      <c r="A525" s="26" t="s">
        <v>163</v>
      </c>
      <c r="B525" s="26" t="s">
        <v>164</v>
      </c>
      <c r="C525" s="26" t="s">
        <v>165</v>
      </c>
      <c r="D525" s="26"/>
      <c r="E525" s="26" t="s">
        <v>469</v>
      </c>
      <c r="F525" s="26"/>
      <c r="G525" s="26"/>
      <c r="H525" s="26"/>
      <c r="I525" s="22"/>
      <c r="J525" s="22" t="s">
        <v>201</v>
      </c>
      <c r="K525" s="34"/>
    </row>
    <row r="526" spans="1:11" x14ac:dyDescent="0.3">
      <c r="A526" s="26" t="s">
        <v>163</v>
      </c>
      <c r="B526" s="26" t="s">
        <v>164</v>
      </c>
      <c r="C526" s="26" t="s">
        <v>165</v>
      </c>
      <c r="D526" s="26"/>
      <c r="E526" s="26" t="s">
        <v>470</v>
      </c>
      <c r="F526" s="26"/>
      <c r="G526" s="26"/>
      <c r="H526" s="26"/>
      <c r="I526" s="22"/>
      <c r="J526" s="22" t="s">
        <v>201</v>
      </c>
      <c r="K526" s="34"/>
    </row>
    <row r="527" spans="1:11" x14ac:dyDescent="0.3">
      <c r="A527" s="26" t="s">
        <v>163</v>
      </c>
      <c r="B527" s="26" t="s">
        <v>164</v>
      </c>
      <c r="C527" s="26" t="s">
        <v>165</v>
      </c>
      <c r="D527" s="26"/>
      <c r="E527" s="26" t="s">
        <v>471</v>
      </c>
      <c r="F527" s="26"/>
      <c r="G527" s="26"/>
      <c r="H527" s="26"/>
      <c r="I527" s="22"/>
      <c r="J527" s="22" t="s">
        <v>201</v>
      </c>
      <c r="K527" s="34"/>
    </row>
    <row r="528" spans="1:11" x14ac:dyDescent="0.3">
      <c r="A528" s="26" t="s">
        <v>163</v>
      </c>
      <c r="B528" s="26" t="s">
        <v>164</v>
      </c>
      <c r="C528" s="26" t="s">
        <v>165</v>
      </c>
      <c r="D528" s="26"/>
      <c r="E528" s="26" t="s">
        <v>472</v>
      </c>
      <c r="F528" s="26"/>
      <c r="G528" s="26"/>
      <c r="H528" s="26"/>
      <c r="I528" s="22"/>
      <c r="J528" s="22" t="s">
        <v>201</v>
      </c>
      <c r="K528" s="34"/>
    </row>
    <row r="529" spans="1:11" x14ac:dyDescent="0.3">
      <c r="A529" s="26" t="s">
        <v>163</v>
      </c>
      <c r="B529" s="26" t="s">
        <v>164</v>
      </c>
      <c r="C529" s="26" t="s">
        <v>165</v>
      </c>
      <c r="D529" s="26"/>
      <c r="E529" s="26" t="s">
        <v>473</v>
      </c>
      <c r="F529" s="26"/>
      <c r="G529" s="26"/>
      <c r="H529" s="26"/>
      <c r="I529" s="22" t="s">
        <v>474</v>
      </c>
      <c r="J529" s="22"/>
      <c r="K529" s="34"/>
    </row>
    <row r="530" spans="1:11" x14ac:dyDescent="0.3">
      <c r="A530" s="26" t="s">
        <v>163</v>
      </c>
      <c r="B530" s="26" t="s">
        <v>164</v>
      </c>
      <c r="C530" s="26" t="s">
        <v>165</v>
      </c>
      <c r="D530" s="26"/>
      <c r="E530" s="26" t="s">
        <v>475</v>
      </c>
      <c r="F530" s="26"/>
      <c r="G530" s="26"/>
      <c r="H530" s="26"/>
      <c r="I530" s="22" t="s">
        <v>474</v>
      </c>
      <c r="J530" s="22"/>
      <c r="K530" s="34"/>
    </row>
    <row r="531" spans="1:11" x14ac:dyDescent="0.3">
      <c r="A531" s="26" t="s">
        <v>163</v>
      </c>
      <c r="B531" s="26" t="s">
        <v>164</v>
      </c>
      <c r="C531" s="26" t="s">
        <v>165</v>
      </c>
      <c r="D531" s="26"/>
      <c r="E531" s="26" t="s">
        <v>476</v>
      </c>
      <c r="F531" s="26"/>
      <c r="G531" s="26"/>
      <c r="H531" s="26"/>
      <c r="I531" s="22" t="s">
        <v>477</v>
      </c>
      <c r="J531" s="22"/>
      <c r="K531" s="34"/>
    </row>
    <row r="532" spans="1:11" x14ac:dyDescent="0.3">
      <c r="A532" s="26" t="s">
        <v>163</v>
      </c>
      <c r="B532" s="26" t="s">
        <v>164</v>
      </c>
      <c r="C532" s="26" t="s">
        <v>165</v>
      </c>
      <c r="D532" s="26"/>
      <c r="E532" s="26" t="s">
        <v>478</v>
      </c>
      <c r="F532" s="26"/>
      <c r="G532" s="26"/>
      <c r="H532" s="26"/>
      <c r="I532" s="22" t="s">
        <v>477</v>
      </c>
      <c r="J532" s="22"/>
      <c r="K532" s="34"/>
    </row>
    <row r="533" spans="1:11" x14ac:dyDescent="0.3">
      <c r="A533" s="26" t="s">
        <v>163</v>
      </c>
      <c r="B533" s="26" t="s">
        <v>164</v>
      </c>
      <c r="C533" s="26" t="s">
        <v>165</v>
      </c>
      <c r="D533" s="26"/>
      <c r="E533" s="26" t="s">
        <v>479</v>
      </c>
      <c r="F533" s="26"/>
      <c r="G533" s="26"/>
      <c r="H533" s="26"/>
      <c r="I533" s="22" t="s">
        <v>480</v>
      </c>
      <c r="J533" s="22"/>
      <c r="K533" s="34"/>
    </row>
    <row r="534" spans="1:11" x14ac:dyDescent="0.3">
      <c r="A534" s="26" t="s">
        <v>163</v>
      </c>
      <c r="B534" s="26" t="s">
        <v>164</v>
      </c>
      <c r="C534" s="26" t="s">
        <v>165</v>
      </c>
      <c r="D534" s="26"/>
      <c r="E534" s="26" t="s">
        <v>481</v>
      </c>
      <c r="F534" s="26"/>
      <c r="G534" s="26"/>
      <c r="H534" s="26"/>
      <c r="I534" s="22" t="s">
        <v>480</v>
      </c>
      <c r="J534" s="22"/>
      <c r="K534" s="34"/>
    </row>
    <row r="535" spans="1:11" x14ac:dyDescent="0.3">
      <c r="A535" s="26" t="s">
        <v>163</v>
      </c>
      <c r="B535" s="26" t="s">
        <v>164</v>
      </c>
      <c r="C535" s="26" t="s">
        <v>165</v>
      </c>
      <c r="D535" s="26"/>
      <c r="E535" s="26" t="s">
        <v>482</v>
      </c>
      <c r="F535" s="26"/>
      <c r="G535" s="26"/>
      <c r="H535" s="26"/>
      <c r="I535" s="22" t="s">
        <v>480</v>
      </c>
      <c r="J535" s="22"/>
      <c r="K535" s="74"/>
    </row>
    <row r="536" spans="1:11" x14ac:dyDescent="0.3">
      <c r="A536" s="29" t="s">
        <v>163</v>
      </c>
      <c r="B536" s="29" t="s">
        <v>164</v>
      </c>
      <c r="C536" s="29" t="s">
        <v>165</v>
      </c>
      <c r="D536" s="26"/>
      <c r="E536" s="29" t="s">
        <v>483</v>
      </c>
      <c r="F536" s="23"/>
      <c r="G536" s="29">
        <v>30</v>
      </c>
      <c r="H536" s="29"/>
      <c r="I536" s="65" t="s">
        <v>200</v>
      </c>
      <c r="J536" s="65" t="s">
        <v>201</v>
      </c>
      <c r="K536" s="74"/>
    </row>
    <row r="537" spans="1:11" x14ac:dyDescent="0.3">
      <c r="A537" s="29" t="s">
        <v>163</v>
      </c>
      <c r="B537" s="29" t="s">
        <v>164</v>
      </c>
      <c r="C537" s="29" t="s">
        <v>165</v>
      </c>
      <c r="D537" s="26"/>
      <c r="E537" s="29" t="s">
        <v>484</v>
      </c>
      <c r="F537" s="23"/>
      <c r="G537" s="29">
        <v>30</v>
      </c>
      <c r="H537" s="29"/>
      <c r="I537" s="65" t="s">
        <v>200</v>
      </c>
      <c r="J537" s="65" t="s">
        <v>201</v>
      </c>
      <c r="K537" s="75"/>
    </row>
    <row r="538" spans="1:11" x14ac:dyDescent="0.3">
      <c r="A538" s="29" t="s">
        <v>163</v>
      </c>
      <c r="B538" s="29" t="s">
        <v>164</v>
      </c>
      <c r="C538" s="29" t="s">
        <v>202</v>
      </c>
      <c r="D538" s="29"/>
      <c r="E538" s="29" t="s">
        <v>485</v>
      </c>
      <c r="F538" s="29"/>
      <c r="G538" s="29"/>
      <c r="H538" s="29"/>
      <c r="I538" s="29" t="s">
        <v>486</v>
      </c>
      <c r="J538" s="29" t="s">
        <v>487</v>
      </c>
      <c r="K538" s="75"/>
    </row>
    <row r="539" spans="1:11" x14ac:dyDescent="0.3">
      <c r="A539" s="29" t="s">
        <v>163</v>
      </c>
      <c r="B539" s="29" t="s">
        <v>164</v>
      </c>
      <c r="C539" s="29" t="s">
        <v>210</v>
      </c>
      <c r="D539" s="29"/>
      <c r="E539" s="29" t="s">
        <v>488</v>
      </c>
      <c r="F539" s="29"/>
      <c r="G539" s="29"/>
      <c r="H539" s="29"/>
      <c r="I539" s="29" t="s">
        <v>489</v>
      </c>
      <c r="J539" s="29" t="s">
        <v>490</v>
      </c>
      <c r="K539" s="75"/>
    </row>
    <row r="540" spans="1:11" x14ac:dyDescent="0.3">
      <c r="A540" s="29" t="s">
        <v>163</v>
      </c>
      <c r="B540" s="29" t="s">
        <v>164</v>
      </c>
      <c r="C540" s="29" t="s">
        <v>206</v>
      </c>
      <c r="D540" s="29"/>
      <c r="E540" s="29" t="s">
        <v>491</v>
      </c>
      <c r="F540" s="29"/>
      <c r="G540" s="29"/>
      <c r="H540" s="29"/>
      <c r="I540" s="29" t="s">
        <v>492</v>
      </c>
      <c r="J540" s="29" t="s">
        <v>493</v>
      </c>
      <c r="K540" s="75"/>
    </row>
    <row r="541" spans="1:11" x14ac:dyDescent="0.3">
      <c r="A541" s="29" t="s">
        <v>163</v>
      </c>
      <c r="B541" s="29" t="s">
        <v>164</v>
      </c>
      <c r="C541" s="29" t="s">
        <v>202</v>
      </c>
      <c r="D541" s="29"/>
      <c r="E541" s="29" t="s">
        <v>494</v>
      </c>
      <c r="F541" s="29"/>
      <c r="G541" s="29"/>
      <c r="H541" s="29"/>
      <c r="I541" s="29" t="s">
        <v>495</v>
      </c>
      <c r="J541" s="29" t="s">
        <v>496</v>
      </c>
      <c r="K541" s="75"/>
    </row>
    <row r="542" spans="1:11" x14ac:dyDescent="0.3">
      <c r="A542" s="29" t="s">
        <v>163</v>
      </c>
      <c r="B542" s="29" t="s">
        <v>164</v>
      </c>
      <c r="C542" s="29" t="s">
        <v>210</v>
      </c>
      <c r="D542" s="29"/>
      <c r="E542" s="29" t="s">
        <v>497</v>
      </c>
      <c r="F542" s="29"/>
      <c r="G542" s="29"/>
      <c r="H542" s="29"/>
      <c r="I542" s="29" t="s">
        <v>498</v>
      </c>
      <c r="J542" s="29" t="s">
        <v>499</v>
      </c>
      <c r="K542" s="75"/>
    </row>
    <row r="543" spans="1:11" x14ac:dyDescent="0.3">
      <c r="A543" s="29" t="s">
        <v>163</v>
      </c>
      <c r="B543" s="29" t="s">
        <v>164</v>
      </c>
      <c r="C543" s="29" t="s">
        <v>206</v>
      </c>
      <c r="D543" s="29"/>
      <c r="E543" s="29" t="s">
        <v>500</v>
      </c>
      <c r="F543" s="29"/>
      <c r="G543" s="29"/>
      <c r="H543" s="29"/>
      <c r="I543" s="29" t="s">
        <v>501</v>
      </c>
      <c r="J543" s="29" t="s">
        <v>502</v>
      </c>
      <c r="K543" s="75"/>
    </row>
    <row r="544" spans="1:11" x14ac:dyDescent="0.3">
      <c r="A544" s="29" t="s">
        <v>163</v>
      </c>
      <c r="B544" s="29" t="s">
        <v>164</v>
      </c>
      <c r="C544" s="29" t="s">
        <v>202</v>
      </c>
      <c r="D544" s="29"/>
      <c r="E544" s="29" t="s">
        <v>503</v>
      </c>
      <c r="F544" s="29"/>
      <c r="G544" s="29"/>
      <c r="H544" s="29"/>
      <c r="I544" s="29" t="s">
        <v>504</v>
      </c>
      <c r="J544" s="29" t="s">
        <v>505</v>
      </c>
      <c r="K544" s="75"/>
    </row>
    <row r="545" spans="1:11" x14ac:dyDescent="0.3">
      <c r="A545" s="29" t="s">
        <v>163</v>
      </c>
      <c r="B545" s="29" t="s">
        <v>164</v>
      </c>
      <c r="C545" s="29" t="s">
        <v>210</v>
      </c>
      <c r="D545" s="29"/>
      <c r="E545" s="29" t="s">
        <v>506</v>
      </c>
      <c r="F545" s="29"/>
      <c r="G545" s="29"/>
      <c r="H545" s="29"/>
      <c r="I545" s="29" t="s">
        <v>507</v>
      </c>
      <c r="J545" s="29" t="s">
        <v>508</v>
      </c>
      <c r="K545" s="75"/>
    </row>
    <row r="546" spans="1:11" x14ac:dyDescent="0.3">
      <c r="A546" s="29" t="s">
        <v>163</v>
      </c>
      <c r="B546" s="29" t="s">
        <v>164</v>
      </c>
      <c r="C546" s="29" t="s">
        <v>206</v>
      </c>
      <c r="D546" s="29"/>
      <c r="E546" s="29" t="s">
        <v>509</v>
      </c>
      <c r="F546" s="29"/>
      <c r="G546" s="29"/>
      <c r="H546" s="29"/>
      <c r="I546" s="29" t="s">
        <v>510</v>
      </c>
      <c r="J546" s="29" t="s">
        <v>511</v>
      </c>
      <c r="K546" s="34"/>
    </row>
    <row r="547" spans="1:11" x14ac:dyDescent="0.3">
      <c r="A547" s="26" t="s">
        <v>163</v>
      </c>
      <c r="B547" s="26" t="s">
        <v>164</v>
      </c>
      <c r="C547" s="26" t="s">
        <v>165</v>
      </c>
      <c r="D547" s="26"/>
      <c r="E547" s="26" t="s">
        <v>512</v>
      </c>
      <c r="F547" s="26"/>
      <c r="G547" s="26">
        <v>5</v>
      </c>
      <c r="H547" s="26"/>
      <c r="I547" s="22" t="s">
        <v>513</v>
      </c>
      <c r="J547" s="22"/>
      <c r="K547" s="34"/>
    </row>
    <row r="548" spans="1:11" x14ac:dyDescent="0.3">
      <c r="A548" s="26" t="s">
        <v>163</v>
      </c>
      <c r="B548" s="26" t="s">
        <v>164</v>
      </c>
      <c r="C548" s="26" t="s">
        <v>165</v>
      </c>
      <c r="D548" s="26"/>
      <c r="E548" s="26" t="s">
        <v>514</v>
      </c>
      <c r="F548" s="26"/>
      <c r="G548" s="26">
        <v>25</v>
      </c>
      <c r="H548" s="26"/>
      <c r="I548" s="22" t="s">
        <v>515</v>
      </c>
      <c r="J548" s="22"/>
      <c r="K548" s="34"/>
    </row>
    <row r="549" spans="1:11" x14ac:dyDescent="0.3">
      <c r="A549" s="26" t="s">
        <v>163</v>
      </c>
      <c r="B549" s="26" t="s">
        <v>516</v>
      </c>
      <c r="C549" s="26" t="s">
        <v>165</v>
      </c>
      <c r="D549" s="26" t="s">
        <v>517</v>
      </c>
      <c r="E549" s="26" t="s">
        <v>517</v>
      </c>
      <c r="F549" s="26"/>
      <c r="G549" s="26"/>
      <c r="H549" s="29"/>
      <c r="I549" s="22"/>
      <c r="J549" s="22" t="s">
        <v>518</v>
      </c>
      <c r="K549" s="34"/>
    </row>
    <row r="550" spans="1:11" x14ac:dyDescent="0.3">
      <c r="A550" s="64" t="s">
        <v>163</v>
      </c>
      <c r="B550" s="64" t="s">
        <v>519</v>
      </c>
      <c r="C550" s="64" t="s">
        <v>165</v>
      </c>
      <c r="D550" s="64" t="s">
        <v>520</v>
      </c>
      <c r="E550" s="64" t="s">
        <v>521</v>
      </c>
      <c r="F550" s="64"/>
      <c r="G550" s="64">
        <v>1</v>
      </c>
      <c r="H550" s="64"/>
      <c r="I550" s="22"/>
      <c r="J550" s="22"/>
      <c r="K550" s="34"/>
    </row>
    <row r="551" spans="1:11" x14ac:dyDescent="0.3">
      <c r="A551" s="64" t="s">
        <v>163</v>
      </c>
      <c r="B551" s="64" t="s">
        <v>519</v>
      </c>
      <c r="C551" s="64" t="s">
        <v>165</v>
      </c>
      <c r="D551" s="64" t="s">
        <v>520</v>
      </c>
      <c r="E551" s="64" t="s">
        <v>522</v>
      </c>
      <c r="F551" s="64"/>
      <c r="G551" s="64">
        <v>5</v>
      </c>
      <c r="H551" s="64"/>
      <c r="I551" s="22" t="s">
        <v>523</v>
      </c>
      <c r="J551" s="22"/>
      <c r="K551" s="34"/>
    </row>
    <row r="552" spans="1:11" x14ac:dyDescent="0.3">
      <c r="A552" s="64" t="s">
        <v>163</v>
      </c>
      <c r="B552" s="64" t="s">
        <v>519</v>
      </c>
      <c r="C552" s="64" t="s">
        <v>165</v>
      </c>
      <c r="D552" s="64" t="s">
        <v>520</v>
      </c>
      <c r="E552" s="64" t="s">
        <v>524</v>
      </c>
      <c r="F552" s="64"/>
      <c r="G552" s="64">
        <v>5</v>
      </c>
      <c r="H552" s="64"/>
      <c r="I552" s="22" t="s">
        <v>525</v>
      </c>
      <c r="J552" s="22"/>
      <c r="K552" s="34"/>
    </row>
    <row r="553" spans="1:11" x14ac:dyDescent="0.3">
      <c r="A553" s="64" t="s">
        <v>163</v>
      </c>
      <c r="B553" s="64" t="s">
        <v>519</v>
      </c>
      <c r="C553" s="64" t="s">
        <v>165</v>
      </c>
      <c r="D553" s="64" t="s">
        <v>520</v>
      </c>
      <c r="E553" s="64" t="s">
        <v>526</v>
      </c>
      <c r="F553" s="64"/>
      <c r="G553" s="64">
        <v>10</v>
      </c>
      <c r="H553" s="64"/>
      <c r="I553" s="22" t="s">
        <v>527</v>
      </c>
      <c r="J553" s="22"/>
      <c r="K553" s="34"/>
    </row>
    <row r="554" spans="1:11" x14ac:dyDescent="0.3">
      <c r="A554" s="64" t="s">
        <v>163</v>
      </c>
      <c r="B554" s="64" t="s">
        <v>519</v>
      </c>
      <c r="C554" s="64" t="s">
        <v>165</v>
      </c>
      <c r="D554" s="64" t="s">
        <v>520</v>
      </c>
      <c r="E554" s="64" t="s">
        <v>528</v>
      </c>
      <c r="F554" s="23"/>
      <c r="G554" s="64">
        <v>30</v>
      </c>
      <c r="H554" s="64"/>
      <c r="I554" s="22" t="s">
        <v>529</v>
      </c>
      <c r="J554" s="22" t="s">
        <v>201</v>
      </c>
      <c r="K554" s="34"/>
    </row>
    <row r="555" spans="1:11" x14ac:dyDescent="0.3">
      <c r="A555" s="64" t="s">
        <v>163</v>
      </c>
      <c r="B555" s="64" t="s">
        <v>519</v>
      </c>
      <c r="C555" s="64" t="s">
        <v>165</v>
      </c>
      <c r="D555" s="64" t="s">
        <v>520</v>
      </c>
      <c r="E555" s="64" t="s">
        <v>607</v>
      </c>
      <c r="F555" s="29"/>
      <c r="G555" s="64"/>
      <c r="H555" s="29"/>
      <c r="I555" s="22" t="s">
        <v>608</v>
      </c>
      <c r="J555" s="22" t="s">
        <v>609</v>
      </c>
      <c r="K555" s="34"/>
    </row>
    <row r="556" spans="1:11" x14ac:dyDescent="0.3">
      <c r="A556" s="64" t="s">
        <v>163</v>
      </c>
      <c r="B556" s="64" t="s">
        <v>519</v>
      </c>
      <c r="C556" s="64" t="s">
        <v>165</v>
      </c>
      <c r="D556" s="64" t="s">
        <v>520</v>
      </c>
      <c r="E556" s="64" t="s">
        <v>610</v>
      </c>
      <c r="F556" s="29"/>
      <c r="G556" s="64"/>
      <c r="H556" s="29"/>
      <c r="I556" s="22" t="s">
        <v>611</v>
      </c>
      <c r="J556" s="22" t="s">
        <v>612</v>
      </c>
      <c r="K556" s="34"/>
    </row>
    <row r="557" spans="1:11" x14ac:dyDescent="0.3">
      <c r="A557" s="64" t="s">
        <v>163</v>
      </c>
      <c r="B557" s="64" t="s">
        <v>519</v>
      </c>
      <c r="C557" s="64" t="s">
        <v>165</v>
      </c>
      <c r="D557" s="64" t="s">
        <v>520</v>
      </c>
      <c r="E557" s="64" t="s">
        <v>613</v>
      </c>
      <c r="F557" s="29"/>
      <c r="G557" s="64"/>
      <c r="H557" s="29"/>
      <c r="I557" s="22" t="s">
        <v>614</v>
      </c>
      <c r="J557" s="22" t="s">
        <v>615</v>
      </c>
      <c r="K557" s="34"/>
    </row>
    <row r="558" spans="1:11" x14ac:dyDescent="0.3">
      <c r="A558" s="64" t="s">
        <v>163</v>
      </c>
      <c r="B558" s="64" t="s">
        <v>519</v>
      </c>
      <c r="C558" s="64" t="s">
        <v>165</v>
      </c>
      <c r="D558" s="64" t="s">
        <v>520</v>
      </c>
      <c r="E558" s="64" t="s">
        <v>616</v>
      </c>
      <c r="F558" s="29"/>
      <c r="G558" s="64"/>
      <c r="H558" s="29"/>
      <c r="I558" s="22" t="s">
        <v>617</v>
      </c>
      <c r="J558" s="22" t="s">
        <v>618</v>
      </c>
      <c r="K558" s="34"/>
    </row>
    <row r="559" spans="1:11" x14ac:dyDescent="0.3">
      <c r="A559" s="64" t="s">
        <v>163</v>
      </c>
      <c r="B559" s="64" t="s">
        <v>519</v>
      </c>
      <c r="C559" s="64" t="s">
        <v>165</v>
      </c>
      <c r="D559" s="64" t="s">
        <v>520</v>
      </c>
      <c r="E559" s="64" t="s">
        <v>637</v>
      </c>
      <c r="F559" s="64"/>
      <c r="G559" s="64"/>
      <c r="H559" s="64"/>
      <c r="I559" s="22" t="s">
        <v>638</v>
      </c>
      <c r="J559" s="22" t="s">
        <v>639</v>
      </c>
      <c r="K559" s="34"/>
    </row>
    <row r="560" spans="1:11" x14ac:dyDescent="0.3">
      <c r="A560" s="64" t="s">
        <v>163</v>
      </c>
      <c r="B560" s="64" t="s">
        <v>519</v>
      </c>
      <c r="C560" s="64" t="s">
        <v>165</v>
      </c>
      <c r="D560" s="64" t="s">
        <v>520</v>
      </c>
      <c r="E560" s="64" t="s">
        <v>640</v>
      </c>
      <c r="F560" s="64"/>
      <c r="G560" s="64"/>
      <c r="H560" s="64"/>
      <c r="I560" s="22" t="s">
        <v>641</v>
      </c>
      <c r="J560" s="22" t="s">
        <v>642</v>
      </c>
      <c r="K560" s="34"/>
    </row>
    <row r="561" spans="1:11" x14ac:dyDescent="0.3">
      <c r="A561" s="64" t="s">
        <v>163</v>
      </c>
      <c r="B561" s="64" t="s">
        <v>519</v>
      </c>
      <c r="C561" s="64" t="s">
        <v>165</v>
      </c>
      <c r="D561" s="64" t="s">
        <v>520</v>
      </c>
      <c r="E561" s="64" t="s">
        <v>643</v>
      </c>
      <c r="F561" s="64"/>
      <c r="G561" s="64"/>
      <c r="H561" s="64"/>
      <c r="I561" s="22" t="s">
        <v>644</v>
      </c>
      <c r="J561" s="22" t="s">
        <v>645</v>
      </c>
      <c r="K561" s="34"/>
    </row>
    <row r="562" spans="1:11" x14ac:dyDescent="0.3">
      <c r="A562" s="64" t="s">
        <v>163</v>
      </c>
      <c r="B562" s="64" t="s">
        <v>519</v>
      </c>
      <c r="C562" s="64" t="s">
        <v>165</v>
      </c>
      <c r="D562" s="64" t="s">
        <v>520</v>
      </c>
      <c r="E562" s="64" t="s">
        <v>646</v>
      </c>
      <c r="F562" s="64"/>
      <c r="G562" s="64"/>
      <c r="H562" s="64"/>
      <c r="I562" s="22" t="s">
        <v>647</v>
      </c>
      <c r="J562" s="22" t="s">
        <v>648</v>
      </c>
      <c r="K562" s="34"/>
    </row>
    <row r="563" spans="1:11" x14ac:dyDescent="0.3">
      <c r="A563" s="64" t="s">
        <v>163</v>
      </c>
      <c r="B563" s="64" t="s">
        <v>519</v>
      </c>
      <c r="C563" s="64" t="s">
        <v>165</v>
      </c>
      <c r="D563" s="64" t="s">
        <v>520</v>
      </c>
      <c r="E563" s="64" t="s">
        <v>649</v>
      </c>
      <c r="F563" s="64"/>
      <c r="G563" s="64"/>
      <c r="H563" s="64"/>
      <c r="I563" s="22" t="s">
        <v>650</v>
      </c>
      <c r="J563" s="22" t="s">
        <v>651</v>
      </c>
      <c r="K563" s="34"/>
    </row>
    <row r="564" spans="1:11" x14ac:dyDescent="0.3">
      <c r="A564" s="64" t="s">
        <v>163</v>
      </c>
      <c r="B564" s="64" t="s">
        <v>519</v>
      </c>
      <c r="C564" s="64" t="s">
        <v>165</v>
      </c>
      <c r="D564" s="64" t="s">
        <v>520</v>
      </c>
      <c r="E564" s="64" t="s">
        <v>652</v>
      </c>
      <c r="F564" s="64"/>
      <c r="G564" s="64"/>
      <c r="H564" s="64"/>
      <c r="I564" s="22" t="s">
        <v>653</v>
      </c>
      <c r="J564" s="22" t="s">
        <v>654</v>
      </c>
      <c r="K564" s="34"/>
    </row>
    <row r="565" spans="1:11" x14ac:dyDescent="0.3">
      <c r="A565" s="26" t="s">
        <v>163</v>
      </c>
      <c r="B565" s="26" t="s">
        <v>519</v>
      </c>
      <c r="C565" s="66" t="s">
        <v>165</v>
      </c>
      <c r="D565" s="66" t="s">
        <v>520</v>
      </c>
      <c r="E565" s="26" t="s">
        <v>685</v>
      </c>
      <c r="F565" s="26"/>
      <c r="G565" s="66"/>
      <c r="H565" s="64"/>
      <c r="I565" s="22" t="s">
        <v>686</v>
      </c>
      <c r="J565" s="22"/>
      <c r="K565" s="34"/>
    </row>
    <row r="566" spans="1:11" x14ac:dyDescent="0.3">
      <c r="A566" s="26" t="s">
        <v>163</v>
      </c>
      <c r="B566" s="26" t="s">
        <v>519</v>
      </c>
      <c r="C566" s="66" t="s">
        <v>165</v>
      </c>
      <c r="D566" s="66" t="s">
        <v>520</v>
      </c>
      <c r="E566" s="26" t="s">
        <v>687</v>
      </c>
      <c r="F566" s="29"/>
      <c r="G566" s="66"/>
      <c r="H566" s="64"/>
      <c r="I566" s="22" t="s">
        <v>688</v>
      </c>
      <c r="J566" s="22"/>
      <c r="K566" s="34"/>
    </row>
    <row r="567" spans="1:11" x14ac:dyDescent="0.3">
      <c r="A567" s="26" t="s">
        <v>163</v>
      </c>
      <c r="B567" s="26" t="s">
        <v>519</v>
      </c>
      <c r="C567" s="66" t="s">
        <v>165</v>
      </c>
      <c r="D567" s="66" t="s">
        <v>520</v>
      </c>
      <c r="E567" s="26" t="s">
        <v>689</v>
      </c>
      <c r="F567" s="26"/>
      <c r="G567" s="66"/>
      <c r="H567" s="64"/>
      <c r="I567" s="22" t="s">
        <v>690</v>
      </c>
      <c r="J567" s="22" t="s">
        <v>201</v>
      </c>
      <c r="K567" s="34"/>
    </row>
    <row r="568" spans="1:11" x14ac:dyDescent="0.3">
      <c r="A568" s="26" t="s">
        <v>163</v>
      </c>
      <c r="B568" s="26" t="s">
        <v>519</v>
      </c>
      <c r="C568" s="66" t="s">
        <v>165</v>
      </c>
      <c r="D568" s="66" t="s">
        <v>520</v>
      </c>
      <c r="E568" s="26" t="s">
        <v>691</v>
      </c>
      <c r="F568" s="26"/>
      <c r="G568" s="66"/>
      <c r="H568" s="64"/>
      <c r="I568" s="22" t="s">
        <v>692</v>
      </c>
      <c r="J568" s="22" t="s">
        <v>201</v>
      </c>
      <c r="K568" s="34"/>
    </row>
    <row r="569" spans="1:11" x14ac:dyDescent="0.3">
      <c r="A569" s="26" t="s">
        <v>163</v>
      </c>
      <c r="B569" s="26" t="s">
        <v>519</v>
      </c>
      <c r="C569" s="66" t="s">
        <v>165</v>
      </c>
      <c r="D569" s="66" t="s">
        <v>520</v>
      </c>
      <c r="E569" s="26" t="s">
        <v>693</v>
      </c>
      <c r="F569" s="26"/>
      <c r="G569" s="66"/>
      <c r="H569" s="64"/>
      <c r="I569" s="22" t="s">
        <v>694</v>
      </c>
      <c r="J569" s="22" t="s">
        <v>201</v>
      </c>
      <c r="K569" s="34"/>
    </row>
    <row r="570" spans="1:11" x14ac:dyDescent="0.3">
      <c r="A570" s="26" t="s">
        <v>163</v>
      </c>
      <c r="B570" s="26" t="s">
        <v>519</v>
      </c>
      <c r="C570" s="66" t="s">
        <v>165</v>
      </c>
      <c r="D570" s="66" t="s">
        <v>520</v>
      </c>
      <c r="E570" s="26" t="s">
        <v>695</v>
      </c>
      <c r="F570" s="26"/>
      <c r="G570" s="26"/>
      <c r="H570" s="64"/>
      <c r="I570" s="22"/>
      <c r="J570" s="22" t="s">
        <v>201</v>
      </c>
      <c r="K570" s="34"/>
    </row>
    <row r="571" spans="1:11" x14ac:dyDescent="0.3">
      <c r="A571" s="26" t="s">
        <v>163</v>
      </c>
      <c r="B571" s="26" t="s">
        <v>519</v>
      </c>
      <c r="C571" s="66" t="s">
        <v>165</v>
      </c>
      <c r="D571" s="67" t="s">
        <v>520</v>
      </c>
      <c r="E571" s="26" t="s">
        <v>696</v>
      </c>
      <c r="F571" s="26"/>
      <c r="G571" s="26"/>
      <c r="H571" s="64"/>
      <c r="I571" s="22" t="s">
        <v>697</v>
      </c>
      <c r="J571" s="22" t="s">
        <v>201</v>
      </c>
      <c r="K571" s="34"/>
    </row>
    <row r="572" spans="1:11" x14ac:dyDescent="0.3">
      <c r="A572" s="26" t="s">
        <v>163</v>
      </c>
      <c r="B572" s="26" t="s">
        <v>519</v>
      </c>
      <c r="C572" s="66" t="s">
        <v>165</v>
      </c>
      <c r="D572" s="67" t="s">
        <v>520</v>
      </c>
      <c r="E572" s="26" t="s">
        <v>698</v>
      </c>
      <c r="F572" s="26"/>
      <c r="G572" s="26"/>
      <c r="H572" s="64"/>
      <c r="I572" s="22" t="s">
        <v>699</v>
      </c>
      <c r="J572" s="22" t="s">
        <v>201</v>
      </c>
      <c r="K572" s="34"/>
    </row>
    <row r="573" spans="1:11" x14ac:dyDescent="0.3">
      <c r="A573" s="26" t="s">
        <v>163</v>
      </c>
      <c r="B573" s="26" t="s">
        <v>519</v>
      </c>
      <c r="C573" s="66" t="s">
        <v>165</v>
      </c>
      <c r="D573" s="67" t="s">
        <v>520</v>
      </c>
      <c r="E573" s="26" t="s">
        <v>700</v>
      </c>
      <c r="F573" s="26"/>
      <c r="G573" s="26"/>
      <c r="H573" s="64"/>
      <c r="I573" s="22" t="s">
        <v>701</v>
      </c>
      <c r="J573" s="22" t="s">
        <v>201</v>
      </c>
      <c r="K573" s="34"/>
    </row>
    <row r="574" spans="1:11" x14ac:dyDescent="0.3">
      <c r="A574" s="26" t="s">
        <v>163</v>
      </c>
      <c r="B574" s="26" t="s">
        <v>519</v>
      </c>
      <c r="C574" s="66" t="s">
        <v>165</v>
      </c>
      <c r="D574" s="67" t="s">
        <v>520</v>
      </c>
      <c r="E574" s="26" t="s">
        <v>702</v>
      </c>
      <c r="F574" s="26"/>
      <c r="G574" s="26"/>
      <c r="H574" s="64"/>
      <c r="I574" s="22"/>
      <c r="J574" s="22" t="s">
        <v>201</v>
      </c>
      <c r="K574" s="34"/>
    </row>
    <row r="575" spans="1:11" x14ac:dyDescent="0.3">
      <c r="A575" s="26" t="s">
        <v>163</v>
      </c>
      <c r="B575" s="26" t="s">
        <v>519</v>
      </c>
      <c r="C575" s="66" t="s">
        <v>165</v>
      </c>
      <c r="D575" s="67" t="s">
        <v>520</v>
      </c>
      <c r="E575" s="26" t="s">
        <v>703</v>
      </c>
      <c r="F575" s="26"/>
      <c r="G575" s="26"/>
      <c r="H575" s="64"/>
      <c r="I575" s="22"/>
      <c r="J575" s="22" t="s">
        <v>201</v>
      </c>
      <c r="K575" s="34"/>
    </row>
    <row r="576" spans="1:11" x14ac:dyDescent="0.3">
      <c r="A576" s="26" t="s">
        <v>163</v>
      </c>
      <c r="B576" s="26" t="s">
        <v>519</v>
      </c>
      <c r="C576" s="66" t="s">
        <v>165</v>
      </c>
      <c r="D576" s="67" t="s">
        <v>520</v>
      </c>
      <c r="E576" s="26" t="s">
        <v>704</v>
      </c>
      <c r="F576" s="26"/>
      <c r="G576" s="66"/>
      <c r="H576" s="64"/>
      <c r="I576" s="22" t="s">
        <v>705</v>
      </c>
      <c r="J576" s="22" t="s">
        <v>201</v>
      </c>
      <c r="K576" s="34"/>
    </row>
    <row r="577" spans="1:11" x14ac:dyDescent="0.3">
      <c r="A577" s="26" t="s">
        <v>163</v>
      </c>
      <c r="B577" s="26" t="s">
        <v>519</v>
      </c>
      <c r="C577" s="66" t="s">
        <v>165</v>
      </c>
      <c r="D577" s="67" t="s">
        <v>520</v>
      </c>
      <c r="E577" s="26" t="s">
        <v>706</v>
      </c>
      <c r="F577" s="26"/>
      <c r="G577" s="26"/>
      <c r="H577" s="64"/>
      <c r="I577" s="22" t="s">
        <v>707</v>
      </c>
      <c r="J577" s="22" t="s">
        <v>201</v>
      </c>
      <c r="K577" s="34"/>
    </row>
    <row r="578" spans="1:11" x14ac:dyDescent="0.3">
      <c r="A578" s="26" t="s">
        <v>163</v>
      </c>
      <c r="B578" s="26" t="s">
        <v>519</v>
      </c>
      <c r="C578" s="66" t="s">
        <v>165</v>
      </c>
      <c r="D578" s="67" t="s">
        <v>520</v>
      </c>
      <c r="E578" s="26" t="s">
        <v>708</v>
      </c>
      <c r="F578" s="26"/>
      <c r="G578" s="26"/>
      <c r="H578" s="64"/>
      <c r="I578" s="22" t="s">
        <v>709</v>
      </c>
      <c r="J578" s="22" t="s">
        <v>201</v>
      </c>
      <c r="K578" s="34"/>
    </row>
    <row r="579" spans="1:11" x14ac:dyDescent="0.3">
      <c r="A579" s="26" t="s">
        <v>163</v>
      </c>
      <c r="B579" s="26" t="s">
        <v>519</v>
      </c>
      <c r="C579" s="66" t="s">
        <v>165</v>
      </c>
      <c r="D579" s="67" t="s">
        <v>520</v>
      </c>
      <c r="E579" s="26" t="s">
        <v>710</v>
      </c>
      <c r="F579" s="26"/>
      <c r="G579" s="26"/>
      <c r="H579" s="64"/>
      <c r="I579" s="22"/>
      <c r="J579" s="22" t="s">
        <v>201</v>
      </c>
      <c r="K579" s="34"/>
    </row>
    <row r="580" spans="1:11" x14ac:dyDescent="0.3">
      <c r="A580" s="26" t="s">
        <v>163</v>
      </c>
      <c r="B580" s="26" t="s">
        <v>519</v>
      </c>
      <c r="C580" s="66" t="s">
        <v>165</v>
      </c>
      <c r="D580" s="67" t="s">
        <v>520</v>
      </c>
      <c r="E580" s="26" t="s">
        <v>711</v>
      </c>
      <c r="F580" s="26"/>
      <c r="G580" s="26"/>
      <c r="H580" s="64"/>
      <c r="I580" s="22"/>
      <c r="J580" s="22" t="s">
        <v>201</v>
      </c>
      <c r="K580" s="34"/>
    </row>
    <row r="581" spans="1:11" x14ac:dyDescent="0.3">
      <c r="A581" s="26" t="s">
        <v>163</v>
      </c>
      <c r="B581" s="26" t="s">
        <v>519</v>
      </c>
      <c r="C581" s="66" t="s">
        <v>165</v>
      </c>
      <c r="D581" s="67" t="s">
        <v>520</v>
      </c>
      <c r="E581" s="26" t="s">
        <v>712</v>
      </c>
      <c r="F581" s="26"/>
      <c r="G581" s="26">
        <v>1</v>
      </c>
      <c r="H581" s="64"/>
      <c r="I581" s="22" t="s">
        <v>713</v>
      </c>
      <c r="J581" s="22"/>
      <c r="K581" s="34"/>
    </row>
    <row r="582" spans="1:11" x14ac:dyDescent="0.3">
      <c r="A582" s="26" t="s">
        <v>163</v>
      </c>
      <c r="B582" s="26" t="s">
        <v>519</v>
      </c>
      <c r="C582" s="66" t="s">
        <v>165</v>
      </c>
      <c r="D582" s="67" t="s">
        <v>520</v>
      </c>
      <c r="E582" s="26" t="s">
        <v>714</v>
      </c>
      <c r="F582" s="26"/>
      <c r="G582" s="26">
        <v>1</v>
      </c>
      <c r="H582" s="64"/>
      <c r="I582" s="22" t="s">
        <v>713</v>
      </c>
      <c r="J582" s="22" t="s">
        <v>201</v>
      </c>
      <c r="K582" s="34"/>
    </row>
    <row r="583" spans="1:11" x14ac:dyDescent="0.3">
      <c r="A583" s="26" t="s">
        <v>163</v>
      </c>
      <c r="B583" s="26" t="s">
        <v>519</v>
      </c>
      <c r="C583" s="66" t="s">
        <v>165</v>
      </c>
      <c r="D583" s="67" t="s">
        <v>520</v>
      </c>
      <c r="E583" s="26" t="s">
        <v>715</v>
      </c>
      <c r="F583" s="26"/>
      <c r="G583" s="26">
        <v>1</v>
      </c>
      <c r="H583" s="64"/>
      <c r="I583" s="22" t="s">
        <v>713</v>
      </c>
      <c r="J583" s="22" t="s">
        <v>201</v>
      </c>
      <c r="K583" s="34"/>
    </row>
    <row r="584" spans="1:11" x14ac:dyDescent="0.3">
      <c r="A584" s="26" t="s">
        <v>163</v>
      </c>
      <c r="B584" s="26" t="s">
        <v>519</v>
      </c>
      <c r="C584" s="66" t="s">
        <v>165</v>
      </c>
      <c r="D584" s="67" t="s">
        <v>520</v>
      </c>
      <c r="E584" s="26" t="s">
        <v>716</v>
      </c>
      <c r="F584" s="26"/>
      <c r="G584" s="26">
        <v>1</v>
      </c>
      <c r="H584" s="64"/>
      <c r="I584" s="22" t="s">
        <v>717</v>
      </c>
      <c r="J584" s="22" t="s">
        <v>201</v>
      </c>
      <c r="K584" s="34"/>
    </row>
    <row r="585" spans="1:11" x14ac:dyDescent="0.3">
      <c r="A585" s="26" t="s">
        <v>163</v>
      </c>
      <c r="B585" s="26" t="s">
        <v>519</v>
      </c>
      <c r="C585" s="66" t="s">
        <v>165</v>
      </c>
      <c r="D585" s="67" t="s">
        <v>520</v>
      </c>
      <c r="E585" s="26" t="s">
        <v>718</v>
      </c>
      <c r="F585" s="26"/>
      <c r="G585" s="26">
        <v>1</v>
      </c>
      <c r="H585" s="64"/>
      <c r="I585" s="22" t="s">
        <v>717</v>
      </c>
      <c r="J585" s="22" t="s">
        <v>201</v>
      </c>
      <c r="K585" s="34"/>
    </row>
    <row r="586" spans="1:11" x14ac:dyDescent="0.3">
      <c r="A586" s="26" t="s">
        <v>163</v>
      </c>
      <c r="B586" s="26" t="s">
        <v>519</v>
      </c>
      <c r="C586" s="66" t="s">
        <v>165</v>
      </c>
      <c r="D586" s="67" t="s">
        <v>520</v>
      </c>
      <c r="E586" s="26" t="s">
        <v>719</v>
      </c>
      <c r="F586" s="26"/>
      <c r="G586" s="26">
        <v>1</v>
      </c>
      <c r="H586" s="64"/>
      <c r="I586" s="22" t="s">
        <v>720</v>
      </c>
      <c r="J586" s="22" t="s">
        <v>201</v>
      </c>
      <c r="K586" s="34"/>
    </row>
    <row r="587" spans="1:11" x14ac:dyDescent="0.3">
      <c r="A587" s="26" t="s">
        <v>163</v>
      </c>
      <c r="B587" s="26" t="s">
        <v>519</v>
      </c>
      <c r="C587" s="66" t="s">
        <v>165</v>
      </c>
      <c r="D587" s="66" t="s">
        <v>520</v>
      </c>
      <c r="E587" s="26" t="s">
        <v>721</v>
      </c>
      <c r="F587" s="23"/>
      <c r="G587" s="66">
        <v>30</v>
      </c>
      <c r="H587" s="64"/>
      <c r="I587" s="22" t="s">
        <v>529</v>
      </c>
      <c r="J587" s="22" t="s">
        <v>201</v>
      </c>
      <c r="K587" s="34"/>
    </row>
    <row r="588" spans="1:11" x14ac:dyDescent="0.3">
      <c r="A588" s="26" t="s">
        <v>163</v>
      </c>
      <c r="B588" s="26" t="s">
        <v>519</v>
      </c>
      <c r="C588" s="66" t="s">
        <v>165</v>
      </c>
      <c r="D588" s="66" t="s">
        <v>520</v>
      </c>
      <c r="E588" s="26" t="s">
        <v>722</v>
      </c>
      <c r="F588" s="23"/>
      <c r="G588" s="66">
        <v>30</v>
      </c>
      <c r="H588" s="64"/>
      <c r="I588" s="22" t="s">
        <v>529</v>
      </c>
      <c r="J588" s="22" t="s">
        <v>201</v>
      </c>
      <c r="K588" s="34"/>
    </row>
    <row r="589" spans="1:11" x14ac:dyDescent="0.3">
      <c r="A589" s="26" t="s">
        <v>163</v>
      </c>
      <c r="B589" s="26" t="s">
        <v>519</v>
      </c>
      <c r="C589" s="26" t="s">
        <v>202</v>
      </c>
      <c r="D589" s="26" t="s">
        <v>520</v>
      </c>
      <c r="E589" s="26" t="s">
        <v>723</v>
      </c>
      <c r="F589" s="26"/>
      <c r="G589" s="26"/>
      <c r="H589" s="64"/>
      <c r="I589" s="22" t="s">
        <v>724</v>
      </c>
      <c r="J589" s="22" t="s">
        <v>642</v>
      </c>
      <c r="K589" s="34"/>
    </row>
    <row r="590" spans="1:11" x14ac:dyDescent="0.3">
      <c r="A590" s="26" t="s">
        <v>163</v>
      </c>
      <c r="B590" s="26" t="s">
        <v>519</v>
      </c>
      <c r="C590" s="26" t="s">
        <v>210</v>
      </c>
      <c r="D590" s="26" t="s">
        <v>520</v>
      </c>
      <c r="E590" s="26" t="s">
        <v>725</v>
      </c>
      <c r="F590" s="26"/>
      <c r="G590" s="26"/>
      <c r="H590" s="64"/>
      <c r="I590" s="22" t="s">
        <v>726</v>
      </c>
      <c r="J590" s="22" t="s">
        <v>727</v>
      </c>
      <c r="K590" s="34"/>
    </row>
    <row r="591" spans="1:11" x14ac:dyDescent="0.3">
      <c r="A591" s="26" t="s">
        <v>163</v>
      </c>
      <c r="B591" s="26" t="s">
        <v>519</v>
      </c>
      <c r="C591" s="26" t="s">
        <v>206</v>
      </c>
      <c r="D591" s="26" t="s">
        <v>520</v>
      </c>
      <c r="E591" s="26" t="s">
        <v>728</v>
      </c>
      <c r="F591" s="26"/>
      <c r="G591" s="26"/>
      <c r="H591" s="64"/>
      <c r="I591" s="22" t="s">
        <v>729</v>
      </c>
      <c r="J591" s="22" t="s">
        <v>642</v>
      </c>
      <c r="K591" s="34"/>
    </row>
    <row r="592" spans="1:11" x14ac:dyDescent="0.3">
      <c r="A592" s="26" t="s">
        <v>163</v>
      </c>
      <c r="B592" s="26" t="s">
        <v>519</v>
      </c>
      <c r="C592" s="26" t="s">
        <v>202</v>
      </c>
      <c r="D592" s="26" t="s">
        <v>520</v>
      </c>
      <c r="E592" s="26" t="s">
        <v>730</v>
      </c>
      <c r="F592" s="26"/>
      <c r="G592" s="26"/>
      <c r="H592" s="64"/>
      <c r="I592" s="22" t="s">
        <v>731</v>
      </c>
      <c r="J592" s="22" t="s">
        <v>645</v>
      </c>
      <c r="K592" s="34"/>
    </row>
    <row r="593" spans="1:11" x14ac:dyDescent="0.3">
      <c r="A593" s="26" t="s">
        <v>163</v>
      </c>
      <c r="B593" s="26" t="s">
        <v>519</v>
      </c>
      <c r="C593" s="26" t="s">
        <v>210</v>
      </c>
      <c r="D593" s="26" t="s">
        <v>520</v>
      </c>
      <c r="E593" s="26" t="s">
        <v>732</v>
      </c>
      <c r="F593" s="26"/>
      <c r="G593" s="26"/>
      <c r="H593" s="64"/>
      <c r="I593" s="22" t="s">
        <v>733</v>
      </c>
      <c r="J593" s="22" t="s">
        <v>645</v>
      </c>
      <c r="K593" s="34"/>
    </row>
    <row r="594" spans="1:11" x14ac:dyDescent="0.3">
      <c r="A594" s="26" t="s">
        <v>163</v>
      </c>
      <c r="B594" s="26" t="s">
        <v>519</v>
      </c>
      <c r="C594" s="26" t="s">
        <v>206</v>
      </c>
      <c r="D594" s="26" t="s">
        <v>520</v>
      </c>
      <c r="E594" s="26" t="s">
        <v>734</v>
      </c>
      <c r="F594" s="26"/>
      <c r="G594" s="26"/>
      <c r="H594" s="64"/>
      <c r="I594" s="22" t="s">
        <v>735</v>
      </c>
      <c r="J594" s="22" t="s">
        <v>645</v>
      </c>
      <c r="K594" s="34"/>
    </row>
    <row r="595" spans="1:11" x14ac:dyDescent="0.3">
      <c r="A595" s="26" t="s">
        <v>163</v>
      </c>
      <c r="B595" s="26" t="s">
        <v>519</v>
      </c>
      <c r="C595" s="26" t="s">
        <v>202</v>
      </c>
      <c r="D595" s="26" t="s">
        <v>520</v>
      </c>
      <c r="E595" s="26" t="s">
        <v>736</v>
      </c>
      <c r="F595" s="26"/>
      <c r="G595" s="26"/>
      <c r="H595" s="64"/>
      <c r="I595" s="22" t="s">
        <v>737</v>
      </c>
      <c r="J595" s="22" t="s">
        <v>648</v>
      </c>
      <c r="K595" s="34"/>
    </row>
    <row r="596" spans="1:11" x14ac:dyDescent="0.3">
      <c r="A596" s="26" t="s">
        <v>163</v>
      </c>
      <c r="B596" s="26" t="s">
        <v>519</v>
      </c>
      <c r="C596" s="26" t="s">
        <v>210</v>
      </c>
      <c r="D596" s="26" t="s">
        <v>520</v>
      </c>
      <c r="E596" s="26" t="s">
        <v>738</v>
      </c>
      <c r="F596" s="26"/>
      <c r="G596" s="26"/>
      <c r="H596" s="64"/>
      <c r="I596" s="22" t="s">
        <v>739</v>
      </c>
      <c r="J596" s="22" t="s">
        <v>648</v>
      </c>
      <c r="K596" s="34"/>
    </row>
    <row r="597" spans="1:11" x14ac:dyDescent="0.3">
      <c r="A597" s="26" t="s">
        <v>163</v>
      </c>
      <c r="B597" s="26" t="s">
        <v>519</v>
      </c>
      <c r="C597" s="26" t="s">
        <v>206</v>
      </c>
      <c r="D597" s="26" t="s">
        <v>520</v>
      </c>
      <c r="E597" s="26" t="s">
        <v>740</v>
      </c>
      <c r="F597" s="26"/>
      <c r="G597" s="26"/>
      <c r="H597" s="64"/>
      <c r="I597" s="22" t="s">
        <v>741</v>
      </c>
      <c r="J597" s="22" t="s">
        <v>648</v>
      </c>
      <c r="K597" s="34"/>
    </row>
    <row r="598" spans="1:11" x14ac:dyDescent="0.3">
      <c r="A598" s="22" t="s">
        <v>163</v>
      </c>
      <c r="B598" s="22" t="s">
        <v>742</v>
      </c>
      <c r="C598" s="22" t="s">
        <v>165</v>
      </c>
      <c r="D598" s="23"/>
      <c r="E598" s="23" t="s">
        <v>743</v>
      </c>
      <c r="F598" s="22"/>
      <c r="G598" s="23">
        <v>5</v>
      </c>
      <c r="H598" s="64"/>
      <c r="I598" s="22" t="s">
        <v>744</v>
      </c>
      <c r="J598" s="22"/>
      <c r="K598" s="34"/>
    </row>
    <row r="599" spans="1:11" x14ac:dyDescent="0.3">
      <c r="A599" s="22" t="s">
        <v>163</v>
      </c>
      <c r="B599" s="22" t="s">
        <v>742</v>
      </c>
      <c r="C599" s="22" t="s">
        <v>165</v>
      </c>
      <c r="D599" s="23"/>
      <c r="E599" s="23" t="s">
        <v>745</v>
      </c>
      <c r="F599" s="22"/>
      <c r="G599" s="23">
        <v>10</v>
      </c>
      <c r="H599" s="64"/>
      <c r="I599" s="22" t="s">
        <v>746</v>
      </c>
      <c r="J599" s="22"/>
      <c r="K599" s="34"/>
    </row>
    <row r="600" spans="1:11" x14ac:dyDescent="0.3">
      <c r="A600" s="22" t="s">
        <v>163</v>
      </c>
      <c r="B600" s="22" t="s">
        <v>742</v>
      </c>
      <c r="C600" s="22" t="s">
        <v>165</v>
      </c>
      <c r="D600" s="23"/>
      <c r="E600" s="23" t="s">
        <v>747</v>
      </c>
      <c r="F600" s="22"/>
      <c r="G600" s="23">
        <v>10</v>
      </c>
      <c r="H600" s="64"/>
      <c r="I600" s="22" t="s">
        <v>748</v>
      </c>
      <c r="J600" s="22"/>
      <c r="K600" s="34"/>
    </row>
    <row r="601" spans="1:11" x14ac:dyDescent="0.3">
      <c r="A601" s="22" t="s">
        <v>163</v>
      </c>
      <c r="B601" s="22" t="s">
        <v>742</v>
      </c>
      <c r="C601" s="22" t="s">
        <v>165</v>
      </c>
      <c r="D601" s="23"/>
      <c r="E601" s="23" t="s">
        <v>749</v>
      </c>
      <c r="F601" s="22"/>
      <c r="G601" s="23">
        <v>15</v>
      </c>
      <c r="H601" s="64"/>
      <c r="I601" s="22" t="s">
        <v>750</v>
      </c>
      <c r="J601" s="22"/>
      <c r="K601" s="34"/>
    </row>
    <row r="602" spans="1:11" x14ac:dyDescent="0.3">
      <c r="A602" s="22" t="s">
        <v>163</v>
      </c>
      <c r="B602" s="22" t="s">
        <v>742</v>
      </c>
      <c r="C602" s="22" t="s">
        <v>165</v>
      </c>
      <c r="D602" s="23"/>
      <c r="E602" s="23" t="s">
        <v>751</v>
      </c>
      <c r="F602" s="22"/>
      <c r="G602" s="23">
        <v>20</v>
      </c>
      <c r="H602" s="64"/>
      <c r="I602" s="22" t="s">
        <v>752</v>
      </c>
      <c r="J602" s="22"/>
      <c r="K602" s="34"/>
    </row>
    <row r="603" spans="1:11" x14ac:dyDescent="0.3">
      <c r="A603" s="22" t="s">
        <v>163</v>
      </c>
      <c r="B603" s="22" t="s">
        <v>742</v>
      </c>
      <c r="C603" s="22" t="s">
        <v>165</v>
      </c>
      <c r="D603" s="23"/>
      <c r="E603" s="23" t="s">
        <v>753</v>
      </c>
      <c r="F603" s="22"/>
      <c r="G603" s="23">
        <v>25</v>
      </c>
      <c r="H603" s="64"/>
      <c r="I603" s="22" t="s">
        <v>754</v>
      </c>
      <c r="J603" s="22"/>
      <c r="K603" s="34"/>
    </row>
    <row r="604" spans="1:11" x14ac:dyDescent="0.3">
      <c r="A604" s="22" t="s">
        <v>163</v>
      </c>
      <c r="B604" s="22" t="s">
        <v>742</v>
      </c>
      <c r="C604" s="22" t="s">
        <v>165</v>
      </c>
      <c r="D604" s="23"/>
      <c r="E604" s="23" t="s">
        <v>755</v>
      </c>
      <c r="F604" s="22"/>
      <c r="G604" s="23">
        <v>25</v>
      </c>
      <c r="H604" s="64"/>
      <c r="I604" s="22" t="s">
        <v>756</v>
      </c>
      <c r="J604" s="22"/>
      <c r="K604" s="34"/>
    </row>
    <row r="605" spans="1:11" x14ac:dyDescent="0.3">
      <c r="A605" s="22" t="s">
        <v>163</v>
      </c>
      <c r="B605" s="22" t="s">
        <v>742</v>
      </c>
      <c r="C605" s="22" t="s">
        <v>165</v>
      </c>
      <c r="D605" s="68"/>
      <c r="E605" s="68" t="s">
        <v>757</v>
      </c>
      <c r="F605" s="23"/>
      <c r="G605" s="68">
        <v>30</v>
      </c>
      <c r="H605" s="64"/>
      <c r="I605" s="22" t="s">
        <v>758</v>
      </c>
      <c r="J605" s="22"/>
      <c r="K605" s="34"/>
    </row>
    <row r="606" spans="1:11" x14ac:dyDescent="0.3">
      <c r="A606" s="22" t="s">
        <v>163</v>
      </c>
      <c r="B606" s="22" t="s">
        <v>742</v>
      </c>
      <c r="C606" s="22" t="s">
        <v>165</v>
      </c>
      <c r="D606" s="23"/>
      <c r="E606" s="23" t="s">
        <v>830</v>
      </c>
      <c r="F606" s="29"/>
      <c r="G606" s="23"/>
      <c r="H606" s="64"/>
      <c r="I606" s="22" t="s">
        <v>831</v>
      </c>
      <c r="J606" s="22" t="s">
        <v>228</v>
      </c>
      <c r="K606" s="34"/>
    </row>
    <row r="607" spans="1:11" x14ac:dyDescent="0.3">
      <c r="A607" s="22" t="s">
        <v>163</v>
      </c>
      <c r="B607" s="22" t="s">
        <v>742</v>
      </c>
      <c r="C607" s="22" t="s">
        <v>165</v>
      </c>
      <c r="D607" s="23"/>
      <c r="E607" s="23" t="s">
        <v>832</v>
      </c>
      <c r="F607" s="29"/>
      <c r="G607" s="23"/>
      <c r="H607" s="64"/>
      <c r="I607" s="22" t="s">
        <v>833</v>
      </c>
      <c r="J607" s="22" t="s">
        <v>245</v>
      </c>
      <c r="K607" s="34"/>
    </row>
    <row r="608" spans="1:11" x14ac:dyDescent="0.3">
      <c r="A608" s="22" t="s">
        <v>163</v>
      </c>
      <c r="B608" s="22" t="s">
        <v>742</v>
      </c>
      <c r="C608" s="22" t="s">
        <v>165</v>
      </c>
      <c r="D608" s="23"/>
      <c r="E608" s="23" t="s">
        <v>834</v>
      </c>
      <c r="F608" s="29"/>
      <c r="G608" s="23"/>
      <c r="H608" s="64"/>
      <c r="I608" s="22" t="s">
        <v>835</v>
      </c>
      <c r="J608" s="22" t="s">
        <v>263</v>
      </c>
      <c r="K608" s="34"/>
    </row>
    <row r="609" spans="1:11" x14ac:dyDescent="0.3">
      <c r="A609" s="22" t="s">
        <v>163</v>
      </c>
      <c r="B609" s="22" t="s">
        <v>742</v>
      </c>
      <c r="C609" s="22" t="s">
        <v>165</v>
      </c>
      <c r="D609" s="23"/>
      <c r="E609" s="23" t="s">
        <v>836</v>
      </c>
      <c r="F609" s="29"/>
      <c r="G609" s="23"/>
      <c r="H609" s="64"/>
      <c r="I609" s="22" t="s">
        <v>837</v>
      </c>
      <c r="J609" s="22" t="s">
        <v>811</v>
      </c>
      <c r="K609" s="34"/>
    </row>
    <row r="610" spans="1:11" x14ac:dyDescent="0.3">
      <c r="A610" s="22" t="s">
        <v>163</v>
      </c>
      <c r="B610" s="22" t="s">
        <v>742</v>
      </c>
      <c r="C610" s="22" t="s">
        <v>165</v>
      </c>
      <c r="D610" s="23"/>
      <c r="E610" s="23" t="s">
        <v>856</v>
      </c>
      <c r="F610" s="23"/>
      <c r="G610" s="23"/>
      <c r="H610" s="64"/>
      <c r="I610" s="22" t="s">
        <v>857</v>
      </c>
      <c r="J610" s="22" t="s">
        <v>858</v>
      </c>
      <c r="K610" s="34"/>
    </row>
    <row r="611" spans="1:11" x14ac:dyDescent="0.3">
      <c r="A611" s="22" t="s">
        <v>163</v>
      </c>
      <c r="B611" s="22" t="s">
        <v>742</v>
      </c>
      <c r="C611" s="22" t="s">
        <v>165</v>
      </c>
      <c r="D611" s="23"/>
      <c r="E611" s="23" t="s">
        <v>859</v>
      </c>
      <c r="F611" s="23"/>
      <c r="G611" s="23"/>
      <c r="H611" s="64"/>
      <c r="I611" s="22" t="s">
        <v>860</v>
      </c>
      <c r="J611" s="22" t="s">
        <v>861</v>
      </c>
      <c r="K611" s="34"/>
    </row>
    <row r="612" spans="1:11" x14ac:dyDescent="0.3">
      <c r="A612" s="22" t="s">
        <v>163</v>
      </c>
      <c r="B612" s="22" t="s">
        <v>742</v>
      </c>
      <c r="C612" s="22" t="s">
        <v>165</v>
      </c>
      <c r="D612" s="23"/>
      <c r="E612" s="23" t="s">
        <v>862</v>
      </c>
      <c r="F612" s="23"/>
      <c r="G612" s="23"/>
      <c r="H612" s="64"/>
      <c r="I612" s="22" t="s">
        <v>863</v>
      </c>
      <c r="J612" s="22" t="s">
        <v>864</v>
      </c>
      <c r="K612" s="34"/>
    </row>
    <row r="613" spans="1:11" x14ac:dyDescent="0.3">
      <c r="A613" s="22" t="s">
        <v>163</v>
      </c>
      <c r="B613" s="22" t="s">
        <v>742</v>
      </c>
      <c r="C613" s="22" t="s">
        <v>165</v>
      </c>
      <c r="D613" s="23"/>
      <c r="E613" s="23" t="s">
        <v>865</v>
      </c>
      <c r="F613" s="23"/>
      <c r="G613" s="23"/>
      <c r="H613" s="64"/>
      <c r="I613" s="22" t="s">
        <v>866</v>
      </c>
      <c r="J613" s="22" t="s">
        <v>867</v>
      </c>
      <c r="K613" s="34"/>
    </row>
    <row r="614" spans="1:11" x14ac:dyDescent="0.3">
      <c r="A614" s="22" t="s">
        <v>163</v>
      </c>
      <c r="B614" s="22" t="s">
        <v>742</v>
      </c>
      <c r="C614" s="22" t="s">
        <v>165</v>
      </c>
      <c r="D614" s="23"/>
      <c r="E614" s="23" t="s">
        <v>868</v>
      </c>
      <c r="F614" s="23"/>
      <c r="G614" s="23"/>
      <c r="H614" s="64"/>
      <c r="I614" s="22" t="s">
        <v>869</v>
      </c>
      <c r="J614" s="22" t="s">
        <v>317</v>
      </c>
      <c r="K614" s="34"/>
    </row>
    <row r="615" spans="1:11" x14ac:dyDescent="0.3">
      <c r="A615" s="22" t="s">
        <v>163</v>
      </c>
      <c r="B615" s="22" t="s">
        <v>742</v>
      </c>
      <c r="C615" s="22" t="s">
        <v>165</v>
      </c>
      <c r="D615" s="23"/>
      <c r="E615" s="23" t="s">
        <v>870</v>
      </c>
      <c r="F615" s="23"/>
      <c r="G615" s="23"/>
      <c r="H615" s="64"/>
      <c r="I615" s="22" t="s">
        <v>871</v>
      </c>
      <c r="J615" s="22" t="s">
        <v>320</v>
      </c>
      <c r="K615" s="34"/>
    </row>
    <row r="616" spans="1:11" x14ac:dyDescent="0.3">
      <c r="A616" s="22" t="s">
        <v>163</v>
      </c>
      <c r="B616" s="22" t="s">
        <v>742</v>
      </c>
      <c r="C616" s="22" t="s">
        <v>165</v>
      </c>
      <c r="D616" s="23"/>
      <c r="E616" s="23" t="s">
        <v>902</v>
      </c>
      <c r="F616" s="23"/>
      <c r="G616" s="23"/>
      <c r="H616" s="64"/>
      <c r="I616" s="22" t="s">
        <v>903</v>
      </c>
      <c r="J616" s="22"/>
      <c r="K616" s="34"/>
    </row>
    <row r="617" spans="1:11" x14ac:dyDescent="0.3">
      <c r="A617" s="22" t="s">
        <v>163</v>
      </c>
      <c r="B617" s="22" t="s">
        <v>742</v>
      </c>
      <c r="C617" s="22" t="s">
        <v>165</v>
      </c>
      <c r="D617" s="23"/>
      <c r="E617" s="23" t="s">
        <v>904</v>
      </c>
      <c r="F617" s="29"/>
      <c r="G617" s="23"/>
      <c r="H617" s="64"/>
      <c r="I617" s="22" t="s">
        <v>905</v>
      </c>
      <c r="J617" s="22"/>
      <c r="K617" s="34"/>
    </row>
    <row r="618" spans="1:11" x14ac:dyDescent="0.3">
      <c r="A618" s="22" t="s">
        <v>163</v>
      </c>
      <c r="B618" s="22" t="s">
        <v>742</v>
      </c>
      <c r="C618" s="22" t="s">
        <v>165</v>
      </c>
      <c r="D618" s="23"/>
      <c r="E618" s="23" t="s">
        <v>906</v>
      </c>
      <c r="F618" s="29"/>
      <c r="G618" s="23"/>
      <c r="H618" s="64"/>
      <c r="I618" s="22" t="s">
        <v>907</v>
      </c>
      <c r="J618" s="22"/>
      <c r="K618" s="34"/>
    </row>
    <row r="619" spans="1:11" x14ac:dyDescent="0.3">
      <c r="A619" s="22" t="s">
        <v>163</v>
      </c>
      <c r="B619" s="22" t="s">
        <v>742</v>
      </c>
      <c r="C619" s="22" t="s">
        <v>165</v>
      </c>
      <c r="D619" s="23"/>
      <c r="E619" s="23" t="s">
        <v>908</v>
      </c>
      <c r="F619" s="29"/>
      <c r="G619" s="23"/>
      <c r="H619" s="64"/>
      <c r="I619" s="22" t="s">
        <v>909</v>
      </c>
      <c r="J619" s="22" t="s">
        <v>201</v>
      </c>
      <c r="K619" s="34"/>
    </row>
    <row r="620" spans="1:11" x14ac:dyDescent="0.3">
      <c r="A620" s="22" t="s">
        <v>163</v>
      </c>
      <c r="B620" s="22" t="s">
        <v>742</v>
      </c>
      <c r="C620" s="22" t="s">
        <v>165</v>
      </c>
      <c r="D620" s="23"/>
      <c r="E620" s="23" t="s">
        <v>910</v>
      </c>
      <c r="F620" s="23"/>
      <c r="G620" s="23"/>
      <c r="H620" s="64"/>
      <c r="I620" s="22" t="s">
        <v>911</v>
      </c>
      <c r="J620" s="22"/>
      <c r="K620" s="34"/>
    </row>
    <row r="621" spans="1:11" x14ac:dyDescent="0.3">
      <c r="A621" s="22" t="s">
        <v>163</v>
      </c>
      <c r="B621" s="22" t="s">
        <v>742</v>
      </c>
      <c r="C621" s="22" t="s">
        <v>165</v>
      </c>
      <c r="D621" s="23"/>
      <c r="E621" s="23" t="s">
        <v>912</v>
      </c>
      <c r="F621" s="23"/>
      <c r="G621" s="23"/>
      <c r="H621" s="64"/>
      <c r="I621" s="22" t="s">
        <v>913</v>
      </c>
      <c r="J621" s="22" t="s">
        <v>201</v>
      </c>
      <c r="K621" s="34"/>
    </row>
    <row r="622" spans="1:11" x14ac:dyDescent="0.3">
      <c r="A622" s="22" t="s">
        <v>163</v>
      </c>
      <c r="B622" s="22" t="s">
        <v>742</v>
      </c>
      <c r="C622" s="22" t="s">
        <v>165</v>
      </c>
      <c r="D622" s="68"/>
      <c r="E622" s="68" t="s">
        <v>914</v>
      </c>
      <c r="F622" s="23"/>
      <c r="G622" s="68">
        <v>30</v>
      </c>
      <c r="H622" s="64"/>
      <c r="I622" s="22" t="s">
        <v>758</v>
      </c>
      <c r="J622" s="22"/>
      <c r="K622" s="34"/>
    </row>
    <row r="623" spans="1:11" x14ac:dyDescent="0.3">
      <c r="A623" s="22" t="s">
        <v>163</v>
      </c>
      <c r="B623" s="22" t="s">
        <v>742</v>
      </c>
      <c r="C623" s="22" t="s">
        <v>165</v>
      </c>
      <c r="D623" s="68"/>
      <c r="E623" s="68" t="s">
        <v>915</v>
      </c>
      <c r="F623" s="23"/>
      <c r="G623" s="68">
        <v>30</v>
      </c>
      <c r="H623" s="64"/>
      <c r="I623" s="22" t="s">
        <v>758</v>
      </c>
      <c r="J623" s="22"/>
      <c r="K623" s="34"/>
    </row>
    <row r="624" spans="1:11" x14ac:dyDescent="0.3">
      <c r="A624" s="22" t="s">
        <v>163</v>
      </c>
      <c r="B624" s="22" t="s">
        <v>742</v>
      </c>
      <c r="C624" s="22" t="s">
        <v>202</v>
      </c>
      <c r="D624" s="23"/>
      <c r="E624" s="23" t="s">
        <v>916</v>
      </c>
      <c r="F624" s="23"/>
      <c r="G624" s="23"/>
      <c r="H624" s="64"/>
      <c r="I624" s="22" t="s">
        <v>917</v>
      </c>
      <c r="J624" s="22" t="s">
        <v>918</v>
      </c>
      <c r="K624" s="34"/>
    </row>
    <row r="625" spans="1:11" x14ac:dyDescent="0.3">
      <c r="A625" s="22" t="s">
        <v>163</v>
      </c>
      <c r="B625" s="22" t="s">
        <v>742</v>
      </c>
      <c r="C625" s="22" t="s">
        <v>210</v>
      </c>
      <c r="D625" s="23"/>
      <c r="E625" s="23" t="s">
        <v>919</v>
      </c>
      <c r="F625" s="23"/>
      <c r="G625" s="23"/>
      <c r="H625" s="64"/>
      <c r="I625" s="22" t="s">
        <v>920</v>
      </c>
      <c r="J625" s="22" t="s">
        <v>918</v>
      </c>
      <c r="K625" s="34"/>
    </row>
    <row r="626" spans="1:11" x14ac:dyDescent="0.3">
      <c r="A626" s="22" t="s">
        <v>163</v>
      </c>
      <c r="B626" s="22" t="s">
        <v>742</v>
      </c>
      <c r="C626" s="22" t="s">
        <v>206</v>
      </c>
      <c r="D626" s="23"/>
      <c r="E626" s="23" t="s">
        <v>921</v>
      </c>
      <c r="F626" s="23"/>
      <c r="G626" s="23"/>
      <c r="H626" s="64"/>
      <c r="I626" s="22" t="s">
        <v>922</v>
      </c>
      <c r="J626" s="22" t="s">
        <v>918</v>
      </c>
      <c r="K626" s="34"/>
    </row>
    <row r="627" spans="1:11" x14ac:dyDescent="0.3">
      <c r="A627" s="22" t="s">
        <v>163</v>
      </c>
      <c r="B627" s="22" t="s">
        <v>742</v>
      </c>
      <c r="C627" s="22" t="s">
        <v>202</v>
      </c>
      <c r="D627" s="23"/>
      <c r="E627" s="23" t="s">
        <v>923</v>
      </c>
      <c r="F627" s="23"/>
      <c r="G627" s="23"/>
      <c r="H627" s="64"/>
      <c r="I627" s="22" t="s">
        <v>917</v>
      </c>
      <c r="J627" s="22" t="s">
        <v>924</v>
      </c>
      <c r="K627" s="34"/>
    </row>
    <row r="628" spans="1:11" x14ac:dyDescent="0.3">
      <c r="A628" s="22" t="s">
        <v>163</v>
      </c>
      <c r="B628" s="22" t="s">
        <v>742</v>
      </c>
      <c r="C628" s="22" t="s">
        <v>210</v>
      </c>
      <c r="D628" s="23"/>
      <c r="E628" s="23" t="s">
        <v>925</v>
      </c>
      <c r="F628" s="23"/>
      <c r="G628" s="23"/>
      <c r="H628" s="64"/>
      <c r="I628" s="22" t="s">
        <v>920</v>
      </c>
      <c r="J628" s="22" t="s">
        <v>924</v>
      </c>
      <c r="K628" s="34"/>
    </row>
    <row r="629" spans="1:11" x14ac:dyDescent="0.3">
      <c r="A629" s="22" t="s">
        <v>163</v>
      </c>
      <c r="B629" s="22" t="s">
        <v>742</v>
      </c>
      <c r="C629" s="22" t="s">
        <v>206</v>
      </c>
      <c r="D629" s="23"/>
      <c r="E629" s="23" t="s">
        <v>926</v>
      </c>
      <c r="F629" s="23"/>
      <c r="G629" s="23"/>
      <c r="H629" s="64"/>
      <c r="I629" s="22" t="s">
        <v>922</v>
      </c>
      <c r="J629" s="22" t="s">
        <v>924</v>
      </c>
      <c r="K629" s="34"/>
    </row>
    <row r="630" spans="1:11" x14ac:dyDescent="0.3">
      <c r="A630" s="22" t="s">
        <v>163</v>
      </c>
      <c r="B630" s="22" t="s">
        <v>742</v>
      </c>
      <c r="C630" s="22" t="s">
        <v>202</v>
      </c>
      <c r="D630" s="23"/>
      <c r="E630" s="23" t="s">
        <v>927</v>
      </c>
      <c r="F630" s="23"/>
      <c r="G630" s="23"/>
      <c r="H630" s="64"/>
      <c r="I630" s="22" t="s">
        <v>917</v>
      </c>
      <c r="J630" s="22" t="s">
        <v>928</v>
      </c>
      <c r="K630" s="34"/>
    </row>
    <row r="631" spans="1:11" x14ac:dyDescent="0.3">
      <c r="A631" s="22" t="s">
        <v>163</v>
      </c>
      <c r="B631" s="22" t="s">
        <v>742</v>
      </c>
      <c r="C631" s="22" t="s">
        <v>210</v>
      </c>
      <c r="D631" s="23"/>
      <c r="E631" s="23" t="s">
        <v>929</v>
      </c>
      <c r="F631" s="23"/>
      <c r="G631" s="23"/>
      <c r="H631" s="64"/>
      <c r="I631" s="22" t="s">
        <v>920</v>
      </c>
      <c r="J631" s="22" t="s">
        <v>928</v>
      </c>
      <c r="K631" s="34"/>
    </row>
    <row r="632" spans="1:11" x14ac:dyDescent="0.3">
      <c r="A632" s="22" t="s">
        <v>163</v>
      </c>
      <c r="B632" s="22" t="s">
        <v>742</v>
      </c>
      <c r="C632" s="22" t="s">
        <v>206</v>
      </c>
      <c r="D632" s="23"/>
      <c r="E632" s="23" t="s">
        <v>930</v>
      </c>
      <c r="F632" s="23"/>
      <c r="G632" s="23"/>
      <c r="H632" s="64"/>
      <c r="I632" s="22" t="s">
        <v>922</v>
      </c>
      <c r="J632" s="22" t="s">
        <v>928</v>
      </c>
      <c r="K632" s="76"/>
    </row>
    <row r="633" spans="1:11" x14ac:dyDescent="0.3">
      <c r="A633" s="70" t="s">
        <v>163</v>
      </c>
      <c r="B633" s="70" t="s">
        <v>931</v>
      </c>
      <c r="C633" s="70" t="s">
        <v>165</v>
      </c>
      <c r="D633" s="71"/>
      <c r="E633" s="70" t="s">
        <v>932</v>
      </c>
      <c r="F633" s="70"/>
      <c r="G633" s="70"/>
      <c r="H633" s="64" t="s">
        <v>933</v>
      </c>
      <c r="I633" s="70" t="s">
        <v>934</v>
      </c>
      <c r="J633" s="70"/>
      <c r="K633" s="34"/>
    </row>
    <row r="634" spans="1:11" x14ac:dyDescent="0.3">
      <c r="A634" s="22" t="s">
        <v>163</v>
      </c>
      <c r="B634" s="22" t="s">
        <v>931</v>
      </c>
      <c r="C634" s="22" t="s">
        <v>165</v>
      </c>
      <c r="D634" s="23"/>
      <c r="E634" s="22" t="s">
        <v>935</v>
      </c>
      <c r="F634" s="22"/>
      <c r="G634" s="22">
        <v>15</v>
      </c>
      <c r="H634" s="64"/>
      <c r="I634" s="22" t="s">
        <v>936</v>
      </c>
      <c r="J634" s="22"/>
      <c r="K634" s="34"/>
    </row>
    <row r="635" spans="1:11" x14ac:dyDescent="0.3">
      <c r="A635" s="22" t="s">
        <v>163</v>
      </c>
      <c r="B635" s="22" t="s">
        <v>931</v>
      </c>
      <c r="C635" s="22" t="s">
        <v>165</v>
      </c>
      <c r="D635" s="23"/>
      <c r="E635" s="22" t="s">
        <v>937</v>
      </c>
      <c r="F635" s="22"/>
      <c r="G635" s="22">
        <v>25</v>
      </c>
      <c r="H635" s="64"/>
      <c r="I635" s="22" t="s">
        <v>938</v>
      </c>
      <c r="J635" s="22"/>
      <c r="K635" s="34"/>
    </row>
    <row r="636" spans="1:11" x14ac:dyDescent="0.3">
      <c r="A636" s="22" t="s">
        <v>163</v>
      </c>
      <c r="B636" s="22" t="s">
        <v>931</v>
      </c>
      <c r="C636" s="22" t="s">
        <v>165</v>
      </c>
      <c r="D636" s="23"/>
      <c r="E636" s="22" t="s">
        <v>1004</v>
      </c>
      <c r="F636" s="29"/>
      <c r="G636" s="22"/>
      <c r="H636" s="64"/>
      <c r="I636" s="22" t="s">
        <v>1005</v>
      </c>
      <c r="J636" s="22" t="s">
        <v>1006</v>
      </c>
      <c r="K636" s="34"/>
    </row>
    <row r="637" spans="1:11" x14ac:dyDescent="0.3">
      <c r="A637" s="22" t="s">
        <v>163</v>
      </c>
      <c r="B637" s="22" t="s">
        <v>931</v>
      </c>
      <c r="C637" s="22" t="s">
        <v>165</v>
      </c>
      <c r="D637" s="23"/>
      <c r="E637" s="22" t="s">
        <v>1007</v>
      </c>
      <c r="F637" s="29"/>
      <c r="G637" s="22"/>
      <c r="H637" s="64"/>
      <c r="I637" s="22" t="s">
        <v>1008</v>
      </c>
      <c r="J637" s="22" t="s">
        <v>1009</v>
      </c>
      <c r="K637" s="34"/>
    </row>
    <row r="638" spans="1:11" x14ac:dyDescent="0.3">
      <c r="A638" s="22" t="s">
        <v>163</v>
      </c>
      <c r="B638" s="22" t="s">
        <v>931</v>
      </c>
      <c r="C638" s="22" t="s">
        <v>165</v>
      </c>
      <c r="D638" s="23"/>
      <c r="E638" s="22" t="s">
        <v>1010</v>
      </c>
      <c r="F638" s="29"/>
      <c r="G638" s="22"/>
      <c r="H638" s="64"/>
      <c r="I638" s="22" t="s">
        <v>1011</v>
      </c>
      <c r="J638" s="22" t="s">
        <v>1012</v>
      </c>
      <c r="K638" s="34"/>
    </row>
    <row r="639" spans="1:11" x14ac:dyDescent="0.3">
      <c r="A639" s="22" t="s">
        <v>163</v>
      </c>
      <c r="B639" s="22" t="s">
        <v>931</v>
      </c>
      <c r="C639" s="22" t="s">
        <v>165</v>
      </c>
      <c r="D639" s="23"/>
      <c r="E639" s="22" t="s">
        <v>1013</v>
      </c>
      <c r="F639" s="29"/>
      <c r="G639" s="22"/>
      <c r="H639" s="64"/>
      <c r="I639" s="22" t="s">
        <v>1014</v>
      </c>
      <c r="J639" s="22" t="s">
        <v>1015</v>
      </c>
      <c r="K639" s="34"/>
    </row>
    <row r="640" spans="1:11" x14ac:dyDescent="0.3">
      <c r="A640" s="22" t="s">
        <v>163</v>
      </c>
      <c r="B640" s="22" t="s">
        <v>931</v>
      </c>
      <c r="C640" s="22" t="s">
        <v>165</v>
      </c>
      <c r="D640" s="23"/>
      <c r="E640" s="22" t="s">
        <v>1034</v>
      </c>
      <c r="F640" s="22"/>
      <c r="G640" s="22"/>
      <c r="H640" s="64"/>
      <c r="I640" s="22" t="s">
        <v>1035</v>
      </c>
      <c r="J640" s="22" t="s">
        <v>858</v>
      </c>
      <c r="K640" s="34"/>
    </row>
    <row r="641" spans="1:11" x14ac:dyDescent="0.3">
      <c r="A641" s="22" t="s">
        <v>163</v>
      </c>
      <c r="B641" s="22" t="s">
        <v>931</v>
      </c>
      <c r="C641" s="22" t="s">
        <v>165</v>
      </c>
      <c r="D641" s="23"/>
      <c r="E641" s="22" t="s">
        <v>1036</v>
      </c>
      <c r="F641" s="22"/>
      <c r="G641" s="22"/>
      <c r="H641" s="64"/>
      <c r="I641" s="22" t="s">
        <v>1037</v>
      </c>
      <c r="J641" s="22" t="s">
        <v>861</v>
      </c>
      <c r="K641" s="34"/>
    </row>
    <row r="642" spans="1:11" x14ac:dyDescent="0.3">
      <c r="A642" s="22" t="s">
        <v>163</v>
      </c>
      <c r="B642" s="22" t="s">
        <v>931</v>
      </c>
      <c r="C642" s="22" t="s">
        <v>165</v>
      </c>
      <c r="D642" s="23"/>
      <c r="E642" s="22" t="s">
        <v>1038</v>
      </c>
      <c r="F642" s="22"/>
      <c r="G642" s="22"/>
      <c r="H642" s="64"/>
      <c r="I642" s="22" t="s">
        <v>1039</v>
      </c>
      <c r="J642" s="22" t="s">
        <v>864</v>
      </c>
      <c r="K642" s="34"/>
    </row>
    <row r="643" spans="1:11" x14ac:dyDescent="0.3">
      <c r="A643" s="22" t="s">
        <v>163</v>
      </c>
      <c r="B643" s="22" t="s">
        <v>931</v>
      </c>
      <c r="C643" s="22" t="s">
        <v>165</v>
      </c>
      <c r="D643" s="23"/>
      <c r="E643" s="22" t="s">
        <v>1040</v>
      </c>
      <c r="F643" s="22"/>
      <c r="G643" s="22"/>
      <c r="H643" s="64"/>
      <c r="I643" s="22" t="s">
        <v>1041</v>
      </c>
      <c r="J643" s="22" t="s">
        <v>867</v>
      </c>
      <c r="K643" s="34"/>
    </row>
    <row r="644" spans="1:11" x14ac:dyDescent="0.3">
      <c r="A644" s="22" t="s">
        <v>163</v>
      </c>
      <c r="B644" s="22" t="s">
        <v>931</v>
      </c>
      <c r="C644" s="22" t="s">
        <v>165</v>
      </c>
      <c r="D644" s="23"/>
      <c r="E644" s="22" t="s">
        <v>1042</v>
      </c>
      <c r="F644" s="22"/>
      <c r="G644" s="22"/>
      <c r="H644" s="64"/>
      <c r="I644" s="22" t="s">
        <v>1043</v>
      </c>
      <c r="J644" s="22" t="s">
        <v>317</v>
      </c>
      <c r="K644" s="34"/>
    </row>
    <row r="645" spans="1:11" x14ac:dyDescent="0.3">
      <c r="A645" s="22" t="s">
        <v>163</v>
      </c>
      <c r="B645" s="22" t="s">
        <v>931</v>
      </c>
      <c r="C645" s="22" t="s">
        <v>165</v>
      </c>
      <c r="D645" s="23"/>
      <c r="E645" s="22" t="s">
        <v>1044</v>
      </c>
      <c r="F645" s="22"/>
      <c r="G645" s="22"/>
      <c r="H645" s="64"/>
      <c r="I645" s="22" t="s">
        <v>1045</v>
      </c>
      <c r="J645" s="22" t="s">
        <v>320</v>
      </c>
      <c r="K645" s="34"/>
    </row>
    <row r="646" spans="1:11" x14ac:dyDescent="0.3">
      <c r="A646" s="22" t="s">
        <v>163</v>
      </c>
      <c r="B646" s="22" t="s">
        <v>931</v>
      </c>
      <c r="C646" s="22" t="s">
        <v>165</v>
      </c>
      <c r="D646" s="23"/>
      <c r="E646" s="22" t="s">
        <v>1066</v>
      </c>
      <c r="F646" s="22"/>
      <c r="G646" s="22"/>
      <c r="H646" s="64"/>
      <c r="I646" s="22" t="s">
        <v>1067</v>
      </c>
      <c r="J646" s="22"/>
      <c r="K646" s="34"/>
    </row>
    <row r="647" spans="1:11" x14ac:dyDescent="0.3">
      <c r="A647" s="22" t="s">
        <v>163</v>
      </c>
      <c r="B647" s="22" t="s">
        <v>931</v>
      </c>
      <c r="C647" s="22" t="s">
        <v>165</v>
      </c>
      <c r="D647" s="23"/>
      <c r="E647" s="22" t="s">
        <v>1068</v>
      </c>
      <c r="F647" s="29"/>
      <c r="G647" s="22"/>
      <c r="H647" s="64"/>
      <c r="I647" s="22" t="s">
        <v>1069</v>
      </c>
      <c r="J647" s="22"/>
      <c r="K647" s="34"/>
    </row>
    <row r="648" spans="1:11" x14ac:dyDescent="0.3">
      <c r="A648" s="22" t="s">
        <v>163</v>
      </c>
      <c r="B648" s="22" t="s">
        <v>931</v>
      </c>
      <c r="C648" s="22" t="s">
        <v>165</v>
      </c>
      <c r="D648" s="23"/>
      <c r="E648" s="22" t="s">
        <v>1070</v>
      </c>
      <c r="F648" s="29"/>
      <c r="G648" s="22"/>
      <c r="H648" s="64"/>
      <c r="I648" s="22" t="s">
        <v>1071</v>
      </c>
      <c r="J648" s="22"/>
      <c r="K648" s="34"/>
    </row>
    <row r="649" spans="1:11" x14ac:dyDescent="0.3">
      <c r="A649" s="22" t="s">
        <v>163</v>
      </c>
      <c r="B649" s="22" t="s">
        <v>931</v>
      </c>
      <c r="C649" s="22" t="s">
        <v>165</v>
      </c>
      <c r="D649" s="23"/>
      <c r="E649" s="22" t="s">
        <v>1072</v>
      </c>
      <c r="F649" s="29"/>
      <c r="G649" s="22"/>
      <c r="H649" s="64"/>
      <c r="I649" s="22" t="s">
        <v>1073</v>
      </c>
      <c r="J649" s="22" t="s">
        <v>201</v>
      </c>
      <c r="K649" s="34"/>
    </row>
    <row r="650" spans="1:11" x14ac:dyDescent="0.3">
      <c r="A650" s="22" t="s">
        <v>163</v>
      </c>
      <c r="B650" s="22" t="s">
        <v>931</v>
      </c>
      <c r="C650" s="22" t="s">
        <v>165</v>
      </c>
      <c r="D650" s="23"/>
      <c r="E650" s="22" t="s">
        <v>1074</v>
      </c>
      <c r="F650" s="22"/>
      <c r="G650" s="22"/>
      <c r="H650" s="64"/>
      <c r="I650" s="22" t="s">
        <v>1075</v>
      </c>
      <c r="J650" s="22"/>
      <c r="K650" s="34"/>
    </row>
    <row r="651" spans="1:11" x14ac:dyDescent="0.3">
      <c r="A651" s="22" t="s">
        <v>163</v>
      </c>
      <c r="B651" s="22" t="s">
        <v>931</v>
      </c>
      <c r="C651" s="22" t="s">
        <v>165</v>
      </c>
      <c r="D651" s="23"/>
      <c r="E651" s="22" t="s">
        <v>1076</v>
      </c>
      <c r="F651" s="22"/>
      <c r="G651" s="22"/>
      <c r="H651" s="64"/>
      <c r="I651" s="22" t="s">
        <v>1077</v>
      </c>
      <c r="J651" s="22"/>
      <c r="K651" s="34"/>
    </row>
    <row r="652" spans="1:11" x14ac:dyDescent="0.3">
      <c r="A652" s="22" t="s">
        <v>163</v>
      </c>
      <c r="B652" s="22" t="s">
        <v>931</v>
      </c>
      <c r="C652" s="22" t="s">
        <v>165</v>
      </c>
      <c r="D652" s="68"/>
      <c r="E652" s="22" t="s">
        <v>1078</v>
      </c>
      <c r="F652" s="23"/>
      <c r="G652" s="22">
        <v>30</v>
      </c>
      <c r="H652" s="64"/>
      <c r="I652" s="22" t="s">
        <v>1079</v>
      </c>
      <c r="J652" s="22"/>
      <c r="K652" s="34"/>
    </row>
    <row r="653" spans="1:11" x14ac:dyDescent="0.3">
      <c r="A653" s="22" t="s">
        <v>163</v>
      </c>
      <c r="B653" s="22" t="s">
        <v>931</v>
      </c>
      <c r="C653" s="22" t="s">
        <v>165</v>
      </c>
      <c r="D653" s="68"/>
      <c r="E653" s="22" t="s">
        <v>1080</v>
      </c>
      <c r="F653" s="23"/>
      <c r="G653" s="22">
        <v>30</v>
      </c>
      <c r="H653" s="64"/>
      <c r="I653" s="22" t="s">
        <v>1079</v>
      </c>
      <c r="J653" s="22"/>
      <c r="K653" s="34"/>
    </row>
    <row r="654" spans="1:11" x14ac:dyDescent="0.3">
      <c r="A654" s="22" t="s">
        <v>163</v>
      </c>
      <c r="B654" s="22" t="s">
        <v>931</v>
      </c>
      <c r="C654" s="22" t="s">
        <v>83</v>
      </c>
      <c r="D654" s="23"/>
      <c r="E654" s="22" t="s">
        <v>1081</v>
      </c>
      <c r="F654" s="22"/>
      <c r="G654" s="23"/>
      <c r="H654" s="64"/>
      <c r="I654" s="22" t="s">
        <v>1082</v>
      </c>
      <c r="J654" s="22" t="s">
        <v>1083</v>
      </c>
      <c r="K654" s="34"/>
    </row>
    <row r="655" spans="1:11" x14ac:dyDescent="0.3">
      <c r="A655" s="22" t="s">
        <v>163</v>
      </c>
      <c r="B655" s="22" t="s">
        <v>931</v>
      </c>
      <c r="C655" s="22" t="s">
        <v>87</v>
      </c>
      <c r="D655" s="23"/>
      <c r="E655" s="22" t="s">
        <v>1084</v>
      </c>
      <c r="F655" s="22"/>
      <c r="G655" s="23"/>
      <c r="H655" s="64"/>
      <c r="I655" s="22" t="s">
        <v>1085</v>
      </c>
      <c r="J655" s="22" t="s">
        <v>1086</v>
      </c>
      <c r="K655" s="34"/>
    </row>
    <row r="656" spans="1:11" x14ac:dyDescent="0.3">
      <c r="A656" s="22" t="s">
        <v>163</v>
      </c>
      <c r="B656" s="22" t="s">
        <v>931</v>
      </c>
      <c r="C656" s="64" t="s">
        <v>85</v>
      </c>
      <c r="D656" s="23"/>
      <c r="E656" s="22" t="s">
        <v>1087</v>
      </c>
      <c r="F656" s="22"/>
      <c r="G656" s="23"/>
      <c r="H656" s="64"/>
      <c r="I656" s="22" t="s">
        <v>1088</v>
      </c>
      <c r="J656" s="22" t="s">
        <v>1089</v>
      </c>
      <c r="K656" s="34"/>
    </row>
    <row r="657" spans="1:11" x14ac:dyDescent="0.3">
      <c r="A657" s="22" t="s">
        <v>163</v>
      </c>
      <c r="B657" s="22" t="s">
        <v>931</v>
      </c>
      <c r="C657" s="22" t="s">
        <v>83</v>
      </c>
      <c r="D657" s="23"/>
      <c r="E657" s="22" t="s">
        <v>1090</v>
      </c>
      <c r="F657" s="22"/>
      <c r="G657" s="23"/>
      <c r="H657" s="64"/>
      <c r="I657" s="22" t="s">
        <v>1082</v>
      </c>
      <c r="J657" s="22" t="s">
        <v>1091</v>
      </c>
      <c r="K657" s="34"/>
    </row>
    <row r="658" spans="1:11" x14ac:dyDescent="0.3">
      <c r="A658" s="22" t="s">
        <v>163</v>
      </c>
      <c r="B658" s="22" t="s">
        <v>931</v>
      </c>
      <c r="C658" s="22" t="s">
        <v>87</v>
      </c>
      <c r="D658" s="23"/>
      <c r="E658" s="22" t="s">
        <v>1092</v>
      </c>
      <c r="F658" s="22"/>
      <c r="G658" s="23"/>
      <c r="H658" s="64"/>
      <c r="I658" s="22" t="s">
        <v>1085</v>
      </c>
      <c r="J658" s="22" t="s">
        <v>1093</v>
      </c>
      <c r="K658" s="34"/>
    </row>
    <row r="659" spans="1:11" x14ac:dyDescent="0.3">
      <c r="A659" s="22" t="s">
        <v>163</v>
      </c>
      <c r="B659" s="22" t="s">
        <v>931</v>
      </c>
      <c r="C659" s="64" t="s">
        <v>85</v>
      </c>
      <c r="D659" s="23"/>
      <c r="E659" s="22" t="s">
        <v>1094</v>
      </c>
      <c r="F659" s="22"/>
      <c r="G659" s="23"/>
      <c r="H659" s="64"/>
      <c r="I659" s="22" t="s">
        <v>1088</v>
      </c>
      <c r="J659" s="22" t="s">
        <v>1095</v>
      </c>
      <c r="K659" s="34"/>
    </row>
    <row r="660" spans="1:11" x14ac:dyDescent="0.3">
      <c r="A660" s="22" t="s">
        <v>163</v>
      </c>
      <c r="B660" s="22" t="s">
        <v>931</v>
      </c>
      <c r="C660" s="22" t="s">
        <v>83</v>
      </c>
      <c r="D660" s="23"/>
      <c r="E660" s="22" t="s">
        <v>1096</v>
      </c>
      <c r="F660" s="22"/>
      <c r="G660" s="23"/>
      <c r="H660" s="64"/>
      <c r="I660" s="22" t="s">
        <v>1082</v>
      </c>
      <c r="J660" s="22" t="s">
        <v>1097</v>
      </c>
      <c r="K660" s="34"/>
    </row>
    <row r="661" spans="1:11" x14ac:dyDescent="0.3">
      <c r="A661" s="22" t="s">
        <v>163</v>
      </c>
      <c r="B661" s="22" t="s">
        <v>931</v>
      </c>
      <c r="C661" s="22" t="s">
        <v>87</v>
      </c>
      <c r="D661" s="23"/>
      <c r="E661" s="22" t="s">
        <v>1098</v>
      </c>
      <c r="F661" s="22"/>
      <c r="G661" s="23"/>
      <c r="H661" s="64"/>
      <c r="I661" s="22" t="s">
        <v>1085</v>
      </c>
      <c r="J661" s="22" t="s">
        <v>1099</v>
      </c>
      <c r="K661" s="34"/>
    </row>
    <row r="662" spans="1:11" x14ac:dyDescent="0.3">
      <c r="A662" s="22" t="s">
        <v>163</v>
      </c>
      <c r="B662" s="22" t="s">
        <v>931</v>
      </c>
      <c r="C662" s="64" t="s">
        <v>85</v>
      </c>
      <c r="D662" s="23"/>
      <c r="E662" s="22" t="s">
        <v>1100</v>
      </c>
      <c r="F662" s="22"/>
      <c r="G662" s="23"/>
      <c r="H662" s="64"/>
      <c r="I662" s="22" t="s">
        <v>1088</v>
      </c>
      <c r="J662" s="22" t="s">
        <v>1101</v>
      </c>
      <c r="K662" s="34"/>
    </row>
    <row r="663" spans="1:11" x14ac:dyDescent="0.3">
      <c r="A663" s="22" t="s">
        <v>163</v>
      </c>
      <c r="B663" s="22" t="s">
        <v>931</v>
      </c>
      <c r="C663" s="22" t="s">
        <v>165</v>
      </c>
      <c r="D663" s="23"/>
      <c r="E663" s="22" t="s">
        <v>1102</v>
      </c>
      <c r="F663" s="22"/>
      <c r="G663" s="22">
        <v>5</v>
      </c>
      <c r="H663" s="64"/>
      <c r="I663" s="22" t="s">
        <v>1103</v>
      </c>
      <c r="J663" s="22"/>
      <c r="K663" s="34"/>
    </row>
    <row r="664" spans="1:11" x14ac:dyDescent="0.3">
      <c r="A664" s="22" t="s">
        <v>163</v>
      </c>
      <c r="B664" s="22" t="s">
        <v>931</v>
      </c>
      <c r="C664" s="22" t="s">
        <v>165</v>
      </c>
      <c r="D664" s="23"/>
      <c r="E664" s="22" t="s">
        <v>1104</v>
      </c>
      <c r="F664" s="22"/>
      <c r="G664" s="22">
        <v>5</v>
      </c>
      <c r="H664" s="64"/>
      <c r="I664" s="22" t="s">
        <v>1105</v>
      </c>
      <c r="J664" s="22"/>
      <c r="K664" s="34"/>
    </row>
    <row r="665" spans="1:11" x14ac:dyDescent="0.3">
      <c r="A665" s="22" t="s">
        <v>163</v>
      </c>
      <c r="B665" s="22" t="s">
        <v>931</v>
      </c>
      <c r="C665" s="22" t="s">
        <v>165</v>
      </c>
      <c r="D665" s="23"/>
      <c r="E665" s="22" t="s">
        <v>1106</v>
      </c>
      <c r="F665" s="22"/>
      <c r="G665" s="22">
        <v>5</v>
      </c>
      <c r="H665" s="64"/>
      <c r="I665" s="22" t="s">
        <v>1107</v>
      </c>
      <c r="J665" s="22"/>
      <c r="K665" s="34"/>
    </row>
    <row r="666" spans="1:11" x14ac:dyDescent="0.3">
      <c r="A666" s="22" t="s">
        <v>163</v>
      </c>
      <c r="B666" s="22" t="s">
        <v>931</v>
      </c>
      <c r="C666" s="22" t="s">
        <v>165</v>
      </c>
      <c r="D666" s="23"/>
      <c r="E666" s="22" t="s">
        <v>1108</v>
      </c>
      <c r="F666" s="22"/>
      <c r="G666" s="22"/>
      <c r="H666" s="64" t="s">
        <v>933</v>
      </c>
      <c r="I666" s="22" t="s">
        <v>1109</v>
      </c>
      <c r="J666" s="22"/>
      <c r="K666" s="34"/>
    </row>
    <row r="667" spans="1:11" x14ac:dyDescent="0.3">
      <c r="A667" s="22" t="s">
        <v>163</v>
      </c>
      <c r="B667" s="22" t="s">
        <v>931</v>
      </c>
      <c r="C667" s="22" t="s">
        <v>165</v>
      </c>
      <c r="D667" s="23"/>
      <c r="E667" s="22" t="s">
        <v>1110</v>
      </c>
      <c r="F667" s="22"/>
      <c r="G667" s="22">
        <v>10</v>
      </c>
      <c r="H667" s="64"/>
      <c r="I667" s="22" t="s">
        <v>1111</v>
      </c>
      <c r="J667" s="22"/>
      <c r="K667" s="34"/>
    </row>
    <row r="668" spans="1:11" x14ac:dyDescent="0.3">
      <c r="A668" s="22" t="s">
        <v>163</v>
      </c>
      <c r="B668" s="22" t="s">
        <v>931</v>
      </c>
      <c r="C668" s="22" t="s">
        <v>165</v>
      </c>
      <c r="D668" s="23"/>
      <c r="E668" s="22" t="s">
        <v>1112</v>
      </c>
      <c r="F668" s="22"/>
      <c r="G668" s="22">
        <v>15</v>
      </c>
      <c r="H668" s="64"/>
      <c r="I668" s="22" t="s">
        <v>1113</v>
      </c>
      <c r="J668" s="22"/>
      <c r="K668" s="34"/>
    </row>
    <row r="669" spans="1:11" x14ac:dyDescent="0.3">
      <c r="A669" s="22" t="s">
        <v>163</v>
      </c>
      <c r="B669" s="22" t="s">
        <v>931</v>
      </c>
      <c r="C669" s="22" t="s">
        <v>165</v>
      </c>
      <c r="D669" s="23"/>
      <c r="E669" s="22" t="s">
        <v>1114</v>
      </c>
      <c r="F669" s="22"/>
      <c r="G669" s="22">
        <v>20</v>
      </c>
      <c r="H669" s="64"/>
      <c r="I669" s="22" t="s">
        <v>1115</v>
      </c>
      <c r="J669" s="22"/>
      <c r="K669" s="34"/>
    </row>
    <row r="670" spans="1:11" x14ac:dyDescent="0.3">
      <c r="A670" s="22" t="s">
        <v>163</v>
      </c>
      <c r="B670" s="22" t="s">
        <v>931</v>
      </c>
      <c r="C670" s="22" t="s">
        <v>165</v>
      </c>
      <c r="D670" s="23"/>
      <c r="E670" s="22" t="s">
        <v>1116</v>
      </c>
      <c r="F670" s="22"/>
      <c r="G670" s="22">
        <v>20</v>
      </c>
      <c r="H670" s="64"/>
      <c r="I670" s="22" t="s">
        <v>1117</v>
      </c>
      <c r="J670" s="22"/>
      <c r="K670" s="34"/>
    </row>
    <row r="671" spans="1:11" x14ac:dyDescent="0.3">
      <c r="A671" s="22" t="s">
        <v>163</v>
      </c>
      <c r="B671" s="22" t="s">
        <v>931</v>
      </c>
      <c r="C671" s="22" t="s">
        <v>165</v>
      </c>
      <c r="D671" s="23"/>
      <c r="E671" s="22" t="s">
        <v>1118</v>
      </c>
      <c r="F671" s="22"/>
      <c r="G671" s="22">
        <v>25</v>
      </c>
      <c r="H671" s="64"/>
      <c r="I671" s="22" t="s">
        <v>1119</v>
      </c>
      <c r="J671" s="22"/>
      <c r="K671" s="34"/>
    </row>
    <row r="672" spans="1:11" x14ac:dyDescent="0.3">
      <c r="A672" s="22" t="s">
        <v>163</v>
      </c>
      <c r="B672" s="22" t="s">
        <v>931</v>
      </c>
      <c r="C672" s="22" t="s">
        <v>165</v>
      </c>
      <c r="D672" s="23"/>
      <c r="E672" s="22" t="s">
        <v>1120</v>
      </c>
      <c r="F672" s="22"/>
      <c r="G672" s="22">
        <v>25</v>
      </c>
      <c r="H672" s="64"/>
      <c r="I672" s="22" t="s">
        <v>1121</v>
      </c>
      <c r="J672" s="22"/>
      <c r="K672" s="34"/>
    </row>
    <row r="673" spans="1:11" x14ac:dyDescent="0.3">
      <c r="A673" s="22" t="s">
        <v>163</v>
      </c>
      <c r="B673" s="22" t="s">
        <v>931</v>
      </c>
      <c r="C673" s="22" t="s">
        <v>165</v>
      </c>
      <c r="D673" s="68"/>
      <c r="E673" s="22" t="s">
        <v>1122</v>
      </c>
      <c r="F673" s="23"/>
      <c r="G673" s="22">
        <v>30</v>
      </c>
      <c r="H673" s="64"/>
      <c r="I673" s="22" t="s">
        <v>1079</v>
      </c>
      <c r="J673" s="22"/>
      <c r="K673" s="34"/>
    </row>
    <row r="674" spans="1:11" x14ac:dyDescent="0.3">
      <c r="A674" s="22" t="s">
        <v>163</v>
      </c>
      <c r="B674" s="22" t="s">
        <v>931</v>
      </c>
      <c r="C674" s="22" t="s">
        <v>165</v>
      </c>
      <c r="D674" s="23"/>
      <c r="E674" s="22" t="s">
        <v>1138</v>
      </c>
      <c r="F674" s="22"/>
      <c r="G674" s="22">
        <v>15</v>
      </c>
      <c r="H674" s="64"/>
      <c r="I674" s="22" t="s">
        <v>1139</v>
      </c>
      <c r="J674" s="22"/>
      <c r="K674" s="34"/>
    </row>
    <row r="675" spans="1:11" x14ac:dyDescent="0.3">
      <c r="A675" s="22" t="s">
        <v>163</v>
      </c>
      <c r="B675" s="22" t="s">
        <v>1140</v>
      </c>
      <c r="C675" s="22" t="s">
        <v>165</v>
      </c>
      <c r="D675" s="23"/>
      <c r="E675" s="22" t="s">
        <v>1141</v>
      </c>
      <c r="F675" s="22"/>
      <c r="G675" s="22">
        <v>5</v>
      </c>
      <c r="H675" s="64"/>
      <c r="I675" s="22" t="s">
        <v>1142</v>
      </c>
      <c r="J675" s="22"/>
      <c r="K675" s="34"/>
    </row>
    <row r="676" spans="1:11" x14ac:dyDescent="0.3">
      <c r="A676" s="22" t="s">
        <v>163</v>
      </c>
      <c r="B676" s="22" t="s">
        <v>1140</v>
      </c>
      <c r="C676" s="22" t="s">
        <v>165</v>
      </c>
      <c r="D676" s="23"/>
      <c r="E676" s="22" t="s">
        <v>1143</v>
      </c>
      <c r="F676" s="22"/>
      <c r="G676" s="22">
        <v>5</v>
      </c>
      <c r="H676" s="64"/>
      <c r="I676" s="22" t="s">
        <v>1144</v>
      </c>
      <c r="J676" s="22"/>
      <c r="K676" s="34"/>
    </row>
    <row r="677" spans="1:11" x14ac:dyDescent="0.3">
      <c r="A677" s="22" t="s">
        <v>163</v>
      </c>
      <c r="B677" s="22" t="s">
        <v>1140</v>
      </c>
      <c r="C677" s="22" t="s">
        <v>165</v>
      </c>
      <c r="D677" s="23"/>
      <c r="E677" s="22" t="s">
        <v>1145</v>
      </c>
      <c r="F677" s="22"/>
      <c r="G677" s="22">
        <v>10</v>
      </c>
      <c r="H677" s="64"/>
      <c r="I677" s="22" t="s">
        <v>1146</v>
      </c>
      <c r="J677" s="22"/>
      <c r="K677" s="34"/>
    </row>
    <row r="678" spans="1:11" x14ac:dyDescent="0.3">
      <c r="A678" s="22" t="s">
        <v>163</v>
      </c>
      <c r="B678" s="22" t="s">
        <v>1140</v>
      </c>
      <c r="C678" s="22" t="s">
        <v>165</v>
      </c>
      <c r="D678" s="23"/>
      <c r="E678" s="22" t="s">
        <v>1147</v>
      </c>
      <c r="F678" s="22"/>
      <c r="G678" s="22">
        <v>10</v>
      </c>
      <c r="H678" s="64"/>
      <c r="I678" s="22" t="s">
        <v>1148</v>
      </c>
      <c r="J678" s="22"/>
      <c r="K678" s="34"/>
    </row>
    <row r="679" spans="1:11" x14ac:dyDescent="0.3">
      <c r="A679" s="22" t="s">
        <v>163</v>
      </c>
      <c r="B679" s="22" t="s">
        <v>1140</v>
      </c>
      <c r="C679" s="22" t="s">
        <v>165</v>
      </c>
      <c r="D679" s="23"/>
      <c r="E679" s="22" t="s">
        <v>1149</v>
      </c>
      <c r="F679" s="22"/>
      <c r="G679" s="22">
        <v>20</v>
      </c>
      <c r="H679" s="64"/>
      <c r="I679" s="22" t="s">
        <v>1150</v>
      </c>
      <c r="J679" s="22"/>
      <c r="K679" s="34"/>
    </row>
    <row r="680" spans="1:11" x14ac:dyDescent="0.3">
      <c r="A680" s="22" t="s">
        <v>163</v>
      </c>
      <c r="B680" s="22" t="s">
        <v>1140</v>
      </c>
      <c r="C680" s="22" t="s">
        <v>165</v>
      </c>
      <c r="D680" s="23"/>
      <c r="E680" s="22" t="s">
        <v>1151</v>
      </c>
      <c r="F680" s="22"/>
      <c r="G680" s="22">
        <v>20</v>
      </c>
      <c r="H680" s="64"/>
      <c r="I680" s="22" t="s">
        <v>1152</v>
      </c>
      <c r="J680" s="22"/>
      <c r="K680" s="34"/>
    </row>
    <row r="681" spans="1:11" x14ac:dyDescent="0.3">
      <c r="A681" s="22" t="s">
        <v>163</v>
      </c>
      <c r="B681" s="22" t="s">
        <v>1140</v>
      </c>
      <c r="C681" s="22" t="s">
        <v>165</v>
      </c>
      <c r="D681" s="23"/>
      <c r="E681" s="22" t="s">
        <v>1153</v>
      </c>
      <c r="F681" s="22"/>
      <c r="G681" s="22">
        <v>25</v>
      </c>
      <c r="H681" s="64"/>
      <c r="I681" s="22" t="s">
        <v>1154</v>
      </c>
      <c r="J681" s="22"/>
      <c r="K681" s="34"/>
    </row>
    <row r="682" spans="1:11" x14ac:dyDescent="0.3">
      <c r="A682" s="22" t="s">
        <v>163</v>
      </c>
      <c r="B682" s="22" t="s">
        <v>1140</v>
      </c>
      <c r="C682" s="22" t="s">
        <v>165</v>
      </c>
      <c r="D682" s="23"/>
      <c r="E682" s="22" t="s">
        <v>1155</v>
      </c>
      <c r="F682" s="22"/>
      <c r="G682" s="22">
        <v>25</v>
      </c>
      <c r="H682" s="64"/>
      <c r="I682" s="22" t="s">
        <v>1156</v>
      </c>
      <c r="J682" s="22"/>
      <c r="K682" s="34"/>
    </row>
    <row r="683" spans="1:11" x14ac:dyDescent="0.3">
      <c r="A683" s="22" t="s">
        <v>163</v>
      </c>
      <c r="B683" s="22" t="s">
        <v>1140</v>
      </c>
      <c r="C683" s="22" t="s">
        <v>165</v>
      </c>
      <c r="D683" s="72"/>
      <c r="E683" s="22" t="s">
        <v>1157</v>
      </c>
      <c r="F683" s="22"/>
      <c r="G683" s="22">
        <v>25</v>
      </c>
      <c r="H683" s="64"/>
      <c r="I683" s="22" t="s">
        <v>1158</v>
      </c>
      <c r="J683" s="22"/>
      <c r="K683" s="34"/>
    </row>
    <row r="684" spans="1:11" x14ac:dyDescent="0.3">
      <c r="A684" s="22" t="s">
        <v>163</v>
      </c>
      <c r="B684" s="22" t="s">
        <v>1140</v>
      </c>
      <c r="C684" s="22" t="s">
        <v>165</v>
      </c>
      <c r="D684" s="23"/>
      <c r="E684" s="22" t="s">
        <v>1159</v>
      </c>
      <c r="F684" s="22"/>
      <c r="G684" s="22">
        <v>25</v>
      </c>
      <c r="H684" s="64"/>
      <c r="I684" s="22" t="s">
        <v>1156</v>
      </c>
      <c r="J684" s="22"/>
      <c r="K684" s="34"/>
    </row>
    <row r="685" spans="1:11" x14ac:dyDescent="0.3">
      <c r="A685" s="22" t="s">
        <v>163</v>
      </c>
      <c r="B685" s="22" t="s">
        <v>1140</v>
      </c>
      <c r="C685" s="22" t="s">
        <v>165</v>
      </c>
      <c r="D685" s="23"/>
      <c r="E685" s="22" t="s">
        <v>1160</v>
      </c>
      <c r="F685" s="22"/>
      <c r="G685" s="22">
        <v>25</v>
      </c>
      <c r="H685" s="64"/>
      <c r="I685" s="22" t="s">
        <v>1161</v>
      </c>
      <c r="J685" s="22"/>
      <c r="K685" s="34"/>
    </row>
    <row r="686" spans="1:11" x14ac:dyDescent="0.3">
      <c r="A686" s="22" t="s">
        <v>163</v>
      </c>
      <c r="B686" s="22" t="s">
        <v>1140</v>
      </c>
      <c r="C686" s="22" t="s">
        <v>165</v>
      </c>
      <c r="D686" s="23"/>
      <c r="E686" s="22" t="s">
        <v>1162</v>
      </c>
      <c r="F686" s="22"/>
      <c r="G686" s="22"/>
      <c r="H686" s="64" t="s">
        <v>1163</v>
      </c>
      <c r="I686" s="22" t="s">
        <v>1164</v>
      </c>
      <c r="J686" s="22"/>
      <c r="K686" s="34"/>
    </row>
    <row r="687" spans="1:11" x14ac:dyDescent="0.3">
      <c r="A687" s="22" t="s">
        <v>163</v>
      </c>
      <c r="B687" s="22" t="s">
        <v>1140</v>
      </c>
      <c r="C687" s="22" t="s">
        <v>165</v>
      </c>
      <c r="D687" s="23"/>
      <c r="E687" s="22" t="s">
        <v>1165</v>
      </c>
      <c r="F687" s="22"/>
      <c r="G687" s="22"/>
      <c r="H687" s="64" t="s">
        <v>1163</v>
      </c>
      <c r="I687" s="22" t="s">
        <v>1117</v>
      </c>
      <c r="J687" s="22"/>
      <c r="K687" s="34"/>
    </row>
    <row r="688" spans="1:11" x14ac:dyDescent="0.3">
      <c r="A688" s="22" t="s">
        <v>163</v>
      </c>
      <c r="B688" s="22" t="s">
        <v>1140</v>
      </c>
      <c r="C688" s="22" t="s">
        <v>165</v>
      </c>
      <c r="D688" s="68"/>
      <c r="E688" s="22" t="s">
        <v>1166</v>
      </c>
      <c r="F688" s="23"/>
      <c r="G688" s="22">
        <v>30</v>
      </c>
      <c r="H688" s="64"/>
      <c r="I688" s="22" t="s">
        <v>1167</v>
      </c>
      <c r="J688" s="22"/>
      <c r="K688" s="34"/>
    </row>
    <row r="689" spans="1:11" x14ac:dyDescent="0.3">
      <c r="A689" s="22" t="s">
        <v>163</v>
      </c>
      <c r="B689" s="22" t="s">
        <v>1140</v>
      </c>
      <c r="C689" s="22" t="s">
        <v>165</v>
      </c>
      <c r="D689" s="23"/>
      <c r="E689" s="22" t="s">
        <v>1231</v>
      </c>
      <c r="F689" s="29"/>
      <c r="G689" s="22"/>
      <c r="H689" s="64"/>
      <c r="I689" s="22" t="s">
        <v>1232</v>
      </c>
      <c r="J689" s="22" t="s">
        <v>1006</v>
      </c>
      <c r="K689" s="34"/>
    </row>
    <row r="690" spans="1:11" x14ac:dyDescent="0.3">
      <c r="A690" s="22" t="s">
        <v>163</v>
      </c>
      <c r="B690" s="22" t="s">
        <v>1140</v>
      </c>
      <c r="C690" s="22" t="s">
        <v>165</v>
      </c>
      <c r="D690" s="23"/>
      <c r="E690" s="22" t="s">
        <v>1233</v>
      </c>
      <c r="F690" s="29"/>
      <c r="G690" s="22"/>
      <c r="H690" s="64"/>
      <c r="I690" s="22" t="s">
        <v>1234</v>
      </c>
      <c r="J690" s="22" t="s">
        <v>1009</v>
      </c>
      <c r="K690" s="34"/>
    </row>
    <row r="691" spans="1:11" x14ac:dyDescent="0.3">
      <c r="A691" s="22" t="s">
        <v>163</v>
      </c>
      <c r="B691" s="22" t="s">
        <v>1140</v>
      </c>
      <c r="C691" s="22" t="s">
        <v>165</v>
      </c>
      <c r="D691" s="23"/>
      <c r="E691" s="22" t="s">
        <v>1235</v>
      </c>
      <c r="F691" s="29"/>
      <c r="G691" s="22"/>
      <c r="H691" s="64"/>
      <c r="I691" s="22" t="s">
        <v>1236</v>
      </c>
      <c r="J691" s="22" t="s">
        <v>1012</v>
      </c>
      <c r="K691" s="34"/>
    </row>
    <row r="692" spans="1:11" x14ac:dyDescent="0.3">
      <c r="A692" s="22" t="s">
        <v>163</v>
      </c>
      <c r="B692" s="22" t="s">
        <v>1140</v>
      </c>
      <c r="C692" s="22" t="s">
        <v>165</v>
      </c>
      <c r="D692" s="23"/>
      <c r="E692" s="22" t="s">
        <v>1237</v>
      </c>
      <c r="F692" s="29"/>
      <c r="G692" s="22"/>
      <c r="H692" s="64"/>
      <c r="I692" s="22" t="s">
        <v>1238</v>
      </c>
      <c r="J692" s="22" t="s">
        <v>1015</v>
      </c>
      <c r="K692" s="34"/>
    </row>
    <row r="693" spans="1:11" x14ac:dyDescent="0.3">
      <c r="A693" s="22" t="s">
        <v>163</v>
      </c>
      <c r="B693" s="22" t="s">
        <v>1140</v>
      </c>
      <c r="C693" s="22" t="s">
        <v>165</v>
      </c>
      <c r="D693" s="23"/>
      <c r="E693" s="22" t="s">
        <v>1251</v>
      </c>
      <c r="F693" s="22"/>
      <c r="G693" s="22"/>
      <c r="H693" s="64"/>
      <c r="I693" s="22" t="s">
        <v>1252</v>
      </c>
      <c r="J693" s="22" t="s">
        <v>858</v>
      </c>
      <c r="K693" s="34"/>
    </row>
    <row r="694" spans="1:11" x14ac:dyDescent="0.3">
      <c r="A694" s="22" t="s">
        <v>163</v>
      </c>
      <c r="B694" s="22" t="s">
        <v>1140</v>
      </c>
      <c r="C694" s="22" t="s">
        <v>165</v>
      </c>
      <c r="D694" s="23"/>
      <c r="E694" s="22" t="s">
        <v>1253</v>
      </c>
      <c r="F694" s="22"/>
      <c r="G694" s="22"/>
      <c r="H694" s="64"/>
      <c r="I694" s="22" t="s">
        <v>1254</v>
      </c>
      <c r="J694" s="22" t="s">
        <v>861</v>
      </c>
      <c r="K694" s="34"/>
    </row>
    <row r="695" spans="1:11" x14ac:dyDescent="0.3">
      <c r="A695" s="22" t="s">
        <v>163</v>
      </c>
      <c r="B695" s="22" t="s">
        <v>1140</v>
      </c>
      <c r="C695" s="22" t="s">
        <v>165</v>
      </c>
      <c r="D695" s="23"/>
      <c r="E695" s="22" t="s">
        <v>1255</v>
      </c>
      <c r="F695" s="22"/>
      <c r="G695" s="22"/>
      <c r="H695" s="64"/>
      <c r="I695" s="22" t="s">
        <v>1256</v>
      </c>
      <c r="J695" s="22" t="s">
        <v>864</v>
      </c>
      <c r="K695" s="34"/>
    </row>
    <row r="696" spans="1:11" x14ac:dyDescent="0.3">
      <c r="A696" s="22" t="s">
        <v>163</v>
      </c>
      <c r="B696" s="22" t="s">
        <v>1140</v>
      </c>
      <c r="C696" s="22" t="s">
        <v>165</v>
      </c>
      <c r="D696" s="23"/>
      <c r="E696" s="22" t="s">
        <v>1257</v>
      </c>
      <c r="F696" s="22"/>
      <c r="G696" s="22"/>
      <c r="H696" s="64"/>
      <c r="I696" s="22" t="s">
        <v>1258</v>
      </c>
      <c r="J696" s="22" t="s">
        <v>867</v>
      </c>
      <c r="K696" s="34"/>
    </row>
    <row r="697" spans="1:11" x14ac:dyDescent="0.3">
      <c r="A697" s="22" t="s">
        <v>163</v>
      </c>
      <c r="B697" s="22" t="s">
        <v>1140</v>
      </c>
      <c r="C697" s="22" t="s">
        <v>165</v>
      </c>
      <c r="D697" s="23"/>
      <c r="E697" s="22" t="s">
        <v>1259</v>
      </c>
      <c r="F697" s="22"/>
      <c r="G697" s="22"/>
      <c r="H697" s="64"/>
      <c r="I697" s="22" t="s">
        <v>1260</v>
      </c>
      <c r="J697" s="22" t="s">
        <v>317</v>
      </c>
      <c r="K697" s="34"/>
    </row>
    <row r="698" spans="1:11" x14ac:dyDescent="0.3">
      <c r="A698" s="22" t="s">
        <v>163</v>
      </c>
      <c r="B698" s="22" t="s">
        <v>1140</v>
      </c>
      <c r="C698" s="22" t="s">
        <v>165</v>
      </c>
      <c r="D698" s="23"/>
      <c r="E698" s="22" t="s">
        <v>1261</v>
      </c>
      <c r="F698" s="22"/>
      <c r="G698" s="22"/>
      <c r="H698" s="64"/>
      <c r="I698" s="22" t="s">
        <v>1262</v>
      </c>
      <c r="J698" s="22" t="s">
        <v>320</v>
      </c>
      <c r="K698" s="34"/>
    </row>
    <row r="699" spans="1:11" x14ac:dyDescent="0.3">
      <c r="A699" s="22" t="s">
        <v>163</v>
      </c>
      <c r="B699" s="22" t="s">
        <v>1140</v>
      </c>
      <c r="C699" s="22" t="s">
        <v>165</v>
      </c>
      <c r="D699" s="23"/>
      <c r="E699" s="22" t="s">
        <v>1293</v>
      </c>
      <c r="F699" s="22"/>
      <c r="G699" s="22"/>
      <c r="H699" s="64"/>
      <c r="I699" s="22" t="s">
        <v>1294</v>
      </c>
      <c r="J699" s="22"/>
      <c r="K699" s="34"/>
    </row>
    <row r="700" spans="1:11" x14ac:dyDescent="0.3">
      <c r="A700" s="22" t="s">
        <v>163</v>
      </c>
      <c r="B700" s="22" t="s">
        <v>1140</v>
      </c>
      <c r="C700" s="22" t="s">
        <v>165</v>
      </c>
      <c r="D700" s="23"/>
      <c r="E700" s="22" t="s">
        <v>1295</v>
      </c>
      <c r="F700" s="29"/>
      <c r="G700" s="22"/>
      <c r="H700" s="64"/>
      <c r="I700" s="22" t="s">
        <v>1296</v>
      </c>
      <c r="J700" s="22"/>
      <c r="K700" s="34"/>
    </row>
    <row r="701" spans="1:11" x14ac:dyDescent="0.3">
      <c r="A701" s="22" t="s">
        <v>163</v>
      </c>
      <c r="B701" s="22" t="s">
        <v>1140</v>
      </c>
      <c r="C701" s="22" t="s">
        <v>165</v>
      </c>
      <c r="D701" s="23"/>
      <c r="E701" s="22" t="s">
        <v>1297</v>
      </c>
      <c r="F701" s="29"/>
      <c r="G701" s="22"/>
      <c r="H701" s="64"/>
      <c r="I701" s="22" t="s">
        <v>1298</v>
      </c>
      <c r="J701" s="22"/>
      <c r="K701" s="34"/>
    </row>
    <row r="702" spans="1:11" x14ac:dyDescent="0.3">
      <c r="A702" s="22" t="s">
        <v>163</v>
      </c>
      <c r="B702" s="22" t="s">
        <v>1140</v>
      </c>
      <c r="C702" s="22" t="s">
        <v>165</v>
      </c>
      <c r="D702" s="23"/>
      <c r="E702" s="22" t="s">
        <v>1299</v>
      </c>
      <c r="F702" s="29"/>
      <c r="G702" s="22"/>
      <c r="H702" s="64"/>
      <c r="I702" s="22" t="s">
        <v>1300</v>
      </c>
      <c r="J702" s="22" t="s">
        <v>201</v>
      </c>
      <c r="K702" s="34"/>
    </row>
    <row r="703" spans="1:11" x14ac:dyDescent="0.3">
      <c r="A703" s="22" t="s">
        <v>163</v>
      </c>
      <c r="B703" s="22" t="s">
        <v>1140</v>
      </c>
      <c r="C703" s="22" t="s">
        <v>165</v>
      </c>
      <c r="D703" s="23"/>
      <c r="E703" s="22" t="s">
        <v>1301</v>
      </c>
      <c r="F703" s="22"/>
      <c r="G703" s="22"/>
      <c r="H703" s="64"/>
      <c r="I703" s="22" t="s">
        <v>1302</v>
      </c>
      <c r="J703" s="22"/>
      <c r="K703" s="34"/>
    </row>
    <row r="704" spans="1:11" x14ac:dyDescent="0.3">
      <c r="A704" s="22" t="s">
        <v>163</v>
      </c>
      <c r="B704" s="22" t="s">
        <v>1140</v>
      </c>
      <c r="C704" s="22" t="s">
        <v>165</v>
      </c>
      <c r="D704" s="23"/>
      <c r="E704" s="22" t="s">
        <v>1303</v>
      </c>
      <c r="F704" s="22"/>
      <c r="G704" s="22"/>
      <c r="H704" s="64"/>
      <c r="I704" s="22" t="s">
        <v>1304</v>
      </c>
      <c r="J704" s="22"/>
      <c r="K704" s="34"/>
    </row>
    <row r="705" spans="1:11" x14ac:dyDescent="0.3">
      <c r="A705" s="22" t="s">
        <v>163</v>
      </c>
      <c r="B705" s="22" t="s">
        <v>1140</v>
      </c>
      <c r="C705" s="22" t="s">
        <v>165</v>
      </c>
      <c r="D705" s="68"/>
      <c r="E705" s="22" t="s">
        <v>1305</v>
      </c>
      <c r="F705" s="23"/>
      <c r="G705" s="22">
        <v>30</v>
      </c>
      <c r="H705" s="64"/>
      <c r="I705" s="22" t="s">
        <v>1167</v>
      </c>
      <c r="J705" s="22"/>
      <c r="K705" s="34"/>
    </row>
    <row r="706" spans="1:11" x14ac:dyDescent="0.3">
      <c r="A706" s="22" t="s">
        <v>163</v>
      </c>
      <c r="B706" s="22" t="s">
        <v>1140</v>
      </c>
      <c r="C706" s="22" t="s">
        <v>165</v>
      </c>
      <c r="D706" s="68"/>
      <c r="E706" s="22" t="s">
        <v>1306</v>
      </c>
      <c r="F706" s="23"/>
      <c r="G706" s="22">
        <v>30</v>
      </c>
      <c r="H706" s="64"/>
      <c r="I706" s="22" t="s">
        <v>1167</v>
      </c>
      <c r="J706" s="22"/>
      <c r="K706" s="34"/>
    </row>
    <row r="707" spans="1:11" x14ac:dyDescent="0.3">
      <c r="A707" s="22" t="s">
        <v>163</v>
      </c>
      <c r="B707" s="22" t="s">
        <v>1140</v>
      </c>
      <c r="C707" s="22" t="s">
        <v>83</v>
      </c>
      <c r="D707" s="23"/>
      <c r="E707" s="22" t="s">
        <v>1307</v>
      </c>
      <c r="F707" s="22"/>
      <c r="G707" s="23"/>
      <c r="H707" s="64"/>
      <c r="I707" s="22" t="s">
        <v>1308</v>
      </c>
      <c r="J707" s="22" t="s">
        <v>1083</v>
      </c>
      <c r="K707" s="34"/>
    </row>
    <row r="708" spans="1:11" x14ac:dyDescent="0.3">
      <c r="A708" s="22" t="s">
        <v>163</v>
      </c>
      <c r="B708" s="22" t="s">
        <v>1140</v>
      </c>
      <c r="C708" s="22" t="s">
        <v>87</v>
      </c>
      <c r="D708" s="23"/>
      <c r="E708" s="22" t="s">
        <v>1309</v>
      </c>
      <c r="F708" s="22"/>
      <c r="G708" s="23"/>
      <c r="H708" s="64"/>
      <c r="I708" s="22" t="s">
        <v>1310</v>
      </c>
      <c r="J708" s="22" t="s">
        <v>1086</v>
      </c>
      <c r="K708" s="34"/>
    </row>
    <row r="709" spans="1:11" x14ac:dyDescent="0.3">
      <c r="A709" s="22" t="s">
        <v>163</v>
      </c>
      <c r="B709" s="22" t="s">
        <v>1140</v>
      </c>
      <c r="C709" s="64" t="s">
        <v>85</v>
      </c>
      <c r="D709" s="23"/>
      <c r="E709" s="22" t="s">
        <v>1311</v>
      </c>
      <c r="F709" s="22"/>
      <c r="G709" s="23"/>
      <c r="H709" s="64"/>
      <c r="I709" s="22" t="s">
        <v>1312</v>
      </c>
      <c r="J709" s="22" t="s">
        <v>1089</v>
      </c>
      <c r="K709" s="34"/>
    </row>
    <row r="710" spans="1:11" x14ac:dyDescent="0.3">
      <c r="A710" s="22" t="s">
        <v>163</v>
      </c>
      <c r="B710" s="22" t="s">
        <v>1140</v>
      </c>
      <c r="C710" s="22" t="s">
        <v>83</v>
      </c>
      <c r="D710" s="23"/>
      <c r="E710" s="22" t="s">
        <v>1313</v>
      </c>
      <c r="F710" s="22"/>
      <c r="G710" s="23"/>
      <c r="H710" s="64"/>
      <c r="I710" s="22" t="s">
        <v>1308</v>
      </c>
      <c r="J710" s="22" t="s">
        <v>1091</v>
      </c>
      <c r="K710" s="34"/>
    </row>
    <row r="711" spans="1:11" x14ac:dyDescent="0.3">
      <c r="A711" s="22" t="s">
        <v>163</v>
      </c>
      <c r="B711" s="22" t="s">
        <v>1140</v>
      </c>
      <c r="C711" s="22" t="s">
        <v>87</v>
      </c>
      <c r="D711" s="23"/>
      <c r="E711" s="22" t="s">
        <v>1314</v>
      </c>
      <c r="F711" s="22"/>
      <c r="G711" s="23"/>
      <c r="H711" s="64"/>
      <c r="I711" s="22" t="s">
        <v>1310</v>
      </c>
      <c r="J711" s="22" t="s">
        <v>1093</v>
      </c>
      <c r="K711" s="34"/>
    </row>
    <row r="712" spans="1:11" x14ac:dyDescent="0.3">
      <c r="A712" s="22" t="s">
        <v>163</v>
      </c>
      <c r="B712" s="22" t="s">
        <v>1140</v>
      </c>
      <c r="C712" s="64" t="s">
        <v>85</v>
      </c>
      <c r="D712" s="23"/>
      <c r="E712" s="22" t="s">
        <v>1315</v>
      </c>
      <c r="F712" s="22"/>
      <c r="G712" s="23"/>
      <c r="H712" s="64"/>
      <c r="I712" s="22" t="s">
        <v>1312</v>
      </c>
      <c r="J712" s="22" t="s">
        <v>1095</v>
      </c>
      <c r="K712" s="34"/>
    </row>
    <row r="713" spans="1:11" x14ac:dyDescent="0.3">
      <c r="A713" s="22" t="s">
        <v>163</v>
      </c>
      <c r="B713" s="22" t="s">
        <v>1140</v>
      </c>
      <c r="C713" s="22" t="s">
        <v>83</v>
      </c>
      <c r="D713" s="23"/>
      <c r="E713" s="22" t="s">
        <v>1316</v>
      </c>
      <c r="F713" s="22"/>
      <c r="G713" s="23"/>
      <c r="H713" s="64"/>
      <c r="I713" s="22" t="s">
        <v>1308</v>
      </c>
      <c r="J713" s="22" t="s">
        <v>1097</v>
      </c>
      <c r="K713" s="34"/>
    </row>
    <row r="714" spans="1:11" x14ac:dyDescent="0.3">
      <c r="A714" s="22" t="s">
        <v>163</v>
      </c>
      <c r="B714" s="22" t="s">
        <v>1140</v>
      </c>
      <c r="C714" s="22" t="s">
        <v>87</v>
      </c>
      <c r="D714" s="23"/>
      <c r="E714" s="22" t="s">
        <v>1317</v>
      </c>
      <c r="F714" s="22"/>
      <c r="G714" s="23"/>
      <c r="H714" s="64"/>
      <c r="I714" s="22" t="s">
        <v>1310</v>
      </c>
      <c r="J714" s="22" t="s">
        <v>1099</v>
      </c>
      <c r="K714" s="34"/>
    </row>
    <row r="715" spans="1:11" x14ac:dyDescent="0.3">
      <c r="A715" s="22" t="s">
        <v>163</v>
      </c>
      <c r="B715" s="22" t="s">
        <v>1140</v>
      </c>
      <c r="C715" s="64" t="s">
        <v>85</v>
      </c>
      <c r="D715" s="23"/>
      <c r="E715" s="22" t="s">
        <v>1318</v>
      </c>
      <c r="F715" s="22"/>
      <c r="G715" s="23"/>
      <c r="H715" s="64"/>
      <c r="I715" s="22" t="s">
        <v>1312</v>
      </c>
      <c r="J715" s="22" t="s">
        <v>1101</v>
      </c>
      <c r="K715" s="34"/>
    </row>
    <row r="716" spans="1:11" x14ac:dyDescent="0.3">
      <c r="A716" s="22" t="s">
        <v>163</v>
      </c>
      <c r="B716" s="22" t="s">
        <v>1140</v>
      </c>
      <c r="C716" s="22" t="s">
        <v>165</v>
      </c>
      <c r="D716" s="23"/>
      <c r="E716" s="22" t="s">
        <v>1319</v>
      </c>
      <c r="F716" s="22"/>
      <c r="G716" s="22">
        <v>15</v>
      </c>
      <c r="H716" s="64"/>
      <c r="I716" s="22" t="s">
        <v>1320</v>
      </c>
      <c r="J716" s="22"/>
      <c r="K716" s="77"/>
    </row>
    <row r="717" spans="1:11" x14ac:dyDescent="0.3">
      <c r="A717" s="26" t="s">
        <v>163</v>
      </c>
      <c r="B717" s="26" t="s">
        <v>1321</v>
      </c>
      <c r="C717" s="26" t="s">
        <v>165</v>
      </c>
      <c r="D717" s="26"/>
      <c r="E717" s="26" t="s">
        <v>1322</v>
      </c>
      <c r="F717" s="26"/>
      <c r="G717" s="26">
        <v>5</v>
      </c>
      <c r="H717" s="64"/>
      <c r="I717" s="26" t="s">
        <v>1107</v>
      </c>
      <c r="J717" s="26"/>
      <c r="K717" s="77"/>
    </row>
    <row r="718" spans="1:11" x14ac:dyDescent="0.3">
      <c r="A718" s="26" t="s">
        <v>163</v>
      </c>
      <c r="B718" s="26" t="s">
        <v>1321</v>
      </c>
      <c r="C718" s="26" t="s">
        <v>165</v>
      </c>
      <c r="D718" s="26"/>
      <c r="E718" s="26" t="s">
        <v>1323</v>
      </c>
      <c r="F718" s="26"/>
      <c r="G718" s="26">
        <v>10</v>
      </c>
      <c r="H718" s="64"/>
      <c r="I718" s="26" t="s">
        <v>1324</v>
      </c>
      <c r="J718" s="26"/>
      <c r="K718" s="77"/>
    </row>
    <row r="719" spans="1:11" x14ac:dyDescent="0.3">
      <c r="A719" s="26" t="s">
        <v>163</v>
      </c>
      <c r="B719" s="26" t="s">
        <v>1321</v>
      </c>
      <c r="C719" s="26" t="s">
        <v>165</v>
      </c>
      <c r="D719" s="26"/>
      <c r="E719" s="26" t="s">
        <v>1325</v>
      </c>
      <c r="F719" s="26"/>
      <c r="G719" s="26">
        <v>15</v>
      </c>
      <c r="H719" s="64"/>
      <c r="I719" s="26" t="s">
        <v>1326</v>
      </c>
      <c r="J719" s="26"/>
      <c r="K719" s="77"/>
    </row>
    <row r="720" spans="1:11" x14ac:dyDescent="0.3">
      <c r="A720" s="26" t="s">
        <v>163</v>
      </c>
      <c r="B720" s="26" t="s">
        <v>1321</v>
      </c>
      <c r="C720" s="26" t="s">
        <v>165</v>
      </c>
      <c r="D720" s="26"/>
      <c r="E720" s="26" t="s">
        <v>1327</v>
      </c>
      <c r="F720" s="26"/>
      <c r="G720" s="26">
        <v>25</v>
      </c>
      <c r="H720" s="64"/>
      <c r="I720" s="26" t="s">
        <v>1328</v>
      </c>
      <c r="J720" s="26"/>
      <c r="K720" s="34"/>
    </row>
    <row r="721" spans="1:11" x14ac:dyDescent="0.3">
      <c r="A721" s="22" t="s">
        <v>163</v>
      </c>
      <c r="B721" s="22" t="s">
        <v>1321</v>
      </c>
      <c r="C721" s="22" t="s">
        <v>165</v>
      </c>
      <c r="D721" s="23"/>
      <c r="E721" s="22" t="s">
        <v>1329</v>
      </c>
      <c r="F721" s="22"/>
      <c r="G721" s="22">
        <v>5</v>
      </c>
      <c r="H721" s="64"/>
      <c r="I721" s="22" t="s">
        <v>1115</v>
      </c>
      <c r="J721" s="22"/>
      <c r="K721" s="34"/>
    </row>
    <row r="722" spans="1:11" x14ac:dyDescent="0.3">
      <c r="A722" s="22" t="s">
        <v>163</v>
      </c>
      <c r="B722" s="22" t="s">
        <v>1321</v>
      </c>
      <c r="C722" s="22" t="s">
        <v>165</v>
      </c>
      <c r="D722" s="23"/>
      <c r="E722" s="22" t="s">
        <v>1330</v>
      </c>
      <c r="F722" s="22"/>
      <c r="G722" s="22">
        <v>5</v>
      </c>
      <c r="H722" s="64"/>
      <c r="I722" s="22" t="s">
        <v>1331</v>
      </c>
      <c r="J722" s="22"/>
      <c r="K722" s="34"/>
    </row>
    <row r="723" spans="1:11" x14ac:dyDescent="0.3">
      <c r="A723" s="22" t="s">
        <v>163</v>
      </c>
      <c r="B723" s="22" t="s">
        <v>1321</v>
      </c>
      <c r="C723" s="22" t="s">
        <v>165</v>
      </c>
      <c r="D723" s="23"/>
      <c r="E723" s="22" t="s">
        <v>1332</v>
      </c>
      <c r="F723" s="22"/>
      <c r="G723" s="22">
        <v>5</v>
      </c>
      <c r="H723" s="64"/>
      <c r="I723" s="22" t="s">
        <v>1333</v>
      </c>
      <c r="J723" s="22"/>
      <c r="K723" s="34"/>
    </row>
    <row r="724" spans="1:11" x14ac:dyDescent="0.3">
      <c r="A724" s="22" t="s">
        <v>163</v>
      </c>
      <c r="B724" s="22" t="s">
        <v>1321</v>
      </c>
      <c r="C724" s="22" t="s">
        <v>165</v>
      </c>
      <c r="D724" s="23"/>
      <c r="E724" s="22" t="s">
        <v>1334</v>
      </c>
      <c r="F724" s="22"/>
      <c r="G724" s="22">
        <v>10</v>
      </c>
      <c r="H724" s="64"/>
      <c r="I724" s="22" t="s">
        <v>746</v>
      </c>
      <c r="J724" s="22"/>
      <c r="K724" s="34"/>
    </row>
    <row r="725" spans="1:11" x14ac:dyDescent="0.3">
      <c r="A725" s="22" t="s">
        <v>163</v>
      </c>
      <c r="B725" s="22" t="s">
        <v>1321</v>
      </c>
      <c r="C725" s="22" t="s">
        <v>165</v>
      </c>
      <c r="D725" s="23"/>
      <c r="E725" s="22" t="s">
        <v>1335</v>
      </c>
      <c r="F725" s="22"/>
      <c r="G725" s="22">
        <v>10</v>
      </c>
      <c r="H725" s="64"/>
      <c r="I725" s="22" t="s">
        <v>1336</v>
      </c>
      <c r="J725" s="22"/>
      <c r="K725" s="34"/>
    </row>
    <row r="726" spans="1:11" x14ac:dyDescent="0.3">
      <c r="A726" s="22" t="s">
        <v>163</v>
      </c>
      <c r="B726" s="22" t="s">
        <v>1321</v>
      </c>
      <c r="C726" s="22" t="s">
        <v>165</v>
      </c>
      <c r="D726" s="23"/>
      <c r="E726" s="22" t="s">
        <v>1337</v>
      </c>
      <c r="F726" s="22"/>
      <c r="G726" s="22">
        <v>10</v>
      </c>
      <c r="H726" s="64"/>
      <c r="I726" s="22" t="s">
        <v>1338</v>
      </c>
      <c r="J726" s="22"/>
      <c r="K726" s="34"/>
    </row>
    <row r="727" spans="1:11" x14ac:dyDescent="0.3">
      <c r="A727" s="22" t="s">
        <v>163</v>
      </c>
      <c r="B727" s="22" t="s">
        <v>1321</v>
      </c>
      <c r="C727" s="22" t="s">
        <v>165</v>
      </c>
      <c r="D727" s="23"/>
      <c r="E727" s="22" t="s">
        <v>1339</v>
      </c>
      <c r="F727" s="22"/>
      <c r="G727" s="22">
        <v>15</v>
      </c>
      <c r="H727" s="64"/>
      <c r="I727" s="22" t="s">
        <v>1152</v>
      </c>
      <c r="J727" s="22"/>
      <c r="K727" s="34"/>
    </row>
    <row r="728" spans="1:11" x14ac:dyDescent="0.3">
      <c r="A728" s="22" t="s">
        <v>163</v>
      </c>
      <c r="B728" s="22" t="s">
        <v>1321</v>
      </c>
      <c r="C728" s="22" t="s">
        <v>165</v>
      </c>
      <c r="D728" s="23"/>
      <c r="E728" s="22" t="s">
        <v>1340</v>
      </c>
      <c r="F728" s="22"/>
      <c r="G728" s="22">
        <v>15</v>
      </c>
      <c r="H728" s="64"/>
      <c r="I728" s="22" t="s">
        <v>1341</v>
      </c>
      <c r="J728" s="22"/>
      <c r="K728" s="34"/>
    </row>
    <row r="729" spans="1:11" x14ac:dyDescent="0.3">
      <c r="A729" s="22" t="s">
        <v>163</v>
      </c>
      <c r="B729" s="22" t="s">
        <v>1321</v>
      </c>
      <c r="C729" s="22" t="s">
        <v>165</v>
      </c>
      <c r="D729" s="23"/>
      <c r="E729" s="22" t="s">
        <v>1342</v>
      </c>
      <c r="F729" s="22"/>
      <c r="G729" s="22">
        <v>15</v>
      </c>
      <c r="H729" s="64"/>
      <c r="I729" s="22" t="s">
        <v>1343</v>
      </c>
      <c r="J729" s="22"/>
      <c r="K729" s="34"/>
    </row>
    <row r="730" spans="1:11" x14ac:dyDescent="0.3">
      <c r="A730" s="22" t="s">
        <v>163</v>
      </c>
      <c r="B730" s="22" t="s">
        <v>1321</v>
      </c>
      <c r="C730" s="22" t="s">
        <v>165</v>
      </c>
      <c r="D730" s="23"/>
      <c r="E730" s="22" t="s">
        <v>1344</v>
      </c>
      <c r="F730" s="22"/>
      <c r="G730" s="22">
        <v>20</v>
      </c>
      <c r="H730" s="64"/>
      <c r="I730" s="22" t="s">
        <v>1144</v>
      </c>
      <c r="J730" s="22"/>
      <c r="K730" s="34"/>
    </row>
    <row r="731" spans="1:11" x14ac:dyDescent="0.3">
      <c r="A731" s="22" t="s">
        <v>163</v>
      </c>
      <c r="B731" s="22" t="s">
        <v>1321</v>
      </c>
      <c r="C731" s="22" t="s">
        <v>165</v>
      </c>
      <c r="D731" s="23"/>
      <c r="E731" s="22" t="s">
        <v>1345</v>
      </c>
      <c r="F731" s="22"/>
      <c r="G731" s="22">
        <v>20</v>
      </c>
      <c r="H731" s="64"/>
      <c r="I731" s="22" t="s">
        <v>1346</v>
      </c>
      <c r="J731" s="22"/>
      <c r="K731" s="34"/>
    </row>
    <row r="732" spans="1:11" x14ac:dyDescent="0.3">
      <c r="A732" s="22" t="s">
        <v>163</v>
      </c>
      <c r="B732" s="22" t="s">
        <v>1321</v>
      </c>
      <c r="C732" s="22" t="s">
        <v>165</v>
      </c>
      <c r="D732" s="23"/>
      <c r="E732" s="22" t="s">
        <v>1347</v>
      </c>
      <c r="F732" s="22"/>
      <c r="G732" s="22">
        <v>20</v>
      </c>
      <c r="H732" s="64"/>
      <c r="I732" s="22" t="s">
        <v>1348</v>
      </c>
      <c r="J732" s="22"/>
      <c r="K732" s="34"/>
    </row>
    <row r="733" spans="1:11" x14ac:dyDescent="0.3">
      <c r="A733" s="22" t="s">
        <v>163</v>
      </c>
      <c r="B733" s="22" t="s">
        <v>1321</v>
      </c>
      <c r="C733" s="22" t="s">
        <v>165</v>
      </c>
      <c r="D733" s="23"/>
      <c r="E733" s="22" t="s">
        <v>1349</v>
      </c>
      <c r="F733" s="22"/>
      <c r="G733" s="22">
        <v>25</v>
      </c>
      <c r="H733" s="64"/>
      <c r="I733" s="22" t="s">
        <v>1350</v>
      </c>
      <c r="J733" s="22"/>
      <c r="K733" s="34"/>
    </row>
    <row r="734" spans="1:11" x14ac:dyDescent="0.3">
      <c r="A734" s="22" t="s">
        <v>163</v>
      </c>
      <c r="B734" s="22" t="s">
        <v>1321</v>
      </c>
      <c r="C734" s="22" t="s">
        <v>165</v>
      </c>
      <c r="D734" s="23"/>
      <c r="E734" s="22" t="s">
        <v>1351</v>
      </c>
      <c r="F734" s="22"/>
      <c r="G734" s="22">
        <v>25</v>
      </c>
      <c r="H734" s="64"/>
      <c r="I734" s="22" t="s">
        <v>1146</v>
      </c>
      <c r="J734" s="22"/>
      <c r="K734" s="34"/>
    </row>
    <row r="735" spans="1:11" x14ac:dyDescent="0.3">
      <c r="A735" s="22" t="s">
        <v>163</v>
      </c>
      <c r="B735" s="22" t="s">
        <v>1321</v>
      </c>
      <c r="C735" s="22" t="s">
        <v>165</v>
      </c>
      <c r="D735" s="23"/>
      <c r="E735" s="22" t="s">
        <v>1352</v>
      </c>
      <c r="F735" s="22"/>
      <c r="G735" s="22">
        <v>25</v>
      </c>
      <c r="H735" s="64"/>
      <c r="I735" s="22" t="s">
        <v>1353</v>
      </c>
      <c r="J735" s="22"/>
      <c r="K735" s="34"/>
    </row>
    <row r="736" spans="1:11" x14ac:dyDescent="0.3">
      <c r="A736" s="22" t="s">
        <v>163</v>
      </c>
      <c r="B736" s="22" t="s">
        <v>1321</v>
      </c>
      <c r="C736" s="22" t="s">
        <v>165</v>
      </c>
      <c r="D736" s="23"/>
      <c r="E736" s="22" t="s">
        <v>1354</v>
      </c>
      <c r="F736" s="22"/>
      <c r="G736" s="22">
        <v>25</v>
      </c>
      <c r="H736" s="64"/>
      <c r="I736" s="22" t="s">
        <v>1355</v>
      </c>
      <c r="J736" s="22"/>
      <c r="K736" s="34"/>
    </row>
    <row r="737" spans="1:11" x14ac:dyDescent="0.3">
      <c r="A737" s="22" t="s">
        <v>163</v>
      </c>
      <c r="B737" s="22" t="s">
        <v>1321</v>
      </c>
      <c r="C737" s="22" t="s">
        <v>165</v>
      </c>
      <c r="D737" s="68"/>
      <c r="E737" s="22" t="s">
        <v>1356</v>
      </c>
      <c r="F737" s="23"/>
      <c r="G737" s="22">
        <v>30</v>
      </c>
      <c r="H737" s="64"/>
      <c r="I737" s="22" t="s">
        <v>1357</v>
      </c>
      <c r="J737" s="22"/>
      <c r="K737" s="34"/>
    </row>
    <row r="738" spans="1:11" x14ac:dyDescent="0.3">
      <c r="A738" s="22" t="s">
        <v>163</v>
      </c>
      <c r="B738" s="22" t="s">
        <v>1321</v>
      </c>
      <c r="C738" s="22" t="s">
        <v>165</v>
      </c>
      <c r="D738" s="23"/>
      <c r="E738" s="22" t="s">
        <v>1424</v>
      </c>
      <c r="F738" s="29"/>
      <c r="G738" s="22"/>
      <c r="H738" s="64"/>
      <c r="I738" s="22" t="s">
        <v>1425</v>
      </c>
      <c r="J738" s="22" t="s">
        <v>1006</v>
      </c>
      <c r="K738" s="34"/>
    </row>
    <row r="739" spans="1:11" x14ac:dyDescent="0.3">
      <c r="A739" s="22" t="s">
        <v>163</v>
      </c>
      <c r="B739" s="22" t="s">
        <v>1321</v>
      </c>
      <c r="C739" s="22" t="s">
        <v>165</v>
      </c>
      <c r="D739" s="23"/>
      <c r="E739" s="22" t="s">
        <v>1426</v>
      </c>
      <c r="F739" s="29"/>
      <c r="G739" s="22"/>
      <c r="H739" s="64"/>
      <c r="I739" s="22" t="s">
        <v>1427</v>
      </c>
      <c r="J739" s="22" t="s">
        <v>1009</v>
      </c>
      <c r="K739" s="34"/>
    </row>
    <row r="740" spans="1:11" x14ac:dyDescent="0.3">
      <c r="A740" s="22" t="s">
        <v>163</v>
      </c>
      <c r="B740" s="22" t="s">
        <v>1321</v>
      </c>
      <c r="C740" s="22" t="s">
        <v>165</v>
      </c>
      <c r="D740" s="23"/>
      <c r="E740" s="22" t="s">
        <v>1428</v>
      </c>
      <c r="F740" s="29"/>
      <c r="G740" s="22"/>
      <c r="H740" s="64"/>
      <c r="I740" s="22" t="s">
        <v>1429</v>
      </c>
      <c r="J740" s="22" t="s">
        <v>1012</v>
      </c>
      <c r="K740" s="34"/>
    </row>
    <row r="741" spans="1:11" x14ac:dyDescent="0.3">
      <c r="A741" s="22" t="s">
        <v>163</v>
      </c>
      <c r="B741" s="22" t="s">
        <v>1321</v>
      </c>
      <c r="C741" s="22" t="s">
        <v>165</v>
      </c>
      <c r="D741" s="23"/>
      <c r="E741" s="22" t="s">
        <v>1430</v>
      </c>
      <c r="F741" s="29"/>
      <c r="G741" s="22"/>
      <c r="H741" s="64"/>
      <c r="I741" s="22" t="s">
        <v>1431</v>
      </c>
      <c r="J741" s="22" t="s">
        <v>1015</v>
      </c>
      <c r="K741" s="34"/>
    </row>
    <row r="742" spans="1:11" x14ac:dyDescent="0.3">
      <c r="A742" s="22" t="s">
        <v>163</v>
      </c>
      <c r="B742" s="22" t="s">
        <v>1321</v>
      </c>
      <c r="C742" s="22" t="s">
        <v>165</v>
      </c>
      <c r="D742" s="23"/>
      <c r="E742" s="22" t="s">
        <v>1444</v>
      </c>
      <c r="F742" s="22"/>
      <c r="G742" s="22"/>
      <c r="H742" s="64"/>
      <c r="I742" s="22" t="s">
        <v>1252</v>
      </c>
      <c r="J742" s="22" t="s">
        <v>858</v>
      </c>
      <c r="K742" s="34"/>
    </row>
    <row r="743" spans="1:11" x14ac:dyDescent="0.3">
      <c r="A743" s="22" t="s">
        <v>163</v>
      </c>
      <c r="B743" s="22" t="s">
        <v>1321</v>
      </c>
      <c r="C743" s="22" t="s">
        <v>165</v>
      </c>
      <c r="D743" s="23"/>
      <c r="E743" s="22" t="s">
        <v>1445</v>
      </c>
      <c r="F743" s="22"/>
      <c r="G743" s="22"/>
      <c r="H743" s="64"/>
      <c r="I743" s="22" t="s">
        <v>1254</v>
      </c>
      <c r="J743" s="22" t="s">
        <v>861</v>
      </c>
      <c r="K743" s="34"/>
    </row>
    <row r="744" spans="1:11" x14ac:dyDescent="0.3">
      <c r="A744" s="22" t="s">
        <v>163</v>
      </c>
      <c r="B744" s="22" t="s">
        <v>1321</v>
      </c>
      <c r="C744" s="22" t="s">
        <v>165</v>
      </c>
      <c r="D744" s="23"/>
      <c r="E744" s="22" t="s">
        <v>1446</v>
      </c>
      <c r="F744" s="22"/>
      <c r="G744" s="22"/>
      <c r="H744" s="64"/>
      <c r="I744" s="22" t="s">
        <v>1256</v>
      </c>
      <c r="J744" s="22" t="s">
        <v>864</v>
      </c>
      <c r="K744" s="34"/>
    </row>
    <row r="745" spans="1:11" x14ac:dyDescent="0.3">
      <c r="A745" s="22" t="s">
        <v>163</v>
      </c>
      <c r="B745" s="22" t="s">
        <v>1321</v>
      </c>
      <c r="C745" s="22" t="s">
        <v>165</v>
      </c>
      <c r="D745" s="23"/>
      <c r="E745" s="22" t="s">
        <v>1447</v>
      </c>
      <c r="F745" s="22"/>
      <c r="G745" s="22"/>
      <c r="H745" s="64"/>
      <c r="I745" s="22" t="s">
        <v>1258</v>
      </c>
      <c r="J745" s="22" t="s">
        <v>867</v>
      </c>
      <c r="K745" s="34"/>
    </row>
    <row r="746" spans="1:11" x14ac:dyDescent="0.3">
      <c r="A746" s="22" t="s">
        <v>163</v>
      </c>
      <c r="B746" s="22" t="s">
        <v>1321</v>
      </c>
      <c r="C746" s="22" t="s">
        <v>165</v>
      </c>
      <c r="D746" s="23"/>
      <c r="E746" s="22" t="s">
        <v>1448</v>
      </c>
      <c r="F746" s="22"/>
      <c r="G746" s="22"/>
      <c r="H746" s="64"/>
      <c r="I746" s="22" t="s">
        <v>1260</v>
      </c>
      <c r="J746" s="22" t="s">
        <v>317</v>
      </c>
      <c r="K746" s="34"/>
    </row>
    <row r="747" spans="1:11" x14ac:dyDescent="0.3">
      <c r="A747" s="22" t="s">
        <v>163</v>
      </c>
      <c r="B747" s="22" t="s">
        <v>1321</v>
      </c>
      <c r="C747" s="22" t="s">
        <v>165</v>
      </c>
      <c r="D747" s="23"/>
      <c r="E747" s="22" t="s">
        <v>1449</v>
      </c>
      <c r="F747" s="22"/>
      <c r="G747" s="22"/>
      <c r="H747" s="64"/>
      <c r="I747" s="22" t="s">
        <v>1262</v>
      </c>
      <c r="J747" s="22" t="s">
        <v>320</v>
      </c>
      <c r="K747" s="34"/>
    </row>
    <row r="748" spans="1:11" x14ac:dyDescent="0.3">
      <c r="A748" s="22" t="s">
        <v>163</v>
      </c>
      <c r="B748" s="22" t="s">
        <v>1321</v>
      </c>
      <c r="C748" s="22" t="s">
        <v>165</v>
      </c>
      <c r="D748" s="23"/>
      <c r="E748" s="22" t="s">
        <v>1461</v>
      </c>
      <c r="F748" s="22"/>
      <c r="G748" s="22"/>
      <c r="H748" s="64"/>
      <c r="I748" s="22" t="s">
        <v>1462</v>
      </c>
      <c r="J748" s="22"/>
      <c r="K748" s="34"/>
    </row>
    <row r="749" spans="1:11" x14ac:dyDescent="0.3">
      <c r="A749" s="22" t="s">
        <v>163</v>
      </c>
      <c r="B749" s="22" t="s">
        <v>1321</v>
      </c>
      <c r="C749" s="22" t="s">
        <v>165</v>
      </c>
      <c r="D749" s="23"/>
      <c r="E749" s="22" t="s">
        <v>1463</v>
      </c>
      <c r="F749" s="29"/>
      <c r="G749" s="22"/>
      <c r="H749" s="64"/>
      <c r="I749" s="22" t="s">
        <v>1464</v>
      </c>
      <c r="J749" s="22"/>
      <c r="K749" s="34"/>
    </row>
    <row r="750" spans="1:11" x14ac:dyDescent="0.3">
      <c r="A750" s="22" t="s">
        <v>163</v>
      </c>
      <c r="B750" s="22" t="s">
        <v>1321</v>
      </c>
      <c r="C750" s="22" t="s">
        <v>165</v>
      </c>
      <c r="D750" s="23"/>
      <c r="E750" s="22" t="s">
        <v>1465</v>
      </c>
      <c r="F750" s="29"/>
      <c r="G750" s="22"/>
      <c r="H750" s="64"/>
      <c r="I750" s="22" t="s">
        <v>1466</v>
      </c>
      <c r="J750" s="22"/>
      <c r="K750" s="34"/>
    </row>
    <row r="751" spans="1:11" x14ac:dyDescent="0.3">
      <c r="A751" s="22" t="s">
        <v>163</v>
      </c>
      <c r="B751" s="22" t="s">
        <v>1321</v>
      </c>
      <c r="C751" s="64" t="s">
        <v>85</v>
      </c>
      <c r="D751" s="23"/>
      <c r="E751" s="22" t="s">
        <v>1467</v>
      </c>
      <c r="F751" s="29"/>
      <c r="G751" s="22"/>
      <c r="H751" s="64"/>
      <c r="I751" s="22" t="s">
        <v>1468</v>
      </c>
      <c r="J751" s="22" t="s">
        <v>201</v>
      </c>
      <c r="K751" s="34"/>
    </row>
    <row r="752" spans="1:11" x14ac:dyDescent="0.3">
      <c r="A752" s="22" t="s">
        <v>163</v>
      </c>
      <c r="B752" s="22" t="s">
        <v>1321</v>
      </c>
      <c r="C752" s="22" t="s">
        <v>165</v>
      </c>
      <c r="D752" s="23"/>
      <c r="E752" s="22" t="s">
        <v>1469</v>
      </c>
      <c r="F752" s="22"/>
      <c r="G752" s="22"/>
      <c r="H752" s="64"/>
      <c r="I752" s="22" t="s">
        <v>1470</v>
      </c>
      <c r="J752" s="22"/>
      <c r="K752" s="34"/>
    </row>
    <row r="753" spans="1:11" x14ac:dyDescent="0.3">
      <c r="A753" s="22" t="s">
        <v>163</v>
      </c>
      <c r="B753" s="22" t="s">
        <v>1321</v>
      </c>
      <c r="C753" s="22" t="s">
        <v>165</v>
      </c>
      <c r="D753" s="23"/>
      <c r="E753" s="22" t="s">
        <v>1471</v>
      </c>
      <c r="F753" s="22"/>
      <c r="G753" s="22"/>
      <c r="H753" s="64"/>
      <c r="I753" s="22" t="s">
        <v>1472</v>
      </c>
      <c r="J753" s="22"/>
      <c r="K753" s="34"/>
    </row>
    <row r="754" spans="1:11" x14ac:dyDescent="0.3">
      <c r="A754" s="22" t="s">
        <v>163</v>
      </c>
      <c r="B754" s="22" t="s">
        <v>1321</v>
      </c>
      <c r="C754" s="22" t="s">
        <v>165</v>
      </c>
      <c r="D754" s="68"/>
      <c r="E754" s="22" t="s">
        <v>1473</v>
      </c>
      <c r="F754" s="23"/>
      <c r="G754" s="22">
        <v>30</v>
      </c>
      <c r="H754" s="64"/>
      <c r="I754" s="22" t="s">
        <v>1357</v>
      </c>
      <c r="J754" s="22"/>
      <c r="K754" s="34"/>
    </row>
    <row r="755" spans="1:11" x14ac:dyDescent="0.3">
      <c r="A755" s="22" t="s">
        <v>163</v>
      </c>
      <c r="B755" s="22" t="s">
        <v>1321</v>
      </c>
      <c r="C755" s="22" t="s">
        <v>165</v>
      </c>
      <c r="D755" s="68"/>
      <c r="E755" s="22" t="s">
        <v>1474</v>
      </c>
      <c r="F755" s="23"/>
      <c r="G755" s="22">
        <v>30</v>
      </c>
      <c r="H755" s="64"/>
      <c r="I755" s="22" t="s">
        <v>1357</v>
      </c>
      <c r="J755" s="22"/>
      <c r="K755" s="34"/>
    </row>
    <row r="756" spans="1:11" x14ac:dyDescent="0.3">
      <c r="A756" s="22" t="s">
        <v>163</v>
      </c>
      <c r="B756" s="22" t="s">
        <v>1321</v>
      </c>
      <c r="C756" s="22" t="s">
        <v>83</v>
      </c>
      <c r="D756" s="23"/>
      <c r="E756" s="22" t="s">
        <v>1475</v>
      </c>
      <c r="F756" s="22"/>
      <c r="G756" s="23"/>
      <c r="H756" s="64"/>
      <c r="I756" s="22" t="s">
        <v>1476</v>
      </c>
      <c r="J756" s="22" t="s">
        <v>1083</v>
      </c>
      <c r="K756" s="34"/>
    </row>
    <row r="757" spans="1:11" x14ac:dyDescent="0.3">
      <c r="A757" s="22" t="s">
        <v>163</v>
      </c>
      <c r="B757" s="22" t="s">
        <v>1321</v>
      </c>
      <c r="C757" s="22" t="s">
        <v>87</v>
      </c>
      <c r="D757" s="23"/>
      <c r="E757" s="22" t="s">
        <v>1477</v>
      </c>
      <c r="F757" s="22"/>
      <c r="G757" s="23"/>
      <c r="H757" s="64"/>
      <c r="I757" s="22" t="s">
        <v>1478</v>
      </c>
      <c r="J757" s="22" t="s">
        <v>1086</v>
      </c>
      <c r="K757" s="34"/>
    </row>
    <row r="758" spans="1:11" x14ac:dyDescent="0.3">
      <c r="A758" s="22" t="s">
        <v>163</v>
      </c>
      <c r="B758" s="22" t="s">
        <v>1321</v>
      </c>
      <c r="C758" s="64" t="s">
        <v>85</v>
      </c>
      <c r="D758" s="23"/>
      <c r="E758" s="22" t="s">
        <v>1479</v>
      </c>
      <c r="F758" s="22"/>
      <c r="G758" s="23"/>
      <c r="H758" s="64"/>
      <c r="I758" s="22" t="s">
        <v>1480</v>
      </c>
      <c r="J758" s="22" t="s">
        <v>1089</v>
      </c>
      <c r="K758" s="34"/>
    </row>
    <row r="759" spans="1:11" x14ac:dyDescent="0.3">
      <c r="A759" s="22" t="s">
        <v>163</v>
      </c>
      <c r="B759" s="22" t="s">
        <v>1321</v>
      </c>
      <c r="C759" s="22" t="s">
        <v>83</v>
      </c>
      <c r="D759" s="23"/>
      <c r="E759" s="22" t="s">
        <v>1481</v>
      </c>
      <c r="F759" s="22"/>
      <c r="G759" s="23"/>
      <c r="H759" s="64"/>
      <c r="I759" s="22" t="s">
        <v>1476</v>
      </c>
      <c r="J759" s="22" t="s">
        <v>1091</v>
      </c>
      <c r="K759" s="34"/>
    </row>
    <row r="760" spans="1:11" x14ac:dyDescent="0.3">
      <c r="A760" s="22" t="s">
        <v>163</v>
      </c>
      <c r="B760" s="22" t="s">
        <v>1321</v>
      </c>
      <c r="C760" s="22" t="s">
        <v>87</v>
      </c>
      <c r="D760" s="23"/>
      <c r="E760" s="22" t="s">
        <v>1482</v>
      </c>
      <c r="F760" s="22"/>
      <c r="G760" s="23"/>
      <c r="H760" s="64"/>
      <c r="I760" s="22" t="s">
        <v>1478</v>
      </c>
      <c r="J760" s="22" t="s">
        <v>1093</v>
      </c>
      <c r="K760" s="34"/>
    </row>
    <row r="761" spans="1:11" x14ac:dyDescent="0.3">
      <c r="A761" s="22" t="s">
        <v>163</v>
      </c>
      <c r="B761" s="22" t="s">
        <v>1321</v>
      </c>
      <c r="C761" s="64" t="s">
        <v>85</v>
      </c>
      <c r="D761" s="23"/>
      <c r="E761" s="22" t="s">
        <v>1483</v>
      </c>
      <c r="F761" s="22"/>
      <c r="G761" s="23"/>
      <c r="H761" s="64"/>
      <c r="I761" s="22" t="s">
        <v>1480</v>
      </c>
      <c r="J761" s="22" t="s">
        <v>1095</v>
      </c>
      <c r="K761" s="34"/>
    </row>
    <row r="762" spans="1:11" x14ac:dyDescent="0.3">
      <c r="A762" s="22" t="s">
        <v>163</v>
      </c>
      <c r="B762" s="22" t="s">
        <v>1321</v>
      </c>
      <c r="C762" s="22" t="s">
        <v>83</v>
      </c>
      <c r="D762" s="23"/>
      <c r="E762" s="22" t="s">
        <v>1484</v>
      </c>
      <c r="F762" s="22"/>
      <c r="G762" s="23"/>
      <c r="H762" s="64"/>
      <c r="I762" s="22" t="s">
        <v>1476</v>
      </c>
      <c r="J762" s="22" t="s">
        <v>1097</v>
      </c>
      <c r="K762" s="34"/>
    </row>
    <row r="763" spans="1:11" x14ac:dyDescent="0.3">
      <c r="A763" s="22" t="s">
        <v>163</v>
      </c>
      <c r="B763" s="22" t="s">
        <v>1321</v>
      </c>
      <c r="C763" s="22" t="s">
        <v>87</v>
      </c>
      <c r="D763" s="23"/>
      <c r="E763" s="22" t="s">
        <v>1485</v>
      </c>
      <c r="F763" s="22"/>
      <c r="G763" s="23"/>
      <c r="H763" s="64"/>
      <c r="I763" s="22" t="s">
        <v>1478</v>
      </c>
      <c r="J763" s="22" t="s">
        <v>1099</v>
      </c>
      <c r="K763" s="34"/>
    </row>
    <row r="764" spans="1:11" x14ac:dyDescent="0.3">
      <c r="A764" s="22" t="s">
        <v>163</v>
      </c>
      <c r="B764" s="22" t="s">
        <v>1321</v>
      </c>
      <c r="C764" s="64" t="s">
        <v>85</v>
      </c>
      <c r="D764" s="23"/>
      <c r="E764" s="22" t="s">
        <v>1486</v>
      </c>
      <c r="F764" s="22"/>
      <c r="G764" s="23"/>
      <c r="H764" s="64"/>
      <c r="I764" s="22" t="s">
        <v>1480</v>
      </c>
      <c r="J764" s="22" t="s">
        <v>1101</v>
      </c>
      <c r="K764" s="34"/>
    </row>
    <row r="765" spans="1:11" x14ac:dyDescent="0.3">
      <c r="A765" s="22" t="s">
        <v>163</v>
      </c>
      <c r="B765" s="22" t="s">
        <v>1487</v>
      </c>
      <c r="C765" s="22" t="s">
        <v>165</v>
      </c>
      <c r="D765" s="68"/>
      <c r="E765" s="22" t="s">
        <v>1488</v>
      </c>
      <c r="F765" s="23"/>
      <c r="G765" s="22">
        <v>30</v>
      </c>
      <c r="H765" s="64"/>
      <c r="I765" s="22" t="s">
        <v>1489</v>
      </c>
      <c r="J765" s="22"/>
      <c r="K765" s="34"/>
    </row>
    <row r="766" spans="1:11" x14ac:dyDescent="0.3">
      <c r="A766" s="22" t="s">
        <v>163</v>
      </c>
      <c r="B766" s="22" t="s">
        <v>1487</v>
      </c>
      <c r="C766" s="22" t="s">
        <v>165</v>
      </c>
      <c r="D766" s="23"/>
      <c r="E766" s="22" t="s">
        <v>1516</v>
      </c>
      <c r="F766" s="29"/>
      <c r="G766" s="22"/>
      <c r="H766" s="64"/>
      <c r="I766" s="22" t="s">
        <v>1517</v>
      </c>
      <c r="J766" s="22" t="s">
        <v>1497</v>
      </c>
      <c r="K766" s="34"/>
    </row>
    <row r="767" spans="1:11" x14ac:dyDescent="0.3">
      <c r="A767" s="22" t="s">
        <v>163</v>
      </c>
      <c r="B767" s="22" t="s">
        <v>1487</v>
      </c>
      <c r="C767" s="22" t="s">
        <v>165</v>
      </c>
      <c r="D767" s="23"/>
      <c r="E767" s="22" t="s">
        <v>1518</v>
      </c>
      <c r="F767" s="29"/>
      <c r="G767" s="22"/>
      <c r="H767" s="64"/>
      <c r="I767" s="22" t="s">
        <v>1519</v>
      </c>
      <c r="J767" s="22" t="s">
        <v>1502</v>
      </c>
      <c r="K767" s="34"/>
    </row>
    <row r="768" spans="1:11" x14ac:dyDescent="0.3">
      <c r="A768" s="22" t="s">
        <v>163</v>
      </c>
      <c r="B768" s="22" t="s">
        <v>1487</v>
      </c>
      <c r="C768" s="22" t="s">
        <v>165</v>
      </c>
      <c r="D768" s="23"/>
      <c r="E768" s="22" t="s">
        <v>1520</v>
      </c>
      <c r="F768" s="29"/>
      <c r="G768" s="22"/>
      <c r="H768" s="64"/>
      <c r="I768" s="22" t="s">
        <v>1521</v>
      </c>
      <c r="J768" s="22" t="s">
        <v>1507</v>
      </c>
      <c r="K768" s="34"/>
    </row>
    <row r="769" spans="1:11" x14ac:dyDescent="0.3">
      <c r="A769" s="22" t="s">
        <v>163</v>
      </c>
      <c r="B769" s="22" t="s">
        <v>1487</v>
      </c>
      <c r="C769" s="22" t="s">
        <v>165</v>
      </c>
      <c r="D769" s="23"/>
      <c r="E769" s="22" t="s">
        <v>1522</v>
      </c>
      <c r="F769" s="29"/>
      <c r="G769" s="22"/>
      <c r="H769" s="64"/>
      <c r="I769" s="22" t="s">
        <v>1523</v>
      </c>
      <c r="J769" s="22" t="s">
        <v>1524</v>
      </c>
      <c r="K769" s="34"/>
    </row>
    <row r="770" spans="1:11" x14ac:dyDescent="0.3">
      <c r="A770" s="22" t="s">
        <v>163</v>
      </c>
      <c r="B770" s="22" t="s">
        <v>1487</v>
      </c>
      <c r="C770" s="22" t="s">
        <v>165</v>
      </c>
      <c r="D770" s="23"/>
      <c r="E770" s="22" t="s">
        <v>1542</v>
      </c>
      <c r="F770" s="22"/>
      <c r="G770" s="22"/>
      <c r="H770" s="64"/>
      <c r="I770" s="22" t="s">
        <v>1543</v>
      </c>
      <c r="J770" s="22" t="s">
        <v>1544</v>
      </c>
      <c r="K770" s="34"/>
    </row>
    <row r="771" spans="1:11" x14ac:dyDescent="0.3">
      <c r="A771" s="22" t="s">
        <v>163</v>
      </c>
      <c r="B771" s="22" t="s">
        <v>1487</v>
      </c>
      <c r="C771" s="22" t="s">
        <v>165</v>
      </c>
      <c r="D771" s="23"/>
      <c r="E771" s="22" t="s">
        <v>1545</v>
      </c>
      <c r="F771" s="22"/>
      <c r="G771" s="22"/>
      <c r="H771" s="64"/>
      <c r="I771" s="22" t="s">
        <v>1546</v>
      </c>
      <c r="J771" s="22" t="s">
        <v>1547</v>
      </c>
      <c r="K771" s="34"/>
    </row>
    <row r="772" spans="1:11" x14ac:dyDescent="0.3">
      <c r="A772" s="22" t="s">
        <v>163</v>
      </c>
      <c r="B772" s="22" t="s">
        <v>1487</v>
      </c>
      <c r="C772" s="22" t="s">
        <v>165</v>
      </c>
      <c r="D772" s="23"/>
      <c r="E772" s="22" t="s">
        <v>1548</v>
      </c>
      <c r="F772" s="22"/>
      <c r="G772" s="22"/>
      <c r="H772" s="64"/>
      <c r="I772" s="22" t="s">
        <v>1549</v>
      </c>
      <c r="J772" s="22" t="s">
        <v>630</v>
      </c>
      <c r="K772" s="34"/>
    </row>
    <row r="773" spans="1:11" x14ac:dyDescent="0.3">
      <c r="A773" s="22" t="s">
        <v>163</v>
      </c>
      <c r="B773" s="22" t="s">
        <v>1487</v>
      </c>
      <c r="C773" s="22" t="s">
        <v>165</v>
      </c>
      <c r="D773" s="23"/>
      <c r="E773" s="22" t="s">
        <v>1550</v>
      </c>
      <c r="F773" s="22"/>
      <c r="G773" s="22"/>
      <c r="H773" s="64"/>
      <c r="I773" s="22" t="s">
        <v>1551</v>
      </c>
      <c r="J773" s="22" t="s">
        <v>633</v>
      </c>
      <c r="K773" s="34"/>
    </row>
    <row r="774" spans="1:11" x14ac:dyDescent="0.3">
      <c r="A774" s="22" t="s">
        <v>163</v>
      </c>
      <c r="B774" s="22" t="s">
        <v>1487</v>
      </c>
      <c r="C774" s="22" t="s">
        <v>165</v>
      </c>
      <c r="D774" s="23"/>
      <c r="E774" s="22" t="s">
        <v>1552</v>
      </c>
      <c r="F774" s="22"/>
      <c r="G774" s="22"/>
      <c r="H774" s="64"/>
      <c r="I774" s="22" t="s">
        <v>1553</v>
      </c>
      <c r="J774" s="22" t="s">
        <v>1554</v>
      </c>
      <c r="K774" s="34"/>
    </row>
    <row r="775" spans="1:11" x14ac:dyDescent="0.3">
      <c r="A775" s="22" t="s">
        <v>163</v>
      </c>
      <c r="B775" s="22" t="s">
        <v>1487</v>
      </c>
      <c r="C775" s="22" t="s">
        <v>165</v>
      </c>
      <c r="D775" s="23"/>
      <c r="E775" s="22" t="s">
        <v>1555</v>
      </c>
      <c r="F775" s="22"/>
      <c r="G775" s="22"/>
      <c r="H775" s="64"/>
      <c r="I775" s="22" t="s">
        <v>1556</v>
      </c>
      <c r="J775" s="22" t="s">
        <v>1557</v>
      </c>
      <c r="K775" s="34"/>
    </row>
    <row r="776" spans="1:11" x14ac:dyDescent="0.3">
      <c r="A776" s="22" t="s">
        <v>163</v>
      </c>
      <c r="B776" s="22" t="s">
        <v>1487</v>
      </c>
      <c r="C776" s="22" t="s">
        <v>165</v>
      </c>
      <c r="D776" s="23"/>
      <c r="E776" s="22" t="s">
        <v>1586</v>
      </c>
      <c r="F776" s="22"/>
      <c r="G776" s="22"/>
      <c r="H776" s="64"/>
      <c r="I776" s="22" t="s">
        <v>1587</v>
      </c>
      <c r="J776" s="22"/>
      <c r="K776" s="34"/>
    </row>
    <row r="777" spans="1:11" x14ac:dyDescent="0.3">
      <c r="A777" s="22" t="s">
        <v>163</v>
      </c>
      <c r="B777" s="22" t="s">
        <v>1487</v>
      </c>
      <c r="C777" s="22" t="s">
        <v>165</v>
      </c>
      <c r="D777" s="23"/>
      <c r="E777" s="22" t="s">
        <v>1588</v>
      </c>
      <c r="F777" s="29"/>
      <c r="G777" s="22"/>
      <c r="H777" s="64"/>
      <c r="I777" s="22" t="s">
        <v>1589</v>
      </c>
      <c r="J777" s="22"/>
      <c r="K777" s="34"/>
    </row>
    <row r="778" spans="1:11" x14ac:dyDescent="0.3">
      <c r="A778" s="22" t="s">
        <v>163</v>
      </c>
      <c r="B778" s="22" t="s">
        <v>1487</v>
      </c>
      <c r="C778" s="22" t="s">
        <v>165</v>
      </c>
      <c r="D778" s="23"/>
      <c r="E778" s="22" t="s">
        <v>1590</v>
      </c>
      <c r="F778" s="29"/>
      <c r="G778" s="22"/>
      <c r="H778" s="64"/>
      <c r="I778" s="22" t="s">
        <v>1591</v>
      </c>
      <c r="J778" s="22"/>
      <c r="K778" s="34"/>
    </row>
    <row r="779" spans="1:11" x14ac:dyDescent="0.3">
      <c r="A779" s="22" t="s">
        <v>163</v>
      </c>
      <c r="B779" s="22" t="s">
        <v>1487</v>
      </c>
      <c r="C779" s="22" t="s">
        <v>165</v>
      </c>
      <c r="D779" s="23"/>
      <c r="E779" s="22" t="s">
        <v>1592</v>
      </c>
      <c r="F779" s="29"/>
      <c r="G779" s="22"/>
      <c r="H779" s="64"/>
      <c r="I779" s="22" t="s">
        <v>1593</v>
      </c>
      <c r="J779" s="22"/>
      <c r="K779" s="34"/>
    </row>
    <row r="780" spans="1:11" x14ac:dyDescent="0.3">
      <c r="A780" s="22" t="s">
        <v>163</v>
      </c>
      <c r="B780" s="22" t="s">
        <v>1487</v>
      </c>
      <c r="C780" s="22" t="s">
        <v>165</v>
      </c>
      <c r="D780" s="23"/>
      <c r="E780" s="22" t="s">
        <v>1594</v>
      </c>
      <c r="F780" s="22"/>
      <c r="G780" s="22"/>
      <c r="H780" s="64"/>
      <c r="I780" s="22" t="s">
        <v>1595</v>
      </c>
      <c r="J780" s="22"/>
      <c r="K780" s="34"/>
    </row>
    <row r="781" spans="1:11" x14ac:dyDescent="0.3">
      <c r="A781" s="22" t="s">
        <v>163</v>
      </c>
      <c r="B781" s="22" t="s">
        <v>1487</v>
      </c>
      <c r="C781" s="22" t="s">
        <v>165</v>
      </c>
      <c r="D781" s="23"/>
      <c r="E781" s="22" t="s">
        <v>1596</v>
      </c>
      <c r="F781" s="22"/>
      <c r="G781" s="22"/>
      <c r="H781" s="64"/>
      <c r="I781" s="22"/>
      <c r="J781" s="22"/>
      <c r="K781" s="34"/>
    </row>
    <row r="782" spans="1:11" x14ac:dyDescent="0.3">
      <c r="A782" s="22" t="s">
        <v>163</v>
      </c>
      <c r="B782" s="22" t="s">
        <v>1487</v>
      </c>
      <c r="C782" s="22" t="s">
        <v>165</v>
      </c>
      <c r="D782" s="68"/>
      <c r="E782" s="22" t="s">
        <v>1597</v>
      </c>
      <c r="F782" s="23"/>
      <c r="G782" s="22">
        <v>30</v>
      </c>
      <c r="H782" s="64"/>
      <c r="I782" s="22" t="s">
        <v>1489</v>
      </c>
      <c r="J782" s="22"/>
      <c r="K782" s="34"/>
    </row>
    <row r="783" spans="1:11" x14ac:dyDescent="0.3">
      <c r="A783" s="22" t="s">
        <v>163</v>
      </c>
      <c r="B783" s="22" t="s">
        <v>1487</v>
      </c>
      <c r="C783" s="22" t="s">
        <v>165</v>
      </c>
      <c r="D783" s="68"/>
      <c r="E783" s="22" t="s">
        <v>1598</v>
      </c>
      <c r="F783" s="23"/>
      <c r="G783" s="22">
        <v>30</v>
      </c>
      <c r="H783" s="64"/>
      <c r="I783" s="22" t="s">
        <v>1489</v>
      </c>
      <c r="J783" s="22"/>
      <c r="K783" s="34"/>
    </row>
    <row r="784" spans="1:11" x14ac:dyDescent="0.3">
      <c r="A784" s="22" t="s">
        <v>163</v>
      </c>
      <c r="B784" s="22" t="s">
        <v>1487</v>
      </c>
      <c r="C784" s="22" t="s">
        <v>63</v>
      </c>
      <c r="D784" s="23"/>
      <c r="E784" s="22" t="s">
        <v>1599</v>
      </c>
      <c r="F784" s="22"/>
      <c r="G784" s="23"/>
      <c r="H784" s="64"/>
      <c r="I784" s="22" t="s">
        <v>1600</v>
      </c>
      <c r="J784" s="22" t="s">
        <v>1530</v>
      </c>
      <c r="K784" s="34"/>
    </row>
    <row r="785" spans="1:11" x14ac:dyDescent="0.3">
      <c r="A785" s="22" t="s">
        <v>163</v>
      </c>
      <c r="B785" s="22" t="s">
        <v>1487</v>
      </c>
      <c r="C785" s="22" t="s">
        <v>165</v>
      </c>
      <c r="D785" s="23"/>
      <c r="E785" s="22" t="s">
        <v>1601</v>
      </c>
      <c r="F785" s="22"/>
      <c r="G785" s="23"/>
      <c r="H785" s="64"/>
      <c r="I785" s="22" t="s">
        <v>1602</v>
      </c>
      <c r="J785" s="22" t="s">
        <v>1603</v>
      </c>
      <c r="K785" s="34"/>
    </row>
    <row r="786" spans="1:11" x14ac:dyDescent="0.3">
      <c r="A786" s="22" t="s">
        <v>163</v>
      </c>
      <c r="B786" s="22" t="s">
        <v>1487</v>
      </c>
      <c r="C786" s="22" t="s">
        <v>165</v>
      </c>
      <c r="D786" s="23"/>
      <c r="E786" s="22" t="s">
        <v>1604</v>
      </c>
      <c r="F786" s="22"/>
      <c r="G786" s="22"/>
      <c r="H786" s="64"/>
      <c r="I786" s="22" t="s">
        <v>1605</v>
      </c>
      <c r="J786" s="22" t="s">
        <v>1533</v>
      </c>
      <c r="K786" s="34"/>
    </row>
    <row r="787" spans="1:11" x14ac:dyDescent="0.3">
      <c r="A787" s="22" t="s">
        <v>163</v>
      </c>
      <c r="B787" s="22" t="s">
        <v>1606</v>
      </c>
      <c r="C787" s="22" t="s">
        <v>165</v>
      </c>
      <c r="D787" s="23"/>
      <c r="E787" s="22" t="s">
        <v>1673</v>
      </c>
      <c r="F787" s="29"/>
      <c r="G787" s="22"/>
      <c r="H787" s="64"/>
      <c r="I787" s="22" t="s">
        <v>1674</v>
      </c>
      <c r="J787" s="22" t="s">
        <v>228</v>
      </c>
      <c r="K787" s="34"/>
    </row>
    <row r="788" spans="1:11" x14ac:dyDescent="0.3">
      <c r="A788" s="22" t="s">
        <v>163</v>
      </c>
      <c r="B788" s="22" t="s">
        <v>1606</v>
      </c>
      <c r="C788" s="22" t="s">
        <v>165</v>
      </c>
      <c r="D788" s="23"/>
      <c r="E788" s="22" t="s">
        <v>1675</v>
      </c>
      <c r="F788" s="29"/>
      <c r="G788" s="22"/>
      <c r="H788" s="64"/>
      <c r="I788" s="22" t="s">
        <v>1676</v>
      </c>
      <c r="J788" s="22" t="s">
        <v>245</v>
      </c>
      <c r="K788" s="34"/>
    </row>
    <row r="789" spans="1:11" x14ac:dyDescent="0.3">
      <c r="A789" s="22" t="s">
        <v>163</v>
      </c>
      <c r="B789" s="22" t="s">
        <v>1606</v>
      </c>
      <c r="C789" s="22" t="s">
        <v>165</v>
      </c>
      <c r="D789" s="23"/>
      <c r="E789" s="22" t="s">
        <v>1677</v>
      </c>
      <c r="F789" s="29"/>
      <c r="G789" s="22"/>
      <c r="H789" s="64"/>
      <c r="I789" s="22" t="s">
        <v>1678</v>
      </c>
      <c r="J789" s="22" t="s">
        <v>263</v>
      </c>
      <c r="K789" s="34"/>
    </row>
    <row r="790" spans="1:11" x14ac:dyDescent="0.3">
      <c r="A790" s="22" t="s">
        <v>163</v>
      </c>
      <c r="B790" s="22" t="s">
        <v>1606</v>
      </c>
      <c r="C790" s="22" t="s">
        <v>165</v>
      </c>
      <c r="D790" s="23"/>
      <c r="E790" s="22" t="s">
        <v>1679</v>
      </c>
      <c r="F790" s="29"/>
      <c r="G790" s="22"/>
      <c r="H790" s="64"/>
      <c r="I790" s="22" t="s">
        <v>1680</v>
      </c>
      <c r="J790" s="22" t="s">
        <v>811</v>
      </c>
      <c r="K790" s="34"/>
    </row>
    <row r="791" spans="1:11" x14ac:dyDescent="0.3">
      <c r="A791" s="22" t="s">
        <v>163</v>
      </c>
      <c r="B791" s="22" t="s">
        <v>1606</v>
      </c>
      <c r="C791" s="22" t="s">
        <v>165</v>
      </c>
      <c r="D791" s="23"/>
      <c r="E791" s="22" t="s">
        <v>1698</v>
      </c>
      <c r="F791" s="22"/>
      <c r="G791" s="22"/>
      <c r="H791" s="64"/>
      <c r="I791" s="22" t="s">
        <v>1699</v>
      </c>
      <c r="J791" s="22" t="s">
        <v>858</v>
      </c>
      <c r="K791" s="34"/>
    </row>
    <row r="792" spans="1:11" x14ac:dyDescent="0.3">
      <c r="A792" s="22" t="s">
        <v>163</v>
      </c>
      <c r="B792" s="22" t="s">
        <v>1606</v>
      </c>
      <c r="C792" s="22" t="s">
        <v>165</v>
      </c>
      <c r="D792" s="23"/>
      <c r="E792" s="22" t="s">
        <v>1700</v>
      </c>
      <c r="F792" s="22"/>
      <c r="G792" s="22"/>
      <c r="H792" s="64"/>
      <c r="I792" s="22" t="s">
        <v>1701</v>
      </c>
      <c r="J792" s="22" t="s">
        <v>861</v>
      </c>
      <c r="K792" s="34"/>
    </row>
    <row r="793" spans="1:11" x14ac:dyDescent="0.3">
      <c r="A793" s="22" t="s">
        <v>163</v>
      </c>
      <c r="B793" s="22" t="s">
        <v>1606</v>
      </c>
      <c r="C793" s="22" t="s">
        <v>165</v>
      </c>
      <c r="D793" s="23"/>
      <c r="E793" s="22" t="s">
        <v>1702</v>
      </c>
      <c r="F793" s="22"/>
      <c r="G793" s="22"/>
      <c r="H793" s="64"/>
      <c r="I793" s="22" t="s">
        <v>1703</v>
      </c>
      <c r="J793" s="22" t="s">
        <v>864</v>
      </c>
      <c r="K793" s="34"/>
    </row>
    <row r="794" spans="1:11" x14ac:dyDescent="0.3">
      <c r="A794" s="22" t="s">
        <v>163</v>
      </c>
      <c r="B794" s="22" t="s">
        <v>1606</v>
      </c>
      <c r="C794" s="22" t="s">
        <v>165</v>
      </c>
      <c r="D794" s="23"/>
      <c r="E794" s="22" t="s">
        <v>1704</v>
      </c>
      <c r="F794" s="22"/>
      <c r="G794" s="22"/>
      <c r="H794" s="64"/>
      <c r="I794" s="22" t="s">
        <v>1705</v>
      </c>
      <c r="J794" s="22" t="s">
        <v>867</v>
      </c>
      <c r="K794" s="34"/>
    </row>
    <row r="795" spans="1:11" x14ac:dyDescent="0.3">
      <c r="A795" s="22" t="s">
        <v>163</v>
      </c>
      <c r="B795" s="22" t="s">
        <v>1606</v>
      </c>
      <c r="C795" s="22" t="s">
        <v>165</v>
      </c>
      <c r="D795" s="23"/>
      <c r="E795" s="22" t="s">
        <v>1706</v>
      </c>
      <c r="F795" s="22"/>
      <c r="G795" s="22"/>
      <c r="H795" s="64"/>
      <c r="I795" s="22" t="s">
        <v>1707</v>
      </c>
      <c r="J795" s="22" t="s">
        <v>317</v>
      </c>
      <c r="K795" s="34"/>
    </row>
    <row r="796" spans="1:11" x14ac:dyDescent="0.3">
      <c r="A796" s="22" t="s">
        <v>163</v>
      </c>
      <c r="B796" s="22" t="s">
        <v>1606</v>
      </c>
      <c r="C796" s="22" t="s">
        <v>165</v>
      </c>
      <c r="D796" s="23"/>
      <c r="E796" s="22" t="s">
        <v>1708</v>
      </c>
      <c r="F796" s="22"/>
      <c r="G796" s="22"/>
      <c r="H796" s="64"/>
      <c r="I796" s="22" t="s">
        <v>1709</v>
      </c>
      <c r="J796" s="22" t="s">
        <v>320</v>
      </c>
      <c r="K796" s="34"/>
    </row>
    <row r="797" spans="1:11" x14ac:dyDescent="0.3">
      <c r="A797" s="22" t="s">
        <v>163</v>
      </c>
      <c r="B797" s="22" t="s">
        <v>1606</v>
      </c>
      <c r="C797" s="22" t="s">
        <v>165</v>
      </c>
      <c r="D797" s="23"/>
      <c r="E797" s="22" t="s">
        <v>1730</v>
      </c>
      <c r="F797" s="22"/>
      <c r="G797" s="22"/>
      <c r="H797" s="64"/>
      <c r="I797" s="22" t="s">
        <v>1731</v>
      </c>
      <c r="J797" s="22"/>
      <c r="K797" s="34"/>
    </row>
    <row r="798" spans="1:11" x14ac:dyDescent="0.3">
      <c r="A798" s="22" t="s">
        <v>163</v>
      </c>
      <c r="B798" s="22" t="s">
        <v>1606</v>
      </c>
      <c r="C798" s="22" t="s">
        <v>165</v>
      </c>
      <c r="D798" s="23"/>
      <c r="E798" s="22" t="s">
        <v>1732</v>
      </c>
      <c r="F798" s="29"/>
      <c r="G798" s="22"/>
      <c r="H798" s="64"/>
      <c r="I798" s="22" t="s">
        <v>1733</v>
      </c>
      <c r="J798" s="22"/>
      <c r="K798" s="34"/>
    </row>
    <row r="799" spans="1:11" x14ac:dyDescent="0.3">
      <c r="A799" s="22" t="s">
        <v>163</v>
      </c>
      <c r="B799" s="22" t="s">
        <v>1606</v>
      </c>
      <c r="C799" s="22" t="s">
        <v>165</v>
      </c>
      <c r="D799" s="23"/>
      <c r="E799" s="22" t="s">
        <v>1734</v>
      </c>
      <c r="F799" s="29"/>
      <c r="G799" s="22"/>
      <c r="H799" s="64"/>
      <c r="I799" s="22" t="s">
        <v>1735</v>
      </c>
      <c r="J799" s="22"/>
      <c r="K799" s="34"/>
    </row>
    <row r="800" spans="1:11" x14ac:dyDescent="0.3">
      <c r="A800" s="22" t="s">
        <v>163</v>
      </c>
      <c r="B800" s="22" t="s">
        <v>1606</v>
      </c>
      <c r="C800" s="22" t="s">
        <v>165</v>
      </c>
      <c r="D800" s="23"/>
      <c r="E800" s="22" t="s">
        <v>1736</v>
      </c>
      <c r="F800" s="29"/>
      <c r="G800" s="22"/>
      <c r="H800" s="64"/>
      <c r="I800" s="22" t="s">
        <v>1737</v>
      </c>
      <c r="J800" s="22"/>
      <c r="K800" s="34"/>
    </row>
    <row r="801" spans="1:11" x14ac:dyDescent="0.3">
      <c r="A801" s="22" t="s">
        <v>163</v>
      </c>
      <c r="B801" s="22" t="s">
        <v>1606</v>
      </c>
      <c r="C801" s="22" t="s">
        <v>165</v>
      </c>
      <c r="D801" s="23"/>
      <c r="E801" s="22" t="s">
        <v>1738</v>
      </c>
      <c r="F801" s="22"/>
      <c r="G801" s="22"/>
      <c r="H801" s="64"/>
      <c r="I801" s="22" t="s">
        <v>1739</v>
      </c>
      <c r="J801" s="22" t="s">
        <v>201</v>
      </c>
      <c r="K801" s="34"/>
    </row>
    <row r="802" spans="1:11" x14ac:dyDescent="0.3">
      <c r="A802" s="22" t="s">
        <v>163</v>
      </c>
      <c r="B802" s="22" t="s">
        <v>1606</v>
      </c>
      <c r="C802" s="22" t="s">
        <v>165</v>
      </c>
      <c r="D802" s="23"/>
      <c r="E802" s="22" t="s">
        <v>1740</v>
      </c>
      <c r="F802" s="22"/>
      <c r="G802" s="22"/>
      <c r="H802" s="64"/>
      <c r="I802" s="22" t="s">
        <v>1741</v>
      </c>
      <c r="J802" s="22"/>
      <c r="K802" s="34"/>
    </row>
    <row r="803" spans="1:11" x14ac:dyDescent="0.3">
      <c r="A803" s="22" t="s">
        <v>163</v>
      </c>
      <c r="B803" s="22" t="s">
        <v>1606</v>
      </c>
      <c r="C803" s="22" t="s">
        <v>165</v>
      </c>
      <c r="D803" s="23"/>
      <c r="E803" s="22" t="s">
        <v>1742</v>
      </c>
      <c r="F803" s="22"/>
      <c r="G803" s="22">
        <v>15</v>
      </c>
      <c r="H803" s="64"/>
      <c r="I803" s="22" t="s">
        <v>746</v>
      </c>
      <c r="J803" s="22"/>
      <c r="K803" s="34"/>
    </row>
    <row r="804" spans="1:11" x14ac:dyDescent="0.3">
      <c r="A804" s="22" t="s">
        <v>163</v>
      </c>
      <c r="B804" s="22" t="s">
        <v>1606</v>
      </c>
      <c r="C804" s="22" t="s">
        <v>165</v>
      </c>
      <c r="D804" s="23"/>
      <c r="E804" s="22" t="s">
        <v>1743</v>
      </c>
      <c r="F804" s="22"/>
      <c r="G804" s="22">
        <v>20</v>
      </c>
      <c r="H804" s="64"/>
      <c r="I804" s="22" t="s">
        <v>1341</v>
      </c>
      <c r="J804" s="22"/>
      <c r="K804" s="34"/>
    </row>
    <row r="805" spans="1:11" x14ac:dyDescent="0.3">
      <c r="A805" s="22" t="s">
        <v>163</v>
      </c>
      <c r="B805" s="22" t="s">
        <v>1606</v>
      </c>
      <c r="C805" s="22" t="s">
        <v>165</v>
      </c>
      <c r="D805" s="23"/>
      <c r="E805" s="22" t="s">
        <v>1744</v>
      </c>
      <c r="F805" s="22"/>
      <c r="G805" s="22">
        <v>20</v>
      </c>
      <c r="H805" s="64"/>
      <c r="I805" s="22" t="s">
        <v>1350</v>
      </c>
      <c r="J805" s="22"/>
      <c r="K805" s="34"/>
    </row>
    <row r="806" spans="1:11" x14ac:dyDescent="0.3">
      <c r="A806" s="22" t="s">
        <v>163</v>
      </c>
      <c r="B806" s="22" t="s">
        <v>1606</v>
      </c>
      <c r="C806" s="22" t="s">
        <v>165</v>
      </c>
      <c r="D806" s="23"/>
      <c r="E806" s="22" t="s">
        <v>1745</v>
      </c>
      <c r="F806" s="22"/>
      <c r="G806" s="22">
        <v>20</v>
      </c>
      <c r="H806" s="64"/>
      <c r="I806" s="22" t="s">
        <v>1746</v>
      </c>
      <c r="J806" s="22"/>
      <c r="K806" s="34"/>
    </row>
    <row r="807" spans="1:11" x14ac:dyDescent="0.3">
      <c r="A807" s="22" t="s">
        <v>163</v>
      </c>
      <c r="B807" s="22" t="s">
        <v>1606</v>
      </c>
      <c r="C807" s="22" t="s">
        <v>165</v>
      </c>
      <c r="D807" s="68"/>
      <c r="E807" s="22" t="s">
        <v>1747</v>
      </c>
      <c r="F807" s="23"/>
      <c r="G807" s="22">
        <v>30</v>
      </c>
      <c r="H807" s="64"/>
      <c r="I807" s="22" t="s">
        <v>1748</v>
      </c>
      <c r="J807" s="22"/>
      <c r="K807" s="34"/>
    </row>
    <row r="808" spans="1:11" x14ac:dyDescent="0.3">
      <c r="A808" s="22" t="s">
        <v>163</v>
      </c>
      <c r="B808" s="22" t="s">
        <v>1606</v>
      </c>
      <c r="C808" s="22" t="s">
        <v>165</v>
      </c>
      <c r="D808" s="68"/>
      <c r="E808" s="22" t="s">
        <v>1749</v>
      </c>
      <c r="F808" s="23"/>
      <c r="G808" s="22">
        <v>30</v>
      </c>
      <c r="H808" s="64"/>
      <c r="I808" s="22" t="s">
        <v>1748</v>
      </c>
      <c r="J808" s="22"/>
      <c r="K808" s="34"/>
    </row>
    <row r="809" spans="1:11" x14ac:dyDescent="0.3">
      <c r="A809" s="22" t="s">
        <v>163</v>
      </c>
      <c r="B809" s="22" t="s">
        <v>1606</v>
      </c>
      <c r="C809" s="22" t="s">
        <v>165</v>
      </c>
      <c r="D809" s="68"/>
      <c r="E809" s="22" t="s">
        <v>1750</v>
      </c>
      <c r="F809" s="23"/>
      <c r="G809" s="22">
        <v>30</v>
      </c>
      <c r="H809" s="64"/>
      <c r="I809" s="22" t="s">
        <v>1748</v>
      </c>
      <c r="J809" s="22"/>
      <c r="K809" s="34"/>
    </row>
    <row r="810" spans="1:11" x14ac:dyDescent="0.3">
      <c r="A810" s="22" t="s">
        <v>163</v>
      </c>
      <c r="B810" s="22" t="s">
        <v>1751</v>
      </c>
      <c r="C810" s="22" t="s">
        <v>165</v>
      </c>
      <c r="D810" s="23"/>
      <c r="E810" s="22" t="s">
        <v>1822</v>
      </c>
      <c r="F810" s="29"/>
      <c r="G810" s="22"/>
      <c r="H810" s="64"/>
      <c r="I810" s="22" t="s">
        <v>1823</v>
      </c>
      <c r="J810" s="22" t="s">
        <v>1767</v>
      </c>
      <c r="K810" s="34"/>
    </row>
    <row r="811" spans="1:11" x14ac:dyDescent="0.3">
      <c r="A811" s="22" t="s">
        <v>163</v>
      </c>
      <c r="B811" s="22" t="s">
        <v>1751</v>
      </c>
      <c r="C811" s="22" t="s">
        <v>165</v>
      </c>
      <c r="D811" s="23"/>
      <c r="E811" s="22" t="s">
        <v>1824</v>
      </c>
      <c r="F811" s="29"/>
      <c r="G811" s="22"/>
      <c r="H811" s="64"/>
      <c r="I811" s="22" t="s">
        <v>1825</v>
      </c>
      <c r="J811" s="22" t="s">
        <v>1776</v>
      </c>
      <c r="K811" s="34"/>
    </row>
    <row r="812" spans="1:11" x14ac:dyDescent="0.3">
      <c r="A812" s="22" t="s">
        <v>163</v>
      </c>
      <c r="B812" s="22" t="s">
        <v>1751</v>
      </c>
      <c r="C812" s="22" t="s">
        <v>165</v>
      </c>
      <c r="D812" s="23"/>
      <c r="E812" s="22" t="s">
        <v>1826</v>
      </c>
      <c r="F812" s="29"/>
      <c r="G812" s="22"/>
      <c r="H812" s="64"/>
      <c r="I812" s="22" t="s">
        <v>1827</v>
      </c>
      <c r="J812" s="22" t="s">
        <v>1789</v>
      </c>
      <c r="K812" s="34"/>
    </row>
    <row r="813" spans="1:11" x14ac:dyDescent="0.3">
      <c r="A813" s="22" t="s">
        <v>163</v>
      </c>
      <c r="B813" s="22" t="s">
        <v>1751</v>
      </c>
      <c r="C813" s="22" t="s">
        <v>165</v>
      </c>
      <c r="D813" s="23"/>
      <c r="E813" s="22" t="s">
        <v>1828</v>
      </c>
      <c r="F813" s="29"/>
      <c r="G813" s="22"/>
      <c r="H813" s="64"/>
      <c r="I813" s="22" t="s">
        <v>1829</v>
      </c>
      <c r="J813" s="22" t="s">
        <v>1803</v>
      </c>
      <c r="K813" s="34"/>
    </row>
    <row r="814" spans="1:11" x14ac:dyDescent="0.3">
      <c r="A814" s="22" t="s">
        <v>163</v>
      </c>
      <c r="B814" s="22" t="s">
        <v>1751</v>
      </c>
      <c r="C814" s="22" t="s">
        <v>165</v>
      </c>
      <c r="D814" s="23"/>
      <c r="E814" s="22" t="s">
        <v>1848</v>
      </c>
      <c r="F814" s="22"/>
      <c r="G814" s="22"/>
      <c r="H814" s="22"/>
      <c r="I814" s="22" t="s">
        <v>1699</v>
      </c>
      <c r="J814" s="22" t="s">
        <v>858</v>
      </c>
      <c r="K814" s="34"/>
    </row>
    <row r="815" spans="1:11" x14ac:dyDescent="0.3">
      <c r="A815" s="22" t="s">
        <v>163</v>
      </c>
      <c r="B815" s="22" t="s">
        <v>1751</v>
      </c>
      <c r="C815" s="22" t="s">
        <v>165</v>
      </c>
      <c r="D815" s="23"/>
      <c r="E815" s="22" t="s">
        <v>1849</v>
      </c>
      <c r="F815" s="22"/>
      <c r="G815" s="22"/>
      <c r="H815" s="22"/>
      <c r="I815" s="22" t="s">
        <v>1701</v>
      </c>
      <c r="J815" s="22" t="s">
        <v>861</v>
      </c>
      <c r="K815" s="34"/>
    </row>
    <row r="816" spans="1:11" x14ac:dyDescent="0.3">
      <c r="A816" s="22" t="s">
        <v>163</v>
      </c>
      <c r="B816" s="22" t="s">
        <v>1751</v>
      </c>
      <c r="C816" s="22" t="s">
        <v>165</v>
      </c>
      <c r="D816" s="23"/>
      <c r="E816" s="22" t="s">
        <v>1850</v>
      </c>
      <c r="F816" s="22"/>
      <c r="G816" s="22"/>
      <c r="H816" s="22"/>
      <c r="I816" s="22" t="s">
        <v>1703</v>
      </c>
      <c r="J816" s="22" t="s">
        <v>864</v>
      </c>
      <c r="K816" s="34"/>
    </row>
    <row r="817" spans="1:11" x14ac:dyDescent="0.3">
      <c r="A817" s="22" t="s">
        <v>163</v>
      </c>
      <c r="B817" s="22" t="s">
        <v>1751</v>
      </c>
      <c r="C817" s="22" t="s">
        <v>165</v>
      </c>
      <c r="D817" s="23"/>
      <c r="E817" s="22" t="s">
        <v>1851</v>
      </c>
      <c r="F817" s="22"/>
      <c r="G817" s="22"/>
      <c r="H817" s="22"/>
      <c r="I817" s="22" t="s">
        <v>1705</v>
      </c>
      <c r="J817" s="22" t="s">
        <v>867</v>
      </c>
      <c r="K817" s="34"/>
    </row>
    <row r="818" spans="1:11" x14ac:dyDescent="0.3">
      <c r="A818" s="22" t="s">
        <v>163</v>
      </c>
      <c r="B818" s="22" t="s">
        <v>1751</v>
      </c>
      <c r="C818" s="22" t="s">
        <v>165</v>
      </c>
      <c r="D818" s="23"/>
      <c r="E818" s="22" t="s">
        <v>1852</v>
      </c>
      <c r="F818" s="22"/>
      <c r="G818" s="22"/>
      <c r="H818" s="22"/>
      <c r="I818" s="22" t="s">
        <v>1707</v>
      </c>
      <c r="J818" s="22" t="s">
        <v>317</v>
      </c>
      <c r="K818" s="34"/>
    </row>
    <row r="819" spans="1:11" x14ac:dyDescent="0.3">
      <c r="A819" s="22" t="s">
        <v>163</v>
      </c>
      <c r="B819" s="22" t="s">
        <v>1751</v>
      </c>
      <c r="C819" s="22" t="s">
        <v>165</v>
      </c>
      <c r="D819" s="23"/>
      <c r="E819" s="22" t="s">
        <v>1853</v>
      </c>
      <c r="F819" s="22"/>
      <c r="G819" s="22"/>
      <c r="H819" s="22"/>
      <c r="I819" s="22" t="s">
        <v>1709</v>
      </c>
      <c r="J819" s="22" t="s">
        <v>320</v>
      </c>
      <c r="K819" s="34"/>
    </row>
    <row r="820" spans="1:11" x14ac:dyDescent="0.3">
      <c r="A820" s="22" t="s">
        <v>163</v>
      </c>
      <c r="B820" s="22" t="s">
        <v>1751</v>
      </c>
      <c r="C820" s="22" t="s">
        <v>165</v>
      </c>
      <c r="D820" s="23"/>
      <c r="E820" s="22" t="s">
        <v>1864</v>
      </c>
      <c r="F820" s="22"/>
      <c r="G820" s="22"/>
      <c r="H820" s="22"/>
      <c r="I820" s="22" t="s">
        <v>1865</v>
      </c>
      <c r="J820" s="22"/>
      <c r="K820" s="34"/>
    </row>
    <row r="821" spans="1:11" x14ac:dyDescent="0.3">
      <c r="A821" s="22" t="s">
        <v>163</v>
      </c>
      <c r="B821" s="22" t="s">
        <v>1751</v>
      </c>
      <c r="C821" s="22" t="s">
        <v>165</v>
      </c>
      <c r="D821" s="23"/>
      <c r="E821" s="22" t="s">
        <v>1866</v>
      </c>
      <c r="F821" s="29"/>
      <c r="G821" s="22"/>
      <c r="H821" s="22"/>
      <c r="I821" s="22" t="s">
        <v>1867</v>
      </c>
      <c r="J821" s="22"/>
      <c r="K821" s="34"/>
    </row>
    <row r="822" spans="1:11" x14ac:dyDescent="0.3">
      <c r="A822" s="22" t="s">
        <v>163</v>
      </c>
      <c r="B822" s="22" t="s">
        <v>1751</v>
      </c>
      <c r="C822" s="22" t="s">
        <v>165</v>
      </c>
      <c r="D822" s="23"/>
      <c r="E822" s="22" t="s">
        <v>1868</v>
      </c>
      <c r="F822" s="29"/>
      <c r="G822" s="22"/>
      <c r="H822" s="22"/>
      <c r="I822" s="22" t="s">
        <v>1869</v>
      </c>
      <c r="J822" s="22"/>
      <c r="K822" s="34"/>
    </row>
    <row r="823" spans="1:11" x14ac:dyDescent="0.3">
      <c r="A823" s="22" t="s">
        <v>163</v>
      </c>
      <c r="B823" s="22" t="s">
        <v>1751</v>
      </c>
      <c r="C823" s="22" t="s">
        <v>165</v>
      </c>
      <c r="D823" s="23"/>
      <c r="E823" s="22" t="s">
        <v>1870</v>
      </c>
      <c r="F823" s="29"/>
      <c r="G823" s="22"/>
      <c r="H823" s="22"/>
      <c r="I823" s="22" t="s">
        <v>1871</v>
      </c>
      <c r="J823" s="22"/>
      <c r="K823" s="34"/>
    </row>
    <row r="824" spans="1:11" x14ac:dyDescent="0.3">
      <c r="A824" s="22" t="s">
        <v>163</v>
      </c>
      <c r="B824" s="22" t="s">
        <v>1751</v>
      </c>
      <c r="C824" s="22" t="s">
        <v>165</v>
      </c>
      <c r="D824" s="23"/>
      <c r="E824" s="22" t="s">
        <v>1872</v>
      </c>
      <c r="F824" s="22"/>
      <c r="G824" s="22"/>
      <c r="H824" s="22"/>
      <c r="I824" s="22" t="s">
        <v>1873</v>
      </c>
      <c r="J824" s="22"/>
      <c r="K824" s="34"/>
    </row>
    <row r="825" spans="1:11" x14ac:dyDescent="0.3">
      <c r="A825" s="22" t="s">
        <v>163</v>
      </c>
      <c r="B825" s="22" t="s">
        <v>1751</v>
      </c>
      <c r="C825" s="22" t="s">
        <v>165</v>
      </c>
      <c r="D825" s="23"/>
      <c r="E825" s="22" t="s">
        <v>1874</v>
      </c>
      <c r="F825" s="22"/>
      <c r="G825" s="22"/>
      <c r="H825" s="22"/>
      <c r="I825" s="22" t="s">
        <v>1875</v>
      </c>
      <c r="J825" s="22"/>
      <c r="K825" s="34"/>
    </row>
    <row r="826" spans="1:11" x14ac:dyDescent="0.3">
      <c r="A826" s="22" t="s">
        <v>163</v>
      </c>
      <c r="B826" s="22" t="s">
        <v>1751</v>
      </c>
      <c r="C826" s="22" t="s">
        <v>83</v>
      </c>
      <c r="D826" s="23"/>
      <c r="E826" s="22" t="s">
        <v>1876</v>
      </c>
      <c r="F826" s="22"/>
      <c r="G826" s="23"/>
      <c r="H826" s="69"/>
      <c r="I826" s="22" t="s">
        <v>1877</v>
      </c>
      <c r="J826" s="22" t="s">
        <v>1844</v>
      </c>
      <c r="K826" s="34"/>
    </row>
    <row r="827" spans="1:11" x14ac:dyDescent="0.3">
      <c r="A827" s="22" t="s">
        <v>163</v>
      </c>
      <c r="B827" s="22" t="s">
        <v>1751</v>
      </c>
      <c r="C827" s="22" t="s">
        <v>87</v>
      </c>
      <c r="D827" s="23"/>
      <c r="E827" s="22" t="s">
        <v>1878</v>
      </c>
      <c r="F827" s="22"/>
      <c r="G827" s="23"/>
      <c r="H827" s="69"/>
      <c r="I827" s="22" t="s">
        <v>1879</v>
      </c>
      <c r="J827" s="22" t="s">
        <v>1844</v>
      </c>
      <c r="K827" s="34"/>
    </row>
    <row r="828" spans="1:11" x14ac:dyDescent="0.3">
      <c r="A828" s="22" t="s">
        <v>163</v>
      </c>
      <c r="B828" s="22" t="s">
        <v>1751</v>
      </c>
      <c r="C828" s="64" t="s">
        <v>85</v>
      </c>
      <c r="D828" s="23"/>
      <c r="E828" s="22" t="s">
        <v>1880</v>
      </c>
      <c r="F828" s="22"/>
      <c r="G828" s="23"/>
      <c r="H828" s="69"/>
      <c r="I828" s="22" t="s">
        <v>1881</v>
      </c>
      <c r="J828" s="22" t="s">
        <v>1844</v>
      </c>
      <c r="K828" s="34"/>
    </row>
    <row r="829" spans="1:11" x14ac:dyDescent="0.3">
      <c r="A829" s="22" t="s">
        <v>163</v>
      </c>
      <c r="B829" s="22" t="s">
        <v>1751</v>
      </c>
      <c r="C829" s="22" t="s">
        <v>83</v>
      </c>
      <c r="D829" s="23"/>
      <c r="E829" s="22" t="s">
        <v>1882</v>
      </c>
      <c r="F829" s="22"/>
      <c r="G829" s="23"/>
      <c r="H829" s="69"/>
      <c r="I829" s="22" t="s">
        <v>1877</v>
      </c>
      <c r="J829" s="22" t="s">
        <v>1883</v>
      </c>
      <c r="K829" s="34"/>
    </row>
    <row r="830" spans="1:11" x14ac:dyDescent="0.3">
      <c r="A830" s="22" t="s">
        <v>163</v>
      </c>
      <c r="B830" s="22" t="s">
        <v>1751</v>
      </c>
      <c r="C830" s="22" t="s">
        <v>87</v>
      </c>
      <c r="D830" s="23"/>
      <c r="E830" s="22" t="s">
        <v>1884</v>
      </c>
      <c r="F830" s="22"/>
      <c r="G830" s="23"/>
      <c r="H830" s="69"/>
      <c r="I830" s="22" t="s">
        <v>1879</v>
      </c>
      <c r="J830" s="22" t="s">
        <v>1883</v>
      </c>
      <c r="K830" s="34"/>
    </row>
    <row r="831" spans="1:11" x14ac:dyDescent="0.3">
      <c r="A831" s="22" t="s">
        <v>163</v>
      </c>
      <c r="B831" s="22" t="s">
        <v>1751</v>
      </c>
      <c r="C831" s="64" t="s">
        <v>85</v>
      </c>
      <c r="D831" s="23"/>
      <c r="E831" s="22" t="s">
        <v>1885</v>
      </c>
      <c r="F831" s="22"/>
      <c r="G831" s="23"/>
      <c r="H831" s="69"/>
      <c r="I831" s="22" t="s">
        <v>1881</v>
      </c>
      <c r="J831" s="22" t="s">
        <v>1883</v>
      </c>
      <c r="K831" s="34"/>
    </row>
    <row r="832" spans="1:11" x14ac:dyDescent="0.3">
      <c r="A832" s="22" t="s">
        <v>163</v>
      </c>
      <c r="B832" s="22" t="s">
        <v>1751</v>
      </c>
      <c r="C832" s="22" t="s">
        <v>83</v>
      </c>
      <c r="D832" s="23"/>
      <c r="E832" s="22" t="s">
        <v>1886</v>
      </c>
      <c r="F832" s="22"/>
      <c r="G832" s="23"/>
      <c r="H832" s="69"/>
      <c r="I832" s="22" t="s">
        <v>1877</v>
      </c>
      <c r="J832" s="22" t="s">
        <v>1887</v>
      </c>
      <c r="K832" s="34"/>
    </row>
    <row r="833" spans="1:11" x14ac:dyDescent="0.3">
      <c r="A833" s="22" t="s">
        <v>163</v>
      </c>
      <c r="B833" s="22" t="s">
        <v>1751</v>
      </c>
      <c r="C833" s="22" t="s">
        <v>87</v>
      </c>
      <c r="D833" s="23"/>
      <c r="E833" s="22" t="s">
        <v>1888</v>
      </c>
      <c r="F833" s="22"/>
      <c r="G833" s="23"/>
      <c r="H833" s="69"/>
      <c r="I833" s="22" t="s">
        <v>1879</v>
      </c>
      <c r="J833" s="22" t="s">
        <v>1887</v>
      </c>
      <c r="K833" s="34"/>
    </row>
    <row r="834" spans="1:11" x14ac:dyDescent="0.3">
      <c r="A834" s="22" t="s">
        <v>163</v>
      </c>
      <c r="B834" s="22" t="s">
        <v>1751</v>
      </c>
      <c r="C834" s="64" t="s">
        <v>85</v>
      </c>
      <c r="D834" s="23"/>
      <c r="E834" s="22" t="s">
        <v>1889</v>
      </c>
      <c r="F834" s="22"/>
      <c r="G834" s="23"/>
      <c r="H834" s="69"/>
      <c r="I834" s="22" t="s">
        <v>1881</v>
      </c>
      <c r="J834" s="22" t="s">
        <v>1887</v>
      </c>
      <c r="K834" s="34"/>
    </row>
    <row r="835" spans="1:11" x14ac:dyDescent="0.3">
      <c r="A835" s="22" t="s">
        <v>163</v>
      </c>
      <c r="B835" s="22" t="s">
        <v>1751</v>
      </c>
      <c r="C835" s="22" t="s">
        <v>165</v>
      </c>
      <c r="D835" s="23"/>
      <c r="E835" s="22" t="s">
        <v>1890</v>
      </c>
      <c r="F835" s="22"/>
      <c r="G835" s="22">
        <v>15</v>
      </c>
      <c r="H835" s="22"/>
      <c r="I835" s="22" t="s">
        <v>746</v>
      </c>
      <c r="J835" s="22"/>
      <c r="K835" s="34"/>
    </row>
    <row r="836" spans="1:11" x14ac:dyDescent="0.3">
      <c r="A836" s="22" t="s">
        <v>163</v>
      </c>
      <c r="B836" s="22" t="s">
        <v>1751</v>
      </c>
      <c r="C836" s="22" t="s">
        <v>165</v>
      </c>
      <c r="D836" s="23"/>
      <c r="E836" s="22" t="s">
        <v>1891</v>
      </c>
      <c r="F836" s="22"/>
      <c r="G836" s="22">
        <v>20</v>
      </c>
      <c r="H836" s="22"/>
      <c r="I836" s="22" t="s">
        <v>1341</v>
      </c>
      <c r="J836" s="22"/>
      <c r="K836" s="34"/>
    </row>
    <row r="837" spans="1:11" x14ac:dyDescent="0.3">
      <c r="A837" s="22" t="s">
        <v>163</v>
      </c>
      <c r="B837" s="22" t="s">
        <v>1751</v>
      </c>
      <c r="C837" s="22" t="s">
        <v>165</v>
      </c>
      <c r="D837" s="23"/>
      <c r="E837" s="22" t="s">
        <v>1892</v>
      </c>
      <c r="F837" s="22"/>
      <c r="G837" s="22">
        <v>20</v>
      </c>
      <c r="H837" s="22"/>
      <c r="I837" s="22" t="s">
        <v>1350</v>
      </c>
      <c r="J837" s="22"/>
      <c r="K837" s="34"/>
    </row>
    <row r="838" spans="1:11" x14ac:dyDescent="0.3">
      <c r="A838" s="22" t="s">
        <v>163</v>
      </c>
      <c r="B838" s="22" t="s">
        <v>1751</v>
      </c>
      <c r="C838" s="22" t="s">
        <v>165</v>
      </c>
      <c r="D838" s="23"/>
      <c r="E838" s="22" t="s">
        <v>1893</v>
      </c>
      <c r="F838" s="22"/>
      <c r="G838" s="22">
        <v>20</v>
      </c>
      <c r="H838" s="22"/>
      <c r="I838" s="22" t="s">
        <v>1894</v>
      </c>
      <c r="J838" s="22"/>
      <c r="K838" s="34"/>
    </row>
    <row r="839" spans="1:11" x14ac:dyDescent="0.3">
      <c r="A839" s="22" t="s">
        <v>163</v>
      </c>
      <c r="B839" s="22" t="s">
        <v>1751</v>
      </c>
      <c r="C839" s="22" t="s">
        <v>165</v>
      </c>
      <c r="D839" s="68"/>
      <c r="E839" s="22" t="s">
        <v>1895</v>
      </c>
      <c r="F839" s="23"/>
      <c r="G839" s="22">
        <v>30</v>
      </c>
      <c r="H839" s="22"/>
      <c r="I839" s="22" t="s">
        <v>1896</v>
      </c>
      <c r="J839" s="22"/>
      <c r="K839" s="34"/>
    </row>
    <row r="840" spans="1:11" x14ac:dyDescent="0.3">
      <c r="A840" s="22" t="s">
        <v>163</v>
      </c>
      <c r="B840" s="22" t="s">
        <v>1751</v>
      </c>
      <c r="C840" s="22" t="s">
        <v>165</v>
      </c>
      <c r="D840" s="68"/>
      <c r="E840" s="22" t="s">
        <v>1897</v>
      </c>
      <c r="F840" s="23"/>
      <c r="G840" s="22">
        <v>30</v>
      </c>
      <c r="H840" s="22"/>
      <c r="I840" s="22" t="s">
        <v>1489</v>
      </c>
      <c r="J840" s="22"/>
      <c r="K840" s="34"/>
    </row>
    <row r="841" spans="1:11" x14ac:dyDescent="0.3">
      <c r="A841" s="22" t="s">
        <v>163</v>
      </c>
      <c r="B841" s="22" t="s">
        <v>1751</v>
      </c>
      <c r="C841" s="22" t="s">
        <v>165</v>
      </c>
      <c r="D841" s="68"/>
      <c r="E841" s="22" t="s">
        <v>1898</v>
      </c>
      <c r="F841" s="23"/>
      <c r="G841" s="22">
        <v>30</v>
      </c>
      <c r="H841" s="22"/>
      <c r="I841" s="22" t="s">
        <v>1489</v>
      </c>
      <c r="J841" s="22"/>
    </row>
  </sheetData>
  <autoFilter ref="A2:J841" xr:uid="{0589429A-2639-4C1F-A132-53B317C25706}">
    <sortState xmlns:xlrd2="http://schemas.microsoft.com/office/spreadsheetml/2017/richdata2" ref="A3:J841">
      <sortCondition ref="F2:F841"/>
    </sortState>
  </autoFilter>
  <mergeCells count="9">
    <mergeCell ref="A1:J1"/>
    <mergeCell ref="AX1:BC1"/>
    <mergeCell ref="AA1:AD1"/>
    <mergeCell ref="BY1:CZ1"/>
    <mergeCell ref="AF1:AK1"/>
    <mergeCell ref="AL1:AR1"/>
    <mergeCell ref="AS1:AW1"/>
    <mergeCell ref="BE1:BW1"/>
    <mergeCell ref="K1:Y1"/>
  </mergeCells>
  <phoneticPr fontId="1" type="noConversion"/>
  <conditionalFormatting sqref="D186:D187">
    <cfRule type="cellIs" dxfId="4" priority="5" operator="between">
      <formula>1</formula>
      <formula>1111</formula>
    </cfRule>
  </conditionalFormatting>
  <conditionalFormatting sqref="D200:D208">
    <cfRule type="cellIs" dxfId="3" priority="4" operator="between">
      <formula>1</formula>
      <formula>1111</formula>
    </cfRule>
  </conditionalFormatting>
  <conditionalFormatting sqref="D212">
    <cfRule type="cellIs" dxfId="2" priority="3" operator="between">
      <formula>1</formula>
      <formula>1111</formula>
    </cfRule>
  </conditionalFormatting>
  <conditionalFormatting sqref="D214:D217">
    <cfRule type="cellIs" dxfId="1" priority="2" operator="between">
      <formula>1</formula>
      <formula>1111</formula>
    </cfRule>
  </conditionalFormatting>
  <conditionalFormatting sqref="D270">
    <cfRule type="cellIs" dxfId="0" priority="1" operator="between">
      <formula>1</formula>
      <formula>1111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1ED2-870F-4965-82CB-08462D3C6FA1}">
  <dimension ref="A1:AA206"/>
  <sheetViews>
    <sheetView workbookViewId="0">
      <selection activeCell="H8" sqref="H8"/>
    </sheetView>
  </sheetViews>
  <sheetFormatPr defaultRowHeight="14.25" x14ac:dyDescent="0.2"/>
  <cols>
    <col min="4" max="4" width="49.125" bestFit="1" customWidth="1"/>
    <col min="5" max="5" width="31.875" bestFit="1" customWidth="1"/>
    <col min="6" max="10" width="9" style="94"/>
    <col min="11" max="11" width="11.25" style="94" bestFit="1" customWidth="1"/>
    <col min="12" max="12" width="15.375" style="94" bestFit="1" customWidth="1"/>
    <col min="13" max="13" width="34.875" style="94" bestFit="1" customWidth="1"/>
    <col min="14" max="14" width="15.375" style="94" customWidth="1"/>
    <col min="15" max="15" width="20.25" style="94" customWidth="1"/>
    <col min="16" max="16" width="15.375" style="94" customWidth="1"/>
    <col min="17" max="17" width="9" style="159"/>
    <col min="20" max="20" width="9" style="159"/>
    <col min="23" max="23" width="9" style="159"/>
  </cols>
  <sheetData>
    <row r="1" spans="1:27" ht="18" x14ac:dyDescent="0.2">
      <c r="A1" s="299" t="s">
        <v>2263</v>
      </c>
      <c r="B1" s="299"/>
      <c r="C1" s="299"/>
      <c r="D1" s="299"/>
      <c r="E1" s="299"/>
      <c r="F1" s="299"/>
      <c r="G1" s="299"/>
      <c r="H1" s="299"/>
      <c r="I1" s="299"/>
      <c r="J1" s="299"/>
      <c r="K1" s="174"/>
      <c r="L1" s="174"/>
      <c r="M1" s="174"/>
      <c r="N1" s="174"/>
      <c r="O1" s="174"/>
      <c r="P1" s="174"/>
      <c r="Q1" s="300" t="s">
        <v>1963</v>
      </c>
      <c r="R1" s="300"/>
      <c r="S1" s="300"/>
      <c r="T1" s="300"/>
      <c r="U1" s="300"/>
      <c r="V1" s="300"/>
      <c r="W1" s="300"/>
      <c r="X1" s="300"/>
      <c r="Y1" s="300"/>
      <c r="Z1" s="300"/>
      <c r="AA1" s="300"/>
    </row>
    <row r="2" spans="1:27" ht="18" x14ac:dyDescent="0.25">
      <c r="A2" s="21" t="s">
        <v>49</v>
      </c>
      <c r="B2" s="21" t="s">
        <v>50</v>
      </c>
      <c r="C2" s="21" t="s">
        <v>54</v>
      </c>
      <c r="D2" s="21" t="s">
        <v>77</v>
      </c>
      <c r="E2" s="21" t="s">
        <v>62</v>
      </c>
      <c r="F2" s="298" t="s">
        <v>25</v>
      </c>
      <c r="G2" s="298"/>
      <c r="H2" s="298"/>
      <c r="I2" s="298"/>
      <c r="J2" s="298"/>
      <c r="K2" s="304" t="s">
        <v>3443</v>
      </c>
      <c r="L2" s="305"/>
      <c r="M2" s="304" t="s">
        <v>3453</v>
      </c>
      <c r="N2" s="305"/>
      <c r="O2" s="202"/>
      <c r="P2" s="202"/>
      <c r="Q2" s="301" t="s">
        <v>1964</v>
      </c>
      <c r="R2" s="302"/>
      <c r="S2" s="303"/>
      <c r="T2" s="295" t="s">
        <v>2046</v>
      </c>
      <c r="U2" s="296"/>
      <c r="V2" s="297"/>
      <c r="W2" s="295" t="s">
        <v>2128</v>
      </c>
      <c r="X2" s="297"/>
      <c r="Y2" s="295" t="s">
        <v>2180</v>
      </c>
      <c r="Z2" s="296"/>
      <c r="AA2" s="297"/>
    </row>
    <row r="3" spans="1:27" ht="15.75" x14ac:dyDescent="0.3">
      <c r="A3" s="22" t="s">
        <v>1963</v>
      </c>
      <c r="B3" s="22" t="s">
        <v>1964</v>
      </c>
      <c r="C3" s="23" t="s">
        <v>1965</v>
      </c>
      <c r="D3" s="22">
        <v>0</v>
      </c>
      <c r="E3" s="22" t="str">
        <f>"洗髓丹"&amp;O4&amp;"/元宝"&amp;P4</f>
        <v>洗髓丹2/元宝2000</v>
      </c>
      <c r="F3" s="203" t="s">
        <v>55</v>
      </c>
      <c r="G3" s="203" t="s">
        <v>3468</v>
      </c>
      <c r="H3" s="157" t="s">
        <v>37</v>
      </c>
      <c r="I3" s="157" t="s">
        <v>3</v>
      </c>
      <c r="J3" s="157" t="s">
        <v>2</v>
      </c>
      <c r="K3" s="200" t="s">
        <v>3428</v>
      </c>
      <c r="L3" s="200" t="s">
        <v>3441</v>
      </c>
      <c r="M3" s="200" t="s">
        <v>3451</v>
      </c>
      <c r="N3" s="200" t="s">
        <v>3447</v>
      </c>
      <c r="O3" s="200" t="s">
        <v>3473</v>
      </c>
      <c r="P3" s="200" t="s">
        <v>3469</v>
      </c>
      <c r="Q3" s="157" t="s">
        <v>36</v>
      </c>
      <c r="R3" s="96" t="s">
        <v>2264</v>
      </c>
      <c r="S3" s="96" t="s">
        <v>2270</v>
      </c>
      <c r="T3" s="157" t="s">
        <v>2</v>
      </c>
      <c r="U3" s="96" t="s">
        <v>2269</v>
      </c>
      <c r="V3" s="96" t="s">
        <v>2268</v>
      </c>
      <c r="W3" s="157" t="s">
        <v>3</v>
      </c>
      <c r="X3" s="96" t="s">
        <v>2267</v>
      </c>
      <c r="Y3" s="96" t="s">
        <v>1919</v>
      </c>
      <c r="Z3" s="96" t="s">
        <v>2265</v>
      </c>
      <c r="AA3" s="96" t="s">
        <v>2266</v>
      </c>
    </row>
    <row r="4" spans="1:27" ht="16.5" x14ac:dyDescent="0.3">
      <c r="A4" s="22" t="s">
        <v>1963</v>
      </c>
      <c r="B4" s="22" t="s">
        <v>1964</v>
      </c>
      <c r="C4" s="23" t="s">
        <v>1966</v>
      </c>
      <c r="D4" s="22" t="str">
        <f>"生命值"&amp;Q4&amp;"|"&amp;$R$3&amp;""&amp;R4</f>
        <v>生命值100|吸血50</v>
      </c>
      <c r="E4" s="22" t="str">
        <f t="shared" ref="E4:E22" si="0">"洗髓丹"&amp;O5&amp;"/元宝"&amp;P5</f>
        <v>洗髓丹2/元宝2000</v>
      </c>
      <c r="F4" s="158">
        <v>1</v>
      </c>
      <c r="G4" s="158">
        <f>材料产出!C8</f>
        <v>0.9</v>
      </c>
      <c r="H4" s="158">
        <f t="shared" ref="H4:H51" si="1">F4/F$53*H$53</f>
        <v>100</v>
      </c>
      <c r="I4" s="158">
        <f t="shared" ref="I4:I51" si="2">F4/F$53*I$53</f>
        <v>10</v>
      </c>
      <c r="J4" s="158">
        <f t="shared" ref="J4:J51" si="3">F4/F$53*J$53</f>
        <v>5</v>
      </c>
      <c r="K4" s="201">
        <f>H4*属性价值参考!C$5+龙魂炼体!I4*(属性价值参考!C$7+属性价值参考!C$8)+龙魂炼体!J4*(属性价值参考!C$9+属性价值参考!C$10)</f>
        <v>1494</v>
      </c>
      <c r="L4" s="201">
        <f>R4*属性价值参考!C$22+S4*属性价值参考!C$23+龙魂炼体!U4*属性价值参考!C$24+龙魂炼体!V4*属性价值参考!C$16+龙魂炼体!X4*属性价值参考!C$19+龙魂炼体!Y4*属性价值参考!C$13+龙魂炼体!Z4*属性价值参考!C$25+龙魂炼体!AA4*属性价值参考!C$30</f>
        <v>843.52</v>
      </c>
      <c r="M4" s="201">
        <f>(K4+L4)/51*1</f>
        <v>45.83372549019608</v>
      </c>
      <c r="N4" s="201">
        <f t="shared" ref="N4:N52" si="4">(K4+L4)/51*1000</f>
        <v>45833.725490196077</v>
      </c>
      <c r="O4" s="158">
        <f>ROUND(材料产出!T11,0)</f>
        <v>2</v>
      </c>
      <c r="P4" s="158">
        <f t="shared" ref="P4:P23" si="5">O4*1000</f>
        <v>2000</v>
      </c>
      <c r="Q4" s="158">
        <f t="shared" ref="Q4:Q52" si="6">H4</f>
        <v>100</v>
      </c>
      <c r="R4" s="97">
        <v>50</v>
      </c>
      <c r="S4" s="97"/>
      <c r="T4" s="158">
        <f>J4</f>
        <v>5</v>
      </c>
      <c r="U4" s="97">
        <f>1*1/20*$U$23</f>
        <v>1</v>
      </c>
      <c r="V4" s="97"/>
      <c r="W4" s="158">
        <f>I4</f>
        <v>10</v>
      </c>
      <c r="X4" s="97">
        <f>1*1/20*$X$23</f>
        <v>1</v>
      </c>
      <c r="Y4" s="97">
        <f>2*1/40*$Y$23</f>
        <v>2</v>
      </c>
      <c r="Z4" s="97">
        <f>1*100*1/2000*$Z$23</f>
        <v>100</v>
      </c>
      <c r="AA4" s="97"/>
    </row>
    <row r="5" spans="1:27" ht="16.5" x14ac:dyDescent="0.3">
      <c r="A5" s="22" t="s">
        <v>1963</v>
      </c>
      <c r="B5" s="22" t="s">
        <v>1964</v>
      </c>
      <c r="C5" s="23" t="s">
        <v>1967</v>
      </c>
      <c r="D5" s="22" t="str">
        <f t="shared" ref="D5:D23" si="7">"生命值"&amp;Q5&amp;"|"&amp;$R$3&amp;""&amp;R5</f>
        <v>生命值200|吸血100</v>
      </c>
      <c r="E5" s="22" t="str">
        <f t="shared" si="0"/>
        <v>洗髓丹2/元宝2000</v>
      </c>
      <c r="F5" s="158">
        <v>2</v>
      </c>
      <c r="G5" s="158">
        <f>材料产出!C9</f>
        <v>1</v>
      </c>
      <c r="H5" s="158">
        <f t="shared" si="1"/>
        <v>200</v>
      </c>
      <c r="I5" s="158">
        <f t="shared" si="2"/>
        <v>20</v>
      </c>
      <c r="J5" s="158">
        <f t="shared" si="3"/>
        <v>10</v>
      </c>
      <c r="K5" s="201">
        <f>H5*属性价值参考!C$5+龙魂炼体!I5*(属性价值参考!C$7+属性价值参考!C$8)+龙魂炼体!J5*(属性价值参考!C$9+属性价值参考!C$10)</f>
        <v>2988</v>
      </c>
      <c r="L5" s="201">
        <f>R5*属性价值参考!C$22+S5*属性价值参考!C$23+龙魂炼体!U5*属性价值参考!C$24+龙魂炼体!V5*属性价值参考!C$16+龙魂炼体!X5*属性价值参考!C$19+龙魂炼体!Y5*属性价值参考!C$13+龙魂炼体!Z5*属性价值参考!C$25+龙魂炼体!AA5*属性价值参考!C$30</f>
        <v>1687.04</v>
      </c>
      <c r="M5" s="201">
        <f t="shared" ref="M5:M52" si="8">(K5+L5)/51*1</f>
        <v>91.667450980392161</v>
      </c>
      <c r="N5" s="201">
        <f t="shared" si="4"/>
        <v>91667.450980392154</v>
      </c>
      <c r="O5" s="158">
        <f>ROUND(材料产出!T12,0)</f>
        <v>2</v>
      </c>
      <c r="P5" s="158">
        <f t="shared" si="5"/>
        <v>2000</v>
      </c>
      <c r="Q5" s="158">
        <f t="shared" si="6"/>
        <v>200</v>
      </c>
      <c r="R5" s="97">
        <v>100</v>
      </c>
      <c r="S5" s="97"/>
      <c r="T5" s="158">
        <f t="shared" ref="T5:T53" si="9">J5</f>
        <v>10</v>
      </c>
      <c r="U5" s="97">
        <f>2*1/20*$U$23</f>
        <v>2</v>
      </c>
      <c r="V5" s="97"/>
      <c r="W5" s="158">
        <f t="shared" ref="W5:W53" si="10">I5</f>
        <v>20</v>
      </c>
      <c r="X5" s="97">
        <f>2*1/20*$X$23</f>
        <v>2</v>
      </c>
      <c r="Y5" s="97">
        <f>4*1/40*$Y$23</f>
        <v>4</v>
      </c>
      <c r="Z5" s="97">
        <f>2*100*1/2000*$Z$23</f>
        <v>200</v>
      </c>
      <c r="AA5" s="97"/>
    </row>
    <row r="6" spans="1:27" ht="16.5" x14ac:dyDescent="0.3">
      <c r="A6" s="22" t="s">
        <v>1963</v>
      </c>
      <c r="B6" s="22" t="s">
        <v>1964</v>
      </c>
      <c r="C6" s="23" t="s">
        <v>1968</v>
      </c>
      <c r="D6" s="22" t="str">
        <f t="shared" si="7"/>
        <v>生命值300|吸血150</v>
      </c>
      <c r="E6" s="22" t="str">
        <f t="shared" si="0"/>
        <v>洗髓丹3/元宝3000</v>
      </c>
      <c r="F6" s="158">
        <v>3</v>
      </c>
      <c r="G6" s="158">
        <f>材料产出!C10</f>
        <v>1.1000000000000001</v>
      </c>
      <c r="H6" s="158">
        <f t="shared" si="1"/>
        <v>300</v>
      </c>
      <c r="I6" s="158">
        <f t="shared" si="2"/>
        <v>30</v>
      </c>
      <c r="J6" s="158">
        <f t="shared" si="3"/>
        <v>15</v>
      </c>
      <c r="K6" s="201">
        <f>H6*属性价值参考!C$5+龙魂炼体!I6*(属性价值参考!C$7+属性价值参考!C$8)+龙魂炼体!J6*(属性价值参考!C$9+属性价值参考!C$10)</f>
        <v>4482</v>
      </c>
      <c r="L6" s="201">
        <f>R6*属性价值参考!C$22+S6*属性价值参考!C$23+龙魂炼体!U6*属性价值参考!C$24+龙魂炼体!V6*属性价值参考!C$16+龙魂炼体!X6*属性价值参考!C$19+龙魂炼体!Y6*属性价值参考!C$13+龙魂炼体!Z6*属性价值参考!C$25+龙魂炼体!AA6*属性价值参考!C$30</f>
        <v>2530.56</v>
      </c>
      <c r="M6" s="201">
        <f t="shared" si="8"/>
        <v>137.50117647058823</v>
      </c>
      <c r="N6" s="201">
        <f t="shared" si="4"/>
        <v>137501.17647058822</v>
      </c>
      <c r="O6" s="158">
        <f>ROUND(材料产出!T13,0)</f>
        <v>2</v>
      </c>
      <c r="P6" s="158">
        <f t="shared" si="5"/>
        <v>2000</v>
      </c>
      <c r="Q6" s="158">
        <f t="shared" si="6"/>
        <v>300</v>
      </c>
      <c r="R6" s="97">
        <v>150</v>
      </c>
      <c r="S6" s="97"/>
      <c r="T6" s="158">
        <f t="shared" si="9"/>
        <v>15</v>
      </c>
      <c r="U6" s="97">
        <f>3*1/20*$U$23</f>
        <v>3</v>
      </c>
      <c r="V6" s="97"/>
      <c r="W6" s="158">
        <f t="shared" si="10"/>
        <v>30</v>
      </c>
      <c r="X6" s="97">
        <f>3*1/20*$X$23</f>
        <v>3</v>
      </c>
      <c r="Y6" s="97">
        <f>6*1/40*$Y$23</f>
        <v>6</v>
      </c>
      <c r="Z6" s="97">
        <f>3*100*1/2000*$Z$23</f>
        <v>300</v>
      </c>
      <c r="AA6" s="97"/>
    </row>
    <row r="7" spans="1:27" ht="16.5" x14ac:dyDescent="0.3">
      <c r="A7" s="22" t="s">
        <v>1963</v>
      </c>
      <c r="B7" s="22" t="s">
        <v>1964</v>
      </c>
      <c r="C7" s="23" t="s">
        <v>1969</v>
      </c>
      <c r="D7" s="22" t="str">
        <f t="shared" si="7"/>
        <v>生命值400|吸血200</v>
      </c>
      <c r="E7" s="22" t="str">
        <f t="shared" si="0"/>
        <v>洗髓丹15/元宝15000</v>
      </c>
      <c r="F7" s="158">
        <v>4</v>
      </c>
      <c r="G7" s="158">
        <f>材料产出!C11</f>
        <v>1.2</v>
      </c>
      <c r="H7" s="158">
        <f t="shared" si="1"/>
        <v>400</v>
      </c>
      <c r="I7" s="158">
        <f t="shared" si="2"/>
        <v>40</v>
      </c>
      <c r="J7" s="158">
        <f t="shared" si="3"/>
        <v>20</v>
      </c>
      <c r="K7" s="201">
        <f>H7*属性价值参考!C$5+龙魂炼体!I7*(属性价值参考!C$7+属性价值参考!C$8)+龙魂炼体!J7*(属性价值参考!C$9+属性价值参考!C$10)</f>
        <v>5976</v>
      </c>
      <c r="L7" s="201">
        <f>R7*属性价值参考!C$22+S7*属性价值参考!C$23+龙魂炼体!U7*属性价值参考!C$24+龙魂炼体!V7*属性价值参考!C$16+龙魂炼体!X7*属性价值参考!C$19+龙魂炼体!Y7*属性价值参考!C$13+龙魂炼体!Z7*属性价值参考!C$25+龙魂炼体!AA7*属性价值参考!C$30</f>
        <v>3374.08</v>
      </c>
      <c r="M7" s="201">
        <f t="shared" si="8"/>
        <v>183.33490196078432</v>
      </c>
      <c r="N7" s="201">
        <f t="shared" si="4"/>
        <v>183334.90196078431</v>
      </c>
      <c r="O7" s="158">
        <f>ROUND(材料产出!T14,0)</f>
        <v>3</v>
      </c>
      <c r="P7" s="158">
        <f t="shared" si="5"/>
        <v>3000</v>
      </c>
      <c r="Q7" s="158">
        <f t="shared" si="6"/>
        <v>400</v>
      </c>
      <c r="R7" s="97">
        <v>200</v>
      </c>
      <c r="S7" s="97"/>
      <c r="T7" s="158">
        <f t="shared" si="9"/>
        <v>20</v>
      </c>
      <c r="U7" s="97">
        <f>4*1/20*$U$23</f>
        <v>4</v>
      </c>
      <c r="V7" s="97"/>
      <c r="W7" s="158">
        <f t="shared" si="10"/>
        <v>40</v>
      </c>
      <c r="X7" s="97">
        <f>4*1/20*$X$23</f>
        <v>4</v>
      </c>
      <c r="Y7" s="97">
        <f>8*1/40*$Y$23</f>
        <v>8</v>
      </c>
      <c r="Z7" s="97">
        <f>4*100*1/2000*$Z$23</f>
        <v>400</v>
      </c>
      <c r="AA7" s="97"/>
    </row>
    <row r="8" spans="1:27" ht="16.5" x14ac:dyDescent="0.3">
      <c r="A8" s="22" t="s">
        <v>1963</v>
      </c>
      <c r="B8" s="22" t="s">
        <v>1964</v>
      </c>
      <c r="C8" s="23" t="s">
        <v>1970</v>
      </c>
      <c r="D8" s="22" t="str">
        <f t="shared" si="7"/>
        <v>生命值500|吸血250</v>
      </c>
      <c r="E8" s="22" t="str">
        <f t="shared" si="0"/>
        <v>洗髓丹17/元宝17000</v>
      </c>
      <c r="F8" s="158">
        <v>5</v>
      </c>
      <c r="G8" s="158">
        <f>材料产出!C12</f>
        <v>1.3</v>
      </c>
      <c r="H8" s="158">
        <f t="shared" si="1"/>
        <v>500</v>
      </c>
      <c r="I8" s="158">
        <f t="shared" si="2"/>
        <v>50</v>
      </c>
      <c r="J8" s="158">
        <f t="shared" si="3"/>
        <v>25</v>
      </c>
      <c r="K8" s="201">
        <f>H8*属性价值参考!C$5+龙魂炼体!I8*(属性价值参考!C$7+属性价值参考!C$8)+龙魂炼体!J8*(属性价值参考!C$9+属性价值参考!C$10)</f>
        <v>7470</v>
      </c>
      <c r="L8" s="201">
        <f>R8*属性价值参考!C$22+S8*属性价值参考!C$23+龙魂炼体!U8*属性价值参考!C$24+龙魂炼体!V8*属性价值参考!C$16+龙魂炼体!X8*属性价值参考!C$19+龙魂炼体!Y8*属性价值参考!C$13+龙魂炼体!Z8*属性价值参考!C$25+龙魂炼体!AA8*属性价值参考!C$30</f>
        <v>4217.6000000000004</v>
      </c>
      <c r="M8" s="201">
        <f t="shared" si="8"/>
        <v>229.16862745098041</v>
      </c>
      <c r="N8" s="201">
        <f t="shared" si="4"/>
        <v>229168.62745098042</v>
      </c>
      <c r="O8" s="158">
        <f>ROUND(材料产出!T15,0)</f>
        <v>15</v>
      </c>
      <c r="P8" s="158">
        <f t="shared" si="5"/>
        <v>15000</v>
      </c>
      <c r="Q8" s="158">
        <f t="shared" si="6"/>
        <v>500</v>
      </c>
      <c r="R8" s="97">
        <v>250</v>
      </c>
      <c r="S8" s="97"/>
      <c r="T8" s="158">
        <f t="shared" si="9"/>
        <v>25</v>
      </c>
      <c r="U8" s="97">
        <f>5*1/20*$U$23</f>
        <v>5</v>
      </c>
      <c r="V8" s="97"/>
      <c r="W8" s="158">
        <f t="shared" si="10"/>
        <v>50</v>
      </c>
      <c r="X8" s="97">
        <f>5*1/20*$X$23</f>
        <v>5</v>
      </c>
      <c r="Y8" s="97">
        <f>10*1/40*$Y$23</f>
        <v>10</v>
      </c>
      <c r="Z8" s="97">
        <f>5*100*1/2000*$Z$23</f>
        <v>500</v>
      </c>
      <c r="AA8" s="97"/>
    </row>
    <row r="9" spans="1:27" ht="16.5" x14ac:dyDescent="0.3">
      <c r="A9" s="22" t="s">
        <v>1963</v>
      </c>
      <c r="B9" s="22" t="s">
        <v>1964</v>
      </c>
      <c r="C9" s="23" t="s">
        <v>1971</v>
      </c>
      <c r="D9" s="22" t="str">
        <f t="shared" si="7"/>
        <v>生命值600|吸血300</v>
      </c>
      <c r="E9" s="22" t="str">
        <f t="shared" si="0"/>
        <v>洗髓丹20/元宝20000</v>
      </c>
      <c r="F9" s="158">
        <v>6</v>
      </c>
      <c r="G9" s="158">
        <f>材料产出!C13</f>
        <v>1.5</v>
      </c>
      <c r="H9" s="158">
        <f t="shared" si="1"/>
        <v>600</v>
      </c>
      <c r="I9" s="158">
        <f t="shared" si="2"/>
        <v>60</v>
      </c>
      <c r="J9" s="158">
        <f t="shared" si="3"/>
        <v>30</v>
      </c>
      <c r="K9" s="201">
        <f>H9*属性价值参考!C$5+龙魂炼体!I9*(属性价值参考!C$7+属性价值参考!C$8)+龙魂炼体!J9*(属性价值参考!C$9+属性价值参考!C$10)</f>
        <v>8964</v>
      </c>
      <c r="L9" s="201">
        <f>R9*属性价值参考!C$22+S9*属性价值参考!C$23+龙魂炼体!U9*属性价值参考!C$24+龙魂炼体!V9*属性价值参考!C$16+龙魂炼体!X9*属性价值参考!C$19+龙魂炼体!Y9*属性价值参考!C$13+龙魂炼体!Z9*属性价值参考!C$25+龙魂炼体!AA9*属性价值参考!C$30</f>
        <v>5061.12</v>
      </c>
      <c r="M9" s="201">
        <f t="shared" si="8"/>
        <v>275.00235294117647</v>
      </c>
      <c r="N9" s="201">
        <f t="shared" si="4"/>
        <v>275002.35294117645</v>
      </c>
      <c r="O9" s="158">
        <f>ROUND(材料产出!T16,0)</f>
        <v>17</v>
      </c>
      <c r="P9" s="158">
        <f t="shared" si="5"/>
        <v>17000</v>
      </c>
      <c r="Q9" s="158">
        <f t="shared" si="6"/>
        <v>600</v>
      </c>
      <c r="R9" s="97">
        <v>300</v>
      </c>
      <c r="S9" s="97"/>
      <c r="T9" s="158">
        <f t="shared" si="9"/>
        <v>30</v>
      </c>
      <c r="U9" s="97">
        <f>6*1/20*$U$23</f>
        <v>6</v>
      </c>
      <c r="V9" s="97"/>
      <c r="W9" s="158">
        <f t="shared" si="10"/>
        <v>60</v>
      </c>
      <c r="X9" s="97">
        <f>6*1/20*$X$23</f>
        <v>6</v>
      </c>
      <c r="Y9" s="97">
        <f>12*1/40*$Y$23</f>
        <v>12</v>
      </c>
      <c r="Z9" s="97">
        <f>6*100*1/2000*$Z$23</f>
        <v>600</v>
      </c>
      <c r="AA9" s="97"/>
    </row>
    <row r="10" spans="1:27" ht="16.5" x14ac:dyDescent="0.3">
      <c r="A10" s="22" t="s">
        <v>1963</v>
      </c>
      <c r="B10" s="22" t="s">
        <v>1964</v>
      </c>
      <c r="C10" s="23" t="s">
        <v>1972</v>
      </c>
      <c r="D10" s="22" t="str">
        <f t="shared" si="7"/>
        <v>生命值700|吸血350</v>
      </c>
      <c r="E10" s="22" t="str">
        <f t="shared" si="0"/>
        <v>洗髓丹23/元宝23000</v>
      </c>
      <c r="F10" s="158">
        <v>7</v>
      </c>
      <c r="G10" s="158">
        <f>材料产出!C14</f>
        <v>1.8</v>
      </c>
      <c r="H10" s="158">
        <f t="shared" si="1"/>
        <v>700.00000000000011</v>
      </c>
      <c r="I10" s="158">
        <f t="shared" si="2"/>
        <v>70</v>
      </c>
      <c r="J10" s="158">
        <f t="shared" si="3"/>
        <v>35</v>
      </c>
      <c r="K10" s="201">
        <f>H10*属性价值参考!C$5+龙魂炼体!I10*(属性价值参考!C$7+属性价值参考!C$8)+龙魂炼体!J10*(属性价值参考!C$9+属性价值参考!C$10)</f>
        <v>10458</v>
      </c>
      <c r="L10" s="201">
        <f>R10*属性价值参考!C$22+S10*属性价值参考!C$23+龙魂炼体!U10*属性价值参考!C$24+龙魂炼体!V10*属性价值参考!C$16+龙魂炼体!X10*属性价值参考!C$19+龙魂炼体!Y10*属性价值参考!C$13+龙魂炼体!Z10*属性价值参考!C$25+龙魂炼体!AA10*属性价值参考!C$30</f>
        <v>5904.6399999999994</v>
      </c>
      <c r="M10" s="201">
        <f t="shared" si="8"/>
        <v>320.83607843137253</v>
      </c>
      <c r="N10" s="201">
        <f t="shared" si="4"/>
        <v>320836.07843137253</v>
      </c>
      <c r="O10" s="158">
        <f>ROUND(材料产出!T17,0)</f>
        <v>20</v>
      </c>
      <c r="P10" s="158">
        <f t="shared" si="5"/>
        <v>20000</v>
      </c>
      <c r="Q10" s="158">
        <f t="shared" si="6"/>
        <v>700.00000000000011</v>
      </c>
      <c r="R10" s="97">
        <v>350</v>
      </c>
      <c r="S10" s="97"/>
      <c r="T10" s="158">
        <f t="shared" si="9"/>
        <v>35</v>
      </c>
      <c r="U10" s="97">
        <f>7*1/20*$U$23</f>
        <v>7</v>
      </c>
      <c r="V10" s="97"/>
      <c r="W10" s="158">
        <f t="shared" si="10"/>
        <v>70</v>
      </c>
      <c r="X10" s="97">
        <f>7*1/20*$X$23</f>
        <v>7</v>
      </c>
      <c r="Y10" s="97">
        <f>14*1/40*$Y$23</f>
        <v>14</v>
      </c>
      <c r="Z10" s="97">
        <f>7*100*1/2000*$Z$23</f>
        <v>700</v>
      </c>
      <c r="AA10" s="97"/>
    </row>
    <row r="11" spans="1:27" ht="16.5" x14ac:dyDescent="0.3">
      <c r="A11" s="22" t="s">
        <v>1963</v>
      </c>
      <c r="B11" s="22" t="s">
        <v>1964</v>
      </c>
      <c r="C11" s="23" t="s">
        <v>1973</v>
      </c>
      <c r="D11" s="22" t="str">
        <f t="shared" si="7"/>
        <v>生命值800|吸血400</v>
      </c>
      <c r="E11" s="22" t="str">
        <f t="shared" si="0"/>
        <v>洗髓丹25/元宝25000</v>
      </c>
      <c r="F11" s="158">
        <v>8</v>
      </c>
      <c r="G11" s="158">
        <f>材料产出!C15</f>
        <v>2.1</v>
      </c>
      <c r="H11" s="158">
        <f t="shared" si="1"/>
        <v>800</v>
      </c>
      <c r="I11" s="158">
        <f t="shared" si="2"/>
        <v>80</v>
      </c>
      <c r="J11" s="158">
        <f t="shared" si="3"/>
        <v>40</v>
      </c>
      <c r="K11" s="201">
        <f>H11*属性价值参考!C$5+龙魂炼体!I11*(属性价值参考!C$7+属性价值参考!C$8)+龙魂炼体!J11*(属性价值参考!C$9+属性价值参考!C$10)</f>
        <v>11952</v>
      </c>
      <c r="L11" s="201">
        <f>R11*属性价值参考!C$22+S11*属性价值参考!C$23+龙魂炼体!U11*属性价值参考!C$24+龙魂炼体!V11*属性价值参考!C$16+龙魂炼体!X11*属性价值参考!C$19+龙魂炼体!Y11*属性价值参考!C$13+龙魂炼体!Z11*属性价值参考!C$25+龙魂炼体!AA11*属性价值参考!C$30</f>
        <v>6748.16</v>
      </c>
      <c r="M11" s="201">
        <f t="shared" si="8"/>
        <v>366.66980392156864</v>
      </c>
      <c r="N11" s="201">
        <f t="shared" si="4"/>
        <v>366669.80392156861</v>
      </c>
      <c r="O11" s="158">
        <f>ROUND(材料产出!T18,0)</f>
        <v>23</v>
      </c>
      <c r="P11" s="158">
        <f t="shared" si="5"/>
        <v>23000</v>
      </c>
      <c r="Q11" s="158">
        <f t="shared" si="6"/>
        <v>800</v>
      </c>
      <c r="R11" s="97">
        <v>400</v>
      </c>
      <c r="S11" s="97"/>
      <c r="T11" s="158">
        <f t="shared" si="9"/>
        <v>40</v>
      </c>
      <c r="U11" s="97">
        <f>8*1/20*$U$23</f>
        <v>8</v>
      </c>
      <c r="V11" s="97"/>
      <c r="W11" s="158">
        <f t="shared" si="10"/>
        <v>80</v>
      </c>
      <c r="X11" s="97">
        <f>8*1/20*$X$23</f>
        <v>8</v>
      </c>
      <c r="Y11" s="97">
        <f>16*1/40*$Y$23</f>
        <v>16</v>
      </c>
      <c r="Z11" s="97">
        <f>8*100*1/2000*$Z$23</f>
        <v>800</v>
      </c>
      <c r="AA11" s="97"/>
    </row>
    <row r="12" spans="1:27" ht="16.5" x14ac:dyDescent="0.3">
      <c r="A12" s="22" t="s">
        <v>1963</v>
      </c>
      <c r="B12" s="22" t="s">
        <v>1964</v>
      </c>
      <c r="C12" s="23" t="s">
        <v>1974</v>
      </c>
      <c r="D12" s="22" t="str">
        <f t="shared" si="7"/>
        <v>生命值900|吸血450</v>
      </c>
      <c r="E12" s="22" t="str">
        <f t="shared" si="0"/>
        <v>洗髓丹27/元宝27000</v>
      </c>
      <c r="F12" s="158">
        <v>9</v>
      </c>
      <c r="G12" s="158">
        <f>材料产出!C16</f>
        <v>2.5</v>
      </c>
      <c r="H12" s="158">
        <f t="shared" si="1"/>
        <v>900</v>
      </c>
      <c r="I12" s="158">
        <f t="shared" si="2"/>
        <v>90</v>
      </c>
      <c r="J12" s="158">
        <f t="shared" si="3"/>
        <v>45</v>
      </c>
      <c r="K12" s="201">
        <f>H12*属性价值参考!C$5+龙魂炼体!I12*(属性价值参考!C$7+属性价值参考!C$8)+龙魂炼体!J12*(属性价值参考!C$9+属性价值参考!C$10)</f>
        <v>13446</v>
      </c>
      <c r="L12" s="201">
        <f>R12*属性价值参考!C$22+S12*属性价值参考!C$23+龙魂炼体!U12*属性价值参考!C$24+龙魂炼体!V12*属性价值参考!C$16+龙魂炼体!X12*属性价值参考!C$19+龙魂炼体!Y12*属性价值参考!C$13+龙魂炼体!Z12*属性价值参考!C$25+龙魂炼体!AA12*属性价值参考!C$30</f>
        <v>7591.6799999999994</v>
      </c>
      <c r="M12" s="201">
        <f t="shared" si="8"/>
        <v>412.5035294117647</v>
      </c>
      <c r="N12" s="201">
        <f t="shared" si="4"/>
        <v>412503.5294117647</v>
      </c>
      <c r="O12" s="158">
        <f>ROUND(材料产出!T19,0)</f>
        <v>25</v>
      </c>
      <c r="P12" s="158">
        <f t="shared" si="5"/>
        <v>25000</v>
      </c>
      <c r="Q12" s="158">
        <f t="shared" si="6"/>
        <v>900</v>
      </c>
      <c r="R12" s="97">
        <v>450</v>
      </c>
      <c r="S12" s="97"/>
      <c r="T12" s="158">
        <f t="shared" si="9"/>
        <v>45</v>
      </c>
      <c r="U12" s="97">
        <f>9*1/20*$U$23</f>
        <v>9</v>
      </c>
      <c r="V12" s="97"/>
      <c r="W12" s="158">
        <f t="shared" si="10"/>
        <v>90</v>
      </c>
      <c r="X12" s="97">
        <f>9*1/20*$X$23</f>
        <v>9</v>
      </c>
      <c r="Y12" s="97">
        <f>18*1/40*$Y$23</f>
        <v>18</v>
      </c>
      <c r="Z12" s="97">
        <f>9*100*1/2000*$Z$23</f>
        <v>900</v>
      </c>
      <c r="AA12" s="97"/>
    </row>
    <row r="13" spans="1:27" ht="16.5" x14ac:dyDescent="0.3">
      <c r="A13" s="22" t="s">
        <v>1963</v>
      </c>
      <c r="B13" s="22" t="s">
        <v>1964</v>
      </c>
      <c r="C13" s="23" t="s">
        <v>1975</v>
      </c>
      <c r="D13" s="22" t="str">
        <f t="shared" si="7"/>
        <v>生命值1000|吸血500</v>
      </c>
      <c r="E13" s="22" t="str">
        <f t="shared" si="0"/>
        <v>洗髓丹143/元宝143000</v>
      </c>
      <c r="F13" s="158">
        <v>10</v>
      </c>
      <c r="G13" s="158">
        <f>材料产出!C17</f>
        <v>3</v>
      </c>
      <c r="H13" s="158">
        <f t="shared" si="1"/>
        <v>1000</v>
      </c>
      <c r="I13" s="158">
        <f t="shared" si="2"/>
        <v>100</v>
      </c>
      <c r="J13" s="158">
        <f t="shared" si="3"/>
        <v>50</v>
      </c>
      <c r="K13" s="201">
        <f>H13*属性价值参考!C$5+龙魂炼体!I13*(属性价值参考!C$7+属性价值参考!C$8)+龙魂炼体!J13*(属性价值参考!C$9+属性价值参考!C$10)</f>
        <v>14940</v>
      </c>
      <c r="L13" s="201">
        <f>R13*属性价值参考!C$22+S13*属性价值参考!C$23+龙魂炼体!U13*属性价值参考!C$24+龙魂炼体!V13*属性价值参考!C$16+龙魂炼体!X13*属性价值参考!C$19+龙魂炼体!Y13*属性价值参考!C$13+龙魂炼体!Z13*属性价值参考!C$25+龙魂炼体!AA13*属性价值参考!C$30</f>
        <v>8435.2000000000007</v>
      </c>
      <c r="M13" s="201">
        <f t="shared" si="8"/>
        <v>458.33725490196082</v>
      </c>
      <c r="N13" s="201">
        <f t="shared" si="4"/>
        <v>458337.25490196084</v>
      </c>
      <c r="O13" s="158">
        <f>ROUND(材料产出!T20,0)</f>
        <v>27</v>
      </c>
      <c r="P13" s="158">
        <f t="shared" si="5"/>
        <v>27000</v>
      </c>
      <c r="Q13" s="158">
        <f t="shared" si="6"/>
        <v>1000</v>
      </c>
      <c r="R13" s="97">
        <v>500</v>
      </c>
      <c r="S13" s="97"/>
      <c r="T13" s="158">
        <f t="shared" si="9"/>
        <v>50</v>
      </c>
      <c r="U13" s="97">
        <f>10*1/20*$U$23</f>
        <v>10</v>
      </c>
      <c r="V13" s="97"/>
      <c r="W13" s="158">
        <f t="shared" si="10"/>
        <v>100</v>
      </c>
      <c r="X13" s="97">
        <f>10*1/20*$X$23</f>
        <v>10</v>
      </c>
      <c r="Y13" s="97">
        <f>20*1/40*$Y$23</f>
        <v>20</v>
      </c>
      <c r="Z13" s="97">
        <f>10*100*1/2000*$Z$23</f>
        <v>1000</v>
      </c>
      <c r="AA13" s="97"/>
    </row>
    <row r="14" spans="1:27" ht="16.5" x14ac:dyDescent="0.3">
      <c r="A14" s="22" t="s">
        <v>1963</v>
      </c>
      <c r="B14" s="22" t="s">
        <v>1964</v>
      </c>
      <c r="C14" s="23" t="s">
        <v>1976</v>
      </c>
      <c r="D14" s="22" t="str">
        <f t="shared" si="7"/>
        <v>生命值1100|吸血550</v>
      </c>
      <c r="E14" s="22" t="str">
        <f t="shared" si="0"/>
        <v>洗髓丹153/元宝153000</v>
      </c>
      <c r="F14" s="158">
        <v>11</v>
      </c>
      <c r="G14" s="158">
        <f>材料产出!C18</f>
        <v>3.5</v>
      </c>
      <c r="H14" s="158">
        <f t="shared" si="1"/>
        <v>1100</v>
      </c>
      <c r="I14" s="158">
        <f t="shared" si="2"/>
        <v>110</v>
      </c>
      <c r="J14" s="158">
        <f t="shared" si="3"/>
        <v>55</v>
      </c>
      <c r="K14" s="201">
        <f>H14*属性价值参考!C$5+龙魂炼体!I14*(属性价值参考!C$7+属性价值参考!C$8)+龙魂炼体!J14*(属性价值参考!C$9+属性价值参考!C$10)</f>
        <v>16434</v>
      </c>
      <c r="L14" s="201">
        <f>R14*属性价值参考!C$22+S14*属性价值参考!C$23+龙魂炼体!U14*属性价值参考!C$24+龙魂炼体!V14*属性价值参考!C$16+龙魂炼体!X14*属性价值参考!C$19+龙魂炼体!Y14*属性价值参考!C$13+龙魂炼体!Z14*属性价值参考!C$25+龙魂炼体!AA14*属性价值参考!C$30</f>
        <v>9278.7199999999993</v>
      </c>
      <c r="M14" s="201">
        <f t="shared" si="8"/>
        <v>504.17098039215688</v>
      </c>
      <c r="N14" s="201">
        <f t="shared" si="4"/>
        <v>504170.98039215687</v>
      </c>
      <c r="O14" s="158">
        <f>ROUND(材料产出!T21,0)</f>
        <v>143</v>
      </c>
      <c r="P14" s="158">
        <f t="shared" si="5"/>
        <v>143000</v>
      </c>
      <c r="Q14" s="158">
        <f t="shared" si="6"/>
        <v>1100</v>
      </c>
      <c r="R14" s="97">
        <v>550</v>
      </c>
      <c r="S14" s="97"/>
      <c r="T14" s="158">
        <f t="shared" si="9"/>
        <v>55</v>
      </c>
      <c r="U14" s="97">
        <f>11*1/20*$U$23</f>
        <v>11</v>
      </c>
      <c r="V14" s="97"/>
      <c r="W14" s="158">
        <f t="shared" si="10"/>
        <v>110</v>
      </c>
      <c r="X14" s="97">
        <f>11*1/20*$X$23</f>
        <v>11</v>
      </c>
      <c r="Y14" s="97">
        <f>22*1/40*$Y$23</f>
        <v>22</v>
      </c>
      <c r="Z14" s="97">
        <f>11*100*1/2000*$Z$23</f>
        <v>1100</v>
      </c>
      <c r="AA14" s="97"/>
    </row>
    <row r="15" spans="1:27" ht="16.5" x14ac:dyDescent="0.3">
      <c r="A15" s="22" t="s">
        <v>1963</v>
      </c>
      <c r="B15" s="22" t="s">
        <v>1964</v>
      </c>
      <c r="C15" s="23" t="s">
        <v>1977</v>
      </c>
      <c r="D15" s="22" t="str">
        <f t="shared" si="7"/>
        <v>生命值1200|吸血600</v>
      </c>
      <c r="E15" s="22" t="str">
        <f t="shared" si="0"/>
        <v>洗髓丹163/元宝163000</v>
      </c>
      <c r="F15" s="158">
        <v>12</v>
      </c>
      <c r="G15" s="158">
        <f>材料产出!C19</f>
        <v>3.7</v>
      </c>
      <c r="H15" s="158">
        <f t="shared" si="1"/>
        <v>1200</v>
      </c>
      <c r="I15" s="158">
        <f t="shared" si="2"/>
        <v>120</v>
      </c>
      <c r="J15" s="158">
        <f t="shared" si="3"/>
        <v>60</v>
      </c>
      <c r="K15" s="201">
        <f>H15*属性价值参考!C$5+龙魂炼体!I15*(属性价值参考!C$7+属性价值参考!C$8)+龙魂炼体!J15*(属性价值参考!C$9+属性价值参考!C$10)</f>
        <v>17928</v>
      </c>
      <c r="L15" s="201">
        <f>R15*属性价值参考!C$22+S15*属性价值参考!C$23+龙魂炼体!U15*属性价值参考!C$24+龙魂炼体!V15*属性价值参考!C$16+龙魂炼体!X15*属性价值参考!C$19+龙魂炼体!Y15*属性价值参考!C$13+龙魂炼体!Z15*属性价值参考!C$25+龙魂炼体!AA15*属性价值参考!C$30</f>
        <v>10122.24</v>
      </c>
      <c r="M15" s="201">
        <f t="shared" si="8"/>
        <v>550.00470588235294</v>
      </c>
      <c r="N15" s="201">
        <f t="shared" si="4"/>
        <v>550004.70588235289</v>
      </c>
      <c r="O15" s="158">
        <f>ROUND(材料产出!T22,0)</f>
        <v>153</v>
      </c>
      <c r="P15" s="158">
        <f t="shared" si="5"/>
        <v>153000</v>
      </c>
      <c r="Q15" s="158">
        <f t="shared" si="6"/>
        <v>1200</v>
      </c>
      <c r="R15" s="97">
        <v>600</v>
      </c>
      <c r="S15" s="97"/>
      <c r="T15" s="158">
        <f t="shared" si="9"/>
        <v>60</v>
      </c>
      <c r="U15" s="97">
        <f>12*1/20*$U$23</f>
        <v>12</v>
      </c>
      <c r="V15" s="97"/>
      <c r="W15" s="158">
        <f t="shared" si="10"/>
        <v>120</v>
      </c>
      <c r="X15" s="97">
        <f>12*1/20*$X$23</f>
        <v>12</v>
      </c>
      <c r="Y15" s="97">
        <f>24*1/40*$Y$23</f>
        <v>24</v>
      </c>
      <c r="Z15" s="97">
        <f>12*100*1/2000*$Z$23</f>
        <v>1200</v>
      </c>
      <c r="AA15" s="97"/>
    </row>
    <row r="16" spans="1:27" ht="16.5" x14ac:dyDescent="0.3">
      <c r="A16" s="22" t="s">
        <v>1963</v>
      </c>
      <c r="B16" s="22" t="s">
        <v>1964</v>
      </c>
      <c r="C16" s="23" t="s">
        <v>1978</v>
      </c>
      <c r="D16" s="22" t="str">
        <f t="shared" si="7"/>
        <v>生命值1300|吸血650</v>
      </c>
      <c r="E16" s="22" t="str">
        <f t="shared" si="0"/>
        <v>洗髓丹173/元宝173000</v>
      </c>
      <c r="F16" s="158">
        <v>13</v>
      </c>
      <c r="G16" s="158">
        <f>材料产出!C20</f>
        <v>4</v>
      </c>
      <c r="H16" s="158">
        <f t="shared" si="1"/>
        <v>1300</v>
      </c>
      <c r="I16" s="158">
        <f t="shared" si="2"/>
        <v>130</v>
      </c>
      <c r="J16" s="158">
        <f t="shared" si="3"/>
        <v>65</v>
      </c>
      <c r="K16" s="201">
        <f>H16*属性价值参考!C$5+龙魂炼体!I16*(属性价值参考!C$7+属性价值参考!C$8)+龙魂炼体!J16*(属性价值参考!C$9+属性价值参考!C$10)</f>
        <v>19422</v>
      </c>
      <c r="L16" s="201">
        <f>R16*属性价值参考!C$22+S16*属性价值参考!C$23+龙魂炼体!U16*属性价值参考!C$24+龙魂炼体!V16*属性价值参考!C$16+龙魂炼体!X16*属性价值参考!C$19+龙魂炼体!Y16*属性价值参考!C$13+龙魂炼体!Z16*属性价值参考!C$25+龙魂炼体!AA16*属性价值参考!C$30</f>
        <v>10965.76</v>
      </c>
      <c r="M16" s="201">
        <f t="shared" si="8"/>
        <v>595.83843137254905</v>
      </c>
      <c r="N16" s="201">
        <f t="shared" si="4"/>
        <v>595838.43137254904</v>
      </c>
      <c r="O16" s="158">
        <f>ROUND(材料产出!T23,0)</f>
        <v>163</v>
      </c>
      <c r="P16" s="158">
        <f t="shared" si="5"/>
        <v>163000</v>
      </c>
      <c r="Q16" s="158">
        <f t="shared" si="6"/>
        <v>1300</v>
      </c>
      <c r="R16" s="97">
        <v>650</v>
      </c>
      <c r="S16" s="97"/>
      <c r="T16" s="158">
        <f t="shared" si="9"/>
        <v>65</v>
      </c>
      <c r="U16" s="97">
        <f>13*1/20*$U$23</f>
        <v>13</v>
      </c>
      <c r="V16" s="97"/>
      <c r="W16" s="158">
        <f t="shared" si="10"/>
        <v>130</v>
      </c>
      <c r="X16" s="97">
        <f>13*1/20*$X$23</f>
        <v>13</v>
      </c>
      <c r="Y16" s="97">
        <f>26*1/40*$Y$23</f>
        <v>26</v>
      </c>
      <c r="Z16" s="97">
        <f>13*100*1/2000*$Z$23</f>
        <v>1300</v>
      </c>
      <c r="AA16" s="97"/>
    </row>
    <row r="17" spans="1:27" ht="16.5" x14ac:dyDescent="0.3">
      <c r="A17" s="22" t="s">
        <v>1963</v>
      </c>
      <c r="B17" s="22" t="s">
        <v>1964</v>
      </c>
      <c r="C17" s="23" t="s">
        <v>1979</v>
      </c>
      <c r="D17" s="22" t="str">
        <f t="shared" si="7"/>
        <v>生命值1400|吸血700</v>
      </c>
      <c r="E17" s="22" t="str">
        <f t="shared" si="0"/>
        <v>洗髓丹183/元宝183000</v>
      </c>
      <c r="F17" s="158">
        <v>14</v>
      </c>
      <c r="G17" s="158">
        <f>材料产出!C21</f>
        <v>4.3</v>
      </c>
      <c r="H17" s="158">
        <f t="shared" si="1"/>
        <v>1400.0000000000002</v>
      </c>
      <c r="I17" s="158">
        <f t="shared" si="2"/>
        <v>140</v>
      </c>
      <c r="J17" s="158">
        <f t="shared" si="3"/>
        <v>70</v>
      </c>
      <c r="K17" s="201">
        <f>H17*属性价值参考!C$5+龙魂炼体!I17*(属性价值参考!C$7+属性价值参考!C$8)+龙魂炼体!J17*(属性价值参考!C$9+属性价值参考!C$10)</f>
        <v>20916</v>
      </c>
      <c r="L17" s="201">
        <f>R17*属性价值参考!C$22+S17*属性价值参考!C$23+龙魂炼体!U17*属性价值参考!C$24+龙魂炼体!V17*属性价值参考!C$16+龙魂炼体!X17*属性价值参考!C$19+龙魂炼体!Y17*属性价值参考!C$13+龙魂炼体!Z17*属性价值参考!C$25+龙魂炼体!AA17*属性价值参考!C$30</f>
        <v>11809.279999999999</v>
      </c>
      <c r="M17" s="201">
        <f t="shared" si="8"/>
        <v>641.67215686274506</v>
      </c>
      <c r="N17" s="201">
        <f t="shared" si="4"/>
        <v>641672.15686274506</v>
      </c>
      <c r="O17" s="158">
        <f>ROUND(材料产出!T24,0)</f>
        <v>173</v>
      </c>
      <c r="P17" s="158">
        <f t="shared" si="5"/>
        <v>173000</v>
      </c>
      <c r="Q17" s="158">
        <f t="shared" si="6"/>
        <v>1400.0000000000002</v>
      </c>
      <c r="R17" s="97">
        <v>700</v>
      </c>
      <c r="S17" s="97"/>
      <c r="T17" s="158">
        <f t="shared" si="9"/>
        <v>70</v>
      </c>
      <c r="U17" s="97">
        <f>14*1/20*$U$23</f>
        <v>14</v>
      </c>
      <c r="V17" s="97"/>
      <c r="W17" s="158">
        <f t="shared" si="10"/>
        <v>140</v>
      </c>
      <c r="X17" s="97">
        <f>14*1/20*$X$23</f>
        <v>14</v>
      </c>
      <c r="Y17" s="97">
        <f>28*1/40*$Y$23</f>
        <v>28</v>
      </c>
      <c r="Z17" s="97">
        <f>14*100*1/2000*$Z$23</f>
        <v>1400</v>
      </c>
      <c r="AA17" s="97"/>
    </row>
    <row r="18" spans="1:27" ht="16.5" x14ac:dyDescent="0.3">
      <c r="A18" s="22" t="s">
        <v>1963</v>
      </c>
      <c r="B18" s="22" t="s">
        <v>1964</v>
      </c>
      <c r="C18" s="23" t="s">
        <v>1980</v>
      </c>
      <c r="D18" s="22" t="str">
        <f t="shared" si="7"/>
        <v>生命值1500|吸血750</v>
      </c>
      <c r="E18" s="22" t="str">
        <f t="shared" si="0"/>
        <v>洗髓丹385/元宝385000</v>
      </c>
      <c r="F18" s="158">
        <v>15</v>
      </c>
      <c r="G18" s="158">
        <f>材料产出!C22</f>
        <v>4.5999999999999996</v>
      </c>
      <c r="H18" s="158">
        <f t="shared" si="1"/>
        <v>1500</v>
      </c>
      <c r="I18" s="158">
        <f t="shared" si="2"/>
        <v>150</v>
      </c>
      <c r="J18" s="158">
        <f t="shared" si="3"/>
        <v>75</v>
      </c>
      <c r="K18" s="201">
        <f>H18*属性价值参考!C$5+龙魂炼体!I18*(属性价值参考!C$7+属性价值参考!C$8)+龙魂炼体!J18*(属性价值参考!C$9+属性价值参考!C$10)</f>
        <v>22410</v>
      </c>
      <c r="L18" s="201">
        <f>R18*属性价值参考!C$22+S18*属性价值参考!C$23+龙魂炼体!U18*属性价值参考!C$24+龙魂炼体!V18*属性价值参考!C$16+龙魂炼体!X18*属性价值参考!C$19+龙魂炼体!Y18*属性价值参考!C$13+龙魂炼体!Z18*属性价值参考!C$25+龙魂炼体!AA18*属性价值参考!C$30</f>
        <v>12652.8</v>
      </c>
      <c r="M18" s="201">
        <f t="shared" si="8"/>
        <v>687.50588235294128</v>
      </c>
      <c r="N18" s="201">
        <f t="shared" si="4"/>
        <v>687505.88235294132</v>
      </c>
      <c r="O18" s="158">
        <f>ROUND(材料产出!T25,0)</f>
        <v>183</v>
      </c>
      <c r="P18" s="158">
        <f t="shared" si="5"/>
        <v>183000</v>
      </c>
      <c r="Q18" s="158">
        <f t="shared" si="6"/>
        <v>1500</v>
      </c>
      <c r="R18" s="97">
        <v>750</v>
      </c>
      <c r="S18" s="97"/>
      <c r="T18" s="158">
        <f t="shared" si="9"/>
        <v>75</v>
      </c>
      <c r="U18" s="97">
        <f>15*1/20*$U$23</f>
        <v>15</v>
      </c>
      <c r="V18" s="97"/>
      <c r="W18" s="158">
        <f t="shared" si="10"/>
        <v>150</v>
      </c>
      <c r="X18" s="97">
        <f>15*1/20*$X$23</f>
        <v>15</v>
      </c>
      <c r="Y18" s="97">
        <f>30*1/40*$Y$23</f>
        <v>30</v>
      </c>
      <c r="Z18" s="97">
        <f>15*100*1/2000*$Z$23</f>
        <v>1500</v>
      </c>
      <c r="AA18" s="97"/>
    </row>
    <row r="19" spans="1:27" ht="16.5" x14ac:dyDescent="0.3">
      <c r="A19" s="22" t="s">
        <v>1963</v>
      </c>
      <c r="B19" s="22" t="s">
        <v>1964</v>
      </c>
      <c r="C19" s="23" t="s">
        <v>1981</v>
      </c>
      <c r="D19" s="22" t="str">
        <f t="shared" si="7"/>
        <v>生命值1600|吸血800</v>
      </c>
      <c r="E19" s="22" t="str">
        <f t="shared" si="0"/>
        <v>洗髓丹405/元宝405000</v>
      </c>
      <c r="F19" s="158">
        <v>16</v>
      </c>
      <c r="G19" s="158">
        <f>材料产出!C23</f>
        <v>4.9000000000000004</v>
      </c>
      <c r="H19" s="158">
        <f t="shared" si="1"/>
        <v>1600</v>
      </c>
      <c r="I19" s="158">
        <f t="shared" si="2"/>
        <v>160</v>
      </c>
      <c r="J19" s="158">
        <f t="shared" si="3"/>
        <v>80</v>
      </c>
      <c r="K19" s="201">
        <f>H19*属性价值参考!C$5+龙魂炼体!I19*(属性价值参考!C$7+属性价值参考!C$8)+龙魂炼体!J19*(属性价值参考!C$9+属性价值参考!C$10)</f>
        <v>23904</v>
      </c>
      <c r="L19" s="201">
        <f>R19*属性价值参考!C$22+S19*属性价值参考!C$23+龙魂炼体!U19*属性价值参考!C$24+龙魂炼体!V19*属性价值参考!C$16+龙魂炼体!X19*属性价值参考!C$19+龙魂炼体!Y19*属性价值参考!C$13+龙魂炼体!Z19*属性价值参考!C$25+龙魂炼体!AA19*属性价值参考!C$30</f>
        <v>13496.32</v>
      </c>
      <c r="M19" s="201">
        <f t="shared" si="8"/>
        <v>733.33960784313729</v>
      </c>
      <c r="N19" s="201">
        <f t="shared" si="4"/>
        <v>733339.60784313723</v>
      </c>
      <c r="O19" s="158">
        <f>ROUND(材料产出!T26,0)</f>
        <v>385</v>
      </c>
      <c r="P19" s="158">
        <f t="shared" si="5"/>
        <v>385000</v>
      </c>
      <c r="Q19" s="158">
        <f t="shared" si="6"/>
        <v>1600</v>
      </c>
      <c r="R19" s="97">
        <v>800</v>
      </c>
      <c r="S19" s="97"/>
      <c r="T19" s="158">
        <f t="shared" si="9"/>
        <v>80</v>
      </c>
      <c r="U19" s="97">
        <f>16*1/20*$U$23</f>
        <v>16</v>
      </c>
      <c r="V19" s="97"/>
      <c r="W19" s="158">
        <f t="shared" si="10"/>
        <v>160</v>
      </c>
      <c r="X19" s="97">
        <f>16*1/20*$X$23</f>
        <v>16</v>
      </c>
      <c r="Y19" s="97">
        <f>32*1/40*$Y$23</f>
        <v>32</v>
      </c>
      <c r="Z19" s="97">
        <f>16*100*1/2000*$Z$23</f>
        <v>1600</v>
      </c>
      <c r="AA19" s="97"/>
    </row>
    <row r="20" spans="1:27" ht="16.5" x14ac:dyDescent="0.3">
      <c r="A20" s="22" t="s">
        <v>1963</v>
      </c>
      <c r="B20" s="22" t="s">
        <v>1964</v>
      </c>
      <c r="C20" s="23" t="s">
        <v>1982</v>
      </c>
      <c r="D20" s="22" t="str">
        <f t="shared" si="7"/>
        <v>生命值1700|吸血850</v>
      </c>
      <c r="E20" s="22" t="str">
        <f t="shared" si="0"/>
        <v>洗髓丹425/元宝425000</v>
      </c>
      <c r="F20" s="158">
        <v>17</v>
      </c>
      <c r="G20" s="158">
        <f>材料产出!C24</f>
        <v>5.2</v>
      </c>
      <c r="H20" s="158">
        <f t="shared" si="1"/>
        <v>1700.0000000000002</v>
      </c>
      <c r="I20" s="158">
        <f t="shared" si="2"/>
        <v>170</v>
      </c>
      <c r="J20" s="158">
        <f t="shared" si="3"/>
        <v>85</v>
      </c>
      <c r="K20" s="201">
        <f>H20*属性价值参考!C$5+龙魂炼体!I20*(属性价值参考!C$7+属性价值参考!C$8)+龙魂炼体!J20*(属性价值参考!C$9+属性价值参考!C$10)</f>
        <v>25398.000000000004</v>
      </c>
      <c r="L20" s="201">
        <f>R20*属性价值参考!C$22+S20*属性价值参考!C$23+龙魂炼体!U20*属性价值参考!C$24+龙魂炼体!V20*属性价值参考!C$16+龙魂炼体!X20*属性价值参考!C$19+龙魂炼体!Y20*属性价值参考!C$13+龙魂炼体!Z20*属性价值参考!C$25+龙魂炼体!AA20*属性价值参考!C$30</f>
        <v>14339.84</v>
      </c>
      <c r="M20" s="201">
        <f t="shared" si="8"/>
        <v>779.1733333333334</v>
      </c>
      <c r="N20" s="201">
        <f t="shared" si="4"/>
        <v>779173.33333333337</v>
      </c>
      <c r="O20" s="158">
        <f>ROUND(材料产出!T27,0)</f>
        <v>405</v>
      </c>
      <c r="P20" s="158">
        <f t="shared" si="5"/>
        <v>405000</v>
      </c>
      <c r="Q20" s="158">
        <f t="shared" si="6"/>
        <v>1700.0000000000002</v>
      </c>
      <c r="R20" s="97">
        <v>850</v>
      </c>
      <c r="S20" s="97"/>
      <c r="T20" s="158">
        <f t="shared" si="9"/>
        <v>85</v>
      </c>
      <c r="U20" s="97">
        <f>17*1/20*$U$23</f>
        <v>17</v>
      </c>
      <c r="V20" s="97"/>
      <c r="W20" s="158">
        <f t="shared" si="10"/>
        <v>170</v>
      </c>
      <c r="X20" s="97">
        <f>17*1/20*$X$23</f>
        <v>17</v>
      </c>
      <c r="Y20" s="97">
        <f>34*1/40*$Y$23</f>
        <v>34</v>
      </c>
      <c r="Z20" s="97">
        <f>17*100*1/2000*$Z$23</f>
        <v>1700</v>
      </c>
      <c r="AA20" s="97"/>
    </row>
    <row r="21" spans="1:27" ht="16.5" x14ac:dyDescent="0.3">
      <c r="A21" s="22" t="s">
        <v>1963</v>
      </c>
      <c r="B21" s="22" t="s">
        <v>1964</v>
      </c>
      <c r="C21" s="23" t="s">
        <v>1983</v>
      </c>
      <c r="D21" s="22" t="str">
        <f t="shared" si="7"/>
        <v>生命值1800|吸血900</v>
      </c>
      <c r="E21" s="22" t="str">
        <f t="shared" si="0"/>
        <v>洗髓丹445/元宝445000</v>
      </c>
      <c r="F21" s="158">
        <v>18</v>
      </c>
      <c r="G21" s="158">
        <f>材料产出!C25</f>
        <v>5.5</v>
      </c>
      <c r="H21" s="158">
        <f t="shared" si="1"/>
        <v>1800</v>
      </c>
      <c r="I21" s="158">
        <f t="shared" si="2"/>
        <v>180</v>
      </c>
      <c r="J21" s="158">
        <f t="shared" si="3"/>
        <v>90</v>
      </c>
      <c r="K21" s="201">
        <f>H21*属性价值参考!C$5+龙魂炼体!I21*(属性价值参考!C$7+属性价值参考!C$8)+龙魂炼体!J21*(属性价值参考!C$9+属性价值参考!C$10)</f>
        <v>26892</v>
      </c>
      <c r="L21" s="201">
        <f>R21*属性价值参考!C$22+S21*属性价值参考!C$23+龙魂炼体!U21*属性价值参考!C$24+龙魂炼体!V21*属性价值参考!C$16+龙魂炼体!X21*属性价值参考!C$19+龙魂炼体!Y21*属性价值参考!C$13+龙魂炼体!Z21*属性价值参考!C$25+龙魂炼体!AA21*属性价值参考!C$30</f>
        <v>15183.359999999999</v>
      </c>
      <c r="M21" s="201">
        <f t="shared" si="8"/>
        <v>825.00705882352941</v>
      </c>
      <c r="N21" s="201">
        <f t="shared" si="4"/>
        <v>825007.0588235294</v>
      </c>
      <c r="O21" s="158">
        <f>ROUND(材料产出!T28,0)</f>
        <v>425</v>
      </c>
      <c r="P21" s="158">
        <f t="shared" si="5"/>
        <v>425000</v>
      </c>
      <c r="Q21" s="158">
        <f t="shared" si="6"/>
        <v>1800</v>
      </c>
      <c r="R21" s="97">
        <f>18/20*$R$23</f>
        <v>900</v>
      </c>
      <c r="S21" s="97"/>
      <c r="T21" s="158">
        <f t="shared" si="9"/>
        <v>90</v>
      </c>
      <c r="U21" s="97">
        <f>18*1/20*$U$23</f>
        <v>18</v>
      </c>
      <c r="V21" s="97"/>
      <c r="W21" s="158">
        <f t="shared" si="10"/>
        <v>180</v>
      </c>
      <c r="X21" s="97">
        <f>18*1/20*$X$23</f>
        <v>18</v>
      </c>
      <c r="Y21" s="97">
        <f>36*1/40*$Y$23</f>
        <v>36</v>
      </c>
      <c r="Z21" s="97">
        <f>18*100*1/2000*$Z$23</f>
        <v>1800</v>
      </c>
      <c r="AA21" s="97"/>
    </row>
    <row r="22" spans="1:27" ht="16.5" x14ac:dyDescent="0.3">
      <c r="A22" s="22" t="s">
        <v>1963</v>
      </c>
      <c r="B22" s="22" t="s">
        <v>1964</v>
      </c>
      <c r="C22" s="23" t="s">
        <v>1984</v>
      </c>
      <c r="D22" s="22" t="str">
        <f t="shared" si="7"/>
        <v>生命值1900|吸血950</v>
      </c>
      <c r="E22" s="22" t="str">
        <f t="shared" si="0"/>
        <v>洗髓丹465/元宝465000</v>
      </c>
      <c r="F22" s="158">
        <v>19</v>
      </c>
      <c r="G22" s="158">
        <f>材料产出!C26</f>
        <v>5.8</v>
      </c>
      <c r="H22" s="158">
        <f t="shared" si="1"/>
        <v>1900</v>
      </c>
      <c r="I22" s="158">
        <f t="shared" si="2"/>
        <v>190</v>
      </c>
      <c r="J22" s="158">
        <f t="shared" si="3"/>
        <v>95</v>
      </c>
      <c r="K22" s="201">
        <f>H22*属性价值参考!C$5+龙魂炼体!I22*(属性价值参考!C$7+属性价值参考!C$8)+龙魂炼体!J22*(属性价值参考!C$9+属性价值参考!C$10)</f>
        <v>28386</v>
      </c>
      <c r="L22" s="201">
        <f>R22*属性价值参考!C$22+S22*属性价值参考!C$23+龙魂炼体!U22*属性价值参考!C$24+龙魂炼体!V22*属性价值参考!C$16+龙魂炼体!X22*属性价值参考!C$19+龙魂炼体!Y22*属性价值参考!C$13+龙魂炼体!Z22*属性价值参考!C$25+龙魂炼体!AA22*属性价值参考!C$30</f>
        <v>16026.880000000001</v>
      </c>
      <c r="M22" s="201">
        <f t="shared" si="8"/>
        <v>870.84078431372564</v>
      </c>
      <c r="N22" s="201">
        <f t="shared" si="4"/>
        <v>870840.78431372566</v>
      </c>
      <c r="O22" s="158">
        <f>ROUND(材料产出!T29,0)</f>
        <v>445</v>
      </c>
      <c r="P22" s="158">
        <f t="shared" si="5"/>
        <v>445000</v>
      </c>
      <c r="Q22" s="158">
        <f t="shared" si="6"/>
        <v>1900</v>
      </c>
      <c r="R22" s="97">
        <f>19/20*$R$23</f>
        <v>950</v>
      </c>
      <c r="S22" s="97"/>
      <c r="T22" s="158">
        <f t="shared" si="9"/>
        <v>95</v>
      </c>
      <c r="U22" s="97">
        <f>19*1/20*$U$23</f>
        <v>19</v>
      </c>
      <c r="V22" s="97"/>
      <c r="W22" s="158">
        <f t="shared" si="10"/>
        <v>190</v>
      </c>
      <c r="X22" s="97">
        <f>19*1/20*$X$23</f>
        <v>19</v>
      </c>
      <c r="Y22" s="97">
        <f>38*1/40*$Y$23</f>
        <v>38</v>
      </c>
      <c r="Z22" s="97">
        <f>19*100*1/2000*$Z$23</f>
        <v>1900</v>
      </c>
      <c r="AA22" s="97"/>
    </row>
    <row r="23" spans="1:27" ht="16.5" x14ac:dyDescent="0.3">
      <c r="A23" s="22" t="s">
        <v>1963</v>
      </c>
      <c r="B23" s="22" t="s">
        <v>1964</v>
      </c>
      <c r="C23" s="23" t="s">
        <v>1985</v>
      </c>
      <c r="D23" s="22" t="str">
        <f t="shared" si="7"/>
        <v>生命值2000|吸血1000</v>
      </c>
      <c r="E23" s="22"/>
      <c r="F23" s="158">
        <v>20</v>
      </c>
      <c r="G23" s="158">
        <f>材料产出!C27</f>
        <v>6.1</v>
      </c>
      <c r="H23" s="158">
        <f t="shared" si="1"/>
        <v>2000</v>
      </c>
      <c r="I23" s="158">
        <f t="shared" si="2"/>
        <v>200</v>
      </c>
      <c r="J23" s="158">
        <f t="shared" si="3"/>
        <v>100</v>
      </c>
      <c r="K23" s="201">
        <f>H23*属性价值参考!C$5+龙魂炼体!I23*(属性价值参考!C$7+属性价值参考!C$8)+龙魂炼体!J23*(属性价值参考!C$9+属性价值参考!C$10)</f>
        <v>29880</v>
      </c>
      <c r="L23" s="201">
        <f>R23*属性价值参考!C$22+S23*属性价值参考!C$23+龙魂炼体!U23*属性价值参考!C$24+龙魂炼体!V23*属性价值参考!C$16+龙魂炼体!X23*属性价值参考!C$19+龙魂炼体!Y23*属性价值参考!C$13+龙魂炼体!Z23*属性价值参考!C$25+龙魂炼体!AA23*属性价值参考!C$30</f>
        <v>16870.400000000001</v>
      </c>
      <c r="M23" s="201">
        <f t="shared" si="8"/>
        <v>916.67450980392164</v>
      </c>
      <c r="N23" s="201">
        <f t="shared" si="4"/>
        <v>916674.50980392168</v>
      </c>
      <c r="O23" s="158">
        <f>ROUND(材料产出!T30,0)</f>
        <v>465</v>
      </c>
      <c r="P23" s="158">
        <f t="shared" si="5"/>
        <v>465000</v>
      </c>
      <c r="Q23" s="158">
        <f t="shared" si="6"/>
        <v>2000</v>
      </c>
      <c r="R23" s="97">
        <f>参数调整!AJ8*100</f>
        <v>1000</v>
      </c>
      <c r="S23" s="97"/>
      <c r="T23" s="158">
        <f t="shared" si="9"/>
        <v>100</v>
      </c>
      <c r="U23" s="97">
        <f>参数调整!AI8</f>
        <v>20</v>
      </c>
      <c r="V23" s="97"/>
      <c r="W23" s="158">
        <f t="shared" si="10"/>
        <v>200</v>
      </c>
      <c r="X23" s="97">
        <f>参数调整!AB8</f>
        <v>20</v>
      </c>
      <c r="Y23" s="97">
        <f>参数调整!Y8</f>
        <v>40</v>
      </c>
      <c r="Z23" s="97">
        <f>参数调整!AL8*100</f>
        <v>2000</v>
      </c>
      <c r="AA23" s="97"/>
    </row>
    <row r="24" spans="1:27" ht="16.5" x14ac:dyDescent="0.3">
      <c r="A24" s="22" t="s">
        <v>1963</v>
      </c>
      <c r="B24" s="22" t="s">
        <v>1964</v>
      </c>
      <c r="C24" s="23" t="s">
        <v>1986</v>
      </c>
      <c r="D24" s="22" t="s">
        <v>1987</v>
      </c>
      <c r="E24" s="22"/>
      <c r="F24" s="158">
        <v>21</v>
      </c>
      <c r="G24" s="158"/>
      <c r="H24" s="158">
        <f t="shared" si="1"/>
        <v>2100</v>
      </c>
      <c r="I24" s="158">
        <f t="shared" si="2"/>
        <v>210</v>
      </c>
      <c r="J24" s="158">
        <f t="shared" si="3"/>
        <v>105</v>
      </c>
      <c r="K24" s="201">
        <f>H24*属性价值参考!C$5+龙魂炼体!I24*(属性价值参考!C$7+属性价值参考!C$8)+龙魂炼体!J24*(属性价值参考!C$9+属性价值参考!C$10)</f>
        <v>31374</v>
      </c>
      <c r="L24" s="201">
        <f>R24*属性价值参考!C$22+S24*属性价值参考!C$23+龙魂炼体!U24*属性价值参考!C$24+龙魂炼体!V24*属性价值参考!C$16+龙魂炼体!X24*属性价值参考!C$19+龙魂炼体!Y24*属性价值参考!C$13+龙魂炼体!Z24*属性价值参考!C$25+龙魂炼体!AA24*属性价值参考!C$30</f>
        <v>17534.52</v>
      </c>
      <c r="M24" s="201">
        <f t="shared" si="8"/>
        <v>958.99058823529424</v>
      </c>
      <c r="N24" s="201">
        <f t="shared" si="4"/>
        <v>958990.58823529421</v>
      </c>
      <c r="O24" s="158"/>
      <c r="P24" s="158"/>
      <c r="Q24" s="158">
        <f t="shared" si="6"/>
        <v>2100</v>
      </c>
      <c r="R24" s="97">
        <f>21*1/20*$R$23</f>
        <v>1050</v>
      </c>
      <c r="S24" s="97"/>
      <c r="T24" s="158">
        <f t="shared" si="9"/>
        <v>105</v>
      </c>
      <c r="U24" s="97">
        <v>20</v>
      </c>
      <c r="V24" s="97">
        <v>1</v>
      </c>
      <c r="W24" s="158">
        <f t="shared" si="10"/>
        <v>210</v>
      </c>
      <c r="X24" s="97">
        <v>21</v>
      </c>
      <c r="Y24" s="97">
        <v>42</v>
      </c>
      <c r="Z24" s="97">
        <v>2000</v>
      </c>
      <c r="AA24" s="97">
        <v>100</v>
      </c>
    </row>
    <row r="25" spans="1:27" ht="16.5" x14ac:dyDescent="0.3">
      <c r="A25" s="22" t="s">
        <v>1963</v>
      </c>
      <c r="B25" s="22" t="s">
        <v>1964</v>
      </c>
      <c r="C25" s="23" t="s">
        <v>1988</v>
      </c>
      <c r="D25" s="22" t="s">
        <v>1989</v>
      </c>
      <c r="E25" s="22"/>
      <c r="F25" s="158">
        <v>22</v>
      </c>
      <c r="G25" s="158"/>
      <c r="H25" s="158">
        <f t="shared" si="1"/>
        <v>2200</v>
      </c>
      <c r="I25" s="158">
        <f t="shared" si="2"/>
        <v>220</v>
      </c>
      <c r="J25" s="158">
        <f t="shared" si="3"/>
        <v>110</v>
      </c>
      <c r="K25" s="201">
        <f>H25*属性价值参考!C$5+龙魂炼体!I25*(属性价值参考!C$7+属性价值参考!C$8)+龙魂炼体!J25*(属性价值参考!C$9+属性价值参考!C$10)</f>
        <v>32868</v>
      </c>
      <c r="L25" s="201">
        <f>R25*属性价值参考!C$22+S25*属性价值参考!C$23+龙魂炼体!U25*属性价值参考!C$24+龙魂炼体!V25*属性价值参考!C$16+龙魂炼体!X25*属性价值参考!C$19+龙魂炼体!Y25*属性价值参考!C$13+龙魂炼体!Z25*属性价值参考!C$25+龙魂炼体!AA25*属性价值参考!C$30</f>
        <v>18198.64</v>
      </c>
      <c r="M25" s="201">
        <f t="shared" si="8"/>
        <v>1001.3066666666666</v>
      </c>
      <c r="N25" s="201">
        <f t="shared" si="4"/>
        <v>1001306.6666666666</v>
      </c>
      <c r="O25" s="158"/>
      <c r="P25" s="158"/>
      <c r="Q25" s="158">
        <f t="shared" si="6"/>
        <v>2200</v>
      </c>
      <c r="R25" s="97">
        <f>22*1/20*$R$23</f>
        <v>1100</v>
      </c>
      <c r="S25" s="97"/>
      <c r="T25" s="158">
        <f t="shared" si="9"/>
        <v>110</v>
      </c>
      <c r="U25" s="97">
        <v>20</v>
      </c>
      <c r="V25" s="97">
        <v>2</v>
      </c>
      <c r="W25" s="158">
        <f t="shared" si="10"/>
        <v>220</v>
      </c>
      <c r="X25" s="97">
        <v>22</v>
      </c>
      <c r="Y25" s="97">
        <v>44</v>
      </c>
      <c r="Z25" s="97">
        <v>2000</v>
      </c>
      <c r="AA25" s="97">
        <v>200</v>
      </c>
    </row>
    <row r="26" spans="1:27" ht="16.5" x14ac:dyDescent="0.3">
      <c r="A26" s="22" t="s">
        <v>1963</v>
      </c>
      <c r="B26" s="22" t="s">
        <v>1964</v>
      </c>
      <c r="C26" s="23" t="s">
        <v>1990</v>
      </c>
      <c r="D26" s="22" t="s">
        <v>1991</v>
      </c>
      <c r="E26" s="22"/>
      <c r="F26" s="158">
        <v>23</v>
      </c>
      <c r="G26" s="158"/>
      <c r="H26" s="158">
        <f t="shared" si="1"/>
        <v>2300</v>
      </c>
      <c r="I26" s="158">
        <f t="shared" si="2"/>
        <v>230</v>
      </c>
      <c r="J26" s="158">
        <f t="shared" si="3"/>
        <v>115</v>
      </c>
      <c r="K26" s="201">
        <f>H26*属性价值参考!C$5+龙魂炼体!I26*(属性价值参考!C$7+属性价值参考!C$8)+龙魂炼体!J26*(属性价值参考!C$9+属性价值参考!C$10)</f>
        <v>34362</v>
      </c>
      <c r="L26" s="201">
        <f>R26*属性价值参考!C$22+S26*属性价值参考!C$23+龙魂炼体!U26*属性价值参考!C$24+龙魂炼体!V26*属性价值参考!C$16+龙魂炼体!X26*属性价值参考!C$19+龙魂炼体!Y26*属性价值参考!C$13+龙魂炼体!Z26*属性价值参考!C$25+龙魂炼体!AA26*属性价值参考!C$30</f>
        <v>18862.759999999998</v>
      </c>
      <c r="M26" s="201">
        <f t="shared" si="8"/>
        <v>1043.6227450980391</v>
      </c>
      <c r="N26" s="201">
        <f t="shared" si="4"/>
        <v>1043622.7450980392</v>
      </c>
      <c r="O26" s="158"/>
      <c r="P26" s="158"/>
      <c r="Q26" s="158">
        <f t="shared" si="6"/>
        <v>2300</v>
      </c>
      <c r="R26" s="97">
        <f>23*1/20*$R$23</f>
        <v>1150</v>
      </c>
      <c r="S26" s="97"/>
      <c r="T26" s="158">
        <f t="shared" si="9"/>
        <v>115</v>
      </c>
      <c r="U26" s="97">
        <v>20</v>
      </c>
      <c r="V26" s="97">
        <v>3</v>
      </c>
      <c r="W26" s="158">
        <f t="shared" si="10"/>
        <v>230</v>
      </c>
      <c r="X26" s="97">
        <v>23</v>
      </c>
      <c r="Y26" s="97">
        <v>46</v>
      </c>
      <c r="Z26" s="97">
        <v>2000</v>
      </c>
      <c r="AA26" s="97">
        <v>300</v>
      </c>
    </row>
    <row r="27" spans="1:27" ht="16.5" x14ac:dyDescent="0.3">
      <c r="A27" s="22" t="s">
        <v>1963</v>
      </c>
      <c r="B27" s="22" t="s">
        <v>1964</v>
      </c>
      <c r="C27" s="23" t="s">
        <v>1992</v>
      </c>
      <c r="D27" s="22" t="s">
        <v>1993</v>
      </c>
      <c r="E27" s="22"/>
      <c r="F27" s="158">
        <v>24</v>
      </c>
      <c r="G27" s="158"/>
      <c r="H27" s="158">
        <f t="shared" si="1"/>
        <v>2400</v>
      </c>
      <c r="I27" s="158">
        <f t="shared" si="2"/>
        <v>240</v>
      </c>
      <c r="J27" s="158">
        <f t="shared" si="3"/>
        <v>120</v>
      </c>
      <c r="K27" s="201">
        <f>H27*属性价值参考!C$5+龙魂炼体!I27*(属性价值参考!C$7+属性价值参考!C$8)+龙魂炼体!J27*(属性价值参考!C$9+属性价值参考!C$10)</f>
        <v>35856</v>
      </c>
      <c r="L27" s="201">
        <f>R27*属性价值参考!C$22+S27*属性价值参考!C$23+龙魂炼体!U27*属性价值参考!C$24+龙魂炼体!V27*属性价值参考!C$16+龙魂炼体!X27*属性价值参考!C$19+龙魂炼体!Y27*属性价值参考!C$13+龙魂炼体!Z27*属性价值参考!C$25+龙魂炼体!AA27*属性价值参考!C$30</f>
        <v>19526.879999999997</v>
      </c>
      <c r="M27" s="201">
        <f t="shared" si="8"/>
        <v>1085.9388235294118</v>
      </c>
      <c r="N27" s="201">
        <f t="shared" si="4"/>
        <v>1085938.8235294118</v>
      </c>
      <c r="O27" s="158"/>
      <c r="P27" s="158"/>
      <c r="Q27" s="158">
        <f t="shared" si="6"/>
        <v>2400</v>
      </c>
      <c r="R27" s="97">
        <f>24*1/20*$R$23</f>
        <v>1200</v>
      </c>
      <c r="S27" s="97"/>
      <c r="T27" s="158">
        <f t="shared" si="9"/>
        <v>120</v>
      </c>
      <c r="U27" s="97">
        <v>20</v>
      </c>
      <c r="V27" s="97">
        <v>4</v>
      </c>
      <c r="W27" s="158">
        <f t="shared" si="10"/>
        <v>240</v>
      </c>
      <c r="X27" s="97">
        <v>24</v>
      </c>
      <c r="Y27" s="97">
        <v>48</v>
      </c>
      <c r="Z27" s="97">
        <v>2000</v>
      </c>
      <c r="AA27" s="97">
        <v>400</v>
      </c>
    </row>
    <row r="28" spans="1:27" ht="16.5" x14ac:dyDescent="0.3">
      <c r="A28" s="22" t="s">
        <v>1963</v>
      </c>
      <c r="B28" s="22" t="s">
        <v>1964</v>
      </c>
      <c r="C28" s="23" t="s">
        <v>1994</v>
      </c>
      <c r="D28" s="22" t="s">
        <v>1995</v>
      </c>
      <c r="E28" s="22"/>
      <c r="F28" s="158">
        <v>25</v>
      </c>
      <c r="G28" s="158"/>
      <c r="H28" s="158">
        <f t="shared" si="1"/>
        <v>2500</v>
      </c>
      <c r="I28" s="158">
        <f t="shared" si="2"/>
        <v>250</v>
      </c>
      <c r="J28" s="158">
        <f t="shared" si="3"/>
        <v>125</v>
      </c>
      <c r="K28" s="201">
        <f>H28*属性价值参考!C$5+龙魂炼体!I28*(属性价值参考!C$7+属性价值参考!C$8)+龙魂炼体!J28*(属性价值参考!C$9+属性价值参考!C$10)</f>
        <v>37350</v>
      </c>
      <c r="L28" s="201">
        <f>R28*属性价值参考!C$22+S28*属性价值参考!C$23+龙魂炼体!U28*属性价值参考!C$24+龙魂炼体!V28*属性价值参考!C$16+龙魂炼体!X28*属性价值参考!C$19+龙魂炼体!Y28*属性价值参考!C$13+龙魂炼体!Z28*属性价值参考!C$25+龙魂炼体!AA28*属性价值参考!C$30</f>
        <v>20191</v>
      </c>
      <c r="M28" s="201">
        <f t="shared" si="8"/>
        <v>1128.2549019607843</v>
      </c>
      <c r="N28" s="201">
        <f t="shared" si="4"/>
        <v>1128254.9019607843</v>
      </c>
      <c r="O28" s="158"/>
      <c r="P28" s="158"/>
      <c r="Q28" s="158">
        <f t="shared" si="6"/>
        <v>2500</v>
      </c>
      <c r="R28" s="97">
        <f>25*1/20*$R$23</f>
        <v>1250</v>
      </c>
      <c r="S28" s="97"/>
      <c r="T28" s="158">
        <f t="shared" si="9"/>
        <v>125</v>
      </c>
      <c r="U28" s="97">
        <v>20</v>
      </c>
      <c r="V28" s="97">
        <v>5</v>
      </c>
      <c r="W28" s="158">
        <f t="shared" si="10"/>
        <v>250</v>
      </c>
      <c r="X28" s="97">
        <v>25</v>
      </c>
      <c r="Y28" s="97">
        <v>50</v>
      </c>
      <c r="Z28" s="97">
        <v>2000</v>
      </c>
      <c r="AA28" s="97">
        <v>500</v>
      </c>
    </row>
    <row r="29" spans="1:27" ht="16.5" x14ac:dyDescent="0.3">
      <c r="A29" s="22" t="s">
        <v>1963</v>
      </c>
      <c r="B29" s="22" t="s">
        <v>1964</v>
      </c>
      <c r="C29" s="23" t="s">
        <v>1996</v>
      </c>
      <c r="D29" s="22" t="s">
        <v>1997</v>
      </c>
      <c r="E29" s="22"/>
      <c r="F29" s="158">
        <v>26</v>
      </c>
      <c r="G29" s="158"/>
      <c r="H29" s="158">
        <f t="shared" si="1"/>
        <v>2600</v>
      </c>
      <c r="I29" s="158">
        <f t="shared" si="2"/>
        <v>260</v>
      </c>
      <c r="J29" s="158">
        <f t="shared" si="3"/>
        <v>130</v>
      </c>
      <c r="K29" s="201">
        <f>H29*属性价值参考!C$5+龙魂炼体!I29*(属性价值参考!C$7+属性价值参考!C$8)+龙魂炼体!J29*(属性价值参考!C$9+属性价值参考!C$10)</f>
        <v>38844</v>
      </c>
      <c r="L29" s="201">
        <f>R29*属性价值参考!C$22+S29*属性价值参考!C$23+龙魂炼体!U29*属性价值参考!C$24+龙魂炼体!V29*属性价值参考!C$16+龙魂炼体!X29*属性价值参考!C$19+龙魂炼体!Y29*属性价值参考!C$13+龙魂炼体!Z29*属性价值参考!C$25+龙魂炼体!AA29*属性价值参考!C$30</f>
        <v>20855.12</v>
      </c>
      <c r="M29" s="201">
        <f t="shared" si="8"/>
        <v>1170.5709803921568</v>
      </c>
      <c r="N29" s="201">
        <f t="shared" si="4"/>
        <v>1170570.9803921569</v>
      </c>
      <c r="O29" s="158"/>
      <c r="P29" s="158"/>
      <c r="Q29" s="158">
        <f t="shared" si="6"/>
        <v>2600</v>
      </c>
      <c r="R29" s="97">
        <f>26*1/20*$R$23</f>
        <v>1300</v>
      </c>
      <c r="S29" s="97"/>
      <c r="T29" s="158">
        <f t="shared" si="9"/>
        <v>130</v>
      </c>
      <c r="U29" s="97">
        <v>20</v>
      </c>
      <c r="V29" s="97">
        <v>6</v>
      </c>
      <c r="W29" s="158">
        <f t="shared" si="10"/>
        <v>260</v>
      </c>
      <c r="X29" s="97">
        <v>26</v>
      </c>
      <c r="Y29" s="97">
        <v>52</v>
      </c>
      <c r="Z29" s="97">
        <v>2000</v>
      </c>
      <c r="AA29" s="97">
        <v>600</v>
      </c>
    </row>
    <row r="30" spans="1:27" ht="16.5" x14ac:dyDescent="0.3">
      <c r="A30" s="22" t="s">
        <v>1963</v>
      </c>
      <c r="B30" s="22" t="s">
        <v>1964</v>
      </c>
      <c r="C30" s="23" t="s">
        <v>1998</v>
      </c>
      <c r="D30" s="22" t="s">
        <v>1999</v>
      </c>
      <c r="E30" s="22"/>
      <c r="F30" s="158">
        <v>27</v>
      </c>
      <c r="G30" s="158"/>
      <c r="H30" s="158">
        <f t="shared" si="1"/>
        <v>2700</v>
      </c>
      <c r="I30" s="158">
        <f t="shared" si="2"/>
        <v>270</v>
      </c>
      <c r="J30" s="158">
        <f t="shared" si="3"/>
        <v>135</v>
      </c>
      <c r="K30" s="201">
        <f>H30*属性价值参考!C$5+龙魂炼体!I30*(属性价值参考!C$7+属性价值参考!C$8)+龙魂炼体!J30*(属性价值参考!C$9+属性价值参考!C$10)</f>
        <v>40338</v>
      </c>
      <c r="L30" s="201">
        <f>R30*属性价值参考!C$22+S30*属性价值参考!C$23+龙魂炼体!U30*属性价值参考!C$24+龙魂炼体!V30*属性价值参考!C$16+龙魂炼体!X30*属性价值参考!C$19+龙魂炼体!Y30*属性价值参考!C$13+龙魂炼体!Z30*属性价值参考!C$25+龙魂炼体!AA30*属性价值参考!C$30</f>
        <v>21519.24</v>
      </c>
      <c r="M30" s="201">
        <f t="shared" si="8"/>
        <v>1212.8870588235295</v>
      </c>
      <c r="N30" s="201">
        <f t="shared" si="4"/>
        <v>1212887.0588235296</v>
      </c>
      <c r="O30" s="158"/>
      <c r="P30" s="158"/>
      <c r="Q30" s="158">
        <f t="shared" si="6"/>
        <v>2700</v>
      </c>
      <c r="R30" s="97">
        <f>27*1/20*$R$23</f>
        <v>1350</v>
      </c>
      <c r="S30" s="97"/>
      <c r="T30" s="158">
        <f t="shared" si="9"/>
        <v>135</v>
      </c>
      <c r="U30" s="97">
        <v>20</v>
      </c>
      <c r="V30" s="97">
        <v>7</v>
      </c>
      <c r="W30" s="158">
        <f t="shared" si="10"/>
        <v>270</v>
      </c>
      <c r="X30" s="97">
        <v>27</v>
      </c>
      <c r="Y30" s="97">
        <v>54</v>
      </c>
      <c r="Z30" s="97">
        <v>2000</v>
      </c>
      <c r="AA30" s="97">
        <v>700</v>
      </c>
    </row>
    <row r="31" spans="1:27" ht="16.5" x14ac:dyDescent="0.3">
      <c r="A31" s="22" t="s">
        <v>1963</v>
      </c>
      <c r="B31" s="22" t="s">
        <v>1964</v>
      </c>
      <c r="C31" s="23" t="s">
        <v>2000</v>
      </c>
      <c r="D31" s="22" t="s">
        <v>2001</v>
      </c>
      <c r="E31" s="22"/>
      <c r="F31" s="158">
        <v>28</v>
      </c>
      <c r="G31" s="158"/>
      <c r="H31" s="158">
        <f t="shared" si="1"/>
        <v>2800.0000000000005</v>
      </c>
      <c r="I31" s="158">
        <f t="shared" si="2"/>
        <v>280</v>
      </c>
      <c r="J31" s="158">
        <f t="shared" si="3"/>
        <v>140</v>
      </c>
      <c r="K31" s="201">
        <f>H31*属性价值参考!C$5+龙魂炼体!I31*(属性价值参考!C$7+属性价值参考!C$8)+龙魂炼体!J31*(属性价值参考!C$9+属性价值参考!C$10)</f>
        <v>41832</v>
      </c>
      <c r="L31" s="201">
        <f>R31*属性价值参考!C$22+S31*属性价值参考!C$23+龙魂炼体!U31*属性价值参考!C$24+龙魂炼体!V31*属性价值参考!C$16+龙魂炼体!X31*属性价值参考!C$19+龙魂炼体!Y31*属性价值参考!C$13+龙魂炼体!Z31*属性价值参考!C$25+龙魂炼体!AA31*属性价值参考!C$30</f>
        <v>22183.359999999997</v>
      </c>
      <c r="M31" s="201">
        <f t="shared" si="8"/>
        <v>1255.203137254902</v>
      </c>
      <c r="N31" s="201">
        <f t="shared" si="4"/>
        <v>1255203.1372549019</v>
      </c>
      <c r="O31" s="158"/>
      <c r="P31" s="158"/>
      <c r="Q31" s="158">
        <f t="shared" si="6"/>
        <v>2800.0000000000005</v>
      </c>
      <c r="R31" s="97">
        <f>28*1/20*$R$23</f>
        <v>1400</v>
      </c>
      <c r="S31" s="97"/>
      <c r="T31" s="158">
        <f t="shared" si="9"/>
        <v>140</v>
      </c>
      <c r="U31" s="97">
        <v>20</v>
      </c>
      <c r="V31" s="97">
        <v>8</v>
      </c>
      <c r="W31" s="158">
        <f t="shared" si="10"/>
        <v>280</v>
      </c>
      <c r="X31" s="97">
        <v>28</v>
      </c>
      <c r="Y31" s="97">
        <v>56</v>
      </c>
      <c r="Z31" s="97">
        <v>2000</v>
      </c>
      <c r="AA31" s="97">
        <v>800</v>
      </c>
    </row>
    <row r="32" spans="1:27" ht="16.5" x14ac:dyDescent="0.3">
      <c r="A32" s="22" t="s">
        <v>1963</v>
      </c>
      <c r="B32" s="22" t="s">
        <v>1964</v>
      </c>
      <c r="C32" s="23" t="s">
        <v>2002</v>
      </c>
      <c r="D32" s="22" t="s">
        <v>2003</v>
      </c>
      <c r="E32" s="22"/>
      <c r="F32" s="158">
        <v>29</v>
      </c>
      <c r="G32" s="158"/>
      <c r="H32" s="158">
        <f t="shared" si="1"/>
        <v>2900</v>
      </c>
      <c r="I32" s="158">
        <f t="shared" si="2"/>
        <v>290</v>
      </c>
      <c r="J32" s="158">
        <f t="shared" si="3"/>
        <v>145</v>
      </c>
      <c r="K32" s="201">
        <f>H32*属性价值参考!C$5+龙魂炼体!I32*(属性价值参考!C$7+属性价值参考!C$8)+龙魂炼体!J32*(属性价值参考!C$9+属性价值参考!C$10)</f>
        <v>43326</v>
      </c>
      <c r="L32" s="201">
        <f>R32*属性价值参考!C$22+S32*属性价值参考!C$23+龙魂炼体!U32*属性价值参考!C$24+龙魂炼体!V32*属性价值参考!C$16+龙魂炼体!X32*属性价值参考!C$19+龙魂炼体!Y32*属性价值参考!C$13+龙魂炼体!Z32*属性价值参考!C$25+龙魂炼体!AA32*属性价值参考!C$30</f>
        <v>22847.48</v>
      </c>
      <c r="M32" s="201">
        <f t="shared" si="8"/>
        <v>1297.5192156862745</v>
      </c>
      <c r="N32" s="201">
        <f t="shared" si="4"/>
        <v>1297519.2156862745</v>
      </c>
      <c r="O32" s="158"/>
      <c r="P32" s="158"/>
      <c r="Q32" s="158">
        <f t="shared" si="6"/>
        <v>2900</v>
      </c>
      <c r="R32" s="97">
        <f>29*1/20*$R$23</f>
        <v>1450</v>
      </c>
      <c r="S32" s="97"/>
      <c r="T32" s="158">
        <f t="shared" si="9"/>
        <v>145</v>
      </c>
      <c r="U32" s="97">
        <v>20</v>
      </c>
      <c r="V32" s="97">
        <v>9</v>
      </c>
      <c r="W32" s="158">
        <f t="shared" si="10"/>
        <v>290</v>
      </c>
      <c r="X32" s="97">
        <v>29</v>
      </c>
      <c r="Y32" s="97">
        <v>58</v>
      </c>
      <c r="Z32" s="97">
        <v>2000</v>
      </c>
      <c r="AA32" s="97">
        <v>900</v>
      </c>
    </row>
    <row r="33" spans="1:27" ht="16.5" x14ac:dyDescent="0.3">
      <c r="A33" s="22" t="s">
        <v>1963</v>
      </c>
      <c r="B33" s="22" t="s">
        <v>1964</v>
      </c>
      <c r="C33" s="23" t="s">
        <v>2004</v>
      </c>
      <c r="D33" s="22" t="s">
        <v>2005</v>
      </c>
      <c r="E33" s="22"/>
      <c r="F33" s="158">
        <v>30</v>
      </c>
      <c r="G33" s="158"/>
      <c r="H33" s="158">
        <f t="shared" si="1"/>
        <v>3000</v>
      </c>
      <c r="I33" s="158">
        <f t="shared" si="2"/>
        <v>300</v>
      </c>
      <c r="J33" s="158">
        <f t="shared" si="3"/>
        <v>150</v>
      </c>
      <c r="K33" s="201">
        <f>H33*属性价值参考!C$5+龙魂炼体!I33*(属性价值参考!C$7+属性价值参考!C$8)+龙魂炼体!J33*(属性价值参考!C$9+属性价值参考!C$10)</f>
        <v>44820</v>
      </c>
      <c r="L33" s="201">
        <f>R33*属性价值参考!C$22+S33*属性价值参考!C$23+龙魂炼体!U33*属性价值参考!C$24+龙魂炼体!V33*属性价值参考!C$16+龙魂炼体!X33*属性价值参考!C$19+龙魂炼体!Y33*属性价值参考!C$13+龙魂炼体!Z33*属性价值参考!C$25+龙魂炼体!AA33*属性价值参考!C$30</f>
        <v>23511.599999999999</v>
      </c>
      <c r="M33" s="201">
        <f t="shared" si="8"/>
        <v>1339.8352941176472</v>
      </c>
      <c r="N33" s="201">
        <f t="shared" si="4"/>
        <v>1339835.2941176472</v>
      </c>
      <c r="O33" s="158"/>
      <c r="P33" s="158"/>
      <c r="Q33" s="158">
        <f t="shared" si="6"/>
        <v>3000</v>
      </c>
      <c r="R33" s="97">
        <f>30*1/20*$R$23</f>
        <v>1500</v>
      </c>
      <c r="S33" s="97"/>
      <c r="T33" s="158">
        <f t="shared" si="9"/>
        <v>150</v>
      </c>
      <c r="U33" s="97">
        <v>20</v>
      </c>
      <c r="V33" s="97">
        <v>10</v>
      </c>
      <c r="W33" s="158">
        <f t="shared" si="10"/>
        <v>300</v>
      </c>
      <c r="X33" s="97">
        <v>30</v>
      </c>
      <c r="Y33" s="97">
        <v>60</v>
      </c>
      <c r="Z33" s="97">
        <v>2000</v>
      </c>
      <c r="AA33" s="97">
        <v>1000</v>
      </c>
    </row>
    <row r="34" spans="1:27" ht="16.5" x14ac:dyDescent="0.3">
      <c r="A34" s="22" t="s">
        <v>1963</v>
      </c>
      <c r="B34" s="22" t="s">
        <v>1964</v>
      </c>
      <c r="C34" s="23" t="s">
        <v>2006</v>
      </c>
      <c r="D34" s="22" t="s">
        <v>2007</v>
      </c>
      <c r="E34" s="22"/>
      <c r="F34" s="158">
        <v>31</v>
      </c>
      <c r="G34" s="158"/>
      <c r="H34" s="158">
        <f t="shared" si="1"/>
        <v>3100</v>
      </c>
      <c r="I34" s="158">
        <f t="shared" si="2"/>
        <v>310</v>
      </c>
      <c r="J34" s="158">
        <f t="shared" si="3"/>
        <v>155</v>
      </c>
      <c r="K34" s="201">
        <f>H34*属性价值参考!C$5+龙魂炼体!I34*(属性价值参考!C$7+属性价值参考!C$8)+龙魂炼体!J34*(属性价值参考!C$9+属性价值参考!C$10)</f>
        <v>46314</v>
      </c>
      <c r="L34" s="201">
        <f>R34*属性价值参考!C$22+S34*属性价值参考!C$23+龙魂炼体!U34*属性价值参考!C$24+龙魂炼体!V34*属性价值参考!C$16+龙魂炼体!X34*属性价值参考!C$19+龙魂炼体!Y34*属性价值参考!C$13+龙魂炼体!Z34*属性价值参考!C$25+龙魂炼体!AA34*属性价值参考!C$30</f>
        <v>24175.72</v>
      </c>
      <c r="M34" s="201">
        <f t="shared" si="8"/>
        <v>1382.1513725490197</v>
      </c>
      <c r="N34" s="201">
        <f t="shared" si="4"/>
        <v>1382151.3725490198</v>
      </c>
      <c r="O34" s="158"/>
      <c r="P34" s="158"/>
      <c r="Q34" s="158">
        <f t="shared" si="6"/>
        <v>3100</v>
      </c>
      <c r="R34" s="97">
        <f>30*1/20*$R$23</f>
        <v>1500</v>
      </c>
      <c r="S34" s="97">
        <v>50</v>
      </c>
      <c r="T34" s="158">
        <f t="shared" si="9"/>
        <v>155</v>
      </c>
      <c r="U34" s="97">
        <v>20</v>
      </c>
      <c r="V34" s="97">
        <v>11</v>
      </c>
      <c r="W34" s="158">
        <f t="shared" si="10"/>
        <v>310</v>
      </c>
      <c r="X34" s="97">
        <v>31</v>
      </c>
      <c r="Y34" s="97">
        <v>62</v>
      </c>
      <c r="Z34" s="97">
        <v>2000</v>
      </c>
      <c r="AA34" s="97">
        <v>1100</v>
      </c>
    </row>
    <row r="35" spans="1:27" ht="16.5" x14ac:dyDescent="0.3">
      <c r="A35" s="22" t="s">
        <v>1963</v>
      </c>
      <c r="B35" s="22" t="s">
        <v>1964</v>
      </c>
      <c r="C35" s="23" t="s">
        <v>2008</v>
      </c>
      <c r="D35" s="22" t="s">
        <v>2009</v>
      </c>
      <c r="E35" s="22"/>
      <c r="F35" s="158">
        <v>32</v>
      </c>
      <c r="G35" s="158"/>
      <c r="H35" s="158">
        <f t="shared" si="1"/>
        <v>3200</v>
      </c>
      <c r="I35" s="158">
        <f t="shared" si="2"/>
        <v>320</v>
      </c>
      <c r="J35" s="158">
        <f t="shared" si="3"/>
        <v>160</v>
      </c>
      <c r="K35" s="201">
        <f>H35*属性价值参考!C$5+龙魂炼体!I35*(属性价值参考!C$7+属性价值参考!C$8)+龙魂炼体!J35*(属性价值参考!C$9+属性价值参考!C$10)</f>
        <v>47808</v>
      </c>
      <c r="L35" s="201">
        <f>R35*属性价值参考!C$22+S35*属性价值参考!C$23+龙魂炼体!U35*属性价值参考!C$24+龙魂炼体!V35*属性价值参考!C$16+龙魂炼体!X35*属性价值参考!C$19+龙魂炼体!Y35*属性价值参考!C$13+龙魂炼体!Z35*属性价值参考!C$25+龙魂炼体!AA35*属性价值参考!C$30</f>
        <v>24839.84</v>
      </c>
      <c r="M35" s="201">
        <f t="shared" si="8"/>
        <v>1424.4674509803922</v>
      </c>
      <c r="N35" s="201">
        <f t="shared" si="4"/>
        <v>1424467.4509803923</v>
      </c>
      <c r="O35" s="158"/>
      <c r="P35" s="158"/>
      <c r="Q35" s="158">
        <f t="shared" si="6"/>
        <v>3200</v>
      </c>
      <c r="R35" s="97">
        <f t="shared" ref="R35:R53" si="11">30*1/20*$R$23</f>
        <v>1500</v>
      </c>
      <c r="S35" s="97">
        <v>100</v>
      </c>
      <c r="T35" s="158">
        <f t="shared" si="9"/>
        <v>160</v>
      </c>
      <c r="U35" s="97">
        <v>20</v>
      </c>
      <c r="V35" s="97">
        <v>12</v>
      </c>
      <c r="W35" s="158">
        <f t="shared" si="10"/>
        <v>320</v>
      </c>
      <c r="X35" s="97">
        <v>32</v>
      </c>
      <c r="Y35" s="97">
        <v>64</v>
      </c>
      <c r="Z35" s="97">
        <v>2000</v>
      </c>
      <c r="AA35" s="97">
        <v>1200</v>
      </c>
    </row>
    <row r="36" spans="1:27" ht="16.5" x14ac:dyDescent="0.3">
      <c r="A36" s="22" t="s">
        <v>1963</v>
      </c>
      <c r="B36" s="22" t="s">
        <v>1964</v>
      </c>
      <c r="C36" s="23" t="s">
        <v>2010</v>
      </c>
      <c r="D36" s="22" t="s">
        <v>2011</v>
      </c>
      <c r="E36" s="22"/>
      <c r="F36" s="158">
        <v>33</v>
      </c>
      <c r="G36" s="158"/>
      <c r="H36" s="158">
        <f t="shared" si="1"/>
        <v>3300</v>
      </c>
      <c r="I36" s="158">
        <f t="shared" si="2"/>
        <v>330</v>
      </c>
      <c r="J36" s="158">
        <f t="shared" si="3"/>
        <v>165</v>
      </c>
      <c r="K36" s="201">
        <f>H36*属性价值参考!C$5+龙魂炼体!I36*(属性价值参考!C$7+属性价值参考!C$8)+龙魂炼体!J36*(属性价值参考!C$9+属性价值参考!C$10)</f>
        <v>49302</v>
      </c>
      <c r="L36" s="201">
        <f>R36*属性价值参考!C$22+S36*属性价值参考!C$23+龙魂炼体!U36*属性价值参考!C$24+龙魂炼体!V36*属性价值参考!C$16+龙魂炼体!X36*属性价值参考!C$19+龙魂炼体!Y36*属性价值参考!C$13+龙魂炼体!Z36*属性价值参考!C$25+龙魂炼体!AA36*属性价值参考!C$30</f>
        <v>25503.96</v>
      </c>
      <c r="M36" s="201">
        <f t="shared" si="8"/>
        <v>1466.7835294117644</v>
      </c>
      <c r="N36" s="201">
        <f t="shared" si="4"/>
        <v>1466783.5294117643</v>
      </c>
      <c r="O36" s="158"/>
      <c r="P36" s="158"/>
      <c r="Q36" s="158">
        <f t="shared" si="6"/>
        <v>3300</v>
      </c>
      <c r="R36" s="97">
        <f t="shared" si="11"/>
        <v>1500</v>
      </c>
      <c r="S36" s="97">
        <v>150</v>
      </c>
      <c r="T36" s="158">
        <f t="shared" si="9"/>
        <v>165</v>
      </c>
      <c r="U36" s="97">
        <v>20</v>
      </c>
      <c r="V36" s="97">
        <v>13</v>
      </c>
      <c r="W36" s="158">
        <f t="shared" si="10"/>
        <v>330</v>
      </c>
      <c r="X36" s="97">
        <v>33</v>
      </c>
      <c r="Y36" s="97">
        <v>66</v>
      </c>
      <c r="Z36" s="97">
        <v>2000</v>
      </c>
      <c r="AA36" s="97">
        <v>1300</v>
      </c>
    </row>
    <row r="37" spans="1:27" ht="16.5" x14ac:dyDescent="0.3">
      <c r="A37" s="22" t="s">
        <v>1963</v>
      </c>
      <c r="B37" s="22" t="s">
        <v>1964</v>
      </c>
      <c r="C37" s="23" t="s">
        <v>2012</v>
      </c>
      <c r="D37" s="22" t="s">
        <v>2013</v>
      </c>
      <c r="E37" s="22"/>
      <c r="F37" s="158">
        <v>34</v>
      </c>
      <c r="G37" s="158"/>
      <c r="H37" s="158">
        <f t="shared" si="1"/>
        <v>3400.0000000000005</v>
      </c>
      <c r="I37" s="158">
        <f t="shared" si="2"/>
        <v>340</v>
      </c>
      <c r="J37" s="158">
        <f t="shared" si="3"/>
        <v>170</v>
      </c>
      <c r="K37" s="201">
        <f>H37*属性价值参考!C$5+龙魂炼体!I37*(属性价值参考!C$7+属性价值参考!C$8)+龙魂炼体!J37*(属性价值参考!C$9+属性价值参考!C$10)</f>
        <v>50796.000000000007</v>
      </c>
      <c r="L37" s="201">
        <f>R37*属性价值参考!C$22+S37*属性价值参考!C$23+龙魂炼体!U37*属性价值参考!C$24+龙魂炼体!V37*属性价值参考!C$16+龙魂炼体!X37*属性价值参考!C$19+龙魂炼体!Y37*属性价值参考!C$13+龙魂炼体!Z37*属性价值参考!C$25+龙魂炼体!AA37*属性价值参考!C$30</f>
        <v>26168.079999999998</v>
      </c>
      <c r="M37" s="201">
        <f t="shared" si="8"/>
        <v>1509.0996078431374</v>
      </c>
      <c r="N37" s="201">
        <f t="shared" si="4"/>
        <v>1509099.6078431373</v>
      </c>
      <c r="O37" s="158"/>
      <c r="P37" s="158"/>
      <c r="Q37" s="158">
        <f t="shared" si="6"/>
        <v>3400.0000000000005</v>
      </c>
      <c r="R37" s="97">
        <f t="shared" si="11"/>
        <v>1500</v>
      </c>
      <c r="S37" s="97">
        <v>200</v>
      </c>
      <c r="T37" s="158">
        <f t="shared" si="9"/>
        <v>170</v>
      </c>
      <c r="U37" s="97">
        <v>20</v>
      </c>
      <c r="V37" s="97">
        <v>14</v>
      </c>
      <c r="W37" s="158">
        <f t="shared" si="10"/>
        <v>340</v>
      </c>
      <c r="X37" s="97">
        <v>34</v>
      </c>
      <c r="Y37" s="97">
        <v>68</v>
      </c>
      <c r="Z37" s="97">
        <v>2000</v>
      </c>
      <c r="AA37" s="97">
        <v>1400</v>
      </c>
    </row>
    <row r="38" spans="1:27" ht="16.5" x14ac:dyDescent="0.3">
      <c r="A38" s="22" t="s">
        <v>1963</v>
      </c>
      <c r="B38" s="22" t="s">
        <v>1964</v>
      </c>
      <c r="C38" s="23" t="s">
        <v>2014</v>
      </c>
      <c r="D38" s="22" t="s">
        <v>2015</v>
      </c>
      <c r="E38" s="22"/>
      <c r="F38" s="158">
        <v>35</v>
      </c>
      <c r="G38" s="158"/>
      <c r="H38" s="158">
        <f t="shared" si="1"/>
        <v>3500</v>
      </c>
      <c r="I38" s="158">
        <f t="shared" si="2"/>
        <v>350</v>
      </c>
      <c r="J38" s="158">
        <f t="shared" si="3"/>
        <v>175</v>
      </c>
      <c r="K38" s="201">
        <f>H38*属性价值参考!C$5+龙魂炼体!I38*(属性价值参考!C$7+属性价值参考!C$8)+龙魂炼体!J38*(属性价值参考!C$9+属性价值参考!C$10)</f>
        <v>52290</v>
      </c>
      <c r="L38" s="201">
        <f>R38*属性价值参考!C$22+S38*属性价值参考!C$23+龙魂炼体!U38*属性价值参考!C$24+龙魂炼体!V38*属性价值参考!C$16+龙魂炼体!X38*属性价值参考!C$19+龙魂炼体!Y38*属性价值参考!C$13+龙魂炼体!Z38*属性价值参考!C$25+龙魂炼体!AA38*属性价值参考!C$30</f>
        <v>26832.2</v>
      </c>
      <c r="M38" s="201">
        <f t="shared" si="8"/>
        <v>1551.4156862745097</v>
      </c>
      <c r="N38" s="201">
        <f t="shared" si="4"/>
        <v>1551415.6862745096</v>
      </c>
      <c r="O38" s="158"/>
      <c r="P38" s="158"/>
      <c r="Q38" s="158">
        <f t="shared" si="6"/>
        <v>3500</v>
      </c>
      <c r="R38" s="97">
        <f t="shared" si="11"/>
        <v>1500</v>
      </c>
      <c r="S38" s="97">
        <v>250</v>
      </c>
      <c r="T38" s="158">
        <f t="shared" si="9"/>
        <v>175</v>
      </c>
      <c r="U38" s="97">
        <v>20</v>
      </c>
      <c r="V38" s="97">
        <v>15</v>
      </c>
      <c r="W38" s="158">
        <f t="shared" si="10"/>
        <v>350</v>
      </c>
      <c r="X38" s="97">
        <v>35</v>
      </c>
      <c r="Y38" s="97">
        <v>70</v>
      </c>
      <c r="Z38" s="97">
        <v>2000</v>
      </c>
      <c r="AA38" s="97">
        <v>1500</v>
      </c>
    </row>
    <row r="39" spans="1:27" ht="16.5" x14ac:dyDescent="0.3">
      <c r="A39" s="22" t="s">
        <v>1963</v>
      </c>
      <c r="B39" s="22" t="s">
        <v>1964</v>
      </c>
      <c r="C39" s="23" t="s">
        <v>2016</v>
      </c>
      <c r="D39" s="22" t="s">
        <v>2017</v>
      </c>
      <c r="E39" s="22"/>
      <c r="F39" s="158">
        <v>36</v>
      </c>
      <c r="G39" s="158"/>
      <c r="H39" s="158">
        <f t="shared" si="1"/>
        <v>3600</v>
      </c>
      <c r="I39" s="158">
        <f t="shared" si="2"/>
        <v>360</v>
      </c>
      <c r="J39" s="158">
        <f t="shared" si="3"/>
        <v>180</v>
      </c>
      <c r="K39" s="201">
        <f>H39*属性价值参考!C$5+龙魂炼体!I39*(属性价值参考!C$7+属性价值参考!C$8)+龙魂炼体!J39*(属性价值参考!C$9+属性价值参考!C$10)</f>
        <v>53784</v>
      </c>
      <c r="L39" s="201">
        <f>R39*属性价值参考!C$22+S39*属性价值参考!C$23+龙魂炼体!U39*属性价值参考!C$24+龙魂炼体!V39*属性价值参考!C$16+龙魂炼体!X39*属性价值参考!C$19+龙魂炼体!Y39*属性价值参考!C$13+龙魂炼体!Z39*属性价值参考!C$25+龙魂炼体!AA39*属性价值参考!C$30</f>
        <v>27496.32</v>
      </c>
      <c r="M39" s="201">
        <f t="shared" si="8"/>
        <v>1593.7317647058826</v>
      </c>
      <c r="N39" s="201">
        <f t="shared" si="4"/>
        <v>1593731.7647058826</v>
      </c>
      <c r="O39" s="158"/>
      <c r="P39" s="158"/>
      <c r="Q39" s="158">
        <f t="shared" si="6"/>
        <v>3600</v>
      </c>
      <c r="R39" s="97">
        <f t="shared" si="11"/>
        <v>1500</v>
      </c>
      <c r="S39" s="97">
        <v>300</v>
      </c>
      <c r="T39" s="158">
        <f t="shared" si="9"/>
        <v>180</v>
      </c>
      <c r="U39" s="97">
        <v>20</v>
      </c>
      <c r="V39" s="97">
        <v>16</v>
      </c>
      <c r="W39" s="158">
        <f t="shared" si="10"/>
        <v>360</v>
      </c>
      <c r="X39" s="97">
        <v>36</v>
      </c>
      <c r="Y39" s="97">
        <v>72</v>
      </c>
      <c r="Z39" s="97">
        <v>2000</v>
      </c>
      <c r="AA39" s="97">
        <v>1600</v>
      </c>
    </row>
    <row r="40" spans="1:27" ht="16.5" x14ac:dyDescent="0.3">
      <c r="A40" s="22" t="s">
        <v>1963</v>
      </c>
      <c r="B40" s="22" t="s">
        <v>1964</v>
      </c>
      <c r="C40" s="23" t="s">
        <v>2018</v>
      </c>
      <c r="D40" s="22" t="s">
        <v>2019</v>
      </c>
      <c r="E40" s="22"/>
      <c r="F40" s="158">
        <v>37</v>
      </c>
      <c r="G40" s="158"/>
      <c r="H40" s="158">
        <f t="shared" si="1"/>
        <v>3700</v>
      </c>
      <c r="I40" s="158">
        <f t="shared" si="2"/>
        <v>370</v>
      </c>
      <c r="J40" s="158">
        <f t="shared" si="3"/>
        <v>185</v>
      </c>
      <c r="K40" s="201">
        <f>H40*属性价值参考!C$5+龙魂炼体!I40*(属性价值参考!C$7+属性价值参考!C$8)+龙魂炼体!J40*(属性价值参考!C$9+属性价值参考!C$10)</f>
        <v>55278</v>
      </c>
      <c r="L40" s="201">
        <f>R40*属性价值参考!C$22+S40*属性价值参考!C$23+龙魂炼体!U40*属性价值参考!C$24+龙魂炼体!V40*属性价值参考!C$16+龙魂炼体!X40*属性价值参考!C$19+龙魂炼体!Y40*属性价值参考!C$13+龙魂炼体!Z40*属性价值参考!C$25+龙魂炼体!AA40*属性价值参考!C$30</f>
        <v>28160.440000000002</v>
      </c>
      <c r="M40" s="201">
        <f t="shared" si="8"/>
        <v>1636.0478431372549</v>
      </c>
      <c r="N40" s="201">
        <f t="shared" si="4"/>
        <v>1636047.8431372549</v>
      </c>
      <c r="O40" s="158"/>
      <c r="P40" s="158"/>
      <c r="Q40" s="158">
        <f t="shared" si="6"/>
        <v>3700</v>
      </c>
      <c r="R40" s="97">
        <f t="shared" si="11"/>
        <v>1500</v>
      </c>
      <c r="S40" s="97">
        <v>350</v>
      </c>
      <c r="T40" s="158">
        <f t="shared" si="9"/>
        <v>185</v>
      </c>
      <c r="U40" s="97">
        <v>20</v>
      </c>
      <c r="V40" s="97">
        <v>17</v>
      </c>
      <c r="W40" s="158">
        <f t="shared" si="10"/>
        <v>370</v>
      </c>
      <c r="X40" s="97">
        <v>37</v>
      </c>
      <c r="Y40" s="97">
        <v>74</v>
      </c>
      <c r="Z40" s="97">
        <v>2000</v>
      </c>
      <c r="AA40" s="97">
        <v>1700</v>
      </c>
    </row>
    <row r="41" spans="1:27" ht="16.5" x14ac:dyDescent="0.3">
      <c r="A41" s="22" t="s">
        <v>1963</v>
      </c>
      <c r="B41" s="22" t="s">
        <v>1964</v>
      </c>
      <c r="C41" s="23" t="s">
        <v>2020</v>
      </c>
      <c r="D41" s="22" t="s">
        <v>2021</v>
      </c>
      <c r="E41" s="22"/>
      <c r="F41" s="158">
        <v>38</v>
      </c>
      <c r="G41" s="158"/>
      <c r="H41" s="158">
        <f t="shared" si="1"/>
        <v>3800</v>
      </c>
      <c r="I41" s="158">
        <f t="shared" si="2"/>
        <v>380</v>
      </c>
      <c r="J41" s="158">
        <f t="shared" si="3"/>
        <v>190</v>
      </c>
      <c r="K41" s="201">
        <f>H41*属性价值参考!C$5+龙魂炼体!I41*(属性价值参考!C$7+属性价值参考!C$8)+龙魂炼体!J41*(属性价值参考!C$9+属性价值参考!C$10)</f>
        <v>56772</v>
      </c>
      <c r="L41" s="201">
        <f>R41*属性价值参考!C$22+S41*属性价值参考!C$23+龙魂炼体!U41*属性价值参考!C$24+龙魂炼体!V41*属性价值参考!C$16+龙魂炼体!X41*属性价值参考!C$19+龙魂炼体!Y41*属性价值参考!C$13+龙魂炼体!Z41*属性价值参考!C$25+龙魂炼体!AA41*属性价值参考!C$30</f>
        <v>28824.559999999998</v>
      </c>
      <c r="M41" s="201">
        <f t="shared" si="8"/>
        <v>1678.3639215686273</v>
      </c>
      <c r="N41" s="201">
        <f t="shared" si="4"/>
        <v>1678363.9215686272</v>
      </c>
      <c r="O41" s="158"/>
      <c r="P41" s="158"/>
      <c r="Q41" s="158">
        <f t="shared" si="6"/>
        <v>3800</v>
      </c>
      <c r="R41" s="97">
        <f t="shared" si="11"/>
        <v>1500</v>
      </c>
      <c r="S41" s="97">
        <v>400</v>
      </c>
      <c r="T41" s="158">
        <f t="shared" si="9"/>
        <v>190</v>
      </c>
      <c r="U41" s="97">
        <v>20</v>
      </c>
      <c r="V41" s="97">
        <v>18</v>
      </c>
      <c r="W41" s="158">
        <f t="shared" si="10"/>
        <v>380</v>
      </c>
      <c r="X41" s="97">
        <v>38</v>
      </c>
      <c r="Y41" s="97">
        <v>76</v>
      </c>
      <c r="Z41" s="97">
        <v>2000</v>
      </c>
      <c r="AA41" s="97">
        <v>1800</v>
      </c>
    </row>
    <row r="42" spans="1:27" ht="16.5" x14ac:dyDescent="0.3">
      <c r="A42" s="22" t="s">
        <v>1963</v>
      </c>
      <c r="B42" s="22" t="s">
        <v>1964</v>
      </c>
      <c r="C42" s="23" t="s">
        <v>2022</v>
      </c>
      <c r="D42" s="22" t="s">
        <v>2023</v>
      </c>
      <c r="E42" s="22"/>
      <c r="F42" s="158">
        <v>39</v>
      </c>
      <c r="G42" s="158"/>
      <c r="H42" s="158">
        <f t="shared" si="1"/>
        <v>3900</v>
      </c>
      <c r="I42" s="158">
        <f t="shared" si="2"/>
        <v>390</v>
      </c>
      <c r="J42" s="158">
        <f t="shared" si="3"/>
        <v>195</v>
      </c>
      <c r="K42" s="201">
        <f>H42*属性价值参考!C$5+龙魂炼体!I42*(属性价值参考!C$7+属性价值参考!C$8)+龙魂炼体!J42*(属性价值参考!C$9+属性价值参考!C$10)</f>
        <v>58266</v>
      </c>
      <c r="L42" s="201">
        <f>R42*属性价值参考!C$22+S42*属性价值参考!C$23+龙魂炼体!U42*属性价值参考!C$24+龙魂炼体!V42*属性价值参考!C$16+龙魂炼体!X42*属性价值参考!C$19+龙魂炼体!Y42*属性价值参考!C$13+龙魂炼体!Z42*属性价值参考!C$25+龙魂炼体!AA42*属性价值参考!C$30</f>
        <v>29488.679999999997</v>
      </c>
      <c r="M42" s="201">
        <f t="shared" si="8"/>
        <v>1720.6799999999998</v>
      </c>
      <c r="N42" s="201">
        <f t="shared" si="4"/>
        <v>1720679.9999999998</v>
      </c>
      <c r="O42" s="158"/>
      <c r="P42" s="158"/>
      <c r="Q42" s="158">
        <f t="shared" si="6"/>
        <v>3900</v>
      </c>
      <c r="R42" s="97">
        <f t="shared" si="11"/>
        <v>1500</v>
      </c>
      <c r="S42" s="97">
        <v>450</v>
      </c>
      <c r="T42" s="158">
        <f t="shared" si="9"/>
        <v>195</v>
      </c>
      <c r="U42" s="97">
        <v>20</v>
      </c>
      <c r="V42" s="97">
        <v>19</v>
      </c>
      <c r="W42" s="158">
        <f t="shared" si="10"/>
        <v>390</v>
      </c>
      <c r="X42" s="97">
        <v>39</v>
      </c>
      <c r="Y42" s="97">
        <v>78</v>
      </c>
      <c r="Z42" s="97">
        <v>2000</v>
      </c>
      <c r="AA42" s="97">
        <v>1900</v>
      </c>
    </row>
    <row r="43" spans="1:27" ht="16.5" x14ac:dyDescent="0.3">
      <c r="A43" s="22" t="s">
        <v>1963</v>
      </c>
      <c r="B43" s="22" t="s">
        <v>1964</v>
      </c>
      <c r="C43" s="23" t="s">
        <v>2024</v>
      </c>
      <c r="D43" s="22" t="s">
        <v>2025</v>
      </c>
      <c r="E43" s="22"/>
      <c r="F43" s="158">
        <v>40</v>
      </c>
      <c r="G43" s="158"/>
      <c r="H43" s="158">
        <f t="shared" si="1"/>
        <v>4000</v>
      </c>
      <c r="I43" s="158">
        <f t="shared" si="2"/>
        <v>400</v>
      </c>
      <c r="J43" s="158">
        <f t="shared" si="3"/>
        <v>200</v>
      </c>
      <c r="K43" s="201">
        <f>H43*属性价值参考!C$5+龙魂炼体!I43*(属性价值参考!C$7+属性价值参考!C$8)+龙魂炼体!J43*(属性价值参考!C$9+属性价值参考!C$10)</f>
        <v>59760</v>
      </c>
      <c r="L43" s="201">
        <f>R43*属性价值参考!C$22+S43*属性价值参考!C$23+龙魂炼体!U43*属性价值参考!C$24+龙魂炼体!V43*属性价值参考!C$16+龙魂炼体!X43*属性价值参考!C$19+龙魂炼体!Y43*属性价值参考!C$13+龙魂炼体!Z43*属性价值参考!C$25+龙魂炼体!AA43*属性价值参考!C$30</f>
        <v>30152.799999999999</v>
      </c>
      <c r="M43" s="201">
        <f t="shared" si="8"/>
        <v>1762.9960784313726</v>
      </c>
      <c r="N43" s="201">
        <f t="shared" si="4"/>
        <v>1762996.0784313725</v>
      </c>
      <c r="O43" s="158"/>
      <c r="P43" s="158"/>
      <c r="Q43" s="158">
        <f t="shared" si="6"/>
        <v>4000</v>
      </c>
      <c r="R43" s="97">
        <f t="shared" si="11"/>
        <v>1500</v>
      </c>
      <c r="S43" s="97">
        <v>500</v>
      </c>
      <c r="T43" s="158">
        <f t="shared" si="9"/>
        <v>200</v>
      </c>
      <c r="U43" s="97">
        <v>20</v>
      </c>
      <c r="V43" s="97">
        <v>20</v>
      </c>
      <c r="W43" s="158">
        <f t="shared" si="10"/>
        <v>400</v>
      </c>
      <c r="X43" s="97">
        <v>40</v>
      </c>
      <c r="Y43" s="97">
        <v>80</v>
      </c>
      <c r="Z43" s="97">
        <v>2000</v>
      </c>
      <c r="AA43" s="97">
        <v>2000</v>
      </c>
    </row>
    <row r="44" spans="1:27" ht="16.5" x14ac:dyDescent="0.3">
      <c r="A44" s="22" t="s">
        <v>1963</v>
      </c>
      <c r="B44" s="22" t="s">
        <v>1964</v>
      </c>
      <c r="C44" s="23" t="s">
        <v>2026</v>
      </c>
      <c r="D44" s="22" t="s">
        <v>2027</v>
      </c>
      <c r="E44" s="22"/>
      <c r="F44" s="158">
        <v>41</v>
      </c>
      <c r="G44" s="158"/>
      <c r="H44" s="158">
        <f t="shared" si="1"/>
        <v>4100</v>
      </c>
      <c r="I44" s="158">
        <f t="shared" si="2"/>
        <v>410</v>
      </c>
      <c r="J44" s="158">
        <f t="shared" si="3"/>
        <v>205</v>
      </c>
      <c r="K44" s="201">
        <f>H44*属性价值参考!C$5+龙魂炼体!I44*(属性价值参考!C$7+属性价值参考!C$8)+龙魂炼体!J44*(属性价值参考!C$9+属性价值参考!C$10)</f>
        <v>61254</v>
      </c>
      <c r="L44" s="201">
        <f>R44*属性价值参考!C$22+S44*属性价值参考!C$23+龙魂炼体!U44*属性价值参考!C$24+龙魂炼体!V44*属性价值参考!C$16+龙魂炼体!X44*属性价值参考!C$19+龙魂炼体!Y44*属性价值参考!C$13+龙魂炼体!Z44*属性价值参考!C$25+龙魂炼体!AA44*属性价值参考!C$30</f>
        <v>30816.92</v>
      </c>
      <c r="M44" s="201">
        <f t="shared" si="8"/>
        <v>1805.312156862745</v>
      </c>
      <c r="N44" s="201">
        <f t="shared" si="4"/>
        <v>1805312.1568627451</v>
      </c>
      <c r="O44" s="158"/>
      <c r="P44" s="158"/>
      <c r="Q44" s="158">
        <f t="shared" si="6"/>
        <v>4100</v>
      </c>
      <c r="R44" s="97">
        <f t="shared" si="11"/>
        <v>1500</v>
      </c>
      <c r="S44" s="97">
        <v>550</v>
      </c>
      <c r="T44" s="158">
        <f t="shared" si="9"/>
        <v>205</v>
      </c>
      <c r="U44" s="97">
        <v>20</v>
      </c>
      <c r="V44" s="97">
        <v>21</v>
      </c>
      <c r="W44" s="158">
        <f t="shared" si="10"/>
        <v>410</v>
      </c>
      <c r="X44" s="97">
        <v>41</v>
      </c>
      <c r="Y44" s="97">
        <v>82</v>
      </c>
      <c r="Z44" s="97">
        <v>2000</v>
      </c>
      <c r="AA44" s="97">
        <v>2100</v>
      </c>
    </row>
    <row r="45" spans="1:27" ht="16.5" x14ac:dyDescent="0.3">
      <c r="A45" s="22" t="s">
        <v>1963</v>
      </c>
      <c r="B45" s="22" t="s">
        <v>1964</v>
      </c>
      <c r="C45" s="23" t="s">
        <v>2028</v>
      </c>
      <c r="D45" s="22" t="s">
        <v>2029</v>
      </c>
      <c r="E45" s="22"/>
      <c r="F45" s="158">
        <v>42</v>
      </c>
      <c r="G45" s="158"/>
      <c r="H45" s="158">
        <f t="shared" si="1"/>
        <v>4200</v>
      </c>
      <c r="I45" s="158">
        <f t="shared" si="2"/>
        <v>420</v>
      </c>
      <c r="J45" s="158">
        <f t="shared" si="3"/>
        <v>210</v>
      </c>
      <c r="K45" s="201">
        <f>H45*属性价值参考!C$5+龙魂炼体!I45*(属性价值参考!C$7+属性价值参考!C$8)+龙魂炼体!J45*(属性价值参考!C$9+属性价值参考!C$10)</f>
        <v>62748</v>
      </c>
      <c r="L45" s="201">
        <f>R45*属性价值参考!C$22+S45*属性价值参考!C$23+龙魂炼体!U45*属性价值参考!C$24+龙魂炼体!V45*属性价值参考!C$16+龙魂炼体!X45*属性价值参考!C$19+龙魂炼体!Y45*属性价值参考!C$13+龙魂炼体!Z45*属性价值参考!C$25+龙魂炼体!AA45*属性价值参考!C$30</f>
        <v>31481.040000000001</v>
      </c>
      <c r="M45" s="201">
        <f t="shared" si="8"/>
        <v>1847.6282352941178</v>
      </c>
      <c r="N45" s="201">
        <f t="shared" si="4"/>
        <v>1847628.2352941178</v>
      </c>
      <c r="O45" s="158"/>
      <c r="P45" s="158"/>
      <c r="Q45" s="158">
        <f t="shared" si="6"/>
        <v>4200</v>
      </c>
      <c r="R45" s="97">
        <f t="shared" si="11"/>
        <v>1500</v>
      </c>
      <c r="S45" s="97">
        <v>600</v>
      </c>
      <c r="T45" s="158">
        <f t="shared" si="9"/>
        <v>210</v>
      </c>
      <c r="U45" s="97">
        <v>20</v>
      </c>
      <c r="V45" s="97">
        <v>22</v>
      </c>
      <c r="W45" s="158">
        <f t="shared" si="10"/>
        <v>420</v>
      </c>
      <c r="X45" s="97">
        <v>42</v>
      </c>
      <c r="Y45" s="97">
        <v>84</v>
      </c>
      <c r="Z45" s="97">
        <v>2000</v>
      </c>
      <c r="AA45" s="97">
        <v>2200</v>
      </c>
    </row>
    <row r="46" spans="1:27" ht="16.5" x14ac:dyDescent="0.3">
      <c r="A46" s="22" t="s">
        <v>1963</v>
      </c>
      <c r="B46" s="22" t="s">
        <v>1964</v>
      </c>
      <c r="C46" s="23" t="s">
        <v>2030</v>
      </c>
      <c r="D46" s="22" t="s">
        <v>2031</v>
      </c>
      <c r="E46" s="22"/>
      <c r="F46" s="158">
        <v>43</v>
      </c>
      <c r="G46" s="158"/>
      <c r="H46" s="158">
        <f t="shared" si="1"/>
        <v>4300</v>
      </c>
      <c r="I46" s="158">
        <f t="shared" si="2"/>
        <v>430</v>
      </c>
      <c r="J46" s="158">
        <f t="shared" si="3"/>
        <v>215</v>
      </c>
      <c r="K46" s="201">
        <f>H46*属性价值参考!C$5+龙魂炼体!I46*(属性价值参考!C$7+属性价值参考!C$8)+龙魂炼体!J46*(属性价值参考!C$9+属性价值参考!C$10)</f>
        <v>64242</v>
      </c>
      <c r="L46" s="201">
        <f>R46*属性价值参考!C$22+S46*属性价值参考!C$23+龙魂炼体!U46*属性价值参考!C$24+龙魂炼体!V46*属性价值参考!C$16+龙魂炼体!X46*属性价值参考!C$19+龙魂炼体!Y46*属性价值参考!C$13+龙魂炼体!Z46*属性价值参考!C$25+龙魂炼体!AA46*属性价值参考!C$30</f>
        <v>32145.159999999996</v>
      </c>
      <c r="M46" s="201">
        <f t="shared" si="8"/>
        <v>1889.9443137254902</v>
      </c>
      <c r="N46" s="201">
        <f t="shared" si="4"/>
        <v>1889944.3137254904</v>
      </c>
      <c r="O46" s="158"/>
      <c r="P46" s="158"/>
      <c r="Q46" s="158">
        <f t="shared" si="6"/>
        <v>4300</v>
      </c>
      <c r="R46" s="97">
        <f t="shared" si="11"/>
        <v>1500</v>
      </c>
      <c r="S46" s="97">
        <v>650</v>
      </c>
      <c r="T46" s="158">
        <f t="shared" si="9"/>
        <v>215</v>
      </c>
      <c r="U46" s="97">
        <v>20</v>
      </c>
      <c r="V46" s="97">
        <v>23</v>
      </c>
      <c r="W46" s="158">
        <f t="shared" si="10"/>
        <v>430</v>
      </c>
      <c r="X46" s="97">
        <v>43</v>
      </c>
      <c r="Y46" s="97">
        <v>86</v>
      </c>
      <c r="Z46" s="97">
        <v>2000</v>
      </c>
      <c r="AA46" s="97">
        <v>2300</v>
      </c>
    </row>
    <row r="47" spans="1:27" ht="16.5" x14ac:dyDescent="0.3">
      <c r="A47" s="22" t="s">
        <v>1963</v>
      </c>
      <c r="B47" s="22" t="s">
        <v>1964</v>
      </c>
      <c r="C47" s="23" t="s">
        <v>2032</v>
      </c>
      <c r="D47" s="22" t="s">
        <v>2033</v>
      </c>
      <c r="E47" s="22"/>
      <c r="F47" s="158">
        <v>44</v>
      </c>
      <c r="G47" s="158"/>
      <c r="H47" s="158">
        <f t="shared" si="1"/>
        <v>4400</v>
      </c>
      <c r="I47" s="158">
        <f t="shared" si="2"/>
        <v>440</v>
      </c>
      <c r="J47" s="158">
        <f t="shared" si="3"/>
        <v>220</v>
      </c>
      <c r="K47" s="201">
        <f>H47*属性价值参考!C$5+龙魂炼体!I47*(属性价值参考!C$7+属性价值参考!C$8)+龙魂炼体!J47*(属性价值参考!C$9+属性价值参考!C$10)</f>
        <v>65736</v>
      </c>
      <c r="L47" s="201">
        <f>R47*属性价值参考!C$22+S47*属性价值参考!C$23+龙魂炼体!U47*属性价值参考!C$24+龙魂炼体!V47*属性价值参考!C$16+龙魂炼体!X47*属性价值参考!C$19+龙魂炼体!Y47*属性价值参考!C$13+龙魂炼体!Z47*属性价值参考!C$25+龙魂炼体!AA47*属性价值参考!C$30</f>
        <v>32809.279999999999</v>
      </c>
      <c r="M47" s="201">
        <f t="shared" si="8"/>
        <v>1932.2603921568627</v>
      </c>
      <c r="N47" s="201">
        <f t="shared" si="4"/>
        <v>1932260.3921568627</v>
      </c>
      <c r="O47" s="158"/>
      <c r="P47" s="158"/>
      <c r="Q47" s="158">
        <f t="shared" si="6"/>
        <v>4400</v>
      </c>
      <c r="R47" s="97">
        <f t="shared" si="11"/>
        <v>1500</v>
      </c>
      <c r="S47" s="97">
        <v>700</v>
      </c>
      <c r="T47" s="158">
        <f t="shared" si="9"/>
        <v>220</v>
      </c>
      <c r="U47" s="97">
        <v>20</v>
      </c>
      <c r="V47" s="97">
        <v>24</v>
      </c>
      <c r="W47" s="158">
        <f t="shared" si="10"/>
        <v>440</v>
      </c>
      <c r="X47" s="97">
        <v>44</v>
      </c>
      <c r="Y47" s="97">
        <v>88</v>
      </c>
      <c r="Z47" s="97">
        <v>2000</v>
      </c>
      <c r="AA47" s="97">
        <v>2400</v>
      </c>
    </row>
    <row r="48" spans="1:27" ht="16.5" x14ac:dyDescent="0.3">
      <c r="A48" s="22" t="s">
        <v>1963</v>
      </c>
      <c r="B48" s="22" t="s">
        <v>1964</v>
      </c>
      <c r="C48" s="23" t="s">
        <v>2034</v>
      </c>
      <c r="D48" s="22" t="s">
        <v>2035</v>
      </c>
      <c r="E48" s="22"/>
      <c r="F48" s="158">
        <v>45</v>
      </c>
      <c r="G48" s="158"/>
      <c r="H48" s="158">
        <f t="shared" si="1"/>
        <v>4500</v>
      </c>
      <c r="I48" s="158">
        <f t="shared" si="2"/>
        <v>450</v>
      </c>
      <c r="J48" s="158">
        <f t="shared" si="3"/>
        <v>225</v>
      </c>
      <c r="K48" s="201">
        <f>H48*属性价值参考!C$5+龙魂炼体!I48*(属性价值参考!C$7+属性价值参考!C$8)+龙魂炼体!J48*(属性价值参考!C$9+属性价值参考!C$10)</f>
        <v>67230</v>
      </c>
      <c r="L48" s="201">
        <f>R48*属性价值参考!C$22+S48*属性价值参考!C$23+龙魂炼体!U48*属性价值参考!C$24+龙魂炼体!V48*属性价值参考!C$16+龙魂炼体!X48*属性价值参考!C$19+龙魂炼体!Y48*属性价值参考!C$13+龙魂炼体!Z48*属性价值参考!C$25+龙魂炼体!AA48*属性价值参考!C$30</f>
        <v>33473.4</v>
      </c>
      <c r="M48" s="201">
        <f t="shared" si="8"/>
        <v>1974.5764705882352</v>
      </c>
      <c r="N48" s="201">
        <f t="shared" si="4"/>
        <v>1974576.4705882352</v>
      </c>
      <c r="O48" s="158"/>
      <c r="P48" s="158"/>
      <c r="Q48" s="158">
        <f t="shared" si="6"/>
        <v>4500</v>
      </c>
      <c r="R48" s="97">
        <f t="shared" si="11"/>
        <v>1500</v>
      </c>
      <c r="S48" s="97">
        <v>750</v>
      </c>
      <c r="T48" s="158">
        <f t="shared" si="9"/>
        <v>225</v>
      </c>
      <c r="U48" s="97">
        <v>20</v>
      </c>
      <c r="V48" s="97">
        <v>25</v>
      </c>
      <c r="W48" s="158">
        <f t="shared" si="10"/>
        <v>450</v>
      </c>
      <c r="X48" s="97">
        <v>45</v>
      </c>
      <c r="Y48" s="97">
        <v>90</v>
      </c>
      <c r="Z48" s="97">
        <v>2000</v>
      </c>
      <c r="AA48" s="97">
        <v>2500</v>
      </c>
    </row>
    <row r="49" spans="1:27" ht="16.5" x14ac:dyDescent="0.3">
      <c r="A49" s="22" t="s">
        <v>1963</v>
      </c>
      <c r="B49" s="22" t="s">
        <v>1964</v>
      </c>
      <c r="C49" s="23" t="s">
        <v>2036</v>
      </c>
      <c r="D49" s="22" t="s">
        <v>2037</v>
      </c>
      <c r="E49" s="22"/>
      <c r="F49" s="158">
        <v>46</v>
      </c>
      <c r="G49" s="158"/>
      <c r="H49" s="158">
        <f t="shared" si="1"/>
        <v>4600</v>
      </c>
      <c r="I49" s="158">
        <f t="shared" si="2"/>
        <v>460</v>
      </c>
      <c r="J49" s="158">
        <f t="shared" si="3"/>
        <v>230</v>
      </c>
      <c r="K49" s="201">
        <f>H49*属性价值参考!C$5+龙魂炼体!I49*(属性价值参考!C$7+属性价值参考!C$8)+龙魂炼体!J49*(属性价值参考!C$9+属性价值参考!C$10)</f>
        <v>68724</v>
      </c>
      <c r="L49" s="201">
        <f>R49*属性价值参考!C$22+S49*属性价值参考!C$23+龙魂炼体!U49*属性价值参考!C$24+龙魂炼体!V49*属性价值参考!C$16+龙魂炼体!X49*属性价值参考!C$19+龙魂炼体!Y49*属性价值参考!C$13+龙魂炼体!Z49*属性价值参考!C$25+龙魂炼体!AA49*属性价值参考!C$30</f>
        <v>34137.519999999997</v>
      </c>
      <c r="M49" s="201">
        <f t="shared" si="8"/>
        <v>2016.8925490196077</v>
      </c>
      <c r="N49" s="201">
        <f t="shared" si="4"/>
        <v>2016892.5490196077</v>
      </c>
      <c r="O49" s="158"/>
      <c r="P49" s="158"/>
      <c r="Q49" s="158">
        <f t="shared" si="6"/>
        <v>4600</v>
      </c>
      <c r="R49" s="97">
        <f t="shared" si="11"/>
        <v>1500</v>
      </c>
      <c r="S49" s="97">
        <v>800</v>
      </c>
      <c r="T49" s="158">
        <f t="shared" si="9"/>
        <v>230</v>
      </c>
      <c r="U49" s="97">
        <v>20</v>
      </c>
      <c r="V49" s="97">
        <v>26</v>
      </c>
      <c r="W49" s="158">
        <f t="shared" si="10"/>
        <v>460</v>
      </c>
      <c r="X49" s="97">
        <v>46</v>
      </c>
      <c r="Y49" s="97">
        <v>92</v>
      </c>
      <c r="Z49" s="97">
        <v>2000</v>
      </c>
      <c r="AA49" s="97">
        <v>2600</v>
      </c>
    </row>
    <row r="50" spans="1:27" ht="16.5" x14ac:dyDescent="0.3">
      <c r="A50" s="22" t="s">
        <v>1963</v>
      </c>
      <c r="B50" s="22" t="s">
        <v>1964</v>
      </c>
      <c r="C50" s="23" t="s">
        <v>2038</v>
      </c>
      <c r="D50" s="22" t="s">
        <v>2039</v>
      </c>
      <c r="E50" s="22"/>
      <c r="F50" s="158">
        <v>47</v>
      </c>
      <c r="G50" s="158"/>
      <c r="H50" s="158">
        <f t="shared" si="1"/>
        <v>4700</v>
      </c>
      <c r="I50" s="158">
        <f t="shared" si="2"/>
        <v>470</v>
      </c>
      <c r="J50" s="158">
        <f t="shared" si="3"/>
        <v>235</v>
      </c>
      <c r="K50" s="201">
        <f>H50*属性价值参考!C$5+龙魂炼体!I50*(属性价值参考!C$7+属性价值参考!C$8)+龙魂炼体!J50*(属性价值参考!C$9+属性价值参考!C$10)</f>
        <v>70218</v>
      </c>
      <c r="L50" s="201">
        <f>R50*属性价值参考!C$22+S50*属性价值参考!C$23+龙魂炼体!U50*属性价值参考!C$24+龙魂炼体!V50*属性价值参考!C$16+龙魂炼体!X50*属性价值参考!C$19+龙魂炼体!Y50*属性价值参考!C$13+龙魂炼体!Z50*属性价值参考!C$25+龙魂炼体!AA50*属性价值参考!C$30</f>
        <v>34801.64</v>
      </c>
      <c r="M50" s="201">
        <f t="shared" si="8"/>
        <v>2059.2086274509802</v>
      </c>
      <c r="N50" s="201">
        <f t="shared" si="4"/>
        <v>2059208.6274509802</v>
      </c>
      <c r="O50" s="158"/>
      <c r="P50" s="158"/>
      <c r="Q50" s="158">
        <f t="shared" si="6"/>
        <v>4700</v>
      </c>
      <c r="R50" s="97">
        <f t="shared" si="11"/>
        <v>1500</v>
      </c>
      <c r="S50" s="97">
        <v>850</v>
      </c>
      <c r="T50" s="158">
        <f t="shared" si="9"/>
        <v>235</v>
      </c>
      <c r="U50" s="97">
        <v>20</v>
      </c>
      <c r="V50" s="97">
        <v>27</v>
      </c>
      <c r="W50" s="158">
        <f t="shared" si="10"/>
        <v>470</v>
      </c>
      <c r="X50" s="97">
        <v>47</v>
      </c>
      <c r="Y50" s="97">
        <v>94</v>
      </c>
      <c r="Z50" s="97">
        <v>2000</v>
      </c>
      <c r="AA50" s="97">
        <v>2700</v>
      </c>
    </row>
    <row r="51" spans="1:27" ht="16.5" x14ac:dyDescent="0.3">
      <c r="A51" s="22" t="s">
        <v>1963</v>
      </c>
      <c r="B51" s="22" t="s">
        <v>1964</v>
      </c>
      <c r="C51" s="23" t="s">
        <v>2040</v>
      </c>
      <c r="D51" s="22" t="s">
        <v>2041</v>
      </c>
      <c r="E51" s="22"/>
      <c r="F51" s="158">
        <v>48</v>
      </c>
      <c r="G51" s="158"/>
      <c r="H51" s="158">
        <f t="shared" si="1"/>
        <v>4800</v>
      </c>
      <c r="I51" s="158">
        <f t="shared" si="2"/>
        <v>480</v>
      </c>
      <c r="J51" s="158">
        <f t="shared" si="3"/>
        <v>240</v>
      </c>
      <c r="K51" s="201">
        <f>H51*属性价值参考!C$5+龙魂炼体!I51*(属性价值参考!C$7+属性价值参考!C$8)+龙魂炼体!J51*(属性价值参考!C$9+属性价值参考!C$10)</f>
        <v>71712</v>
      </c>
      <c r="L51" s="201">
        <f>R51*属性价值参考!C$22+S51*属性价值参考!C$23+龙魂炼体!U51*属性价值参考!C$24+龙魂炼体!V51*属性价值参考!C$16+龙魂炼体!X51*属性价值参考!C$19+龙魂炼体!Y51*属性价值参考!C$13+龙魂炼体!Z51*属性价值参考!C$25+龙魂炼体!AA51*属性价值参考!C$30</f>
        <v>35465.759999999995</v>
      </c>
      <c r="M51" s="201">
        <f t="shared" si="8"/>
        <v>2101.5247058823529</v>
      </c>
      <c r="N51" s="201">
        <f t="shared" si="4"/>
        <v>2101524.7058823528</v>
      </c>
      <c r="O51" s="158"/>
      <c r="P51" s="158"/>
      <c r="Q51" s="158">
        <f t="shared" si="6"/>
        <v>4800</v>
      </c>
      <c r="R51" s="97">
        <f t="shared" si="11"/>
        <v>1500</v>
      </c>
      <c r="S51" s="97">
        <v>900</v>
      </c>
      <c r="T51" s="158">
        <f t="shared" si="9"/>
        <v>240</v>
      </c>
      <c r="U51" s="97">
        <v>20</v>
      </c>
      <c r="V51" s="97">
        <v>28</v>
      </c>
      <c r="W51" s="158">
        <f t="shared" si="10"/>
        <v>480</v>
      </c>
      <c r="X51" s="97">
        <v>48</v>
      </c>
      <c r="Y51" s="97">
        <v>96</v>
      </c>
      <c r="Z51" s="97">
        <v>2000</v>
      </c>
      <c r="AA51" s="97">
        <v>2800</v>
      </c>
    </row>
    <row r="52" spans="1:27" ht="16.5" x14ac:dyDescent="0.3">
      <c r="A52" s="22" t="s">
        <v>1963</v>
      </c>
      <c r="B52" s="22" t="s">
        <v>1964</v>
      </c>
      <c r="C52" s="23" t="s">
        <v>2042</v>
      </c>
      <c r="D52" s="22" t="s">
        <v>2043</v>
      </c>
      <c r="E52" s="22"/>
      <c r="F52" s="158">
        <v>49</v>
      </c>
      <c r="G52" s="158"/>
      <c r="H52" s="158">
        <f>F52/F$53*H$53</f>
        <v>4900</v>
      </c>
      <c r="I52" s="158">
        <f>F52/F$53*I$53</f>
        <v>490</v>
      </c>
      <c r="J52" s="158">
        <f>F52/F$53*J$53</f>
        <v>245</v>
      </c>
      <c r="K52" s="201">
        <f>H52*属性价值参考!C$5+龙魂炼体!I52*(属性价值参考!C$7+属性价值参考!C$8)+龙魂炼体!J52*(属性价值参考!C$9+属性价值参考!C$10)</f>
        <v>73206</v>
      </c>
      <c r="L52" s="201">
        <f>R52*属性价值参考!C$22+S52*属性价值参考!C$23+龙魂炼体!U52*属性价值参考!C$24+龙魂炼体!V52*属性价值参考!C$16+龙魂炼体!X52*属性价值参考!C$19+龙魂炼体!Y52*属性价值参考!C$13+龙魂炼体!Z52*属性价值参考!C$25+龙魂炼体!AA52*属性价值参考!C$30</f>
        <v>36129.879999999997</v>
      </c>
      <c r="M52" s="201">
        <f t="shared" si="8"/>
        <v>2143.8407843137256</v>
      </c>
      <c r="N52" s="201">
        <f t="shared" si="4"/>
        <v>2143840.7843137258</v>
      </c>
      <c r="O52" s="158"/>
      <c r="P52" s="158"/>
      <c r="Q52" s="158">
        <f t="shared" si="6"/>
        <v>4900</v>
      </c>
      <c r="R52" s="97">
        <f t="shared" si="11"/>
        <v>1500</v>
      </c>
      <c r="S52" s="97">
        <v>950</v>
      </c>
      <c r="T52" s="158">
        <f t="shared" si="9"/>
        <v>245</v>
      </c>
      <c r="U52" s="97">
        <v>20</v>
      </c>
      <c r="V52" s="97">
        <v>29</v>
      </c>
      <c r="W52" s="158">
        <f t="shared" si="10"/>
        <v>490</v>
      </c>
      <c r="X52" s="97">
        <v>49</v>
      </c>
      <c r="Y52" s="97">
        <v>98</v>
      </c>
      <c r="Z52" s="97">
        <v>2000</v>
      </c>
      <c r="AA52" s="97">
        <v>2900</v>
      </c>
    </row>
    <row r="53" spans="1:27" ht="16.5" x14ac:dyDescent="0.3">
      <c r="A53" s="22" t="s">
        <v>1963</v>
      </c>
      <c r="B53" s="22" t="s">
        <v>1964</v>
      </c>
      <c r="C53" s="23" t="s">
        <v>2044</v>
      </c>
      <c r="D53" s="22" t="s">
        <v>2045</v>
      </c>
      <c r="E53" s="22"/>
      <c r="F53" s="158">
        <v>50</v>
      </c>
      <c r="G53" s="158"/>
      <c r="H53" s="158">
        <f>养成属性分配!Z31</f>
        <v>5000</v>
      </c>
      <c r="I53" s="158">
        <f>养成属性分配!AA31</f>
        <v>500</v>
      </c>
      <c r="J53" s="158">
        <f>养成属性分配!AB31</f>
        <v>250</v>
      </c>
      <c r="K53" s="201">
        <f>H53*属性价值参考!C$5+龙魂炼体!I53*(属性价值参考!C$7+属性价值参考!C$8)+龙魂炼体!J53*(属性价值参考!C$9+属性价值参考!C$10)</f>
        <v>74700</v>
      </c>
      <c r="L53" s="201">
        <f>R53*属性价值参考!C$22+S53*属性价值参考!C$23+龙魂炼体!U53*属性价值参考!C$24+龙魂炼体!V53*属性价值参考!C$16+龙魂炼体!X53*属性价值参考!C$19+龙魂炼体!Y53*属性价值参考!C$13+龙魂炼体!Z53*属性价值参考!C$25+龙魂炼体!AA53*属性价值参考!C$30</f>
        <v>36794</v>
      </c>
      <c r="M53" s="201">
        <f>(K53+L53)/51*1</f>
        <v>2186.1568627450979</v>
      </c>
      <c r="N53" s="201">
        <f>(K53+L53)/51*1000</f>
        <v>2186156.8627450978</v>
      </c>
      <c r="O53" s="158"/>
      <c r="P53" s="158"/>
      <c r="Q53" s="158">
        <f>H53</f>
        <v>5000</v>
      </c>
      <c r="R53" s="97">
        <f t="shared" si="11"/>
        <v>1500</v>
      </c>
      <c r="S53" s="97">
        <v>1000</v>
      </c>
      <c r="T53" s="158">
        <f t="shared" si="9"/>
        <v>250</v>
      </c>
      <c r="U53" s="97">
        <v>20</v>
      </c>
      <c r="V53" s="97">
        <v>30</v>
      </c>
      <c r="W53" s="158">
        <f t="shared" si="10"/>
        <v>500</v>
      </c>
      <c r="X53" s="97">
        <v>50</v>
      </c>
      <c r="Y53" s="97">
        <v>100</v>
      </c>
      <c r="Z53" s="97">
        <v>2000</v>
      </c>
      <c r="AA53" s="97">
        <v>3000</v>
      </c>
    </row>
    <row r="54" spans="1:27" ht="15.75" x14ac:dyDescent="0.3">
      <c r="A54" s="22" t="s">
        <v>1963</v>
      </c>
      <c r="B54" s="22" t="s">
        <v>2046</v>
      </c>
      <c r="C54" s="23" t="s">
        <v>2047</v>
      </c>
      <c r="D54" s="22">
        <v>0</v>
      </c>
      <c r="E54" s="22" t="str">
        <f>"龍の魄"&amp;O4&amp;"/元宝"&amp;P4</f>
        <v>龍の魄2/元宝2000</v>
      </c>
    </row>
    <row r="55" spans="1:27" ht="15.75" x14ac:dyDescent="0.3">
      <c r="A55" s="22" t="s">
        <v>1963</v>
      </c>
      <c r="B55" s="22" t="s">
        <v>2046</v>
      </c>
      <c r="C55" s="23" t="s">
        <v>2048</v>
      </c>
      <c r="D55" s="22" t="str">
        <f>"下防"&amp;T4&amp;"|上防"&amp;T4&amp;"|下魔防"&amp;T4&amp;"|上魔防"&amp;T4&amp;"|"&amp;$U$3&amp;U4</f>
        <v>下防5|上防5|下魔防5|上魔防5|忽视防御%1</v>
      </c>
      <c r="E55" s="22" t="str">
        <f t="shared" ref="E55:E73" si="12">"龍の魄"&amp;O5&amp;"/元宝"&amp;P5</f>
        <v>龍の魄2/元宝2000</v>
      </c>
    </row>
    <row r="56" spans="1:27" ht="15.75" x14ac:dyDescent="0.3">
      <c r="A56" s="22" t="s">
        <v>1963</v>
      </c>
      <c r="B56" s="22" t="s">
        <v>2046</v>
      </c>
      <c r="C56" s="23" t="s">
        <v>2049</v>
      </c>
      <c r="D56" s="22" t="str">
        <f t="shared" ref="D56:D74" si="13">"下防"&amp;T5&amp;"|上防"&amp;T5&amp;"|下魔防"&amp;T5&amp;"|上魔防"&amp;T5&amp;"|"&amp;$U$3&amp;U5</f>
        <v>下防10|上防10|下魔防10|上魔防10|忽视防御%2</v>
      </c>
      <c r="E56" s="22" t="str">
        <f t="shared" si="12"/>
        <v>龍の魄2/元宝2000</v>
      </c>
    </row>
    <row r="57" spans="1:27" ht="15.75" x14ac:dyDescent="0.3">
      <c r="A57" s="22" t="s">
        <v>1963</v>
      </c>
      <c r="B57" s="22" t="s">
        <v>2046</v>
      </c>
      <c r="C57" s="23" t="s">
        <v>2050</v>
      </c>
      <c r="D57" s="22" t="str">
        <f t="shared" si="13"/>
        <v>下防15|上防15|下魔防15|上魔防15|忽视防御%3</v>
      </c>
      <c r="E57" s="22" t="str">
        <f t="shared" si="12"/>
        <v>龍の魄3/元宝3000</v>
      </c>
    </row>
    <row r="58" spans="1:27" ht="15.75" x14ac:dyDescent="0.3">
      <c r="A58" s="22" t="s">
        <v>1963</v>
      </c>
      <c r="B58" s="22" t="s">
        <v>2046</v>
      </c>
      <c r="C58" s="23" t="s">
        <v>2051</v>
      </c>
      <c r="D58" s="22" t="str">
        <f t="shared" si="13"/>
        <v>下防20|上防20|下魔防20|上魔防20|忽视防御%4</v>
      </c>
      <c r="E58" s="22" t="str">
        <f t="shared" si="12"/>
        <v>龍の魄15/元宝15000</v>
      </c>
    </row>
    <row r="59" spans="1:27" ht="15.75" x14ac:dyDescent="0.3">
      <c r="A59" s="22" t="s">
        <v>1963</v>
      </c>
      <c r="B59" s="22" t="s">
        <v>2046</v>
      </c>
      <c r="C59" s="23" t="s">
        <v>2052</v>
      </c>
      <c r="D59" s="22" t="str">
        <f t="shared" si="13"/>
        <v>下防25|上防25|下魔防25|上魔防25|忽视防御%5</v>
      </c>
      <c r="E59" s="22" t="str">
        <f t="shared" si="12"/>
        <v>龍の魄17/元宝17000</v>
      </c>
    </row>
    <row r="60" spans="1:27" ht="15.75" x14ac:dyDescent="0.3">
      <c r="A60" s="22" t="s">
        <v>1963</v>
      </c>
      <c r="B60" s="22" t="s">
        <v>2046</v>
      </c>
      <c r="C60" s="23" t="s">
        <v>2053</v>
      </c>
      <c r="D60" s="22" t="str">
        <f t="shared" si="13"/>
        <v>下防30|上防30|下魔防30|上魔防30|忽视防御%6</v>
      </c>
      <c r="E60" s="22" t="str">
        <f t="shared" si="12"/>
        <v>龍の魄20/元宝20000</v>
      </c>
    </row>
    <row r="61" spans="1:27" ht="15.75" x14ac:dyDescent="0.3">
      <c r="A61" s="22" t="s">
        <v>1963</v>
      </c>
      <c r="B61" s="22" t="s">
        <v>2046</v>
      </c>
      <c r="C61" s="23" t="s">
        <v>2054</v>
      </c>
      <c r="D61" s="22" t="str">
        <f t="shared" si="13"/>
        <v>下防35|上防35|下魔防35|上魔防35|忽视防御%7</v>
      </c>
      <c r="E61" s="22" t="str">
        <f t="shared" si="12"/>
        <v>龍の魄23/元宝23000</v>
      </c>
    </row>
    <row r="62" spans="1:27" ht="15.75" x14ac:dyDescent="0.3">
      <c r="A62" s="22" t="s">
        <v>1963</v>
      </c>
      <c r="B62" s="22" t="s">
        <v>2046</v>
      </c>
      <c r="C62" s="23" t="s">
        <v>2055</v>
      </c>
      <c r="D62" s="22" t="str">
        <f t="shared" si="13"/>
        <v>下防40|上防40|下魔防40|上魔防40|忽视防御%8</v>
      </c>
      <c r="E62" s="22" t="str">
        <f t="shared" si="12"/>
        <v>龍の魄25/元宝25000</v>
      </c>
    </row>
    <row r="63" spans="1:27" ht="15.75" x14ac:dyDescent="0.3">
      <c r="A63" s="22" t="s">
        <v>1963</v>
      </c>
      <c r="B63" s="22" t="s">
        <v>2046</v>
      </c>
      <c r="C63" s="23" t="s">
        <v>2056</v>
      </c>
      <c r="D63" s="22" t="str">
        <f t="shared" si="13"/>
        <v>下防45|上防45|下魔防45|上魔防45|忽视防御%9</v>
      </c>
      <c r="E63" s="22" t="str">
        <f t="shared" si="12"/>
        <v>龍の魄27/元宝27000</v>
      </c>
    </row>
    <row r="64" spans="1:27" ht="15.75" x14ac:dyDescent="0.3">
      <c r="A64" s="22" t="s">
        <v>1963</v>
      </c>
      <c r="B64" s="22" t="s">
        <v>2046</v>
      </c>
      <c r="C64" s="23" t="s">
        <v>2057</v>
      </c>
      <c r="D64" s="22" t="str">
        <f t="shared" si="13"/>
        <v>下防50|上防50|下魔防50|上魔防50|忽视防御%10</v>
      </c>
      <c r="E64" s="22" t="str">
        <f t="shared" si="12"/>
        <v>龍の魄143/元宝143000</v>
      </c>
    </row>
    <row r="65" spans="1:5" ht="15.75" x14ac:dyDescent="0.3">
      <c r="A65" s="22" t="s">
        <v>1963</v>
      </c>
      <c r="B65" s="22" t="s">
        <v>2046</v>
      </c>
      <c r="C65" s="23" t="s">
        <v>2058</v>
      </c>
      <c r="D65" s="22" t="str">
        <f t="shared" si="13"/>
        <v>下防55|上防55|下魔防55|上魔防55|忽视防御%11</v>
      </c>
      <c r="E65" s="22" t="str">
        <f t="shared" si="12"/>
        <v>龍の魄153/元宝153000</v>
      </c>
    </row>
    <row r="66" spans="1:5" ht="15.75" x14ac:dyDescent="0.3">
      <c r="A66" s="22" t="s">
        <v>1963</v>
      </c>
      <c r="B66" s="22" t="s">
        <v>2046</v>
      </c>
      <c r="C66" s="23" t="s">
        <v>2059</v>
      </c>
      <c r="D66" s="22" t="str">
        <f t="shared" si="13"/>
        <v>下防60|上防60|下魔防60|上魔防60|忽视防御%12</v>
      </c>
      <c r="E66" s="22" t="str">
        <f t="shared" si="12"/>
        <v>龍の魄163/元宝163000</v>
      </c>
    </row>
    <row r="67" spans="1:5" ht="15.75" x14ac:dyDescent="0.3">
      <c r="A67" s="22" t="s">
        <v>1963</v>
      </c>
      <c r="B67" s="22" t="s">
        <v>2046</v>
      </c>
      <c r="C67" s="23" t="s">
        <v>2060</v>
      </c>
      <c r="D67" s="22" t="str">
        <f t="shared" si="13"/>
        <v>下防65|上防65|下魔防65|上魔防65|忽视防御%13</v>
      </c>
      <c r="E67" s="22" t="str">
        <f t="shared" si="12"/>
        <v>龍の魄173/元宝173000</v>
      </c>
    </row>
    <row r="68" spans="1:5" ht="15.75" x14ac:dyDescent="0.3">
      <c r="A68" s="22" t="s">
        <v>1963</v>
      </c>
      <c r="B68" s="22" t="s">
        <v>2046</v>
      </c>
      <c r="C68" s="23" t="s">
        <v>2061</v>
      </c>
      <c r="D68" s="22" t="str">
        <f t="shared" si="13"/>
        <v>下防70|上防70|下魔防70|上魔防70|忽视防御%14</v>
      </c>
      <c r="E68" s="22" t="str">
        <f t="shared" si="12"/>
        <v>龍の魄183/元宝183000</v>
      </c>
    </row>
    <row r="69" spans="1:5" ht="15.75" x14ac:dyDescent="0.3">
      <c r="A69" s="22" t="s">
        <v>1963</v>
      </c>
      <c r="B69" s="22" t="s">
        <v>2046</v>
      </c>
      <c r="C69" s="23" t="s">
        <v>2062</v>
      </c>
      <c r="D69" s="22" t="str">
        <f t="shared" si="13"/>
        <v>下防75|上防75|下魔防75|上魔防75|忽视防御%15</v>
      </c>
      <c r="E69" s="22" t="str">
        <f t="shared" si="12"/>
        <v>龍の魄385/元宝385000</v>
      </c>
    </row>
    <row r="70" spans="1:5" ht="15.75" x14ac:dyDescent="0.3">
      <c r="A70" s="22" t="s">
        <v>1963</v>
      </c>
      <c r="B70" s="22" t="s">
        <v>2046</v>
      </c>
      <c r="C70" s="23" t="s">
        <v>2063</v>
      </c>
      <c r="D70" s="22" t="str">
        <f t="shared" si="13"/>
        <v>下防80|上防80|下魔防80|上魔防80|忽视防御%16</v>
      </c>
      <c r="E70" s="22" t="str">
        <f t="shared" si="12"/>
        <v>龍の魄405/元宝405000</v>
      </c>
    </row>
    <row r="71" spans="1:5" ht="15.75" x14ac:dyDescent="0.3">
      <c r="A71" s="22" t="s">
        <v>1963</v>
      </c>
      <c r="B71" s="22" t="s">
        <v>2046</v>
      </c>
      <c r="C71" s="23" t="s">
        <v>2064</v>
      </c>
      <c r="D71" s="22" t="str">
        <f t="shared" si="13"/>
        <v>下防85|上防85|下魔防85|上魔防85|忽视防御%17</v>
      </c>
      <c r="E71" s="22" t="str">
        <f t="shared" si="12"/>
        <v>龍の魄425/元宝425000</v>
      </c>
    </row>
    <row r="72" spans="1:5" ht="15.75" x14ac:dyDescent="0.3">
      <c r="A72" s="22" t="s">
        <v>1963</v>
      </c>
      <c r="B72" s="22" t="s">
        <v>2046</v>
      </c>
      <c r="C72" s="23" t="s">
        <v>2065</v>
      </c>
      <c r="D72" s="22" t="str">
        <f t="shared" si="13"/>
        <v>下防90|上防90|下魔防90|上魔防90|忽视防御%18</v>
      </c>
      <c r="E72" s="22" t="str">
        <f t="shared" si="12"/>
        <v>龍の魄445/元宝445000</v>
      </c>
    </row>
    <row r="73" spans="1:5" ht="15.75" x14ac:dyDescent="0.3">
      <c r="A73" s="22" t="s">
        <v>1963</v>
      </c>
      <c r="B73" s="22" t="s">
        <v>2046</v>
      </c>
      <c r="C73" s="23" t="s">
        <v>2066</v>
      </c>
      <c r="D73" s="22" t="str">
        <f t="shared" si="13"/>
        <v>下防95|上防95|下魔防95|上魔防95|忽视防御%19</v>
      </c>
      <c r="E73" s="22" t="str">
        <f t="shared" si="12"/>
        <v>龍の魄465/元宝465000</v>
      </c>
    </row>
    <row r="74" spans="1:5" ht="15.75" x14ac:dyDescent="0.3">
      <c r="A74" s="22" t="s">
        <v>1963</v>
      </c>
      <c r="B74" s="22" t="s">
        <v>2046</v>
      </c>
      <c r="C74" s="23" t="s">
        <v>2067</v>
      </c>
      <c r="D74" s="22" t="str">
        <f t="shared" si="13"/>
        <v>下防100|上防100|下魔防100|上魔防100|忽视防御%20</v>
      </c>
      <c r="E74" s="22"/>
    </row>
    <row r="75" spans="1:5" ht="15.75" x14ac:dyDescent="0.3">
      <c r="A75" s="22" t="s">
        <v>1963</v>
      </c>
      <c r="B75" s="22" t="s">
        <v>2046</v>
      </c>
      <c r="C75" s="23" t="s">
        <v>2068</v>
      </c>
      <c r="D75" s="22" t="s">
        <v>2069</v>
      </c>
      <c r="E75" s="22"/>
    </row>
    <row r="76" spans="1:5" ht="15.75" x14ac:dyDescent="0.3">
      <c r="A76" s="22" t="s">
        <v>1963</v>
      </c>
      <c r="B76" s="22" t="s">
        <v>2046</v>
      </c>
      <c r="C76" s="23" t="s">
        <v>2070</v>
      </c>
      <c r="D76" s="22" t="s">
        <v>2071</v>
      </c>
      <c r="E76" s="22"/>
    </row>
    <row r="77" spans="1:5" ht="15.75" x14ac:dyDescent="0.3">
      <c r="A77" s="22" t="s">
        <v>1963</v>
      </c>
      <c r="B77" s="22" t="s">
        <v>2046</v>
      </c>
      <c r="C77" s="23" t="s">
        <v>2072</v>
      </c>
      <c r="D77" s="22" t="s">
        <v>2073</v>
      </c>
      <c r="E77" s="22"/>
    </row>
    <row r="78" spans="1:5" ht="15.75" x14ac:dyDescent="0.3">
      <c r="A78" s="22" t="s">
        <v>1963</v>
      </c>
      <c r="B78" s="22" t="s">
        <v>2046</v>
      </c>
      <c r="C78" s="23" t="s">
        <v>2074</v>
      </c>
      <c r="D78" s="22" t="s">
        <v>2075</v>
      </c>
      <c r="E78" s="22"/>
    </row>
    <row r="79" spans="1:5" ht="15.75" x14ac:dyDescent="0.3">
      <c r="A79" s="22" t="s">
        <v>1963</v>
      </c>
      <c r="B79" s="22" t="s">
        <v>2046</v>
      </c>
      <c r="C79" s="23" t="s">
        <v>2076</v>
      </c>
      <c r="D79" s="22" t="s">
        <v>2077</v>
      </c>
      <c r="E79" s="22"/>
    </row>
    <row r="80" spans="1:5" ht="15.75" x14ac:dyDescent="0.3">
      <c r="A80" s="22" t="s">
        <v>1963</v>
      </c>
      <c r="B80" s="22" t="s">
        <v>2046</v>
      </c>
      <c r="C80" s="23" t="s">
        <v>2078</v>
      </c>
      <c r="D80" s="22" t="s">
        <v>2079</v>
      </c>
      <c r="E80" s="22"/>
    </row>
    <row r="81" spans="1:5" ht="15.75" x14ac:dyDescent="0.3">
      <c r="A81" s="22" t="s">
        <v>1963</v>
      </c>
      <c r="B81" s="22" t="s">
        <v>2046</v>
      </c>
      <c r="C81" s="23" t="s">
        <v>2080</v>
      </c>
      <c r="D81" s="22" t="s">
        <v>2081</v>
      </c>
      <c r="E81" s="22"/>
    </row>
    <row r="82" spans="1:5" ht="15.75" x14ac:dyDescent="0.3">
      <c r="A82" s="22" t="s">
        <v>1963</v>
      </c>
      <c r="B82" s="22" t="s">
        <v>2046</v>
      </c>
      <c r="C82" s="23" t="s">
        <v>2082</v>
      </c>
      <c r="D82" s="22" t="s">
        <v>2083</v>
      </c>
      <c r="E82" s="22"/>
    </row>
    <row r="83" spans="1:5" ht="15.75" x14ac:dyDescent="0.3">
      <c r="A83" s="22" t="s">
        <v>1963</v>
      </c>
      <c r="B83" s="22" t="s">
        <v>2046</v>
      </c>
      <c r="C83" s="23" t="s">
        <v>2084</v>
      </c>
      <c r="D83" s="22" t="s">
        <v>2085</v>
      </c>
      <c r="E83" s="22"/>
    </row>
    <row r="84" spans="1:5" ht="15.75" x14ac:dyDescent="0.3">
      <c r="A84" s="22" t="s">
        <v>1963</v>
      </c>
      <c r="B84" s="22" t="s">
        <v>2046</v>
      </c>
      <c r="C84" s="23" t="s">
        <v>2086</v>
      </c>
      <c r="D84" s="22" t="s">
        <v>2087</v>
      </c>
      <c r="E84" s="22"/>
    </row>
    <row r="85" spans="1:5" ht="15.75" x14ac:dyDescent="0.3">
      <c r="A85" s="22" t="s">
        <v>1963</v>
      </c>
      <c r="B85" s="22" t="s">
        <v>2046</v>
      </c>
      <c r="C85" s="23" t="s">
        <v>2088</v>
      </c>
      <c r="D85" s="22" t="s">
        <v>2089</v>
      </c>
      <c r="E85" s="22"/>
    </row>
    <row r="86" spans="1:5" ht="15.75" x14ac:dyDescent="0.3">
      <c r="A86" s="22" t="s">
        <v>1963</v>
      </c>
      <c r="B86" s="22" t="s">
        <v>2046</v>
      </c>
      <c r="C86" s="23" t="s">
        <v>2090</v>
      </c>
      <c r="D86" s="22" t="s">
        <v>2091</v>
      </c>
      <c r="E86" s="22"/>
    </row>
    <row r="87" spans="1:5" ht="15.75" x14ac:dyDescent="0.3">
      <c r="A87" s="22" t="s">
        <v>1963</v>
      </c>
      <c r="B87" s="22" t="s">
        <v>2046</v>
      </c>
      <c r="C87" s="23" t="s">
        <v>2092</v>
      </c>
      <c r="D87" s="22" t="s">
        <v>2093</v>
      </c>
      <c r="E87" s="22"/>
    </row>
    <row r="88" spans="1:5" ht="15.75" x14ac:dyDescent="0.3">
      <c r="A88" s="22" t="s">
        <v>1963</v>
      </c>
      <c r="B88" s="22" t="s">
        <v>2046</v>
      </c>
      <c r="C88" s="23" t="s">
        <v>2094</v>
      </c>
      <c r="D88" s="22" t="s">
        <v>2095</v>
      </c>
      <c r="E88" s="22"/>
    </row>
    <row r="89" spans="1:5" ht="15.75" x14ac:dyDescent="0.3">
      <c r="A89" s="22" t="s">
        <v>1963</v>
      </c>
      <c r="B89" s="22" t="s">
        <v>2046</v>
      </c>
      <c r="C89" s="23" t="s">
        <v>2096</v>
      </c>
      <c r="D89" s="22" t="s">
        <v>2097</v>
      </c>
      <c r="E89" s="22"/>
    </row>
    <row r="90" spans="1:5" ht="15.75" x14ac:dyDescent="0.3">
      <c r="A90" s="22" t="s">
        <v>1963</v>
      </c>
      <c r="B90" s="22" t="s">
        <v>2046</v>
      </c>
      <c r="C90" s="23" t="s">
        <v>2098</v>
      </c>
      <c r="D90" s="22" t="s">
        <v>2099</v>
      </c>
      <c r="E90" s="22"/>
    </row>
    <row r="91" spans="1:5" ht="15.75" x14ac:dyDescent="0.3">
      <c r="A91" s="22" t="s">
        <v>1963</v>
      </c>
      <c r="B91" s="22" t="s">
        <v>2046</v>
      </c>
      <c r="C91" s="23" t="s">
        <v>2100</v>
      </c>
      <c r="D91" s="22" t="s">
        <v>2101</v>
      </c>
      <c r="E91" s="22"/>
    </row>
    <row r="92" spans="1:5" ht="15.75" x14ac:dyDescent="0.3">
      <c r="A92" s="22" t="s">
        <v>1963</v>
      </c>
      <c r="B92" s="22" t="s">
        <v>2046</v>
      </c>
      <c r="C92" s="23" t="s">
        <v>2102</v>
      </c>
      <c r="D92" s="22" t="s">
        <v>2103</v>
      </c>
      <c r="E92" s="22"/>
    </row>
    <row r="93" spans="1:5" ht="15.75" x14ac:dyDescent="0.3">
      <c r="A93" s="22" t="s">
        <v>1963</v>
      </c>
      <c r="B93" s="22" t="s">
        <v>2046</v>
      </c>
      <c r="C93" s="23" t="s">
        <v>2104</v>
      </c>
      <c r="D93" s="22" t="s">
        <v>2105</v>
      </c>
      <c r="E93" s="22"/>
    </row>
    <row r="94" spans="1:5" ht="15.75" x14ac:dyDescent="0.3">
      <c r="A94" s="22" t="s">
        <v>1963</v>
      </c>
      <c r="B94" s="22" t="s">
        <v>2046</v>
      </c>
      <c r="C94" s="23" t="s">
        <v>2106</v>
      </c>
      <c r="D94" s="22" t="s">
        <v>2107</v>
      </c>
      <c r="E94" s="22"/>
    </row>
    <row r="95" spans="1:5" ht="15.75" x14ac:dyDescent="0.3">
      <c r="A95" s="22" t="s">
        <v>1963</v>
      </c>
      <c r="B95" s="22" t="s">
        <v>2046</v>
      </c>
      <c r="C95" s="23" t="s">
        <v>2108</v>
      </c>
      <c r="D95" s="22" t="s">
        <v>2109</v>
      </c>
      <c r="E95" s="22"/>
    </row>
    <row r="96" spans="1:5" ht="15.75" x14ac:dyDescent="0.3">
      <c r="A96" s="22" t="s">
        <v>1963</v>
      </c>
      <c r="B96" s="22" t="s">
        <v>2046</v>
      </c>
      <c r="C96" s="23" t="s">
        <v>2110</v>
      </c>
      <c r="D96" s="22" t="s">
        <v>2111</v>
      </c>
      <c r="E96" s="22"/>
    </row>
    <row r="97" spans="1:5" ht="15.75" x14ac:dyDescent="0.3">
      <c r="A97" s="22" t="s">
        <v>1963</v>
      </c>
      <c r="B97" s="22" t="s">
        <v>2046</v>
      </c>
      <c r="C97" s="23" t="s">
        <v>2112</v>
      </c>
      <c r="D97" s="22" t="s">
        <v>2113</v>
      </c>
      <c r="E97" s="22"/>
    </row>
    <row r="98" spans="1:5" ht="15.75" x14ac:dyDescent="0.3">
      <c r="A98" s="22" t="s">
        <v>1963</v>
      </c>
      <c r="B98" s="22" t="s">
        <v>2046</v>
      </c>
      <c r="C98" s="23" t="s">
        <v>2114</v>
      </c>
      <c r="D98" s="22" t="s">
        <v>2115</v>
      </c>
      <c r="E98" s="22"/>
    </row>
    <row r="99" spans="1:5" ht="15.75" x14ac:dyDescent="0.3">
      <c r="A99" s="22" t="s">
        <v>1963</v>
      </c>
      <c r="B99" s="22" t="s">
        <v>2046</v>
      </c>
      <c r="C99" s="23" t="s">
        <v>2116</v>
      </c>
      <c r="D99" s="22" t="s">
        <v>2117</v>
      </c>
      <c r="E99" s="22"/>
    </row>
    <row r="100" spans="1:5" ht="15.75" x14ac:dyDescent="0.3">
      <c r="A100" s="22" t="s">
        <v>1963</v>
      </c>
      <c r="B100" s="22" t="s">
        <v>2046</v>
      </c>
      <c r="C100" s="23" t="s">
        <v>2118</v>
      </c>
      <c r="D100" s="22" t="s">
        <v>2119</v>
      </c>
      <c r="E100" s="22"/>
    </row>
    <row r="101" spans="1:5" ht="15.75" x14ac:dyDescent="0.3">
      <c r="A101" s="22" t="s">
        <v>1963</v>
      </c>
      <c r="B101" s="22" t="s">
        <v>2046</v>
      </c>
      <c r="C101" s="23" t="s">
        <v>2120</v>
      </c>
      <c r="D101" s="22" t="s">
        <v>2121</v>
      </c>
      <c r="E101" s="22"/>
    </row>
    <row r="102" spans="1:5" ht="15.75" x14ac:dyDescent="0.3">
      <c r="A102" s="22" t="s">
        <v>1963</v>
      </c>
      <c r="B102" s="22" t="s">
        <v>2046</v>
      </c>
      <c r="C102" s="23" t="s">
        <v>2122</v>
      </c>
      <c r="D102" s="22" t="s">
        <v>2123</v>
      </c>
      <c r="E102" s="22"/>
    </row>
    <row r="103" spans="1:5" ht="15.75" x14ac:dyDescent="0.3">
      <c r="A103" s="22" t="s">
        <v>1963</v>
      </c>
      <c r="B103" s="22" t="s">
        <v>2046</v>
      </c>
      <c r="C103" s="23" t="s">
        <v>2124</v>
      </c>
      <c r="D103" s="22" t="s">
        <v>2125</v>
      </c>
      <c r="E103" s="22"/>
    </row>
    <row r="104" spans="1:5" ht="15.75" x14ac:dyDescent="0.3">
      <c r="A104" s="22" t="s">
        <v>1963</v>
      </c>
      <c r="B104" s="22" t="s">
        <v>2046</v>
      </c>
      <c r="C104" s="23" t="s">
        <v>2126</v>
      </c>
      <c r="D104" s="22" t="s">
        <v>2127</v>
      </c>
      <c r="E104" s="22"/>
    </row>
    <row r="105" spans="1:5" ht="15.75" x14ac:dyDescent="0.3">
      <c r="A105" s="22" t="s">
        <v>1963</v>
      </c>
      <c r="B105" s="22" t="s">
        <v>2128</v>
      </c>
      <c r="C105" s="23" t="s">
        <v>2129</v>
      </c>
      <c r="D105" s="22">
        <v>0</v>
      </c>
      <c r="E105" s="22" t="str">
        <f>"龍の心"&amp;O4&amp;"/元宝"&amp;P4</f>
        <v>龍の心2/元宝2000</v>
      </c>
    </row>
    <row r="106" spans="1:5" ht="15.75" x14ac:dyDescent="0.3">
      <c r="A106" s="22" t="s">
        <v>1963</v>
      </c>
      <c r="B106" s="22" t="s">
        <v>2128</v>
      </c>
      <c r="C106" s="23" t="s">
        <v>2130</v>
      </c>
      <c r="D106" s="22" t="str">
        <f>"下攻"&amp;W4&amp;"|上攻"&amp;W4&amp;"|魔下"&amp;W4&amp;"|魔上"&amp;W4&amp;"|道下"&amp;W4&amp;"|道上"&amp;W4&amp;"|"&amp;$X$3&amp;X4</f>
        <v>下攻10|上攻10|魔下10|魔上10|道下10|道上10|伤害加成%1</v>
      </c>
      <c r="E106" s="22" t="str">
        <f t="shared" ref="E106:E124" si="14">"龍の心"&amp;O5&amp;"/元宝"&amp;P5</f>
        <v>龍の心2/元宝2000</v>
      </c>
    </row>
    <row r="107" spans="1:5" ht="15.75" x14ac:dyDescent="0.3">
      <c r="A107" s="22" t="s">
        <v>1963</v>
      </c>
      <c r="B107" s="22" t="s">
        <v>2128</v>
      </c>
      <c r="C107" s="23" t="s">
        <v>2131</v>
      </c>
      <c r="D107" s="22" t="str">
        <f t="shared" ref="D107:D155" si="15">"下攻"&amp;W5&amp;"|上攻"&amp;W5&amp;"|魔下"&amp;W5&amp;"|魔上"&amp;W5&amp;"|道下"&amp;W5&amp;"|道上"&amp;W5&amp;"|"&amp;$X$3&amp;X5</f>
        <v>下攻20|上攻20|魔下20|魔上20|道下20|道上20|伤害加成%2</v>
      </c>
      <c r="E107" s="22" t="str">
        <f t="shared" si="14"/>
        <v>龍の心2/元宝2000</v>
      </c>
    </row>
    <row r="108" spans="1:5" ht="15.75" x14ac:dyDescent="0.3">
      <c r="A108" s="22" t="s">
        <v>1963</v>
      </c>
      <c r="B108" s="22" t="s">
        <v>2128</v>
      </c>
      <c r="C108" s="23" t="s">
        <v>2132</v>
      </c>
      <c r="D108" s="22" t="str">
        <f t="shared" si="15"/>
        <v>下攻30|上攻30|魔下30|魔上30|道下30|道上30|伤害加成%3</v>
      </c>
      <c r="E108" s="22" t="str">
        <f t="shared" si="14"/>
        <v>龍の心3/元宝3000</v>
      </c>
    </row>
    <row r="109" spans="1:5" ht="15.75" x14ac:dyDescent="0.3">
      <c r="A109" s="22" t="s">
        <v>1963</v>
      </c>
      <c r="B109" s="22" t="s">
        <v>2128</v>
      </c>
      <c r="C109" s="23" t="s">
        <v>2133</v>
      </c>
      <c r="D109" s="22" t="str">
        <f t="shared" si="15"/>
        <v>下攻40|上攻40|魔下40|魔上40|道下40|道上40|伤害加成%4</v>
      </c>
      <c r="E109" s="22" t="str">
        <f t="shared" si="14"/>
        <v>龍の心15/元宝15000</v>
      </c>
    </row>
    <row r="110" spans="1:5" ht="15.75" x14ac:dyDescent="0.3">
      <c r="A110" s="22" t="s">
        <v>1963</v>
      </c>
      <c r="B110" s="22" t="s">
        <v>2128</v>
      </c>
      <c r="C110" s="23" t="s">
        <v>2134</v>
      </c>
      <c r="D110" s="22" t="str">
        <f t="shared" si="15"/>
        <v>下攻50|上攻50|魔下50|魔上50|道下50|道上50|伤害加成%5</v>
      </c>
      <c r="E110" s="22" t="str">
        <f t="shared" si="14"/>
        <v>龍の心17/元宝17000</v>
      </c>
    </row>
    <row r="111" spans="1:5" ht="15.75" x14ac:dyDescent="0.3">
      <c r="A111" s="22" t="s">
        <v>1963</v>
      </c>
      <c r="B111" s="22" t="s">
        <v>2128</v>
      </c>
      <c r="C111" s="23" t="s">
        <v>2135</v>
      </c>
      <c r="D111" s="22" t="str">
        <f t="shared" si="15"/>
        <v>下攻60|上攻60|魔下60|魔上60|道下60|道上60|伤害加成%6</v>
      </c>
      <c r="E111" s="22" t="str">
        <f t="shared" si="14"/>
        <v>龍の心20/元宝20000</v>
      </c>
    </row>
    <row r="112" spans="1:5" ht="15.75" x14ac:dyDescent="0.3">
      <c r="A112" s="22" t="s">
        <v>1963</v>
      </c>
      <c r="B112" s="22" t="s">
        <v>2128</v>
      </c>
      <c r="C112" s="23" t="s">
        <v>2136</v>
      </c>
      <c r="D112" s="22" t="str">
        <f t="shared" si="15"/>
        <v>下攻70|上攻70|魔下70|魔上70|道下70|道上70|伤害加成%7</v>
      </c>
      <c r="E112" s="22" t="str">
        <f t="shared" si="14"/>
        <v>龍の心23/元宝23000</v>
      </c>
    </row>
    <row r="113" spans="1:5" ht="15.75" x14ac:dyDescent="0.3">
      <c r="A113" s="22" t="s">
        <v>1963</v>
      </c>
      <c r="B113" s="22" t="s">
        <v>2128</v>
      </c>
      <c r="C113" s="23" t="s">
        <v>2137</v>
      </c>
      <c r="D113" s="22" t="str">
        <f t="shared" si="15"/>
        <v>下攻80|上攻80|魔下80|魔上80|道下80|道上80|伤害加成%8</v>
      </c>
      <c r="E113" s="22" t="str">
        <f t="shared" si="14"/>
        <v>龍の心25/元宝25000</v>
      </c>
    </row>
    <row r="114" spans="1:5" ht="15.75" x14ac:dyDescent="0.3">
      <c r="A114" s="22" t="s">
        <v>1963</v>
      </c>
      <c r="B114" s="22" t="s">
        <v>2128</v>
      </c>
      <c r="C114" s="23" t="s">
        <v>2138</v>
      </c>
      <c r="D114" s="22" t="str">
        <f t="shared" si="15"/>
        <v>下攻90|上攻90|魔下90|魔上90|道下90|道上90|伤害加成%9</v>
      </c>
      <c r="E114" s="22" t="str">
        <f t="shared" si="14"/>
        <v>龍の心27/元宝27000</v>
      </c>
    </row>
    <row r="115" spans="1:5" ht="15.75" x14ac:dyDescent="0.3">
      <c r="A115" s="22" t="s">
        <v>1963</v>
      </c>
      <c r="B115" s="22" t="s">
        <v>2128</v>
      </c>
      <c r="C115" s="23" t="s">
        <v>2139</v>
      </c>
      <c r="D115" s="22" t="str">
        <f t="shared" si="15"/>
        <v>下攻100|上攻100|魔下100|魔上100|道下100|道上100|伤害加成%10</v>
      </c>
      <c r="E115" s="22" t="str">
        <f t="shared" si="14"/>
        <v>龍の心143/元宝143000</v>
      </c>
    </row>
    <row r="116" spans="1:5" ht="15.75" x14ac:dyDescent="0.3">
      <c r="A116" s="22" t="s">
        <v>1963</v>
      </c>
      <c r="B116" s="22" t="s">
        <v>2128</v>
      </c>
      <c r="C116" s="23" t="s">
        <v>2140</v>
      </c>
      <c r="D116" s="22" t="str">
        <f t="shared" si="15"/>
        <v>下攻110|上攻110|魔下110|魔上110|道下110|道上110|伤害加成%11</v>
      </c>
      <c r="E116" s="22" t="str">
        <f t="shared" si="14"/>
        <v>龍の心153/元宝153000</v>
      </c>
    </row>
    <row r="117" spans="1:5" ht="15.75" x14ac:dyDescent="0.3">
      <c r="A117" s="22" t="s">
        <v>1963</v>
      </c>
      <c r="B117" s="22" t="s">
        <v>2128</v>
      </c>
      <c r="C117" s="23" t="s">
        <v>2141</v>
      </c>
      <c r="D117" s="22" t="str">
        <f t="shared" si="15"/>
        <v>下攻120|上攻120|魔下120|魔上120|道下120|道上120|伤害加成%12</v>
      </c>
      <c r="E117" s="22" t="str">
        <f t="shared" si="14"/>
        <v>龍の心163/元宝163000</v>
      </c>
    </row>
    <row r="118" spans="1:5" ht="15.75" x14ac:dyDescent="0.3">
      <c r="A118" s="22" t="s">
        <v>1963</v>
      </c>
      <c r="B118" s="22" t="s">
        <v>2128</v>
      </c>
      <c r="C118" s="23" t="s">
        <v>2142</v>
      </c>
      <c r="D118" s="22" t="str">
        <f t="shared" si="15"/>
        <v>下攻130|上攻130|魔下130|魔上130|道下130|道上130|伤害加成%13</v>
      </c>
      <c r="E118" s="22" t="str">
        <f t="shared" si="14"/>
        <v>龍の心173/元宝173000</v>
      </c>
    </row>
    <row r="119" spans="1:5" ht="15.75" x14ac:dyDescent="0.3">
      <c r="A119" s="22" t="s">
        <v>1963</v>
      </c>
      <c r="B119" s="22" t="s">
        <v>2128</v>
      </c>
      <c r="C119" s="23" t="s">
        <v>2143</v>
      </c>
      <c r="D119" s="22" t="str">
        <f t="shared" si="15"/>
        <v>下攻140|上攻140|魔下140|魔上140|道下140|道上140|伤害加成%14</v>
      </c>
      <c r="E119" s="22" t="str">
        <f t="shared" si="14"/>
        <v>龍の心183/元宝183000</v>
      </c>
    </row>
    <row r="120" spans="1:5" ht="15.75" x14ac:dyDescent="0.3">
      <c r="A120" s="22" t="s">
        <v>1963</v>
      </c>
      <c r="B120" s="22" t="s">
        <v>2128</v>
      </c>
      <c r="C120" s="23" t="s">
        <v>2144</v>
      </c>
      <c r="D120" s="22" t="str">
        <f t="shared" si="15"/>
        <v>下攻150|上攻150|魔下150|魔上150|道下150|道上150|伤害加成%15</v>
      </c>
      <c r="E120" s="22" t="str">
        <f t="shared" si="14"/>
        <v>龍の心385/元宝385000</v>
      </c>
    </row>
    <row r="121" spans="1:5" ht="15.75" x14ac:dyDescent="0.3">
      <c r="A121" s="22" t="s">
        <v>1963</v>
      </c>
      <c r="B121" s="22" t="s">
        <v>2128</v>
      </c>
      <c r="C121" s="23" t="s">
        <v>2145</v>
      </c>
      <c r="D121" s="22" t="str">
        <f t="shared" si="15"/>
        <v>下攻160|上攻160|魔下160|魔上160|道下160|道上160|伤害加成%16</v>
      </c>
      <c r="E121" s="22" t="str">
        <f t="shared" si="14"/>
        <v>龍の心405/元宝405000</v>
      </c>
    </row>
    <row r="122" spans="1:5" ht="15.75" x14ac:dyDescent="0.3">
      <c r="A122" s="22" t="s">
        <v>1963</v>
      </c>
      <c r="B122" s="22" t="s">
        <v>2128</v>
      </c>
      <c r="C122" s="23" t="s">
        <v>2146</v>
      </c>
      <c r="D122" s="22" t="str">
        <f t="shared" si="15"/>
        <v>下攻170|上攻170|魔下170|魔上170|道下170|道上170|伤害加成%17</v>
      </c>
      <c r="E122" s="22" t="str">
        <f t="shared" si="14"/>
        <v>龍の心425/元宝425000</v>
      </c>
    </row>
    <row r="123" spans="1:5" ht="15.75" x14ac:dyDescent="0.3">
      <c r="A123" s="22" t="s">
        <v>1963</v>
      </c>
      <c r="B123" s="22" t="s">
        <v>2128</v>
      </c>
      <c r="C123" s="23" t="s">
        <v>2147</v>
      </c>
      <c r="D123" s="22" t="str">
        <f t="shared" si="15"/>
        <v>下攻180|上攻180|魔下180|魔上180|道下180|道上180|伤害加成%18</v>
      </c>
      <c r="E123" s="22" t="str">
        <f t="shared" si="14"/>
        <v>龍の心445/元宝445000</v>
      </c>
    </row>
    <row r="124" spans="1:5" ht="15.75" x14ac:dyDescent="0.3">
      <c r="A124" s="22" t="s">
        <v>1963</v>
      </c>
      <c r="B124" s="22" t="s">
        <v>2128</v>
      </c>
      <c r="C124" s="23" t="s">
        <v>2148</v>
      </c>
      <c r="D124" s="22" t="str">
        <f t="shared" si="15"/>
        <v>下攻190|上攻190|魔下190|魔上190|道下190|道上190|伤害加成%19</v>
      </c>
      <c r="E124" s="22" t="str">
        <f t="shared" si="14"/>
        <v>龍の心465/元宝465000</v>
      </c>
    </row>
    <row r="125" spans="1:5" ht="15.75" x14ac:dyDescent="0.3">
      <c r="A125" s="22" t="s">
        <v>1963</v>
      </c>
      <c r="B125" s="22" t="s">
        <v>2128</v>
      </c>
      <c r="C125" s="23" t="s">
        <v>2149</v>
      </c>
      <c r="D125" s="22" t="str">
        <f t="shared" si="15"/>
        <v>下攻200|上攻200|魔下200|魔上200|道下200|道上200|伤害加成%20</v>
      </c>
      <c r="E125" s="22"/>
    </row>
    <row r="126" spans="1:5" ht="15.75" x14ac:dyDescent="0.3">
      <c r="A126" s="22" t="s">
        <v>1963</v>
      </c>
      <c r="B126" s="22" t="s">
        <v>2128</v>
      </c>
      <c r="C126" s="23" t="s">
        <v>2150</v>
      </c>
      <c r="D126" s="22" t="str">
        <f t="shared" si="15"/>
        <v>下攻210|上攻210|魔下210|魔上210|道下210|道上210|伤害加成%21</v>
      </c>
      <c r="E126" s="22"/>
    </row>
    <row r="127" spans="1:5" ht="15.75" x14ac:dyDescent="0.3">
      <c r="A127" s="22" t="s">
        <v>1963</v>
      </c>
      <c r="B127" s="22" t="s">
        <v>2128</v>
      </c>
      <c r="C127" s="23" t="s">
        <v>2151</v>
      </c>
      <c r="D127" s="22" t="str">
        <f t="shared" si="15"/>
        <v>下攻220|上攻220|魔下220|魔上220|道下220|道上220|伤害加成%22</v>
      </c>
      <c r="E127" s="22"/>
    </row>
    <row r="128" spans="1:5" ht="15.75" x14ac:dyDescent="0.3">
      <c r="A128" s="22" t="s">
        <v>1963</v>
      </c>
      <c r="B128" s="22" t="s">
        <v>2128</v>
      </c>
      <c r="C128" s="23" t="s">
        <v>2152</v>
      </c>
      <c r="D128" s="22" t="str">
        <f t="shared" si="15"/>
        <v>下攻230|上攻230|魔下230|魔上230|道下230|道上230|伤害加成%23</v>
      </c>
      <c r="E128" s="22"/>
    </row>
    <row r="129" spans="1:5" ht="15.75" x14ac:dyDescent="0.3">
      <c r="A129" s="22" t="s">
        <v>1963</v>
      </c>
      <c r="B129" s="22" t="s">
        <v>2128</v>
      </c>
      <c r="C129" s="23" t="s">
        <v>2153</v>
      </c>
      <c r="D129" s="22" t="str">
        <f t="shared" si="15"/>
        <v>下攻240|上攻240|魔下240|魔上240|道下240|道上240|伤害加成%24</v>
      </c>
      <c r="E129" s="22"/>
    </row>
    <row r="130" spans="1:5" ht="15.75" x14ac:dyDescent="0.3">
      <c r="A130" s="22" t="s">
        <v>1963</v>
      </c>
      <c r="B130" s="22" t="s">
        <v>2128</v>
      </c>
      <c r="C130" s="23" t="s">
        <v>2154</v>
      </c>
      <c r="D130" s="22" t="str">
        <f t="shared" si="15"/>
        <v>下攻250|上攻250|魔下250|魔上250|道下250|道上250|伤害加成%25</v>
      </c>
      <c r="E130" s="22"/>
    </row>
    <row r="131" spans="1:5" ht="15.75" x14ac:dyDescent="0.3">
      <c r="A131" s="22" t="s">
        <v>1963</v>
      </c>
      <c r="B131" s="22" t="s">
        <v>2128</v>
      </c>
      <c r="C131" s="23" t="s">
        <v>2155</v>
      </c>
      <c r="D131" s="22" t="str">
        <f t="shared" si="15"/>
        <v>下攻260|上攻260|魔下260|魔上260|道下260|道上260|伤害加成%26</v>
      </c>
      <c r="E131" s="22"/>
    </row>
    <row r="132" spans="1:5" ht="15.75" x14ac:dyDescent="0.3">
      <c r="A132" s="22" t="s">
        <v>1963</v>
      </c>
      <c r="B132" s="22" t="s">
        <v>2128</v>
      </c>
      <c r="C132" s="23" t="s">
        <v>2156</v>
      </c>
      <c r="D132" s="22" t="str">
        <f t="shared" si="15"/>
        <v>下攻270|上攻270|魔下270|魔上270|道下270|道上270|伤害加成%27</v>
      </c>
      <c r="E132" s="22"/>
    </row>
    <row r="133" spans="1:5" ht="15.75" x14ac:dyDescent="0.3">
      <c r="A133" s="22" t="s">
        <v>1963</v>
      </c>
      <c r="B133" s="22" t="s">
        <v>2128</v>
      </c>
      <c r="C133" s="23" t="s">
        <v>2157</v>
      </c>
      <c r="D133" s="22" t="str">
        <f t="shared" si="15"/>
        <v>下攻280|上攻280|魔下280|魔上280|道下280|道上280|伤害加成%28</v>
      </c>
      <c r="E133" s="22"/>
    </row>
    <row r="134" spans="1:5" ht="15.75" x14ac:dyDescent="0.3">
      <c r="A134" s="22" t="s">
        <v>1963</v>
      </c>
      <c r="B134" s="22" t="s">
        <v>2128</v>
      </c>
      <c r="C134" s="23" t="s">
        <v>2158</v>
      </c>
      <c r="D134" s="22" t="str">
        <f t="shared" si="15"/>
        <v>下攻290|上攻290|魔下290|魔上290|道下290|道上290|伤害加成%29</v>
      </c>
      <c r="E134" s="22"/>
    </row>
    <row r="135" spans="1:5" ht="15.75" x14ac:dyDescent="0.3">
      <c r="A135" s="22" t="s">
        <v>1963</v>
      </c>
      <c r="B135" s="22" t="s">
        <v>2128</v>
      </c>
      <c r="C135" s="23" t="s">
        <v>2159</v>
      </c>
      <c r="D135" s="22" t="str">
        <f t="shared" si="15"/>
        <v>下攻300|上攻300|魔下300|魔上300|道下300|道上300|伤害加成%30</v>
      </c>
      <c r="E135" s="22"/>
    </row>
    <row r="136" spans="1:5" ht="15.75" x14ac:dyDescent="0.3">
      <c r="A136" s="22" t="s">
        <v>1963</v>
      </c>
      <c r="B136" s="22" t="s">
        <v>2128</v>
      </c>
      <c r="C136" s="23" t="s">
        <v>2160</v>
      </c>
      <c r="D136" s="22" t="str">
        <f t="shared" si="15"/>
        <v>下攻310|上攻310|魔下310|魔上310|道下310|道上310|伤害加成%31</v>
      </c>
      <c r="E136" s="22"/>
    </row>
    <row r="137" spans="1:5" ht="15.75" x14ac:dyDescent="0.3">
      <c r="A137" s="22" t="s">
        <v>1963</v>
      </c>
      <c r="B137" s="22" t="s">
        <v>2128</v>
      </c>
      <c r="C137" s="23" t="s">
        <v>2161</v>
      </c>
      <c r="D137" s="22" t="str">
        <f t="shared" si="15"/>
        <v>下攻320|上攻320|魔下320|魔上320|道下320|道上320|伤害加成%32</v>
      </c>
      <c r="E137" s="22"/>
    </row>
    <row r="138" spans="1:5" ht="15.75" x14ac:dyDescent="0.3">
      <c r="A138" s="22" t="s">
        <v>1963</v>
      </c>
      <c r="B138" s="22" t="s">
        <v>2128</v>
      </c>
      <c r="C138" s="23" t="s">
        <v>2162</v>
      </c>
      <c r="D138" s="22" t="str">
        <f t="shared" si="15"/>
        <v>下攻330|上攻330|魔下330|魔上330|道下330|道上330|伤害加成%33</v>
      </c>
      <c r="E138" s="22"/>
    </row>
    <row r="139" spans="1:5" ht="15.75" x14ac:dyDescent="0.3">
      <c r="A139" s="22" t="s">
        <v>1963</v>
      </c>
      <c r="B139" s="22" t="s">
        <v>2128</v>
      </c>
      <c r="C139" s="23" t="s">
        <v>2163</v>
      </c>
      <c r="D139" s="22" t="str">
        <f t="shared" si="15"/>
        <v>下攻340|上攻340|魔下340|魔上340|道下340|道上340|伤害加成%34</v>
      </c>
      <c r="E139" s="22"/>
    </row>
    <row r="140" spans="1:5" ht="15.75" x14ac:dyDescent="0.3">
      <c r="A140" s="22" t="s">
        <v>1963</v>
      </c>
      <c r="B140" s="22" t="s">
        <v>2128</v>
      </c>
      <c r="C140" s="23" t="s">
        <v>2164</v>
      </c>
      <c r="D140" s="22" t="str">
        <f t="shared" si="15"/>
        <v>下攻350|上攻350|魔下350|魔上350|道下350|道上350|伤害加成%35</v>
      </c>
      <c r="E140" s="22"/>
    </row>
    <row r="141" spans="1:5" ht="15.75" x14ac:dyDescent="0.3">
      <c r="A141" s="22" t="s">
        <v>1963</v>
      </c>
      <c r="B141" s="22" t="s">
        <v>2128</v>
      </c>
      <c r="C141" s="23" t="s">
        <v>2165</v>
      </c>
      <c r="D141" s="22" t="str">
        <f t="shared" si="15"/>
        <v>下攻360|上攻360|魔下360|魔上360|道下360|道上360|伤害加成%36</v>
      </c>
      <c r="E141" s="22"/>
    </row>
    <row r="142" spans="1:5" ht="15.75" x14ac:dyDescent="0.3">
      <c r="A142" s="22" t="s">
        <v>1963</v>
      </c>
      <c r="B142" s="22" t="s">
        <v>2128</v>
      </c>
      <c r="C142" s="23" t="s">
        <v>2166</v>
      </c>
      <c r="D142" s="22" t="str">
        <f t="shared" si="15"/>
        <v>下攻370|上攻370|魔下370|魔上370|道下370|道上370|伤害加成%37</v>
      </c>
      <c r="E142" s="22"/>
    </row>
    <row r="143" spans="1:5" ht="15.75" x14ac:dyDescent="0.3">
      <c r="A143" s="22" t="s">
        <v>1963</v>
      </c>
      <c r="B143" s="22" t="s">
        <v>2128</v>
      </c>
      <c r="C143" s="23" t="s">
        <v>2167</v>
      </c>
      <c r="D143" s="22" t="str">
        <f t="shared" si="15"/>
        <v>下攻380|上攻380|魔下380|魔上380|道下380|道上380|伤害加成%38</v>
      </c>
      <c r="E143" s="22"/>
    </row>
    <row r="144" spans="1:5" ht="15.75" x14ac:dyDescent="0.3">
      <c r="A144" s="22" t="s">
        <v>1963</v>
      </c>
      <c r="B144" s="22" t="s">
        <v>2128</v>
      </c>
      <c r="C144" s="23" t="s">
        <v>2168</v>
      </c>
      <c r="D144" s="22" t="str">
        <f t="shared" si="15"/>
        <v>下攻390|上攻390|魔下390|魔上390|道下390|道上390|伤害加成%39</v>
      </c>
      <c r="E144" s="22"/>
    </row>
    <row r="145" spans="1:5" ht="15.75" x14ac:dyDescent="0.3">
      <c r="A145" s="22" t="s">
        <v>1963</v>
      </c>
      <c r="B145" s="22" t="s">
        <v>2128</v>
      </c>
      <c r="C145" s="23" t="s">
        <v>2169</v>
      </c>
      <c r="D145" s="22" t="str">
        <f t="shared" si="15"/>
        <v>下攻400|上攻400|魔下400|魔上400|道下400|道上400|伤害加成%40</v>
      </c>
      <c r="E145" s="22"/>
    </row>
    <row r="146" spans="1:5" ht="15.75" x14ac:dyDescent="0.3">
      <c r="A146" s="22" t="s">
        <v>1963</v>
      </c>
      <c r="B146" s="22" t="s">
        <v>2128</v>
      </c>
      <c r="C146" s="23" t="s">
        <v>2170</v>
      </c>
      <c r="D146" s="22" t="str">
        <f t="shared" si="15"/>
        <v>下攻410|上攻410|魔下410|魔上410|道下410|道上410|伤害加成%41</v>
      </c>
      <c r="E146" s="22"/>
    </row>
    <row r="147" spans="1:5" ht="15.75" x14ac:dyDescent="0.3">
      <c r="A147" s="22" t="s">
        <v>1963</v>
      </c>
      <c r="B147" s="22" t="s">
        <v>2128</v>
      </c>
      <c r="C147" s="23" t="s">
        <v>2171</v>
      </c>
      <c r="D147" s="22" t="str">
        <f t="shared" si="15"/>
        <v>下攻420|上攻420|魔下420|魔上420|道下420|道上420|伤害加成%42</v>
      </c>
      <c r="E147" s="22"/>
    </row>
    <row r="148" spans="1:5" ht="15.75" x14ac:dyDescent="0.3">
      <c r="A148" s="22" t="s">
        <v>1963</v>
      </c>
      <c r="B148" s="22" t="s">
        <v>2128</v>
      </c>
      <c r="C148" s="23" t="s">
        <v>2172</v>
      </c>
      <c r="D148" s="22" t="str">
        <f t="shared" si="15"/>
        <v>下攻430|上攻430|魔下430|魔上430|道下430|道上430|伤害加成%43</v>
      </c>
      <c r="E148" s="22"/>
    </row>
    <row r="149" spans="1:5" ht="15.75" x14ac:dyDescent="0.3">
      <c r="A149" s="22" t="s">
        <v>1963</v>
      </c>
      <c r="B149" s="22" t="s">
        <v>2128</v>
      </c>
      <c r="C149" s="23" t="s">
        <v>2173</v>
      </c>
      <c r="D149" s="22" t="str">
        <f t="shared" si="15"/>
        <v>下攻440|上攻440|魔下440|魔上440|道下440|道上440|伤害加成%44</v>
      </c>
      <c r="E149" s="22"/>
    </row>
    <row r="150" spans="1:5" ht="15.75" x14ac:dyDescent="0.3">
      <c r="A150" s="22" t="s">
        <v>1963</v>
      </c>
      <c r="B150" s="22" t="s">
        <v>2128</v>
      </c>
      <c r="C150" s="23" t="s">
        <v>2174</v>
      </c>
      <c r="D150" s="22" t="str">
        <f t="shared" si="15"/>
        <v>下攻450|上攻450|魔下450|魔上450|道下450|道上450|伤害加成%45</v>
      </c>
      <c r="E150" s="22"/>
    </row>
    <row r="151" spans="1:5" ht="15.75" x14ac:dyDescent="0.3">
      <c r="A151" s="22" t="s">
        <v>1963</v>
      </c>
      <c r="B151" s="22" t="s">
        <v>2128</v>
      </c>
      <c r="C151" s="23" t="s">
        <v>2175</v>
      </c>
      <c r="D151" s="22" t="str">
        <f t="shared" si="15"/>
        <v>下攻460|上攻460|魔下460|魔上460|道下460|道上460|伤害加成%46</v>
      </c>
      <c r="E151" s="22"/>
    </row>
    <row r="152" spans="1:5" ht="15.75" x14ac:dyDescent="0.3">
      <c r="A152" s="22" t="s">
        <v>1963</v>
      </c>
      <c r="B152" s="22" t="s">
        <v>2128</v>
      </c>
      <c r="C152" s="23" t="s">
        <v>2176</v>
      </c>
      <c r="D152" s="22" t="str">
        <f t="shared" si="15"/>
        <v>下攻470|上攻470|魔下470|魔上470|道下470|道上470|伤害加成%47</v>
      </c>
      <c r="E152" s="22"/>
    </row>
    <row r="153" spans="1:5" ht="15.75" x14ac:dyDescent="0.3">
      <c r="A153" s="22" t="s">
        <v>1963</v>
      </c>
      <c r="B153" s="22" t="s">
        <v>2128</v>
      </c>
      <c r="C153" s="23" t="s">
        <v>2177</v>
      </c>
      <c r="D153" s="22" t="str">
        <f t="shared" si="15"/>
        <v>下攻480|上攻480|魔下480|魔上480|道下480|道上480|伤害加成%48</v>
      </c>
      <c r="E153" s="22"/>
    </row>
    <row r="154" spans="1:5" ht="15.75" x14ac:dyDescent="0.3">
      <c r="A154" s="22" t="s">
        <v>1963</v>
      </c>
      <c r="B154" s="22" t="s">
        <v>2128</v>
      </c>
      <c r="C154" s="23" t="s">
        <v>2178</v>
      </c>
      <c r="D154" s="22" t="str">
        <f t="shared" si="15"/>
        <v>下攻490|上攻490|魔下490|魔上490|道下490|道上490|伤害加成%49</v>
      </c>
      <c r="E154" s="22"/>
    </row>
    <row r="155" spans="1:5" ht="15.75" x14ac:dyDescent="0.3">
      <c r="A155" s="22" t="s">
        <v>1963</v>
      </c>
      <c r="B155" s="22" t="s">
        <v>2128</v>
      </c>
      <c r="C155" s="23" t="s">
        <v>2179</v>
      </c>
      <c r="D155" s="22" t="str">
        <f t="shared" si="15"/>
        <v>下攻500|上攻500|魔下500|魔上500|道下500|道上500|伤害加成%50</v>
      </c>
      <c r="E155" s="22"/>
    </row>
    <row r="156" spans="1:5" ht="15.75" x14ac:dyDescent="0.3">
      <c r="A156" s="22" t="s">
        <v>1963</v>
      </c>
      <c r="B156" s="22" t="s">
        <v>2180</v>
      </c>
      <c r="C156" s="23" t="s">
        <v>2181</v>
      </c>
      <c r="D156" s="22">
        <v>0</v>
      </c>
      <c r="E156" s="22" t="str">
        <f>"恶魔头颅"&amp;O4&amp;"/元宝"&amp;P4</f>
        <v>恶魔头颅2/元宝2000</v>
      </c>
    </row>
    <row r="157" spans="1:5" ht="15.75" x14ac:dyDescent="0.3">
      <c r="A157" s="22" t="s">
        <v>1963</v>
      </c>
      <c r="B157" s="22" t="s">
        <v>2180</v>
      </c>
      <c r="C157" s="23" t="s">
        <v>2182</v>
      </c>
      <c r="D157" s="22" t="str">
        <f>$Y$3&amp;Y4&amp;"|"&amp;$Z$3&amp;Z4</f>
        <v>准确2|受怪减伤100</v>
      </c>
      <c r="E157" s="22" t="str">
        <f t="shared" ref="E157:E175" si="16">"恶魔头颅"&amp;O5&amp;"/元宝"&amp;P5</f>
        <v>恶魔头颅2/元宝2000</v>
      </c>
    </row>
    <row r="158" spans="1:5" ht="15.75" x14ac:dyDescent="0.3">
      <c r="A158" s="22" t="s">
        <v>1963</v>
      </c>
      <c r="B158" s="22" t="s">
        <v>2180</v>
      </c>
      <c r="C158" s="23" t="s">
        <v>2183</v>
      </c>
      <c r="D158" s="22" t="str">
        <f t="shared" ref="D158:D176" si="17">$Y$3&amp;Y5&amp;"|"&amp;$Z$3&amp;Z5</f>
        <v>准确4|受怪减伤200</v>
      </c>
      <c r="E158" s="22" t="str">
        <f t="shared" si="16"/>
        <v>恶魔头颅2/元宝2000</v>
      </c>
    </row>
    <row r="159" spans="1:5" ht="15.75" x14ac:dyDescent="0.3">
      <c r="A159" s="22" t="s">
        <v>1963</v>
      </c>
      <c r="B159" s="22" t="s">
        <v>2180</v>
      </c>
      <c r="C159" s="23" t="s">
        <v>2184</v>
      </c>
      <c r="D159" s="22" t="str">
        <f t="shared" si="17"/>
        <v>准确6|受怪减伤300</v>
      </c>
      <c r="E159" s="22" t="str">
        <f t="shared" si="16"/>
        <v>恶魔头颅3/元宝3000</v>
      </c>
    </row>
    <row r="160" spans="1:5" ht="15.75" x14ac:dyDescent="0.3">
      <c r="A160" s="22" t="s">
        <v>1963</v>
      </c>
      <c r="B160" s="22" t="s">
        <v>2180</v>
      </c>
      <c r="C160" s="23" t="s">
        <v>2185</v>
      </c>
      <c r="D160" s="22" t="str">
        <f t="shared" si="17"/>
        <v>准确8|受怪减伤400</v>
      </c>
      <c r="E160" s="22" t="str">
        <f t="shared" si="16"/>
        <v>恶魔头颅15/元宝15000</v>
      </c>
    </row>
    <row r="161" spans="1:5" ht="15.75" x14ac:dyDescent="0.3">
      <c r="A161" s="22" t="s">
        <v>1963</v>
      </c>
      <c r="B161" s="22" t="s">
        <v>2180</v>
      </c>
      <c r="C161" s="23" t="s">
        <v>2186</v>
      </c>
      <c r="D161" s="22" t="str">
        <f t="shared" si="17"/>
        <v>准确10|受怪减伤500</v>
      </c>
      <c r="E161" s="22" t="str">
        <f t="shared" si="16"/>
        <v>恶魔头颅17/元宝17000</v>
      </c>
    </row>
    <row r="162" spans="1:5" ht="15.75" x14ac:dyDescent="0.3">
      <c r="A162" s="22" t="s">
        <v>1963</v>
      </c>
      <c r="B162" s="22" t="s">
        <v>2180</v>
      </c>
      <c r="C162" s="23" t="s">
        <v>2187</v>
      </c>
      <c r="D162" s="22" t="str">
        <f t="shared" si="17"/>
        <v>准确12|受怪减伤600</v>
      </c>
      <c r="E162" s="22" t="str">
        <f t="shared" si="16"/>
        <v>恶魔头颅20/元宝20000</v>
      </c>
    </row>
    <row r="163" spans="1:5" ht="15.75" x14ac:dyDescent="0.3">
      <c r="A163" s="22" t="s">
        <v>1963</v>
      </c>
      <c r="B163" s="22" t="s">
        <v>2180</v>
      </c>
      <c r="C163" s="23" t="s">
        <v>2188</v>
      </c>
      <c r="D163" s="22" t="str">
        <f t="shared" si="17"/>
        <v>准确14|受怪减伤700</v>
      </c>
      <c r="E163" s="22" t="str">
        <f t="shared" si="16"/>
        <v>恶魔头颅23/元宝23000</v>
      </c>
    </row>
    <row r="164" spans="1:5" ht="15.75" x14ac:dyDescent="0.3">
      <c r="A164" s="22" t="s">
        <v>1963</v>
      </c>
      <c r="B164" s="22" t="s">
        <v>2180</v>
      </c>
      <c r="C164" s="23" t="s">
        <v>2189</v>
      </c>
      <c r="D164" s="22" t="str">
        <f t="shared" si="17"/>
        <v>准确16|受怪减伤800</v>
      </c>
      <c r="E164" s="22" t="str">
        <f t="shared" si="16"/>
        <v>恶魔头颅25/元宝25000</v>
      </c>
    </row>
    <row r="165" spans="1:5" ht="15.75" x14ac:dyDescent="0.3">
      <c r="A165" s="22" t="s">
        <v>1963</v>
      </c>
      <c r="B165" s="22" t="s">
        <v>2180</v>
      </c>
      <c r="C165" s="23" t="s">
        <v>2190</v>
      </c>
      <c r="D165" s="22" t="str">
        <f t="shared" si="17"/>
        <v>准确18|受怪减伤900</v>
      </c>
      <c r="E165" s="22" t="str">
        <f t="shared" si="16"/>
        <v>恶魔头颅27/元宝27000</v>
      </c>
    </row>
    <row r="166" spans="1:5" ht="15.75" x14ac:dyDescent="0.3">
      <c r="A166" s="22" t="s">
        <v>1963</v>
      </c>
      <c r="B166" s="22" t="s">
        <v>2180</v>
      </c>
      <c r="C166" s="23" t="s">
        <v>2191</v>
      </c>
      <c r="D166" s="22" t="str">
        <f t="shared" si="17"/>
        <v>准确20|受怪减伤1000</v>
      </c>
      <c r="E166" s="22" t="str">
        <f t="shared" si="16"/>
        <v>恶魔头颅143/元宝143000</v>
      </c>
    </row>
    <row r="167" spans="1:5" ht="15.75" x14ac:dyDescent="0.3">
      <c r="A167" s="22" t="s">
        <v>1963</v>
      </c>
      <c r="B167" s="22" t="s">
        <v>2180</v>
      </c>
      <c r="C167" s="23" t="s">
        <v>2192</v>
      </c>
      <c r="D167" s="22" t="str">
        <f t="shared" si="17"/>
        <v>准确22|受怪减伤1100</v>
      </c>
      <c r="E167" s="22" t="str">
        <f t="shared" si="16"/>
        <v>恶魔头颅153/元宝153000</v>
      </c>
    </row>
    <row r="168" spans="1:5" ht="15.75" x14ac:dyDescent="0.3">
      <c r="A168" s="22" t="s">
        <v>1963</v>
      </c>
      <c r="B168" s="22" t="s">
        <v>2180</v>
      </c>
      <c r="C168" s="23" t="s">
        <v>2193</v>
      </c>
      <c r="D168" s="22" t="str">
        <f t="shared" si="17"/>
        <v>准确24|受怪减伤1200</v>
      </c>
      <c r="E168" s="22" t="str">
        <f t="shared" si="16"/>
        <v>恶魔头颅163/元宝163000</v>
      </c>
    </row>
    <row r="169" spans="1:5" ht="15.75" x14ac:dyDescent="0.3">
      <c r="A169" s="22" t="s">
        <v>1963</v>
      </c>
      <c r="B169" s="22" t="s">
        <v>2180</v>
      </c>
      <c r="C169" s="23" t="s">
        <v>2194</v>
      </c>
      <c r="D169" s="22" t="str">
        <f t="shared" si="17"/>
        <v>准确26|受怪减伤1300</v>
      </c>
      <c r="E169" s="22" t="str">
        <f t="shared" si="16"/>
        <v>恶魔头颅173/元宝173000</v>
      </c>
    </row>
    <row r="170" spans="1:5" ht="15.75" x14ac:dyDescent="0.3">
      <c r="A170" s="22" t="s">
        <v>1963</v>
      </c>
      <c r="B170" s="22" t="s">
        <v>2180</v>
      </c>
      <c r="C170" s="23" t="s">
        <v>2195</v>
      </c>
      <c r="D170" s="22" t="str">
        <f t="shared" si="17"/>
        <v>准确28|受怪减伤1400</v>
      </c>
      <c r="E170" s="22" t="str">
        <f t="shared" si="16"/>
        <v>恶魔头颅183/元宝183000</v>
      </c>
    </row>
    <row r="171" spans="1:5" ht="15.75" x14ac:dyDescent="0.3">
      <c r="A171" s="22" t="s">
        <v>1963</v>
      </c>
      <c r="B171" s="22" t="s">
        <v>2180</v>
      </c>
      <c r="C171" s="23" t="s">
        <v>2196</v>
      </c>
      <c r="D171" s="22" t="str">
        <f t="shared" si="17"/>
        <v>准确30|受怪减伤1500</v>
      </c>
      <c r="E171" s="22" t="str">
        <f t="shared" si="16"/>
        <v>恶魔头颅385/元宝385000</v>
      </c>
    </row>
    <row r="172" spans="1:5" ht="15.75" x14ac:dyDescent="0.3">
      <c r="A172" s="22" t="s">
        <v>1963</v>
      </c>
      <c r="B172" s="22" t="s">
        <v>2180</v>
      </c>
      <c r="C172" s="23" t="s">
        <v>2197</v>
      </c>
      <c r="D172" s="22" t="str">
        <f t="shared" si="17"/>
        <v>准确32|受怪减伤1600</v>
      </c>
      <c r="E172" s="22" t="str">
        <f t="shared" si="16"/>
        <v>恶魔头颅405/元宝405000</v>
      </c>
    </row>
    <row r="173" spans="1:5" ht="15.75" x14ac:dyDescent="0.3">
      <c r="A173" s="22" t="s">
        <v>1963</v>
      </c>
      <c r="B173" s="22" t="s">
        <v>2180</v>
      </c>
      <c r="C173" s="23" t="s">
        <v>2198</v>
      </c>
      <c r="D173" s="22" t="str">
        <f t="shared" si="17"/>
        <v>准确34|受怪减伤1700</v>
      </c>
      <c r="E173" s="22" t="str">
        <f t="shared" si="16"/>
        <v>恶魔头颅425/元宝425000</v>
      </c>
    </row>
    <row r="174" spans="1:5" ht="15.75" x14ac:dyDescent="0.3">
      <c r="A174" s="22" t="s">
        <v>1963</v>
      </c>
      <c r="B174" s="22" t="s">
        <v>2180</v>
      </c>
      <c r="C174" s="23" t="s">
        <v>2199</v>
      </c>
      <c r="D174" s="22" t="str">
        <f t="shared" si="17"/>
        <v>准确36|受怪减伤1800</v>
      </c>
      <c r="E174" s="22" t="str">
        <f t="shared" si="16"/>
        <v>恶魔头颅445/元宝445000</v>
      </c>
    </row>
    <row r="175" spans="1:5" ht="15.75" x14ac:dyDescent="0.3">
      <c r="A175" s="22" t="s">
        <v>1963</v>
      </c>
      <c r="B175" s="22" t="s">
        <v>2180</v>
      </c>
      <c r="C175" s="23" t="s">
        <v>2200</v>
      </c>
      <c r="D175" s="22" t="str">
        <f t="shared" si="17"/>
        <v>准确38|受怪减伤1900</v>
      </c>
      <c r="E175" s="22" t="str">
        <f t="shared" si="16"/>
        <v>恶魔头颅465/元宝465000</v>
      </c>
    </row>
    <row r="176" spans="1:5" ht="15.75" x14ac:dyDescent="0.3">
      <c r="A176" s="22" t="s">
        <v>1963</v>
      </c>
      <c r="B176" s="22" t="s">
        <v>2180</v>
      </c>
      <c r="C176" s="23" t="s">
        <v>2201</v>
      </c>
      <c r="D176" s="22" t="str">
        <f t="shared" si="17"/>
        <v>准确40|受怪减伤2000</v>
      </c>
      <c r="E176" s="22"/>
    </row>
    <row r="177" spans="1:5" ht="15.75" x14ac:dyDescent="0.3">
      <c r="A177" s="22" t="s">
        <v>1963</v>
      </c>
      <c r="B177" s="22" t="s">
        <v>2180</v>
      </c>
      <c r="C177" s="23" t="s">
        <v>2202</v>
      </c>
      <c r="D177" s="22" t="s">
        <v>2203</v>
      </c>
      <c r="E177" s="22"/>
    </row>
    <row r="178" spans="1:5" ht="15.75" x14ac:dyDescent="0.3">
      <c r="A178" s="22" t="s">
        <v>1963</v>
      </c>
      <c r="B178" s="22" t="s">
        <v>2180</v>
      </c>
      <c r="C178" s="23" t="s">
        <v>2204</v>
      </c>
      <c r="D178" s="22" t="s">
        <v>2205</v>
      </c>
      <c r="E178" s="22"/>
    </row>
    <row r="179" spans="1:5" ht="15.75" x14ac:dyDescent="0.3">
      <c r="A179" s="22" t="s">
        <v>1963</v>
      </c>
      <c r="B179" s="22" t="s">
        <v>2180</v>
      </c>
      <c r="C179" s="23" t="s">
        <v>2206</v>
      </c>
      <c r="D179" s="22" t="s">
        <v>2207</v>
      </c>
      <c r="E179" s="22"/>
    </row>
    <row r="180" spans="1:5" ht="15.75" x14ac:dyDescent="0.3">
      <c r="A180" s="22" t="s">
        <v>1963</v>
      </c>
      <c r="B180" s="22" t="s">
        <v>2180</v>
      </c>
      <c r="C180" s="23" t="s">
        <v>2208</v>
      </c>
      <c r="D180" s="22" t="s">
        <v>2209</v>
      </c>
      <c r="E180" s="22"/>
    </row>
    <row r="181" spans="1:5" ht="15.75" x14ac:dyDescent="0.3">
      <c r="A181" s="22" t="s">
        <v>1963</v>
      </c>
      <c r="B181" s="22" t="s">
        <v>2180</v>
      </c>
      <c r="C181" s="23" t="s">
        <v>2210</v>
      </c>
      <c r="D181" s="22" t="s">
        <v>2211</v>
      </c>
      <c r="E181" s="22"/>
    </row>
    <row r="182" spans="1:5" ht="15.75" x14ac:dyDescent="0.3">
      <c r="A182" s="22" t="s">
        <v>1963</v>
      </c>
      <c r="B182" s="22" t="s">
        <v>2180</v>
      </c>
      <c r="C182" s="23" t="s">
        <v>2212</v>
      </c>
      <c r="D182" s="22" t="s">
        <v>2213</v>
      </c>
      <c r="E182" s="22"/>
    </row>
    <row r="183" spans="1:5" ht="15.75" x14ac:dyDescent="0.3">
      <c r="A183" s="22" t="s">
        <v>1963</v>
      </c>
      <c r="B183" s="22" t="s">
        <v>2180</v>
      </c>
      <c r="C183" s="23" t="s">
        <v>2214</v>
      </c>
      <c r="D183" s="22" t="s">
        <v>2215</v>
      </c>
      <c r="E183" s="22"/>
    </row>
    <row r="184" spans="1:5" ht="15.75" x14ac:dyDescent="0.3">
      <c r="A184" s="22" t="s">
        <v>1963</v>
      </c>
      <c r="B184" s="22" t="s">
        <v>2180</v>
      </c>
      <c r="C184" s="23" t="s">
        <v>2216</v>
      </c>
      <c r="D184" s="22" t="s">
        <v>2217</v>
      </c>
      <c r="E184" s="22"/>
    </row>
    <row r="185" spans="1:5" ht="15.75" x14ac:dyDescent="0.3">
      <c r="A185" s="22" t="s">
        <v>1963</v>
      </c>
      <c r="B185" s="22" t="s">
        <v>2180</v>
      </c>
      <c r="C185" s="23" t="s">
        <v>2218</v>
      </c>
      <c r="D185" s="22" t="s">
        <v>2219</v>
      </c>
      <c r="E185" s="22"/>
    </row>
    <row r="186" spans="1:5" ht="15.75" x14ac:dyDescent="0.3">
      <c r="A186" s="22" t="s">
        <v>1963</v>
      </c>
      <c r="B186" s="22" t="s">
        <v>2180</v>
      </c>
      <c r="C186" s="23" t="s">
        <v>2220</v>
      </c>
      <c r="D186" s="22" t="s">
        <v>2221</v>
      </c>
      <c r="E186" s="22"/>
    </row>
    <row r="187" spans="1:5" ht="15.75" x14ac:dyDescent="0.3">
      <c r="A187" s="22" t="s">
        <v>1963</v>
      </c>
      <c r="B187" s="22" t="s">
        <v>2180</v>
      </c>
      <c r="C187" s="23" t="s">
        <v>2222</v>
      </c>
      <c r="D187" s="22" t="s">
        <v>2223</v>
      </c>
      <c r="E187" s="22"/>
    </row>
    <row r="188" spans="1:5" ht="15.75" x14ac:dyDescent="0.3">
      <c r="A188" s="22" t="s">
        <v>1963</v>
      </c>
      <c r="B188" s="22" t="s">
        <v>2180</v>
      </c>
      <c r="C188" s="23" t="s">
        <v>2224</v>
      </c>
      <c r="D188" s="22" t="s">
        <v>2225</v>
      </c>
      <c r="E188" s="22"/>
    </row>
    <row r="189" spans="1:5" ht="15.75" x14ac:dyDescent="0.3">
      <c r="A189" s="22" t="s">
        <v>1963</v>
      </c>
      <c r="B189" s="22" t="s">
        <v>2180</v>
      </c>
      <c r="C189" s="23" t="s">
        <v>2226</v>
      </c>
      <c r="D189" s="22" t="s">
        <v>2227</v>
      </c>
      <c r="E189" s="22"/>
    </row>
    <row r="190" spans="1:5" ht="15.75" x14ac:dyDescent="0.3">
      <c r="A190" s="22" t="s">
        <v>1963</v>
      </c>
      <c r="B190" s="22" t="s">
        <v>2180</v>
      </c>
      <c r="C190" s="23" t="s">
        <v>2228</v>
      </c>
      <c r="D190" s="22" t="s">
        <v>2229</v>
      </c>
      <c r="E190" s="22"/>
    </row>
    <row r="191" spans="1:5" ht="15.75" x14ac:dyDescent="0.3">
      <c r="A191" s="22" t="s">
        <v>1963</v>
      </c>
      <c r="B191" s="22" t="s">
        <v>2180</v>
      </c>
      <c r="C191" s="23" t="s">
        <v>2230</v>
      </c>
      <c r="D191" s="22" t="s">
        <v>2231</v>
      </c>
      <c r="E191" s="22"/>
    </row>
    <row r="192" spans="1:5" ht="15.75" x14ac:dyDescent="0.3">
      <c r="A192" s="22" t="s">
        <v>1963</v>
      </c>
      <c r="B192" s="22" t="s">
        <v>2180</v>
      </c>
      <c r="C192" s="23" t="s">
        <v>2232</v>
      </c>
      <c r="D192" s="22" t="s">
        <v>2233</v>
      </c>
      <c r="E192" s="22"/>
    </row>
    <row r="193" spans="1:5" ht="15.75" x14ac:dyDescent="0.3">
      <c r="A193" s="22" t="s">
        <v>1963</v>
      </c>
      <c r="B193" s="22" t="s">
        <v>2180</v>
      </c>
      <c r="C193" s="23" t="s">
        <v>2234</v>
      </c>
      <c r="D193" s="22" t="s">
        <v>2235</v>
      </c>
      <c r="E193" s="22"/>
    </row>
    <row r="194" spans="1:5" ht="15.75" x14ac:dyDescent="0.3">
      <c r="A194" s="22" t="s">
        <v>1963</v>
      </c>
      <c r="B194" s="22" t="s">
        <v>2180</v>
      </c>
      <c r="C194" s="23" t="s">
        <v>2236</v>
      </c>
      <c r="D194" s="22" t="s">
        <v>2237</v>
      </c>
      <c r="E194" s="22"/>
    </row>
    <row r="195" spans="1:5" ht="15.75" x14ac:dyDescent="0.3">
      <c r="A195" s="22" t="s">
        <v>1963</v>
      </c>
      <c r="B195" s="22" t="s">
        <v>2180</v>
      </c>
      <c r="C195" s="23" t="s">
        <v>2238</v>
      </c>
      <c r="D195" s="22" t="s">
        <v>2239</v>
      </c>
      <c r="E195" s="22"/>
    </row>
    <row r="196" spans="1:5" ht="15.75" x14ac:dyDescent="0.3">
      <c r="A196" s="22" t="s">
        <v>1963</v>
      </c>
      <c r="B196" s="22" t="s">
        <v>2180</v>
      </c>
      <c r="C196" s="23" t="s">
        <v>2240</v>
      </c>
      <c r="D196" s="22" t="s">
        <v>2241</v>
      </c>
      <c r="E196" s="22"/>
    </row>
    <row r="197" spans="1:5" ht="15.75" x14ac:dyDescent="0.3">
      <c r="A197" s="22" t="s">
        <v>1963</v>
      </c>
      <c r="B197" s="22" t="s">
        <v>2180</v>
      </c>
      <c r="C197" s="23" t="s">
        <v>2242</v>
      </c>
      <c r="D197" s="22" t="s">
        <v>2243</v>
      </c>
      <c r="E197" s="22"/>
    </row>
    <row r="198" spans="1:5" ht="15.75" x14ac:dyDescent="0.3">
      <c r="A198" s="22" t="s">
        <v>1963</v>
      </c>
      <c r="B198" s="22" t="s">
        <v>2180</v>
      </c>
      <c r="C198" s="23" t="s">
        <v>2244</v>
      </c>
      <c r="D198" s="22" t="s">
        <v>2245</v>
      </c>
      <c r="E198" s="22"/>
    </row>
    <row r="199" spans="1:5" ht="15.75" x14ac:dyDescent="0.3">
      <c r="A199" s="22" t="s">
        <v>1963</v>
      </c>
      <c r="B199" s="22" t="s">
        <v>2180</v>
      </c>
      <c r="C199" s="23" t="s">
        <v>2246</v>
      </c>
      <c r="D199" s="22" t="s">
        <v>2247</v>
      </c>
      <c r="E199" s="22"/>
    </row>
    <row r="200" spans="1:5" ht="15.75" x14ac:dyDescent="0.3">
      <c r="A200" s="22" t="s">
        <v>1963</v>
      </c>
      <c r="B200" s="22" t="s">
        <v>2180</v>
      </c>
      <c r="C200" s="23" t="s">
        <v>2248</v>
      </c>
      <c r="D200" s="22" t="s">
        <v>2249</v>
      </c>
      <c r="E200" s="22"/>
    </row>
    <row r="201" spans="1:5" ht="15.75" x14ac:dyDescent="0.3">
      <c r="A201" s="22" t="s">
        <v>1963</v>
      </c>
      <c r="B201" s="22" t="s">
        <v>2180</v>
      </c>
      <c r="C201" s="23" t="s">
        <v>2250</v>
      </c>
      <c r="D201" s="22" t="s">
        <v>2251</v>
      </c>
      <c r="E201" s="22"/>
    </row>
    <row r="202" spans="1:5" ht="15.75" x14ac:dyDescent="0.3">
      <c r="A202" s="22" t="s">
        <v>1963</v>
      </c>
      <c r="B202" s="22" t="s">
        <v>2180</v>
      </c>
      <c r="C202" s="23" t="s">
        <v>2252</v>
      </c>
      <c r="D202" s="22" t="s">
        <v>2253</v>
      </c>
      <c r="E202" s="22"/>
    </row>
    <row r="203" spans="1:5" ht="15.75" x14ac:dyDescent="0.3">
      <c r="A203" s="22" t="s">
        <v>1963</v>
      </c>
      <c r="B203" s="22" t="s">
        <v>2180</v>
      </c>
      <c r="C203" s="23" t="s">
        <v>2254</v>
      </c>
      <c r="D203" s="22" t="s">
        <v>2255</v>
      </c>
      <c r="E203" s="22"/>
    </row>
    <row r="204" spans="1:5" ht="15.75" x14ac:dyDescent="0.3">
      <c r="A204" s="22" t="s">
        <v>1963</v>
      </c>
      <c r="B204" s="22" t="s">
        <v>2180</v>
      </c>
      <c r="C204" s="23" t="s">
        <v>2256</v>
      </c>
      <c r="D204" s="22" t="s">
        <v>2257</v>
      </c>
      <c r="E204" s="22"/>
    </row>
    <row r="205" spans="1:5" ht="15.75" x14ac:dyDescent="0.3">
      <c r="A205" s="22" t="s">
        <v>1963</v>
      </c>
      <c r="B205" s="22" t="s">
        <v>2180</v>
      </c>
      <c r="C205" s="23" t="s">
        <v>2258</v>
      </c>
      <c r="D205" s="22" t="s">
        <v>2259</v>
      </c>
      <c r="E205" s="22"/>
    </row>
    <row r="206" spans="1:5" ht="15.75" x14ac:dyDescent="0.3">
      <c r="A206" s="22" t="s">
        <v>1963</v>
      </c>
      <c r="B206" s="22" t="s">
        <v>2180</v>
      </c>
      <c r="C206" s="23" t="s">
        <v>2260</v>
      </c>
      <c r="D206" s="22" t="s">
        <v>2261</v>
      </c>
      <c r="E206" s="22"/>
    </row>
  </sheetData>
  <mergeCells count="9">
    <mergeCell ref="Y2:AA2"/>
    <mergeCell ref="F2:J2"/>
    <mergeCell ref="A1:J1"/>
    <mergeCell ref="Q1:AA1"/>
    <mergeCell ref="Q2:S2"/>
    <mergeCell ref="T2:V2"/>
    <mergeCell ref="W2:X2"/>
    <mergeCell ref="K2:L2"/>
    <mergeCell ref="M2:N2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9187-3DEE-4DC1-A756-7EAE01DF7AFD}">
  <dimension ref="A1:AU407"/>
  <sheetViews>
    <sheetView topLeftCell="P357" workbookViewId="0">
      <selection activeCell="V375" sqref="V375"/>
    </sheetView>
  </sheetViews>
  <sheetFormatPr defaultRowHeight="14.25" x14ac:dyDescent="0.2"/>
  <cols>
    <col min="16" max="16" width="23.375" customWidth="1"/>
    <col min="17" max="17" width="31.875" bestFit="1" customWidth="1"/>
    <col min="18" max="18" width="9" style="94"/>
    <col min="19" max="23" width="9" style="159"/>
    <col min="24" max="24" width="11.875" style="159" bestFit="1" customWidth="1"/>
    <col min="25" max="25" width="16.375" style="159" bestFit="1" customWidth="1"/>
    <col min="26" max="27" width="16.375" style="159" customWidth="1"/>
    <col min="28" max="28" width="20.75" style="159" bestFit="1" customWidth="1"/>
    <col min="29" max="29" width="16.375" style="159" customWidth="1"/>
    <col min="31" max="31" width="10" style="94" bestFit="1" customWidth="1"/>
    <col min="34" max="34" width="11.75" bestFit="1" customWidth="1"/>
    <col min="35" max="35" width="10" bestFit="1" customWidth="1"/>
    <col min="37" max="37" width="9" style="94"/>
    <col min="46" max="46" width="20.75" bestFit="1" customWidth="1"/>
    <col min="47" max="47" width="16.375" bestFit="1" customWidth="1"/>
  </cols>
  <sheetData>
    <row r="1" spans="1:47" ht="18" x14ac:dyDescent="0.2">
      <c r="R1" s="309" t="s">
        <v>2687</v>
      </c>
      <c r="S1" s="310"/>
      <c r="T1" s="310"/>
      <c r="U1" s="310"/>
      <c r="V1" s="310"/>
      <c r="W1" s="311"/>
      <c r="X1" s="309" t="s">
        <v>3443</v>
      </c>
      <c r="Y1" s="311"/>
      <c r="Z1" s="309" t="s">
        <v>3453</v>
      </c>
      <c r="AA1" s="311"/>
      <c r="AB1" s="309" t="s">
        <v>3475</v>
      </c>
      <c r="AC1" s="311"/>
      <c r="AD1" s="280" t="s">
        <v>2686</v>
      </c>
      <c r="AE1" s="280"/>
      <c r="AF1" s="280"/>
      <c r="AG1" s="280"/>
      <c r="AH1" s="280"/>
      <c r="AI1" s="280"/>
      <c r="AJ1" s="280"/>
      <c r="AK1" s="280"/>
      <c r="AL1" s="280"/>
      <c r="AM1" s="280"/>
      <c r="AN1" s="280"/>
      <c r="AO1" s="280"/>
      <c r="AP1" s="280"/>
    </row>
    <row r="2" spans="1:47" ht="18" x14ac:dyDescent="0.2">
      <c r="A2" s="21" t="s">
        <v>50</v>
      </c>
      <c r="B2" s="21" t="s">
        <v>54</v>
      </c>
      <c r="C2" s="21" t="s">
        <v>55</v>
      </c>
      <c r="D2" s="306" t="s">
        <v>161</v>
      </c>
      <c r="E2" s="307"/>
      <c r="F2" s="307"/>
      <c r="G2" s="307"/>
      <c r="H2" s="307"/>
      <c r="I2" s="307"/>
      <c r="J2" s="307"/>
      <c r="K2" s="307"/>
      <c r="L2" s="307"/>
      <c r="M2" s="307"/>
      <c r="N2" s="307"/>
      <c r="O2" s="308"/>
      <c r="P2" s="21" t="s">
        <v>61</v>
      </c>
      <c r="Q2" s="95" t="s">
        <v>62</v>
      </c>
      <c r="R2" s="309" t="s">
        <v>3390</v>
      </c>
      <c r="S2" s="310"/>
      <c r="T2" s="310"/>
      <c r="U2" s="310"/>
      <c r="V2" s="310"/>
      <c r="W2" s="311"/>
      <c r="X2" s="205"/>
      <c r="Y2" s="205"/>
      <c r="Z2" s="205"/>
      <c r="AA2" s="205"/>
      <c r="AB2" s="205"/>
      <c r="AC2" s="205"/>
      <c r="AD2" s="280" t="s">
        <v>2278</v>
      </c>
      <c r="AE2" s="280"/>
      <c r="AF2" s="280" t="s">
        <v>2380</v>
      </c>
      <c r="AG2" s="280"/>
      <c r="AH2" s="280"/>
      <c r="AI2" s="280"/>
      <c r="AJ2" s="280" t="s">
        <v>2482</v>
      </c>
      <c r="AK2" s="280"/>
      <c r="AL2" s="280" t="s">
        <v>2584</v>
      </c>
      <c r="AM2" s="280"/>
      <c r="AN2" s="280"/>
      <c r="AO2" s="280"/>
      <c r="AP2" s="280"/>
    </row>
    <row r="3" spans="1:47" ht="18" x14ac:dyDescent="0.2">
      <c r="A3" s="21"/>
      <c r="B3" s="21"/>
      <c r="C3" s="21"/>
      <c r="D3" s="21" t="s">
        <v>37</v>
      </c>
      <c r="E3" s="21" t="s">
        <v>38</v>
      </c>
      <c r="F3" s="21" t="s">
        <v>2272</v>
      </c>
      <c r="G3" s="21" t="s">
        <v>2273</v>
      </c>
      <c r="H3" s="21" t="s">
        <v>2274</v>
      </c>
      <c r="I3" s="21" t="s">
        <v>2275</v>
      </c>
      <c r="J3" s="21" t="s">
        <v>67</v>
      </c>
      <c r="K3" s="21" t="s">
        <v>72</v>
      </c>
      <c r="L3" s="21" t="s">
        <v>2276</v>
      </c>
      <c r="M3" s="21" t="s">
        <v>2277</v>
      </c>
      <c r="N3" s="21" t="s">
        <v>75</v>
      </c>
      <c r="O3" s="21" t="s">
        <v>76</v>
      </c>
      <c r="P3" s="21"/>
      <c r="Q3" s="95"/>
      <c r="R3" s="63" t="s">
        <v>55</v>
      </c>
      <c r="S3" s="205"/>
      <c r="T3" s="205" t="s">
        <v>37</v>
      </c>
      <c r="U3" s="205" t="s">
        <v>38</v>
      </c>
      <c r="V3" s="205" t="s">
        <v>3</v>
      </c>
      <c r="W3" s="205" t="s">
        <v>2</v>
      </c>
      <c r="X3" s="204" t="s">
        <v>3428</v>
      </c>
      <c r="Y3" s="204" t="s">
        <v>3441</v>
      </c>
      <c r="Z3" s="205" t="s">
        <v>3454</v>
      </c>
      <c r="AA3" s="205" t="s">
        <v>3447</v>
      </c>
      <c r="AB3" s="205" t="s">
        <v>3474</v>
      </c>
      <c r="AC3" s="205" t="s">
        <v>3469</v>
      </c>
      <c r="AD3" s="21" t="s">
        <v>3</v>
      </c>
      <c r="AE3" s="63" t="s">
        <v>2688</v>
      </c>
      <c r="AF3" s="21" t="s">
        <v>3</v>
      </c>
      <c r="AG3" s="21" t="s">
        <v>2</v>
      </c>
      <c r="AH3" s="63" t="s">
        <v>2269</v>
      </c>
      <c r="AI3" s="63" t="s">
        <v>2688</v>
      </c>
      <c r="AJ3" s="21" t="s">
        <v>2</v>
      </c>
      <c r="AK3" s="63" t="s">
        <v>2689</v>
      </c>
      <c r="AL3" s="21" t="s">
        <v>36</v>
      </c>
      <c r="AM3" s="21" t="s">
        <v>1903</v>
      </c>
      <c r="AN3" s="63" t="s">
        <v>2688</v>
      </c>
      <c r="AO3" s="63" t="s">
        <v>2690</v>
      </c>
      <c r="AP3" s="63" t="s">
        <v>2691</v>
      </c>
      <c r="AR3" s="63" t="s">
        <v>55</v>
      </c>
      <c r="AS3" s="63" t="s">
        <v>3468</v>
      </c>
      <c r="AT3" s="63" t="s">
        <v>3474</v>
      </c>
      <c r="AU3" s="63" t="s">
        <v>3469</v>
      </c>
    </row>
    <row r="4" spans="1:47" ht="16.5" x14ac:dyDescent="0.3">
      <c r="A4" s="22" t="s">
        <v>2278</v>
      </c>
      <c r="B4" s="23" t="s">
        <v>2279</v>
      </c>
      <c r="C4" s="22">
        <v>0</v>
      </c>
      <c r="D4" s="22"/>
      <c r="E4" s="22"/>
      <c r="F4" s="98"/>
      <c r="G4" s="99"/>
      <c r="H4" s="99"/>
      <c r="I4" s="99"/>
      <c r="J4" s="99"/>
      <c r="K4" s="99"/>
      <c r="L4" s="99"/>
      <c r="M4" s="99"/>
      <c r="N4" s="99"/>
      <c r="O4" s="99"/>
      <c r="P4" s="69"/>
      <c r="Q4" s="100" t="str">
        <f>"龙晶碎片"&amp;AB4&amp;"/元宝"&amp;AC4</f>
        <v>龙晶碎片9/元宝9000</v>
      </c>
      <c r="R4" s="97">
        <v>1</v>
      </c>
      <c r="S4" s="158"/>
      <c r="T4" s="158">
        <f t="shared" ref="T4:T67" si="0">INT(R4/R$103*T$103)</f>
        <v>100</v>
      </c>
      <c r="U4" s="158">
        <f t="shared" ref="U4:U67" si="1">INT(R4/R$103*U$103)</f>
        <v>400</v>
      </c>
      <c r="V4" s="158">
        <f t="shared" ref="V4:V67" si="2">INT(R4/R$103*V$103)</f>
        <v>5</v>
      </c>
      <c r="W4" s="158">
        <f t="shared" ref="W4:W67" si="3">INT(R4/R$103*W$103)</f>
        <v>5</v>
      </c>
      <c r="X4" s="158">
        <f>T4*属性价值参考!C$5+附件合成!U4*属性价值参考!C$6+附件合成!V4*(属性价值参考!C$7+属性价值参考!C$8)+附件合成!W4*(属性价值参考!C$9+属性价值参考!C$10)</f>
        <v>1527.6</v>
      </c>
      <c r="Y4" s="158">
        <f>AE4*属性价值参考!C$26+附件合成!AH4*属性价值参考!C$24+附件合成!AI4*属性价值参考!C$26+附件合成!AK4*(属性价值参考!C$28+属性价值参考!C$29)+附件合成!AN4*属性价值参考!C$26+附件合成!AO4*属性价值参考!C$27+AP4*(属性价值参考!C$37+属性价值参考!C$38)</f>
        <v>1880.4</v>
      </c>
      <c r="Z4" s="158">
        <f t="shared" ref="Z4:Z67" si="4">(X4+Y4)/16</f>
        <v>213</v>
      </c>
      <c r="AA4" s="158">
        <f t="shared" ref="AA4:AA67" si="5">(X4+Y4)/16*1000</f>
        <v>213000</v>
      </c>
      <c r="AB4" s="158">
        <f>ROUND(1/4*SUM(材料产出!$AB$4:$AB$6),0)</f>
        <v>9</v>
      </c>
      <c r="AC4" s="158">
        <f t="shared" ref="AC4:AC12" si="6">AB4*1000</f>
        <v>9000</v>
      </c>
      <c r="AD4" s="8">
        <f t="shared" ref="AD4:AD67" si="7">INT(0.5*V4)</f>
        <v>2</v>
      </c>
      <c r="AE4" s="97">
        <f t="shared" ref="AE4:AE14" si="8">5/50*$AE$103</f>
        <v>5</v>
      </c>
      <c r="AF4" s="8">
        <f t="shared" ref="AF4:AF67" si="9">INT(0.5*V4)</f>
        <v>2</v>
      </c>
      <c r="AG4" s="8">
        <f t="shared" ref="AG4:AG67" si="10">INT(0.5*W4)</f>
        <v>2</v>
      </c>
      <c r="AH4" s="97">
        <f t="shared" ref="AH4:AH12" si="11">1/10*$AH$103</f>
        <v>1</v>
      </c>
      <c r="AI4" s="97">
        <f t="shared" ref="AI4:AI12" si="12">1/10*$AI$103</f>
        <v>1</v>
      </c>
      <c r="AJ4" s="8">
        <f t="shared" ref="AJ4:AJ67" si="13">INT(0.5*W4)</f>
        <v>2</v>
      </c>
      <c r="AK4" s="97">
        <f t="shared" ref="AK4:AK12" si="14">1/10*$AK$103</f>
        <v>2</v>
      </c>
      <c r="AL4" s="8">
        <f t="shared" ref="AL4:AL67" si="15">INT(T4)</f>
        <v>100</v>
      </c>
      <c r="AM4" s="8">
        <f t="shared" ref="AM4:AM67" si="16">INT(U4)</f>
        <v>400</v>
      </c>
      <c r="AN4" s="97">
        <f t="shared" ref="AN4:AN12" si="17">1/10*$AN$103</f>
        <v>1</v>
      </c>
      <c r="AO4" s="97">
        <f t="shared" ref="AO4:AO12" si="18">1/10*$AO$103</f>
        <v>1</v>
      </c>
      <c r="AP4" s="97">
        <f t="shared" ref="AP4:AP12" si="19">2/200*$AP$103</f>
        <v>20</v>
      </c>
      <c r="AR4" s="97">
        <v>5</v>
      </c>
      <c r="AS4" s="2">
        <f>材料产出!C8</f>
        <v>0.9</v>
      </c>
      <c r="AT4" s="2">
        <f>INT(Z$103/材料产出!AC$31*(材料产出!AC4)*AS4)</f>
        <v>3</v>
      </c>
      <c r="AU4" s="2">
        <f t="shared" ref="AU4:AU12" si="20">AT4*1000</f>
        <v>3000</v>
      </c>
    </row>
    <row r="5" spans="1:47" ht="16.5" x14ac:dyDescent="0.3">
      <c r="A5" s="22" t="s">
        <v>2278</v>
      </c>
      <c r="B5" s="23" t="s">
        <v>2280</v>
      </c>
      <c r="C5" s="22">
        <v>1</v>
      </c>
      <c r="D5" s="22"/>
      <c r="E5" s="22"/>
      <c r="F5" s="98">
        <f>ROUND(0.5*AD4,0)</f>
        <v>1</v>
      </c>
      <c r="G5" s="101">
        <f>ROUND(AD4,0)</f>
        <v>2</v>
      </c>
      <c r="H5" s="98">
        <f>ROUND(0.5*AD4,0)</f>
        <v>1</v>
      </c>
      <c r="I5" s="101">
        <f>ROUND(AD4,0)</f>
        <v>2</v>
      </c>
      <c r="J5" s="98">
        <f>ROUND(0.5*AD4,0)</f>
        <v>1</v>
      </c>
      <c r="K5" s="101">
        <f>ROUND(AD4,0)</f>
        <v>2</v>
      </c>
      <c r="L5" s="101"/>
      <c r="M5" s="101"/>
      <c r="N5" s="101"/>
      <c r="O5" s="101"/>
      <c r="P5" s="69" t="str">
        <f>$AE$3&amp;AE4</f>
        <v>HPMP%5</v>
      </c>
      <c r="Q5" s="100" t="str">
        <f t="shared" ref="Q5:Q68" si="21">"龙晶碎片"&amp;AB5&amp;"/元宝"&amp;AC5</f>
        <v>龙晶碎片9/元宝9000</v>
      </c>
      <c r="R5" s="97">
        <v>2</v>
      </c>
      <c r="S5" s="158"/>
      <c r="T5" s="158">
        <f t="shared" si="0"/>
        <v>200</v>
      </c>
      <c r="U5" s="158">
        <f t="shared" si="1"/>
        <v>800</v>
      </c>
      <c r="V5" s="158">
        <f t="shared" si="2"/>
        <v>10</v>
      </c>
      <c r="W5" s="158">
        <f t="shared" si="3"/>
        <v>10</v>
      </c>
      <c r="X5" s="158">
        <f>T5*属性价值参考!C$5+附件合成!U5*属性价值参考!C$6+附件合成!V5*(属性价值参考!C$7+属性价值参考!C$8)+附件合成!W5*(属性价值参考!C$9+属性价值参考!C$10)</f>
        <v>3055.2</v>
      </c>
      <c r="Y5" s="158">
        <f>AE5*属性价值参考!C$26+附件合成!AH5*属性价值参考!C$24+附件合成!AI5*属性价值参考!C$26+附件合成!AK5*(属性价值参考!C$28+属性价值参考!C$29)+附件合成!AN5*属性价值参考!C$26+附件合成!AO5*属性价值参考!C$27+AP5*(属性价值参考!C$37+属性价值参考!C$38)</f>
        <v>1880.4</v>
      </c>
      <c r="Z5" s="158">
        <f t="shared" si="4"/>
        <v>308.47500000000002</v>
      </c>
      <c r="AA5" s="158">
        <f t="shared" si="5"/>
        <v>308475</v>
      </c>
      <c r="AB5" s="158">
        <f>ROUND(1/4*SUM(材料产出!$AB$4:$AB$6),0)</f>
        <v>9</v>
      </c>
      <c r="AC5" s="158">
        <f t="shared" si="6"/>
        <v>9000</v>
      </c>
      <c r="AD5" s="8">
        <f t="shared" si="7"/>
        <v>5</v>
      </c>
      <c r="AE5" s="97">
        <f t="shared" si="8"/>
        <v>5</v>
      </c>
      <c r="AF5" s="8">
        <f t="shared" si="9"/>
        <v>5</v>
      </c>
      <c r="AG5" s="8">
        <f t="shared" si="10"/>
        <v>5</v>
      </c>
      <c r="AH5" s="97">
        <f t="shared" si="11"/>
        <v>1</v>
      </c>
      <c r="AI5" s="97">
        <f t="shared" si="12"/>
        <v>1</v>
      </c>
      <c r="AJ5" s="8">
        <f t="shared" si="13"/>
        <v>5</v>
      </c>
      <c r="AK5" s="97">
        <f t="shared" si="14"/>
        <v>2</v>
      </c>
      <c r="AL5" s="8">
        <f t="shared" si="15"/>
        <v>200</v>
      </c>
      <c r="AM5" s="8">
        <f t="shared" si="16"/>
        <v>800</v>
      </c>
      <c r="AN5" s="97">
        <f t="shared" si="17"/>
        <v>1</v>
      </c>
      <c r="AO5" s="97">
        <f t="shared" si="18"/>
        <v>1</v>
      </c>
      <c r="AP5" s="97">
        <f t="shared" si="19"/>
        <v>20</v>
      </c>
      <c r="AR5" s="97">
        <v>7</v>
      </c>
      <c r="AS5" s="2">
        <f>材料产出!C10</f>
        <v>1.1000000000000001</v>
      </c>
      <c r="AT5" s="2">
        <f>INT(Z$103/材料产出!AC$31*(材料产出!AC7)*AS5)</f>
        <v>7</v>
      </c>
      <c r="AU5" s="2">
        <f t="shared" si="20"/>
        <v>7000</v>
      </c>
    </row>
    <row r="6" spans="1:47" ht="16.5" x14ac:dyDescent="0.3">
      <c r="A6" s="22" t="s">
        <v>2278</v>
      </c>
      <c r="B6" s="23" t="s">
        <v>2281</v>
      </c>
      <c r="C6" s="22">
        <v>2</v>
      </c>
      <c r="D6" s="22"/>
      <c r="E6" s="22"/>
      <c r="F6" s="98">
        <f>ROUND(0.5*AD5,0)</f>
        <v>3</v>
      </c>
      <c r="G6" s="101">
        <f>ROUND(AD5,0)</f>
        <v>5</v>
      </c>
      <c r="H6" s="98">
        <f>ROUND(0.5*AD5,0)</f>
        <v>3</v>
      </c>
      <c r="I6" s="101">
        <f>ROUND(AD5,0)</f>
        <v>5</v>
      </c>
      <c r="J6" s="98">
        <f>ROUND(0.5*AD5,0)</f>
        <v>3</v>
      </c>
      <c r="K6" s="101">
        <f>ROUND(AD5,0)</f>
        <v>5</v>
      </c>
      <c r="L6" s="101"/>
      <c r="M6" s="101"/>
      <c r="N6" s="101"/>
      <c r="O6" s="101"/>
      <c r="P6" s="69" t="str">
        <f t="shared" ref="P6:P69" si="22">$AE$3&amp;AE5</f>
        <v>HPMP%5</v>
      </c>
      <c r="Q6" s="100" t="str">
        <f t="shared" si="21"/>
        <v>龙晶碎片9/元宝9000</v>
      </c>
      <c r="R6" s="97">
        <v>3</v>
      </c>
      <c r="S6" s="158"/>
      <c r="T6" s="158">
        <f t="shared" si="0"/>
        <v>300</v>
      </c>
      <c r="U6" s="158">
        <f t="shared" si="1"/>
        <v>1200</v>
      </c>
      <c r="V6" s="158">
        <f t="shared" si="2"/>
        <v>15</v>
      </c>
      <c r="W6" s="158">
        <f t="shared" si="3"/>
        <v>15</v>
      </c>
      <c r="X6" s="158">
        <f>T6*属性价值参考!C$5+附件合成!U6*属性价值参考!C$6+附件合成!V6*(属性价值参考!C$7+属性价值参考!C$8)+附件合成!W6*(属性价值参考!C$9+属性价值参考!C$10)</f>
        <v>4582.8</v>
      </c>
      <c r="Y6" s="158">
        <f>AE6*属性价值参考!C$26+附件合成!AH6*属性价值参考!C$24+附件合成!AI6*属性价值参考!C$26+附件合成!AK6*(属性价值参考!C$28+属性价值参考!C$29)+附件合成!AN6*属性价值参考!C$26+附件合成!AO6*属性价值参考!C$27+AP6*(属性价值参考!C$37+属性价值参考!C$38)</f>
        <v>1880.4</v>
      </c>
      <c r="Z6" s="158">
        <f t="shared" si="4"/>
        <v>403.95000000000005</v>
      </c>
      <c r="AA6" s="158">
        <f t="shared" si="5"/>
        <v>403950.00000000006</v>
      </c>
      <c r="AB6" s="158">
        <f>ROUND(1/4*SUM(材料产出!$AB$4:$AB$6),0)</f>
        <v>9</v>
      </c>
      <c r="AC6" s="158">
        <f t="shared" si="6"/>
        <v>9000</v>
      </c>
      <c r="AD6" s="8">
        <f t="shared" si="7"/>
        <v>7</v>
      </c>
      <c r="AE6" s="97">
        <f t="shared" si="8"/>
        <v>5</v>
      </c>
      <c r="AF6" s="8">
        <f t="shared" si="9"/>
        <v>7</v>
      </c>
      <c r="AG6" s="8">
        <f t="shared" si="10"/>
        <v>7</v>
      </c>
      <c r="AH6" s="97">
        <f t="shared" si="11"/>
        <v>1</v>
      </c>
      <c r="AI6" s="97">
        <f t="shared" si="12"/>
        <v>1</v>
      </c>
      <c r="AJ6" s="8">
        <f t="shared" si="13"/>
        <v>7</v>
      </c>
      <c r="AK6" s="97">
        <f t="shared" si="14"/>
        <v>2</v>
      </c>
      <c r="AL6" s="8">
        <f t="shared" si="15"/>
        <v>300</v>
      </c>
      <c r="AM6" s="8">
        <f t="shared" si="16"/>
        <v>1200</v>
      </c>
      <c r="AN6" s="97">
        <f t="shared" si="17"/>
        <v>1</v>
      </c>
      <c r="AO6" s="97">
        <f t="shared" si="18"/>
        <v>1</v>
      </c>
      <c r="AP6" s="97">
        <f t="shared" si="19"/>
        <v>20</v>
      </c>
      <c r="AR6" s="97">
        <v>9</v>
      </c>
      <c r="AS6" s="2">
        <f>材料产出!C12</f>
        <v>1.3</v>
      </c>
      <c r="AT6" s="2">
        <f>INT(Z$103/材料产出!AC$31*(材料产出!AC10)*AS6)</f>
        <v>20</v>
      </c>
      <c r="AU6" s="2">
        <f t="shared" si="20"/>
        <v>20000</v>
      </c>
    </row>
    <row r="7" spans="1:47" ht="16.5" x14ac:dyDescent="0.3">
      <c r="A7" s="22" t="s">
        <v>2278</v>
      </c>
      <c r="B7" s="23" t="s">
        <v>2282</v>
      </c>
      <c r="C7" s="22">
        <v>3</v>
      </c>
      <c r="D7" s="22"/>
      <c r="E7" s="22"/>
      <c r="F7" s="98">
        <f t="shared" ref="F7:F18" si="23">ROUND(0.5*AD6,0)</f>
        <v>4</v>
      </c>
      <c r="G7" s="101">
        <f t="shared" ref="G7:G18" si="24">ROUND(AD6,0)</f>
        <v>7</v>
      </c>
      <c r="H7" s="98">
        <f t="shared" ref="H7:H18" si="25">ROUND(0.5*AD6,0)</f>
        <v>4</v>
      </c>
      <c r="I7" s="101">
        <f t="shared" ref="I7:I18" si="26">ROUND(AD6,0)</f>
        <v>7</v>
      </c>
      <c r="J7" s="98">
        <f t="shared" ref="J7:J18" si="27">ROUND(0.5*AD6,0)</f>
        <v>4</v>
      </c>
      <c r="K7" s="101">
        <f t="shared" ref="K7:K18" si="28">ROUND(AD6,0)</f>
        <v>7</v>
      </c>
      <c r="L7" s="101"/>
      <c r="M7" s="101"/>
      <c r="N7" s="101"/>
      <c r="O7" s="101"/>
      <c r="P7" s="69" t="str">
        <f t="shared" si="22"/>
        <v>HPMP%5</v>
      </c>
      <c r="Q7" s="100" t="str">
        <f t="shared" si="21"/>
        <v>龙晶碎片9/元宝9000</v>
      </c>
      <c r="R7" s="97">
        <v>4</v>
      </c>
      <c r="S7" s="158"/>
      <c r="T7" s="158">
        <f t="shared" si="0"/>
        <v>400</v>
      </c>
      <c r="U7" s="158">
        <f t="shared" si="1"/>
        <v>1600</v>
      </c>
      <c r="V7" s="158">
        <f t="shared" si="2"/>
        <v>20</v>
      </c>
      <c r="W7" s="158">
        <f t="shared" si="3"/>
        <v>20</v>
      </c>
      <c r="X7" s="158">
        <f>T7*属性价值参考!C$5+附件合成!U7*属性价值参考!C$6+附件合成!V7*(属性价值参考!C$7+属性价值参考!C$8)+附件合成!W7*(属性价值参考!C$9+属性价值参考!C$10)</f>
        <v>6110.4</v>
      </c>
      <c r="Y7" s="158">
        <f>AE7*属性价值参考!C$26+附件合成!AH7*属性价值参考!C$24+附件合成!AI7*属性价值参考!C$26+附件合成!AK7*(属性价值参考!C$28+属性价值参考!C$29)+附件合成!AN7*属性价值参考!C$26+附件合成!AO7*属性价值参考!C$27+AP7*(属性价值参考!C$37+属性价值参考!C$38)</f>
        <v>1880.4</v>
      </c>
      <c r="Z7" s="158">
        <f t="shared" si="4"/>
        <v>499.42499999999995</v>
      </c>
      <c r="AA7" s="158">
        <f t="shared" si="5"/>
        <v>499424.99999999994</v>
      </c>
      <c r="AB7" s="158">
        <f>ROUND(1/4*SUM(材料产出!$AB$4:$AB$6),0)</f>
        <v>9</v>
      </c>
      <c r="AC7" s="158">
        <f t="shared" si="6"/>
        <v>9000</v>
      </c>
      <c r="AD7" s="8">
        <f t="shared" si="7"/>
        <v>10</v>
      </c>
      <c r="AE7" s="97">
        <f t="shared" si="8"/>
        <v>5</v>
      </c>
      <c r="AF7" s="8">
        <f t="shared" si="9"/>
        <v>10</v>
      </c>
      <c r="AG7" s="8">
        <f t="shared" si="10"/>
        <v>10</v>
      </c>
      <c r="AH7" s="97">
        <f t="shared" si="11"/>
        <v>1</v>
      </c>
      <c r="AI7" s="97">
        <f t="shared" si="12"/>
        <v>1</v>
      </c>
      <c r="AJ7" s="8">
        <f t="shared" si="13"/>
        <v>10</v>
      </c>
      <c r="AK7" s="97">
        <f t="shared" si="14"/>
        <v>2</v>
      </c>
      <c r="AL7" s="8">
        <f t="shared" si="15"/>
        <v>400</v>
      </c>
      <c r="AM7" s="8">
        <f t="shared" si="16"/>
        <v>1600</v>
      </c>
      <c r="AN7" s="97">
        <f t="shared" si="17"/>
        <v>1</v>
      </c>
      <c r="AO7" s="97">
        <f t="shared" si="18"/>
        <v>1</v>
      </c>
      <c r="AP7" s="97">
        <f t="shared" si="19"/>
        <v>20</v>
      </c>
      <c r="AR7" s="97">
        <v>11</v>
      </c>
      <c r="AS7" s="2">
        <f>材料产出!C14</f>
        <v>1.8</v>
      </c>
      <c r="AT7" s="2">
        <f>INT(Z$103/材料产出!AC$31*(材料产出!AC13)*AS7)</f>
        <v>80</v>
      </c>
      <c r="AU7" s="2">
        <f t="shared" si="20"/>
        <v>80000</v>
      </c>
    </row>
    <row r="8" spans="1:47" ht="16.5" x14ac:dyDescent="0.3">
      <c r="A8" s="22" t="s">
        <v>2278</v>
      </c>
      <c r="B8" s="23" t="s">
        <v>2283</v>
      </c>
      <c r="C8" s="22">
        <v>4</v>
      </c>
      <c r="D8" s="22"/>
      <c r="E8" s="22"/>
      <c r="F8" s="98">
        <f t="shared" si="23"/>
        <v>5</v>
      </c>
      <c r="G8" s="101">
        <f t="shared" si="24"/>
        <v>10</v>
      </c>
      <c r="H8" s="98">
        <f t="shared" si="25"/>
        <v>5</v>
      </c>
      <c r="I8" s="101">
        <f t="shared" si="26"/>
        <v>10</v>
      </c>
      <c r="J8" s="98">
        <f t="shared" si="27"/>
        <v>5</v>
      </c>
      <c r="K8" s="101">
        <f t="shared" si="28"/>
        <v>10</v>
      </c>
      <c r="L8" s="101"/>
      <c r="M8" s="101"/>
      <c r="N8" s="101"/>
      <c r="O8" s="101"/>
      <c r="P8" s="69" t="str">
        <f t="shared" si="22"/>
        <v>HPMP%5</v>
      </c>
      <c r="Q8" s="100" t="str">
        <f t="shared" si="21"/>
        <v>龙晶碎片9/元宝9000</v>
      </c>
      <c r="R8" s="97">
        <v>5</v>
      </c>
      <c r="S8" s="158"/>
      <c r="T8" s="158">
        <f t="shared" si="0"/>
        <v>500</v>
      </c>
      <c r="U8" s="158">
        <f t="shared" si="1"/>
        <v>2000</v>
      </c>
      <c r="V8" s="158">
        <f t="shared" si="2"/>
        <v>25</v>
      </c>
      <c r="W8" s="158">
        <f t="shared" si="3"/>
        <v>25</v>
      </c>
      <c r="X8" s="158">
        <f>T8*属性价值参考!C$5+附件合成!U8*属性价值参考!C$6+附件合成!V8*(属性价值参考!C$7+属性价值参考!C$8)+附件合成!W8*(属性价值参考!C$9+属性价值参考!C$10)</f>
        <v>7638</v>
      </c>
      <c r="Y8" s="158">
        <f>AE8*属性价值参考!C$26+附件合成!AH8*属性价值参考!C$24+附件合成!AI8*属性价值参考!C$26+附件合成!AK8*(属性价值参考!C$28+属性价值参考!C$29)+附件合成!AN8*属性价值参考!C$26+附件合成!AO8*属性价值参考!C$27+AP8*(属性价值参考!C$37+属性价值参考!C$38)</f>
        <v>1880.4</v>
      </c>
      <c r="Z8" s="158">
        <f t="shared" si="4"/>
        <v>594.9</v>
      </c>
      <c r="AA8" s="158">
        <f t="shared" si="5"/>
        <v>594900</v>
      </c>
      <c r="AB8" s="158">
        <f>ROUND(1/4*SUM(材料产出!$AB$4:$AB$6),0)</f>
        <v>9</v>
      </c>
      <c r="AC8" s="158">
        <f t="shared" si="6"/>
        <v>9000</v>
      </c>
      <c r="AD8" s="8">
        <f t="shared" si="7"/>
        <v>12</v>
      </c>
      <c r="AE8" s="97">
        <f t="shared" si="8"/>
        <v>5</v>
      </c>
      <c r="AF8" s="8">
        <f t="shared" si="9"/>
        <v>12</v>
      </c>
      <c r="AG8" s="8">
        <f t="shared" si="10"/>
        <v>12</v>
      </c>
      <c r="AH8" s="97">
        <f t="shared" si="11"/>
        <v>1</v>
      </c>
      <c r="AI8" s="97">
        <f t="shared" si="12"/>
        <v>1</v>
      </c>
      <c r="AJ8" s="8">
        <f t="shared" si="13"/>
        <v>12</v>
      </c>
      <c r="AK8" s="97">
        <f t="shared" si="14"/>
        <v>2</v>
      </c>
      <c r="AL8" s="8">
        <f t="shared" si="15"/>
        <v>500</v>
      </c>
      <c r="AM8" s="8">
        <f t="shared" si="16"/>
        <v>2000</v>
      </c>
      <c r="AN8" s="97">
        <f t="shared" si="17"/>
        <v>1</v>
      </c>
      <c r="AO8" s="97">
        <f t="shared" si="18"/>
        <v>1</v>
      </c>
      <c r="AP8" s="97">
        <f t="shared" si="19"/>
        <v>20</v>
      </c>
      <c r="AR8" s="97">
        <v>13</v>
      </c>
      <c r="AS8" s="2">
        <f>材料产出!C16</f>
        <v>2.5</v>
      </c>
      <c r="AT8" s="2">
        <f>INT(Z$103/材料产出!AC$31*(材料产出!AC16)*AS8)</f>
        <v>1064</v>
      </c>
      <c r="AU8" s="2">
        <f t="shared" si="20"/>
        <v>1064000</v>
      </c>
    </row>
    <row r="9" spans="1:47" ht="16.5" x14ac:dyDescent="0.3">
      <c r="A9" s="22" t="s">
        <v>2278</v>
      </c>
      <c r="B9" s="23" t="s">
        <v>2284</v>
      </c>
      <c r="C9" s="22">
        <v>5</v>
      </c>
      <c r="D9" s="22"/>
      <c r="E9" s="22"/>
      <c r="F9" s="98">
        <f t="shared" si="23"/>
        <v>6</v>
      </c>
      <c r="G9" s="101">
        <f t="shared" si="24"/>
        <v>12</v>
      </c>
      <c r="H9" s="98">
        <f t="shared" si="25"/>
        <v>6</v>
      </c>
      <c r="I9" s="101">
        <f t="shared" si="26"/>
        <v>12</v>
      </c>
      <c r="J9" s="98">
        <f t="shared" si="27"/>
        <v>6</v>
      </c>
      <c r="K9" s="101">
        <f t="shared" si="28"/>
        <v>12</v>
      </c>
      <c r="L9" s="101"/>
      <c r="M9" s="101"/>
      <c r="N9" s="101"/>
      <c r="O9" s="101"/>
      <c r="P9" s="69" t="str">
        <f t="shared" si="22"/>
        <v>HPMP%5</v>
      </c>
      <c r="Q9" s="100" t="str">
        <f t="shared" si="21"/>
        <v>龙晶碎片9/元宝9000</v>
      </c>
      <c r="R9" s="97">
        <v>6</v>
      </c>
      <c r="S9" s="158"/>
      <c r="T9" s="158">
        <f t="shared" si="0"/>
        <v>600</v>
      </c>
      <c r="U9" s="158">
        <f t="shared" si="1"/>
        <v>2400</v>
      </c>
      <c r="V9" s="158">
        <f t="shared" si="2"/>
        <v>30</v>
      </c>
      <c r="W9" s="158">
        <f t="shared" si="3"/>
        <v>30</v>
      </c>
      <c r="X9" s="158">
        <f>T9*属性价值参考!C$5+附件合成!U9*属性价值参考!C$6+附件合成!V9*(属性价值参考!C$7+属性价值参考!C$8)+附件合成!W9*(属性价值参考!C$9+属性价值参考!C$10)</f>
        <v>9165.6</v>
      </c>
      <c r="Y9" s="158">
        <f>AE9*属性价值参考!C$26+附件合成!AH9*属性价值参考!C$24+附件合成!AI9*属性价值参考!C$26+附件合成!AK9*(属性价值参考!C$28+属性价值参考!C$29)+附件合成!AN9*属性价值参考!C$26+附件合成!AO9*属性价值参考!C$27+AP9*(属性价值参考!C$37+属性价值参考!C$38)</f>
        <v>1880.4</v>
      </c>
      <c r="Z9" s="158">
        <f t="shared" si="4"/>
        <v>690.375</v>
      </c>
      <c r="AA9" s="158">
        <f t="shared" si="5"/>
        <v>690375</v>
      </c>
      <c r="AB9" s="158">
        <f>ROUND(1/4*SUM(材料产出!$AB$4:$AB$6),0)</f>
        <v>9</v>
      </c>
      <c r="AC9" s="158">
        <f t="shared" si="6"/>
        <v>9000</v>
      </c>
      <c r="AD9" s="8">
        <f t="shared" si="7"/>
        <v>15</v>
      </c>
      <c r="AE9" s="97">
        <f t="shared" si="8"/>
        <v>5</v>
      </c>
      <c r="AF9" s="8">
        <f t="shared" si="9"/>
        <v>15</v>
      </c>
      <c r="AG9" s="8">
        <f t="shared" si="10"/>
        <v>15</v>
      </c>
      <c r="AH9" s="97">
        <f t="shared" si="11"/>
        <v>1</v>
      </c>
      <c r="AI9" s="97">
        <f t="shared" si="12"/>
        <v>1</v>
      </c>
      <c r="AJ9" s="8">
        <f t="shared" si="13"/>
        <v>15</v>
      </c>
      <c r="AK9" s="97">
        <f t="shared" si="14"/>
        <v>2</v>
      </c>
      <c r="AL9" s="8">
        <f t="shared" si="15"/>
        <v>600</v>
      </c>
      <c r="AM9" s="8">
        <f t="shared" si="16"/>
        <v>2400</v>
      </c>
      <c r="AN9" s="97">
        <f t="shared" si="17"/>
        <v>1</v>
      </c>
      <c r="AO9" s="97">
        <f t="shared" si="18"/>
        <v>1</v>
      </c>
      <c r="AP9" s="97">
        <f t="shared" si="19"/>
        <v>20</v>
      </c>
      <c r="AR9" s="97">
        <v>15</v>
      </c>
      <c r="AS9" s="2">
        <f>材料产出!C18</f>
        <v>3.5</v>
      </c>
      <c r="AT9" s="2">
        <f>INT(Z$103/材料产出!AC$31*(材料产出!AC19)*AS9)</f>
        <v>2206</v>
      </c>
      <c r="AU9" s="2">
        <f t="shared" si="20"/>
        <v>2206000</v>
      </c>
    </row>
    <row r="10" spans="1:47" ht="16.5" x14ac:dyDescent="0.3">
      <c r="A10" s="22" t="s">
        <v>2278</v>
      </c>
      <c r="B10" s="23" t="s">
        <v>2285</v>
      </c>
      <c r="C10" s="22">
        <v>6</v>
      </c>
      <c r="D10" s="22"/>
      <c r="E10" s="22"/>
      <c r="F10" s="98">
        <f t="shared" si="23"/>
        <v>8</v>
      </c>
      <c r="G10" s="101">
        <f t="shared" si="24"/>
        <v>15</v>
      </c>
      <c r="H10" s="98">
        <f t="shared" si="25"/>
        <v>8</v>
      </c>
      <c r="I10" s="101">
        <f t="shared" si="26"/>
        <v>15</v>
      </c>
      <c r="J10" s="98">
        <f t="shared" si="27"/>
        <v>8</v>
      </c>
      <c r="K10" s="101">
        <f t="shared" si="28"/>
        <v>15</v>
      </c>
      <c r="L10" s="101"/>
      <c r="M10" s="101"/>
      <c r="N10" s="101"/>
      <c r="O10" s="101"/>
      <c r="P10" s="69" t="str">
        <f t="shared" si="22"/>
        <v>HPMP%5</v>
      </c>
      <c r="Q10" s="100" t="str">
        <f t="shared" si="21"/>
        <v>龙晶碎片9/元宝9000</v>
      </c>
      <c r="R10" s="97">
        <v>7</v>
      </c>
      <c r="S10" s="158"/>
      <c r="T10" s="158">
        <f t="shared" si="0"/>
        <v>700</v>
      </c>
      <c r="U10" s="158">
        <f t="shared" si="1"/>
        <v>2800</v>
      </c>
      <c r="V10" s="158">
        <f t="shared" si="2"/>
        <v>35</v>
      </c>
      <c r="W10" s="158">
        <f t="shared" si="3"/>
        <v>35</v>
      </c>
      <c r="X10" s="158">
        <f>T10*属性价值参考!C$5+附件合成!U10*属性价值参考!C$6+附件合成!V10*(属性价值参考!C$7+属性价值参考!C$8)+附件合成!W10*(属性价值参考!C$9+属性价值参考!C$10)</f>
        <v>10693.2</v>
      </c>
      <c r="Y10" s="158">
        <f>AE10*属性价值参考!C$26+附件合成!AH10*属性价值参考!C$24+附件合成!AI10*属性价值参考!C$26+附件合成!AK10*(属性价值参考!C$28+属性价值参考!C$29)+附件合成!AN10*属性价值参考!C$26+附件合成!AO10*属性价值参考!C$27+AP10*(属性价值参考!C$37+属性价值参考!C$38)</f>
        <v>1880.4</v>
      </c>
      <c r="Z10" s="158">
        <f t="shared" si="4"/>
        <v>785.85</v>
      </c>
      <c r="AA10" s="158">
        <f t="shared" si="5"/>
        <v>785850</v>
      </c>
      <c r="AB10" s="158">
        <f>ROUND(1/4*SUM(材料产出!$AB$4:$AB$6),0)</f>
        <v>9</v>
      </c>
      <c r="AC10" s="158">
        <f t="shared" si="6"/>
        <v>9000</v>
      </c>
      <c r="AD10" s="8">
        <f t="shared" si="7"/>
        <v>17</v>
      </c>
      <c r="AE10" s="97">
        <f t="shared" si="8"/>
        <v>5</v>
      </c>
      <c r="AF10" s="8">
        <f t="shared" si="9"/>
        <v>17</v>
      </c>
      <c r="AG10" s="8">
        <f t="shared" si="10"/>
        <v>17</v>
      </c>
      <c r="AH10" s="97">
        <f t="shared" si="11"/>
        <v>1</v>
      </c>
      <c r="AI10" s="97">
        <f t="shared" si="12"/>
        <v>1</v>
      </c>
      <c r="AJ10" s="8">
        <f t="shared" si="13"/>
        <v>17</v>
      </c>
      <c r="AK10" s="97">
        <f t="shared" si="14"/>
        <v>2</v>
      </c>
      <c r="AL10" s="8">
        <f t="shared" si="15"/>
        <v>700</v>
      </c>
      <c r="AM10" s="8">
        <f t="shared" si="16"/>
        <v>2800</v>
      </c>
      <c r="AN10" s="97">
        <f t="shared" si="17"/>
        <v>1</v>
      </c>
      <c r="AO10" s="97">
        <f t="shared" si="18"/>
        <v>1</v>
      </c>
      <c r="AP10" s="97">
        <f t="shared" si="19"/>
        <v>20</v>
      </c>
      <c r="AR10" s="97">
        <v>17</v>
      </c>
      <c r="AS10" s="2">
        <f>材料产出!C20</f>
        <v>4</v>
      </c>
      <c r="AT10" s="2">
        <f>INT(Z$103/材料产出!AC$31*(材料产出!AC22)*AS10)</f>
        <v>15673</v>
      </c>
      <c r="AU10" s="2">
        <f t="shared" si="20"/>
        <v>15673000</v>
      </c>
    </row>
    <row r="11" spans="1:47" ht="16.5" x14ac:dyDescent="0.3">
      <c r="A11" s="22" t="s">
        <v>2278</v>
      </c>
      <c r="B11" s="23" t="s">
        <v>2286</v>
      </c>
      <c r="C11" s="22">
        <v>7</v>
      </c>
      <c r="D11" s="22"/>
      <c r="E11" s="22"/>
      <c r="F11" s="98">
        <f t="shared" si="23"/>
        <v>9</v>
      </c>
      <c r="G11" s="101">
        <f t="shared" si="24"/>
        <v>17</v>
      </c>
      <c r="H11" s="98">
        <f t="shared" si="25"/>
        <v>9</v>
      </c>
      <c r="I11" s="101">
        <f t="shared" si="26"/>
        <v>17</v>
      </c>
      <c r="J11" s="98">
        <f t="shared" si="27"/>
        <v>9</v>
      </c>
      <c r="K11" s="101">
        <f t="shared" si="28"/>
        <v>17</v>
      </c>
      <c r="L11" s="101"/>
      <c r="M11" s="101"/>
      <c r="N11" s="101"/>
      <c r="O11" s="101"/>
      <c r="P11" s="69" t="str">
        <f t="shared" si="22"/>
        <v>HPMP%5</v>
      </c>
      <c r="Q11" s="100" t="str">
        <f t="shared" si="21"/>
        <v>龙晶碎片9/元宝9000</v>
      </c>
      <c r="R11" s="97">
        <v>8</v>
      </c>
      <c r="S11" s="158"/>
      <c r="T11" s="158">
        <f t="shared" si="0"/>
        <v>800</v>
      </c>
      <c r="U11" s="158">
        <f t="shared" si="1"/>
        <v>3200</v>
      </c>
      <c r="V11" s="158">
        <f t="shared" si="2"/>
        <v>40</v>
      </c>
      <c r="W11" s="158">
        <f t="shared" si="3"/>
        <v>40</v>
      </c>
      <c r="X11" s="158">
        <f>T11*属性价值参考!C$5+附件合成!U11*属性价值参考!C$6+附件合成!V11*(属性价值参考!C$7+属性价值参考!C$8)+附件合成!W11*(属性价值参考!C$9+属性价值参考!C$10)</f>
        <v>12220.8</v>
      </c>
      <c r="Y11" s="158">
        <f>AE11*属性价值参考!C$26+附件合成!AH11*属性价值参考!C$24+附件合成!AI11*属性价值参考!C$26+附件合成!AK11*(属性价值参考!C$28+属性价值参考!C$29)+附件合成!AN11*属性价值参考!C$26+附件合成!AO11*属性价值参考!C$27+AP11*(属性价值参考!C$37+属性价值参考!C$38)</f>
        <v>1880.4</v>
      </c>
      <c r="Z11" s="158">
        <f t="shared" si="4"/>
        <v>881.32499999999993</v>
      </c>
      <c r="AA11" s="158">
        <f t="shared" si="5"/>
        <v>881324.99999999988</v>
      </c>
      <c r="AB11" s="158">
        <f>ROUND(1/4*SUM(材料产出!$AB$4:$AB$6),0)</f>
        <v>9</v>
      </c>
      <c r="AC11" s="158">
        <f t="shared" si="6"/>
        <v>9000</v>
      </c>
      <c r="AD11" s="8">
        <f t="shared" si="7"/>
        <v>20</v>
      </c>
      <c r="AE11" s="97">
        <f t="shared" si="8"/>
        <v>5</v>
      </c>
      <c r="AF11" s="8">
        <f t="shared" si="9"/>
        <v>20</v>
      </c>
      <c r="AG11" s="8">
        <f t="shared" si="10"/>
        <v>20</v>
      </c>
      <c r="AH11" s="97">
        <f t="shared" si="11"/>
        <v>1</v>
      </c>
      <c r="AI11" s="97">
        <f t="shared" si="12"/>
        <v>1</v>
      </c>
      <c r="AJ11" s="8">
        <f t="shared" si="13"/>
        <v>20</v>
      </c>
      <c r="AK11" s="97">
        <f t="shared" si="14"/>
        <v>2</v>
      </c>
      <c r="AL11" s="8">
        <f t="shared" si="15"/>
        <v>800</v>
      </c>
      <c r="AM11" s="8">
        <f t="shared" si="16"/>
        <v>3200</v>
      </c>
      <c r="AN11" s="97">
        <f t="shared" si="17"/>
        <v>1</v>
      </c>
      <c r="AO11" s="97">
        <f t="shared" si="18"/>
        <v>1</v>
      </c>
      <c r="AP11" s="97">
        <f t="shared" si="19"/>
        <v>20</v>
      </c>
      <c r="AR11" s="97">
        <v>19</v>
      </c>
      <c r="AS11" s="2">
        <f>材料产出!C22</f>
        <v>4.5999999999999996</v>
      </c>
      <c r="AT11" s="2">
        <f>INT(Z$103/材料产出!AC$31*(材料产出!AC25)*AS11)</f>
        <v>21550</v>
      </c>
      <c r="AU11" s="2">
        <f t="shared" si="20"/>
        <v>21550000</v>
      </c>
    </row>
    <row r="12" spans="1:47" ht="16.5" x14ac:dyDescent="0.3">
      <c r="A12" s="22" t="s">
        <v>2278</v>
      </c>
      <c r="B12" s="23" t="s">
        <v>2287</v>
      </c>
      <c r="C12" s="22">
        <v>8</v>
      </c>
      <c r="D12" s="22"/>
      <c r="E12" s="22"/>
      <c r="F12" s="98">
        <f t="shared" si="23"/>
        <v>10</v>
      </c>
      <c r="G12" s="101">
        <f t="shared" si="24"/>
        <v>20</v>
      </c>
      <c r="H12" s="98">
        <f t="shared" si="25"/>
        <v>10</v>
      </c>
      <c r="I12" s="101">
        <f t="shared" si="26"/>
        <v>20</v>
      </c>
      <c r="J12" s="98">
        <f t="shared" si="27"/>
        <v>10</v>
      </c>
      <c r="K12" s="101">
        <f t="shared" si="28"/>
        <v>20</v>
      </c>
      <c r="L12" s="101"/>
      <c r="M12" s="101"/>
      <c r="N12" s="101"/>
      <c r="O12" s="101"/>
      <c r="P12" s="69" t="str">
        <f t="shared" si="22"/>
        <v>HPMP%5</v>
      </c>
      <c r="Q12" s="100" t="str">
        <f t="shared" si="21"/>
        <v>龙晶碎片9/元宝9000</v>
      </c>
      <c r="R12" s="97">
        <v>9</v>
      </c>
      <c r="S12" s="158"/>
      <c r="T12" s="158">
        <f t="shared" si="0"/>
        <v>900</v>
      </c>
      <c r="U12" s="158">
        <f t="shared" si="1"/>
        <v>3600</v>
      </c>
      <c r="V12" s="158">
        <f t="shared" si="2"/>
        <v>45</v>
      </c>
      <c r="W12" s="158">
        <f t="shared" si="3"/>
        <v>45</v>
      </c>
      <c r="X12" s="158">
        <f>T12*属性价值参考!C$5+附件合成!U12*属性价值参考!C$6+附件合成!V12*(属性价值参考!C$7+属性价值参考!C$8)+附件合成!W12*(属性价值参考!C$9+属性价值参考!C$10)</f>
        <v>13748.4</v>
      </c>
      <c r="Y12" s="158">
        <f>AE12*属性价值参考!C$26+附件合成!AH12*属性价值参考!C$24+附件合成!AI12*属性价值参考!C$26+附件合成!AK12*(属性价值参考!C$28+属性价值参考!C$29)+附件合成!AN12*属性价值参考!C$26+附件合成!AO12*属性价值参考!C$27+AP12*(属性价值参考!C$37+属性价值参考!C$38)</f>
        <v>1880.4</v>
      </c>
      <c r="Z12" s="158">
        <f t="shared" si="4"/>
        <v>976.8</v>
      </c>
      <c r="AA12" s="158">
        <f t="shared" si="5"/>
        <v>976800</v>
      </c>
      <c r="AB12" s="158">
        <f>ROUND(1/4*SUM(材料产出!$AB$4:$AB$6),0)</f>
        <v>9</v>
      </c>
      <c r="AC12" s="158">
        <f t="shared" si="6"/>
        <v>9000</v>
      </c>
      <c r="AD12" s="8">
        <f t="shared" si="7"/>
        <v>22</v>
      </c>
      <c r="AE12" s="97">
        <f t="shared" si="8"/>
        <v>5</v>
      </c>
      <c r="AF12" s="8">
        <f t="shared" si="9"/>
        <v>22</v>
      </c>
      <c r="AG12" s="8">
        <f t="shared" si="10"/>
        <v>22</v>
      </c>
      <c r="AH12" s="97">
        <f t="shared" si="11"/>
        <v>1</v>
      </c>
      <c r="AI12" s="97">
        <f t="shared" si="12"/>
        <v>1</v>
      </c>
      <c r="AJ12" s="8">
        <f t="shared" si="13"/>
        <v>22</v>
      </c>
      <c r="AK12" s="97">
        <f t="shared" si="14"/>
        <v>2</v>
      </c>
      <c r="AL12" s="8">
        <f t="shared" si="15"/>
        <v>900</v>
      </c>
      <c r="AM12" s="8">
        <f t="shared" si="16"/>
        <v>3600</v>
      </c>
      <c r="AN12" s="97">
        <f t="shared" si="17"/>
        <v>1</v>
      </c>
      <c r="AO12" s="97">
        <f t="shared" si="18"/>
        <v>1</v>
      </c>
      <c r="AP12" s="97">
        <f t="shared" si="19"/>
        <v>20</v>
      </c>
      <c r="AR12" s="97">
        <v>21</v>
      </c>
      <c r="AS12" s="2">
        <f>材料产出!C24</f>
        <v>5.2</v>
      </c>
      <c r="AT12" s="2">
        <f>INT(Z$103/材料产出!AC$31*(材料产出!AC28)*AS12)</f>
        <v>56695</v>
      </c>
      <c r="AU12" s="2">
        <f t="shared" si="20"/>
        <v>56695000</v>
      </c>
    </row>
    <row r="13" spans="1:47" ht="16.5" x14ac:dyDescent="0.3">
      <c r="A13" s="22" t="s">
        <v>2278</v>
      </c>
      <c r="B13" s="23" t="s">
        <v>2288</v>
      </c>
      <c r="C13" s="22">
        <v>9</v>
      </c>
      <c r="D13" s="22"/>
      <c r="E13" s="22"/>
      <c r="F13" s="98">
        <f t="shared" si="23"/>
        <v>11</v>
      </c>
      <c r="G13" s="101">
        <f t="shared" si="24"/>
        <v>22</v>
      </c>
      <c r="H13" s="98">
        <f t="shared" si="25"/>
        <v>11</v>
      </c>
      <c r="I13" s="101">
        <f t="shared" si="26"/>
        <v>22</v>
      </c>
      <c r="J13" s="98">
        <f t="shared" si="27"/>
        <v>11</v>
      </c>
      <c r="K13" s="101">
        <f t="shared" si="28"/>
        <v>22</v>
      </c>
      <c r="L13" s="101"/>
      <c r="M13" s="101"/>
      <c r="N13" s="101"/>
      <c r="O13" s="101"/>
      <c r="P13" s="69" t="str">
        <f t="shared" si="22"/>
        <v>HPMP%5</v>
      </c>
      <c r="Q13" s="100" t="str">
        <f t="shared" si="21"/>
        <v>龙晶碎片9/元宝9000</v>
      </c>
      <c r="R13" s="97">
        <v>10</v>
      </c>
      <c r="S13" s="206">
        <f>材料产出!C4</f>
        <v>0.5</v>
      </c>
      <c r="T13" s="158">
        <f t="shared" si="0"/>
        <v>1000</v>
      </c>
      <c r="U13" s="158">
        <f t="shared" si="1"/>
        <v>4000</v>
      </c>
      <c r="V13" s="158">
        <f t="shared" si="2"/>
        <v>50</v>
      </c>
      <c r="W13" s="158">
        <f t="shared" si="3"/>
        <v>50</v>
      </c>
      <c r="X13" s="158">
        <f>T13*属性价值参考!C$5+附件合成!U13*属性价值参考!C$6+附件合成!V13*(属性价值参考!C$7+属性价值参考!C$8)+附件合成!W13*(属性价值参考!C$9+属性价值参考!C$10)</f>
        <v>15276</v>
      </c>
      <c r="Y13" s="158">
        <f>AE13*属性价值参考!C$26+附件合成!AH13*属性价值参考!C$24+附件合成!AI13*属性价值参考!C$26+附件合成!AK13*(属性价值参考!C$28+属性价值参考!C$29)+附件合成!AN13*属性价值参考!C$26+附件合成!AO13*属性价值参考!C$27+AP13*(属性价值参考!C$37+属性价值参考!C$38)</f>
        <v>1880.4</v>
      </c>
      <c r="Z13" s="158">
        <f t="shared" si="4"/>
        <v>1072.2750000000001</v>
      </c>
      <c r="AA13" s="158">
        <f t="shared" si="5"/>
        <v>1072275</v>
      </c>
      <c r="AB13" s="158">
        <f>ROUND(1/4*SUM(材料产出!$AB$4:$AB$6),0)</f>
        <v>9</v>
      </c>
      <c r="AC13" s="158">
        <f>AB13*1000</f>
        <v>9000</v>
      </c>
      <c r="AD13" s="8">
        <f t="shared" si="7"/>
        <v>25</v>
      </c>
      <c r="AE13" s="97">
        <f t="shared" si="8"/>
        <v>5</v>
      </c>
      <c r="AF13" s="8">
        <f t="shared" si="9"/>
        <v>25</v>
      </c>
      <c r="AG13" s="8">
        <f t="shared" si="10"/>
        <v>25</v>
      </c>
      <c r="AH13" s="97">
        <f>1/10*$AH$103</f>
        <v>1</v>
      </c>
      <c r="AI13" s="97">
        <f>1/10*$AI$103</f>
        <v>1</v>
      </c>
      <c r="AJ13" s="8">
        <f t="shared" si="13"/>
        <v>25</v>
      </c>
      <c r="AK13" s="97">
        <f>1/10*$AK$103</f>
        <v>2</v>
      </c>
      <c r="AL13" s="8">
        <f t="shared" si="15"/>
        <v>1000</v>
      </c>
      <c r="AM13" s="8">
        <f t="shared" si="16"/>
        <v>4000</v>
      </c>
      <c r="AN13" s="97">
        <f>1/10*$AN$103</f>
        <v>1</v>
      </c>
      <c r="AO13" s="97">
        <f>1/10*$AO$103</f>
        <v>1</v>
      </c>
      <c r="AP13" s="97">
        <f>2/200*$AP$103</f>
        <v>20</v>
      </c>
      <c r="AR13" s="97">
        <v>23</v>
      </c>
      <c r="AS13" s="2">
        <f>材料产出!C26</f>
        <v>5.8</v>
      </c>
      <c r="AT13" s="2">
        <f>INT(Z$103/材料产出!AC$31*(材料产出!AC30)*AS13)</f>
        <v>69166</v>
      </c>
      <c r="AU13" s="2">
        <f>AT13*1000</f>
        <v>69166000</v>
      </c>
    </row>
    <row r="14" spans="1:47" ht="16.5" x14ac:dyDescent="0.3">
      <c r="A14" s="22" t="s">
        <v>2278</v>
      </c>
      <c r="B14" s="23" t="s">
        <v>2289</v>
      </c>
      <c r="C14" s="22">
        <v>10</v>
      </c>
      <c r="D14" s="22"/>
      <c r="E14" s="22"/>
      <c r="F14" s="98">
        <f t="shared" si="23"/>
        <v>13</v>
      </c>
      <c r="G14" s="101">
        <f t="shared" si="24"/>
        <v>25</v>
      </c>
      <c r="H14" s="98">
        <f t="shared" si="25"/>
        <v>13</v>
      </c>
      <c r="I14" s="101">
        <f t="shared" si="26"/>
        <v>25</v>
      </c>
      <c r="J14" s="98">
        <f t="shared" si="27"/>
        <v>13</v>
      </c>
      <c r="K14" s="101">
        <f t="shared" si="28"/>
        <v>25</v>
      </c>
      <c r="L14" s="101"/>
      <c r="M14" s="101"/>
      <c r="N14" s="101"/>
      <c r="O14" s="101"/>
      <c r="P14" s="69" t="str">
        <f t="shared" si="22"/>
        <v>HPMP%5</v>
      </c>
      <c r="Q14" s="100" t="str">
        <f t="shared" si="21"/>
        <v>龙晶碎片10/元宝10000</v>
      </c>
      <c r="R14" s="191">
        <v>11</v>
      </c>
      <c r="S14" s="207"/>
      <c r="T14" s="158">
        <f t="shared" si="0"/>
        <v>1100</v>
      </c>
      <c r="U14" s="158">
        <f t="shared" si="1"/>
        <v>4400</v>
      </c>
      <c r="V14" s="158">
        <f t="shared" si="2"/>
        <v>55</v>
      </c>
      <c r="W14" s="158">
        <f t="shared" si="3"/>
        <v>55</v>
      </c>
      <c r="X14" s="158">
        <f>T14*属性价值参考!C$5+附件合成!U14*属性价值参考!C$6+附件合成!V14*(属性价值参考!C$7+属性价值参考!C$8)+附件合成!W14*(属性价值参考!C$9+属性价值参考!C$10)</f>
        <v>16803.599999999999</v>
      </c>
      <c r="Y14" s="158">
        <f>AE14*属性价值参考!C$26+附件合成!AH14*属性价值参考!C$24+附件合成!AI14*属性价值参考!C$26+附件合成!AK14*(属性价值参考!C$28+属性价值参考!C$29)+附件合成!AN14*属性价值参考!C$26+附件合成!AO14*属性价值参考!C$27+AP14*(属性价值参考!C$37+属性价值参考!C$38)</f>
        <v>3436.8</v>
      </c>
      <c r="Z14" s="158">
        <f t="shared" si="4"/>
        <v>1265.0249999999999</v>
      </c>
      <c r="AA14" s="158">
        <f t="shared" si="5"/>
        <v>1265024.9999999998</v>
      </c>
      <c r="AB14" s="158">
        <f>ROUND(1/4*SUM(材料产出!$AB$7:$AB$9),0)</f>
        <v>10</v>
      </c>
      <c r="AC14" s="158">
        <f t="shared" ref="AC14:AC22" si="29">AB14*1000</f>
        <v>10000</v>
      </c>
      <c r="AD14" s="104">
        <f t="shared" si="7"/>
        <v>27</v>
      </c>
      <c r="AE14" s="105">
        <f t="shared" si="8"/>
        <v>5</v>
      </c>
      <c r="AF14" s="104">
        <f t="shared" si="9"/>
        <v>27</v>
      </c>
      <c r="AG14" s="104">
        <f t="shared" si="10"/>
        <v>27</v>
      </c>
      <c r="AH14" s="97">
        <f t="shared" ref="AH14:AH22" si="30">2/10*$AH$103</f>
        <v>2</v>
      </c>
      <c r="AI14" s="97">
        <f t="shared" ref="AI14:AI22" si="31">2/10*$AI$103</f>
        <v>2</v>
      </c>
      <c r="AJ14" s="104">
        <f t="shared" si="13"/>
        <v>27</v>
      </c>
      <c r="AK14" s="97">
        <f t="shared" ref="AK14:AK22" si="32">2/10*$AK$103</f>
        <v>4</v>
      </c>
      <c r="AL14" s="104">
        <f t="shared" si="15"/>
        <v>1100</v>
      </c>
      <c r="AM14" s="104">
        <f t="shared" si="16"/>
        <v>4400</v>
      </c>
      <c r="AN14" s="97">
        <f t="shared" ref="AN14:AN22" si="33">2/10*$AN$103</f>
        <v>2</v>
      </c>
      <c r="AO14" s="97">
        <f t="shared" ref="AO14:AO22" si="34">2/10*$AO$103</f>
        <v>2</v>
      </c>
      <c r="AP14" s="97">
        <f t="shared" ref="AP14:AP22" si="35">4/200*$AP$103</f>
        <v>40</v>
      </c>
      <c r="AR14" s="183"/>
    </row>
    <row r="15" spans="1:47" ht="16.5" x14ac:dyDescent="0.3">
      <c r="A15" s="22" t="s">
        <v>2278</v>
      </c>
      <c r="B15" s="23" t="s">
        <v>2290</v>
      </c>
      <c r="C15" s="22">
        <v>11</v>
      </c>
      <c r="D15" s="22"/>
      <c r="E15" s="22"/>
      <c r="F15" s="98">
        <f t="shared" si="23"/>
        <v>14</v>
      </c>
      <c r="G15" s="101">
        <f t="shared" si="24"/>
        <v>27</v>
      </c>
      <c r="H15" s="98">
        <f t="shared" si="25"/>
        <v>14</v>
      </c>
      <c r="I15" s="101">
        <f t="shared" si="26"/>
        <v>27</v>
      </c>
      <c r="J15" s="98">
        <f t="shared" si="27"/>
        <v>14</v>
      </c>
      <c r="K15" s="101">
        <f t="shared" si="28"/>
        <v>27</v>
      </c>
      <c r="L15" s="101"/>
      <c r="M15" s="101"/>
      <c r="N15" s="101"/>
      <c r="O15" s="101"/>
      <c r="P15" s="69" t="str">
        <f t="shared" si="22"/>
        <v>HPMP%5</v>
      </c>
      <c r="Q15" s="100" t="str">
        <f t="shared" si="21"/>
        <v>龙晶碎片10/元宝10000</v>
      </c>
      <c r="R15" s="97">
        <v>12</v>
      </c>
      <c r="S15" s="158"/>
      <c r="T15" s="158">
        <f t="shared" si="0"/>
        <v>1200</v>
      </c>
      <c r="U15" s="158">
        <f t="shared" si="1"/>
        <v>4800</v>
      </c>
      <c r="V15" s="158">
        <f t="shared" si="2"/>
        <v>60</v>
      </c>
      <c r="W15" s="158">
        <f t="shared" si="3"/>
        <v>60</v>
      </c>
      <c r="X15" s="158">
        <f>T15*属性价值参考!C$5+附件合成!U15*属性价值参考!C$6+附件合成!V15*(属性价值参考!C$7+属性价值参考!C$8)+附件合成!W15*(属性价值参考!C$9+属性价值参考!C$10)</f>
        <v>18331.2</v>
      </c>
      <c r="Y15" s="158">
        <f>AE15*属性价值参考!C$26+附件合成!AH15*属性价值参考!C$24+附件合成!AI15*属性价值参考!C$26+附件合成!AK15*(属性价值参考!C$28+属性价值参考!C$29)+附件合成!AN15*属性价值参考!C$26+附件合成!AO15*属性价值参考!C$27+AP15*(属性价值参考!C$37+属性价值参考!C$38)</f>
        <v>3760.8</v>
      </c>
      <c r="Z15" s="158">
        <f t="shared" si="4"/>
        <v>1380.75</v>
      </c>
      <c r="AA15" s="158">
        <f t="shared" si="5"/>
        <v>1380750</v>
      </c>
      <c r="AB15" s="158">
        <f>ROUND(1/4*SUM(材料产出!$AB$7:$AB$9),0)</f>
        <v>10</v>
      </c>
      <c r="AC15" s="158">
        <f t="shared" si="29"/>
        <v>10000</v>
      </c>
      <c r="AD15" s="8">
        <f t="shared" si="7"/>
        <v>30</v>
      </c>
      <c r="AE15" s="97">
        <f t="shared" ref="AE15:AE24" si="36">10/50*$AE$103</f>
        <v>10</v>
      </c>
      <c r="AF15" s="8">
        <f t="shared" si="9"/>
        <v>30</v>
      </c>
      <c r="AG15" s="8">
        <f t="shared" si="10"/>
        <v>30</v>
      </c>
      <c r="AH15" s="97">
        <f t="shared" si="30"/>
        <v>2</v>
      </c>
      <c r="AI15" s="97">
        <f t="shared" si="31"/>
        <v>2</v>
      </c>
      <c r="AJ15" s="8">
        <f t="shared" si="13"/>
        <v>30</v>
      </c>
      <c r="AK15" s="97">
        <f t="shared" si="32"/>
        <v>4</v>
      </c>
      <c r="AL15" s="8">
        <f t="shared" si="15"/>
        <v>1200</v>
      </c>
      <c r="AM15" s="8">
        <f t="shared" si="16"/>
        <v>4800</v>
      </c>
      <c r="AN15" s="97">
        <f t="shared" si="33"/>
        <v>2</v>
      </c>
      <c r="AO15" s="97">
        <f t="shared" si="34"/>
        <v>2</v>
      </c>
      <c r="AP15" s="97">
        <f t="shared" si="35"/>
        <v>40</v>
      </c>
      <c r="AR15" s="183"/>
    </row>
    <row r="16" spans="1:47" ht="16.5" x14ac:dyDescent="0.3">
      <c r="A16" s="22" t="s">
        <v>2278</v>
      </c>
      <c r="B16" s="23" t="s">
        <v>2291</v>
      </c>
      <c r="C16" s="22">
        <v>12</v>
      </c>
      <c r="D16" s="22"/>
      <c r="E16" s="22"/>
      <c r="F16" s="98">
        <f t="shared" si="23"/>
        <v>15</v>
      </c>
      <c r="G16" s="101">
        <f t="shared" si="24"/>
        <v>30</v>
      </c>
      <c r="H16" s="98">
        <f t="shared" si="25"/>
        <v>15</v>
      </c>
      <c r="I16" s="101">
        <f t="shared" si="26"/>
        <v>30</v>
      </c>
      <c r="J16" s="98">
        <f t="shared" si="27"/>
        <v>15</v>
      </c>
      <c r="K16" s="101">
        <f t="shared" si="28"/>
        <v>30</v>
      </c>
      <c r="L16" s="101"/>
      <c r="M16" s="101"/>
      <c r="N16" s="101"/>
      <c r="O16" s="101"/>
      <c r="P16" s="69" t="str">
        <f t="shared" si="22"/>
        <v>HPMP%10</v>
      </c>
      <c r="Q16" s="100" t="str">
        <f t="shared" si="21"/>
        <v>龙晶碎片10/元宝10000</v>
      </c>
      <c r="R16" s="97">
        <v>13</v>
      </c>
      <c r="S16" s="158"/>
      <c r="T16" s="158">
        <f t="shared" si="0"/>
        <v>1300</v>
      </c>
      <c r="U16" s="158">
        <f t="shared" si="1"/>
        <v>5200</v>
      </c>
      <c r="V16" s="158">
        <f t="shared" si="2"/>
        <v>65</v>
      </c>
      <c r="W16" s="158">
        <f t="shared" si="3"/>
        <v>65</v>
      </c>
      <c r="X16" s="158">
        <f>T16*属性价值参考!C$5+附件合成!U16*属性价值参考!C$6+附件合成!V16*(属性价值参考!C$7+属性价值参考!C$8)+附件合成!W16*(属性价值参考!C$9+属性价值参考!C$10)</f>
        <v>19858.8</v>
      </c>
      <c r="Y16" s="158">
        <f>AE16*属性价值参考!C$26+附件合成!AH16*属性价值参考!C$24+附件合成!AI16*属性价值参考!C$26+附件合成!AK16*(属性价值参考!C$28+属性价值参考!C$29)+附件合成!AN16*属性价值参考!C$26+附件合成!AO16*属性价值参考!C$27+AP16*(属性价值参考!C$37+属性价值参考!C$38)</f>
        <v>3760.8</v>
      </c>
      <c r="Z16" s="158">
        <f t="shared" si="4"/>
        <v>1476.2249999999999</v>
      </c>
      <c r="AA16" s="158">
        <f t="shared" si="5"/>
        <v>1476225</v>
      </c>
      <c r="AB16" s="158">
        <f>ROUND(1/4*SUM(材料产出!$AB$7:$AB$9),0)</f>
        <v>10</v>
      </c>
      <c r="AC16" s="158">
        <f t="shared" si="29"/>
        <v>10000</v>
      </c>
      <c r="AD16" s="8">
        <f t="shared" si="7"/>
        <v>32</v>
      </c>
      <c r="AE16" s="97">
        <f t="shared" si="36"/>
        <v>10</v>
      </c>
      <c r="AF16" s="8">
        <f t="shared" si="9"/>
        <v>32</v>
      </c>
      <c r="AG16" s="8">
        <f t="shared" si="10"/>
        <v>32</v>
      </c>
      <c r="AH16" s="97">
        <f t="shared" si="30"/>
        <v>2</v>
      </c>
      <c r="AI16" s="97">
        <f t="shared" si="31"/>
        <v>2</v>
      </c>
      <c r="AJ16" s="8">
        <f t="shared" si="13"/>
        <v>32</v>
      </c>
      <c r="AK16" s="97">
        <f t="shared" si="32"/>
        <v>4</v>
      </c>
      <c r="AL16" s="8">
        <f t="shared" si="15"/>
        <v>1300</v>
      </c>
      <c r="AM16" s="8">
        <f t="shared" si="16"/>
        <v>5200</v>
      </c>
      <c r="AN16" s="97">
        <f t="shared" si="33"/>
        <v>2</v>
      </c>
      <c r="AO16" s="97">
        <f t="shared" si="34"/>
        <v>2</v>
      </c>
      <c r="AP16" s="97">
        <f t="shared" si="35"/>
        <v>40</v>
      </c>
      <c r="AR16" s="183"/>
    </row>
    <row r="17" spans="1:42" ht="16.5" x14ac:dyDescent="0.3">
      <c r="A17" s="22" t="s">
        <v>2278</v>
      </c>
      <c r="B17" s="23" t="s">
        <v>2292</v>
      </c>
      <c r="C17" s="22">
        <v>13</v>
      </c>
      <c r="D17" s="22"/>
      <c r="E17" s="22"/>
      <c r="F17" s="98">
        <f t="shared" si="23"/>
        <v>16</v>
      </c>
      <c r="G17" s="101">
        <f t="shared" si="24"/>
        <v>32</v>
      </c>
      <c r="H17" s="98">
        <f t="shared" si="25"/>
        <v>16</v>
      </c>
      <c r="I17" s="101">
        <f t="shared" si="26"/>
        <v>32</v>
      </c>
      <c r="J17" s="98">
        <f t="shared" si="27"/>
        <v>16</v>
      </c>
      <c r="K17" s="101">
        <f t="shared" si="28"/>
        <v>32</v>
      </c>
      <c r="L17" s="101"/>
      <c r="M17" s="101"/>
      <c r="N17" s="101"/>
      <c r="O17" s="101"/>
      <c r="P17" s="69" t="str">
        <f t="shared" si="22"/>
        <v>HPMP%10</v>
      </c>
      <c r="Q17" s="100" t="str">
        <f t="shared" si="21"/>
        <v>龙晶碎片10/元宝10000</v>
      </c>
      <c r="R17" s="97">
        <v>14</v>
      </c>
      <c r="S17" s="158"/>
      <c r="T17" s="158">
        <f t="shared" si="0"/>
        <v>1400</v>
      </c>
      <c r="U17" s="158">
        <f t="shared" si="1"/>
        <v>5600</v>
      </c>
      <c r="V17" s="158">
        <f t="shared" si="2"/>
        <v>70</v>
      </c>
      <c r="W17" s="158">
        <f t="shared" si="3"/>
        <v>70</v>
      </c>
      <c r="X17" s="158">
        <f>T17*属性价值参考!C$5+附件合成!U17*属性价值参考!C$6+附件合成!V17*(属性价值参考!C$7+属性价值参考!C$8)+附件合成!W17*(属性价值参考!C$9+属性价值参考!C$10)</f>
        <v>21386.400000000001</v>
      </c>
      <c r="Y17" s="158">
        <f>AE17*属性价值参考!C$26+附件合成!AH17*属性价值参考!C$24+附件合成!AI17*属性价值参考!C$26+附件合成!AK17*(属性价值参考!C$28+属性价值参考!C$29)+附件合成!AN17*属性价值参考!C$26+附件合成!AO17*属性价值参考!C$27+AP17*(属性价值参考!C$37+属性价值参考!C$38)</f>
        <v>3760.8</v>
      </c>
      <c r="Z17" s="158">
        <f t="shared" si="4"/>
        <v>1571.7</v>
      </c>
      <c r="AA17" s="158">
        <f t="shared" si="5"/>
        <v>1571700</v>
      </c>
      <c r="AB17" s="158">
        <f>ROUND(1/4*SUM(材料产出!$AB$7:$AB$9),0)</f>
        <v>10</v>
      </c>
      <c r="AC17" s="158">
        <f t="shared" si="29"/>
        <v>10000</v>
      </c>
      <c r="AD17" s="8">
        <f t="shared" si="7"/>
        <v>35</v>
      </c>
      <c r="AE17" s="97">
        <f t="shared" si="36"/>
        <v>10</v>
      </c>
      <c r="AF17" s="8">
        <f t="shared" si="9"/>
        <v>35</v>
      </c>
      <c r="AG17" s="8">
        <f t="shared" si="10"/>
        <v>35</v>
      </c>
      <c r="AH17" s="97">
        <f t="shared" si="30"/>
        <v>2</v>
      </c>
      <c r="AI17" s="97">
        <f t="shared" si="31"/>
        <v>2</v>
      </c>
      <c r="AJ17" s="8">
        <f t="shared" si="13"/>
        <v>35</v>
      </c>
      <c r="AK17" s="97">
        <f t="shared" si="32"/>
        <v>4</v>
      </c>
      <c r="AL17" s="8">
        <f t="shared" si="15"/>
        <v>1400</v>
      </c>
      <c r="AM17" s="8">
        <f t="shared" si="16"/>
        <v>5600</v>
      </c>
      <c r="AN17" s="97">
        <f t="shared" si="33"/>
        <v>2</v>
      </c>
      <c r="AO17" s="97">
        <f t="shared" si="34"/>
        <v>2</v>
      </c>
      <c r="AP17" s="97">
        <f t="shared" si="35"/>
        <v>40</v>
      </c>
    </row>
    <row r="18" spans="1:42" ht="16.5" x14ac:dyDescent="0.3">
      <c r="A18" s="22" t="s">
        <v>2278</v>
      </c>
      <c r="B18" s="23" t="s">
        <v>2293</v>
      </c>
      <c r="C18" s="22">
        <v>14</v>
      </c>
      <c r="D18" s="22"/>
      <c r="E18" s="22"/>
      <c r="F18" s="98">
        <f t="shared" si="23"/>
        <v>18</v>
      </c>
      <c r="G18" s="101">
        <f t="shared" si="24"/>
        <v>35</v>
      </c>
      <c r="H18" s="98">
        <f t="shared" si="25"/>
        <v>18</v>
      </c>
      <c r="I18" s="101">
        <f t="shared" si="26"/>
        <v>35</v>
      </c>
      <c r="J18" s="98">
        <f t="shared" si="27"/>
        <v>18</v>
      </c>
      <c r="K18" s="101">
        <f t="shared" si="28"/>
        <v>35</v>
      </c>
      <c r="L18" s="101"/>
      <c r="M18" s="101"/>
      <c r="N18" s="101"/>
      <c r="O18" s="101"/>
      <c r="P18" s="69" t="str">
        <f t="shared" si="22"/>
        <v>HPMP%10</v>
      </c>
      <c r="Q18" s="100" t="str">
        <f t="shared" si="21"/>
        <v>龙晶碎片10/元宝10000</v>
      </c>
      <c r="R18" s="97">
        <v>15</v>
      </c>
      <c r="S18" s="158"/>
      <c r="T18" s="158">
        <f t="shared" si="0"/>
        <v>1500</v>
      </c>
      <c r="U18" s="158">
        <f t="shared" si="1"/>
        <v>6000</v>
      </c>
      <c r="V18" s="158">
        <f t="shared" si="2"/>
        <v>75</v>
      </c>
      <c r="W18" s="158">
        <f t="shared" si="3"/>
        <v>75</v>
      </c>
      <c r="X18" s="158">
        <f>T18*属性价值参考!C$5+附件合成!U18*属性价值参考!C$6+附件合成!V18*(属性价值参考!C$7+属性价值参考!C$8)+附件合成!W18*(属性价值参考!C$9+属性价值参考!C$10)</f>
        <v>22914</v>
      </c>
      <c r="Y18" s="158">
        <f>AE18*属性价值参考!C$26+附件合成!AH18*属性价值参考!C$24+附件合成!AI18*属性价值参考!C$26+附件合成!AK18*(属性价值参考!C$28+属性价值参考!C$29)+附件合成!AN18*属性价值参考!C$26+附件合成!AO18*属性价值参考!C$27+AP18*(属性价值参考!C$37+属性价值参考!C$38)</f>
        <v>3760.8</v>
      </c>
      <c r="Z18" s="158">
        <f t="shared" si="4"/>
        <v>1667.175</v>
      </c>
      <c r="AA18" s="158">
        <f t="shared" si="5"/>
        <v>1667175</v>
      </c>
      <c r="AB18" s="158">
        <f>ROUND(1/4*SUM(材料产出!$AB$7:$AB$9),0)</f>
        <v>10</v>
      </c>
      <c r="AC18" s="158">
        <f t="shared" si="29"/>
        <v>10000</v>
      </c>
      <c r="AD18" s="8">
        <f t="shared" si="7"/>
        <v>37</v>
      </c>
      <c r="AE18" s="97">
        <f t="shared" si="36"/>
        <v>10</v>
      </c>
      <c r="AF18" s="8">
        <f t="shared" si="9"/>
        <v>37</v>
      </c>
      <c r="AG18" s="8">
        <f t="shared" si="10"/>
        <v>37</v>
      </c>
      <c r="AH18" s="97">
        <f t="shared" si="30"/>
        <v>2</v>
      </c>
      <c r="AI18" s="97">
        <f t="shared" si="31"/>
        <v>2</v>
      </c>
      <c r="AJ18" s="8">
        <f t="shared" si="13"/>
        <v>37</v>
      </c>
      <c r="AK18" s="97">
        <f t="shared" si="32"/>
        <v>4</v>
      </c>
      <c r="AL18" s="8">
        <f t="shared" si="15"/>
        <v>1500</v>
      </c>
      <c r="AM18" s="8">
        <f t="shared" si="16"/>
        <v>6000</v>
      </c>
      <c r="AN18" s="97">
        <f t="shared" si="33"/>
        <v>2</v>
      </c>
      <c r="AO18" s="97">
        <f t="shared" si="34"/>
        <v>2</v>
      </c>
      <c r="AP18" s="97">
        <f t="shared" si="35"/>
        <v>40</v>
      </c>
    </row>
    <row r="19" spans="1:42" ht="16.5" x14ac:dyDescent="0.3">
      <c r="A19" s="22" t="s">
        <v>2278</v>
      </c>
      <c r="B19" s="23" t="s">
        <v>2294</v>
      </c>
      <c r="C19" s="22">
        <v>15</v>
      </c>
      <c r="D19" s="22"/>
      <c r="E19" s="22"/>
      <c r="F19" s="98">
        <f t="shared" ref="F19:F82" si="37">ROUND(0.5*AD18,0)</f>
        <v>19</v>
      </c>
      <c r="G19" s="101">
        <f t="shared" ref="G19:G82" si="38">ROUND(AD18,0)</f>
        <v>37</v>
      </c>
      <c r="H19" s="98">
        <f t="shared" ref="H19:H82" si="39">ROUND(0.5*AD18,0)</f>
        <v>19</v>
      </c>
      <c r="I19" s="101">
        <f t="shared" ref="I19:I82" si="40">ROUND(AD18,0)</f>
        <v>37</v>
      </c>
      <c r="J19" s="98">
        <f t="shared" ref="J19:J82" si="41">ROUND(0.5*AD18,0)</f>
        <v>19</v>
      </c>
      <c r="K19" s="101">
        <f t="shared" ref="K19:K82" si="42">ROUND(AD18,0)</f>
        <v>37</v>
      </c>
      <c r="L19" s="101"/>
      <c r="M19" s="101"/>
      <c r="N19" s="101"/>
      <c r="O19" s="101"/>
      <c r="P19" s="69" t="str">
        <f t="shared" si="22"/>
        <v>HPMP%10</v>
      </c>
      <c r="Q19" s="100" t="str">
        <f t="shared" si="21"/>
        <v>龙晶碎片10/元宝10000</v>
      </c>
      <c r="R19" s="97">
        <v>16</v>
      </c>
      <c r="S19" s="158"/>
      <c r="T19" s="158">
        <f t="shared" si="0"/>
        <v>1600</v>
      </c>
      <c r="U19" s="158">
        <f t="shared" si="1"/>
        <v>6400</v>
      </c>
      <c r="V19" s="158">
        <f t="shared" si="2"/>
        <v>80</v>
      </c>
      <c r="W19" s="158">
        <f t="shared" si="3"/>
        <v>80</v>
      </c>
      <c r="X19" s="158">
        <f>T19*属性价值参考!C$5+附件合成!U19*属性价值参考!C$6+附件合成!V19*(属性价值参考!C$7+属性价值参考!C$8)+附件合成!W19*(属性价值参考!C$9+属性价值参考!C$10)</f>
        <v>24441.599999999999</v>
      </c>
      <c r="Y19" s="158">
        <f>AE19*属性价值参考!C$26+附件合成!AH19*属性价值参考!C$24+附件合成!AI19*属性价值参考!C$26+附件合成!AK19*(属性价值参考!C$28+属性价值参考!C$29)+附件合成!AN19*属性价值参考!C$26+附件合成!AO19*属性价值参考!C$27+AP19*(属性价值参考!C$37+属性价值参考!C$38)</f>
        <v>3760.8</v>
      </c>
      <c r="Z19" s="158">
        <f t="shared" si="4"/>
        <v>1762.6499999999999</v>
      </c>
      <c r="AA19" s="158">
        <f t="shared" si="5"/>
        <v>1762649.9999999998</v>
      </c>
      <c r="AB19" s="158">
        <f>ROUND(1/4*SUM(材料产出!$AB$7:$AB$9),0)</f>
        <v>10</v>
      </c>
      <c r="AC19" s="158">
        <f t="shared" si="29"/>
        <v>10000</v>
      </c>
      <c r="AD19" s="8">
        <f t="shared" si="7"/>
        <v>40</v>
      </c>
      <c r="AE19" s="97">
        <f t="shared" si="36"/>
        <v>10</v>
      </c>
      <c r="AF19" s="8">
        <f t="shared" si="9"/>
        <v>40</v>
      </c>
      <c r="AG19" s="8">
        <f t="shared" si="10"/>
        <v>40</v>
      </c>
      <c r="AH19" s="97">
        <f t="shared" si="30"/>
        <v>2</v>
      </c>
      <c r="AI19" s="97">
        <f t="shared" si="31"/>
        <v>2</v>
      </c>
      <c r="AJ19" s="8">
        <f t="shared" si="13"/>
        <v>40</v>
      </c>
      <c r="AK19" s="97">
        <f t="shared" si="32"/>
        <v>4</v>
      </c>
      <c r="AL19" s="8">
        <f t="shared" si="15"/>
        <v>1600</v>
      </c>
      <c r="AM19" s="8">
        <f t="shared" si="16"/>
        <v>6400</v>
      </c>
      <c r="AN19" s="97">
        <f t="shared" si="33"/>
        <v>2</v>
      </c>
      <c r="AO19" s="97">
        <f t="shared" si="34"/>
        <v>2</v>
      </c>
      <c r="AP19" s="97">
        <f t="shared" si="35"/>
        <v>40</v>
      </c>
    </row>
    <row r="20" spans="1:42" ht="16.5" x14ac:dyDescent="0.3">
      <c r="A20" s="22" t="s">
        <v>2278</v>
      </c>
      <c r="B20" s="23" t="s">
        <v>2295</v>
      </c>
      <c r="C20" s="22">
        <v>16</v>
      </c>
      <c r="D20" s="22"/>
      <c r="E20" s="22"/>
      <c r="F20" s="98">
        <f t="shared" si="37"/>
        <v>20</v>
      </c>
      <c r="G20" s="101">
        <f t="shared" si="38"/>
        <v>40</v>
      </c>
      <c r="H20" s="98">
        <f t="shared" si="39"/>
        <v>20</v>
      </c>
      <c r="I20" s="101">
        <f t="shared" si="40"/>
        <v>40</v>
      </c>
      <c r="J20" s="98">
        <f t="shared" si="41"/>
        <v>20</v>
      </c>
      <c r="K20" s="101">
        <f t="shared" si="42"/>
        <v>40</v>
      </c>
      <c r="L20" s="101"/>
      <c r="M20" s="101"/>
      <c r="N20" s="101"/>
      <c r="O20" s="101"/>
      <c r="P20" s="69" t="str">
        <f t="shared" si="22"/>
        <v>HPMP%10</v>
      </c>
      <c r="Q20" s="100" t="str">
        <f t="shared" si="21"/>
        <v>龙晶碎片10/元宝10000</v>
      </c>
      <c r="R20" s="97">
        <v>17</v>
      </c>
      <c r="S20" s="158"/>
      <c r="T20" s="158">
        <f t="shared" si="0"/>
        <v>1700</v>
      </c>
      <c r="U20" s="158">
        <f t="shared" si="1"/>
        <v>6800</v>
      </c>
      <c r="V20" s="158">
        <f t="shared" si="2"/>
        <v>85</v>
      </c>
      <c r="W20" s="158">
        <f t="shared" si="3"/>
        <v>85</v>
      </c>
      <c r="X20" s="158">
        <f>T20*属性价值参考!C$5+附件合成!U20*属性价值参考!C$6+附件合成!V20*(属性价值参考!C$7+属性价值参考!C$8)+附件合成!W20*(属性价值参考!C$9+属性价值参考!C$10)</f>
        <v>25969.200000000001</v>
      </c>
      <c r="Y20" s="158">
        <f>AE20*属性价值参考!C$26+附件合成!AH20*属性价值参考!C$24+附件合成!AI20*属性价值参考!C$26+附件合成!AK20*(属性价值参考!C$28+属性价值参考!C$29)+附件合成!AN20*属性价值参考!C$26+附件合成!AO20*属性价值参考!C$27+AP20*(属性价值参考!C$37+属性价值参考!C$38)</f>
        <v>3760.8</v>
      </c>
      <c r="Z20" s="158">
        <f t="shared" si="4"/>
        <v>1858.125</v>
      </c>
      <c r="AA20" s="158">
        <f t="shared" si="5"/>
        <v>1858125</v>
      </c>
      <c r="AB20" s="158">
        <f>ROUND(1/4*SUM(材料产出!$AB$7:$AB$9),0)</f>
        <v>10</v>
      </c>
      <c r="AC20" s="158">
        <f t="shared" si="29"/>
        <v>10000</v>
      </c>
      <c r="AD20" s="8">
        <f t="shared" si="7"/>
        <v>42</v>
      </c>
      <c r="AE20" s="97">
        <f t="shared" si="36"/>
        <v>10</v>
      </c>
      <c r="AF20" s="8">
        <f t="shared" si="9"/>
        <v>42</v>
      </c>
      <c r="AG20" s="8">
        <f t="shared" si="10"/>
        <v>42</v>
      </c>
      <c r="AH20" s="97">
        <f t="shared" si="30"/>
        <v>2</v>
      </c>
      <c r="AI20" s="97">
        <f t="shared" si="31"/>
        <v>2</v>
      </c>
      <c r="AJ20" s="8">
        <f t="shared" si="13"/>
        <v>42</v>
      </c>
      <c r="AK20" s="97">
        <f t="shared" si="32"/>
        <v>4</v>
      </c>
      <c r="AL20" s="8">
        <f t="shared" si="15"/>
        <v>1700</v>
      </c>
      <c r="AM20" s="8">
        <f t="shared" si="16"/>
        <v>6800</v>
      </c>
      <c r="AN20" s="97">
        <f t="shared" si="33"/>
        <v>2</v>
      </c>
      <c r="AO20" s="97">
        <f t="shared" si="34"/>
        <v>2</v>
      </c>
      <c r="AP20" s="97">
        <f t="shared" si="35"/>
        <v>40</v>
      </c>
    </row>
    <row r="21" spans="1:42" ht="16.5" x14ac:dyDescent="0.3">
      <c r="A21" s="22" t="s">
        <v>2278</v>
      </c>
      <c r="B21" s="23" t="s">
        <v>2296</v>
      </c>
      <c r="C21" s="22">
        <v>17</v>
      </c>
      <c r="D21" s="22"/>
      <c r="E21" s="22"/>
      <c r="F21" s="98">
        <f t="shared" si="37"/>
        <v>21</v>
      </c>
      <c r="G21" s="101">
        <f t="shared" si="38"/>
        <v>42</v>
      </c>
      <c r="H21" s="98">
        <f t="shared" si="39"/>
        <v>21</v>
      </c>
      <c r="I21" s="101">
        <f t="shared" si="40"/>
        <v>42</v>
      </c>
      <c r="J21" s="98">
        <f t="shared" si="41"/>
        <v>21</v>
      </c>
      <c r="K21" s="101">
        <f t="shared" si="42"/>
        <v>42</v>
      </c>
      <c r="L21" s="101"/>
      <c r="M21" s="101"/>
      <c r="N21" s="101"/>
      <c r="O21" s="101"/>
      <c r="P21" s="69" t="str">
        <f t="shared" si="22"/>
        <v>HPMP%10</v>
      </c>
      <c r="Q21" s="100" t="str">
        <f t="shared" si="21"/>
        <v>龙晶碎片10/元宝10000</v>
      </c>
      <c r="R21" s="97">
        <v>18</v>
      </c>
      <c r="S21" s="158"/>
      <c r="T21" s="158">
        <f t="shared" si="0"/>
        <v>1800</v>
      </c>
      <c r="U21" s="158">
        <f t="shared" si="1"/>
        <v>7200</v>
      </c>
      <c r="V21" s="158">
        <f t="shared" si="2"/>
        <v>90</v>
      </c>
      <c r="W21" s="158">
        <f t="shared" si="3"/>
        <v>90</v>
      </c>
      <c r="X21" s="158">
        <f>T21*属性价值参考!C$5+附件合成!U21*属性价值参考!C$6+附件合成!V21*(属性价值参考!C$7+属性价值参考!C$8)+附件合成!W21*(属性价值参考!C$9+属性价值参考!C$10)</f>
        <v>27496.799999999999</v>
      </c>
      <c r="Y21" s="158">
        <f>AE21*属性价值参考!C$26+附件合成!AH21*属性价值参考!C$24+附件合成!AI21*属性价值参考!C$26+附件合成!AK21*(属性价值参考!C$28+属性价值参考!C$29)+附件合成!AN21*属性价值参考!C$26+附件合成!AO21*属性价值参考!C$27+AP21*(属性价值参考!C$37+属性价值参考!C$38)</f>
        <v>3760.8</v>
      </c>
      <c r="Z21" s="158">
        <f t="shared" si="4"/>
        <v>1953.6</v>
      </c>
      <c r="AA21" s="158">
        <f t="shared" si="5"/>
        <v>1953600</v>
      </c>
      <c r="AB21" s="158">
        <f>ROUND(1/4*SUM(材料产出!$AB$7:$AB$9),0)</f>
        <v>10</v>
      </c>
      <c r="AC21" s="158">
        <f t="shared" si="29"/>
        <v>10000</v>
      </c>
      <c r="AD21" s="8">
        <f t="shared" si="7"/>
        <v>45</v>
      </c>
      <c r="AE21" s="97">
        <f t="shared" si="36"/>
        <v>10</v>
      </c>
      <c r="AF21" s="8">
        <f t="shared" si="9"/>
        <v>45</v>
      </c>
      <c r="AG21" s="8">
        <f t="shared" si="10"/>
        <v>45</v>
      </c>
      <c r="AH21" s="97">
        <f t="shared" si="30"/>
        <v>2</v>
      </c>
      <c r="AI21" s="97">
        <f t="shared" si="31"/>
        <v>2</v>
      </c>
      <c r="AJ21" s="8">
        <f t="shared" si="13"/>
        <v>45</v>
      </c>
      <c r="AK21" s="97">
        <f t="shared" si="32"/>
        <v>4</v>
      </c>
      <c r="AL21" s="8">
        <f t="shared" si="15"/>
        <v>1800</v>
      </c>
      <c r="AM21" s="8">
        <f t="shared" si="16"/>
        <v>7200</v>
      </c>
      <c r="AN21" s="97">
        <f t="shared" si="33"/>
        <v>2</v>
      </c>
      <c r="AO21" s="97">
        <f t="shared" si="34"/>
        <v>2</v>
      </c>
      <c r="AP21" s="97">
        <f t="shared" si="35"/>
        <v>40</v>
      </c>
    </row>
    <row r="22" spans="1:42" ht="16.5" x14ac:dyDescent="0.3">
      <c r="A22" s="22" t="s">
        <v>2278</v>
      </c>
      <c r="B22" s="23" t="s">
        <v>2297</v>
      </c>
      <c r="C22" s="22">
        <v>18</v>
      </c>
      <c r="D22" s="22"/>
      <c r="E22" s="22"/>
      <c r="F22" s="98">
        <f t="shared" si="37"/>
        <v>23</v>
      </c>
      <c r="G22" s="101">
        <f t="shared" si="38"/>
        <v>45</v>
      </c>
      <c r="H22" s="98">
        <f t="shared" si="39"/>
        <v>23</v>
      </c>
      <c r="I22" s="101">
        <f t="shared" si="40"/>
        <v>45</v>
      </c>
      <c r="J22" s="98">
        <f t="shared" si="41"/>
        <v>23</v>
      </c>
      <c r="K22" s="101">
        <f t="shared" si="42"/>
        <v>45</v>
      </c>
      <c r="L22" s="101"/>
      <c r="M22" s="101"/>
      <c r="N22" s="101"/>
      <c r="O22" s="101"/>
      <c r="P22" s="69" t="str">
        <f t="shared" si="22"/>
        <v>HPMP%10</v>
      </c>
      <c r="Q22" s="100" t="str">
        <f t="shared" si="21"/>
        <v>龙晶碎片10/元宝10000</v>
      </c>
      <c r="R22" s="97">
        <v>19</v>
      </c>
      <c r="S22" s="158"/>
      <c r="T22" s="158">
        <f t="shared" si="0"/>
        <v>1900</v>
      </c>
      <c r="U22" s="158">
        <f t="shared" si="1"/>
        <v>7600</v>
      </c>
      <c r="V22" s="158">
        <f t="shared" si="2"/>
        <v>95</v>
      </c>
      <c r="W22" s="158">
        <f t="shared" si="3"/>
        <v>95</v>
      </c>
      <c r="X22" s="158">
        <f>T22*属性价值参考!C$5+附件合成!U22*属性价值参考!C$6+附件合成!V22*(属性价值参考!C$7+属性价值参考!C$8)+附件合成!W22*(属性价值参考!C$9+属性价值参考!C$10)</f>
        <v>29024.400000000001</v>
      </c>
      <c r="Y22" s="158">
        <f>AE22*属性价值参考!C$26+附件合成!AH22*属性价值参考!C$24+附件合成!AI22*属性价值参考!C$26+附件合成!AK22*(属性价值参考!C$28+属性价值参考!C$29)+附件合成!AN22*属性价值参考!C$26+附件合成!AO22*属性价值参考!C$27+AP22*(属性价值参考!C$37+属性价值参考!C$38)</f>
        <v>3760.8</v>
      </c>
      <c r="Z22" s="158">
        <f t="shared" si="4"/>
        <v>2049.0750000000003</v>
      </c>
      <c r="AA22" s="158">
        <f t="shared" si="5"/>
        <v>2049075.0000000002</v>
      </c>
      <c r="AB22" s="158">
        <f>ROUND(1/4*SUM(材料产出!$AB$7:$AB$9),0)</f>
        <v>10</v>
      </c>
      <c r="AC22" s="158">
        <f t="shared" si="29"/>
        <v>10000</v>
      </c>
      <c r="AD22" s="8">
        <f t="shared" si="7"/>
        <v>47</v>
      </c>
      <c r="AE22" s="97">
        <f t="shared" si="36"/>
        <v>10</v>
      </c>
      <c r="AF22" s="8">
        <f t="shared" si="9"/>
        <v>47</v>
      </c>
      <c r="AG22" s="8">
        <f t="shared" si="10"/>
        <v>47</v>
      </c>
      <c r="AH22" s="97">
        <f t="shared" si="30"/>
        <v>2</v>
      </c>
      <c r="AI22" s="97">
        <f t="shared" si="31"/>
        <v>2</v>
      </c>
      <c r="AJ22" s="8">
        <f t="shared" si="13"/>
        <v>47</v>
      </c>
      <c r="AK22" s="97">
        <f t="shared" si="32"/>
        <v>4</v>
      </c>
      <c r="AL22" s="8">
        <f t="shared" si="15"/>
        <v>1900</v>
      </c>
      <c r="AM22" s="8">
        <f t="shared" si="16"/>
        <v>7600</v>
      </c>
      <c r="AN22" s="97">
        <f t="shared" si="33"/>
        <v>2</v>
      </c>
      <c r="AO22" s="97">
        <f t="shared" si="34"/>
        <v>2</v>
      </c>
      <c r="AP22" s="97">
        <f t="shared" si="35"/>
        <v>40</v>
      </c>
    </row>
    <row r="23" spans="1:42" ht="16.5" x14ac:dyDescent="0.3">
      <c r="A23" s="22" t="s">
        <v>2278</v>
      </c>
      <c r="B23" s="23" t="s">
        <v>2298</v>
      </c>
      <c r="C23" s="22">
        <v>19</v>
      </c>
      <c r="D23" s="22"/>
      <c r="E23" s="22"/>
      <c r="F23" s="98">
        <f t="shared" si="37"/>
        <v>24</v>
      </c>
      <c r="G23" s="101">
        <f t="shared" si="38"/>
        <v>47</v>
      </c>
      <c r="H23" s="98">
        <f t="shared" si="39"/>
        <v>24</v>
      </c>
      <c r="I23" s="101">
        <f t="shared" si="40"/>
        <v>47</v>
      </c>
      <c r="J23" s="98">
        <f t="shared" si="41"/>
        <v>24</v>
      </c>
      <c r="K23" s="101">
        <f t="shared" si="42"/>
        <v>47</v>
      </c>
      <c r="L23" s="101"/>
      <c r="M23" s="101"/>
      <c r="N23" s="101"/>
      <c r="O23" s="101"/>
      <c r="P23" s="69" t="str">
        <f t="shared" si="22"/>
        <v>HPMP%10</v>
      </c>
      <c r="Q23" s="100" t="str">
        <f t="shared" si="21"/>
        <v>龙晶碎片10/元宝10000</v>
      </c>
      <c r="R23" s="97">
        <v>20</v>
      </c>
      <c r="S23" s="206">
        <f>材料产出!C7</f>
        <v>0.8</v>
      </c>
      <c r="T23" s="158">
        <f t="shared" si="0"/>
        <v>2000</v>
      </c>
      <c r="U23" s="158">
        <f t="shared" si="1"/>
        <v>8000</v>
      </c>
      <c r="V23" s="158">
        <f t="shared" si="2"/>
        <v>100</v>
      </c>
      <c r="W23" s="158">
        <f t="shared" si="3"/>
        <v>100</v>
      </c>
      <c r="X23" s="158">
        <f>T23*属性价值参考!C$5+附件合成!U23*属性价值参考!C$6+附件合成!V23*(属性价值参考!C$7+属性价值参考!C$8)+附件合成!W23*(属性价值参考!C$9+属性价值参考!C$10)</f>
        <v>30552</v>
      </c>
      <c r="Y23" s="158">
        <f>AE23*属性价值参考!C$26+附件合成!AH23*属性价值参考!C$24+附件合成!AI23*属性价值参考!C$26+附件合成!AK23*(属性价值参考!C$28+属性价值参考!C$29)+附件合成!AN23*属性价值参考!C$26+附件合成!AO23*属性价值参考!C$27+AP23*(属性价值参考!C$37+属性价值参考!C$38)</f>
        <v>3760.8</v>
      </c>
      <c r="Z23" s="158">
        <f t="shared" si="4"/>
        <v>2144.5500000000002</v>
      </c>
      <c r="AA23" s="158">
        <f t="shared" si="5"/>
        <v>2144550</v>
      </c>
      <c r="AB23" s="158">
        <f>ROUND(1/4*SUM(材料产出!$AB$7:$AB$9),0)</f>
        <v>10</v>
      </c>
      <c r="AC23" s="158">
        <f>AB23*1000</f>
        <v>10000</v>
      </c>
      <c r="AD23" s="8">
        <f t="shared" si="7"/>
        <v>50</v>
      </c>
      <c r="AE23" s="97">
        <f t="shared" si="36"/>
        <v>10</v>
      </c>
      <c r="AF23" s="8">
        <f t="shared" si="9"/>
        <v>50</v>
      </c>
      <c r="AG23" s="8">
        <f t="shared" si="10"/>
        <v>50</v>
      </c>
      <c r="AH23" s="97">
        <f>2/10*$AH$103</f>
        <v>2</v>
      </c>
      <c r="AI23" s="97">
        <f>2/10*$AI$103</f>
        <v>2</v>
      </c>
      <c r="AJ23" s="8">
        <f t="shared" si="13"/>
        <v>50</v>
      </c>
      <c r="AK23" s="97">
        <f>2/10*$AK$103</f>
        <v>4</v>
      </c>
      <c r="AL23" s="8">
        <f t="shared" si="15"/>
        <v>2000</v>
      </c>
      <c r="AM23" s="8">
        <f t="shared" si="16"/>
        <v>8000</v>
      </c>
      <c r="AN23" s="97">
        <f>2/10*$AN$103</f>
        <v>2</v>
      </c>
      <c r="AO23" s="97">
        <f>2/10*$AO$103</f>
        <v>2</v>
      </c>
      <c r="AP23" s="97">
        <f>4/200*$AP$103</f>
        <v>40</v>
      </c>
    </row>
    <row r="24" spans="1:42" ht="16.5" x14ac:dyDescent="0.3">
      <c r="A24" s="22" t="s">
        <v>2278</v>
      </c>
      <c r="B24" s="23" t="s">
        <v>2299</v>
      </c>
      <c r="C24" s="22">
        <v>20</v>
      </c>
      <c r="D24" s="22"/>
      <c r="E24" s="22"/>
      <c r="F24" s="98">
        <f t="shared" si="37"/>
        <v>25</v>
      </c>
      <c r="G24" s="101">
        <f t="shared" si="38"/>
        <v>50</v>
      </c>
      <c r="H24" s="98">
        <f t="shared" si="39"/>
        <v>25</v>
      </c>
      <c r="I24" s="101">
        <f t="shared" si="40"/>
        <v>50</v>
      </c>
      <c r="J24" s="98">
        <f t="shared" si="41"/>
        <v>25</v>
      </c>
      <c r="K24" s="101">
        <f t="shared" si="42"/>
        <v>50</v>
      </c>
      <c r="L24" s="101"/>
      <c r="M24" s="101"/>
      <c r="N24" s="101"/>
      <c r="O24" s="101"/>
      <c r="P24" s="69" t="str">
        <f t="shared" si="22"/>
        <v>HPMP%10</v>
      </c>
      <c r="Q24" s="100" t="str">
        <f t="shared" si="21"/>
        <v>龙晶碎片26/元宝26000</v>
      </c>
      <c r="R24" s="191">
        <v>21</v>
      </c>
      <c r="S24" s="207"/>
      <c r="T24" s="158">
        <f t="shared" si="0"/>
        <v>2100</v>
      </c>
      <c r="U24" s="158">
        <f t="shared" si="1"/>
        <v>8400</v>
      </c>
      <c r="V24" s="158">
        <f t="shared" si="2"/>
        <v>105</v>
      </c>
      <c r="W24" s="158">
        <f t="shared" si="3"/>
        <v>105</v>
      </c>
      <c r="X24" s="158">
        <f>T24*属性价值参考!C$5+附件合成!U24*属性价值参考!C$6+附件合成!V24*(属性价值参考!C$7+属性价值参考!C$8)+附件合成!W24*(属性价值参考!C$9+属性价值参考!C$10)</f>
        <v>32079.599999999999</v>
      </c>
      <c r="Y24" s="158">
        <f>AE24*属性价值参考!C$26+附件合成!AH24*属性价值参考!C$24+附件合成!AI24*属性价值参考!C$26+附件合成!AK24*(属性价值参考!C$28+属性价值参考!C$29)+附件合成!AN24*属性价值参考!C$26+附件合成!AO24*属性价值参考!C$27+AP24*(属性价值参考!C$37+属性价值参考!C$38)</f>
        <v>5901.6</v>
      </c>
      <c r="Z24" s="158">
        <f t="shared" si="4"/>
        <v>2373.8249999999998</v>
      </c>
      <c r="AA24" s="158">
        <f t="shared" si="5"/>
        <v>2373825</v>
      </c>
      <c r="AB24" s="158">
        <f>ROUND(1/4*SUM(材料产出!$AB$10:$AB$12),0)</f>
        <v>26</v>
      </c>
      <c r="AC24" s="158">
        <f t="shared" ref="AC24:AC87" si="43">AB24*1000</f>
        <v>26000</v>
      </c>
      <c r="AD24" s="104">
        <f t="shared" si="7"/>
        <v>52</v>
      </c>
      <c r="AE24" s="105">
        <f t="shared" si="36"/>
        <v>10</v>
      </c>
      <c r="AF24" s="104">
        <f t="shared" si="9"/>
        <v>52</v>
      </c>
      <c r="AG24" s="104">
        <f t="shared" si="10"/>
        <v>52</v>
      </c>
      <c r="AH24" s="97">
        <f t="shared" ref="AH24:AH32" si="44">3/10*$AH$103</f>
        <v>3</v>
      </c>
      <c r="AI24" s="97">
        <f t="shared" ref="AI24:AI32" si="45">3/10*$AI$103</f>
        <v>3</v>
      </c>
      <c r="AJ24" s="104">
        <f t="shared" si="13"/>
        <v>52</v>
      </c>
      <c r="AK24" s="97">
        <f t="shared" ref="AK24:AK32" si="46">3/10*$AK$103</f>
        <v>6</v>
      </c>
      <c r="AL24" s="104">
        <f t="shared" si="15"/>
        <v>2100</v>
      </c>
      <c r="AM24" s="104">
        <f t="shared" si="16"/>
        <v>8400</v>
      </c>
      <c r="AN24" s="97">
        <f t="shared" ref="AN24:AN32" si="47">3/10*$AN$103</f>
        <v>3</v>
      </c>
      <c r="AO24" s="97">
        <f t="shared" ref="AO24:AO32" si="48">3/10*$AO$103</f>
        <v>3</v>
      </c>
      <c r="AP24" s="97">
        <f t="shared" ref="AP24:AP32" si="49">8/200*$AP$103</f>
        <v>80</v>
      </c>
    </row>
    <row r="25" spans="1:42" ht="16.5" x14ac:dyDescent="0.3">
      <c r="A25" s="22" t="s">
        <v>2278</v>
      </c>
      <c r="B25" s="23" t="s">
        <v>2300</v>
      </c>
      <c r="C25" s="22">
        <v>21</v>
      </c>
      <c r="D25" s="22"/>
      <c r="E25" s="22"/>
      <c r="F25" s="98">
        <f t="shared" si="37"/>
        <v>26</v>
      </c>
      <c r="G25" s="101">
        <f t="shared" si="38"/>
        <v>52</v>
      </c>
      <c r="H25" s="98">
        <f t="shared" si="39"/>
        <v>26</v>
      </c>
      <c r="I25" s="101">
        <f t="shared" si="40"/>
        <v>52</v>
      </c>
      <c r="J25" s="98">
        <f t="shared" si="41"/>
        <v>26</v>
      </c>
      <c r="K25" s="101">
        <f t="shared" si="42"/>
        <v>52</v>
      </c>
      <c r="L25" s="101"/>
      <c r="M25" s="101"/>
      <c r="N25" s="101"/>
      <c r="O25" s="101"/>
      <c r="P25" s="69" t="str">
        <f t="shared" si="22"/>
        <v>HPMP%10</v>
      </c>
      <c r="Q25" s="100" t="str">
        <f t="shared" si="21"/>
        <v>龙晶碎片26/元宝26000</v>
      </c>
      <c r="R25" s="97">
        <v>22</v>
      </c>
      <c r="S25" s="158"/>
      <c r="T25" s="158">
        <f t="shared" si="0"/>
        <v>2200</v>
      </c>
      <c r="U25" s="158">
        <f t="shared" si="1"/>
        <v>8800</v>
      </c>
      <c r="V25" s="158">
        <f t="shared" si="2"/>
        <v>110</v>
      </c>
      <c r="W25" s="158">
        <f t="shared" si="3"/>
        <v>110</v>
      </c>
      <c r="X25" s="158">
        <f>T25*属性价值参考!C$5+附件合成!U25*属性价值参考!C$6+附件合成!V25*(属性价值参考!C$7+属性价值参考!C$8)+附件合成!W25*(属性价值参考!C$9+属性价值参考!C$10)</f>
        <v>33607.199999999997</v>
      </c>
      <c r="Y25" s="158">
        <f>AE25*属性价值参考!C$26+附件合成!AH25*属性价值参考!C$24+附件合成!AI25*属性价值参考!C$26+附件合成!AK25*(属性价值参考!C$28+属性价值参考!C$29)+附件合成!AN25*属性价值参考!C$26+附件合成!AO25*属性价值参考!C$27+AP25*(属性价值参考!C$37+属性价值参考!C$38)</f>
        <v>6225.6</v>
      </c>
      <c r="Z25" s="158">
        <f t="shared" si="4"/>
        <v>2489.5499999999997</v>
      </c>
      <c r="AA25" s="158">
        <f t="shared" si="5"/>
        <v>2489549.9999999995</v>
      </c>
      <c r="AB25" s="158">
        <f>ROUND(1/4*SUM(材料产出!$AB$10:$AB$12),0)</f>
        <v>26</v>
      </c>
      <c r="AC25" s="158">
        <f t="shared" si="43"/>
        <v>26000</v>
      </c>
      <c r="AD25" s="8">
        <f t="shared" si="7"/>
        <v>55</v>
      </c>
      <c r="AE25" s="97">
        <f t="shared" ref="AE25:AE34" si="50">15/50*$AE$103</f>
        <v>15</v>
      </c>
      <c r="AF25" s="8">
        <f t="shared" si="9"/>
        <v>55</v>
      </c>
      <c r="AG25" s="8">
        <f t="shared" si="10"/>
        <v>55</v>
      </c>
      <c r="AH25" s="97">
        <f t="shared" si="44"/>
        <v>3</v>
      </c>
      <c r="AI25" s="97">
        <f t="shared" si="45"/>
        <v>3</v>
      </c>
      <c r="AJ25" s="8">
        <f t="shared" si="13"/>
        <v>55</v>
      </c>
      <c r="AK25" s="97">
        <f t="shared" si="46"/>
        <v>6</v>
      </c>
      <c r="AL25" s="8">
        <f t="shared" si="15"/>
        <v>2200</v>
      </c>
      <c r="AM25" s="8">
        <f t="shared" si="16"/>
        <v>8800</v>
      </c>
      <c r="AN25" s="97">
        <f t="shared" si="47"/>
        <v>3</v>
      </c>
      <c r="AO25" s="97">
        <f t="shared" si="48"/>
        <v>3</v>
      </c>
      <c r="AP25" s="97">
        <f t="shared" si="49"/>
        <v>80</v>
      </c>
    </row>
    <row r="26" spans="1:42" ht="16.5" x14ac:dyDescent="0.3">
      <c r="A26" s="22" t="s">
        <v>2278</v>
      </c>
      <c r="B26" s="23" t="s">
        <v>2301</v>
      </c>
      <c r="C26" s="22">
        <v>22</v>
      </c>
      <c r="D26" s="22"/>
      <c r="E26" s="22"/>
      <c r="F26" s="98">
        <f t="shared" si="37"/>
        <v>28</v>
      </c>
      <c r="G26" s="101">
        <f t="shared" si="38"/>
        <v>55</v>
      </c>
      <c r="H26" s="98">
        <f t="shared" si="39"/>
        <v>28</v>
      </c>
      <c r="I26" s="101">
        <f t="shared" si="40"/>
        <v>55</v>
      </c>
      <c r="J26" s="98">
        <f t="shared" si="41"/>
        <v>28</v>
      </c>
      <c r="K26" s="101">
        <f t="shared" si="42"/>
        <v>55</v>
      </c>
      <c r="L26" s="101"/>
      <c r="M26" s="101"/>
      <c r="N26" s="101"/>
      <c r="O26" s="101"/>
      <c r="P26" s="69" t="str">
        <f t="shared" si="22"/>
        <v>HPMP%15</v>
      </c>
      <c r="Q26" s="100" t="str">
        <f t="shared" si="21"/>
        <v>龙晶碎片26/元宝26000</v>
      </c>
      <c r="R26" s="97">
        <v>23</v>
      </c>
      <c r="S26" s="158"/>
      <c r="T26" s="158">
        <f t="shared" si="0"/>
        <v>2300</v>
      </c>
      <c r="U26" s="158">
        <f t="shared" si="1"/>
        <v>9200</v>
      </c>
      <c r="V26" s="158">
        <f t="shared" si="2"/>
        <v>115</v>
      </c>
      <c r="W26" s="158">
        <f t="shared" si="3"/>
        <v>115</v>
      </c>
      <c r="X26" s="158">
        <f>T26*属性价值参考!C$5+附件合成!U26*属性价值参考!C$6+附件合成!V26*(属性价值参考!C$7+属性价值参考!C$8)+附件合成!W26*(属性价值参考!C$9+属性价值参考!C$10)</f>
        <v>35134.800000000003</v>
      </c>
      <c r="Y26" s="158">
        <f>AE26*属性价值参考!C$26+附件合成!AH26*属性价值参考!C$24+附件合成!AI26*属性价值参考!C$26+附件合成!AK26*(属性价值参考!C$28+属性价值参考!C$29)+附件合成!AN26*属性价值参考!C$26+附件合成!AO26*属性价值参考!C$27+AP26*(属性价值参考!C$37+属性价值参考!C$38)</f>
        <v>6225.6</v>
      </c>
      <c r="Z26" s="158">
        <f t="shared" si="4"/>
        <v>2585.0250000000001</v>
      </c>
      <c r="AA26" s="158">
        <f t="shared" si="5"/>
        <v>2585025</v>
      </c>
      <c r="AB26" s="158">
        <f>ROUND(1/4*SUM(材料产出!$AB$10:$AB$12),0)</f>
        <v>26</v>
      </c>
      <c r="AC26" s="158">
        <f t="shared" si="43"/>
        <v>26000</v>
      </c>
      <c r="AD26" s="8">
        <f t="shared" si="7"/>
        <v>57</v>
      </c>
      <c r="AE26" s="97">
        <f t="shared" si="50"/>
        <v>15</v>
      </c>
      <c r="AF26" s="8">
        <f t="shared" si="9"/>
        <v>57</v>
      </c>
      <c r="AG26" s="8">
        <f t="shared" si="10"/>
        <v>57</v>
      </c>
      <c r="AH26" s="97">
        <f t="shared" si="44"/>
        <v>3</v>
      </c>
      <c r="AI26" s="97">
        <f t="shared" si="45"/>
        <v>3</v>
      </c>
      <c r="AJ26" s="8">
        <f t="shared" si="13"/>
        <v>57</v>
      </c>
      <c r="AK26" s="97">
        <f t="shared" si="46"/>
        <v>6</v>
      </c>
      <c r="AL26" s="8">
        <f t="shared" si="15"/>
        <v>2300</v>
      </c>
      <c r="AM26" s="8">
        <f t="shared" si="16"/>
        <v>9200</v>
      </c>
      <c r="AN26" s="97">
        <f t="shared" si="47"/>
        <v>3</v>
      </c>
      <c r="AO26" s="97">
        <f t="shared" si="48"/>
        <v>3</v>
      </c>
      <c r="AP26" s="97">
        <f t="shared" si="49"/>
        <v>80</v>
      </c>
    </row>
    <row r="27" spans="1:42" ht="16.5" x14ac:dyDescent="0.3">
      <c r="A27" s="22" t="s">
        <v>2278</v>
      </c>
      <c r="B27" s="23" t="s">
        <v>2302</v>
      </c>
      <c r="C27" s="22">
        <v>23</v>
      </c>
      <c r="D27" s="22"/>
      <c r="E27" s="22"/>
      <c r="F27" s="98">
        <f t="shared" si="37"/>
        <v>29</v>
      </c>
      <c r="G27" s="101">
        <f t="shared" si="38"/>
        <v>57</v>
      </c>
      <c r="H27" s="98">
        <f t="shared" si="39"/>
        <v>29</v>
      </c>
      <c r="I27" s="101">
        <f t="shared" si="40"/>
        <v>57</v>
      </c>
      <c r="J27" s="98">
        <f t="shared" si="41"/>
        <v>29</v>
      </c>
      <c r="K27" s="101">
        <f t="shared" si="42"/>
        <v>57</v>
      </c>
      <c r="L27" s="101"/>
      <c r="M27" s="101"/>
      <c r="N27" s="101"/>
      <c r="O27" s="101"/>
      <c r="P27" s="69" t="str">
        <f t="shared" si="22"/>
        <v>HPMP%15</v>
      </c>
      <c r="Q27" s="100" t="str">
        <f t="shared" si="21"/>
        <v>龙晶碎片26/元宝26000</v>
      </c>
      <c r="R27" s="97">
        <v>24</v>
      </c>
      <c r="S27" s="158"/>
      <c r="T27" s="158">
        <f t="shared" si="0"/>
        <v>2400</v>
      </c>
      <c r="U27" s="158">
        <f t="shared" si="1"/>
        <v>9600</v>
      </c>
      <c r="V27" s="158">
        <f t="shared" si="2"/>
        <v>120</v>
      </c>
      <c r="W27" s="158">
        <f t="shared" si="3"/>
        <v>120</v>
      </c>
      <c r="X27" s="158">
        <f>T27*属性价值参考!C$5+附件合成!U27*属性价值参考!C$6+附件合成!V27*(属性价值参考!C$7+属性价值参考!C$8)+附件合成!W27*(属性价值参考!C$9+属性价值参考!C$10)</f>
        <v>36662.400000000001</v>
      </c>
      <c r="Y27" s="158">
        <f>AE27*属性价值参考!C$26+附件合成!AH27*属性价值参考!C$24+附件合成!AI27*属性价值参考!C$26+附件合成!AK27*(属性价值参考!C$28+属性价值参考!C$29)+附件合成!AN27*属性价值参考!C$26+附件合成!AO27*属性价值参考!C$27+AP27*(属性价值参考!C$37+属性价值参考!C$38)</f>
        <v>6225.6</v>
      </c>
      <c r="Z27" s="158">
        <f t="shared" si="4"/>
        <v>2680.5</v>
      </c>
      <c r="AA27" s="158">
        <f t="shared" si="5"/>
        <v>2680500</v>
      </c>
      <c r="AB27" s="158">
        <f>ROUND(1/4*SUM(材料产出!$AB$10:$AB$12),0)</f>
        <v>26</v>
      </c>
      <c r="AC27" s="158">
        <f t="shared" si="43"/>
        <v>26000</v>
      </c>
      <c r="AD27" s="8">
        <f t="shared" si="7"/>
        <v>60</v>
      </c>
      <c r="AE27" s="97">
        <f t="shared" si="50"/>
        <v>15</v>
      </c>
      <c r="AF27" s="8">
        <f t="shared" si="9"/>
        <v>60</v>
      </c>
      <c r="AG27" s="8">
        <f t="shared" si="10"/>
        <v>60</v>
      </c>
      <c r="AH27" s="97">
        <f t="shared" si="44"/>
        <v>3</v>
      </c>
      <c r="AI27" s="97">
        <f t="shared" si="45"/>
        <v>3</v>
      </c>
      <c r="AJ27" s="8">
        <f t="shared" si="13"/>
        <v>60</v>
      </c>
      <c r="AK27" s="97">
        <f t="shared" si="46"/>
        <v>6</v>
      </c>
      <c r="AL27" s="8">
        <f t="shared" si="15"/>
        <v>2400</v>
      </c>
      <c r="AM27" s="8">
        <f t="shared" si="16"/>
        <v>9600</v>
      </c>
      <c r="AN27" s="97">
        <f t="shared" si="47"/>
        <v>3</v>
      </c>
      <c r="AO27" s="97">
        <f t="shared" si="48"/>
        <v>3</v>
      </c>
      <c r="AP27" s="97">
        <f t="shared" si="49"/>
        <v>80</v>
      </c>
    </row>
    <row r="28" spans="1:42" ht="16.5" x14ac:dyDescent="0.3">
      <c r="A28" s="22" t="s">
        <v>2278</v>
      </c>
      <c r="B28" s="23" t="s">
        <v>2303</v>
      </c>
      <c r="C28" s="22">
        <v>24</v>
      </c>
      <c r="D28" s="22"/>
      <c r="E28" s="22"/>
      <c r="F28" s="98">
        <f t="shared" si="37"/>
        <v>30</v>
      </c>
      <c r="G28" s="101">
        <f t="shared" si="38"/>
        <v>60</v>
      </c>
      <c r="H28" s="98">
        <f t="shared" si="39"/>
        <v>30</v>
      </c>
      <c r="I28" s="101">
        <f t="shared" si="40"/>
        <v>60</v>
      </c>
      <c r="J28" s="98">
        <f t="shared" si="41"/>
        <v>30</v>
      </c>
      <c r="K28" s="101">
        <f t="shared" si="42"/>
        <v>60</v>
      </c>
      <c r="L28" s="101"/>
      <c r="M28" s="101"/>
      <c r="N28" s="101"/>
      <c r="O28" s="101"/>
      <c r="P28" s="69" t="str">
        <f t="shared" si="22"/>
        <v>HPMP%15</v>
      </c>
      <c r="Q28" s="100" t="str">
        <f t="shared" si="21"/>
        <v>龙晶碎片26/元宝26000</v>
      </c>
      <c r="R28" s="97">
        <v>25</v>
      </c>
      <c r="S28" s="158"/>
      <c r="T28" s="158">
        <f t="shared" si="0"/>
        <v>2500</v>
      </c>
      <c r="U28" s="158">
        <f t="shared" si="1"/>
        <v>10000</v>
      </c>
      <c r="V28" s="158">
        <f t="shared" si="2"/>
        <v>125</v>
      </c>
      <c r="W28" s="158">
        <f t="shared" si="3"/>
        <v>125</v>
      </c>
      <c r="X28" s="158">
        <f>T28*属性价值参考!C$5+附件合成!U28*属性价值参考!C$6+附件合成!V28*(属性价值参考!C$7+属性价值参考!C$8)+附件合成!W28*(属性价值参考!C$9+属性价值参考!C$10)</f>
        <v>38190</v>
      </c>
      <c r="Y28" s="158">
        <f>AE28*属性价值参考!C$26+附件合成!AH28*属性价值参考!C$24+附件合成!AI28*属性价值参考!C$26+附件合成!AK28*(属性价值参考!C$28+属性价值参考!C$29)+附件合成!AN28*属性价值参考!C$26+附件合成!AO28*属性价值参考!C$27+AP28*(属性价值参考!C$37+属性价值参考!C$38)</f>
        <v>6225.6</v>
      </c>
      <c r="Z28" s="158">
        <f t="shared" si="4"/>
        <v>2775.9749999999999</v>
      </c>
      <c r="AA28" s="158">
        <f t="shared" si="5"/>
        <v>2775975</v>
      </c>
      <c r="AB28" s="158">
        <f>ROUND(1/4*SUM(材料产出!$AB$10:$AB$12),0)</f>
        <v>26</v>
      </c>
      <c r="AC28" s="158">
        <f t="shared" si="43"/>
        <v>26000</v>
      </c>
      <c r="AD28" s="8">
        <f t="shared" si="7"/>
        <v>62</v>
      </c>
      <c r="AE28" s="97">
        <f t="shared" si="50"/>
        <v>15</v>
      </c>
      <c r="AF28" s="8">
        <f t="shared" si="9"/>
        <v>62</v>
      </c>
      <c r="AG28" s="8">
        <f t="shared" si="10"/>
        <v>62</v>
      </c>
      <c r="AH28" s="97">
        <f t="shared" si="44"/>
        <v>3</v>
      </c>
      <c r="AI28" s="97">
        <f t="shared" si="45"/>
        <v>3</v>
      </c>
      <c r="AJ28" s="8">
        <f t="shared" si="13"/>
        <v>62</v>
      </c>
      <c r="AK28" s="97">
        <f t="shared" si="46"/>
        <v>6</v>
      </c>
      <c r="AL28" s="8">
        <f t="shared" si="15"/>
        <v>2500</v>
      </c>
      <c r="AM28" s="8">
        <f t="shared" si="16"/>
        <v>10000</v>
      </c>
      <c r="AN28" s="97">
        <f t="shared" si="47"/>
        <v>3</v>
      </c>
      <c r="AO28" s="97">
        <f t="shared" si="48"/>
        <v>3</v>
      </c>
      <c r="AP28" s="97">
        <f t="shared" si="49"/>
        <v>80</v>
      </c>
    </row>
    <row r="29" spans="1:42" ht="16.5" x14ac:dyDescent="0.3">
      <c r="A29" s="22" t="s">
        <v>2278</v>
      </c>
      <c r="B29" s="23" t="s">
        <v>2304</v>
      </c>
      <c r="C29" s="22">
        <v>25</v>
      </c>
      <c r="D29" s="22"/>
      <c r="E29" s="22"/>
      <c r="F29" s="98">
        <f t="shared" si="37"/>
        <v>31</v>
      </c>
      <c r="G29" s="101">
        <f t="shared" si="38"/>
        <v>62</v>
      </c>
      <c r="H29" s="98">
        <f t="shared" si="39"/>
        <v>31</v>
      </c>
      <c r="I29" s="101">
        <f t="shared" si="40"/>
        <v>62</v>
      </c>
      <c r="J29" s="98">
        <f t="shared" si="41"/>
        <v>31</v>
      </c>
      <c r="K29" s="101">
        <f t="shared" si="42"/>
        <v>62</v>
      </c>
      <c r="L29" s="101"/>
      <c r="M29" s="101"/>
      <c r="N29" s="101"/>
      <c r="O29" s="101"/>
      <c r="P29" s="69" t="str">
        <f t="shared" si="22"/>
        <v>HPMP%15</v>
      </c>
      <c r="Q29" s="100" t="str">
        <f t="shared" si="21"/>
        <v>龙晶碎片26/元宝26000</v>
      </c>
      <c r="R29" s="97">
        <v>26</v>
      </c>
      <c r="S29" s="158"/>
      <c r="T29" s="158">
        <f t="shared" si="0"/>
        <v>2600</v>
      </c>
      <c r="U29" s="158">
        <f t="shared" si="1"/>
        <v>10400</v>
      </c>
      <c r="V29" s="158">
        <f t="shared" si="2"/>
        <v>130</v>
      </c>
      <c r="W29" s="158">
        <f t="shared" si="3"/>
        <v>130</v>
      </c>
      <c r="X29" s="158">
        <f>T29*属性价值参考!C$5+附件合成!U29*属性价值参考!C$6+附件合成!V29*(属性价值参考!C$7+属性价值参考!C$8)+附件合成!W29*(属性价值参考!C$9+属性价值参考!C$10)</f>
        <v>39717.599999999999</v>
      </c>
      <c r="Y29" s="158">
        <f>AE29*属性价值参考!C$26+附件合成!AH29*属性价值参考!C$24+附件合成!AI29*属性价值参考!C$26+附件合成!AK29*(属性价值参考!C$28+属性价值参考!C$29)+附件合成!AN29*属性价值参考!C$26+附件合成!AO29*属性价值参考!C$27+AP29*(属性价值参考!C$37+属性价值参考!C$38)</f>
        <v>6225.6</v>
      </c>
      <c r="Z29" s="158">
        <f t="shared" si="4"/>
        <v>2871.45</v>
      </c>
      <c r="AA29" s="158">
        <f t="shared" si="5"/>
        <v>2871450</v>
      </c>
      <c r="AB29" s="158">
        <f>ROUND(1/4*SUM(材料产出!$AB$10:$AB$12),0)</f>
        <v>26</v>
      </c>
      <c r="AC29" s="158">
        <f t="shared" si="43"/>
        <v>26000</v>
      </c>
      <c r="AD29" s="8">
        <f t="shared" si="7"/>
        <v>65</v>
      </c>
      <c r="AE29" s="97">
        <f t="shared" si="50"/>
        <v>15</v>
      </c>
      <c r="AF29" s="8">
        <f t="shared" si="9"/>
        <v>65</v>
      </c>
      <c r="AG29" s="8">
        <f t="shared" si="10"/>
        <v>65</v>
      </c>
      <c r="AH29" s="97">
        <f t="shared" si="44"/>
        <v>3</v>
      </c>
      <c r="AI29" s="97">
        <f t="shared" si="45"/>
        <v>3</v>
      </c>
      <c r="AJ29" s="8">
        <f t="shared" si="13"/>
        <v>65</v>
      </c>
      <c r="AK29" s="97">
        <f t="shared" si="46"/>
        <v>6</v>
      </c>
      <c r="AL29" s="8">
        <f t="shared" si="15"/>
        <v>2600</v>
      </c>
      <c r="AM29" s="8">
        <f t="shared" si="16"/>
        <v>10400</v>
      </c>
      <c r="AN29" s="97">
        <f t="shared" si="47"/>
        <v>3</v>
      </c>
      <c r="AO29" s="97">
        <f t="shared" si="48"/>
        <v>3</v>
      </c>
      <c r="AP29" s="97">
        <f t="shared" si="49"/>
        <v>80</v>
      </c>
    </row>
    <row r="30" spans="1:42" ht="16.5" x14ac:dyDescent="0.3">
      <c r="A30" s="22" t="s">
        <v>2278</v>
      </c>
      <c r="B30" s="23" t="s">
        <v>2305</v>
      </c>
      <c r="C30" s="22">
        <v>26</v>
      </c>
      <c r="D30" s="22"/>
      <c r="E30" s="22"/>
      <c r="F30" s="98">
        <f t="shared" si="37"/>
        <v>33</v>
      </c>
      <c r="G30" s="101">
        <f t="shared" si="38"/>
        <v>65</v>
      </c>
      <c r="H30" s="98">
        <f t="shared" si="39"/>
        <v>33</v>
      </c>
      <c r="I30" s="101">
        <f t="shared" si="40"/>
        <v>65</v>
      </c>
      <c r="J30" s="98">
        <f t="shared" si="41"/>
        <v>33</v>
      </c>
      <c r="K30" s="101">
        <f t="shared" si="42"/>
        <v>65</v>
      </c>
      <c r="L30" s="101"/>
      <c r="M30" s="101"/>
      <c r="N30" s="101"/>
      <c r="O30" s="101"/>
      <c r="P30" s="69" t="str">
        <f t="shared" si="22"/>
        <v>HPMP%15</v>
      </c>
      <c r="Q30" s="100" t="str">
        <f t="shared" si="21"/>
        <v>龙晶碎片26/元宝26000</v>
      </c>
      <c r="R30" s="97">
        <v>27</v>
      </c>
      <c r="S30" s="158"/>
      <c r="T30" s="158">
        <f t="shared" si="0"/>
        <v>2700</v>
      </c>
      <c r="U30" s="158">
        <f t="shared" si="1"/>
        <v>10800</v>
      </c>
      <c r="V30" s="158">
        <f t="shared" si="2"/>
        <v>135</v>
      </c>
      <c r="W30" s="158">
        <f t="shared" si="3"/>
        <v>135</v>
      </c>
      <c r="X30" s="158">
        <f>T30*属性价值参考!C$5+附件合成!U30*属性价值参考!C$6+附件合成!V30*(属性价值参考!C$7+属性价值参考!C$8)+附件合成!W30*(属性价值参考!C$9+属性价值参考!C$10)</f>
        <v>41245.199999999997</v>
      </c>
      <c r="Y30" s="158">
        <f>AE30*属性价值参考!C$26+附件合成!AH30*属性价值参考!C$24+附件合成!AI30*属性价值参考!C$26+附件合成!AK30*(属性价值参考!C$28+属性价值参考!C$29)+附件合成!AN30*属性价值参考!C$26+附件合成!AO30*属性价值参考!C$27+AP30*(属性价值参考!C$37+属性价值参考!C$38)</f>
        <v>6225.6</v>
      </c>
      <c r="Z30" s="158">
        <f t="shared" si="4"/>
        <v>2966.9249999999997</v>
      </c>
      <c r="AA30" s="158">
        <f t="shared" si="5"/>
        <v>2966924.9999999995</v>
      </c>
      <c r="AB30" s="158">
        <f>ROUND(1/4*SUM(材料产出!$AB$10:$AB$12),0)</f>
        <v>26</v>
      </c>
      <c r="AC30" s="158">
        <f t="shared" si="43"/>
        <v>26000</v>
      </c>
      <c r="AD30" s="8">
        <f t="shared" si="7"/>
        <v>67</v>
      </c>
      <c r="AE30" s="97">
        <f t="shared" si="50"/>
        <v>15</v>
      </c>
      <c r="AF30" s="8">
        <f t="shared" si="9"/>
        <v>67</v>
      </c>
      <c r="AG30" s="8">
        <f t="shared" si="10"/>
        <v>67</v>
      </c>
      <c r="AH30" s="97">
        <f t="shared" si="44"/>
        <v>3</v>
      </c>
      <c r="AI30" s="97">
        <f t="shared" si="45"/>
        <v>3</v>
      </c>
      <c r="AJ30" s="8">
        <f t="shared" si="13"/>
        <v>67</v>
      </c>
      <c r="AK30" s="97">
        <f t="shared" si="46"/>
        <v>6</v>
      </c>
      <c r="AL30" s="8">
        <f t="shared" si="15"/>
        <v>2700</v>
      </c>
      <c r="AM30" s="8">
        <f t="shared" si="16"/>
        <v>10800</v>
      </c>
      <c r="AN30" s="97">
        <f t="shared" si="47"/>
        <v>3</v>
      </c>
      <c r="AO30" s="97">
        <f t="shared" si="48"/>
        <v>3</v>
      </c>
      <c r="AP30" s="97">
        <f t="shared" si="49"/>
        <v>80</v>
      </c>
    </row>
    <row r="31" spans="1:42" ht="16.5" x14ac:dyDescent="0.3">
      <c r="A31" s="22" t="s">
        <v>2278</v>
      </c>
      <c r="B31" s="23" t="s">
        <v>2306</v>
      </c>
      <c r="C31" s="22">
        <v>27</v>
      </c>
      <c r="D31" s="22"/>
      <c r="E31" s="22"/>
      <c r="F31" s="98">
        <f t="shared" si="37"/>
        <v>34</v>
      </c>
      <c r="G31" s="101">
        <f t="shared" si="38"/>
        <v>67</v>
      </c>
      <c r="H31" s="98">
        <f t="shared" si="39"/>
        <v>34</v>
      </c>
      <c r="I31" s="101">
        <f t="shared" si="40"/>
        <v>67</v>
      </c>
      <c r="J31" s="98">
        <f t="shared" si="41"/>
        <v>34</v>
      </c>
      <c r="K31" s="101">
        <f t="shared" si="42"/>
        <v>67</v>
      </c>
      <c r="L31" s="101"/>
      <c r="M31" s="101"/>
      <c r="N31" s="101"/>
      <c r="O31" s="101"/>
      <c r="P31" s="69" t="str">
        <f t="shared" si="22"/>
        <v>HPMP%15</v>
      </c>
      <c r="Q31" s="100" t="str">
        <f t="shared" si="21"/>
        <v>龙晶碎片26/元宝26000</v>
      </c>
      <c r="R31" s="97">
        <v>28</v>
      </c>
      <c r="S31" s="158"/>
      <c r="T31" s="158">
        <f t="shared" si="0"/>
        <v>2800</v>
      </c>
      <c r="U31" s="158">
        <f t="shared" si="1"/>
        <v>11200</v>
      </c>
      <c r="V31" s="158">
        <f t="shared" si="2"/>
        <v>140</v>
      </c>
      <c r="W31" s="158">
        <f t="shared" si="3"/>
        <v>140</v>
      </c>
      <c r="X31" s="158">
        <f>T31*属性价值参考!C$5+附件合成!U31*属性价值参考!C$6+附件合成!V31*(属性价值参考!C$7+属性价值参考!C$8)+附件合成!W31*(属性价值参考!C$9+属性价值参考!C$10)</f>
        <v>42772.800000000003</v>
      </c>
      <c r="Y31" s="158">
        <f>AE31*属性价值参考!C$26+附件合成!AH31*属性价值参考!C$24+附件合成!AI31*属性价值参考!C$26+附件合成!AK31*(属性价值参考!C$28+属性价值参考!C$29)+附件合成!AN31*属性价值参考!C$26+附件合成!AO31*属性价值参考!C$27+AP31*(属性价值参考!C$37+属性价值参考!C$38)</f>
        <v>6225.6</v>
      </c>
      <c r="Z31" s="158">
        <f t="shared" si="4"/>
        <v>3062.4</v>
      </c>
      <c r="AA31" s="158">
        <f t="shared" si="5"/>
        <v>3062400</v>
      </c>
      <c r="AB31" s="158">
        <f>ROUND(1/4*SUM(材料产出!$AB$10:$AB$12),0)</f>
        <v>26</v>
      </c>
      <c r="AC31" s="158">
        <f t="shared" si="43"/>
        <v>26000</v>
      </c>
      <c r="AD31" s="8">
        <f t="shared" si="7"/>
        <v>70</v>
      </c>
      <c r="AE31" s="97">
        <f t="shared" si="50"/>
        <v>15</v>
      </c>
      <c r="AF31" s="8">
        <f t="shared" si="9"/>
        <v>70</v>
      </c>
      <c r="AG31" s="8">
        <f t="shared" si="10"/>
        <v>70</v>
      </c>
      <c r="AH31" s="97">
        <f t="shared" si="44"/>
        <v>3</v>
      </c>
      <c r="AI31" s="97">
        <f t="shared" si="45"/>
        <v>3</v>
      </c>
      <c r="AJ31" s="8">
        <f t="shared" si="13"/>
        <v>70</v>
      </c>
      <c r="AK31" s="97">
        <f t="shared" si="46"/>
        <v>6</v>
      </c>
      <c r="AL31" s="8">
        <f t="shared" si="15"/>
        <v>2800</v>
      </c>
      <c r="AM31" s="8">
        <f t="shared" si="16"/>
        <v>11200</v>
      </c>
      <c r="AN31" s="97">
        <f t="shared" si="47"/>
        <v>3</v>
      </c>
      <c r="AO31" s="97">
        <f t="shared" si="48"/>
        <v>3</v>
      </c>
      <c r="AP31" s="97">
        <f t="shared" si="49"/>
        <v>80</v>
      </c>
    </row>
    <row r="32" spans="1:42" ht="16.5" x14ac:dyDescent="0.3">
      <c r="A32" s="22" t="s">
        <v>2278</v>
      </c>
      <c r="B32" s="23" t="s">
        <v>2307</v>
      </c>
      <c r="C32" s="22">
        <v>28</v>
      </c>
      <c r="D32" s="22"/>
      <c r="E32" s="22"/>
      <c r="F32" s="98">
        <f t="shared" si="37"/>
        <v>35</v>
      </c>
      <c r="G32" s="101">
        <f t="shared" si="38"/>
        <v>70</v>
      </c>
      <c r="H32" s="98">
        <f t="shared" si="39"/>
        <v>35</v>
      </c>
      <c r="I32" s="101">
        <f t="shared" si="40"/>
        <v>70</v>
      </c>
      <c r="J32" s="98">
        <f t="shared" si="41"/>
        <v>35</v>
      </c>
      <c r="K32" s="101">
        <f t="shared" si="42"/>
        <v>70</v>
      </c>
      <c r="L32" s="101"/>
      <c r="M32" s="101"/>
      <c r="N32" s="101"/>
      <c r="O32" s="101"/>
      <c r="P32" s="69" t="str">
        <f t="shared" si="22"/>
        <v>HPMP%15</v>
      </c>
      <c r="Q32" s="100" t="str">
        <f t="shared" si="21"/>
        <v>龙晶碎片26/元宝26000</v>
      </c>
      <c r="R32" s="97">
        <v>29</v>
      </c>
      <c r="S32" s="158"/>
      <c r="T32" s="158">
        <f t="shared" si="0"/>
        <v>2900</v>
      </c>
      <c r="U32" s="158">
        <f t="shared" si="1"/>
        <v>11600</v>
      </c>
      <c r="V32" s="158">
        <f t="shared" si="2"/>
        <v>145</v>
      </c>
      <c r="W32" s="158">
        <f t="shared" si="3"/>
        <v>145</v>
      </c>
      <c r="X32" s="158">
        <f>T32*属性价值参考!C$5+附件合成!U32*属性价值参考!C$6+附件合成!V32*(属性价值参考!C$7+属性价值参考!C$8)+附件合成!W32*(属性价值参考!C$9+属性价值参考!C$10)</f>
        <v>44300.4</v>
      </c>
      <c r="Y32" s="158">
        <f>AE32*属性价值参考!C$26+附件合成!AH32*属性价值参考!C$24+附件合成!AI32*属性价值参考!C$26+附件合成!AK32*(属性价值参考!C$28+属性价值参考!C$29)+附件合成!AN32*属性价值参考!C$26+附件合成!AO32*属性价值参考!C$27+AP32*(属性价值参考!C$37+属性价值参考!C$38)</f>
        <v>6225.6</v>
      </c>
      <c r="Z32" s="158">
        <f t="shared" si="4"/>
        <v>3157.875</v>
      </c>
      <c r="AA32" s="158">
        <f t="shared" si="5"/>
        <v>3157875</v>
      </c>
      <c r="AB32" s="158">
        <f>ROUND(1/4*SUM(材料产出!$AB$10:$AB$12),0)</f>
        <v>26</v>
      </c>
      <c r="AC32" s="158">
        <f t="shared" si="43"/>
        <v>26000</v>
      </c>
      <c r="AD32" s="8">
        <f t="shared" si="7"/>
        <v>72</v>
      </c>
      <c r="AE32" s="97">
        <f t="shared" si="50"/>
        <v>15</v>
      </c>
      <c r="AF32" s="8">
        <f t="shared" si="9"/>
        <v>72</v>
      </c>
      <c r="AG32" s="8">
        <f t="shared" si="10"/>
        <v>72</v>
      </c>
      <c r="AH32" s="97">
        <f t="shared" si="44"/>
        <v>3</v>
      </c>
      <c r="AI32" s="97">
        <f t="shared" si="45"/>
        <v>3</v>
      </c>
      <c r="AJ32" s="8">
        <f t="shared" si="13"/>
        <v>72</v>
      </c>
      <c r="AK32" s="97">
        <f t="shared" si="46"/>
        <v>6</v>
      </c>
      <c r="AL32" s="8">
        <f t="shared" si="15"/>
        <v>2900</v>
      </c>
      <c r="AM32" s="8">
        <f t="shared" si="16"/>
        <v>11600</v>
      </c>
      <c r="AN32" s="97">
        <f t="shared" si="47"/>
        <v>3</v>
      </c>
      <c r="AO32" s="97">
        <f t="shared" si="48"/>
        <v>3</v>
      </c>
      <c r="AP32" s="97">
        <f t="shared" si="49"/>
        <v>80</v>
      </c>
    </row>
    <row r="33" spans="1:42" ht="16.5" x14ac:dyDescent="0.3">
      <c r="A33" s="22" t="s">
        <v>2278</v>
      </c>
      <c r="B33" s="23" t="s">
        <v>2308</v>
      </c>
      <c r="C33" s="22">
        <v>29</v>
      </c>
      <c r="D33" s="22"/>
      <c r="E33" s="22"/>
      <c r="F33" s="98">
        <f t="shared" si="37"/>
        <v>36</v>
      </c>
      <c r="G33" s="101">
        <f t="shared" si="38"/>
        <v>72</v>
      </c>
      <c r="H33" s="98">
        <f t="shared" si="39"/>
        <v>36</v>
      </c>
      <c r="I33" s="101">
        <f t="shared" si="40"/>
        <v>72</v>
      </c>
      <c r="J33" s="98">
        <f t="shared" si="41"/>
        <v>36</v>
      </c>
      <c r="K33" s="101">
        <f t="shared" si="42"/>
        <v>72</v>
      </c>
      <c r="L33" s="101"/>
      <c r="M33" s="101"/>
      <c r="N33" s="101"/>
      <c r="O33" s="101"/>
      <c r="P33" s="69" t="str">
        <f t="shared" si="22"/>
        <v>HPMP%15</v>
      </c>
      <c r="Q33" s="100" t="str">
        <f t="shared" si="21"/>
        <v>龙晶碎片26/元宝26000</v>
      </c>
      <c r="R33" s="97">
        <v>30</v>
      </c>
      <c r="S33" s="206">
        <f>材料产出!C10</f>
        <v>1.1000000000000001</v>
      </c>
      <c r="T33" s="158">
        <f t="shared" si="0"/>
        <v>3000</v>
      </c>
      <c r="U33" s="158">
        <f t="shared" si="1"/>
        <v>12000</v>
      </c>
      <c r="V33" s="158">
        <f t="shared" si="2"/>
        <v>150</v>
      </c>
      <c r="W33" s="158">
        <f t="shared" si="3"/>
        <v>150</v>
      </c>
      <c r="X33" s="158">
        <f>T33*属性价值参考!C$5+附件合成!U33*属性价值参考!C$6+附件合成!V33*(属性价值参考!C$7+属性价值参考!C$8)+附件合成!W33*(属性价值参考!C$9+属性价值参考!C$10)</f>
        <v>45828</v>
      </c>
      <c r="Y33" s="158">
        <f>AE33*属性价值参考!C$26+附件合成!AH33*属性价值参考!C$24+附件合成!AI33*属性价值参考!C$26+附件合成!AK33*(属性价值参考!C$28+属性价值参考!C$29)+附件合成!AN33*属性价值参考!C$26+附件合成!AO33*属性价值参考!C$27+AP33*(属性价值参考!C$37+属性价值参考!C$38)</f>
        <v>6225.6</v>
      </c>
      <c r="Z33" s="158">
        <f t="shared" si="4"/>
        <v>3253.35</v>
      </c>
      <c r="AA33" s="158">
        <f t="shared" si="5"/>
        <v>3253350</v>
      </c>
      <c r="AB33" s="158">
        <f>ROUND(1/4*SUM(材料产出!$AB$10:$AB$12),0)</f>
        <v>26</v>
      </c>
      <c r="AC33" s="158">
        <f>AB33*1000</f>
        <v>26000</v>
      </c>
      <c r="AD33" s="8">
        <f t="shared" si="7"/>
        <v>75</v>
      </c>
      <c r="AE33" s="97">
        <f t="shared" si="50"/>
        <v>15</v>
      </c>
      <c r="AF33" s="8">
        <f t="shared" si="9"/>
        <v>75</v>
      </c>
      <c r="AG33" s="8">
        <f t="shared" si="10"/>
        <v>75</v>
      </c>
      <c r="AH33" s="97">
        <f>3/10*$AH$103</f>
        <v>3</v>
      </c>
      <c r="AI33" s="97">
        <f>3/10*$AI$103</f>
        <v>3</v>
      </c>
      <c r="AJ33" s="8">
        <f t="shared" si="13"/>
        <v>75</v>
      </c>
      <c r="AK33" s="97">
        <f>3/10*$AK$103</f>
        <v>6</v>
      </c>
      <c r="AL33" s="8">
        <f t="shared" si="15"/>
        <v>3000</v>
      </c>
      <c r="AM33" s="8">
        <f t="shared" si="16"/>
        <v>12000</v>
      </c>
      <c r="AN33" s="97">
        <f>3/10*$AN$103</f>
        <v>3</v>
      </c>
      <c r="AO33" s="97">
        <f>3/10*$AO$103</f>
        <v>3</v>
      </c>
      <c r="AP33" s="97">
        <f>8/200*$AP$103</f>
        <v>80</v>
      </c>
    </row>
    <row r="34" spans="1:42" ht="16.5" x14ac:dyDescent="0.3">
      <c r="A34" s="22" t="s">
        <v>2278</v>
      </c>
      <c r="B34" s="23" t="s">
        <v>2309</v>
      </c>
      <c r="C34" s="22">
        <v>30</v>
      </c>
      <c r="D34" s="22"/>
      <c r="E34" s="22"/>
      <c r="F34" s="98">
        <f t="shared" si="37"/>
        <v>38</v>
      </c>
      <c r="G34" s="101">
        <f t="shared" si="38"/>
        <v>75</v>
      </c>
      <c r="H34" s="98">
        <f t="shared" si="39"/>
        <v>38</v>
      </c>
      <c r="I34" s="101">
        <f t="shared" si="40"/>
        <v>75</v>
      </c>
      <c r="J34" s="98">
        <f t="shared" si="41"/>
        <v>38</v>
      </c>
      <c r="K34" s="101">
        <f t="shared" si="42"/>
        <v>75</v>
      </c>
      <c r="L34" s="101"/>
      <c r="M34" s="101"/>
      <c r="N34" s="101"/>
      <c r="O34" s="101"/>
      <c r="P34" s="69" t="str">
        <f t="shared" si="22"/>
        <v>HPMP%15</v>
      </c>
      <c r="Q34" s="100" t="str">
        <f t="shared" si="21"/>
        <v>龙晶碎片128/元宝128000</v>
      </c>
      <c r="R34" s="191">
        <v>31</v>
      </c>
      <c r="S34" s="207"/>
      <c r="T34" s="158">
        <f t="shared" si="0"/>
        <v>3100</v>
      </c>
      <c r="U34" s="158">
        <f t="shared" si="1"/>
        <v>12400</v>
      </c>
      <c r="V34" s="158">
        <f t="shared" si="2"/>
        <v>155</v>
      </c>
      <c r="W34" s="158">
        <f t="shared" si="3"/>
        <v>155</v>
      </c>
      <c r="X34" s="158">
        <f>T34*属性价值参考!C$5+附件合成!U34*属性价值参考!C$6+附件合成!V34*(属性价值参考!C$7+属性价值参考!C$8)+附件合成!W34*(属性价值参考!C$9+属性价值参考!C$10)</f>
        <v>47355.6</v>
      </c>
      <c r="Y34" s="158">
        <f>AE34*属性价值参考!C$26+附件合成!AH34*属性价值参考!C$24+附件合成!AI34*属性价值参考!C$26+附件合成!AK34*(属性价值参考!C$28+属性价值参考!C$29)+附件合成!AN34*属性价值参考!C$26+附件合成!AO34*属性价值参考!C$27+AP34*(属性价值参考!C$37+属性价值参考!C$38)</f>
        <v>9535.2000000000007</v>
      </c>
      <c r="Z34" s="158">
        <f t="shared" si="4"/>
        <v>3555.6750000000002</v>
      </c>
      <c r="AA34" s="158">
        <f t="shared" si="5"/>
        <v>3555675</v>
      </c>
      <c r="AB34" s="158">
        <f>ROUND(1/4*SUM(材料产出!$AB$13:$AB$15),0)</f>
        <v>128</v>
      </c>
      <c r="AC34" s="158">
        <f t="shared" si="43"/>
        <v>128000</v>
      </c>
      <c r="AD34" s="104">
        <f t="shared" si="7"/>
        <v>77</v>
      </c>
      <c r="AE34" s="105">
        <f t="shared" si="50"/>
        <v>15</v>
      </c>
      <c r="AF34" s="104">
        <f t="shared" si="9"/>
        <v>77</v>
      </c>
      <c r="AG34" s="104">
        <f t="shared" si="10"/>
        <v>77</v>
      </c>
      <c r="AH34" s="97">
        <f t="shared" ref="AH34:AH42" si="51">4/10*$AH$103</f>
        <v>4</v>
      </c>
      <c r="AI34" s="97">
        <f t="shared" ref="AI34:AI42" si="52">4/10*$AI$103</f>
        <v>4</v>
      </c>
      <c r="AJ34" s="104">
        <f t="shared" si="13"/>
        <v>77</v>
      </c>
      <c r="AK34" s="97">
        <f t="shared" ref="AK34:AK42" si="53">4/10*$AK$103</f>
        <v>8</v>
      </c>
      <c r="AL34" s="104">
        <f t="shared" si="15"/>
        <v>3100</v>
      </c>
      <c r="AM34" s="104">
        <f t="shared" si="16"/>
        <v>12400</v>
      </c>
      <c r="AN34" s="97">
        <f t="shared" ref="AN34:AN42" si="54">4/10*$AN$103</f>
        <v>4</v>
      </c>
      <c r="AO34" s="97">
        <f t="shared" ref="AO34:AO42" si="55">4/10*$AO$103</f>
        <v>4</v>
      </c>
      <c r="AP34" s="97">
        <f t="shared" ref="AP34:AP42" si="56">16/200*$AP$103</f>
        <v>160</v>
      </c>
    </row>
    <row r="35" spans="1:42" ht="16.5" x14ac:dyDescent="0.3">
      <c r="A35" s="22" t="s">
        <v>2278</v>
      </c>
      <c r="B35" s="23" t="s">
        <v>2310</v>
      </c>
      <c r="C35" s="22">
        <v>31</v>
      </c>
      <c r="D35" s="22"/>
      <c r="E35" s="22"/>
      <c r="F35" s="98">
        <f t="shared" si="37"/>
        <v>39</v>
      </c>
      <c r="G35" s="101">
        <f t="shared" si="38"/>
        <v>77</v>
      </c>
      <c r="H35" s="98">
        <f t="shared" si="39"/>
        <v>39</v>
      </c>
      <c r="I35" s="101">
        <f t="shared" si="40"/>
        <v>77</v>
      </c>
      <c r="J35" s="98">
        <f t="shared" si="41"/>
        <v>39</v>
      </c>
      <c r="K35" s="101">
        <f t="shared" si="42"/>
        <v>77</v>
      </c>
      <c r="L35" s="101"/>
      <c r="M35" s="101"/>
      <c r="N35" s="101"/>
      <c r="O35" s="101"/>
      <c r="P35" s="69" t="str">
        <f t="shared" si="22"/>
        <v>HPMP%15</v>
      </c>
      <c r="Q35" s="100" t="str">
        <f t="shared" si="21"/>
        <v>龙晶碎片128/元宝128000</v>
      </c>
      <c r="R35" s="97">
        <v>32</v>
      </c>
      <c r="S35" s="158"/>
      <c r="T35" s="158">
        <f t="shared" si="0"/>
        <v>3200</v>
      </c>
      <c r="U35" s="158">
        <f t="shared" si="1"/>
        <v>12800</v>
      </c>
      <c r="V35" s="158">
        <f t="shared" si="2"/>
        <v>160</v>
      </c>
      <c r="W35" s="158">
        <f t="shared" si="3"/>
        <v>160</v>
      </c>
      <c r="X35" s="158">
        <f>T35*属性价值参考!C$5+附件合成!U35*属性价值参考!C$6+附件合成!V35*(属性价值参考!C$7+属性价值参考!C$8)+附件合成!W35*(属性价值参考!C$9+属性价值参考!C$10)</f>
        <v>48883.199999999997</v>
      </c>
      <c r="Y35" s="158">
        <f>AE35*属性价值参考!C$26+附件合成!AH35*属性价值参考!C$24+附件合成!AI35*属性价值参考!C$26+附件合成!AK35*(属性价值参考!C$28+属性价值参考!C$29)+附件合成!AN35*属性价值参考!C$26+附件合成!AO35*属性价值参考!C$27+AP35*(属性价值参考!C$37+属性价值参考!C$38)</f>
        <v>9859.2000000000007</v>
      </c>
      <c r="Z35" s="158">
        <f t="shared" si="4"/>
        <v>3671.3999999999996</v>
      </c>
      <c r="AA35" s="158">
        <f t="shared" si="5"/>
        <v>3671399.9999999995</v>
      </c>
      <c r="AB35" s="158">
        <f>ROUND(1/4*SUM(材料产出!$AB$13:$AB$15),0)</f>
        <v>128</v>
      </c>
      <c r="AC35" s="158">
        <f t="shared" si="43"/>
        <v>128000</v>
      </c>
      <c r="AD35" s="8">
        <f t="shared" si="7"/>
        <v>80</v>
      </c>
      <c r="AE35" s="97">
        <f t="shared" ref="AE35:AE44" si="57">20/50*$AE$103</f>
        <v>20</v>
      </c>
      <c r="AF35" s="8">
        <f t="shared" si="9"/>
        <v>80</v>
      </c>
      <c r="AG35" s="8">
        <f t="shared" si="10"/>
        <v>80</v>
      </c>
      <c r="AH35" s="97">
        <f t="shared" si="51"/>
        <v>4</v>
      </c>
      <c r="AI35" s="97">
        <f t="shared" si="52"/>
        <v>4</v>
      </c>
      <c r="AJ35" s="8">
        <f t="shared" si="13"/>
        <v>80</v>
      </c>
      <c r="AK35" s="97">
        <f t="shared" si="53"/>
        <v>8</v>
      </c>
      <c r="AL35" s="8">
        <f t="shared" si="15"/>
        <v>3200</v>
      </c>
      <c r="AM35" s="8">
        <f t="shared" si="16"/>
        <v>12800</v>
      </c>
      <c r="AN35" s="97">
        <f t="shared" si="54"/>
        <v>4</v>
      </c>
      <c r="AO35" s="97">
        <f t="shared" si="55"/>
        <v>4</v>
      </c>
      <c r="AP35" s="97">
        <f t="shared" si="56"/>
        <v>160</v>
      </c>
    </row>
    <row r="36" spans="1:42" ht="16.5" x14ac:dyDescent="0.3">
      <c r="A36" s="22" t="s">
        <v>2278</v>
      </c>
      <c r="B36" s="23" t="s">
        <v>2311</v>
      </c>
      <c r="C36" s="22">
        <v>32</v>
      </c>
      <c r="D36" s="22"/>
      <c r="E36" s="22"/>
      <c r="F36" s="98">
        <f t="shared" si="37"/>
        <v>40</v>
      </c>
      <c r="G36" s="101">
        <f t="shared" si="38"/>
        <v>80</v>
      </c>
      <c r="H36" s="98">
        <f t="shared" si="39"/>
        <v>40</v>
      </c>
      <c r="I36" s="101">
        <f t="shared" si="40"/>
        <v>80</v>
      </c>
      <c r="J36" s="98">
        <f t="shared" si="41"/>
        <v>40</v>
      </c>
      <c r="K36" s="101">
        <f t="shared" si="42"/>
        <v>80</v>
      </c>
      <c r="L36" s="101"/>
      <c r="M36" s="101"/>
      <c r="N36" s="101"/>
      <c r="O36" s="101"/>
      <c r="P36" s="69" t="str">
        <f t="shared" si="22"/>
        <v>HPMP%20</v>
      </c>
      <c r="Q36" s="100" t="str">
        <f t="shared" si="21"/>
        <v>龙晶碎片128/元宝128000</v>
      </c>
      <c r="R36" s="97">
        <v>33</v>
      </c>
      <c r="S36" s="158"/>
      <c r="T36" s="158">
        <f t="shared" si="0"/>
        <v>3300</v>
      </c>
      <c r="U36" s="158">
        <f t="shared" si="1"/>
        <v>13200</v>
      </c>
      <c r="V36" s="158">
        <f t="shared" si="2"/>
        <v>165</v>
      </c>
      <c r="W36" s="158">
        <f t="shared" si="3"/>
        <v>165</v>
      </c>
      <c r="X36" s="158">
        <f>T36*属性价值参考!C$5+附件合成!U36*属性价值参考!C$6+附件合成!V36*(属性价值参考!C$7+属性价值参考!C$8)+附件合成!W36*(属性价值参考!C$9+属性价值参考!C$10)</f>
        <v>50410.799999999996</v>
      </c>
      <c r="Y36" s="158">
        <f>AE36*属性价值参考!C$26+附件合成!AH36*属性价值参考!C$24+附件合成!AI36*属性价值参考!C$26+附件合成!AK36*(属性价值参考!C$28+属性价值参考!C$29)+附件合成!AN36*属性价值参考!C$26+附件合成!AO36*属性价值参考!C$27+AP36*(属性价值参考!C$37+属性价值参考!C$38)</f>
        <v>9859.2000000000007</v>
      </c>
      <c r="Z36" s="158">
        <f t="shared" si="4"/>
        <v>3766.875</v>
      </c>
      <c r="AA36" s="158">
        <f t="shared" si="5"/>
        <v>3766875</v>
      </c>
      <c r="AB36" s="158">
        <f>ROUND(1/4*SUM(材料产出!$AB$13:$AB$15),0)</f>
        <v>128</v>
      </c>
      <c r="AC36" s="158">
        <f t="shared" si="43"/>
        <v>128000</v>
      </c>
      <c r="AD36" s="8">
        <f t="shared" si="7"/>
        <v>82</v>
      </c>
      <c r="AE36" s="97">
        <f t="shared" si="57"/>
        <v>20</v>
      </c>
      <c r="AF36" s="8">
        <f t="shared" si="9"/>
        <v>82</v>
      </c>
      <c r="AG36" s="8">
        <f t="shared" si="10"/>
        <v>82</v>
      </c>
      <c r="AH36" s="97">
        <f t="shared" si="51"/>
        <v>4</v>
      </c>
      <c r="AI36" s="97">
        <f t="shared" si="52"/>
        <v>4</v>
      </c>
      <c r="AJ36" s="8">
        <f t="shared" si="13"/>
        <v>82</v>
      </c>
      <c r="AK36" s="97">
        <f t="shared" si="53"/>
        <v>8</v>
      </c>
      <c r="AL36" s="8">
        <f t="shared" si="15"/>
        <v>3300</v>
      </c>
      <c r="AM36" s="8">
        <f t="shared" si="16"/>
        <v>13200</v>
      </c>
      <c r="AN36" s="97">
        <f t="shared" si="54"/>
        <v>4</v>
      </c>
      <c r="AO36" s="97">
        <f t="shared" si="55"/>
        <v>4</v>
      </c>
      <c r="AP36" s="97">
        <f t="shared" si="56"/>
        <v>160</v>
      </c>
    </row>
    <row r="37" spans="1:42" ht="16.5" x14ac:dyDescent="0.3">
      <c r="A37" s="22" t="s">
        <v>2278</v>
      </c>
      <c r="B37" s="23" t="s">
        <v>2312</v>
      </c>
      <c r="C37" s="22">
        <v>33</v>
      </c>
      <c r="D37" s="22"/>
      <c r="E37" s="22"/>
      <c r="F37" s="98">
        <f t="shared" si="37"/>
        <v>41</v>
      </c>
      <c r="G37" s="101">
        <f t="shared" si="38"/>
        <v>82</v>
      </c>
      <c r="H37" s="98">
        <f t="shared" si="39"/>
        <v>41</v>
      </c>
      <c r="I37" s="101">
        <f t="shared" si="40"/>
        <v>82</v>
      </c>
      <c r="J37" s="98">
        <f t="shared" si="41"/>
        <v>41</v>
      </c>
      <c r="K37" s="101">
        <f t="shared" si="42"/>
        <v>82</v>
      </c>
      <c r="L37" s="101"/>
      <c r="M37" s="101"/>
      <c r="N37" s="101"/>
      <c r="O37" s="101"/>
      <c r="P37" s="69" t="str">
        <f t="shared" si="22"/>
        <v>HPMP%20</v>
      </c>
      <c r="Q37" s="100" t="str">
        <f t="shared" si="21"/>
        <v>龙晶碎片128/元宝128000</v>
      </c>
      <c r="R37" s="97">
        <v>34</v>
      </c>
      <c r="S37" s="158"/>
      <c r="T37" s="158">
        <f t="shared" si="0"/>
        <v>3400</v>
      </c>
      <c r="U37" s="158">
        <f t="shared" si="1"/>
        <v>13600</v>
      </c>
      <c r="V37" s="158">
        <f t="shared" si="2"/>
        <v>170</v>
      </c>
      <c r="W37" s="158">
        <f t="shared" si="3"/>
        <v>170</v>
      </c>
      <c r="X37" s="158">
        <f>T37*属性价值参考!C$5+附件合成!U37*属性价值参考!C$6+附件合成!V37*(属性价值参考!C$7+属性价值参考!C$8)+附件合成!W37*(属性价值参考!C$9+属性价值参考!C$10)</f>
        <v>51938.400000000001</v>
      </c>
      <c r="Y37" s="158">
        <f>AE37*属性价值参考!C$26+附件合成!AH37*属性价值参考!C$24+附件合成!AI37*属性价值参考!C$26+附件合成!AK37*(属性价值参考!C$28+属性价值参考!C$29)+附件合成!AN37*属性价值参考!C$26+附件合成!AO37*属性价值参考!C$27+AP37*(属性价值参考!C$37+属性价值参考!C$38)</f>
        <v>9859.2000000000007</v>
      </c>
      <c r="Z37" s="158">
        <f t="shared" si="4"/>
        <v>3862.3500000000004</v>
      </c>
      <c r="AA37" s="158">
        <f t="shared" si="5"/>
        <v>3862350.0000000005</v>
      </c>
      <c r="AB37" s="158">
        <f>ROUND(1/4*SUM(材料产出!$AB$13:$AB$15),0)</f>
        <v>128</v>
      </c>
      <c r="AC37" s="158">
        <f t="shared" si="43"/>
        <v>128000</v>
      </c>
      <c r="AD37" s="8">
        <f t="shared" si="7"/>
        <v>85</v>
      </c>
      <c r="AE37" s="97">
        <f t="shared" si="57"/>
        <v>20</v>
      </c>
      <c r="AF37" s="8">
        <f t="shared" si="9"/>
        <v>85</v>
      </c>
      <c r="AG37" s="8">
        <f t="shared" si="10"/>
        <v>85</v>
      </c>
      <c r="AH37" s="97">
        <f t="shared" si="51"/>
        <v>4</v>
      </c>
      <c r="AI37" s="97">
        <f t="shared" si="52"/>
        <v>4</v>
      </c>
      <c r="AJ37" s="8">
        <f t="shared" si="13"/>
        <v>85</v>
      </c>
      <c r="AK37" s="97">
        <f t="shared" si="53"/>
        <v>8</v>
      </c>
      <c r="AL37" s="8">
        <f t="shared" si="15"/>
        <v>3400</v>
      </c>
      <c r="AM37" s="8">
        <f t="shared" si="16"/>
        <v>13600</v>
      </c>
      <c r="AN37" s="97">
        <f t="shared" si="54"/>
        <v>4</v>
      </c>
      <c r="AO37" s="97">
        <f t="shared" si="55"/>
        <v>4</v>
      </c>
      <c r="AP37" s="97">
        <f t="shared" si="56"/>
        <v>160</v>
      </c>
    </row>
    <row r="38" spans="1:42" ht="16.5" x14ac:dyDescent="0.3">
      <c r="A38" s="22" t="s">
        <v>2278</v>
      </c>
      <c r="B38" s="23" t="s">
        <v>2313</v>
      </c>
      <c r="C38" s="22">
        <v>34</v>
      </c>
      <c r="D38" s="22"/>
      <c r="E38" s="22"/>
      <c r="F38" s="98">
        <f t="shared" si="37"/>
        <v>43</v>
      </c>
      <c r="G38" s="101">
        <f t="shared" si="38"/>
        <v>85</v>
      </c>
      <c r="H38" s="98">
        <f t="shared" si="39"/>
        <v>43</v>
      </c>
      <c r="I38" s="101">
        <f t="shared" si="40"/>
        <v>85</v>
      </c>
      <c r="J38" s="98">
        <f t="shared" si="41"/>
        <v>43</v>
      </c>
      <c r="K38" s="101">
        <f t="shared" si="42"/>
        <v>85</v>
      </c>
      <c r="L38" s="101"/>
      <c r="M38" s="101"/>
      <c r="N38" s="101"/>
      <c r="O38" s="101"/>
      <c r="P38" s="69" t="str">
        <f t="shared" si="22"/>
        <v>HPMP%20</v>
      </c>
      <c r="Q38" s="100" t="str">
        <f t="shared" si="21"/>
        <v>龙晶碎片128/元宝128000</v>
      </c>
      <c r="R38" s="97">
        <v>35</v>
      </c>
      <c r="S38" s="158"/>
      <c r="T38" s="158">
        <f t="shared" si="0"/>
        <v>3500</v>
      </c>
      <c r="U38" s="158">
        <f t="shared" si="1"/>
        <v>14000</v>
      </c>
      <c r="V38" s="158">
        <f t="shared" si="2"/>
        <v>175</v>
      </c>
      <c r="W38" s="158">
        <f t="shared" si="3"/>
        <v>175</v>
      </c>
      <c r="X38" s="158">
        <f>T38*属性价值参考!C$5+附件合成!U38*属性价值参考!C$6+附件合成!V38*(属性价值参考!C$7+属性价值参考!C$8)+附件合成!W38*(属性价值参考!C$9+属性价值参考!C$10)</f>
        <v>53466</v>
      </c>
      <c r="Y38" s="158">
        <f>AE38*属性价值参考!C$26+附件合成!AH38*属性价值参考!C$24+附件合成!AI38*属性价值参考!C$26+附件合成!AK38*(属性价值参考!C$28+属性价值参考!C$29)+附件合成!AN38*属性价值参考!C$26+附件合成!AO38*属性价值参考!C$27+AP38*(属性价值参考!C$37+属性价值参考!C$38)</f>
        <v>9859.2000000000007</v>
      </c>
      <c r="Z38" s="158">
        <f t="shared" si="4"/>
        <v>3957.8249999999998</v>
      </c>
      <c r="AA38" s="158">
        <f t="shared" si="5"/>
        <v>3957825</v>
      </c>
      <c r="AB38" s="158">
        <f>ROUND(1/4*SUM(材料产出!$AB$13:$AB$15),0)</f>
        <v>128</v>
      </c>
      <c r="AC38" s="158">
        <f t="shared" si="43"/>
        <v>128000</v>
      </c>
      <c r="AD38" s="8">
        <f t="shared" si="7"/>
        <v>87</v>
      </c>
      <c r="AE38" s="97">
        <f t="shared" si="57"/>
        <v>20</v>
      </c>
      <c r="AF38" s="8">
        <f t="shared" si="9"/>
        <v>87</v>
      </c>
      <c r="AG38" s="8">
        <f t="shared" si="10"/>
        <v>87</v>
      </c>
      <c r="AH38" s="97">
        <f t="shared" si="51"/>
        <v>4</v>
      </c>
      <c r="AI38" s="97">
        <f t="shared" si="52"/>
        <v>4</v>
      </c>
      <c r="AJ38" s="8">
        <f t="shared" si="13"/>
        <v>87</v>
      </c>
      <c r="AK38" s="97">
        <f t="shared" si="53"/>
        <v>8</v>
      </c>
      <c r="AL38" s="8">
        <f t="shared" si="15"/>
        <v>3500</v>
      </c>
      <c r="AM38" s="8">
        <f t="shared" si="16"/>
        <v>14000</v>
      </c>
      <c r="AN38" s="97">
        <f t="shared" si="54"/>
        <v>4</v>
      </c>
      <c r="AO38" s="97">
        <f t="shared" si="55"/>
        <v>4</v>
      </c>
      <c r="AP38" s="97">
        <f t="shared" si="56"/>
        <v>160</v>
      </c>
    </row>
    <row r="39" spans="1:42" ht="16.5" x14ac:dyDescent="0.3">
      <c r="A39" s="22" t="s">
        <v>2278</v>
      </c>
      <c r="B39" s="23" t="s">
        <v>2314</v>
      </c>
      <c r="C39" s="22">
        <v>35</v>
      </c>
      <c r="D39" s="22"/>
      <c r="E39" s="22"/>
      <c r="F39" s="98">
        <f t="shared" si="37"/>
        <v>44</v>
      </c>
      <c r="G39" s="101">
        <f t="shared" si="38"/>
        <v>87</v>
      </c>
      <c r="H39" s="98">
        <f t="shared" si="39"/>
        <v>44</v>
      </c>
      <c r="I39" s="101">
        <f t="shared" si="40"/>
        <v>87</v>
      </c>
      <c r="J39" s="98">
        <f t="shared" si="41"/>
        <v>44</v>
      </c>
      <c r="K39" s="101">
        <f t="shared" si="42"/>
        <v>87</v>
      </c>
      <c r="L39" s="101"/>
      <c r="M39" s="101"/>
      <c r="N39" s="101"/>
      <c r="O39" s="101"/>
      <c r="P39" s="69" t="str">
        <f t="shared" si="22"/>
        <v>HPMP%20</v>
      </c>
      <c r="Q39" s="100" t="str">
        <f t="shared" si="21"/>
        <v>龙晶碎片128/元宝128000</v>
      </c>
      <c r="R39" s="97">
        <v>36</v>
      </c>
      <c r="S39" s="158"/>
      <c r="T39" s="158">
        <f t="shared" si="0"/>
        <v>3600</v>
      </c>
      <c r="U39" s="158">
        <f t="shared" si="1"/>
        <v>14400</v>
      </c>
      <c r="V39" s="158">
        <f t="shared" si="2"/>
        <v>180</v>
      </c>
      <c r="W39" s="158">
        <f t="shared" si="3"/>
        <v>180</v>
      </c>
      <c r="X39" s="158">
        <f>T39*属性价值参考!C$5+附件合成!U39*属性价值参考!C$6+附件合成!V39*(属性价值参考!C$7+属性价值参考!C$8)+附件合成!W39*(属性价值参考!C$9+属性价值参考!C$10)</f>
        <v>54993.599999999999</v>
      </c>
      <c r="Y39" s="158">
        <f>AE39*属性价值参考!C$26+附件合成!AH39*属性价值参考!C$24+附件合成!AI39*属性价值参考!C$26+附件合成!AK39*(属性价值参考!C$28+属性价值参考!C$29)+附件合成!AN39*属性价值参考!C$26+附件合成!AO39*属性价值参考!C$27+AP39*(属性价值参考!C$37+属性价值参考!C$38)</f>
        <v>9859.2000000000007</v>
      </c>
      <c r="Z39" s="158">
        <f t="shared" si="4"/>
        <v>4053.3</v>
      </c>
      <c r="AA39" s="158">
        <f t="shared" si="5"/>
        <v>4053300</v>
      </c>
      <c r="AB39" s="158">
        <f>ROUND(1/4*SUM(材料产出!$AB$13:$AB$15),0)</f>
        <v>128</v>
      </c>
      <c r="AC39" s="158">
        <f t="shared" si="43"/>
        <v>128000</v>
      </c>
      <c r="AD39" s="8">
        <f t="shared" si="7"/>
        <v>90</v>
      </c>
      <c r="AE39" s="97">
        <f t="shared" si="57"/>
        <v>20</v>
      </c>
      <c r="AF39" s="8">
        <f t="shared" si="9"/>
        <v>90</v>
      </c>
      <c r="AG39" s="8">
        <f t="shared" si="10"/>
        <v>90</v>
      </c>
      <c r="AH39" s="97">
        <f t="shared" si="51"/>
        <v>4</v>
      </c>
      <c r="AI39" s="97">
        <f t="shared" si="52"/>
        <v>4</v>
      </c>
      <c r="AJ39" s="8">
        <f t="shared" si="13"/>
        <v>90</v>
      </c>
      <c r="AK39" s="97">
        <f t="shared" si="53"/>
        <v>8</v>
      </c>
      <c r="AL39" s="8">
        <f t="shared" si="15"/>
        <v>3600</v>
      </c>
      <c r="AM39" s="8">
        <f t="shared" si="16"/>
        <v>14400</v>
      </c>
      <c r="AN39" s="97">
        <f t="shared" si="54"/>
        <v>4</v>
      </c>
      <c r="AO39" s="97">
        <f t="shared" si="55"/>
        <v>4</v>
      </c>
      <c r="AP39" s="97">
        <f t="shared" si="56"/>
        <v>160</v>
      </c>
    </row>
    <row r="40" spans="1:42" ht="16.5" x14ac:dyDescent="0.3">
      <c r="A40" s="22" t="s">
        <v>2278</v>
      </c>
      <c r="B40" s="23" t="s">
        <v>2315</v>
      </c>
      <c r="C40" s="22">
        <v>36</v>
      </c>
      <c r="D40" s="22"/>
      <c r="E40" s="22"/>
      <c r="F40" s="98">
        <f t="shared" si="37"/>
        <v>45</v>
      </c>
      <c r="G40" s="101">
        <f t="shared" si="38"/>
        <v>90</v>
      </c>
      <c r="H40" s="98">
        <f t="shared" si="39"/>
        <v>45</v>
      </c>
      <c r="I40" s="101">
        <f t="shared" si="40"/>
        <v>90</v>
      </c>
      <c r="J40" s="98">
        <f t="shared" si="41"/>
        <v>45</v>
      </c>
      <c r="K40" s="101">
        <f t="shared" si="42"/>
        <v>90</v>
      </c>
      <c r="L40" s="101"/>
      <c r="M40" s="101"/>
      <c r="N40" s="101"/>
      <c r="O40" s="101"/>
      <c r="P40" s="69" t="str">
        <f t="shared" si="22"/>
        <v>HPMP%20</v>
      </c>
      <c r="Q40" s="100" t="str">
        <f t="shared" si="21"/>
        <v>龙晶碎片128/元宝128000</v>
      </c>
      <c r="R40" s="97">
        <v>37</v>
      </c>
      <c r="S40" s="158"/>
      <c r="T40" s="158">
        <f t="shared" si="0"/>
        <v>3700</v>
      </c>
      <c r="U40" s="158">
        <f t="shared" si="1"/>
        <v>14800</v>
      </c>
      <c r="V40" s="158">
        <f t="shared" si="2"/>
        <v>185</v>
      </c>
      <c r="W40" s="158">
        <f t="shared" si="3"/>
        <v>185</v>
      </c>
      <c r="X40" s="158">
        <f>T40*属性价值参考!C$5+附件合成!U40*属性价值参考!C$6+附件合成!V40*(属性价值参考!C$7+属性价值参考!C$8)+附件合成!W40*(属性价值参考!C$9+属性价值参考!C$10)</f>
        <v>56521.2</v>
      </c>
      <c r="Y40" s="158">
        <f>AE40*属性价值参考!C$26+附件合成!AH40*属性价值参考!C$24+附件合成!AI40*属性价值参考!C$26+附件合成!AK40*(属性价值参考!C$28+属性价值参考!C$29)+附件合成!AN40*属性价值参考!C$26+附件合成!AO40*属性价值参考!C$27+AP40*(属性价值参考!C$37+属性价值参考!C$38)</f>
        <v>9859.2000000000007</v>
      </c>
      <c r="Z40" s="158">
        <f t="shared" si="4"/>
        <v>4148.7749999999996</v>
      </c>
      <c r="AA40" s="158">
        <f t="shared" si="5"/>
        <v>4148774.9999999995</v>
      </c>
      <c r="AB40" s="158">
        <f>ROUND(1/4*SUM(材料产出!$AB$13:$AB$15),0)</f>
        <v>128</v>
      </c>
      <c r="AC40" s="158">
        <f t="shared" si="43"/>
        <v>128000</v>
      </c>
      <c r="AD40" s="8">
        <f t="shared" si="7"/>
        <v>92</v>
      </c>
      <c r="AE40" s="97">
        <f t="shared" si="57"/>
        <v>20</v>
      </c>
      <c r="AF40" s="8">
        <f t="shared" si="9"/>
        <v>92</v>
      </c>
      <c r="AG40" s="8">
        <f t="shared" si="10"/>
        <v>92</v>
      </c>
      <c r="AH40" s="97">
        <f t="shared" si="51"/>
        <v>4</v>
      </c>
      <c r="AI40" s="97">
        <f t="shared" si="52"/>
        <v>4</v>
      </c>
      <c r="AJ40" s="8">
        <f t="shared" si="13"/>
        <v>92</v>
      </c>
      <c r="AK40" s="97">
        <f t="shared" si="53"/>
        <v>8</v>
      </c>
      <c r="AL40" s="8">
        <f t="shared" si="15"/>
        <v>3700</v>
      </c>
      <c r="AM40" s="8">
        <f t="shared" si="16"/>
        <v>14800</v>
      </c>
      <c r="AN40" s="97">
        <f t="shared" si="54"/>
        <v>4</v>
      </c>
      <c r="AO40" s="97">
        <f t="shared" si="55"/>
        <v>4</v>
      </c>
      <c r="AP40" s="97">
        <f t="shared" si="56"/>
        <v>160</v>
      </c>
    </row>
    <row r="41" spans="1:42" ht="16.5" x14ac:dyDescent="0.3">
      <c r="A41" s="22" t="s">
        <v>2278</v>
      </c>
      <c r="B41" s="23" t="s">
        <v>2316</v>
      </c>
      <c r="C41" s="22">
        <v>37</v>
      </c>
      <c r="D41" s="22"/>
      <c r="E41" s="22"/>
      <c r="F41" s="98">
        <f t="shared" si="37"/>
        <v>46</v>
      </c>
      <c r="G41" s="101">
        <f t="shared" si="38"/>
        <v>92</v>
      </c>
      <c r="H41" s="98">
        <f t="shared" si="39"/>
        <v>46</v>
      </c>
      <c r="I41" s="101">
        <f t="shared" si="40"/>
        <v>92</v>
      </c>
      <c r="J41" s="98">
        <f t="shared" si="41"/>
        <v>46</v>
      </c>
      <c r="K41" s="101">
        <f t="shared" si="42"/>
        <v>92</v>
      </c>
      <c r="L41" s="101"/>
      <c r="M41" s="101"/>
      <c r="N41" s="101"/>
      <c r="O41" s="101"/>
      <c r="P41" s="69" t="str">
        <f t="shared" si="22"/>
        <v>HPMP%20</v>
      </c>
      <c r="Q41" s="100" t="str">
        <f t="shared" si="21"/>
        <v>龙晶碎片128/元宝128000</v>
      </c>
      <c r="R41" s="97">
        <v>38</v>
      </c>
      <c r="S41" s="158"/>
      <c r="T41" s="158">
        <f t="shared" si="0"/>
        <v>3800</v>
      </c>
      <c r="U41" s="158">
        <f t="shared" si="1"/>
        <v>15200</v>
      </c>
      <c r="V41" s="158">
        <f t="shared" si="2"/>
        <v>190</v>
      </c>
      <c r="W41" s="158">
        <f t="shared" si="3"/>
        <v>190</v>
      </c>
      <c r="X41" s="158">
        <f>T41*属性价值参考!C$5+附件合成!U41*属性价值参考!C$6+附件合成!V41*(属性价值参考!C$7+属性价值参考!C$8)+附件合成!W41*(属性价值参考!C$9+属性价值参考!C$10)</f>
        <v>58048.800000000003</v>
      </c>
      <c r="Y41" s="158">
        <f>AE41*属性价值参考!C$26+附件合成!AH41*属性价值参考!C$24+附件合成!AI41*属性价值参考!C$26+附件合成!AK41*(属性价值参考!C$28+属性价值参考!C$29)+附件合成!AN41*属性价值参考!C$26+附件合成!AO41*属性价值参考!C$27+AP41*(属性价值参考!C$37+属性价值参考!C$38)</f>
        <v>9859.2000000000007</v>
      </c>
      <c r="Z41" s="158">
        <f t="shared" si="4"/>
        <v>4244.25</v>
      </c>
      <c r="AA41" s="158">
        <f t="shared" si="5"/>
        <v>4244250</v>
      </c>
      <c r="AB41" s="158">
        <f>ROUND(1/4*SUM(材料产出!$AB$13:$AB$15),0)</f>
        <v>128</v>
      </c>
      <c r="AC41" s="158">
        <f t="shared" si="43"/>
        <v>128000</v>
      </c>
      <c r="AD41" s="8">
        <f t="shared" si="7"/>
        <v>95</v>
      </c>
      <c r="AE41" s="97">
        <f t="shared" si="57"/>
        <v>20</v>
      </c>
      <c r="AF41" s="8">
        <f t="shared" si="9"/>
        <v>95</v>
      </c>
      <c r="AG41" s="8">
        <f t="shared" si="10"/>
        <v>95</v>
      </c>
      <c r="AH41" s="97">
        <f t="shared" si="51"/>
        <v>4</v>
      </c>
      <c r="AI41" s="97">
        <f t="shared" si="52"/>
        <v>4</v>
      </c>
      <c r="AJ41" s="8">
        <f t="shared" si="13"/>
        <v>95</v>
      </c>
      <c r="AK41" s="97">
        <f t="shared" si="53"/>
        <v>8</v>
      </c>
      <c r="AL41" s="8">
        <f t="shared" si="15"/>
        <v>3800</v>
      </c>
      <c r="AM41" s="8">
        <f t="shared" si="16"/>
        <v>15200</v>
      </c>
      <c r="AN41" s="97">
        <f t="shared" si="54"/>
        <v>4</v>
      </c>
      <c r="AO41" s="97">
        <f t="shared" si="55"/>
        <v>4</v>
      </c>
      <c r="AP41" s="97">
        <f t="shared" si="56"/>
        <v>160</v>
      </c>
    </row>
    <row r="42" spans="1:42" ht="16.5" x14ac:dyDescent="0.3">
      <c r="A42" s="22" t="s">
        <v>2278</v>
      </c>
      <c r="B42" s="23" t="s">
        <v>2317</v>
      </c>
      <c r="C42" s="22">
        <v>38</v>
      </c>
      <c r="D42" s="22"/>
      <c r="E42" s="22"/>
      <c r="F42" s="98">
        <f t="shared" si="37"/>
        <v>48</v>
      </c>
      <c r="G42" s="101">
        <f t="shared" si="38"/>
        <v>95</v>
      </c>
      <c r="H42" s="98">
        <f t="shared" si="39"/>
        <v>48</v>
      </c>
      <c r="I42" s="101">
        <f t="shared" si="40"/>
        <v>95</v>
      </c>
      <c r="J42" s="98">
        <f t="shared" si="41"/>
        <v>48</v>
      </c>
      <c r="K42" s="101">
        <f t="shared" si="42"/>
        <v>95</v>
      </c>
      <c r="L42" s="101"/>
      <c r="M42" s="101"/>
      <c r="N42" s="101"/>
      <c r="O42" s="101"/>
      <c r="P42" s="69" t="str">
        <f t="shared" si="22"/>
        <v>HPMP%20</v>
      </c>
      <c r="Q42" s="100" t="str">
        <f t="shared" si="21"/>
        <v>龙晶碎片128/元宝128000</v>
      </c>
      <c r="R42" s="97">
        <v>39</v>
      </c>
      <c r="S42" s="158"/>
      <c r="T42" s="158">
        <f t="shared" si="0"/>
        <v>3900</v>
      </c>
      <c r="U42" s="158">
        <f t="shared" si="1"/>
        <v>15600</v>
      </c>
      <c r="V42" s="158">
        <f t="shared" si="2"/>
        <v>195</v>
      </c>
      <c r="W42" s="158">
        <f t="shared" si="3"/>
        <v>195</v>
      </c>
      <c r="X42" s="158">
        <f>T42*属性价值参考!C$5+附件合成!U42*属性价值参考!C$6+附件合成!V42*(属性价值参考!C$7+属性价值参考!C$8)+附件合成!W42*(属性价值参考!C$9+属性价值参考!C$10)</f>
        <v>59576.399999999994</v>
      </c>
      <c r="Y42" s="158">
        <f>AE42*属性价值参考!C$26+附件合成!AH42*属性价值参考!C$24+附件合成!AI42*属性价值参考!C$26+附件合成!AK42*(属性价值参考!C$28+属性价值参考!C$29)+附件合成!AN42*属性价值参考!C$26+附件合成!AO42*属性价值参考!C$27+AP42*(属性价值参考!C$37+属性价值参考!C$38)</f>
        <v>9859.2000000000007</v>
      </c>
      <c r="Z42" s="158">
        <f t="shared" si="4"/>
        <v>4339.7249999999995</v>
      </c>
      <c r="AA42" s="158">
        <f t="shared" si="5"/>
        <v>4339724.9999999991</v>
      </c>
      <c r="AB42" s="158">
        <f>ROUND(1/4*SUM(材料产出!$AB$13:$AB$15),0)</f>
        <v>128</v>
      </c>
      <c r="AC42" s="158">
        <f t="shared" si="43"/>
        <v>128000</v>
      </c>
      <c r="AD42" s="8">
        <f t="shared" si="7"/>
        <v>97</v>
      </c>
      <c r="AE42" s="97">
        <f t="shared" si="57"/>
        <v>20</v>
      </c>
      <c r="AF42" s="8">
        <f t="shared" si="9"/>
        <v>97</v>
      </c>
      <c r="AG42" s="8">
        <f t="shared" si="10"/>
        <v>97</v>
      </c>
      <c r="AH42" s="97">
        <f t="shared" si="51"/>
        <v>4</v>
      </c>
      <c r="AI42" s="97">
        <f t="shared" si="52"/>
        <v>4</v>
      </c>
      <c r="AJ42" s="8">
        <f t="shared" si="13"/>
        <v>97</v>
      </c>
      <c r="AK42" s="97">
        <f t="shared" si="53"/>
        <v>8</v>
      </c>
      <c r="AL42" s="8">
        <f t="shared" si="15"/>
        <v>3900</v>
      </c>
      <c r="AM42" s="8">
        <f t="shared" si="16"/>
        <v>15600</v>
      </c>
      <c r="AN42" s="97">
        <f t="shared" si="54"/>
        <v>4</v>
      </c>
      <c r="AO42" s="97">
        <f t="shared" si="55"/>
        <v>4</v>
      </c>
      <c r="AP42" s="97">
        <f t="shared" si="56"/>
        <v>160</v>
      </c>
    </row>
    <row r="43" spans="1:42" ht="16.5" x14ac:dyDescent="0.3">
      <c r="A43" s="22" t="s">
        <v>2278</v>
      </c>
      <c r="B43" s="23" t="s">
        <v>2318</v>
      </c>
      <c r="C43" s="22">
        <v>39</v>
      </c>
      <c r="D43" s="22"/>
      <c r="E43" s="22"/>
      <c r="F43" s="98">
        <f t="shared" si="37"/>
        <v>49</v>
      </c>
      <c r="G43" s="101">
        <f t="shared" si="38"/>
        <v>97</v>
      </c>
      <c r="H43" s="98">
        <f t="shared" si="39"/>
        <v>49</v>
      </c>
      <c r="I43" s="101">
        <f t="shared" si="40"/>
        <v>97</v>
      </c>
      <c r="J43" s="98">
        <f t="shared" si="41"/>
        <v>49</v>
      </c>
      <c r="K43" s="101">
        <f t="shared" si="42"/>
        <v>97</v>
      </c>
      <c r="L43" s="101"/>
      <c r="M43" s="101"/>
      <c r="N43" s="101"/>
      <c r="O43" s="101"/>
      <c r="P43" s="69" t="str">
        <f t="shared" si="22"/>
        <v>HPMP%20</v>
      </c>
      <c r="Q43" s="100" t="str">
        <f t="shared" si="21"/>
        <v>龙晶碎片128/元宝128000</v>
      </c>
      <c r="R43" s="97">
        <v>40</v>
      </c>
      <c r="S43" s="206">
        <f>材料产出!C13</f>
        <v>1.5</v>
      </c>
      <c r="T43" s="158">
        <f t="shared" si="0"/>
        <v>4000</v>
      </c>
      <c r="U43" s="158">
        <f t="shared" si="1"/>
        <v>16000</v>
      </c>
      <c r="V43" s="158">
        <f t="shared" si="2"/>
        <v>200</v>
      </c>
      <c r="W43" s="158">
        <f t="shared" si="3"/>
        <v>200</v>
      </c>
      <c r="X43" s="158">
        <f>T43*属性价值参考!C$5+附件合成!U43*属性价值参考!C$6+附件合成!V43*(属性价值参考!C$7+属性价值参考!C$8)+附件合成!W43*(属性价值参考!C$9+属性价值参考!C$10)</f>
        <v>61104</v>
      </c>
      <c r="Y43" s="158">
        <f>AE43*属性价值参考!C$26+附件合成!AH43*属性价值参考!C$24+附件合成!AI43*属性价值参考!C$26+附件合成!AK43*(属性价值参考!C$28+属性价值参考!C$29)+附件合成!AN43*属性价值参考!C$26+附件合成!AO43*属性价值参考!C$27+AP43*(属性价值参考!C$37+属性价值参考!C$38)</f>
        <v>9859.2000000000007</v>
      </c>
      <c r="Z43" s="158">
        <f t="shared" si="4"/>
        <v>4435.2</v>
      </c>
      <c r="AA43" s="158">
        <f t="shared" si="5"/>
        <v>4435200</v>
      </c>
      <c r="AB43" s="158">
        <f>ROUND(1/4*SUM(材料产出!$AB$13:$AB$15),0)</f>
        <v>128</v>
      </c>
      <c r="AC43" s="158">
        <f t="shared" si="43"/>
        <v>128000</v>
      </c>
      <c r="AD43" s="8">
        <f t="shared" si="7"/>
        <v>100</v>
      </c>
      <c r="AE43" s="97">
        <f t="shared" si="57"/>
        <v>20</v>
      </c>
      <c r="AF43" s="8">
        <f t="shared" si="9"/>
        <v>100</v>
      </c>
      <c r="AG43" s="8">
        <f t="shared" si="10"/>
        <v>100</v>
      </c>
      <c r="AH43" s="97">
        <f>4/10*$AH$103</f>
        <v>4</v>
      </c>
      <c r="AI43" s="97">
        <f>4/10*$AI$103</f>
        <v>4</v>
      </c>
      <c r="AJ43" s="8">
        <f t="shared" si="13"/>
        <v>100</v>
      </c>
      <c r="AK43" s="97">
        <f>4/10*$AK$103</f>
        <v>8</v>
      </c>
      <c r="AL43" s="8">
        <f t="shared" si="15"/>
        <v>4000</v>
      </c>
      <c r="AM43" s="8">
        <f t="shared" si="16"/>
        <v>16000</v>
      </c>
      <c r="AN43" s="97">
        <f>4/10*$AN$103</f>
        <v>4</v>
      </c>
      <c r="AO43" s="97">
        <f>4/10*$AO$103</f>
        <v>4</v>
      </c>
      <c r="AP43" s="97">
        <f>16/200*$AP$103</f>
        <v>160</v>
      </c>
    </row>
    <row r="44" spans="1:42" ht="16.5" x14ac:dyDescent="0.3">
      <c r="A44" s="22" t="s">
        <v>2278</v>
      </c>
      <c r="B44" s="23" t="s">
        <v>2319</v>
      </c>
      <c r="C44" s="22">
        <v>40</v>
      </c>
      <c r="D44" s="22"/>
      <c r="E44" s="22"/>
      <c r="F44" s="98">
        <f t="shared" si="37"/>
        <v>50</v>
      </c>
      <c r="G44" s="101">
        <f t="shared" si="38"/>
        <v>100</v>
      </c>
      <c r="H44" s="98">
        <f t="shared" si="39"/>
        <v>50</v>
      </c>
      <c r="I44" s="101">
        <f t="shared" si="40"/>
        <v>100</v>
      </c>
      <c r="J44" s="98">
        <f t="shared" si="41"/>
        <v>50</v>
      </c>
      <c r="K44" s="101">
        <f t="shared" si="42"/>
        <v>100</v>
      </c>
      <c r="L44" s="101"/>
      <c r="M44" s="101"/>
      <c r="N44" s="101"/>
      <c r="O44" s="101"/>
      <c r="P44" s="69" t="str">
        <f t="shared" si="22"/>
        <v>HPMP%20</v>
      </c>
      <c r="Q44" s="100" t="str">
        <f t="shared" si="21"/>
        <v>龙晶碎片383/元宝383000</v>
      </c>
      <c r="R44" s="191">
        <v>41</v>
      </c>
      <c r="S44" s="207"/>
      <c r="T44" s="158">
        <f t="shared" si="0"/>
        <v>4100</v>
      </c>
      <c r="U44" s="158">
        <f t="shared" si="1"/>
        <v>16400</v>
      </c>
      <c r="V44" s="158">
        <f t="shared" si="2"/>
        <v>205</v>
      </c>
      <c r="W44" s="158">
        <f t="shared" si="3"/>
        <v>205</v>
      </c>
      <c r="X44" s="158">
        <f>T44*属性价值参考!C$5+附件合成!U44*属性价值参考!C$6+附件合成!V44*(属性价值参考!C$7+属性价值参考!C$8)+附件合成!W44*(属性价值参考!C$9+属性价值参考!C$10)</f>
        <v>62631.6</v>
      </c>
      <c r="Y44" s="158">
        <f>AE44*属性价值参考!C$26+附件合成!AH44*属性价值参考!C$24+附件合成!AI44*属性价值参考!C$26+附件合成!AK44*(属性价值参考!C$28+属性价值参考!C$29)+附件合成!AN44*属性价值参考!C$26+附件合成!AO44*属性价值参考!C$27+AP44*(属性价值参考!C$37+属性价值参考!C$38)</f>
        <v>14922</v>
      </c>
      <c r="Z44" s="158">
        <f t="shared" si="4"/>
        <v>4847.1000000000004</v>
      </c>
      <c r="AA44" s="158">
        <f t="shared" si="5"/>
        <v>4847100</v>
      </c>
      <c r="AB44" s="158">
        <f>ROUND(1/4*SUM(材料产出!$AB$16:$AB$18),0)</f>
        <v>383</v>
      </c>
      <c r="AC44" s="158">
        <f t="shared" si="43"/>
        <v>383000</v>
      </c>
      <c r="AD44" s="104">
        <f t="shared" si="7"/>
        <v>102</v>
      </c>
      <c r="AE44" s="105">
        <f t="shared" si="57"/>
        <v>20</v>
      </c>
      <c r="AF44" s="104">
        <f t="shared" si="9"/>
        <v>102</v>
      </c>
      <c r="AG44" s="104">
        <f t="shared" si="10"/>
        <v>102</v>
      </c>
      <c r="AH44" s="97">
        <f t="shared" ref="AH44:AH52" si="58">5/10*$AH$103</f>
        <v>5</v>
      </c>
      <c r="AI44" s="97">
        <f t="shared" ref="AI44:AI52" si="59">5/10*$AI$103</f>
        <v>5</v>
      </c>
      <c r="AJ44" s="104">
        <f t="shared" si="13"/>
        <v>102</v>
      </c>
      <c r="AK44" s="97">
        <f t="shared" ref="AK44:AK52" si="60">5/10*$AK$103</f>
        <v>10</v>
      </c>
      <c r="AL44" s="104">
        <f t="shared" si="15"/>
        <v>4100</v>
      </c>
      <c r="AM44" s="104">
        <f t="shared" si="16"/>
        <v>16400</v>
      </c>
      <c r="AN44" s="97">
        <f t="shared" ref="AN44:AN52" si="61">5/10*$AN$103</f>
        <v>5</v>
      </c>
      <c r="AO44" s="97">
        <f t="shared" ref="AO44:AO52" si="62">5/10*$AO$103</f>
        <v>5</v>
      </c>
      <c r="AP44" s="97">
        <f t="shared" ref="AP44:AP52" si="63">3/20*$AP$103</f>
        <v>300</v>
      </c>
    </row>
    <row r="45" spans="1:42" ht="16.5" x14ac:dyDescent="0.3">
      <c r="A45" s="22" t="s">
        <v>2278</v>
      </c>
      <c r="B45" s="23" t="s">
        <v>2320</v>
      </c>
      <c r="C45" s="22">
        <v>41</v>
      </c>
      <c r="D45" s="22"/>
      <c r="E45" s="22"/>
      <c r="F45" s="98">
        <f t="shared" si="37"/>
        <v>51</v>
      </c>
      <c r="G45" s="101">
        <f t="shared" si="38"/>
        <v>102</v>
      </c>
      <c r="H45" s="98">
        <f t="shared" si="39"/>
        <v>51</v>
      </c>
      <c r="I45" s="101">
        <f t="shared" si="40"/>
        <v>102</v>
      </c>
      <c r="J45" s="98">
        <f t="shared" si="41"/>
        <v>51</v>
      </c>
      <c r="K45" s="101">
        <f t="shared" si="42"/>
        <v>102</v>
      </c>
      <c r="L45" s="101"/>
      <c r="M45" s="101"/>
      <c r="N45" s="101"/>
      <c r="O45" s="101"/>
      <c r="P45" s="69" t="str">
        <f t="shared" si="22"/>
        <v>HPMP%20</v>
      </c>
      <c r="Q45" s="100" t="str">
        <f t="shared" si="21"/>
        <v>龙晶碎片383/元宝383000</v>
      </c>
      <c r="R45" s="97">
        <v>42</v>
      </c>
      <c r="S45" s="158"/>
      <c r="T45" s="158">
        <f t="shared" si="0"/>
        <v>4200</v>
      </c>
      <c r="U45" s="158">
        <f t="shared" si="1"/>
        <v>16800</v>
      </c>
      <c r="V45" s="158">
        <f t="shared" si="2"/>
        <v>210</v>
      </c>
      <c r="W45" s="158">
        <f t="shared" si="3"/>
        <v>210</v>
      </c>
      <c r="X45" s="158">
        <f>T45*属性价值参考!C$5+附件合成!U45*属性价值参考!C$6+附件合成!V45*(属性价值参考!C$7+属性价值参考!C$8)+附件合成!W45*(属性价值参考!C$9+属性价值参考!C$10)</f>
        <v>64159.199999999997</v>
      </c>
      <c r="Y45" s="158">
        <f>AE45*属性价值参考!C$26+附件合成!AH45*属性价值参考!C$24+附件合成!AI45*属性价值参考!C$26+附件合成!AK45*(属性价值参考!C$28+属性价值参考!C$29)+附件合成!AN45*属性价值参考!C$26+附件合成!AO45*属性价值参考!C$27+AP45*(属性价值参考!C$37+属性价值参考!C$38)</f>
        <v>15246</v>
      </c>
      <c r="Z45" s="158">
        <f t="shared" si="4"/>
        <v>4962.8249999999998</v>
      </c>
      <c r="AA45" s="158">
        <f t="shared" si="5"/>
        <v>4962825</v>
      </c>
      <c r="AB45" s="158">
        <f>ROUND(1/4*SUM(材料产出!$AB$16:$AB$18),0)</f>
        <v>383</v>
      </c>
      <c r="AC45" s="158">
        <f t="shared" si="43"/>
        <v>383000</v>
      </c>
      <c r="AD45" s="8">
        <f t="shared" si="7"/>
        <v>105</v>
      </c>
      <c r="AE45" s="97">
        <f t="shared" ref="AE45:AE54" si="64">25/50*$AE$103</f>
        <v>25</v>
      </c>
      <c r="AF45" s="8">
        <f t="shared" si="9"/>
        <v>105</v>
      </c>
      <c r="AG45" s="8">
        <f t="shared" si="10"/>
        <v>105</v>
      </c>
      <c r="AH45" s="97">
        <f t="shared" si="58"/>
        <v>5</v>
      </c>
      <c r="AI45" s="97">
        <f t="shared" si="59"/>
        <v>5</v>
      </c>
      <c r="AJ45" s="8">
        <f t="shared" si="13"/>
        <v>105</v>
      </c>
      <c r="AK45" s="97">
        <f t="shared" si="60"/>
        <v>10</v>
      </c>
      <c r="AL45" s="8">
        <f t="shared" si="15"/>
        <v>4200</v>
      </c>
      <c r="AM45" s="8">
        <f t="shared" si="16"/>
        <v>16800</v>
      </c>
      <c r="AN45" s="97">
        <f t="shared" si="61"/>
        <v>5</v>
      </c>
      <c r="AO45" s="97">
        <f t="shared" si="62"/>
        <v>5</v>
      </c>
      <c r="AP45" s="97">
        <f t="shared" si="63"/>
        <v>300</v>
      </c>
    </row>
    <row r="46" spans="1:42" ht="16.5" x14ac:dyDescent="0.3">
      <c r="A46" s="22" t="s">
        <v>2278</v>
      </c>
      <c r="B46" s="23" t="s">
        <v>2321</v>
      </c>
      <c r="C46" s="22">
        <v>42</v>
      </c>
      <c r="D46" s="22"/>
      <c r="E46" s="22"/>
      <c r="F46" s="98">
        <f t="shared" si="37"/>
        <v>53</v>
      </c>
      <c r="G46" s="101">
        <f t="shared" si="38"/>
        <v>105</v>
      </c>
      <c r="H46" s="98">
        <f t="shared" si="39"/>
        <v>53</v>
      </c>
      <c r="I46" s="101">
        <f t="shared" si="40"/>
        <v>105</v>
      </c>
      <c r="J46" s="98">
        <f t="shared" si="41"/>
        <v>53</v>
      </c>
      <c r="K46" s="101">
        <f t="shared" si="42"/>
        <v>105</v>
      </c>
      <c r="L46" s="101"/>
      <c r="M46" s="101"/>
      <c r="N46" s="101"/>
      <c r="O46" s="101"/>
      <c r="P46" s="69" t="str">
        <f t="shared" si="22"/>
        <v>HPMP%25</v>
      </c>
      <c r="Q46" s="100" t="str">
        <f t="shared" si="21"/>
        <v>龙晶碎片383/元宝383000</v>
      </c>
      <c r="R46" s="97">
        <v>43</v>
      </c>
      <c r="S46" s="158"/>
      <c r="T46" s="158">
        <f t="shared" si="0"/>
        <v>4300</v>
      </c>
      <c r="U46" s="158">
        <f t="shared" si="1"/>
        <v>17200</v>
      </c>
      <c r="V46" s="158">
        <f t="shared" si="2"/>
        <v>215</v>
      </c>
      <c r="W46" s="158">
        <f t="shared" si="3"/>
        <v>215</v>
      </c>
      <c r="X46" s="158">
        <f>T46*属性价值参考!C$5+附件合成!U46*属性价值参考!C$6+附件合成!V46*(属性价值参考!C$7+属性价值参考!C$8)+附件合成!W46*(属性价值参考!C$9+属性价值参考!C$10)</f>
        <v>65686.8</v>
      </c>
      <c r="Y46" s="158">
        <f>AE46*属性价值参考!C$26+附件合成!AH46*属性价值参考!C$24+附件合成!AI46*属性价值参考!C$26+附件合成!AK46*(属性价值参考!C$28+属性价值参考!C$29)+附件合成!AN46*属性价值参考!C$26+附件合成!AO46*属性价值参考!C$27+AP46*(属性价值参考!C$37+属性价值参考!C$38)</f>
        <v>15246</v>
      </c>
      <c r="Z46" s="158">
        <f t="shared" si="4"/>
        <v>5058.3</v>
      </c>
      <c r="AA46" s="158">
        <f t="shared" si="5"/>
        <v>5058300</v>
      </c>
      <c r="AB46" s="158">
        <f>ROUND(1/4*SUM(材料产出!$AB$16:$AB$18),0)</f>
        <v>383</v>
      </c>
      <c r="AC46" s="158">
        <f t="shared" si="43"/>
        <v>383000</v>
      </c>
      <c r="AD46" s="8">
        <f t="shared" si="7"/>
        <v>107</v>
      </c>
      <c r="AE46" s="97">
        <f t="shared" si="64"/>
        <v>25</v>
      </c>
      <c r="AF46" s="8">
        <f t="shared" si="9"/>
        <v>107</v>
      </c>
      <c r="AG46" s="8">
        <f t="shared" si="10"/>
        <v>107</v>
      </c>
      <c r="AH46" s="97">
        <f t="shared" si="58"/>
        <v>5</v>
      </c>
      <c r="AI46" s="97">
        <f t="shared" si="59"/>
        <v>5</v>
      </c>
      <c r="AJ46" s="8">
        <f t="shared" si="13"/>
        <v>107</v>
      </c>
      <c r="AK46" s="97">
        <f t="shared" si="60"/>
        <v>10</v>
      </c>
      <c r="AL46" s="8">
        <f t="shared" si="15"/>
        <v>4300</v>
      </c>
      <c r="AM46" s="8">
        <f t="shared" si="16"/>
        <v>17200</v>
      </c>
      <c r="AN46" s="97">
        <f t="shared" si="61"/>
        <v>5</v>
      </c>
      <c r="AO46" s="97">
        <f t="shared" si="62"/>
        <v>5</v>
      </c>
      <c r="AP46" s="97">
        <f t="shared" si="63"/>
        <v>300</v>
      </c>
    </row>
    <row r="47" spans="1:42" ht="16.5" x14ac:dyDescent="0.3">
      <c r="A47" s="22" t="s">
        <v>2278</v>
      </c>
      <c r="B47" s="23" t="s">
        <v>2322</v>
      </c>
      <c r="C47" s="22">
        <v>43</v>
      </c>
      <c r="D47" s="22"/>
      <c r="E47" s="22"/>
      <c r="F47" s="98">
        <f t="shared" si="37"/>
        <v>54</v>
      </c>
      <c r="G47" s="101">
        <f t="shared" si="38"/>
        <v>107</v>
      </c>
      <c r="H47" s="98">
        <f t="shared" si="39"/>
        <v>54</v>
      </c>
      <c r="I47" s="101">
        <f t="shared" si="40"/>
        <v>107</v>
      </c>
      <c r="J47" s="98">
        <f t="shared" si="41"/>
        <v>54</v>
      </c>
      <c r="K47" s="101">
        <f t="shared" si="42"/>
        <v>107</v>
      </c>
      <c r="L47" s="101"/>
      <c r="M47" s="101"/>
      <c r="N47" s="101"/>
      <c r="O47" s="101"/>
      <c r="P47" s="69" t="str">
        <f t="shared" si="22"/>
        <v>HPMP%25</v>
      </c>
      <c r="Q47" s="100" t="str">
        <f t="shared" si="21"/>
        <v>龙晶碎片383/元宝383000</v>
      </c>
      <c r="R47" s="97">
        <v>44</v>
      </c>
      <c r="S47" s="158"/>
      <c r="T47" s="158">
        <f t="shared" si="0"/>
        <v>4400</v>
      </c>
      <c r="U47" s="158">
        <f t="shared" si="1"/>
        <v>17600</v>
      </c>
      <c r="V47" s="158">
        <f t="shared" si="2"/>
        <v>220</v>
      </c>
      <c r="W47" s="158">
        <f t="shared" si="3"/>
        <v>220</v>
      </c>
      <c r="X47" s="158">
        <f>T47*属性价值参考!C$5+附件合成!U47*属性价值参考!C$6+附件合成!V47*(属性价值参考!C$7+属性价值参考!C$8)+附件合成!W47*(属性价值参考!C$9+属性价值参考!C$10)</f>
        <v>67214.399999999994</v>
      </c>
      <c r="Y47" s="158">
        <f>AE47*属性价值参考!C$26+附件合成!AH47*属性价值参考!C$24+附件合成!AI47*属性价值参考!C$26+附件合成!AK47*(属性价值参考!C$28+属性价值参考!C$29)+附件合成!AN47*属性价值参考!C$26+附件合成!AO47*属性价值参考!C$27+AP47*(属性价值参考!C$37+属性价值参考!C$38)</f>
        <v>15246</v>
      </c>
      <c r="Z47" s="158">
        <f t="shared" si="4"/>
        <v>5153.7749999999996</v>
      </c>
      <c r="AA47" s="158">
        <f t="shared" si="5"/>
        <v>5153775</v>
      </c>
      <c r="AB47" s="158">
        <f>ROUND(1/4*SUM(材料产出!$AB$16:$AB$18),0)</f>
        <v>383</v>
      </c>
      <c r="AC47" s="158">
        <f t="shared" si="43"/>
        <v>383000</v>
      </c>
      <c r="AD47" s="8">
        <f t="shared" si="7"/>
        <v>110</v>
      </c>
      <c r="AE47" s="97">
        <f t="shared" si="64"/>
        <v>25</v>
      </c>
      <c r="AF47" s="8">
        <f t="shared" si="9"/>
        <v>110</v>
      </c>
      <c r="AG47" s="8">
        <f t="shared" si="10"/>
        <v>110</v>
      </c>
      <c r="AH47" s="97">
        <f t="shared" si="58"/>
        <v>5</v>
      </c>
      <c r="AI47" s="97">
        <f t="shared" si="59"/>
        <v>5</v>
      </c>
      <c r="AJ47" s="8">
        <f t="shared" si="13"/>
        <v>110</v>
      </c>
      <c r="AK47" s="97">
        <f t="shared" si="60"/>
        <v>10</v>
      </c>
      <c r="AL47" s="8">
        <f t="shared" si="15"/>
        <v>4400</v>
      </c>
      <c r="AM47" s="8">
        <f t="shared" si="16"/>
        <v>17600</v>
      </c>
      <c r="AN47" s="97">
        <f t="shared" si="61"/>
        <v>5</v>
      </c>
      <c r="AO47" s="97">
        <f t="shared" si="62"/>
        <v>5</v>
      </c>
      <c r="AP47" s="97">
        <f t="shared" si="63"/>
        <v>300</v>
      </c>
    </row>
    <row r="48" spans="1:42" ht="16.5" x14ac:dyDescent="0.3">
      <c r="A48" s="22" t="s">
        <v>2278</v>
      </c>
      <c r="B48" s="23" t="s">
        <v>2323</v>
      </c>
      <c r="C48" s="22">
        <v>44</v>
      </c>
      <c r="D48" s="22"/>
      <c r="E48" s="22"/>
      <c r="F48" s="98">
        <f t="shared" si="37"/>
        <v>55</v>
      </c>
      <c r="G48" s="101">
        <f t="shared" si="38"/>
        <v>110</v>
      </c>
      <c r="H48" s="98">
        <f t="shared" si="39"/>
        <v>55</v>
      </c>
      <c r="I48" s="101">
        <f t="shared" si="40"/>
        <v>110</v>
      </c>
      <c r="J48" s="98">
        <f t="shared" si="41"/>
        <v>55</v>
      </c>
      <c r="K48" s="101">
        <f t="shared" si="42"/>
        <v>110</v>
      </c>
      <c r="L48" s="101"/>
      <c r="M48" s="101"/>
      <c r="N48" s="101"/>
      <c r="O48" s="101"/>
      <c r="P48" s="69" t="str">
        <f t="shared" si="22"/>
        <v>HPMP%25</v>
      </c>
      <c r="Q48" s="100" t="str">
        <f t="shared" si="21"/>
        <v>龙晶碎片383/元宝383000</v>
      </c>
      <c r="R48" s="97">
        <v>45</v>
      </c>
      <c r="S48" s="158"/>
      <c r="T48" s="158">
        <f t="shared" si="0"/>
        <v>4500</v>
      </c>
      <c r="U48" s="158">
        <f t="shared" si="1"/>
        <v>18000</v>
      </c>
      <c r="V48" s="158">
        <f t="shared" si="2"/>
        <v>225</v>
      </c>
      <c r="W48" s="158">
        <f t="shared" si="3"/>
        <v>225</v>
      </c>
      <c r="X48" s="158">
        <f>T48*属性价值参考!C$5+附件合成!U48*属性价值参考!C$6+附件合成!V48*(属性价值参考!C$7+属性价值参考!C$8)+附件合成!W48*(属性价值参考!C$9+属性价值参考!C$10)</f>
        <v>68742</v>
      </c>
      <c r="Y48" s="158">
        <f>AE48*属性价值参考!C$26+附件合成!AH48*属性价值参考!C$24+附件合成!AI48*属性价值参考!C$26+附件合成!AK48*(属性价值参考!C$28+属性价值参考!C$29)+附件合成!AN48*属性价值参考!C$26+附件合成!AO48*属性价值参考!C$27+AP48*(属性价值参考!C$37+属性价值参考!C$38)</f>
        <v>15246</v>
      </c>
      <c r="Z48" s="158">
        <f t="shared" si="4"/>
        <v>5249.25</v>
      </c>
      <c r="AA48" s="158">
        <f t="shared" si="5"/>
        <v>5249250</v>
      </c>
      <c r="AB48" s="158">
        <f>ROUND(1/4*SUM(材料产出!$AB$16:$AB$18),0)</f>
        <v>383</v>
      </c>
      <c r="AC48" s="158">
        <f t="shared" si="43"/>
        <v>383000</v>
      </c>
      <c r="AD48" s="8">
        <f t="shared" si="7"/>
        <v>112</v>
      </c>
      <c r="AE48" s="97">
        <f t="shared" si="64"/>
        <v>25</v>
      </c>
      <c r="AF48" s="8">
        <f t="shared" si="9"/>
        <v>112</v>
      </c>
      <c r="AG48" s="8">
        <f t="shared" si="10"/>
        <v>112</v>
      </c>
      <c r="AH48" s="97">
        <f t="shared" si="58"/>
        <v>5</v>
      </c>
      <c r="AI48" s="97">
        <f t="shared" si="59"/>
        <v>5</v>
      </c>
      <c r="AJ48" s="8">
        <f t="shared" si="13"/>
        <v>112</v>
      </c>
      <c r="AK48" s="97">
        <f t="shared" si="60"/>
        <v>10</v>
      </c>
      <c r="AL48" s="8">
        <f t="shared" si="15"/>
        <v>4500</v>
      </c>
      <c r="AM48" s="8">
        <f t="shared" si="16"/>
        <v>18000</v>
      </c>
      <c r="AN48" s="97">
        <f t="shared" si="61"/>
        <v>5</v>
      </c>
      <c r="AO48" s="97">
        <f t="shared" si="62"/>
        <v>5</v>
      </c>
      <c r="AP48" s="97">
        <f t="shared" si="63"/>
        <v>300</v>
      </c>
    </row>
    <row r="49" spans="1:42" ht="16.5" x14ac:dyDescent="0.3">
      <c r="A49" s="22" t="s">
        <v>2278</v>
      </c>
      <c r="B49" s="23" t="s">
        <v>2324</v>
      </c>
      <c r="C49" s="22">
        <v>45</v>
      </c>
      <c r="D49" s="22"/>
      <c r="E49" s="22"/>
      <c r="F49" s="98">
        <f t="shared" si="37"/>
        <v>56</v>
      </c>
      <c r="G49" s="101">
        <f t="shared" si="38"/>
        <v>112</v>
      </c>
      <c r="H49" s="98">
        <f t="shared" si="39"/>
        <v>56</v>
      </c>
      <c r="I49" s="101">
        <f t="shared" si="40"/>
        <v>112</v>
      </c>
      <c r="J49" s="98">
        <f t="shared" si="41"/>
        <v>56</v>
      </c>
      <c r="K49" s="101">
        <f t="shared" si="42"/>
        <v>112</v>
      </c>
      <c r="L49" s="101"/>
      <c r="M49" s="101"/>
      <c r="N49" s="101"/>
      <c r="O49" s="101"/>
      <c r="P49" s="69" t="str">
        <f t="shared" si="22"/>
        <v>HPMP%25</v>
      </c>
      <c r="Q49" s="100" t="str">
        <f t="shared" si="21"/>
        <v>龙晶碎片383/元宝383000</v>
      </c>
      <c r="R49" s="97">
        <v>46</v>
      </c>
      <c r="S49" s="158"/>
      <c r="T49" s="158">
        <f t="shared" si="0"/>
        <v>4600</v>
      </c>
      <c r="U49" s="158">
        <f t="shared" si="1"/>
        <v>18400</v>
      </c>
      <c r="V49" s="158">
        <f t="shared" si="2"/>
        <v>230</v>
      </c>
      <c r="W49" s="158">
        <f t="shared" si="3"/>
        <v>230</v>
      </c>
      <c r="X49" s="158">
        <f>T49*属性价值参考!C$5+附件合成!U49*属性价值参考!C$6+附件合成!V49*(属性价值参考!C$7+属性价值参考!C$8)+附件合成!W49*(属性价值参考!C$9+属性价值参考!C$10)</f>
        <v>70269.600000000006</v>
      </c>
      <c r="Y49" s="158">
        <f>AE49*属性价值参考!C$26+附件合成!AH49*属性价值参考!C$24+附件合成!AI49*属性价值参考!C$26+附件合成!AK49*(属性价值参考!C$28+属性价值参考!C$29)+附件合成!AN49*属性价值参考!C$26+附件合成!AO49*属性价值参考!C$27+AP49*(属性价值参考!C$37+属性价值参考!C$38)</f>
        <v>15246</v>
      </c>
      <c r="Z49" s="158">
        <f t="shared" si="4"/>
        <v>5344.7250000000004</v>
      </c>
      <c r="AA49" s="158">
        <f t="shared" si="5"/>
        <v>5344725</v>
      </c>
      <c r="AB49" s="158">
        <f>ROUND(1/4*SUM(材料产出!$AB$16:$AB$18),0)</f>
        <v>383</v>
      </c>
      <c r="AC49" s="158">
        <f t="shared" si="43"/>
        <v>383000</v>
      </c>
      <c r="AD49" s="8">
        <f t="shared" si="7"/>
        <v>115</v>
      </c>
      <c r="AE49" s="97">
        <f t="shared" si="64"/>
        <v>25</v>
      </c>
      <c r="AF49" s="8">
        <f t="shared" si="9"/>
        <v>115</v>
      </c>
      <c r="AG49" s="8">
        <f t="shared" si="10"/>
        <v>115</v>
      </c>
      <c r="AH49" s="97">
        <f t="shared" si="58"/>
        <v>5</v>
      </c>
      <c r="AI49" s="97">
        <f t="shared" si="59"/>
        <v>5</v>
      </c>
      <c r="AJ49" s="8">
        <f t="shared" si="13"/>
        <v>115</v>
      </c>
      <c r="AK49" s="97">
        <f t="shared" si="60"/>
        <v>10</v>
      </c>
      <c r="AL49" s="8">
        <f t="shared" si="15"/>
        <v>4600</v>
      </c>
      <c r="AM49" s="8">
        <f t="shared" si="16"/>
        <v>18400</v>
      </c>
      <c r="AN49" s="97">
        <f t="shared" si="61"/>
        <v>5</v>
      </c>
      <c r="AO49" s="97">
        <f t="shared" si="62"/>
        <v>5</v>
      </c>
      <c r="AP49" s="97">
        <f t="shared" si="63"/>
        <v>300</v>
      </c>
    </row>
    <row r="50" spans="1:42" ht="16.5" x14ac:dyDescent="0.3">
      <c r="A50" s="22" t="s">
        <v>2278</v>
      </c>
      <c r="B50" s="23" t="s">
        <v>2325</v>
      </c>
      <c r="C50" s="22">
        <v>46</v>
      </c>
      <c r="D50" s="22"/>
      <c r="E50" s="22"/>
      <c r="F50" s="98">
        <f t="shared" si="37"/>
        <v>58</v>
      </c>
      <c r="G50" s="101">
        <f t="shared" si="38"/>
        <v>115</v>
      </c>
      <c r="H50" s="98">
        <f t="shared" si="39"/>
        <v>58</v>
      </c>
      <c r="I50" s="101">
        <f t="shared" si="40"/>
        <v>115</v>
      </c>
      <c r="J50" s="98">
        <f t="shared" si="41"/>
        <v>58</v>
      </c>
      <c r="K50" s="101">
        <f t="shared" si="42"/>
        <v>115</v>
      </c>
      <c r="L50" s="101"/>
      <c r="M50" s="101"/>
      <c r="N50" s="101"/>
      <c r="O50" s="101"/>
      <c r="P50" s="69" t="str">
        <f t="shared" si="22"/>
        <v>HPMP%25</v>
      </c>
      <c r="Q50" s="100" t="str">
        <f t="shared" si="21"/>
        <v>龙晶碎片383/元宝383000</v>
      </c>
      <c r="R50" s="97">
        <v>47</v>
      </c>
      <c r="S50" s="158"/>
      <c r="T50" s="158">
        <f t="shared" si="0"/>
        <v>4700</v>
      </c>
      <c r="U50" s="158">
        <f t="shared" si="1"/>
        <v>18800</v>
      </c>
      <c r="V50" s="158">
        <f t="shared" si="2"/>
        <v>235</v>
      </c>
      <c r="W50" s="158">
        <f t="shared" si="3"/>
        <v>235</v>
      </c>
      <c r="X50" s="158">
        <f>T50*属性价值参考!C$5+附件合成!U50*属性价值参考!C$6+附件合成!V50*(属性价值参考!C$7+属性价值参考!C$8)+附件合成!W50*(属性价值参考!C$9+属性价值参考!C$10)</f>
        <v>71797.2</v>
      </c>
      <c r="Y50" s="158">
        <f>AE50*属性价值参考!C$26+附件合成!AH50*属性价值参考!C$24+附件合成!AI50*属性价值参考!C$26+附件合成!AK50*(属性价值参考!C$28+属性价值参考!C$29)+附件合成!AN50*属性价值参考!C$26+附件合成!AO50*属性价值参考!C$27+AP50*(属性价值参考!C$37+属性价值参考!C$38)</f>
        <v>15246</v>
      </c>
      <c r="Z50" s="158">
        <f t="shared" si="4"/>
        <v>5440.2</v>
      </c>
      <c r="AA50" s="158">
        <f t="shared" si="5"/>
        <v>5440200</v>
      </c>
      <c r="AB50" s="158">
        <f>ROUND(1/4*SUM(材料产出!$AB$16:$AB$18),0)</f>
        <v>383</v>
      </c>
      <c r="AC50" s="158">
        <f t="shared" si="43"/>
        <v>383000</v>
      </c>
      <c r="AD50" s="8">
        <f t="shared" si="7"/>
        <v>117</v>
      </c>
      <c r="AE50" s="97">
        <f t="shared" si="64"/>
        <v>25</v>
      </c>
      <c r="AF50" s="8">
        <f t="shared" si="9"/>
        <v>117</v>
      </c>
      <c r="AG50" s="8">
        <f t="shared" si="10"/>
        <v>117</v>
      </c>
      <c r="AH50" s="97">
        <f t="shared" si="58"/>
        <v>5</v>
      </c>
      <c r="AI50" s="97">
        <f t="shared" si="59"/>
        <v>5</v>
      </c>
      <c r="AJ50" s="8">
        <f t="shared" si="13"/>
        <v>117</v>
      </c>
      <c r="AK50" s="97">
        <f t="shared" si="60"/>
        <v>10</v>
      </c>
      <c r="AL50" s="8">
        <f t="shared" si="15"/>
        <v>4700</v>
      </c>
      <c r="AM50" s="8">
        <f t="shared" si="16"/>
        <v>18800</v>
      </c>
      <c r="AN50" s="97">
        <f t="shared" si="61"/>
        <v>5</v>
      </c>
      <c r="AO50" s="97">
        <f t="shared" si="62"/>
        <v>5</v>
      </c>
      <c r="AP50" s="97">
        <f t="shared" si="63"/>
        <v>300</v>
      </c>
    </row>
    <row r="51" spans="1:42" ht="16.5" x14ac:dyDescent="0.3">
      <c r="A51" s="22" t="s">
        <v>2278</v>
      </c>
      <c r="B51" s="23" t="s">
        <v>2326</v>
      </c>
      <c r="C51" s="22">
        <v>47</v>
      </c>
      <c r="D51" s="22"/>
      <c r="E51" s="22"/>
      <c r="F51" s="98">
        <f t="shared" si="37"/>
        <v>59</v>
      </c>
      <c r="G51" s="101">
        <f t="shared" si="38"/>
        <v>117</v>
      </c>
      <c r="H51" s="98">
        <f t="shared" si="39"/>
        <v>59</v>
      </c>
      <c r="I51" s="101">
        <f t="shared" si="40"/>
        <v>117</v>
      </c>
      <c r="J51" s="98">
        <f t="shared" si="41"/>
        <v>59</v>
      </c>
      <c r="K51" s="101">
        <f t="shared" si="42"/>
        <v>117</v>
      </c>
      <c r="L51" s="101"/>
      <c r="M51" s="101"/>
      <c r="N51" s="101"/>
      <c r="O51" s="101"/>
      <c r="P51" s="69" t="str">
        <f t="shared" si="22"/>
        <v>HPMP%25</v>
      </c>
      <c r="Q51" s="100" t="str">
        <f t="shared" si="21"/>
        <v>龙晶碎片383/元宝383000</v>
      </c>
      <c r="R51" s="97">
        <v>48</v>
      </c>
      <c r="S51" s="158"/>
      <c r="T51" s="158">
        <f t="shared" si="0"/>
        <v>4800</v>
      </c>
      <c r="U51" s="158">
        <f t="shared" si="1"/>
        <v>19200</v>
      </c>
      <c r="V51" s="158">
        <f t="shared" si="2"/>
        <v>240</v>
      </c>
      <c r="W51" s="158">
        <f t="shared" si="3"/>
        <v>240</v>
      </c>
      <c r="X51" s="158">
        <f>T51*属性价值参考!C$5+附件合成!U51*属性价值参考!C$6+附件合成!V51*(属性价值参考!C$7+属性价值参考!C$8)+附件合成!W51*(属性价值参考!C$9+属性价值参考!C$10)</f>
        <v>73324.800000000003</v>
      </c>
      <c r="Y51" s="158">
        <f>AE51*属性价值参考!C$26+附件合成!AH51*属性价值参考!C$24+附件合成!AI51*属性价值参考!C$26+附件合成!AK51*(属性价值参考!C$28+属性价值参考!C$29)+附件合成!AN51*属性价值参考!C$26+附件合成!AO51*属性价值参考!C$27+AP51*(属性价值参考!C$37+属性价值参考!C$38)</f>
        <v>15246</v>
      </c>
      <c r="Z51" s="158">
        <f t="shared" si="4"/>
        <v>5535.6750000000002</v>
      </c>
      <c r="AA51" s="158">
        <f t="shared" si="5"/>
        <v>5535675</v>
      </c>
      <c r="AB51" s="158">
        <f>ROUND(1/4*SUM(材料产出!$AB$16:$AB$18),0)</f>
        <v>383</v>
      </c>
      <c r="AC51" s="158">
        <f t="shared" si="43"/>
        <v>383000</v>
      </c>
      <c r="AD51" s="8">
        <f t="shared" si="7"/>
        <v>120</v>
      </c>
      <c r="AE51" s="97">
        <f t="shared" si="64"/>
        <v>25</v>
      </c>
      <c r="AF51" s="8">
        <f t="shared" si="9"/>
        <v>120</v>
      </c>
      <c r="AG51" s="8">
        <f t="shared" si="10"/>
        <v>120</v>
      </c>
      <c r="AH51" s="97">
        <f t="shared" si="58"/>
        <v>5</v>
      </c>
      <c r="AI51" s="97">
        <f t="shared" si="59"/>
        <v>5</v>
      </c>
      <c r="AJ51" s="8">
        <f t="shared" si="13"/>
        <v>120</v>
      </c>
      <c r="AK51" s="97">
        <f t="shared" si="60"/>
        <v>10</v>
      </c>
      <c r="AL51" s="8">
        <f t="shared" si="15"/>
        <v>4800</v>
      </c>
      <c r="AM51" s="8">
        <f t="shared" si="16"/>
        <v>19200</v>
      </c>
      <c r="AN51" s="97">
        <f t="shared" si="61"/>
        <v>5</v>
      </c>
      <c r="AO51" s="97">
        <f t="shared" si="62"/>
        <v>5</v>
      </c>
      <c r="AP51" s="97">
        <f t="shared" si="63"/>
        <v>300</v>
      </c>
    </row>
    <row r="52" spans="1:42" ht="16.5" x14ac:dyDescent="0.3">
      <c r="A52" s="22" t="s">
        <v>2278</v>
      </c>
      <c r="B52" s="23" t="s">
        <v>2327</v>
      </c>
      <c r="C52" s="22">
        <v>48</v>
      </c>
      <c r="D52" s="22"/>
      <c r="E52" s="22"/>
      <c r="F52" s="98">
        <f t="shared" si="37"/>
        <v>60</v>
      </c>
      <c r="G52" s="101">
        <f t="shared" si="38"/>
        <v>120</v>
      </c>
      <c r="H52" s="98">
        <f t="shared" si="39"/>
        <v>60</v>
      </c>
      <c r="I52" s="101">
        <f t="shared" si="40"/>
        <v>120</v>
      </c>
      <c r="J52" s="98">
        <f t="shared" si="41"/>
        <v>60</v>
      </c>
      <c r="K52" s="101">
        <f t="shared" si="42"/>
        <v>120</v>
      </c>
      <c r="L52" s="101"/>
      <c r="M52" s="101"/>
      <c r="N52" s="101"/>
      <c r="O52" s="101"/>
      <c r="P52" s="69" t="str">
        <f t="shared" si="22"/>
        <v>HPMP%25</v>
      </c>
      <c r="Q52" s="100" t="str">
        <f t="shared" si="21"/>
        <v>龙晶碎片383/元宝383000</v>
      </c>
      <c r="R52" s="97">
        <v>49</v>
      </c>
      <c r="S52" s="158"/>
      <c r="T52" s="158">
        <f t="shared" si="0"/>
        <v>4900</v>
      </c>
      <c r="U52" s="158">
        <f t="shared" si="1"/>
        <v>19600</v>
      </c>
      <c r="V52" s="158">
        <f t="shared" si="2"/>
        <v>245</v>
      </c>
      <c r="W52" s="158">
        <f t="shared" si="3"/>
        <v>245</v>
      </c>
      <c r="X52" s="158">
        <f>T52*属性价值参考!C$5+附件合成!U52*属性价值参考!C$6+附件合成!V52*(属性价值参考!C$7+属性价值参考!C$8)+附件合成!W52*(属性价值参考!C$9+属性价值参考!C$10)</f>
        <v>74852.399999999994</v>
      </c>
      <c r="Y52" s="158">
        <f>AE52*属性价值参考!C$26+附件合成!AH52*属性价值参考!C$24+附件合成!AI52*属性价值参考!C$26+附件合成!AK52*(属性价值参考!C$28+属性价值参考!C$29)+附件合成!AN52*属性价值参考!C$26+附件合成!AO52*属性价值参考!C$27+AP52*(属性价值参考!C$37+属性价值参考!C$38)</f>
        <v>15246</v>
      </c>
      <c r="Z52" s="158">
        <f t="shared" si="4"/>
        <v>5631.15</v>
      </c>
      <c r="AA52" s="158">
        <f t="shared" si="5"/>
        <v>5631150</v>
      </c>
      <c r="AB52" s="158">
        <f>ROUND(1/4*SUM(材料产出!$AB$16:$AB$18),0)</f>
        <v>383</v>
      </c>
      <c r="AC52" s="158">
        <f t="shared" si="43"/>
        <v>383000</v>
      </c>
      <c r="AD52" s="8">
        <f t="shared" si="7"/>
        <v>122</v>
      </c>
      <c r="AE52" s="97">
        <f t="shared" si="64"/>
        <v>25</v>
      </c>
      <c r="AF52" s="8">
        <f t="shared" si="9"/>
        <v>122</v>
      </c>
      <c r="AG52" s="8">
        <f t="shared" si="10"/>
        <v>122</v>
      </c>
      <c r="AH52" s="97">
        <f t="shared" si="58"/>
        <v>5</v>
      </c>
      <c r="AI52" s="97">
        <f t="shared" si="59"/>
        <v>5</v>
      </c>
      <c r="AJ52" s="8">
        <f t="shared" si="13"/>
        <v>122</v>
      </c>
      <c r="AK52" s="97">
        <f t="shared" si="60"/>
        <v>10</v>
      </c>
      <c r="AL52" s="8">
        <f t="shared" si="15"/>
        <v>4900</v>
      </c>
      <c r="AM52" s="8">
        <f t="shared" si="16"/>
        <v>19600</v>
      </c>
      <c r="AN52" s="97">
        <f t="shared" si="61"/>
        <v>5</v>
      </c>
      <c r="AO52" s="97">
        <f t="shared" si="62"/>
        <v>5</v>
      </c>
      <c r="AP52" s="97">
        <f t="shared" si="63"/>
        <v>300</v>
      </c>
    </row>
    <row r="53" spans="1:42" ht="16.5" x14ac:dyDescent="0.3">
      <c r="A53" s="22" t="s">
        <v>2278</v>
      </c>
      <c r="B53" s="23" t="s">
        <v>2328</v>
      </c>
      <c r="C53" s="22">
        <v>49</v>
      </c>
      <c r="D53" s="22"/>
      <c r="E53" s="22"/>
      <c r="F53" s="98">
        <f t="shared" si="37"/>
        <v>61</v>
      </c>
      <c r="G53" s="101">
        <f t="shared" si="38"/>
        <v>122</v>
      </c>
      <c r="H53" s="98">
        <f t="shared" si="39"/>
        <v>61</v>
      </c>
      <c r="I53" s="101">
        <f t="shared" si="40"/>
        <v>122</v>
      </c>
      <c r="J53" s="98">
        <f t="shared" si="41"/>
        <v>61</v>
      </c>
      <c r="K53" s="101">
        <f t="shared" si="42"/>
        <v>122</v>
      </c>
      <c r="L53" s="101"/>
      <c r="M53" s="101"/>
      <c r="N53" s="101"/>
      <c r="O53" s="101"/>
      <c r="P53" s="69" t="str">
        <f t="shared" si="22"/>
        <v>HPMP%25</v>
      </c>
      <c r="Q53" s="100" t="str">
        <f t="shared" si="21"/>
        <v>龙晶碎片383/元宝383000</v>
      </c>
      <c r="R53" s="97">
        <v>50</v>
      </c>
      <c r="S53" s="206">
        <f>材料产出!C16</f>
        <v>2.5</v>
      </c>
      <c r="T53" s="158">
        <f t="shared" si="0"/>
        <v>5000</v>
      </c>
      <c r="U53" s="158">
        <f t="shared" si="1"/>
        <v>20000</v>
      </c>
      <c r="V53" s="158">
        <f t="shared" si="2"/>
        <v>250</v>
      </c>
      <c r="W53" s="158">
        <f t="shared" si="3"/>
        <v>250</v>
      </c>
      <c r="X53" s="158">
        <f>T53*属性价值参考!C$5+附件合成!U53*属性价值参考!C$6+附件合成!V53*(属性价值参考!C$7+属性价值参考!C$8)+附件合成!W53*(属性价值参考!C$9+属性价值参考!C$10)</f>
        <v>76380</v>
      </c>
      <c r="Y53" s="158">
        <f>AE53*属性价值参考!C$26+附件合成!AH53*属性价值参考!C$24+附件合成!AI53*属性价值参考!C$26+附件合成!AK53*(属性价值参考!C$28+属性价值参考!C$29)+附件合成!AN53*属性价值参考!C$26+附件合成!AO53*属性价值参考!C$27+AP53*(属性价值参考!C$37+属性价值参考!C$38)</f>
        <v>15246</v>
      </c>
      <c r="Z53" s="158">
        <f t="shared" si="4"/>
        <v>5726.625</v>
      </c>
      <c r="AA53" s="158">
        <f t="shared" si="5"/>
        <v>5726625</v>
      </c>
      <c r="AB53" s="158">
        <f>ROUND(1/4*SUM(材料产出!$AB$16:$AB$18),0)</f>
        <v>383</v>
      </c>
      <c r="AC53" s="158">
        <f t="shared" si="43"/>
        <v>383000</v>
      </c>
      <c r="AD53" s="8">
        <f t="shared" si="7"/>
        <v>125</v>
      </c>
      <c r="AE53" s="97">
        <f t="shared" si="64"/>
        <v>25</v>
      </c>
      <c r="AF53" s="8">
        <f t="shared" si="9"/>
        <v>125</v>
      </c>
      <c r="AG53" s="8">
        <f t="shared" si="10"/>
        <v>125</v>
      </c>
      <c r="AH53" s="97">
        <f>5/10*$AH$103</f>
        <v>5</v>
      </c>
      <c r="AI53" s="97">
        <f>5/10*$AI$103</f>
        <v>5</v>
      </c>
      <c r="AJ53" s="8">
        <f t="shared" si="13"/>
        <v>125</v>
      </c>
      <c r="AK53" s="97">
        <f>5/10*$AK$103</f>
        <v>10</v>
      </c>
      <c r="AL53" s="8">
        <f t="shared" si="15"/>
        <v>5000</v>
      </c>
      <c r="AM53" s="8">
        <f t="shared" si="16"/>
        <v>20000</v>
      </c>
      <c r="AN53" s="97">
        <f>5/10*$AN$103</f>
        <v>5</v>
      </c>
      <c r="AO53" s="97">
        <f>5/10*$AO$103</f>
        <v>5</v>
      </c>
      <c r="AP53" s="97">
        <f>3/20*$AP$103</f>
        <v>300</v>
      </c>
    </row>
    <row r="54" spans="1:42" ht="16.5" x14ac:dyDescent="0.3">
      <c r="A54" s="22" t="s">
        <v>2278</v>
      </c>
      <c r="B54" s="23" t="s">
        <v>2329</v>
      </c>
      <c r="C54" s="22">
        <v>50</v>
      </c>
      <c r="D54" s="22"/>
      <c r="E54" s="22"/>
      <c r="F54" s="98">
        <f t="shared" si="37"/>
        <v>63</v>
      </c>
      <c r="G54" s="101">
        <f t="shared" si="38"/>
        <v>125</v>
      </c>
      <c r="H54" s="98">
        <f t="shared" si="39"/>
        <v>63</v>
      </c>
      <c r="I54" s="101">
        <f t="shared" si="40"/>
        <v>125</v>
      </c>
      <c r="J54" s="98">
        <f t="shared" si="41"/>
        <v>63</v>
      </c>
      <c r="K54" s="101">
        <f t="shared" si="42"/>
        <v>125</v>
      </c>
      <c r="L54" s="101"/>
      <c r="M54" s="101"/>
      <c r="N54" s="101"/>
      <c r="O54" s="101"/>
      <c r="P54" s="69" t="str">
        <f t="shared" si="22"/>
        <v>HPMP%25</v>
      </c>
      <c r="Q54" s="100" t="str">
        <f t="shared" si="21"/>
        <v>龙晶碎片1244/元宝1244000</v>
      </c>
      <c r="R54" s="191">
        <v>51</v>
      </c>
      <c r="S54" s="207"/>
      <c r="T54" s="158">
        <f t="shared" si="0"/>
        <v>5100</v>
      </c>
      <c r="U54" s="158">
        <f t="shared" si="1"/>
        <v>20400</v>
      </c>
      <c r="V54" s="158">
        <f t="shared" si="2"/>
        <v>255</v>
      </c>
      <c r="W54" s="158">
        <f t="shared" si="3"/>
        <v>255</v>
      </c>
      <c r="X54" s="158">
        <f>T54*属性价值参考!C$5+附件合成!U54*属性价值参考!C$6+附件合成!V54*(属性价值参考!C$7+属性价值参考!C$8)+附件合成!W54*(属性价值参考!C$9+属性价值参考!C$10)</f>
        <v>77907.600000000006</v>
      </c>
      <c r="Y54" s="158">
        <f>AE54*属性价值参考!C$26+附件合成!AH54*属性价值参考!C$24+附件合成!AI54*属性价值参考!C$26+附件合成!AK54*(属性价值参考!C$28+属性价值参考!C$29)+附件合成!AN54*属性价值参考!C$26+附件合成!AO54*属性价值参考!C$27+AP54*(属性价值参考!C$37+属性价值参考!C$38)</f>
        <v>22062</v>
      </c>
      <c r="Z54" s="158">
        <f t="shared" si="4"/>
        <v>6248.1</v>
      </c>
      <c r="AA54" s="158">
        <f t="shared" si="5"/>
        <v>6248100</v>
      </c>
      <c r="AB54" s="158">
        <f>ROUND(1/4*SUM(材料产出!$AB$19:$AB$21),0)</f>
        <v>1244</v>
      </c>
      <c r="AC54" s="158">
        <f t="shared" si="43"/>
        <v>1244000</v>
      </c>
      <c r="AD54" s="104">
        <f t="shared" si="7"/>
        <v>127</v>
      </c>
      <c r="AE54" s="105">
        <f t="shared" si="64"/>
        <v>25</v>
      </c>
      <c r="AF54" s="104">
        <f t="shared" si="9"/>
        <v>127</v>
      </c>
      <c r="AG54" s="104">
        <f t="shared" si="10"/>
        <v>127</v>
      </c>
      <c r="AH54" s="97">
        <f t="shared" ref="AH54:AH62" si="65">6/10*$AH$103</f>
        <v>6</v>
      </c>
      <c r="AI54" s="97">
        <f t="shared" ref="AI54:AI62" si="66">6/10*$AI$103</f>
        <v>6</v>
      </c>
      <c r="AJ54" s="104">
        <f t="shared" si="13"/>
        <v>127</v>
      </c>
      <c r="AK54" s="97">
        <f t="shared" ref="AK54:AK62" si="67">6/10*$AK$103</f>
        <v>12</v>
      </c>
      <c r="AL54" s="104">
        <f t="shared" si="15"/>
        <v>5100</v>
      </c>
      <c r="AM54" s="104">
        <f t="shared" si="16"/>
        <v>20400</v>
      </c>
      <c r="AN54" s="97">
        <f t="shared" ref="AN54:AN62" si="68">6/10*$AN$103</f>
        <v>6</v>
      </c>
      <c r="AO54" s="97">
        <f t="shared" ref="AO54:AO62" si="69">6/10*$AO$103</f>
        <v>6</v>
      </c>
      <c r="AP54" s="97">
        <f t="shared" ref="AP54:AP62" si="70">5/20*$AP$103</f>
        <v>500</v>
      </c>
    </row>
    <row r="55" spans="1:42" ht="16.5" x14ac:dyDescent="0.3">
      <c r="A55" s="22" t="s">
        <v>2278</v>
      </c>
      <c r="B55" s="23" t="s">
        <v>2330</v>
      </c>
      <c r="C55" s="22">
        <v>51</v>
      </c>
      <c r="D55" s="22"/>
      <c r="E55" s="22"/>
      <c r="F55" s="98">
        <f t="shared" si="37"/>
        <v>64</v>
      </c>
      <c r="G55" s="101">
        <f t="shared" si="38"/>
        <v>127</v>
      </c>
      <c r="H55" s="98">
        <f t="shared" si="39"/>
        <v>64</v>
      </c>
      <c r="I55" s="101">
        <f t="shared" si="40"/>
        <v>127</v>
      </c>
      <c r="J55" s="98">
        <f t="shared" si="41"/>
        <v>64</v>
      </c>
      <c r="K55" s="101">
        <f t="shared" si="42"/>
        <v>127</v>
      </c>
      <c r="L55" s="101"/>
      <c r="M55" s="101"/>
      <c r="N55" s="101"/>
      <c r="O55" s="101"/>
      <c r="P55" s="69" t="str">
        <f t="shared" si="22"/>
        <v>HPMP%25</v>
      </c>
      <c r="Q55" s="100" t="str">
        <f t="shared" si="21"/>
        <v>龙晶碎片1244/元宝1244000</v>
      </c>
      <c r="R55" s="97">
        <v>52</v>
      </c>
      <c r="S55" s="158"/>
      <c r="T55" s="158">
        <f t="shared" si="0"/>
        <v>5200</v>
      </c>
      <c r="U55" s="158">
        <f t="shared" si="1"/>
        <v>20800</v>
      </c>
      <c r="V55" s="158">
        <f t="shared" si="2"/>
        <v>260</v>
      </c>
      <c r="W55" s="158">
        <f t="shared" si="3"/>
        <v>260</v>
      </c>
      <c r="X55" s="158">
        <f>T55*属性价值参考!C$5+附件合成!U55*属性价值参考!C$6+附件合成!V55*(属性价值参考!C$7+属性价值参考!C$8)+附件合成!W55*(属性价值参考!C$9+属性价值参考!C$10)</f>
        <v>79435.199999999997</v>
      </c>
      <c r="Y55" s="158">
        <f>AE55*属性价值参考!C$26+附件合成!AH55*属性价值参考!C$24+附件合成!AI55*属性价值参考!C$26+附件合成!AK55*(属性价值参考!C$28+属性价值参考!C$29)+附件合成!AN55*属性价值参考!C$26+附件合成!AO55*属性价值参考!C$27+AP55*(属性价值参考!C$37+属性价值参考!C$38)</f>
        <v>22386</v>
      </c>
      <c r="Z55" s="158">
        <f t="shared" si="4"/>
        <v>6363.8249999999998</v>
      </c>
      <c r="AA55" s="158">
        <f t="shared" si="5"/>
        <v>6363825</v>
      </c>
      <c r="AB55" s="158">
        <f>ROUND(1/4*SUM(材料产出!$AB$19:$AB$21),0)</f>
        <v>1244</v>
      </c>
      <c r="AC55" s="158">
        <f t="shared" si="43"/>
        <v>1244000</v>
      </c>
      <c r="AD55" s="8">
        <f t="shared" si="7"/>
        <v>130</v>
      </c>
      <c r="AE55" s="97">
        <f t="shared" ref="AE55:AE64" si="71">30/50*$AE$103</f>
        <v>30</v>
      </c>
      <c r="AF55" s="8">
        <f t="shared" si="9"/>
        <v>130</v>
      </c>
      <c r="AG55" s="8">
        <f t="shared" si="10"/>
        <v>130</v>
      </c>
      <c r="AH55" s="97">
        <f t="shared" si="65"/>
        <v>6</v>
      </c>
      <c r="AI55" s="97">
        <f t="shared" si="66"/>
        <v>6</v>
      </c>
      <c r="AJ55" s="8">
        <f t="shared" si="13"/>
        <v>130</v>
      </c>
      <c r="AK55" s="97">
        <f t="shared" si="67"/>
        <v>12</v>
      </c>
      <c r="AL55" s="8">
        <f t="shared" si="15"/>
        <v>5200</v>
      </c>
      <c r="AM55" s="8">
        <f t="shared" si="16"/>
        <v>20800</v>
      </c>
      <c r="AN55" s="97">
        <f t="shared" si="68"/>
        <v>6</v>
      </c>
      <c r="AO55" s="97">
        <f t="shared" si="69"/>
        <v>6</v>
      </c>
      <c r="AP55" s="97">
        <f t="shared" si="70"/>
        <v>500</v>
      </c>
    </row>
    <row r="56" spans="1:42" ht="16.5" x14ac:dyDescent="0.3">
      <c r="A56" s="22" t="s">
        <v>2278</v>
      </c>
      <c r="B56" s="23" t="s">
        <v>2331</v>
      </c>
      <c r="C56" s="22">
        <v>52</v>
      </c>
      <c r="D56" s="22"/>
      <c r="E56" s="22"/>
      <c r="F56" s="98">
        <f t="shared" si="37"/>
        <v>65</v>
      </c>
      <c r="G56" s="101">
        <f t="shared" si="38"/>
        <v>130</v>
      </c>
      <c r="H56" s="98">
        <f t="shared" si="39"/>
        <v>65</v>
      </c>
      <c r="I56" s="101">
        <f t="shared" si="40"/>
        <v>130</v>
      </c>
      <c r="J56" s="98">
        <f t="shared" si="41"/>
        <v>65</v>
      </c>
      <c r="K56" s="101">
        <f t="shared" si="42"/>
        <v>130</v>
      </c>
      <c r="L56" s="101"/>
      <c r="M56" s="101"/>
      <c r="N56" s="101"/>
      <c r="O56" s="101"/>
      <c r="P56" s="69" t="str">
        <f t="shared" si="22"/>
        <v>HPMP%30</v>
      </c>
      <c r="Q56" s="100" t="str">
        <f t="shared" si="21"/>
        <v>龙晶碎片1244/元宝1244000</v>
      </c>
      <c r="R56" s="97">
        <v>53</v>
      </c>
      <c r="S56" s="158"/>
      <c r="T56" s="158">
        <f t="shared" si="0"/>
        <v>5300</v>
      </c>
      <c r="U56" s="158">
        <f t="shared" si="1"/>
        <v>21200</v>
      </c>
      <c r="V56" s="158">
        <f t="shared" si="2"/>
        <v>265</v>
      </c>
      <c r="W56" s="158">
        <f t="shared" si="3"/>
        <v>265</v>
      </c>
      <c r="X56" s="158">
        <f>T56*属性价值参考!C$5+附件合成!U56*属性价值参考!C$6+附件合成!V56*(属性价值参考!C$7+属性价值参考!C$8)+附件合成!W56*(属性价值参考!C$9+属性价值参考!C$10)</f>
        <v>80962.8</v>
      </c>
      <c r="Y56" s="158">
        <f>AE56*属性价值参考!C$26+附件合成!AH56*属性价值参考!C$24+附件合成!AI56*属性价值参考!C$26+附件合成!AK56*(属性价值参考!C$28+属性价值参考!C$29)+附件合成!AN56*属性价值参考!C$26+附件合成!AO56*属性价值参考!C$27+AP56*(属性价值参考!C$37+属性价值参考!C$38)</f>
        <v>22386</v>
      </c>
      <c r="Z56" s="158">
        <f t="shared" si="4"/>
        <v>6459.3</v>
      </c>
      <c r="AA56" s="158">
        <f t="shared" si="5"/>
        <v>6459300</v>
      </c>
      <c r="AB56" s="158">
        <f>ROUND(1/4*SUM(材料产出!$AB$19:$AB$21),0)</f>
        <v>1244</v>
      </c>
      <c r="AC56" s="158">
        <f t="shared" si="43"/>
        <v>1244000</v>
      </c>
      <c r="AD56" s="8">
        <f t="shared" si="7"/>
        <v>132</v>
      </c>
      <c r="AE56" s="97">
        <f t="shared" si="71"/>
        <v>30</v>
      </c>
      <c r="AF56" s="8">
        <f t="shared" si="9"/>
        <v>132</v>
      </c>
      <c r="AG56" s="8">
        <f t="shared" si="10"/>
        <v>132</v>
      </c>
      <c r="AH56" s="97">
        <f t="shared" si="65"/>
        <v>6</v>
      </c>
      <c r="AI56" s="97">
        <f t="shared" si="66"/>
        <v>6</v>
      </c>
      <c r="AJ56" s="8">
        <f t="shared" si="13"/>
        <v>132</v>
      </c>
      <c r="AK56" s="97">
        <f t="shared" si="67"/>
        <v>12</v>
      </c>
      <c r="AL56" s="8">
        <f t="shared" si="15"/>
        <v>5300</v>
      </c>
      <c r="AM56" s="8">
        <f t="shared" si="16"/>
        <v>21200</v>
      </c>
      <c r="AN56" s="97">
        <f t="shared" si="68"/>
        <v>6</v>
      </c>
      <c r="AO56" s="97">
        <f t="shared" si="69"/>
        <v>6</v>
      </c>
      <c r="AP56" s="97">
        <f t="shared" si="70"/>
        <v>500</v>
      </c>
    </row>
    <row r="57" spans="1:42" ht="16.5" x14ac:dyDescent="0.3">
      <c r="A57" s="22" t="s">
        <v>2278</v>
      </c>
      <c r="B57" s="23" t="s">
        <v>2332</v>
      </c>
      <c r="C57" s="22">
        <v>53</v>
      </c>
      <c r="D57" s="22"/>
      <c r="E57" s="22"/>
      <c r="F57" s="98">
        <f t="shared" si="37"/>
        <v>66</v>
      </c>
      <c r="G57" s="101">
        <f t="shared" si="38"/>
        <v>132</v>
      </c>
      <c r="H57" s="98">
        <f t="shared" si="39"/>
        <v>66</v>
      </c>
      <c r="I57" s="101">
        <f t="shared" si="40"/>
        <v>132</v>
      </c>
      <c r="J57" s="98">
        <f t="shared" si="41"/>
        <v>66</v>
      </c>
      <c r="K57" s="101">
        <f t="shared" si="42"/>
        <v>132</v>
      </c>
      <c r="L57" s="101"/>
      <c r="M57" s="101"/>
      <c r="N57" s="101"/>
      <c r="O57" s="101"/>
      <c r="P57" s="69" t="str">
        <f t="shared" si="22"/>
        <v>HPMP%30</v>
      </c>
      <c r="Q57" s="100" t="str">
        <f t="shared" si="21"/>
        <v>龙晶碎片1244/元宝1244000</v>
      </c>
      <c r="R57" s="97">
        <v>54</v>
      </c>
      <c r="S57" s="158"/>
      <c r="T57" s="158">
        <f t="shared" si="0"/>
        <v>5400</v>
      </c>
      <c r="U57" s="158">
        <f t="shared" si="1"/>
        <v>21600</v>
      </c>
      <c r="V57" s="158">
        <f t="shared" si="2"/>
        <v>270</v>
      </c>
      <c r="W57" s="158">
        <f t="shared" si="3"/>
        <v>270</v>
      </c>
      <c r="X57" s="158">
        <f>T57*属性价值参考!C$5+附件合成!U57*属性价值参考!C$6+附件合成!V57*(属性价值参考!C$7+属性价值参考!C$8)+附件合成!W57*(属性价值参考!C$9+属性价值参考!C$10)</f>
        <v>82490.399999999994</v>
      </c>
      <c r="Y57" s="158">
        <f>AE57*属性价值参考!C$26+附件合成!AH57*属性价值参考!C$24+附件合成!AI57*属性价值参考!C$26+附件合成!AK57*(属性价值参考!C$28+属性价值参考!C$29)+附件合成!AN57*属性价值参考!C$26+附件合成!AO57*属性价值参考!C$27+AP57*(属性价值参考!C$37+属性价值参考!C$38)</f>
        <v>22386</v>
      </c>
      <c r="Z57" s="158">
        <f t="shared" si="4"/>
        <v>6554.7749999999996</v>
      </c>
      <c r="AA57" s="158">
        <f t="shared" si="5"/>
        <v>6554775</v>
      </c>
      <c r="AB57" s="158">
        <f>ROUND(1/4*SUM(材料产出!$AB$19:$AB$21),0)</f>
        <v>1244</v>
      </c>
      <c r="AC57" s="158">
        <f t="shared" si="43"/>
        <v>1244000</v>
      </c>
      <c r="AD57" s="8">
        <f t="shared" si="7"/>
        <v>135</v>
      </c>
      <c r="AE57" s="97">
        <f t="shared" si="71"/>
        <v>30</v>
      </c>
      <c r="AF57" s="8">
        <f t="shared" si="9"/>
        <v>135</v>
      </c>
      <c r="AG57" s="8">
        <f t="shared" si="10"/>
        <v>135</v>
      </c>
      <c r="AH57" s="97">
        <f t="shared" si="65"/>
        <v>6</v>
      </c>
      <c r="AI57" s="97">
        <f t="shared" si="66"/>
        <v>6</v>
      </c>
      <c r="AJ57" s="8">
        <f t="shared" si="13"/>
        <v>135</v>
      </c>
      <c r="AK57" s="97">
        <f t="shared" si="67"/>
        <v>12</v>
      </c>
      <c r="AL57" s="8">
        <f t="shared" si="15"/>
        <v>5400</v>
      </c>
      <c r="AM57" s="8">
        <f t="shared" si="16"/>
        <v>21600</v>
      </c>
      <c r="AN57" s="97">
        <f t="shared" si="68"/>
        <v>6</v>
      </c>
      <c r="AO57" s="97">
        <f t="shared" si="69"/>
        <v>6</v>
      </c>
      <c r="AP57" s="97">
        <f t="shared" si="70"/>
        <v>500</v>
      </c>
    </row>
    <row r="58" spans="1:42" ht="16.5" x14ac:dyDescent="0.3">
      <c r="A58" s="22" t="s">
        <v>2278</v>
      </c>
      <c r="B58" s="23" t="s">
        <v>2333</v>
      </c>
      <c r="C58" s="22">
        <v>54</v>
      </c>
      <c r="D58" s="22"/>
      <c r="E58" s="22"/>
      <c r="F58" s="98">
        <f t="shared" si="37"/>
        <v>68</v>
      </c>
      <c r="G58" s="101">
        <f t="shared" si="38"/>
        <v>135</v>
      </c>
      <c r="H58" s="98">
        <f t="shared" si="39"/>
        <v>68</v>
      </c>
      <c r="I58" s="101">
        <f t="shared" si="40"/>
        <v>135</v>
      </c>
      <c r="J58" s="98">
        <f t="shared" si="41"/>
        <v>68</v>
      </c>
      <c r="K58" s="101">
        <f t="shared" si="42"/>
        <v>135</v>
      </c>
      <c r="L58" s="101"/>
      <c r="M58" s="101"/>
      <c r="N58" s="101"/>
      <c r="O58" s="101"/>
      <c r="P58" s="69" t="str">
        <f t="shared" si="22"/>
        <v>HPMP%30</v>
      </c>
      <c r="Q58" s="100" t="str">
        <f t="shared" si="21"/>
        <v>龙晶碎片1244/元宝1244000</v>
      </c>
      <c r="R58" s="97">
        <v>55</v>
      </c>
      <c r="S58" s="158"/>
      <c r="T58" s="158">
        <f t="shared" si="0"/>
        <v>5500</v>
      </c>
      <c r="U58" s="158">
        <f t="shared" si="1"/>
        <v>22000</v>
      </c>
      <c r="V58" s="158">
        <f t="shared" si="2"/>
        <v>275</v>
      </c>
      <c r="W58" s="158">
        <f t="shared" si="3"/>
        <v>275</v>
      </c>
      <c r="X58" s="158">
        <f>T58*属性价值参考!C$5+附件合成!U58*属性价值参考!C$6+附件合成!V58*(属性价值参考!C$7+属性价值参考!C$8)+附件合成!W58*(属性价值参考!C$9+属性价值参考!C$10)</f>
        <v>84018</v>
      </c>
      <c r="Y58" s="158">
        <f>AE58*属性价值参考!C$26+附件合成!AH58*属性价值参考!C$24+附件合成!AI58*属性价值参考!C$26+附件合成!AK58*(属性价值参考!C$28+属性价值参考!C$29)+附件合成!AN58*属性价值参考!C$26+附件合成!AO58*属性价值参考!C$27+AP58*(属性价值参考!C$37+属性价值参考!C$38)</f>
        <v>22386</v>
      </c>
      <c r="Z58" s="158">
        <f t="shared" si="4"/>
        <v>6650.25</v>
      </c>
      <c r="AA58" s="158">
        <f t="shared" si="5"/>
        <v>6650250</v>
      </c>
      <c r="AB58" s="158">
        <f>ROUND(1/4*SUM(材料产出!$AB$19:$AB$21),0)</f>
        <v>1244</v>
      </c>
      <c r="AC58" s="158">
        <f t="shared" si="43"/>
        <v>1244000</v>
      </c>
      <c r="AD58" s="8">
        <f t="shared" si="7"/>
        <v>137</v>
      </c>
      <c r="AE58" s="97">
        <f t="shared" si="71"/>
        <v>30</v>
      </c>
      <c r="AF58" s="8">
        <f t="shared" si="9"/>
        <v>137</v>
      </c>
      <c r="AG58" s="8">
        <f t="shared" si="10"/>
        <v>137</v>
      </c>
      <c r="AH58" s="97">
        <f t="shared" si="65"/>
        <v>6</v>
      </c>
      <c r="AI58" s="97">
        <f t="shared" si="66"/>
        <v>6</v>
      </c>
      <c r="AJ58" s="8">
        <f t="shared" si="13"/>
        <v>137</v>
      </c>
      <c r="AK58" s="97">
        <f t="shared" si="67"/>
        <v>12</v>
      </c>
      <c r="AL58" s="8">
        <f t="shared" si="15"/>
        <v>5500</v>
      </c>
      <c r="AM58" s="8">
        <f t="shared" si="16"/>
        <v>22000</v>
      </c>
      <c r="AN58" s="97">
        <f t="shared" si="68"/>
        <v>6</v>
      </c>
      <c r="AO58" s="97">
        <f t="shared" si="69"/>
        <v>6</v>
      </c>
      <c r="AP58" s="97">
        <f t="shared" si="70"/>
        <v>500</v>
      </c>
    </row>
    <row r="59" spans="1:42" ht="16.5" x14ac:dyDescent="0.3">
      <c r="A59" s="22" t="s">
        <v>2278</v>
      </c>
      <c r="B59" s="23" t="s">
        <v>2334</v>
      </c>
      <c r="C59" s="22">
        <v>55</v>
      </c>
      <c r="D59" s="22"/>
      <c r="E59" s="22"/>
      <c r="F59" s="98">
        <f t="shared" si="37"/>
        <v>69</v>
      </c>
      <c r="G59" s="101">
        <f t="shared" si="38"/>
        <v>137</v>
      </c>
      <c r="H59" s="98">
        <f t="shared" si="39"/>
        <v>69</v>
      </c>
      <c r="I59" s="101">
        <f t="shared" si="40"/>
        <v>137</v>
      </c>
      <c r="J59" s="98">
        <f t="shared" si="41"/>
        <v>69</v>
      </c>
      <c r="K59" s="101">
        <f t="shared" si="42"/>
        <v>137</v>
      </c>
      <c r="L59" s="101"/>
      <c r="M59" s="101"/>
      <c r="N59" s="101"/>
      <c r="O59" s="101"/>
      <c r="P59" s="69" t="str">
        <f t="shared" si="22"/>
        <v>HPMP%30</v>
      </c>
      <c r="Q59" s="100" t="str">
        <f t="shared" si="21"/>
        <v>龙晶碎片1244/元宝1244000</v>
      </c>
      <c r="R59" s="97">
        <v>56</v>
      </c>
      <c r="S59" s="158"/>
      <c r="T59" s="158">
        <f t="shared" si="0"/>
        <v>5600</v>
      </c>
      <c r="U59" s="158">
        <f t="shared" si="1"/>
        <v>22400</v>
      </c>
      <c r="V59" s="158">
        <f t="shared" si="2"/>
        <v>280</v>
      </c>
      <c r="W59" s="158">
        <f t="shared" si="3"/>
        <v>280</v>
      </c>
      <c r="X59" s="158">
        <f>T59*属性价值参考!C$5+附件合成!U59*属性价值参考!C$6+附件合成!V59*(属性价值参考!C$7+属性价值参考!C$8)+附件合成!W59*(属性价值参考!C$9+属性价值参考!C$10)</f>
        <v>85545.600000000006</v>
      </c>
      <c r="Y59" s="158">
        <f>AE59*属性价值参考!C$26+附件合成!AH59*属性价值参考!C$24+附件合成!AI59*属性价值参考!C$26+附件合成!AK59*(属性价值参考!C$28+属性价值参考!C$29)+附件合成!AN59*属性价值参考!C$26+附件合成!AO59*属性价值参考!C$27+AP59*(属性价值参考!C$37+属性价值参考!C$38)</f>
        <v>22386</v>
      </c>
      <c r="Z59" s="158">
        <f t="shared" si="4"/>
        <v>6745.7250000000004</v>
      </c>
      <c r="AA59" s="158">
        <f t="shared" si="5"/>
        <v>6745725</v>
      </c>
      <c r="AB59" s="158">
        <f>ROUND(1/4*SUM(材料产出!$AB$19:$AB$21),0)</f>
        <v>1244</v>
      </c>
      <c r="AC59" s="158">
        <f t="shared" si="43"/>
        <v>1244000</v>
      </c>
      <c r="AD59" s="8">
        <f t="shared" si="7"/>
        <v>140</v>
      </c>
      <c r="AE59" s="97">
        <f t="shared" si="71"/>
        <v>30</v>
      </c>
      <c r="AF59" s="8">
        <f t="shared" si="9"/>
        <v>140</v>
      </c>
      <c r="AG59" s="8">
        <f t="shared" si="10"/>
        <v>140</v>
      </c>
      <c r="AH59" s="97">
        <f t="shared" si="65"/>
        <v>6</v>
      </c>
      <c r="AI59" s="97">
        <f t="shared" si="66"/>
        <v>6</v>
      </c>
      <c r="AJ59" s="8">
        <f t="shared" si="13"/>
        <v>140</v>
      </c>
      <c r="AK59" s="97">
        <f t="shared" si="67"/>
        <v>12</v>
      </c>
      <c r="AL59" s="8">
        <f t="shared" si="15"/>
        <v>5600</v>
      </c>
      <c r="AM59" s="8">
        <f t="shared" si="16"/>
        <v>22400</v>
      </c>
      <c r="AN59" s="97">
        <f t="shared" si="68"/>
        <v>6</v>
      </c>
      <c r="AO59" s="97">
        <f t="shared" si="69"/>
        <v>6</v>
      </c>
      <c r="AP59" s="97">
        <f t="shared" si="70"/>
        <v>500</v>
      </c>
    </row>
    <row r="60" spans="1:42" ht="16.5" x14ac:dyDescent="0.3">
      <c r="A60" s="22" t="s">
        <v>2278</v>
      </c>
      <c r="B60" s="23" t="s">
        <v>2335</v>
      </c>
      <c r="C60" s="22">
        <v>56</v>
      </c>
      <c r="D60" s="22"/>
      <c r="E60" s="22"/>
      <c r="F60" s="98">
        <f t="shared" si="37"/>
        <v>70</v>
      </c>
      <c r="G60" s="101">
        <f t="shared" si="38"/>
        <v>140</v>
      </c>
      <c r="H60" s="98">
        <f t="shared" si="39"/>
        <v>70</v>
      </c>
      <c r="I60" s="101">
        <f t="shared" si="40"/>
        <v>140</v>
      </c>
      <c r="J60" s="98">
        <f t="shared" si="41"/>
        <v>70</v>
      </c>
      <c r="K60" s="101">
        <f t="shared" si="42"/>
        <v>140</v>
      </c>
      <c r="L60" s="101"/>
      <c r="M60" s="101"/>
      <c r="N60" s="101"/>
      <c r="O60" s="101"/>
      <c r="P60" s="69" t="str">
        <f t="shared" si="22"/>
        <v>HPMP%30</v>
      </c>
      <c r="Q60" s="100" t="str">
        <f t="shared" si="21"/>
        <v>龙晶碎片1244/元宝1244000</v>
      </c>
      <c r="R60" s="97">
        <v>57</v>
      </c>
      <c r="S60" s="158"/>
      <c r="T60" s="158">
        <f t="shared" si="0"/>
        <v>5700</v>
      </c>
      <c r="U60" s="158">
        <f t="shared" si="1"/>
        <v>22800</v>
      </c>
      <c r="V60" s="158">
        <f t="shared" si="2"/>
        <v>285</v>
      </c>
      <c r="W60" s="158">
        <f t="shared" si="3"/>
        <v>285</v>
      </c>
      <c r="X60" s="158">
        <f>T60*属性价值参考!C$5+附件合成!U60*属性价值参考!C$6+附件合成!V60*(属性价值参考!C$7+属性价值参考!C$8)+附件合成!W60*(属性价值参考!C$9+属性价值参考!C$10)</f>
        <v>87073.2</v>
      </c>
      <c r="Y60" s="158">
        <f>AE60*属性价值参考!C$26+附件合成!AH60*属性价值参考!C$24+附件合成!AI60*属性价值参考!C$26+附件合成!AK60*(属性价值参考!C$28+属性价值参考!C$29)+附件合成!AN60*属性价值参考!C$26+附件合成!AO60*属性价值参考!C$27+AP60*(属性价值参考!C$37+属性价值参考!C$38)</f>
        <v>22386</v>
      </c>
      <c r="Z60" s="158">
        <f t="shared" si="4"/>
        <v>6841.2</v>
      </c>
      <c r="AA60" s="158">
        <f t="shared" si="5"/>
        <v>6841200</v>
      </c>
      <c r="AB60" s="158">
        <f>ROUND(1/4*SUM(材料产出!$AB$19:$AB$21),0)</f>
        <v>1244</v>
      </c>
      <c r="AC60" s="158">
        <f t="shared" si="43"/>
        <v>1244000</v>
      </c>
      <c r="AD60" s="8">
        <f t="shared" si="7"/>
        <v>142</v>
      </c>
      <c r="AE60" s="97">
        <f t="shared" si="71"/>
        <v>30</v>
      </c>
      <c r="AF60" s="8">
        <f t="shared" si="9"/>
        <v>142</v>
      </c>
      <c r="AG60" s="8">
        <f t="shared" si="10"/>
        <v>142</v>
      </c>
      <c r="AH60" s="97">
        <f t="shared" si="65"/>
        <v>6</v>
      </c>
      <c r="AI60" s="97">
        <f t="shared" si="66"/>
        <v>6</v>
      </c>
      <c r="AJ60" s="8">
        <f t="shared" si="13"/>
        <v>142</v>
      </c>
      <c r="AK60" s="97">
        <f t="shared" si="67"/>
        <v>12</v>
      </c>
      <c r="AL60" s="8">
        <f t="shared" si="15"/>
        <v>5700</v>
      </c>
      <c r="AM60" s="8">
        <f t="shared" si="16"/>
        <v>22800</v>
      </c>
      <c r="AN60" s="97">
        <f t="shared" si="68"/>
        <v>6</v>
      </c>
      <c r="AO60" s="97">
        <f t="shared" si="69"/>
        <v>6</v>
      </c>
      <c r="AP60" s="97">
        <f t="shared" si="70"/>
        <v>500</v>
      </c>
    </row>
    <row r="61" spans="1:42" ht="16.5" x14ac:dyDescent="0.3">
      <c r="A61" s="22" t="s">
        <v>2278</v>
      </c>
      <c r="B61" s="23" t="s">
        <v>2336</v>
      </c>
      <c r="C61" s="22">
        <v>57</v>
      </c>
      <c r="D61" s="22"/>
      <c r="E61" s="22"/>
      <c r="F61" s="98">
        <f t="shared" si="37"/>
        <v>71</v>
      </c>
      <c r="G61" s="101">
        <f t="shared" si="38"/>
        <v>142</v>
      </c>
      <c r="H61" s="98">
        <f t="shared" si="39"/>
        <v>71</v>
      </c>
      <c r="I61" s="101">
        <f t="shared" si="40"/>
        <v>142</v>
      </c>
      <c r="J61" s="98">
        <f t="shared" si="41"/>
        <v>71</v>
      </c>
      <c r="K61" s="101">
        <f t="shared" si="42"/>
        <v>142</v>
      </c>
      <c r="L61" s="101"/>
      <c r="M61" s="101"/>
      <c r="N61" s="101"/>
      <c r="O61" s="101"/>
      <c r="P61" s="69" t="str">
        <f t="shared" si="22"/>
        <v>HPMP%30</v>
      </c>
      <c r="Q61" s="100" t="str">
        <f t="shared" si="21"/>
        <v>龙晶碎片1244/元宝1244000</v>
      </c>
      <c r="R61" s="97">
        <v>58</v>
      </c>
      <c r="S61" s="158"/>
      <c r="T61" s="158">
        <f t="shared" si="0"/>
        <v>5800</v>
      </c>
      <c r="U61" s="158">
        <f t="shared" si="1"/>
        <v>23200</v>
      </c>
      <c r="V61" s="158">
        <f t="shared" si="2"/>
        <v>290</v>
      </c>
      <c r="W61" s="158">
        <f t="shared" si="3"/>
        <v>290</v>
      </c>
      <c r="X61" s="158">
        <f>T61*属性价值参考!C$5+附件合成!U61*属性价值参考!C$6+附件合成!V61*(属性价值参考!C$7+属性价值参考!C$8)+附件合成!W61*(属性价值参考!C$9+属性价值参考!C$10)</f>
        <v>88600.8</v>
      </c>
      <c r="Y61" s="158">
        <f>AE61*属性价值参考!C$26+附件合成!AH61*属性价值参考!C$24+附件合成!AI61*属性价值参考!C$26+附件合成!AK61*(属性价值参考!C$28+属性价值参考!C$29)+附件合成!AN61*属性价值参考!C$26+附件合成!AO61*属性价值参考!C$27+AP61*(属性价值参考!C$37+属性价值参考!C$38)</f>
        <v>22386</v>
      </c>
      <c r="Z61" s="158">
        <f t="shared" si="4"/>
        <v>6936.6750000000002</v>
      </c>
      <c r="AA61" s="158">
        <f t="shared" si="5"/>
        <v>6936675</v>
      </c>
      <c r="AB61" s="158">
        <f>ROUND(1/4*SUM(材料产出!$AB$19:$AB$21),0)</f>
        <v>1244</v>
      </c>
      <c r="AC61" s="158">
        <f t="shared" si="43"/>
        <v>1244000</v>
      </c>
      <c r="AD61" s="8">
        <f t="shared" si="7"/>
        <v>145</v>
      </c>
      <c r="AE61" s="97">
        <f t="shared" si="71"/>
        <v>30</v>
      </c>
      <c r="AF61" s="8">
        <f t="shared" si="9"/>
        <v>145</v>
      </c>
      <c r="AG61" s="8">
        <f t="shared" si="10"/>
        <v>145</v>
      </c>
      <c r="AH61" s="97">
        <f t="shared" si="65"/>
        <v>6</v>
      </c>
      <c r="AI61" s="97">
        <f t="shared" si="66"/>
        <v>6</v>
      </c>
      <c r="AJ61" s="8">
        <f t="shared" si="13"/>
        <v>145</v>
      </c>
      <c r="AK61" s="97">
        <f t="shared" si="67"/>
        <v>12</v>
      </c>
      <c r="AL61" s="8">
        <f t="shared" si="15"/>
        <v>5800</v>
      </c>
      <c r="AM61" s="8">
        <f t="shared" si="16"/>
        <v>23200</v>
      </c>
      <c r="AN61" s="97">
        <f t="shared" si="68"/>
        <v>6</v>
      </c>
      <c r="AO61" s="97">
        <f t="shared" si="69"/>
        <v>6</v>
      </c>
      <c r="AP61" s="97">
        <f t="shared" si="70"/>
        <v>500</v>
      </c>
    </row>
    <row r="62" spans="1:42" ht="16.5" x14ac:dyDescent="0.3">
      <c r="A62" s="22" t="s">
        <v>2278</v>
      </c>
      <c r="B62" s="23" t="s">
        <v>2337</v>
      </c>
      <c r="C62" s="22">
        <v>58</v>
      </c>
      <c r="D62" s="22"/>
      <c r="E62" s="22"/>
      <c r="F62" s="98">
        <f t="shared" si="37"/>
        <v>73</v>
      </c>
      <c r="G62" s="101">
        <f t="shared" si="38"/>
        <v>145</v>
      </c>
      <c r="H62" s="98">
        <f t="shared" si="39"/>
        <v>73</v>
      </c>
      <c r="I62" s="101">
        <f t="shared" si="40"/>
        <v>145</v>
      </c>
      <c r="J62" s="98">
        <f t="shared" si="41"/>
        <v>73</v>
      </c>
      <c r="K62" s="101">
        <f t="shared" si="42"/>
        <v>145</v>
      </c>
      <c r="L62" s="101"/>
      <c r="M62" s="101"/>
      <c r="N62" s="101"/>
      <c r="O62" s="101"/>
      <c r="P62" s="69" t="str">
        <f t="shared" si="22"/>
        <v>HPMP%30</v>
      </c>
      <c r="Q62" s="100" t="str">
        <f t="shared" si="21"/>
        <v>龙晶碎片1244/元宝1244000</v>
      </c>
      <c r="R62" s="97">
        <v>59</v>
      </c>
      <c r="S62" s="158"/>
      <c r="T62" s="158">
        <f t="shared" si="0"/>
        <v>5900</v>
      </c>
      <c r="U62" s="158">
        <f t="shared" si="1"/>
        <v>23600</v>
      </c>
      <c r="V62" s="158">
        <f t="shared" si="2"/>
        <v>295</v>
      </c>
      <c r="W62" s="158">
        <f t="shared" si="3"/>
        <v>295</v>
      </c>
      <c r="X62" s="158">
        <f>T62*属性价值参考!C$5+附件合成!U62*属性价值参考!C$6+附件合成!V62*(属性价值参考!C$7+属性价值参考!C$8)+附件合成!W62*(属性价值参考!C$9+属性价值参考!C$10)</f>
        <v>90128.4</v>
      </c>
      <c r="Y62" s="158">
        <f>AE62*属性价值参考!C$26+附件合成!AH62*属性价值参考!C$24+附件合成!AI62*属性价值参考!C$26+附件合成!AK62*(属性价值参考!C$28+属性价值参考!C$29)+附件合成!AN62*属性价值参考!C$26+附件合成!AO62*属性价值参考!C$27+AP62*(属性价值参考!C$37+属性价值参考!C$38)</f>
        <v>22386</v>
      </c>
      <c r="Z62" s="158">
        <f t="shared" si="4"/>
        <v>7032.15</v>
      </c>
      <c r="AA62" s="158">
        <f t="shared" si="5"/>
        <v>7032150</v>
      </c>
      <c r="AB62" s="158">
        <f>ROUND(1/4*SUM(材料产出!$AB$19:$AB$21),0)</f>
        <v>1244</v>
      </c>
      <c r="AC62" s="158">
        <f t="shared" si="43"/>
        <v>1244000</v>
      </c>
      <c r="AD62" s="8">
        <f t="shared" si="7"/>
        <v>147</v>
      </c>
      <c r="AE62" s="97">
        <f t="shared" si="71"/>
        <v>30</v>
      </c>
      <c r="AF62" s="8">
        <f t="shared" si="9"/>
        <v>147</v>
      </c>
      <c r="AG62" s="8">
        <f t="shared" si="10"/>
        <v>147</v>
      </c>
      <c r="AH62" s="97">
        <f t="shared" si="65"/>
        <v>6</v>
      </c>
      <c r="AI62" s="97">
        <f t="shared" si="66"/>
        <v>6</v>
      </c>
      <c r="AJ62" s="8">
        <f t="shared" si="13"/>
        <v>147</v>
      </c>
      <c r="AK62" s="97">
        <f t="shared" si="67"/>
        <v>12</v>
      </c>
      <c r="AL62" s="8">
        <f t="shared" si="15"/>
        <v>5900</v>
      </c>
      <c r="AM62" s="8">
        <f t="shared" si="16"/>
        <v>23600</v>
      </c>
      <c r="AN62" s="97">
        <f t="shared" si="68"/>
        <v>6</v>
      </c>
      <c r="AO62" s="97">
        <f t="shared" si="69"/>
        <v>6</v>
      </c>
      <c r="AP62" s="97">
        <f t="shared" si="70"/>
        <v>500</v>
      </c>
    </row>
    <row r="63" spans="1:42" ht="16.5" x14ac:dyDescent="0.3">
      <c r="A63" s="22" t="s">
        <v>2278</v>
      </c>
      <c r="B63" s="23" t="s">
        <v>2338</v>
      </c>
      <c r="C63" s="22">
        <v>59</v>
      </c>
      <c r="D63" s="22"/>
      <c r="E63" s="22"/>
      <c r="F63" s="98">
        <f t="shared" si="37"/>
        <v>74</v>
      </c>
      <c r="G63" s="101">
        <f t="shared" si="38"/>
        <v>147</v>
      </c>
      <c r="H63" s="98">
        <f t="shared" si="39"/>
        <v>74</v>
      </c>
      <c r="I63" s="101">
        <f t="shared" si="40"/>
        <v>147</v>
      </c>
      <c r="J63" s="98">
        <f t="shared" si="41"/>
        <v>74</v>
      </c>
      <c r="K63" s="101">
        <f t="shared" si="42"/>
        <v>147</v>
      </c>
      <c r="L63" s="101"/>
      <c r="M63" s="101"/>
      <c r="N63" s="101"/>
      <c r="O63" s="101"/>
      <c r="P63" s="69" t="str">
        <f t="shared" si="22"/>
        <v>HPMP%30</v>
      </c>
      <c r="Q63" s="100" t="str">
        <f t="shared" si="21"/>
        <v>龙晶碎片1244/元宝1244000</v>
      </c>
      <c r="R63" s="97">
        <v>60</v>
      </c>
      <c r="S63" s="206">
        <f>材料产出!C19</f>
        <v>3.7</v>
      </c>
      <c r="T63" s="158">
        <f t="shared" si="0"/>
        <v>6000</v>
      </c>
      <c r="U63" s="158">
        <f t="shared" si="1"/>
        <v>24000</v>
      </c>
      <c r="V63" s="158">
        <f t="shared" si="2"/>
        <v>300</v>
      </c>
      <c r="W63" s="158">
        <f t="shared" si="3"/>
        <v>300</v>
      </c>
      <c r="X63" s="158">
        <f>T63*属性价值参考!C$5+附件合成!U63*属性价值参考!C$6+附件合成!V63*(属性价值参考!C$7+属性价值参考!C$8)+附件合成!W63*(属性价值参考!C$9+属性价值参考!C$10)</f>
        <v>91656</v>
      </c>
      <c r="Y63" s="158">
        <f>AE63*属性价值参考!C$26+附件合成!AH63*属性价值参考!C$24+附件合成!AI63*属性价值参考!C$26+附件合成!AK63*(属性价值参考!C$28+属性价值参考!C$29)+附件合成!AN63*属性价值参考!C$26+附件合成!AO63*属性价值参考!C$27+AP63*(属性价值参考!C$37+属性价值参考!C$38)</f>
        <v>22386</v>
      </c>
      <c r="Z63" s="158">
        <f t="shared" si="4"/>
        <v>7127.625</v>
      </c>
      <c r="AA63" s="158">
        <f t="shared" si="5"/>
        <v>7127625</v>
      </c>
      <c r="AB63" s="158">
        <f>ROUND(1/4*SUM(材料产出!$AB$19:$AB$21),0)</f>
        <v>1244</v>
      </c>
      <c r="AC63" s="158">
        <f t="shared" si="43"/>
        <v>1244000</v>
      </c>
      <c r="AD63" s="8">
        <f t="shared" si="7"/>
        <v>150</v>
      </c>
      <c r="AE63" s="97">
        <f t="shared" si="71"/>
        <v>30</v>
      </c>
      <c r="AF63" s="8">
        <f t="shared" si="9"/>
        <v>150</v>
      </c>
      <c r="AG63" s="8">
        <f t="shared" si="10"/>
        <v>150</v>
      </c>
      <c r="AH63" s="97">
        <f>6/10*$AH$103</f>
        <v>6</v>
      </c>
      <c r="AI63" s="97">
        <f>6/10*$AI$103</f>
        <v>6</v>
      </c>
      <c r="AJ63" s="8">
        <f t="shared" si="13"/>
        <v>150</v>
      </c>
      <c r="AK63" s="97">
        <f>6/10*$AK$103</f>
        <v>12</v>
      </c>
      <c r="AL63" s="8">
        <f t="shared" si="15"/>
        <v>6000</v>
      </c>
      <c r="AM63" s="8">
        <f t="shared" si="16"/>
        <v>24000</v>
      </c>
      <c r="AN63" s="97">
        <f>6/10*$AN$103</f>
        <v>6</v>
      </c>
      <c r="AO63" s="97">
        <f>6/10*$AO$103</f>
        <v>6</v>
      </c>
      <c r="AP63" s="97">
        <f>5/20*$AP$103</f>
        <v>500</v>
      </c>
    </row>
    <row r="64" spans="1:42" ht="16.5" x14ac:dyDescent="0.3">
      <c r="A64" s="22" t="s">
        <v>2278</v>
      </c>
      <c r="B64" s="23" t="s">
        <v>2339</v>
      </c>
      <c r="C64" s="22">
        <v>60</v>
      </c>
      <c r="D64" s="22"/>
      <c r="E64" s="22"/>
      <c r="F64" s="98">
        <f t="shared" si="37"/>
        <v>75</v>
      </c>
      <c r="G64" s="101">
        <f t="shared" si="38"/>
        <v>150</v>
      </c>
      <c r="H64" s="98">
        <f t="shared" si="39"/>
        <v>75</v>
      </c>
      <c r="I64" s="101">
        <f t="shared" si="40"/>
        <v>150</v>
      </c>
      <c r="J64" s="98">
        <f t="shared" si="41"/>
        <v>75</v>
      </c>
      <c r="K64" s="101">
        <f t="shared" si="42"/>
        <v>150</v>
      </c>
      <c r="L64" s="101"/>
      <c r="M64" s="101"/>
      <c r="N64" s="101"/>
      <c r="O64" s="101"/>
      <c r="P64" s="69" t="str">
        <f t="shared" si="22"/>
        <v>HPMP%30</v>
      </c>
      <c r="Q64" s="100" t="str">
        <f t="shared" si="21"/>
        <v>龙晶碎片3130/元宝3130000</v>
      </c>
      <c r="R64" s="191">
        <v>61</v>
      </c>
      <c r="S64" s="207"/>
      <c r="T64" s="158">
        <f t="shared" si="0"/>
        <v>6100</v>
      </c>
      <c r="U64" s="158">
        <f t="shared" si="1"/>
        <v>24400</v>
      </c>
      <c r="V64" s="158">
        <f t="shared" si="2"/>
        <v>305</v>
      </c>
      <c r="W64" s="158">
        <f t="shared" si="3"/>
        <v>305</v>
      </c>
      <c r="X64" s="158">
        <f>T64*属性价值参考!C$5+附件合成!U64*属性价值参考!C$6+附件合成!V64*(属性价值参考!C$7+属性价值参考!C$8)+附件合成!W64*(属性价值参考!C$9+属性价值参考!C$10)</f>
        <v>93183.6</v>
      </c>
      <c r="Y64" s="158">
        <f>AE64*属性价值参考!C$26+附件合成!AH64*属性价值参考!C$24+附件合成!AI64*属性价值参考!C$26+附件合成!AK64*(属性价值参考!C$28+属性价值参考!C$29)+附件合成!AN64*属性价值参考!C$26+附件合成!AO64*属性价值参考!C$27+AP64*(属性价值参考!C$37+属性价值参考!C$38)</f>
        <v>32124</v>
      </c>
      <c r="Z64" s="158">
        <f t="shared" si="4"/>
        <v>7831.7250000000004</v>
      </c>
      <c r="AA64" s="158">
        <f t="shared" si="5"/>
        <v>7831725</v>
      </c>
      <c r="AB64" s="158">
        <f>ROUND(1/4*SUM(材料产出!$AB$22:$AB$24),0)</f>
        <v>3130</v>
      </c>
      <c r="AC64" s="158">
        <f t="shared" si="43"/>
        <v>3130000</v>
      </c>
      <c r="AD64" s="104">
        <f t="shared" si="7"/>
        <v>152</v>
      </c>
      <c r="AE64" s="105">
        <f t="shared" si="71"/>
        <v>30</v>
      </c>
      <c r="AF64" s="104">
        <f t="shared" si="9"/>
        <v>152</v>
      </c>
      <c r="AG64" s="104">
        <f t="shared" si="10"/>
        <v>152</v>
      </c>
      <c r="AH64" s="97">
        <f t="shared" ref="AH64:AH72" si="72">7/10*$AH$103</f>
        <v>7</v>
      </c>
      <c r="AI64" s="97">
        <f t="shared" ref="AI64:AI72" si="73">7/10*$AI$103</f>
        <v>7</v>
      </c>
      <c r="AJ64" s="104">
        <f t="shared" si="13"/>
        <v>152</v>
      </c>
      <c r="AK64" s="97">
        <f t="shared" ref="AK64:AK72" si="74">7/10*$AK$103</f>
        <v>14</v>
      </c>
      <c r="AL64" s="104">
        <f t="shared" si="15"/>
        <v>6100</v>
      </c>
      <c r="AM64" s="104">
        <f t="shared" si="16"/>
        <v>24400</v>
      </c>
      <c r="AN64" s="97">
        <f t="shared" ref="AN64:AN72" si="75">7/10*$AN$103</f>
        <v>7</v>
      </c>
      <c r="AO64" s="97">
        <f t="shared" ref="AO64:AO72" si="76">7/10*$AO$103</f>
        <v>7</v>
      </c>
      <c r="AP64" s="97">
        <f t="shared" ref="AP64:AP72" si="77">8/20*$AP$103</f>
        <v>800</v>
      </c>
    </row>
    <row r="65" spans="1:42" ht="16.5" x14ac:dyDescent="0.3">
      <c r="A65" s="22" t="s">
        <v>2278</v>
      </c>
      <c r="B65" s="23" t="s">
        <v>2340</v>
      </c>
      <c r="C65" s="22">
        <v>61</v>
      </c>
      <c r="D65" s="22"/>
      <c r="E65" s="22"/>
      <c r="F65" s="98">
        <f t="shared" si="37"/>
        <v>76</v>
      </c>
      <c r="G65" s="101">
        <f t="shared" si="38"/>
        <v>152</v>
      </c>
      <c r="H65" s="98">
        <f t="shared" si="39"/>
        <v>76</v>
      </c>
      <c r="I65" s="101">
        <f t="shared" si="40"/>
        <v>152</v>
      </c>
      <c r="J65" s="98">
        <f t="shared" si="41"/>
        <v>76</v>
      </c>
      <c r="K65" s="101">
        <f t="shared" si="42"/>
        <v>152</v>
      </c>
      <c r="L65" s="101"/>
      <c r="M65" s="101"/>
      <c r="N65" s="101"/>
      <c r="O65" s="101"/>
      <c r="P65" s="69" t="str">
        <f t="shared" si="22"/>
        <v>HPMP%30</v>
      </c>
      <c r="Q65" s="100" t="str">
        <f t="shared" si="21"/>
        <v>龙晶碎片3130/元宝3130000</v>
      </c>
      <c r="R65" s="97">
        <v>62</v>
      </c>
      <c r="S65" s="158"/>
      <c r="T65" s="158">
        <f t="shared" si="0"/>
        <v>6200</v>
      </c>
      <c r="U65" s="158">
        <f t="shared" si="1"/>
        <v>24800</v>
      </c>
      <c r="V65" s="158">
        <f t="shared" si="2"/>
        <v>310</v>
      </c>
      <c r="W65" s="158">
        <f t="shared" si="3"/>
        <v>310</v>
      </c>
      <c r="X65" s="158">
        <f>T65*属性价值参考!C$5+附件合成!U65*属性价值参考!C$6+附件合成!V65*(属性价值参考!C$7+属性价值参考!C$8)+附件合成!W65*(属性价值参考!C$9+属性价值参考!C$10)</f>
        <v>94711.2</v>
      </c>
      <c r="Y65" s="158">
        <f>AE65*属性价值参考!C$26+附件合成!AH65*属性价值参考!C$24+附件合成!AI65*属性价值参考!C$26+附件合成!AK65*(属性价值参考!C$28+属性价值参考!C$29)+附件合成!AN65*属性价值参考!C$26+附件合成!AO65*属性价值参考!C$27+AP65*(属性价值参考!C$37+属性价值参考!C$38)</f>
        <v>32448</v>
      </c>
      <c r="Z65" s="158">
        <f t="shared" si="4"/>
        <v>7947.45</v>
      </c>
      <c r="AA65" s="158">
        <f t="shared" si="5"/>
        <v>7947450</v>
      </c>
      <c r="AB65" s="158">
        <f>ROUND(1/4*SUM(材料产出!$AB$22:$AB$24),0)</f>
        <v>3130</v>
      </c>
      <c r="AC65" s="158">
        <f t="shared" si="43"/>
        <v>3130000</v>
      </c>
      <c r="AD65" s="8">
        <f t="shared" si="7"/>
        <v>155</v>
      </c>
      <c r="AE65" s="97">
        <f t="shared" ref="AE65:AE74" si="78">35/50*$AE$103</f>
        <v>35</v>
      </c>
      <c r="AF65" s="8">
        <f t="shared" si="9"/>
        <v>155</v>
      </c>
      <c r="AG65" s="8">
        <f t="shared" si="10"/>
        <v>155</v>
      </c>
      <c r="AH65" s="97">
        <f t="shared" si="72"/>
        <v>7</v>
      </c>
      <c r="AI65" s="97">
        <f t="shared" si="73"/>
        <v>7</v>
      </c>
      <c r="AJ65" s="8">
        <f t="shared" si="13"/>
        <v>155</v>
      </c>
      <c r="AK65" s="97">
        <f t="shared" si="74"/>
        <v>14</v>
      </c>
      <c r="AL65" s="8">
        <f t="shared" si="15"/>
        <v>6200</v>
      </c>
      <c r="AM65" s="8">
        <f t="shared" si="16"/>
        <v>24800</v>
      </c>
      <c r="AN65" s="97">
        <f t="shared" si="75"/>
        <v>7</v>
      </c>
      <c r="AO65" s="97">
        <f t="shared" si="76"/>
        <v>7</v>
      </c>
      <c r="AP65" s="97">
        <f t="shared" si="77"/>
        <v>800</v>
      </c>
    </row>
    <row r="66" spans="1:42" ht="16.5" x14ac:dyDescent="0.3">
      <c r="A66" s="22" t="s">
        <v>2278</v>
      </c>
      <c r="B66" s="23" t="s">
        <v>2341</v>
      </c>
      <c r="C66" s="22">
        <v>62</v>
      </c>
      <c r="D66" s="22"/>
      <c r="E66" s="22"/>
      <c r="F66" s="98">
        <f t="shared" si="37"/>
        <v>78</v>
      </c>
      <c r="G66" s="101">
        <f t="shared" si="38"/>
        <v>155</v>
      </c>
      <c r="H66" s="98">
        <f t="shared" si="39"/>
        <v>78</v>
      </c>
      <c r="I66" s="101">
        <f t="shared" si="40"/>
        <v>155</v>
      </c>
      <c r="J66" s="98">
        <f t="shared" si="41"/>
        <v>78</v>
      </c>
      <c r="K66" s="101">
        <f t="shared" si="42"/>
        <v>155</v>
      </c>
      <c r="L66" s="101"/>
      <c r="M66" s="101"/>
      <c r="N66" s="101"/>
      <c r="O66" s="101"/>
      <c r="P66" s="69" t="str">
        <f t="shared" si="22"/>
        <v>HPMP%35</v>
      </c>
      <c r="Q66" s="100" t="str">
        <f t="shared" si="21"/>
        <v>龙晶碎片3130/元宝3130000</v>
      </c>
      <c r="R66" s="97">
        <v>63</v>
      </c>
      <c r="S66" s="158"/>
      <c r="T66" s="158">
        <f t="shared" si="0"/>
        <v>6300</v>
      </c>
      <c r="U66" s="158">
        <f t="shared" si="1"/>
        <v>25200</v>
      </c>
      <c r="V66" s="158">
        <f t="shared" si="2"/>
        <v>315</v>
      </c>
      <c r="W66" s="158">
        <f t="shared" si="3"/>
        <v>315</v>
      </c>
      <c r="X66" s="158">
        <f>T66*属性价值参考!C$5+附件合成!U66*属性价值参考!C$6+附件合成!V66*(属性价值参考!C$7+属性价值参考!C$8)+附件合成!W66*(属性价值参考!C$9+属性价值参考!C$10)</f>
        <v>96238.8</v>
      </c>
      <c r="Y66" s="158">
        <f>AE66*属性价值参考!C$26+附件合成!AH66*属性价值参考!C$24+附件合成!AI66*属性价值参考!C$26+附件合成!AK66*(属性价值参考!C$28+属性价值参考!C$29)+附件合成!AN66*属性价值参考!C$26+附件合成!AO66*属性价值参考!C$27+AP66*(属性价值参考!C$37+属性价值参考!C$38)</f>
        <v>32448</v>
      </c>
      <c r="Z66" s="158">
        <f t="shared" si="4"/>
        <v>8042.9250000000002</v>
      </c>
      <c r="AA66" s="158">
        <f t="shared" si="5"/>
        <v>8042925</v>
      </c>
      <c r="AB66" s="158">
        <f>ROUND(1/4*SUM(材料产出!$AB$22:$AB$24),0)</f>
        <v>3130</v>
      </c>
      <c r="AC66" s="158">
        <f t="shared" si="43"/>
        <v>3130000</v>
      </c>
      <c r="AD66" s="8">
        <f t="shared" si="7"/>
        <v>157</v>
      </c>
      <c r="AE66" s="97">
        <f t="shared" si="78"/>
        <v>35</v>
      </c>
      <c r="AF66" s="8">
        <f t="shared" si="9"/>
        <v>157</v>
      </c>
      <c r="AG66" s="8">
        <f t="shared" si="10"/>
        <v>157</v>
      </c>
      <c r="AH66" s="97">
        <f t="shared" si="72"/>
        <v>7</v>
      </c>
      <c r="AI66" s="97">
        <f t="shared" si="73"/>
        <v>7</v>
      </c>
      <c r="AJ66" s="8">
        <f t="shared" si="13"/>
        <v>157</v>
      </c>
      <c r="AK66" s="97">
        <f t="shared" si="74"/>
        <v>14</v>
      </c>
      <c r="AL66" s="8">
        <f t="shared" si="15"/>
        <v>6300</v>
      </c>
      <c r="AM66" s="8">
        <f t="shared" si="16"/>
        <v>25200</v>
      </c>
      <c r="AN66" s="97">
        <f t="shared" si="75"/>
        <v>7</v>
      </c>
      <c r="AO66" s="97">
        <f t="shared" si="76"/>
        <v>7</v>
      </c>
      <c r="AP66" s="97">
        <f t="shared" si="77"/>
        <v>800</v>
      </c>
    </row>
    <row r="67" spans="1:42" ht="16.5" x14ac:dyDescent="0.3">
      <c r="A67" s="22" t="s">
        <v>2278</v>
      </c>
      <c r="B67" s="23" t="s">
        <v>2342</v>
      </c>
      <c r="C67" s="22">
        <v>63</v>
      </c>
      <c r="D67" s="22"/>
      <c r="E67" s="22"/>
      <c r="F67" s="98">
        <f t="shared" si="37"/>
        <v>79</v>
      </c>
      <c r="G67" s="101">
        <f t="shared" si="38"/>
        <v>157</v>
      </c>
      <c r="H67" s="98">
        <f t="shared" si="39"/>
        <v>79</v>
      </c>
      <c r="I67" s="101">
        <f t="shared" si="40"/>
        <v>157</v>
      </c>
      <c r="J67" s="98">
        <f t="shared" si="41"/>
        <v>79</v>
      </c>
      <c r="K67" s="101">
        <f t="shared" si="42"/>
        <v>157</v>
      </c>
      <c r="L67" s="101"/>
      <c r="M67" s="101"/>
      <c r="N67" s="101"/>
      <c r="O67" s="101"/>
      <c r="P67" s="69" t="str">
        <f t="shared" si="22"/>
        <v>HPMP%35</v>
      </c>
      <c r="Q67" s="100" t="str">
        <f t="shared" si="21"/>
        <v>龙晶碎片3130/元宝3130000</v>
      </c>
      <c r="R67" s="97">
        <v>64</v>
      </c>
      <c r="S67" s="158"/>
      <c r="T67" s="158">
        <f t="shared" si="0"/>
        <v>6400</v>
      </c>
      <c r="U67" s="158">
        <f t="shared" si="1"/>
        <v>25600</v>
      </c>
      <c r="V67" s="158">
        <f t="shared" si="2"/>
        <v>320</v>
      </c>
      <c r="W67" s="158">
        <f t="shared" si="3"/>
        <v>320</v>
      </c>
      <c r="X67" s="158">
        <f>T67*属性价值参考!C$5+附件合成!U67*属性价值参考!C$6+附件合成!V67*(属性价值参考!C$7+属性价值参考!C$8)+附件合成!W67*(属性价值参考!C$9+属性价值参考!C$10)</f>
        <v>97766.399999999994</v>
      </c>
      <c r="Y67" s="158">
        <f>AE67*属性价值参考!C$26+附件合成!AH67*属性价值参考!C$24+附件合成!AI67*属性价值参考!C$26+附件合成!AK67*(属性价值参考!C$28+属性价值参考!C$29)+附件合成!AN67*属性价值参考!C$26+附件合成!AO67*属性价值参考!C$27+AP67*(属性价值参考!C$37+属性价值参考!C$38)</f>
        <v>32448</v>
      </c>
      <c r="Z67" s="158">
        <f t="shared" si="4"/>
        <v>8138.4</v>
      </c>
      <c r="AA67" s="158">
        <f t="shared" si="5"/>
        <v>8138400</v>
      </c>
      <c r="AB67" s="158">
        <f>ROUND(1/4*SUM(材料产出!$AB$22:$AB$24),0)</f>
        <v>3130</v>
      </c>
      <c r="AC67" s="158">
        <f t="shared" si="43"/>
        <v>3130000</v>
      </c>
      <c r="AD67" s="8">
        <f t="shared" si="7"/>
        <v>160</v>
      </c>
      <c r="AE67" s="97">
        <f t="shared" si="78"/>
        <v>35</v>
      </c>
      <c r="AF67" s="8">
        <f t="shared" si="9"/>
        <v>160</v>
      </c>
      <c r="AG67" s="8">
        <f t="shared" si="10"/>
        <v>160</v>
      </c>
      <c r="AH67" s="97">
        <f t="shared" si="72"/>
        <v>7</v>
      </c>
      <c r="AI67" s="97">
        <f t="shared" si="73"/>
        <v>7</v>
      </c>
      <c r="AJ67" s="8">
        <f t="shared" si="13"/>
        <v>160</v>
      </c>
      <c r="AK67" s="97">
        <f t="shared" si="74"/>
        <v>14</v>
      </c>
      <c r="AL67" s="8">
        <f t="shared" si="15"/>
        <v>6400</v>
      </c>
      <c r="AM67" s="8">
        <f t="shared" si="16"/>
        <v>25600</v>
      </c>
      <c r="AN67" s="97">
        <f t="shared" si="75"/>
        <v>7</v>
      </c>
      <c r="AO67" s="97">
        <f t="shared" si="76"/>
        <v>7</v>
      </c>
      <c r="AP67" s="97">
        <f t="shared" si="77"/>
        <v>800</v>
      </c>
    </row>
    <row r="68" spans="1:42" ht="16.5" x14ac:dyDescent="0.3">
      <c r="A68" s="22" t="s">
        <v>2278</v>
      </c>
      <c r="B68" s="23" t="s">
        <v>2343</v>
      </c>
      <c r="C68" s="22">
        <v>64</v>
      </c>
      <c r="D68" s="22"/>
      <c r="E68" s="22"/>
      <c r="F68" s="98">
        <f t="shared" si="37"/>
        <v>80</v>
      </c>
      <c r="G68" s="101">
        <f t="shared" si="38"/>
        <v>160</v>
      </c>
      <c r="H68" s="98">
        <f t="shared" si="39"/>
        <v>80</v>
      </c>
      <c r="I68" s="101">
        <f t="shared" si="40"/>
        <v>160</v>
      </c>
      <c r="J68" s="98">
        <f t="shared" si="41"/>
        <v>80</v>
      </c>
      <c r="K68" s="101">
        <f t="shared" si="42"/>
        <v>160</v>
      </c>
      <c r="L68" s="101"/>
      <c r="M68" s="101"/>
      <c r="N68" s="101"/>
      <c r="O68" s="101"/>
      <c r="P68" s="69" t="str">
        <f t="shared" si="22"/>
        <v>HPMP%35</v>
      </c>
      <c r="Q68" s="100" t="str">
        <f t="shared" si="21"/>
        <v>龙晶碎片3130/元宝3130000</v>
      </c>
      <c r="R68" s="97">
        <v>65</v>
      </c>
      <c r="S68" s="158"/>
      <c r="T68" s="158">
        <f t="shared" ref="T68:T101" si="79">INT(R68/R$103*T$103)</f>
        <v>6500</v>
      </c>
      <c r="U68" s="158">
        <f t="shared" ref="U68:U101" si="80">INT(R68/R$103*U$103)</f>
        <v>26000</v>
      </c>
      <c r="V68" s="158">
        <f t="shared" ref="V68:V101" si="81">INT(R68/R$103*V$103)</f>
        <v>325</v>
      </c>
      <c r="W68" s="158">
        <f t="shared" ref="W68:W101" si="82">INT(R68/R$103*W$103)</f>
        <v>325</v>
      </c>
      <c r="X68" s="158">
        <f>T68*属性价值参考!C$5+附件合成!U68*属性价值参考!C$6+附件合成!V68*(属性价值参考!C$7+属性价值参考!C$8)+附件合成!W68*(属性价值参考!C$9+属性价值参考!C$10)</f>
        <v>99294</v>
      </c>
      <c r="Y68" s="158">
        <f>AE68*属性价值参考!C$26+附件合成!AH68*属性价值参考!C$24+附件合成!AI68*属性价值参考!C$26+附件合成!AK68*(属性价值参考!C$28+属性价值参考!C$29)+附件合成!AN68*属性价值参考!C$26+附件合成!AO68*属性价值参考!C$27+AP68*(属性价值参考!C$37+属性价值参考!C$38)</f>
        <v>32448</v>
      </c>
      <c r="Z68" s="158">
        <f t="shared" ref="Z68:Z102" si="83">(X68+Y68)/16</f>
        <v>8233.875</v>
      </c>
      <c r="AA68" s="158">
        <f t="shared" ref="AA68:AA102" si="84">(X68+Y68)/16*1000</f>
        <v>8233875</v>
      </c>
      <c r="AB68" s="158">
        <f>ROUND(1/4*SUM(材料产出!$AB$22:$AB$24),0)</f>
        <v>3130</v>
      </c>
      <c r="AC68" s="158">
        <f t="shared" si="43"/>
        <v>3130000</v>
      </c>
      <c r="AD68" s="8">
        <f t="shared" ref="AD68:AD102" si="85">INT(0.5*V68)</f>
        <v>162</v>
      </c>
      <c r="AE68" s="97">
        <f t="shared" si="78"/>
        <v>35</v>
      </c>
      <c r="AF68" s="8">
        <f t="shared" ref="AF68:AF102" si="86">INT(0.5*V68)</f>
        <v>162</v>
      </c>
      <c r="AG68" s="8">
        <f t="shared" ref="AG68:AG102" si="87">INT(0.5*W68)</f>
        <v>162</v>
      </c>
      <c r="AH68" s="97">
        <f t="shared" si="72"/>
        <v>7</v>
      </c>
      <c r="AI68" s="97">
        <f t="shared" si="73"/>
        <v>7</v>
      </c>
      <c r="AJ68" s="8">
        <f t="shared" ref="AJ68:AJ102" si="88">INT(0.5*W68)</f>
        <v>162</v>
      </c>
      <c r="AK68" s="97">
        <f t="shared" si="74"/>
        <v>14</v>
      </c>
      <c r="AL68" s="8">
        <f t="shared" ref="AL68:AL102" si="89">INT(T68)</f>
        <v>6500</v>
      </c>
      <c r="AM68" s="8">
        <f t="shared" ref="AM68:AM102" si="90">INT(U68)</f>
        <v>26000</v>
      </c>
      <c r="AN68" s="97">
        <f t="shared" si="75"/>
        <v>7</v>
      </c>
      <c r="AO68" s="97">
        <f t="shared" si="76"/>
        <v>7</v>
      </c>
      <c r="AP68" s="97">
        <f t="shared" si="77"/>
        <v>800</v>
      </c>
    </row>
    <row r="69" spans="1:42" ht="16.5" x14ac:dyDescent="0.3">
      <c r="A69" s="22" t="s">
        <v>2278</v>
      </c>
      <c r="B69" s="23" t="s">
        <v>2344</v>
      </c>
      <c r="C69" s="22">
        <v>65</v>
      </c>
      <c r="D69" s="22"/>
      <c r="E69" s="22"/>
      <c r="F69" s="98">
        <f t="shared" si="37"/>
        <v>81</v>
      </c>
      <c r="G69" s="101">
        <f t="shared" si="38"/>
        <v>162</v>
      </c>
      <c r="H69" s="98">
        <f t="shared" si="39"/>
        <v>81</v>
      </c>
      <c r="I69" s="101">
        <f t="shared" si="40"/>
        <v>162</v>
      </c>
      <c r="J69" s="98">
        <f t="shared" si="41"/>
        <v>81</v>
      </c>
      <c r="K69" s="101">
        <f t="shared" si="42"/>
        <v>162</v>
      </c>
      <c r="L69" s="101"/>
      <c r="M69" s="101"/>
      <c r="N69" s="101"/>
      <c r="O69" s="101"/>
      <c r="P69" s="69" t="str">
        <f t="shared" si="22"/>
        <v>HPMP%35</v>
      </c>
      <c r="Q69" s="100" t="str">
        <f t="shared" ref="Q69:Q103" si="91">"龙晶碎片"&amp;AB69&amp;"/元宝"&amp;AC69</f>
        <v>龙晶碎片3130/元宝3130000</v>
      </c>
      <c r="R69" s="97">
        <v>66</v>
      </c>
      <c r="S69" s="158"/>
      <c r="T69" s="158">
        <f t="shared" si="79"/>
        <v>6600</v>
      </c>
      <c r="U69" s="158">
        <f t="shared" si="80"/>
        <v>26400</v>
      </c>
      <c r="V69" s="158">
        <f t="shared" si="81"/>
        <v>330</v>
      </c>
      <c r="W69" s="158">
        <f t="shared" si="82"/>
        <v>330</v>
      </c>
      <c r="X69" s="158">
        <f>T69*属性价值参考!C$5+附件合成!U69*属性价值参考!C$6+附件合成!V69*(属性价值参考!C$7+属性价值参考!C$8)+附件合成!W69*(属性价值参考!C$9+属性价值参考!C$10)</f>
        <v>100821.59999999999</v>
      </c>
      <c r="Y69" s="158">
        <f>AE69*属性价值参考!C$26+附件合成!AH69*属性价值参考!C$24+附件合成!AI69*属性价值参考!C$26+附件合成!AK69*(属性价值参考!C$28+属性价值参考!C$29)+附件合成!AN69*属性价值参考!C$26+附件合成!AO69*属性价值参考!C$27+AP69*(属性价值参考!C$37+属性价值参考!C$38)</f>
        <v>32448</v>
      </c>
      <c r="Z69" s="158">
        <f t="shared" si="83"/>
        <v>8329.3499999999985</v>
      </c>
      <c r="AA69" s="158">
        <f t="shared" si="84"/>
        <v>8329349.9999999981</v>
      </c>
      <c r="AB69" s="158">
        <f>ROUND(1/4*SUM(材料产出!$AB$22:$AB$24),0)</f>
        <v>3130</v>
      </c>
      <c r="AC69" s="158">
        <f t="shared" si="43"/>
        <v>3130000</v>
      </c>
      <c r="AD69" s="8">
        <f t="shared" si="85"/>
        <v>165</v>
      </c>
      <c r="AE69" s="97">
        <f t="shared" si="78"/>
        <v>35</v>
      </c>
      <c r="AF69" s="8">
        <f t="shared" si="86"/>
        <v>165</v>
      </c>
      <c r="AG69" s="8">
        <f t="shared" si="87"/>
        <v>165</v>
      </c>
      <c r="AH69" s="97">
        <f t="shared" si="72"/>
        <v>7</v>
      </c>
      <c r="AI69" s="97">
        <f t="shared" si="73"/>
        <v>7</v>
      </c>
      <c r="AJ69" s="8">
        <f t="shared" si="88"/>
        <v>165</v>
      </c>
      <c r="AK69" s="97">
        <f t="shared" si="74"/>
        <v>14</v>
      </c>
      <c r="AL69" s="8">
        <f t="shared" si="89"/>
        <v>6600</v>
      </c>
      <c r="AM69" s="8">
        <f t="shared" si="90"/>
        <v>26400</v>
      </c>
      <c r="AN69" s="97">
        <f t="shared" si="75"/>
        <v>7</v>
      </c>
      <c r="AO69" s="97">
        <f t="shared" si="76"/>
        <v>7</v>
      </c>
      <c r="AP69" s="97">
        <f t="shared" si="77"/>
        <v>800</v>
      </c>
    </row>
    <row r="70" spans="1:42" ht="16.5" x14ac:dyDescent="0.3">
      <c r="A70" s="22" t="s">
        <v>2278</v>
      </c>
      <c r="B70" s="23" t="s">
        <v>2345</v>
      </c>
      <c r="C70" s="22">
        <v>66</v>
      </c>
      <c r="D70" s="22"/>
      <c r="E70" s="22"/>
      <c r="F70" s="98">
        <f t="shared" si="37"/>
        <v>83</v>
      </c>
      <c r="G70" s="101">
        <f t="shared" si="38"/>
        <v>165</v>
      </c>
      <c r="H70" s="98">
        <f t="shared" si="39"/>
        <v>83</v>
      </c>
      <c r="I70" s="101">
        <f t="shared" si="40"/>
        <v>165</v>
      </c>
      <c r="J70" s="98">
        <f t="shared" si="41"/>
        <v>83</v>
      </c>
      <c r="K70" s="101">
        <f t="shared" si="42"/>
        <v>165</v>
      </c>
      <c r="L70" s="101"/>
      <c r="M70" s="101"/>
      <c r="N70" s="101"/>
      <c r="O70" s="101"/>
      <c r="P70" s="69" t="str">
        <f t="shared" ref="P70:P104" si="92">$AE$3&amp;AE69</f>
        <v>HPMP%35</v>
      </c>
      <c r="Q70" s="100" t="str">
        <f t="shared" si="91"/>
        <v>龙晶碎片3130/元宝3130000</v>
      </c>
      <c r="R70" s="97">
        <v>67</v>
      </c>
      <c r="S70" s="158"/>
      <c r="T70" s="158">
        <f t="shared" si="79"/>
        <v>6700</v>
      </c>
      <c r="U70" s="158">
        <f t="shared" si="80"/>
        <v>26800</v>
      </c>
      <c r="V70" s="158">
        <f t="shared" si="81"/>
        <v>335</v>
      </c>
      <c r="W70" s="158">
        <f t="shared" si="82"/>
        <v>335</v>
      </c>
      <c r="X70" s="158">
        <f>T70*属性价值参考!C$5+附件合成!U70*属性价值参考!C$6+附件合成!V70*(属性价值参考!C$7+属性价值参考!C$8)+附件合成!W70*(属性价值参考!C$9+属性价值参考!C$10)</f>
        <v>102349.2</v>
      </c>
      <c r="Y70" s="158">
        <f>AE70*属性价值参考!C$26+附件合成!AH70*属性价值参考!C$24+附件合成!AI70*属性价值参考!C$26+附件合成!AK70*(属性价值参考!C$28+属性价值参考!C$29)+附件合成!AN70*属性价值参考!C$26+附件合成!AO70*属性价值参考!C$27+AP70*(属性价值参考!C$37+属性价值参考!C$38)</f>
        <v>32448</v>
      </c>
      <c r="Z70" s="158">
        <f t="shared" si="83"/>
        <v>8424.8250000000007</v>
      </c>
      <c r="AA70" s="158">
        <f t="shared" si="84"/>
        <v>8424825</v>
      </c>
      <c r="AB70" s="158">
        <f>ROUND(1/4*SUM(材料产出!$AB$22:$AB$24),0)</f>
        <v>3130</v>
      </c>
      <c r="AC70" s="158">
        <f t="shared" si="43"/>
        <v>3130000</v>
      </c>
      <c r="AD70" s="8">
        <f t="shared" si="85"/>
        <v>167</v>
      </c>
      <c r="AE70" s="97">
        <f t="shared" si="78"/>
        <v>35</v>
      </c>
      <c r="AF70" s="8">
        <f t="shared" si="86"/>
        <v>167</v>
      </c>
      <c r="AG70" s="8">
        <f t="shared" si="87"/>
        <v>167</v>
      </c>
      <c r="AH70" s="97">
        <f t="shared" si="72"/>
        <v>7</v>
      </c>
      <c r="AI70" s="97">
        <f t="shared" si="73"/>
        <v>7</v>
      </c>
      <c r="AJ70" s="8">
        <f t="shared" si="88"/>
        <v>167</v>
      </c>
      <c r="AK70" s="97">
        <f t="shared" si="74"/>
        <v>14</v>
      </c>
      <c r="AL70" s="8">
        <f t="shared" si="89"/>
        <v>6700</v>
      </c>
      <c r="AM70" s="8">
        <f t="shared" si="90"/>
        <v>26800</v>
      </c>
      <c r="AN70" s="97">
        <f t="shared" si="75"/>
        <v>7</v>
      </c>
      <c r="AO70" s="97">
        <f t="shared" si="76"/>
        <v>7</v>
      </c>
      <c r="AP70" s="97">
        <f t="shared" si="77"/>
        <v>800</v>
      </c>
    </row>
    <row r="71" spans="1:42" ht="16.5" x14ac:dyDescent="0.3">
      <c r="A71" s="22" t="s">
        <v>2278</v>
      </c>
      <c r="B71" s="23" t="s">
        <v>2346</v>
      </c>
      <c r="C71" s="22">
        <v>67</v>
      </c>
      <c r="D71" s="22"/>
      <c r="E71" s="22"/>
      <c r="F71" s="98">
        <f t="shared" si="37"/>
        <v>84</v>
      </c>
      <c r="G71" s="101">
        <f t="shared" si="38"/>
        <v>167</v>
      </c>
      <c r="H71" s="98">
        <f t="shared" si="39"/>
        <v>84</v>
      </c>
      <c r="I71" s="101">
        <f t="shared" si="40"/>
        <v>167</v>
      </c>
      <c r="J71" s="98">
        <f t="shared" si="41"/>
        <v>84</v>
      </c>
      <c r="K71" s="101">
        <f t="shared" si="42"/>
        <v>167</v>
      </c>
      <c r="L71" s="101"/>
      <c r="M71" s="101"/>
      <c r="N71" s="101"/>
      <c r="O71" s="101"/>
      <c r="P71" s="69" t="str">
        <f t="shared" si="92"/>
        <v>HPMP%35</v>
      </c>
      <c r="Q71" s="100" t="str">
        <f t="shared" si="91"/>
        <v>龙晶碎片3130/元宝3130000</v>
      </c>
      <c r="R71" s="97">
        <v>68</v>
      </c>
      <c r="S71" s="158"/>
      <c r="T71" s="158">
        <f t="shared" si="79"/>
        <v>6800</v>
      </c>
      <c r="U71" s="158">
        <f t="shared" si="80"/>
        <v>27200</v>
      </c>
      <c r="V71" s="158">
        <f t="shared" si="81"/>
        <v>340</v>
      </c>
      <c r="W71" s="158">
        <f t="shared" si="82"/>
        <v>340</v>
      </c>
      <c r="X71" s="158">
        <f>T71*属性价值参考!C$5+附件合成!U71*属性价值参考!C$6+附件合成!V71*(属性价值参考!C$7+属性价值参考!C$8)+附件合成!W71*(属性价值参考!C$9+属性价值参考!C$10)</f>
        <v>103876.8</v>
      </c>
      <c r="Y71" s="158">
        <f>AE71*属性价值参考!C$26+附件合成!AH71*属性价值参考!C$24+附件合成!AI71*属性价值参考!C$26+附件合成!AK71*(属性价值参考!C$28+属性价值参考!C$29)+附件合成!AN71*属性价值参考!C$26+附件合成!AO71*属性价值参考!C$27+AP71*(属性价值参考!C$37+属性价值参考!C$38)</f>
        <v>32448</v>
      </c>
      <c r="Z71" s="158">
        <f t="shared" si="83"/>
        <v>8520.2999999999993</v>
      </c>
      <c r="AA71" s="158">
        <f t="shared" si="84"/>
        <v>8520300</v>
      </c>
      <c r="AB71" s="158">
        <f>ROUND(1/4*SUM(材料产出!$AB$22:$AB$24),0)</f>
        <v>3130</v>
      </c>
      <c r="AC71" s="158">
        <f t="shared" si="43"/>
        <v>3130000</v>
      </c>
      <c r="AD71" s="8">
        <f t="shared" si="85"/>
        <v>170</v>
      </c>
      <c r="AE71" s="97">
        <f t="shared" si="78"/>
        <v>35</v>
      </c>
      <c r="AF71" s="8">
        <f t="shared" si="86"/>
        <v>170</v>
      </c>
      <c r="AG71" s="8">
        <f t="shared" si="87"/>
        <v>170</v>
      </c>
      <c r="AH71" s="97">
        <f t="shared" si="72"/>
        <v>7</v>
      </c>
      <c r="AI71" s="97">
        <f t="shared" si="73"/>
        <v>7</v>
      </c>
      <c r="AJ71" s="8">
        <f t="shared" si="88"/>
        <v>170</v>
      </c>
      <c r="AK71" s="97">
        <f t="shared" si="74"/>
        <v>14</v>
      </c>
      <c r="AL71" s="8">
        <f t="shared" si="89"/>
        <v>6800</v>
      </c>
      <c r="AM71" s="8">
        <f t="shared" si="90"/>
        <v>27200</v>
      </c>
      <c r="AN71" s="97">
        <f t="shared" si="75"/>
        <v>7</v>
      </c>
      <c r="AO71" s="97">
        <f t="shared" si="76"/>
        <v>7</v>
      </c>
      <c r="AP71" s="97">
        <f t="shared" si="77"/>
        <v>800</v>
      </c>
    </row>
    <row r="72" spans="1:42" ht="16.5" x14ac:dyDescent="0.3">
      <c r="A72" s="22" t="s">
        <v>2278</v>
      </c>
      <c r="B72" s="23" t="s">
        <v>2347</v>
      </c>
      <c r="C72" s="22">
        <v>68</v>
      </c>
      <c r="D72" s="22"/>
      <c r="E72" s="22"/>
      <c r="F72" s="98">
        <f t="shared" si="37"/>
        <v>85</v>
      </c>
      <c r="G72" s="101">
        <f t="shared" si="38"/>
        <v>170</v>
      </c>
      <c r="H72" s="98">
        <f t="shared" si="39"/>
        <v>85</v>
      </c>
      <c r="I72" s="101">
        <f t="shared" si="40"/>
        <v>170</v>
      </c>
      <c r="J72" s="98">
        <f t="shared" si="41"/>
        <v>85</v>
      </c>
      <c r="K72" s="101">
        <f t="shared" si="42"/>
        <v>170</v>
      </c>
      <c r="L72" s="101"/>
      <c r="M72" s="101"/>
      <c r="N72" s="101"/>
      <c r="O72" s="101"/>
      <c r="P72" s="69" t="str">
        <f t="shared" si="92"/>
        <v>HPMP%35</v>
      </c>
      <c r="Q72" s="100" t="str">
        <f t="shared" si="91"/>
        <v>龙晶碎片3130/元宝3130000</v>
      </c>
      <c r="R72" s="97">
        <v>69</v>
      </c>
      <c r="S72" s="158"/>
      <c r="T72" s="158">
        <f t="shared" si="79"/>
        <v>6900</v>
      </c>
      <c r="U72" s="158">
        <f t="shared" si="80"/>
        <v>27600</v>
      </c>
      <c r="V72" s="158">
        <f t="shared" si="81"/>
        <v>345</v>
      </c>
      <c r="W72" s="158">
        <f t="shared" si="82"/>
        <v>345</v>
      </c>
      <c r="X72" s="158">
        <f>T72*属性价值参考!C$5+附件合成!U72*属性价值参考!C$6+附件合成!V72*(属性价值参考!C$7+属性价值参考!C$8)+附件合成!W72*(属性价值参考!C$9+属性价值参考!C$10)</f>
        <v>105404.4</v>
      </c>
      <c r="Y72" s="158">
        <f>AE72*属性价值参考!C$26+附件合成!AH72*属性价值参考!C$24+附件合成!AI72*属性价值参考!C$26+附件合成!AK72*(属性价值参考!C$28+属性价值参考!C$29)+附件合成!AN72*属性价值参考!C$26+附件合成!AO72*属性价值参考!C$27+AP72*(属性价值参考!C$37+属性价值参考!C$38)</f>
        <v>32448</v>
      </c>
      <c r="Z72" s="158">
        <f t="shared" si="83"/>
        <v>8615.7749999999996</v>
      </c>
      <c r="AA72" s="158">
        <f t="shared" si="84"/>
        <v>8615775</v>
      </c>
      <c r="AB72" s="158">
        <f>ROUND(1/4*SUM(材料产出!$AB$22:$AB$24),0)</f>
        <v>3130</v>
      </c>
      <c r="AC72" s="158">
        <f t="shared" si="43"/>
        <v>3130000</v>
      </c>
      <c r="AD72" s="8">
        <f t="shared" si="85"/>
        <v>172</v>
      </c>
      <c r="AE72" s="97">
        <f t="shared" si="78"/>
        <v>35</v>
      </c>
      <c r="AF72" s="8">
        <f t="shared" si="86"/>
        <v>172</v>
      </c>
      <c r="AG72" s="8">
        <f t="shared" si="87"/>
        <v>172</v>
      </c>
      <c r="AH72" s="97">
        <f t="shared" si="72"/>
        <v>7</v>
      </c>
      <c r="AI72" s="97">
        <f t="shared" si="73"/>
        <v>7</v>
      </c>
      <c r="AJ72" s="8">
        <f t="shared" si="88"/>
        <v>172</v>
      </c>
      <c r="AK72" s="97">
        <f t="shared" si="74"/>
        <v>14</v>
      </c>
      <c r="AL72" s="8">
        <f t="shared" si="89"/>
        <v>6900</v>
      </c>
      <c r="AM72" s="8">
        <f t="shared" si="90"/>
        <v>27600</v>
      </c>
      <c r="AN72" s="97">
        <f t="shared" si="75"/>
        <v>7</v>
      </c>
      <c r="AO72" s="97">
        <f t="shared" si="76"/>
        <v>7</v>
      </c>
      <c r="AP72" s="97">
        <f t="shared" si="77"/>
        <v>800</v>
      </c>
    </row>
    <row r="73" spans="1:42" ht="16.5" x14ac:dyDescent="0.3">
      <c r="A73" s="22" t="s">
        <v>2278</v>
      </c>
      <c r="B73" s="23" t="s">
        <v>2348</v>
      </c>
      <c r="C73" s="22">
        <v>69</v>
      </c>
      <c r="D73" s="22"/>
      <c r="E73" s="22"/>
      <c r="F73" s="98">
        <f t="shared" si="37"/>
        <v>86</v>
      </c>
      <c r="G73" s="101">
        <f t="shared" si="38"/>
        <v>172</v>
      </c>
      <c r="H73" s="98">
        <f t="shared" si="39"/>
        <v>86</v>
      </c>
      <c r="I73" s="101">
        <f t="shared" si="40"/>
        <v>172</v>
      </c>
      <c r="J73" s="98">
        <f t="shared" si="41"/>
        <v>86</v>
      </c>
      <c r="K73" s="101">
        <f t="shared" si="42"/>
        <v>172</v>
      </c>
      <c r="L73" s="101"/>
      <c r="M73" s="101"/>
      <c r="N73" s="101"/>
      <c r="O73" s="101"/>
      <c r="P73" s="69" t="str">
        <f t="shared" si="92"/>
        <v>HPMP%35</v>
      </c>
      <c r="Q73" s="100" t="str">
        <f t="shared" si="91"/>
        <v>龙晶碎片3130/元宝3130000</v>
      </c>
      <c r="R73" s="97">
        <v>70</v>
      </c>
      <c r="S73" s="206">
        <f>材料产出!C22</f>
        <v>4.5999999999999996</v>
      </c>
      <c r="T73" s="158">
        <f t="shared" si="79"/>
        <v>7000</v>
      </c>
      <c r="U73" s="158">
        <f t="shared" si="80"/>
        <v>28000</v>
      </c>
      <c r="V73" s="158">
        <f t="shared" si="81"/>
        <v>350</v>
      </c>
      <c r="W73" s="158">
        <f t="shared" si="82"/>
        <v>350</v>
      </c>
      <c r="X73" s="158">
        <f>T73*属性价值参考!C$5+附件合成!U73*属性价值参考!C$6+附件合成!V73*(属性价值参考!C$7+属性价值参考!C$8)+附件合成!W73*(属性价值参考!C$9+属性价值参考!C$10)</f>
        <v>106932</v>
      </c>
      <c r="Y73" s="158">
        <f>AE73*属性价值参考!C$26+附件合成!AH73*属性价值参考!C$24+附件合成!AI73*属性价值参考!C$26+附件合成!AK73*(属性价值参考!C$28+属性价值参考!C$29)+附件合成!AN73*属性价值参考!C$26+附件合成!AO73*属性价值参考!C$27+AP73*(属性价值参考!C$37+属性价值参考!C$38)</f>
        <v>32448</v>
      </c>
      <c r="Z73" s="158">
        <f t="shared" si="83"/>
        <v>8711.25</v>
      </c>
      <c r="AA73" s="158">
        <f t="shared" si="84"/>
        <v>8711250</v>
      </c>
      <c r="AB73" s="158">
        <f>ROUND(1/4*SUM(材料产出!$AB$22:$AB$24),0)</f>
        <v>3130</v>
      </c>
      <c r="AC73" s="158">
        <f t="shared" si="43"/>
        <v>3130000</v>
      </c>
      <c r="AD73" s="8">
        <f t="shared" si="85"/>
        <v>175</v>
      </c>
      <c r="AE73" s="97">
        <f t="shared" si="78"/>
        <v>35</v>
      </c>
      <c r="AF73" s="8">
        <f t="shared" si="86"/>
        <v>175</v>
      </c>
      <c r="AG73" s="8">
        <f t="shared" si="87"/>
        <v>175</v>
      </c>
      <c r="AH73" s="97">
        <f>7/10*$AH$103</f>
        <v>7</v>
      </c>
      <c r="AI73" s="97">
        <f>7/10*$AI$103</f>
        <v>7</v>
      </c>
      <c r="AJ73" s="8">
        <f t="shared" si="88"/>
        <v>175</v>
      </c>
      <c r="AK73" s="97">
        <f>7/10*$AK$103</f>
        <v>14</v>
      </c>
      <c r="AL73" s="8">
        <f t="shared" si="89"/>
        <v>7000</v>
      </c>
      <c r="AM73" s="8">
        <f t="shared" si="90"/>
        <v>28000</v>
      </c>
      <c r="AN73" s="97">
        <f>7/10*$AN$103</f>
        <v>7</v>
      </c>
      <c r="AO73" s="97">
        <f>7/10*$AO$103</f>
        <v>7</v>
      </c>
      <c r="AP73" s="97">
        <f>8/20*$AP$103</f>
        <v>800</v>
      </c>
    </row>
    <row r="74" spans="1:42" ht="16.5" x14ac:dyDescent="0.3">
      <c r="A74" s="22" t="s">
        <v>2278</v>
      </c>
      <c r="B74" s="23" t="s">
        <v>2349</v>
      </c>
      <c r="C74" s="22">
        <v>70</v>
      </c>
      <c r="D74" s="22"/>
      <c r="E74" s="22"/>
      <c r="F74" s="98">
        <f t="shared" si="37"/>
        <v>88</v>
      </c>
      <c r="G74" s="101">
        <f t="shared" si="38"/>
        <v>175</v>
      </c>
      <c r="H74" s="98">
        <f t="shared" si="39"/>
        <v>88</v>
      </c>
      <c r="I74" s="101">
        <f t="shared" si="40"/>
        <v>175</v>
      </c>
      <c r="J74" s="98">
        <f t="shared" si="41"/>
        <v>88</v>
      </c>
      <c r="K74" s="101">
        <f t="shared" si="42"/>
        <v>175</v>
      </c>
      <c r="L74" s="101"/>
      <c r="M74" s="101"/>
      <c r="N74" s="101"/>
      <c r="O74" s="101"/>
      <c r="P74" s="69" t="str">
        <f t="shared" si="92"/>
        <v>HPMP%35</v>
      </c>
      <c r="Q74" s="100" t="str">
        <f t="shared" si="91"/>
        <v>龙晶碎片3641/元宝3641000</v>
      </c>
      <c r="R74" s="191">
        <v>71</v>
      </c>
      <c r="S74" s="207"/>
      <c r="T74" s="158">
        <f t="shared" si="79"/>
        <v>7100</v>
      </c>
      <c r="U74" s="158">
        <f t="shared" si="80"/>
        <v>28400</v>
      </c>
      <c r="V74" s="158">
        <f t="shared" si="81"/>
        <v>355</v>
      </c>
      <c r="W74" s="158">
        <f t="shared" si="82"/>
        <v>355</v>
      </c>
      <c r="X74" s="158">
        <f>T74*属性价值参考!C$5+附件合成!U74*属性价值参考!C$6+附件合成!V74*(属性价值参考!C$7+属性价值参考!C$8)+附件合成!W74*(属性价值参考!C$9+属性价值参考!C$10)</f>
        <v>108459.6</v>
      </c>
      <c r="Y74" s="158">
        <f>AE74*属性价值参考!C$26+附件合成!AH74*属性价值参考!C$24+附件合成!AI74*属性价值参考!C$26+附件合成!AK74*(属性价值参考!C$28+属性价值参考!C$29)+附件合成!AN74*属性价值参考!C$26+附件合成!AO74*属性价值参考!C$27+AP74*(属性价值参考!C$37+属性价值参考!C$38)</f>
        <v>45108</v>
      </c>
      <c r="Z74" s="158">
        <f t="shared" si="83"/>
        <v>9597.9750000000004</v>
      </c>
      <c r="AA74" s="158">
        <f t="shared" si="84"/>
        <v>9597975</v>
      </c>
      <c r="AB74" s="158">
        <f>ROUND(1/4*SUM(材料产出!$AB$25:$AB$26),0)</f>
        <v>3641</v>
      </c>
      <c r="AC74" s="158">
        <f t="shared" si="43"/>
        <v>3641000</v>
      </c>
      <c r="AD74" s="104">
        <f t="shared" si="85"/>
        <v>177</v>
      </c>
      <c r="AE74" s="105">
        <f t="shared" si="78"/>
        <v>35</v>
      </c>
      <c r="AF74" s="104">
        <f t="shared" si="86"/>
        <v>177</v>
      </c>
      <c r="AG74" s="104">
        <f t="shared" si="87"/>
        <v>177</v>
      </c>
      <c r="AH74" s="97">
        <f t="shared" ref="AH74:AH82" si="93">8/10*$AH$103</f>
        <v>8</v>
      </c>
      <c r="AI74" s="97">
        <f t="shared" ref="AI74:AI82" si="94">8/10*$AI$103</f>
        <v>8</v>
      </c>
      <c r="AJ74" s="104">
        <f t="shared" si="88"/>
        <v>177</v>
      </c>
      <c r="AK74" s="97">
        <f t="shared" ref="AK74:AK82" si="95">8/10*$AK$103</f>
        <v>16</v>
      </c>
      <c r="AL74" s="104">
        <f t="shared" si="89"/>
        <v>7100</v>
      </c>
      <c r="AM74" s="104">
        <f t="shared" si="90"/>
        <v>28400</v>
      </c>
      <c r="AN74" s="97">
        <f t="shared" ref="AN74:AN82" si="96">8/10*$AN$103</f>
        <v>8</v>
      </c>
      <c r="AO74" s="97">
        <f t="shared" ref="AO74:AO82" si="97">8/10*$AO$103</f>
        <v>8</v>
      </c>
      <c r="AP74" s="97">
        <f t="shared" ref="AP74:AP82" si="98">12/20*$AP$103</f>
        <v>1200</v>
      </c>
    </row>
    <row r="75" spans="1:42" ht="16.5" x14ac:dyDescent="0.3">
      <c r="A75" s="22" t="s">
        <v>2278</v>
      </c>
      <c r="B75" s="23" t="s">
        <v>2350</v>
      </c>
      <c r="C75" s="22">
        <v>71</v>
      </c>
      <c r="D75" s="22"/>
      <c r="E75" s="22"/>
      <c r="F75" s="98">
        <f t="shared" si="37"/>
        <v>89</v>
      </c>
      <c r="G75" s="101">
        <f t="shared" si="38"/>
        <v>177</v>
      </c>
      <c r="H75" s="98">
        <f t="shared" si="39"/>
        <v>89</v>
      </c>
      <c r="I75" s="101">
        <f t="shared" si="40"/>
        <v>177</v>
      </c>
      <c r="J75" s="98">
        <f t="shared" si="41"/>
        <v>89</v>
      </c>
      <c r="K75" s="101">
        <f t="shared" si="42"/>
        <v>177</v>
      </c>
      <c r="L75" s="101"/>
      <c r="M75" s="101"/>
      <c r="N75" s="101"/>
      <c r="O75" s="101"/>
      <c r="P75" s="69" t="str">
        <f t="shared" si="92"/>
        <v>HPMP%35</v>
      </c>
      <c r="Q75" s="100" t="str">
        <f t="shared" si="91"/>
        <v>龙晶碎片3641/元宝3641000</v>
      </c>
      <c r="R75" s="97">
        <v>72</v>
      </c>
      <c r="S75" s="158"/>
      <c r="T75" s="158">
        <f t="shared" si="79"/>
        <v>7200</v>
      </c>
      <c r="U75" s="158">
        <f t="shared" si="80"/>
        <v>28800</v>
      </c>
      <c r="V75" s="158">
        <f t="shared" si="81"/>
        <v>360</v>
      </c>
      <c r="W75" s="158">
        <f t="shared" si="82"/>
        <v>360</v>
      </c>
      <c r="X75" s="158">
        <f>T75*属性价值参考!C$5+附件合成!U75*属性价值参考!C$6+附件合成!V75*(属性价值参考!C$7+属性价值参考!C$8)+附件合成!W75*(属性价值参考!C$9+属性价值参考!C$10)</f>
        <v>109987.2</v>
      </c>
      <c r="Y75" s="158">
        <f>AE75*属性价值参考!C$26+附件合成!AH75*属性价值参考!C$24+附件合成!AI75*属性价值参考!C$26+附件合成!AK75*(属性价值参考!C$28+属性价值参考!C$29)+附件合成!AN75*属性价值参考!C$26+附件合成!AO75*属性价值参考!C$27+AP75*(属性价值参考!C$37+属性价值参考!C$38)</f>
        <v>45432</v>
      </c>
      <c r="Z75" s="158">
        <f t="shared" si="83"/>
        <v>9713.7000000000007</v>
      </c>
      <c r="AA75" s="158">
        <f t="shared" si="84"/>
        <v>9713700</v>
      </c>
      <c r="AB75" s="158">
        <f>ROUND(1/4*SUM(材料产出!$AB$25:$AB$26),0)</f>
        <v>3641</v>
      </c>
      <c r="AC75" s="158">
        <f t="shared" si="43"/>
        <v>3641000</v>
      </c>
      <c r="AD75" s="8">
        <f t="shared" si="85"/>
        <v>180</v>
      </c>
      <c r="AE75" s="97">
        <f t="shared" ref="AE75:AE84" si="99">40/50*$AE$103</f>
        <v>40</v>
      </c>
      <c r="AF75" s="8">
        <f t="shared" si="86"/>
        <v>180</v>
      </c>
      <c r="AG75" s="8">
        <f t="shared" si="87"/>
        <v>180</v>
      </c>
      <c r="AH75" s="97">
        <f t="shared" si="93"/>
        <v>8</v>
      </c>
      <c r="AI75" s="97">
        <f t="shared" si="94"/>
        <v>8</v>
      </c>
      <c r="AJ75" s="8">
        <f t="shared" si="88"/>
        <v>180</v>
      </c>
      <c r="AK75" s="97">
        <f t="shared" si="95"/>
        <v>16</v>
      </c>
      <c r="AL75" s="8">
        <f t="shared" si="89"/>
        <v>7200</v>
      </c>
      <c r="AM75" s="8">
        <f t="shared" si="90"/>
        <v>28800</v>
      </c>
      <c r="AN75" s="97">
        <f t="shared" si="96"/>
        <v>8</v>
      </c>
      <c r="AO75" s="97">
        <f t="shared" si="97"/>
        <v>8</v>
      </c>
      <c r="AP75" s="97">
        <f t="shared" si="98"/>
        <v>1200</v>
      </c>
    </row>
    <row r="76" spans="1:42" ht="16.5" x14ac:dyDescent="0.3">
      <c r="A76" s="22" t="s">
        <v>2278</v>
      </c>
      <c r="B76" s="23" t="s">
        <v>2351</v>
      </c>
      <c r="C76" s="22">
        <v>72</v>
      </c>
      <c r="D76" s="22"/>
      <c r="E76" s="22"/>
      <c r="F76" s="98">
        <f t="shared" si="37"/>
        <v>90</v>
      </c>
      <c r="G76" s="101">
        <f t="shared" si="38"/>
        <v>180</v>
      </c>
      <c r="H76" s="98">
        <f t="shared" si="39"/>
        <v>90</v>
      </c>
      <c r="I76" s="101">
        <f t="shared" si="40"/>
        <v>180</v>
      </c>
      <c r="J76" s="98">
        <f t="shared" si="41"/>
        <v>90</v>
      </c>
      <c r="K76" s="101">
        <f t="shared" si="42"/>
        <v>180</v>
      </c>
      <c r="L76" s="101"/>
      <c r="M76" s="101"/>
      <c r="N76" s="101"/>
      <c r="O76" s="101"/>
      <c r="P76" s="69" t="str">
        <f t="shared" si="92"/>
        <v>HPMP%40</v>
      </c>
      <c r="Q76" s="100" t="str">
        <f t="shared" si="91"/>
        <v>龙晶碎片3641/元宝3641000</v>
      </c>
      <c r="R76" s="97">
        <v>73</v>
      </c>
      <c r="S76" s="158"/>
      <c r="T76" s="158">
        <f t="shared" si="79"/>
        <v>7300</v>
      </c>
      <c r="U76" s="158">
        <f t="shared" si="80"/>
        <v>29200</v>
      </c>
      <c r="V76" s="158">
        <f t="shared" si="81"/>
        <v>365</v>
      </c>
      <c r="W76" s="158">
        <f t="shared" si="82"/>
        <v>365</v>
      </c>
      <c r="X76" s="158">
        <f>T76*属性价值参考!C$5+附件合成!U76*属性价值参考!C$6+附件合成!V76*(属性价值参考!C$7+属性价值参考!C$8)+附件合成!W76*(属性价值参考!C$9+属性价值参考!C$10)</f>
        <v>111514.79999999999</v>
      </c>
      <c r="Y76" s="158">
        <f>AE76*属性价值参考!C$26+附件合成!AH76*属性价值参考!C$24+附件合成!AI76*属性价值参考!C$26+附件合成!AK76*(属性价值参考!C$28+属性价值参考!C$29)+附件合成!AN76*属性价值参考!C$26+附件合成!AO76*属性价值参考!C$27+AP76*(属性价值参考!C$37+属性价值参考!C$38)</f>
        <v>45432</v>
      </c>
      <c r="Z76" s="158">
        <f t="shared" si="83"/>
        <v>9809.1749999999993</v>
      </c>
      <c r="AA76" s="158">
        <f t="shared" si="84"/>
        <v>9809175</v>
      </c>
      <c r="AB76" s="158">
        <f>ROUND(1/4*SUM(材料产出!$AB$25:$AB$26),0)</f>
        <v>3641</v>
      </c>
      <c r="AC76" s="158">
        <f t="shared" si="43"/>
        <v>3641000</v>
      </c>
      <c r="AD76" s="8">
        <f t="shared" si="85"/>
        <v>182</v>
      </c>
      <c r="AE76" s="97">
        <f t="shared" si="99"/>
        <v>40</v>
      </c>
      <c r="AF76" s="8">
        <f t="shared" si="86"/>
        <v>182</v>
      </c>
      <c r="AG76" s="8">
        <f t="shared" si="87"/>
        <v>182</v>
      </c>
      <c r="AH76" s="97">
        <f t="shared" si="93"/>
        <v>8</v>
      </c>
      <c r="AI76" s="97">
        <f t="shared" si="94"/>
        <v>8</v>
      </c>
      <c r="AJ76" s="8">
        <f t="shared" si="88"/>
        <v>182</v>
      </c>
      <c r="AK76" s="97">
        <f t="shared" si="95"/>
        <v>16</v>
      </c>
      <c r="AL76" s="8">
        <f t="shared" si="89"/>
        <v>7300</v>
      </c>
      <c r="AM76" s="8">
        <f t="shared" si="90"/>
        <v>29200</v>
      </c>
      <c r="AN76" s="97">
        <f t="shared" si="96"/>
        <v>8</v>
      </c>
      <c r="AO76" s="97">
        <f t="shared" si="97"/>
        <v>8</v>
      </c>
      <c r="AP76" s="97">
        <f t="shared" si="98"/>
        <v>1200</v>
      </c>
    </row>
    <row r="77" spans="1:42" ht="16.5" x14ac:dyDescent="0.3">
      <c r="A77" s="22" t="s">
        <v>2278</v>
      </c>
      <c r="B77" s="23" t="s">
        <v>2352</v>
      </c>
      <c r="C77" s="22">
        <v>73</v>
      </c>
      <c r="D77" s="22"/>
      <c r="E77" s="22"/>
      <c r="F77" s="98">
        <f t="shared" si="37"/>
        <v>91</v>
      </c>
      <c r="G77" s="101">
        <f t="shared" si="38"/>
        <v>182</v>
      </c>
      <c r="H77" s="98">
        <f t="shared" si="39"/>
        <v>91</v>
      </c>
      <c r="I77" s="101">
        <f t="shared" si="40"/>
        <v>182</v>
      </c>
      <c r="J77" s="98">
        <f t="shared" si="41"/>
        <v>91</v>
      </c>
      <c r="K77" s="101">
        <f t="shared" si="42"/>
        <v>182</v>
      </c>
      <c r="L77" s="101"/>
      <c r="M77" s="101"/>
      <c r="N77" s="101"/>
      <c r="O77" s="101"/>
      <c r="P77" s="69" t="str">
        <f t="shared" si="92"/>
        <v>HPMP%40</v>
      </c>
      <c r="Q77" s="100" t="str">
        <f t="shared" si="91"/>
        <v>龙晶碎片3641/元宝3641000</v>
      </c>
      <c r="R77" s="97">
        <v>74</v>
      </c>
      <c r="S77" s="158"/>
      <c r="T77" s="158">
        <f t="shared" si="79"/>
        <v>7400</v>
      </c>
      <c r="U77" s="158">
        <f t="shared" si="80"/>
        <v>29600</v>
      </c>
      <c r="V77" s="158">
        <f t="shared" si="81"/>
        <v>370</v>
      </c>
      <c r="W77" s="158">
        <f t="shared" si="82"/>
        <v>370</v>
      </c>
      <c r="X77" s="158">
        <f>T77*属性价值参考!C$5+附件合成!U77*属性价值参考!C$6+附件合成!V77*(属性价值参考!C$7+属性价值参考!C$8)+附件合成!W77*(属性价值参考!C$9+属性价值参考!C$10)</f>
        <v>113042.4</v>
      </c>
      <c r="Y77" s="158">
        <f>AE77*属性价值参考!C$26+附件合成!AH77*属性价值参考!C$24+附件合成!AI77*属性价值参考!C$26+附件合成!AK77*(属性价值参考!C$28+属性价值参考!C$29)+附件合成!AN77*属性价值参考!C$26+附件合成!AO77*属性价值参考!C$27+AP77*(属性价值参考!C$37+属性价值参考!C$38)</f>
        <v>45432</v>
      </c>
      <c r="Z77" s="158">
        <f t="shared" si="83"/>
        <v>9904.65</v>
      </c>
      <c r="AA77" s="158">
        <f t="shared" si="84"/>
        <v>9904650</v>
      </c>
      <c r="AB77" s="158">
        <f>ROUND(1/4*SUM(材料产出!$AB$25:$AB$26),0)</f>
        <v>3641</v>
      </c>
      <c r="AC77" s="158">
        <f t="shared" si="43"/>
        <v>3641000</v>
      </c>
      <c r="AD77" s="8">
        <f t="shared" si="85"/>
        <v>185</v>
      </c>
      <c r="AE77" s="97">
        <f t="shared" si="99"/>
        <v>40</v>
      </c>
      <c r="AF77" s="8">
        <f t="shared" si="86"/>
        <v>185</v>
      </c>
      <c r="AG77" s="8">
        <f t="shared" si="87"/>
        <v>185</v>
      </c>
      <c r="AH77" s="97">
        <f t="shared" si="93"/>
        <v>8</v>
      </c>
      <c r="AI77" s="97">
        <f t="shared" si="94"/>
        <v>8</v>
      </c>
      <c r="AJ77" s="8">
        <f t="shared" si="88"/>
        <v>185</v>
      </c>
      <c r="AK77" s="97">
        <f t="shared" si="95"/>
        <v>16</v>
      </c>
      <c r="AL77" s="8">
        <f t="shared" si="89"/>
        <v>7400</v>
      </c>
      <c r="AM77" s="8">
        <f t="shared" si="90"/>
        <v>29600</v>
      </c>
      <c r="AN77" s="97">
        <f t="shared" si="96"/>
        <v>8</v>
      </c>
      <c r="AO77" s="97">
        <f t="shared" si="97"/>
        <v>8</v>
      </c>
      <c r="AP77" s="97">
        <f t="shared" si="98"/>
        <v>1200</v>
      </c>
    </row>
    <row r="78" spans="1:42" ht="16.5" x14ac:dyDescent="0.3">
      <c r="A78" s="22" t="s">
        <v>2278</v>
      </c>
      <c r="B78" s="23" t="s">
        <v>2353</v>
      </c>
      <c r="C78" s="22">
        <v>74</v>
      </c>
      <c r="D78" s="22"/>
      <c r="E78" s="22"/>
      <c r="F78" s="98">
        <f t="shared" si="37"/>
        <v>93</v>
      </c>
      <c r="G78" s="101">
        <f t="shared" si="38"/>
        <v>185</v>
      </c>
      <c r="H78" s="98">
        <f t="shared" si="39"/>
        <v>93</v>
      </c>
      <c r="I78" s="101">
        <f t="shared" si="40"/>
        <v>185</v>
      </c>
      <c r="J78" s="98">
        <f t="shared" si="41"/>
        <v>93</v>
      </c>
      <c r="K78" s="101">
        <f t="shared" si="42"/>
        <v>185</v>
      </c>
      <c r="L78" s="101"/>
      <c r="M78" s="101"/>
      <c r="N78" s="101"/>
      <c r="O78" s="101"/>
      <c r="P78" s="69" t="str">
        <f t="shared" si="92"/>
        <v>HPMP%40</v>
      </c>
      <c r="Q78" s="100" t="str">
        <f t="shared" si="91"/>
        <v>龙晶碎片3641/元宝3641000</v>
      </c>
      <c r="R78" s="97">
        <v>75</v>
      </c>
      <c r="S78" s="158"/>
      <c r="T78" s="158">
        <f t="shared" si="79"/>
        <v>7500</v>
      </c>
      <c r="U78" s="158">
        <f t="shared" si="80"/>
        <v>30000</v>
      </c>
      <c r="V78" s="158">
        <f t="shared" si="81"/>
        <v>375</v>
      </c>
      <c r="W78" s="158">
        <f t="shared" si="82"/>
        <v>375</v>
      </c>
      <c r="X78" s="158">
        <f>T78*属性价值参考!C$5+附件合成!U78*属性价值参考!C$6+附件合成!V78*(属性价值参考!C$7+属性价值参考!C$8)+附件合成!W78*(属性价值参考!C$9+属性价值参考!C$10)</f>
        <v>114570</v>
      </c>
      <c r="Y78" s="158">
        <f>AE78*属性价值参考!C$26+附件合成!AH78*属性价值参考!C$24+附件合成!AI78*属性价值参考!C$26+附件合成!AK78*(属性价值参考!C$28+属性价值参考!C$29)+附件合成!AN78*属性价值参考!C$26+附件合成!AO78*属性价值参考!C$27+AP78*(属性价值参考!C$37+属性价值参考!C$38)</f>
        <v>45432</v>
      </c>
      <c r="Z78" s="158">
        <f t="shared" si="83"/>
        <v>10000.125</v>
      </c>
      <c r="AA78" s="158">
        <f t="shared" si="84"/>
        <v>10000125</v>
      </c>
      <c r="AB78" s="158">
        <f>ROUND(1/4*SUM(材料产出!$AB$25:$AB$26),0)</f>
        <v>3641</v>
      </c>
      <c r="AC78" s="158">
        <f t="shared" si="43"/>
        <v>3641000</v>
      </c>
      <c r="AD78" s="8">
        <f t="shared" si="85"/>
        <v>187</v>
      </c>
      <c r="AE78" s="97">
        <f t="shared" si="99"/>
        <v>40</v>
      </c>
      <c r="AF78" s="8">
        <f t="shared" si="86"/>
        <v>187</v>
      </c>
      <c r="AG78" s="8">
        <f t="shared" si="87"/>
        <v>187</v>
      </c>
      <c r="AH78" s="97">
        <f t="shared" si="93"/>
        <v>8</v>
      </c>
      <c r="AI78" s="97">
        <f t="shared" si="94"/>
        <v>8</v>
      </c>
      <c r="AJ78" s="8">
        <f t="shared" si="88"/>
        <v>187</v>
      </c>
      <c r="AK78" s="97">
        <f t="shared" si="95"/>
        <v>16</v>
      </c>
      <c r="AL78" s="8">
        <f t="shared" si="89"/>
        <v>7500</v>
      </c>
      <c r="AM78" s="8">
        <f t="shared" si="90"/>
        <v>30000</v>
      </c>
      <c r="AN78" s="97">
        <f t="shared" si="96"/>
        <v>8</v>
      </c>
      <c r="AO78" s="97">
        <f t="shared" si="97"/>
        <v>8</v>
      </c>
      <c r="AP78" s="97">
        <f t="shared" si="98"/>
        <v>1200</v>
      </c>
    </row>
    <row r="79" spans="1:42" ht="16.5" x14ac:dyDescent="0.3">
      <c r="A79" s="22" t="s">
        <v>2278</v>
      </c>
      <c r="B79" s="23" t="s">
        <v>2354</v>
      </c>
      <c r="C79" s="22">
        <v>75</v>
      </c>
      <c r="D79" s="22"/>
      <c r="E79" s="22"/>
      <c r="F79" s="98">
        <f t="shared" si="37"/>
        <v>94</v>
      </c>
      <c r="G79" s="101">
        <f t="shared" si="38"/>
        <v>187</v>
      </c>
      <c r="H79" s="98">
        <f t="shared" si="39"/>
        <v>94</v>
      </c>
      <c r="I79" s="101">
        <f t="shared" si="40"/>
        <v>187</v>
      </c>
      <c r="J79" s="98">
        <f t="shared" si="41"/>
        <v>94</v>
      </c>
      <c r="K79" s="101">
        <f t="shared" si="42"/>
        <v>187</v>
      </c>
      <c r="L79" s="101"/>
      <c r="M79" s="101"/>
      <c r="N79" s="101"/>
      <c r="O79" s="101"/>
      <c r="P79" s="69" t="str">
        <f t="shared" si="92"/>
        <v>HPMP%40</v>
      </c>
      <c r="Q79" s="100" t="str">
        <f t="shared" si="91"/>
        <v>龙晶碎片3641/元宝3641000</v>
      </c>
      <c r="R79" s="97">
        <v>76</v>
      </c>
      <c r="S79" s="158"/>
      <c r="T79" s="158">
        <f t="shared" si="79"/>
        <v>7600</v>
      </c>
      <c r="U79" s="158">
        <f t="shared" si="80"/>
        <v>30400</v>
      </c>
      <c r="V79" s="158">
        <f t="shared" si="81"/>
        <v>380</v>
      </c>
      <c r="W79" s="158">
        <f t="shared" si="82"/>
        <v>380</v>
      </c>
      <c r="X79" s="158">
        <f>T79*属性价值参考!C$5+附件合成!U79*属性价值参考!C$6+附件合成!V79*(属性价值参考!C$7+属性价值参考!C$8)+附件合成!W79*(属性价值参考!C$9+属性价值参考!C$10)</f>
        <v>116097.60000000001</v>
      </c>
      <c r="Y79" s="158">
        <f>AE79*属性价值参考!C$26+附件合成!AH79*属性价值参考!C$24+附件合成!AI79*属性价值参考!C$26+附件合成!AK79*(属性价值参考!C$28+属性价值参考!C$29)+附件合成!AN79*属性价值参考!C$26+附件合成!AO79*属性价值参考!C$27+AP79*(属性价值参考!C$37+属性价值参考!C$38)</f>
        <v>45432</v>
      </c>
      <c r="Z79" s="158">
        <f t="shared" si="83"/>
        <v>10095.6</v>
      </c>
      <c r="AA79" s="158">
        <f t="shared" si="84"/>
        <v>10095600</v>
      </c>
      <c r="AB79" s="158">
        <f>ROUND(1/4*SUM(材料产出!$AB$25:$AB$26),0)</f>
        <v>3641</v>
      </c>
      <c r="AC79" s="158">
        <f t="shared" si="43"/>
        <v>3641000</v>
      </c>
      <c r="AD79" s="8">
        <f t="shared" si="85"/>
        <v>190</v>
      </c>
      <c r="AE79" s="97">
        <f t="shared" si="99"/>
        <v>40</v>
      </c>
      <c r="AF79" s="8">
        <f t="shared" si="86"/>
        <v>190</v>
      </c>
      <c r="AG79" s="8">
        <f t="shared" si="87"/>
        <v>190</v>
      </c>
      <c r="AH79" s="97">
        <f t="shared" si="93"/>
        <v>8</v>
      </c>
      <c r="AI79" s="97">
        <f t="shared" si="94"/>
        <v>8</v>
      </c>
      <c r="AJ79" s="8">
        <f t="shared" si="88"/>
        <v>190</v>
      </c>
      <c r="AK79" s="97">
        <f t="shared" si="95"/>
        <v>16</v>
      </c>
      <c r="AL79" s="8">
        <f t="shared" si="89"/>
        <v>7600</v>
      </c>
      <c r="AM79" s="8">
        <f t="shared" si="90"/>
        <v>30400</v>
      </c>
      <c r="AN79" s="97">
        <f t="shared" si="96"/>
        <v>8</v>
      </c>
      <c r="AO79" s="97">
        <f t="shared" si="97"/>
        <v>8</v>
      </c>
      <c r="AP79" s="97">
        <f t="shared" si="98"/>
        <v>1200</v>
      </c>
    </row>
    <row r="80" spans="1:42" ht="16.5" x14ac:dyDescent="0.3">
      <c r="A80" s="22" t="s">
        <v>2278</v>
      </c>
      <c r="B80" s="23" t="s">
        <v>2355</v>
      </c>
      <c r="C80" s="22">
        <v>76</v>
      </c>
      <c r="D80" s="22"/>
      <c r="E80" s="22"/>
      <c r="F80" s="98">
        <f t="shared" si="37"/>
        <v>95</v>
      </c>
      <c r="G80" s="101">
        <f t="shared" si="38"/>
        <v>190</v>
      </c>
      <c r="H80" s="98">
        <f t="shared" si="39"/>
        <v>95</v>
      </c>
      <c r="I80" s="101">
        <f t="shared" si="40"/>
        <v>190</v>
      </c>
      <c r="J80" s="98">
        <f t="shared" si="41"/>
        <v>95</v>
      </c>
      <c r="K80" s="101">
        <f t="shared" si="42"/>
        <v>190</v>
      </c>
      <c r="L80" s="101"/>
      <c r="M80" s="101"/>
      <c r="N80" s="101"/>
      <c r="O80" s="101"/>
      <c r="P80" s="69" t="str">
        <f t="shared" si="92"/>
        <v>HPMP%40</v>
      </c>
      <c r="Q80" s="100" t="str">
        <f t="shared" si="91"/>
        <v>龙晶碎片3641/元宝3641000</v>
      </c>
      <c r="R80" s="97">
        <v>77</v>
      </c>
      <c r="S80" s="158"/>
      <c r="T80" s="158">
        <f t="shared" si="79"/>
        <v>7700</v>
      </c>
      <c r="U80" s="158">
        <f t="shared" si="80"/>
        <v>30800</v>
      </c>
      <c r="V80" s="158">
        <f t="shared" si="81"/>
        <v>385</v>
      </c>
      <c r="W80" s="158">
        <f t="shared" si="82"/>
        <v>385</v>
      </c>
      <c r="X80" s="158">
        <f>T80*属性价值参考!C$5+附件合成!U80*属性价值参考!C$6+附件合成!V80*(属性价值参考!C$7+属性价值参考!C$8)+附件合成!W80*(属性价值参考!C$9+属性价值参考!C$10)</f>
        <v>117625.2</v>
      </c>
      <c r="Y80" s="158">
        <f>AE80*属性价值参考!C$26+附件合成!AH80*属性价值参考!C$24+附件合成!AI80*属性价值参考!C$26+附件合成!AK80*(属性价值参考!C$28+属性价值参考!C$29)+附件合成!AN80*属性价值参考!C$26+附件合成!AO80*属性价值参考!C$27+AP80*(属性价值参考!C$37+属性价值参考!C$38)</f>
        <v>45432</v>
      </c>
      <c r="Z80" s="158">
        <f t="shared" si="83"/>
        <v>10191.075000000001</v>
      </c>
      <c r="AA80" s="158">
        <f t="shared" si="84"/>
        <v>10191075</v>
      </c>
      <c r="AB80" s="158">
        <f>ROUND(1/4*SUM(材料产出!$AB$25:$AB$26),0)</f>
        <v>3641</v>
      </c>
      <c r="AC80" s="158">
        <f t="shared" si="43"/>
        <v>3641000</v>
      </c>
      <c r="AD80" s="8">
        <f t="shared" si="85"/>
        <v>192</v>
      </c>
      <c r="AE80" s="97">
        <f t="shared" si="99"/>
        <v>40</v>
      </c>
      <c r="AF80" s="8">
        <f t="shared" si="86"/>
        <v>192</v>
      </c>
      <c r="AG80" s="8">
        <f t="shared" si="87"/>
        <v>192</v>
      </c>
      <c r="AH80" s="97">
        <f t="shared" si="93"/>
        <v>8</v>
      </c>
      <c r="AI80" s="97">
        <f t="shared" si="94"/>
        <v>8</v>
      </c>
      <c r="AJ80" s="8">
        <f t="shared" si="88"/>
        <v>192</v>
      </c>
      <c r="AK80" s="97">
        <f t="shared" si="95"/>
        <v>16</v>
      </c>
      <c r="AL80" s="8">
        <f t="shared" si="89"/>
        <v>7700</v>
      </c>
      <c r="AM80" s="8">
        <f t="shared" si="90"/>
        <v>30800</v>
      </c>
      <c r="AN80" s="97">
        <f t="shared" si="96"/>
        <v>8</v>
      </c>
      <c r="AO80" s="97">
        <f t="shared" si="97"/>
        <v>8</v>
      </c>
      <c r="AP80" s="97">
        <f t="shared" si="98"/>
        <v>1200</v>
      </c>
    </row>
    <row r="81" spans="1:42" ht="16.5" x14ac:dyDescent="0.3">
      <c r="A81" s="22" t="s">
        <v>2278</v>
      </c>
      <c r="B81" s="23" t="s">
        <v>2356</v>
      </c>
      <c r="C81" s="22">
        <v>77</v>
      </c>
      <c r="D81" s="22"/>
      <c r="E81" s="22"/>
      <c r="F81" s="98">
        <f t="shared" si="37"/>
        <v>96</v>
      </c>
      <c r="G81" s="101">
        <f t="shared" si="38"/>
        <v>192</v>
      </c>
      <c r="H81" s="98">
        <f t="shared" si="39"/>
        <v>96</v>
      </c>
      <c r="I81" s="101">
        <f t="shared" si="40"/>
        <v>192</v>
      </c>
      <c r="J81" s="98">
        <f t="shared" si="41"/>
        <v>96</v>
      </c>
      <c r="K81" s="101">
        <f t="shared" si="42"/>
        <v>192</v>
      </c>
      <c r="L81" s="101"/>
      <c r="M81" s="101"/>
      <c r="N81" s="101"/>
      <c r="O81" s="101"/>
      <c r="P81" s="69" t="str">
        <f t="shared" si="92"/>
        <v>HPMP%40</v>
      </c>
      <c r="Q81" s="100" t="str">
        <f t="shared" si="91"/>
        <v>龙晶碎片3641/元宝3641000</v>
      </c>
      <c r="R81" s="97">
        <v>78</v>
      </c>
      <c r="S81" s="158"/>
      <c r="T81" s="158">
        <f t="shared" si="79"/>
        <v>7800</v>
      </c>
      <c r="U81" s="158">
        <f t="shared" si="80"/>
        <v>31200</v>
      </c>
      <c r="V81" s="158">
        <f t="shared" si="81"/>
        <v>390</v>
      </c>
      <c r="W81" s="158">
        <f t="shared" si="82"/>
        <v>390</v>
      </c>
      <c r="X81" s="158">
        <f>T81*属性价值参考!C$5+附件合成!U81*属性价值参考!C$6+附件合成!V81*(属性价值参考!C$7+属性价值参考!C$8)+附件合成!W81*(属性价值参考!C$9+属性价值参考!C$10)</f>
        <v>119152.79999999999</v>
      </c>
      <c r="Y81" s="158">
        <f>AE81*属性价值参考!C$26+附件合成!AH81*属性价值参考!C$24+附件合成!AI81*属性价值参考!C$26+附件合成!AK81*(属性价值参考!C$28+属性价值参考!C$29)+附件合成!AN81*属性价值参考!C$26+附件合成!AO81*属性价值参考!C$27+AP81*(属性价值参考!C$37+属性价值参考!C$38)</f>
        <v>45432</v>
      </c>
      <c r="Z81" s="158">
        <f t="shared" si="83"/>
        <v>10286.549999999999</v>
      </c>
      <c r="AA81" s="158">
        <f t="shared" si="84"/>
        <v>10286550</v>
      </c>
      <c r="AB81" s="158">
        <f>ROUND(1/4*SUM(材料产出!$AB$25:$AB$26),0)</f>
        <v>3641</v>
      </c>
      <c r="AC81" s="158">
        <f t="shared" si="43"/>
        <v>3641000</v>
      </c>
      <c r="AD81" s="8">
        <f t="shared" si="85"/>
        <v>195</v>
      </c>
      <c r="AE81" s="97">
        <f t="shared" si="99"/>
        <v>40</v>
      </c>
      <c r="AF81" s="8">
        <f t="shared" si="86"/>
        <v>195</v>
      </c>
      <c r="AG81" s="8">
        <f t="shared" si="87"/>
        <v>195</v>
      </c>
      <c r="AH81" s="97">
        <f t="shared" si="93"/>
        <v>8</v>
      </c>
      <c r="AI81" s="97">
        <f t="shared" si="94"/>
        <v>8</v>
      </c>
      <c r="AJ81" s="8">
        <f t="shared" si="88"/>
        <v>195</v>
      </c>
      <c r="AK81" s="97">
        <f t="shared" si="95"/>
        <v>16</v>
      </c>
      <c r="AL81" s="8">
        <f t="shared" si="89"/>
        <v>7800</v>
      </c>
      <c r="AM81" s="8">
        <f t="shared" si="90"/>
        <v>31200</v>
      </c>
      <c r="AN81" s="97">
        <f t="shared" si="96"/>
        <v>8</v>
      </c>
      <c r="AO81" s="97">
        <f t="shared" si="97"/>
        <v>8</v>
      </c>
      <c r="AP81" s="97">
        <f t="shared" si="98"/>
        <v>1200</v>
      </c>
    </row>
    <row r="82" spans="1:42" ht="16.5" x14ac:dyDescent="0.3">
      <c r="A82" s="22" t="s">
        <v>2278</v>
      </c>
      <c r="B82" s="23" t="s">
        <v>2357</v>
      </c>
      <c r="C82" s="22">
        <v>78</v>
      </c>
      <c r="D82" s="22"/>
      <c r="E82" s="22"/>
      <c r="F82" s="98">
        <f t="shared" si="37"/>
        <v>98</v>
      </c>
      <c r="G82" s="101">
        <f t="shared" si="38"/>
        <v>195</v>
      </c>
      <c r="H82" s="98">
        <f t="shared" si="39"/>
        <v>98</v>
      </c>
      <c r="I82" s="101">
        <f t="shared" si="40"/>
        <v>195</v>
      </c>
      <c r="J82" s="98">
        <f t="shared" si="41"/>
        <v>98</v>
      </c>
      <c r="K82" s="101">
        <f t="shared" si="42"/>
        <v>195</v>
      </c>
      <c r="L82" s="101"/>
      <c r="M82" s="101"/>
      <c r="N82" s="101"/>
      <c r="O82" s="101"/>
      <c r="P82" s="69" t="str">
        <f t="shared" si="92"/>
        <v>HPMP%40</v>
      </c>
      <c r="Q82" s="100" t="str">
        <f t="shared" si="91"/>
        <v>龙晶碎片3641/元宝3641000</v>
      </c>
      <c r="R82" s="97">
        <v>79</v>
      </c>
      <c r="S82" s="158"/>
      <c r="T82" s="158">
        <f t="shared" si="79"/>
        <v>7900</v>
      </c>
      <c r="U82" s="158">
        <f t="shared" si="80"/>
        <v>31600</v>
      </c>
      <c r="V82" s="158">
        <f t="shared" si="81"/>
        <v>395</v>
      </c>
      <c r="W82" s="158">
        <f t="shared" si="82"/>
        <v>395</v>
      </c>
      <c r="X82" s="158">
        <f>T82*属性价值参考!C$5+附件合成!U82*属性价值参考!C$6+附件合成!V82*(属性价值参考!C$7+属性价值参考!C$8)+附件合成!W82*(属性价值参考!C$9+属性价值参考!C$10)</f>
        <v>120680.4</v>
      </c>
      <c r="Y82" s="158">
        <f>AE82*属性价值参考!C$26+附件合成!AH82*属性价值参考!C$24+附件合成!AI82*属性价值参考!C$26+附件合成!AK82*(属性价值参考!C$28+属性价值参考!C$29)+附件合成!AN82*属性价值参考!C$26+附件合成!AO82*属性价值参考!C$27+AP82*(属性价值参考!C$37+属性价值参考!C$38)</f>
        <v>45432</v>
      </c>
      <c r="Z82" s="158">
        <f t="shared" si="83"/>
        <v>10382.025</v>
      </c>
      <c r="AA82" s="158">
        <f t="shared" si="84"/>
        <v>10382025</v>
      </c>
      <c r="AB82" s="158">
        <f>ROUND(1/4*SUM(材料产出!$AB$25:$AB$26),0)</f>
        <v>3641</v>
      </c>
      <c r="AC82" s="158">
        <f t="shared" si="43"/>
        <v>3641000</v>
      </c>
      <c r="AD82" s="8">
        <f t="shared" si="85"/>
        <v>197</v>
      </c>
      <c r="AE82" s="97">
        <f t="shared" si="99"/>
        <v>40</v>
      </c>
      <c r="AF82" s="8">
        <f t="shared" si="86"/>
        <v>197</v>
      </c>
      <c r="AG82" s="8">
        <f t="shared" si="87"/>
        <v>197</v>
      </c>
      <c r="AH82" s="97">
        <f t="shared" si="93"/>
        <v>8</v>
      </c>
      <c r="AI82" s="97">
        <f t="shared" si="94"/>
        <v>8</v>
      </c>
      <c r="AJ82" s="8">
        <f t="shared" si="88"/>
        <v>197</v>
      </c>
      <c r="AK82" s="97">
        <f t="shared" si="95"/>
        <v>16</v>
      </c>
      <c r="AL82" s="8">
        <f t="shared" si="89"/>
        <v>7900</v>
      </c>
      <c r="AM82" s="8">
        <f t="shared" si="90"/>
        <v>31600</v>
      </c>
      <c r="AN82" s="97">
        <f t="shared" si="96"/>
        <v>8</v>
      </c>
      <c r="AO82" s="97">
        <f t="shared" si="97"/>
        <v>8</v>
      </c>
      <c r="AP82" s="97">
        <f t="shared" si="98"/>
        <v>1200</v>
      </c>
    </row>
    <row r="83" spans="1:42" ht="16.5" x14ac:dyDescent="0.3">
      <c r="A83" s="22" t="s">
        <v>2278</v>
      </c>
      <c r="B83" s="23" t="s">
        <v>2358</v>
      </c>
      <c r="C83" s="22">
        <v>79</v>
      </c>
      <c r="D83" s="22"/>
      <c r="E83" s="22"/>
      <c r="F83" s="98">
        <f t="shared" ref="F83:F104" si="100">ROUND(0.5*AD82,0)</f>
        <v>99</v>
      </c>
      <c r="G83" s="101">
        <f t="shared" ref="G83:G104" si="101">ROUND(AD82,0)</f>
        <v>197</v>
      </c>
      <c r="H83" s="98">
        <f t="shared" ref="H83:H104" si="102">ROUND(0.5*AD82,0)</f>
        <v>99</v>
      </c>
      <c r="I83" s="101">
        <f t="shared" ref="I83:I104" si="103">ROUND(AD82,0)</f>
        <v>197</v>
      </c>
      <c r="J83" s="98">
        <f t="shared" ref="J83:J104" si="104">ROUND(0.5*AD82,0)</f>
        <v>99</v>
      </c>
      <c r="K83" s="101">
        <f t="shared" ref="K83:K104" si="105">ROUND(AD82,0)</f>
        <v>197</v>
      </c>
      <c r="L83" s="101"/>
      <c r="M83" s="101"/>
      <c r="N83" s="101"/>
      <c r="O83" s="101"/>
      <c r="P83" s="69" t="str">
        <f t="shared" si="92"/>
        <v>HPMP%40</v>
      </c>
      <c r="Q83" s="100" t="str">
        <f t="shared" si="91"/>
        <v>龙晶碎片3641/元宝3641000</v>
      </c>
      <c r="R83" s="97">
        <v>80</v>
      </c>
      <c r="S83" s="206">
        <f>材料产出!C25</f>
        <v>5.5</v>
      </c>
      <c r="T83" s="158">
        <f t="shared" si="79"/>
        <v>8000</v>
      </c>
      <c r="U83" s="158">
        <f t="shared" si="80"/>
        <v>32000</v>
      </c>
      <c r="V83" s="158">
        <f t="shared" si="81"/>
        <v>400</v>
      </c>
      <c r="W83" s="158">
        <f t="shared" si="82"/>
        <v>400</v>
      </c>
      <c r="X83" s="158">
        <f>T83*属性价值参考!C$5+附件合成!U83*属性价值参考!C$6+附件合成!V83*(属性价值参考!C$7+属性价值参考!C$8)+附件合成!W83*(属性价值参考!C$9+属性价值参考!C$10)</f>
        <v>122208</v>
      </c>
      <c r="Y83" s="158">
        <f>AE83*属性价值参考!C$26+附件合成!AH83*属性价值参考!C$24+附件合成!AI83*属性价值参考!C$26+附件合成!AK83*(属性价值参考!C$28+属性价值参考!C$29)+附件合成!AN83*属性价值参考!C$26+附件合成!AO83*属性价值参考!C$27+AP83*(属性价值参考!C$37+属性价值参考!C$38)</f>
        <v>45432</v>
      </c>
      <c r="Z83" s="158">
        <f t="shared" si="83"/>
        <v>10477.5</v>
      </c>
      <c r="AA83" s="158">
        <f t="shared" si="84"/>
        <v>10477500</v>
      </c>
      <c r="AB83" s="158">
        <f>ROUND(1/4*SUM(材料产出!$AB$25:$AB$26),0)</f>
        <v>3641</v>
      </c>
      <c r="AC83" s="158">
        <f t="shared" si="43"/>
        <v>3641000</v>
      </c>
      <c r="AD83" s="8">
        <f t="shared" si="85"/>
        <v>200</v>
      </c>
      <c r="AE83" s="97">
        <f t="shared" si="99"/>
        <v>40</v>
      </c>
      <c r="AF83" s="8">
        <f t="shared" si="86"/>
        <v>200</v>
      </c>
      <c r="AG83" s="8">
        <f t="shared" si="87"/>
        <v>200</v>
      </c>
      <c r="AH83" s="97">
        <f>8/10*$AH$103</f>
        <v>8</v>
      </c>
      <c r="AI83" s="97">
        <f>8/10*$AI$103</f>
        <v>8</v>
      </c>
      <c r="AJ83" s="8">
        <f t="shared" si="88"/>
        <v>200</v>
      </c>
      <c r="AK83" s="97">
        <f>8/10*$AK$103</f>
        <v>16</v>
      </c>
      <c r="AL83" s="8">
        <f t="shared" si="89"/>
        <v>8000</v>
      </c>
      <c r="AM83" s="8">
        <f t="shared" si="90"/>
        <v>32000</v>
      </c>
      <c r="AN83" s="97">
        <f>8/10*$AN$103</f>
        <v>8</v>
      </c>
      <c r="AO83" s="97">
        <f>8/10*$AO$103</f>
        <v>8</v>
      </c>
      <c r="AP83" s="97">
        <f>12/20*$AP$103</f>
        <v>1200</v>
      </c>
    </row>
    <row r="84" spans="1:42" ht="16.5" x14ac:dyDescent="0.3">
      <c r="A84" s="22" t="s">
        <v>2278</v>
      </c>
      <c r="B84" s="23" t="s">
        <v>2359</v>
      </c>
      <c r="C84" s="22">
        <v>80</v>
      </c>
      <c r="D84" s="22"/>
      <c r="E84" s="22"/>
      <c r="F84" s="98">
        <f t="shared" si="100"/>
        <v>100</v>
      </c>
      <c r="G84" s="101">
        <f t="shared" si="101"/>
        <v>200</v>
      </c>
      <c r="H84" s="98">
        <f t="shared" si="102"/>
        <v>100</v>
      </c>
      <c r="I84" s="101">
        <f t="shared" si="103"/>
        <v>200</v>
      </c>
      <c r="J84" s="98">
        <f t="shared" si="104"/>
        <v>100</v>
      </c>
      <c r="K84" s="101">
        <f t="shared" si="105"/>
        <v>200</v>
      </c>
      <c r="L84" s="101"/>
      <c r="M84" s="101"/>
      <c r="N84" s="101"/>
      <c r="O84" s="101"/>
      <c r="P84" s="69" t="str">
        <f t="shared" si="92"/>
        <v>HPMP%40</v>
      </c>
      <c r="Q84" s="100" t="str">
        <f t="shared" si="91"/>
        <v>龙晶碎片5324/元宝5324000</v>
      </c>
      <c r="R84" s="191">
        <v>81</v>
      </c>
      <c r="S84" s="207"/>
      <c r="T84" s="158">
        <f t="shared" si="79"/>
        <v>8100</v>
      </c>
      <c r="U84" s="158">
        <f t="shared" si="80"/>
        <v>32400</v>
      </c>
      <c r="V84" s="158">
        <f t="shared" si="81"/>
        <v>405</v>
      </c>
      <c r="W84" s="158">
        <f t="shared" si="82"/>
        <v>405</v>
      </c>
      <c r="X84" s="158">
        <f>T84*属性价值参考!C$5+附件合成!U84*属性价值参考!C$6+附件合成!V84*(属性价值参考!C$7+属性价值参考!C$8)+附件合成!W84*(属性价值参考!C$9+属性价值参考!C$10)</f>
        <v>123735.6</v>
      </c>
      <c r="Y84" s="158">
        <f>AE84*属性价值参考!C$26+附件合成!AH84*属性价值参考!C$24+附件合成!AI84*属性价值参考!C$26+附件合成!AK84*(属性价值参考!C$28+属性价值参考!C$29)+附件合成!AN84*属性价值参考!C$26+附件合成!AO84*属性价值参考!C$27+AP84*(属性价值参考!C$37+属性价值参考!C$38)</f>
        <v>58092</v>
      </c>
      <c r="Z84" s="158">
        <f t="shared" si="83"/>
        <v>11364.225</v>
      </c>
      <c r="AA84" s="158">
        <f t="shared" si="84"/>
        <v>11364225</v>
      </c>
      <c r="AB84" s="158">
        <f>ROUND(1/4*SUM(材料产出!$AB$27:$AB$28),0)</f>
        <v>5324</v>
      </c>
      <c r="AC84" s="158">
        <f t="shared" si="43"/>
        <v>5324000</v>
      </c>
      <c r="AD84" s="104">
        <f t="shared" si="85"/>
        <v>202</v>
      </c>
      <c r="AE84" s="105">
        <f t="shared" si="99"/>
        <v>40</v>
      </c>
      <c r="AF84" s="104">
        <f t="shared" si="86"/>
        <v>202</v>
      </c>
      <c r="AG84" s="104">
        <f t="shared" si="87"/>
        <v>202</v>
      </c>
      <c r="AH84" s="97">
        <f t="shared" ref="AH84:AH92" si="106">9/10*$AH$103</f>
        <v>9</v>
      </c>
      <c r="AI84" s="97">
        <f>9/10*$AI$103</f>
        <v>9</v>
      </c>
      <c r="AJ84" s="104">
        <f t="shared" si="88"/>
        <v>202</v>
      </c>
      <c r="AK84" s="97">
        <f t="shared" ref="AK84:AK92" si="107">9/10*$AK$103</f>
        <v>18</v>
      </c>
      <c r="AL84" s="104">
        <f t="shared" si="89"/>
        <v>8100</v>
      </c>
      <c r="AM84" s="104">
        <f t="shared" si="90"/>
        <v>32400</v>
      </c>
      <c r="AN84" s="97">
        <f t="shared" ref="AN84:AN92" si="108">9/10*$AN$103</f>
        <v>9</v>
      </c>
      <c r="AO84" s="97">
        <f t="shared" ref="AO84:AO92" si="109">9/10*$AO$103</f>
        <v>9</v>
      </c>
      <c r="AP84" s="97">
        <f t="shared" ref="AP84:AP92" si="110">16/20*$AP$103</f>
        <v>1600</v>
      </c>
    </row>
    <row r="85" spans="1:42" ht="16.5" x14ac:dyDescent="0.3">
      <c r="A85" s="22" t="s">
        <v>2278</v>
      </c>
      <c r="B85" s="23" t="s">
        <v>2360</v>
      </c>
      <c r="C85" s="22">
        <v>81</v>
      </c>
      <c r="D85" s="22"/>
      <c r="E85" s="22"/>
      <c r="F85" s="98">
        <f t="shared" si="100"/>
        <v>101</v>
      </c>
      <c r="G85" s="101">
        <f t="shared" si="101"/>
        <v>202</v>
      </c>
      <c r="H85" s="98">
        <f t="shared" si="102"/>
        <v>101</v>
      </c>
      <c r="I85" s="101">
        <f t="shared" si="103"/>
        <v>202</v>
      </c>
      <c r="J85" s="98">
        <f t="shared" si="104"/>
        <v>101</v>
      </c>
      <c r="K85" s="101">
        <f t="shared" si="105"/>
        <v>202</v>
      </c>
      <c r="L85" s="101"/>
      <c r="M85" s="101"/>
      <c r="N85" s="101"/>
      <c r="O85" s="101"/>
      <c r="P85" s="69" t="str">
        <f t="shared" si="92"/>
        <v>HPMP%40</v>
      </c>
      <c r="Q85" s="100" t="str">
        <f t="shared" si="91"/>
        <v>龙晶碎片5324/元宝5324000</v>
      </c>
      <c r="R85" s="97">
        <v>82</v>
      </c>
      <c r="S85" s="158"/>
      <c r="T85" s="158">
        <f t="shared" si="79"/>
        <v>8200</v>
      </c>
      <c r="U85" s="158">
        <f t="shared" si="80"/>
        <v>32800</v>
      </c>
      <c r="V85" s="158">
        <f t="shared" si="81"/>
        <v>410</v>
      </c>
      <c r="W85" s="158">
        <f t="shared" si="82"/>
        <v>410</v>
      </c>
      <c r="X85" s="158">
        <f>T85*属性价值参考!C$5+附件合成!U85*属性价值参考!C$6+附件合成!V85*(属性价值参考!C$7+属性价值参考!C$8)+附件合成!W85*(属性价值参考!C$9+属性价值参考!C$10)</f>
        <v>125263.2</v>
      </c>
      <c r="Y85" s="158">
        <f>AE85*属性价值参考!C$26+附件合成!AH85*属性价值参考!C$24+附件合成!AI85*属性价值参考!C$26+附件合成!AK85*(属性价值参考!C$28+属性价值参考!C$29)+附件合成!AN85*属性价值参考!C$26+附件合成!AO85*属性价值参考!C$27+AP85*(属性价值参考!C$37+属性价值参考!C$38)</f>
        <v>58416</v>
      </c>
      <c r="Z85" s="158">
        <f t="shared" si="83"/>
        <v>11479.95</v>
      </c>
      <c r="AA85" s="158">
        <f t="shared" si="84"/>
        <v>11479950</v>
      </c>
      <c r="AB85" s="158">
        <f>ROUND(1/4*SUM(材料产出!$AB$27:$AB$28),0)</f>
        <v>5324</v>
      </c>
      <c r="AC85" s="158">
        <f t="shared" si="43"/>
        <v>5324000</v>
      </c>
      <c r="AD85" s="8">
        <f t="shared" si="85"/>
        <v>205</v>
      </c>
      <c r="AE85" s="97">
        <f t="shared" ref="AE85:AE93" si="111">45/50*$AE$103</f>
        <v>45</v>
      </c>
      <c r="AF85" s="8">
        <f t="shared" si="86"/>
        <v>205</v>
      </c>
      <c r="AG85" s="8">
        <f t="shared" si="87"/>
        <v>205</v>
      </c>
      <c r="AH85" s="97">
        <f t="shared" si="106"/>
        <v>9</v>
      </c>
      <c r="AI85" s="97">
        <f t="shared" ref="AI85:AI92" si="112">9/10*$AI$103</f>
        <v>9</v>
      </c>
      <c r="AJ85" s="8">
        <f t="shared" si="88"/>
        <v>205</v>
      </c>
      <c r="AK85" s="97">
        <f t="shared" si="107"/>
        <v>18</v>
      </c>
      <c r="AL85" s="8">
        <f t="shared" si="89"/>
        <v>8200</v>
      </c>
      <c r="AM85" s="8">
        <f t="shared" si="90"/>
        <v>32800</v>
      </c>
      <c r="AN85" s="97">
        <f t="shared" si="108"/>
        <v>9</v>
      </c>
      <c r="AO85" s="97">
        <f t="shared" si="109"/>
        <v>9</v>
      </c>
      <c r="AP85" s="97">
        <f t="shared" si="110"/>
        <v>1600</v>
      </c>
    </row>
    <row r="86" spans="1:42" ht="16.5" x14ac:dyDescent="0.3">
      <c r="A86" s="22" t="s">
        <v>2278</v>
      </c>
      <c r="B86" s="23" t="s">
        <v>2361</v>
      </c>
      <c r="C86" s="22">
        <v>82</v>
      </c>
      <c r="D86" s="22"/>
      <c r="E86" s="22"/>
      <c r="F86" s="98">
        <f t="shared" si="100"/>
        <v>103</v>
      </c>
      <c r="G86" s="101">
        <f t="shared" si="101"/>
        <v>205</v>
      </c>
      <c r="H86" s="98">
        <f t="shared" si="102"/>
        <v>103</v>
      </c>
      <c r="I86" s="101">
        <f t="shared" si="103"/>
        <v>205</v>
      </c>
      <c r="J86" s="98">
        <f t="shared" si="104"/>
        <v>103</v>
      </c>
      <c r="K86" s="101">
        <f t="shared" si="105"/>
        <v>205</v>
      </c>
      <c r="L86" s="101"/>
      <c r="M86" s="101"/>
      <c r="N86" s="101"/>
      <c r="O86" s="101"/>
      <c r="P86" s="69" t="str">
        <f t="shared" si="92"/>
        <v>HPMP%45</v>
      </c>
      <c r="Q86" s="100" t="str">
        <f t="shared" si="91"/>
        <v>龙晶碎片5324/元宝5324000</v>
      </c>
      <c r="R86" s="97">
        <v>83</v>
      </c>
      <c r="S86" s="158"/>
      <c r="T86" s="158">
        <f t="shared" si="79"/>
        <v>8300</v>
      </c>
      <c r="U86" s="158">
        <f t="shared" si="80"/>
        <v>33200</v>
      </c>
      <c r="V86" s="158">
        <f t="shared" si="81"/>
        <v>415</v>
      </c>
      <c r="W86" s="158">
        <f t="shared" si="82"/>
        <v>415</v>
      </c>
      <c r="X86" s="158">
        <f>T86*属性价值参考!C$5+附件合成!U86*属性价值参考!C$6+附件合成!V86*(属性价值参考!C$7+属性价值参考!C$8)+附件合成!W86*(属性价值参考!C$9+属性价值参考!C$10)</f>
        <v>126790.79999999999</v>
      </c>
      <c r="Y86" s="158">
        <f>AE86*属性价值参考!C$26+附件合成!AH86*属性价值参考!C$24+附件合成!AI86*属性价值参考!C$26+附件合成!AK86*(属性价值参考!C$28+属性价值参考!C$29)+附件合成!AN86*属性价值参考!C$26+附件合成!AO86*属性价值参考!C$27+AP86*(属性价值参考!C$37+属性价值参考!C$38)</f>
        <v>58416</v>
      </c>
      <c r="Z86" s="158">
        <f t="shared" si="83"/>
        <v>11575.424999999999</v>
      </c>
      <c r="AA86" s="158">
        <f t="shared" si="84"/>
        <v>11575425</v>
      </c>
      <c r="AB86" s="158">
        <f>ROUND(1/4*SUM(材料产出!$AB$27:$AB$28),0)</f>
        <v>5324</v>
      </c>
      <c r="AC86" s="158">
        <f t="shared" si="43"/>
        <v>5324000</v>
      </c>
      <c r="AD86" s="8">
        <f t="shared" si="85"/>
        <v>207</v>
      </c>
      <c r="AE86" s="97">
        <f t="shared" si="111"/>
        <v>45</v>
      </c>
      <c r="AF86" s="8">
        <f t="shared" si="86"/>
        <v>207</v>
      </c>
      <c r="AG86" s="8">
        <f t="shared" si="87"/>
        <v>207</v>
      </c>
      <c r="AH86" s="97">
        <f t="shared" si="106"/>
        <v>9</v>
      </c>
      <c r="AI86" s="97">
        <f t="shared" si="112"/>
        <v>9</v>
      </c>
      <c r="AJ86" s="8">
        <f t="shared" si="88"/>
        <v>207</v>
      </c>
      <c r="AK86" s="97">
        <f t="shared" si="107"/>
        <v>18</v>
      </c>
      <c r="AL86" s="8">
        <f t="shared" si="89"/>
        <v>8300</v>
      </c>
      <c r="AM86" s="8">
        <f t="shared" si="90"/>
        <v>33200</v>
      </c>
      <c r="AN86" s="97">
        <f t="shared" si="108"/>
        <v>9</v>
      </c>
      <c r="AO86" s="97">
        <f t="shared" si="109"/>
        <v>9</v>
      </c>
      <c r="AP86" s="97">
        <f t="shared" si="110"/>
        <v>1600</v>
      </c>
    </row>
    <row r="87" spans="1:42" ht="16.5" x14ac:dyDescent="0.3">
      <c r="A87" s="22" t="s">
        <v>2278</v>
      </c>
      <c r="B87" s="23" t="s">
        <v>2362</v>
      </c>
      <c r="C87" s="22">
        <v>83</v>
      </c>
      <c r="D87" s="22"/>
      <c r="E87" s="22"/>
      <c r="F87" s="98">
        <f t="shared" si="100"/>
        <v>104</v>
      </c>
      <c r="G87" s="101">
        <f t="shared" si="101"/>
        <v>207</v>
      </c>
      <c r="H87" s="98">
        <f t="shared" si="102"/>
        <v>104</v>
      </c>
      <c r="I87" s="101">
        <f t="shared" si="103"/>
        <v>207</v>
      </c>
      <c r="J87" s="98">
        <f t="shared" si="104"/>
        <v>104</v>
      </c>
      <c r="K87" s="101">
        <f t="shared" si="105"/>
        <v>207</v>
      </c>
      <c r="L87" s="101"/>
      <c r="M87" s="101"/>
      <c r="N87" s="101"/>
      <c r="O87" s="101"/>
      <c r="P87" s="69" t="str">
        <f t="shared" si="92"/>
        <v>HPMP%45</v>
      </c>
      <c r="Q87" s="100" t="str">
        <f t="shared" si="91"/>
        <v>龙晶碎片5324/元宝5324000</v>
      </c>
      <c r="R87" s="97">
        <v>84</v>
      </c>
      <c r="S87" s="158"/>
      <c r="T87" s="158">
        <f t="shared" si="79"/>
        <v>8400</v>
      </c>
      <c r="U87" s="158">
        <f t="shared" si="80"/>
        <v>33600</v>
      </c>
      <c r="V87" s="158">
        <f t="shared" si="81"/>
        <v>420</v>
      </c>
      <c r="W87" s="158">
        <f t="shared" si="82"/>
        <v>420</v>
      </c>
      <c r="X87" s="158">
        <f>T87*属性价值参考!C$5+附件合成!U87*属性价值参考!C$6+附件合成!V87*(属性价值参考!C$7+属性价值参考!C$8)+附件合成!W87*(属性价值参考!C$9+属性价值参考!C$10)</f>
        <v>128318.39999999999</v>
      </c>
      <c r="Y87" s="158">
        <f>AE87*属性价值参考!C$26+附件合成!AH87*属性价值参考!C$24+附件合成!AI87*属性价值参考!C$26+附件合成!AK87*(属性价值参考!C$28+属性价值参考!C$29)+附件合成!AN87*属性价值参考!C$26+附件合成!AO87*属性价值参考!C$27+AP87*(属性价值参考!C$37+属性价值参考!C$38)</f>
        <v>58416</v>
      </c>
      <c r="Z87" s="158">
        <f t="shared" si="83"/>
        <v>11670.9</v>
      </c>
      <c r="AA87" s="158">
        <f t="shared" si="84"/>
        <v>11670900</v>
      </c>
      <c r="AB87" s="158">
        <f>ROUND(1/4*SUM(材料产出!$AB$27:$AB$28),0)</f>
        <v>5324</v>
      </c>
      <c r="AC87" s="158">
        <f t="shared" si="43"/>
        <v>5324000</v>
      </c>
      <c r="AD87" s="8">
        <f t="shared" si="85"/>
        <v>210</v>
      </c>
      <c r="AE87" s="97">
        <f t="shared" si="111"/>
        <v>45</v>
      </c>
      <c r="AF87" s="8">
        <f t="shared" si="86"/>
        <v>210</v>
      </c>
      <c r="AG87" s="8">
        <f t="shared" si="87"/>
        <v>210</v>
      </c>
      <c r="AH87" s="97">
        <f t="shared" si="106"/>
        <v>9</v>
      </c>
      <c r="AI87" s="97">
        <f t="shared" si="112"/>
        <v>9</v>
      </c>
      <c r="AJ87" s="8">
        <f t="shared" si="88"/>
        <v>210</v>
      </c>
      <c r="AK87" s="97">
        <f t="shared" si="107"/>
        <v>18</v>
      </c>
      <c r="AL87" s="8">
        <f t="shared" si="89"/>
        <v>8400</v>
      </c>
      <c r="AM87" s="8">
        <f t="shared" si="90"/>
        <v>33600</v>
      </c>
      <c r="AN87" s="97">
        <f t="shared" si="108"/>
        <v>9</v>
      </c>
      <c r="AO87" s="97">
        <f t="shared" si="109"/>
        <v>9</v>
      </c>
      <c r="AP87" s="97">
        <f t="shared" si="110"/>
        <v>1600</v>
      </c>
    </row>
    <row r="88" spans="1:42" ht="16.5" x14ac:dyDescent="0.3">
      <c r="A88" s="22" t="s">
        <v>2278</v>
      </c>
      <c r="B88" s="23" t="s">
        <v>2363</v>
      </c>
      <c r="C88" s="22">
        <v>84</v>
      </c>
      <c r="D88" s="22"/>
      <c r="E88" s="22"/>
      <c r="F88" s="98">
        <f t="shared" si="100"/>
        <v>105</v>
      </c>
      <c r="G88" s="101">
        <f t="shared" si="101"/>
        <v>210</v>
      </c>
      <c r="H88" s="98">
        <f t="shared" si="102"/>
        <v>105</v>
      </c>
      <c r="I88" s="101">
        <f t="shared" si="103"/>
        <v>210</v>
      </c>
      <c r="J88" s="98">
        <f t="shared" si="104"/>
        <v>105</v>
      </c>
      <c r="K88" s="101">
        <f t="shared" si="105"/>
        <v>210</v>
      </c>
      <c r="L88" s="101"/>
      <c r="M88" s="101"/>
      <c r="N88" s="101"/>
      <c r="O88" s="101"/>
      <c r="P88" s="69" t="str">
        <f t="shared" si="92"/>
        <v>HPMP%45</v>
      </c>
      <c r="Q88" s="100" t="str">
        <f t="shared" si="91"/>
        <v>龙晶碎片5324/元宝5324000</v>
      </c>
      <c r="R88" s="97">
        <v>85</v>
      </c>
      <c r="S88" s="158"/>
      <c r="T88" s="158">
        <f t="shared" si="79"/>
        <v>8500</v>
      </c>
      <c r="U88" s="158">
        <f t="shared" si="80"/>
        <v>34000</v>
      </c>
      <c r="V88" s="158">
        <f t="shared" si="81"/>
        <v>425</v>
      </c>
      <c r="W88" s="158">
        <f t="shared" si="82"/>
        <v>425</v>
      </c>
      <c r="X88" s="158">
        <f>T88*属性价值参考!C$5+附件合成!U88*属性价值参考!C$6+附件合成!V88*(属性价值参考!C$7+属性价值参考!C$8)+附件合成!W88*(属性价值参考!C$9+属性价值参考!C$10)</f>
        <v>129846</v>
      </c>
      <c r="Y88" s="158">
        <f>AE88*属性价值参考!C$26+附件合成!AH88*属性价值参考!C$24+附件合成!AI88*属性价值参考!C$26+附件合成!AK88*(属性价值参考!C$28+属性价值参考!C$29)+附件合成!AN88*属性价值参考!C$26+附件合成!AO88*属性价值参考!C$27+AP88*(属性价值参考!C$37+属性价值参考!C$38)</f>
        <v>58416</v>
      </c>
      <c r="Z88" s="158">
        <f t="shared" si="83"/>
        <v>11766.375</v>
      </c>
      <c r="AA88" s="158">
        <f t="shared" si="84"/>
        <v>11766375</v>
      </c>
      <c r="AB88" s="158">
        <f>ROUND(1/4*SUM(材料产出!$AB$27:$AB$28),0)</f>
        <v>5324</v>
      </c>
      <c r="AC88" s="158">
        <f t="shared" ref="AC88:AC103" si="113">AB88*1000</f>
        <v>5324000</v>
      </c>
      <c r="AD88" s="8">
        <f t="shared" si="85"/>
        <v>212</v>
      </c>
      <c r="AE88" s="97">
        <f t="shared" si="111"/>
        <v>45</v>
      </c>
      <c r="AF88" s="8">
        <f t="shared" si="86"/>
        <v>212</v>
      </c>
      <c r="AG88" s="8">
        <f t="shared" si="87"/>
        <v>212</v>
      </c>
      <c r="AH88" s="97">
        <f t="shared" si="106"/>
        <v>9</v>
      </c>
      <c r="AI88" s="97">
        <f t="shared" si="112"/>
        <v>9</v>
      </c>
      <c r="AJ88" s="8">
        <f t="shared" si="88"/>
        <v>212</v>
      </c>
      <c r="AK88" s="97">
        <f t="shared" si="107"/>
        <v>18</v>
      </c>
      <c r="AL88" s="8">
        <f t="shared" si="89"/>
        <v>8500</v>
      </c>
      <c r="AM88" s="8">
        <f t="shared" si="90"/>
        <v>34000</v>
      </c>
      <c r="AN88" s="97">
        <f t="shared" si="108"/>
        <v>9</v>
      </c>
      <c r="AO88" s="97">
        <f t="shared" si="109"/>
        <v>9</v>
      </c>
      <c r="AP88" s="97">
        <f t="shared" si="110"/>
        <v>1600</v>
      </c>
    </row>
    <row r="89" spans="1:42" ht="16.5" x14ac:dyDescent="0.3">
      <c r="A89" s="22" t="s">
        <v>2278</v>
      </c>
      <c r="B89" s="23" t="s">
        <v>2364</v>
      </c>
      <c r="C89" s="22">
        <v>85</v>
      </c>
      <c r="D89" s="22"/>
      <c r="E89" s="22"/>
      <c r="F89" s="98">
        <f t="shared" si="100"/>
        <v>106</v>
      </c>
      <c r="G89" s="101">
        <f t="shared" si="101"/>
        <v>212</v>
      </c>
      <c r="H89" s="98">
        <f t="shared" si="102"/>
        <v>106</v>
      </c>
      <c r="I89" s="101">
        <f t="shared" si="103"/>
        <v>212</v>
      </c>
      <c r="J89" s="98">
        <f t="shared" si="104"/>
        <v>106</v>
      </c>
      <c r="K89" s="101">
        <f t="shared" si="105"/>
        <v>212</v>
      </c>
      <c r="L89" s="101"/>
      <c r="M89" s="101"/>
      <c r="N89" s="101"/>
      <c r="O89" s="101"/>
      <c r="P89" s="69" t="str">
        <f t="shared" si="92"/>
        <v>HPMP%45</v>
      </c>
      <c r="Q89" s="100" t="str">
        <f t="shared" si="91"/>
        <v>龙晶碎片5324/元宝5324000</v>
      </c>
      <c r="R89" s="97">
        <v>86</v>
      </c>
      <c r="S89" s="158"/>
      <c r="T89" s="158">
        <f t="shared" si="79"/>
        <v>8600</v>
      </c>
      <c r="U89" s="158">
        <f t="shared" si="80"/>
        <v>34400</v>
      </c>
      <c r="V89" s="158">
        <f t="shared" si="81"/>
        <v>430</v>
      </c>
      <c r="W89" s="158">
        <f t="shared" si="82"/>
        <v>430</v>
      </c>
      <c r="X89" s="158">
        <f>T89*属性价值参考!C$5+附件合成!U89*属性价值参考!C$6+附件合成!V89*(属性价值参考!C$7+属性价值参考!C$8)+附件合成!W89*(属性价值参考!C$9+属性价值参考!C$10)</f>
        <v>131373.6</v>
      </c>
      <c r="Y89" s="158">
        <f>AE89*属性价值参考!C$26+附件合成!AH89*属性价值参考!C$24+附件合成!AI89*属性价值参考!C$26+附件合成!AK89*(属性价值参考!C$28+属性价值参考!C$29)+附件合成!AN89*属性价值参考!C$26+附件合成!AO89*属性价值参考!C$27+AP89*(属性价值参考!C$37+属性价值参考!C$38)</f>
        <v>58416</v>
      </c>
      <c r="Z89" s="158">
        <f t="shared" si="83"/>
        <v>11861.85</v>
      </c>
      <c r="AA89" s="158">
        <f t="shared" si="84"/>
        <v>11861850</v>
      </c>
      <c r="AB89" s="158">
        <f>ROUND(1/4*SUM(材料产出!$AB$27:$AB$28),0)</f>
        <v>5324</v>
      </c>
      <c r="AC89" s="158">
        <f t="shared" si="113"/>
        <v>5324000</v>
      </c>
      <c r="AD89" s="8">
        <f t="shared" si="85"/>
        <v>215</v>
      </c>
      <c r="AE89" s="97">
        <f t="shared" si="111"/>
        <v>45</v>
      </c>
      <c r="AF89" s="8">
        <f t="shared" si="86"/>
        <v>215</v>
      </c>
      <c r="AG89" s="8">
        <f t="shared" si="87"/>
        <v>215</v>
      </c>
      <c r="AH89" s="97">
        <f t="shared" si="106"/>
        <v>9</v>
      </c>
      <c r="AI89" s="97">
        <f t="shared" si="112"/>
        <v>9</v>
      </c>
      <c r="AJ89" s="8">
        <f t="shared" si="88"/>
        <v>215</v>
      </c>
      <c r="AK89" s="97">
        <f t="shared" si="107"/>
        <v>18</v>
      </c>
      <c r="AL89" s="8">
        <f t="shared" si="89"/>
        <v>8600</v>
      </c>
      <c r="AM89" s="8">
        <f t="shared" si="90"/>
        <v>34400</v>
      </c>
      <c r="AN89" s="97">
        <f t="shared" si="108"/>
        <v>9</v>
      </c>
      <c r="AO89" s="97">
        <f t="shared" si="109"/>
        <v>9</v>
      </c>
      <c r="AP89" s="97">
        <f t="shared" si="110"/>
        <v>1600</v>
      </c>
    </row>
    <row r="90" spans="1:42" ht="16.5" x14ac:dyDescent="0.3">
      <c r="A90" s="22" t="s">
        <v>2278</v>
      </c>
      <c r="B90" s="23" t="s">
        <v>2365</v>
      </c>
      <c r="C90" s="22">
        <v>86</v>
      </c>
      <c r="D90" s="22"/>
      <c r="E90" s="22"/>
      <c r="F90" s="98">
        <f t="shared" si="100"/>
        <v>108</v>
      </c>
      <c r="G90" s="101">
        <f t="shared" si="101"/>
        <v>215</v>
      </c>
      <c r="H90" s="98">
        <f t="shared" si="102"/>
        <v>108</v>
      </c>
      <c r="I90" s="101">
        <f t="shared" si="103"/>
        <v>215</v>
      </c>
      <c r="J90" s="98">
        <f t="shared" si="104"/>
        <v>108</v>
      </c>
      <c r="K90" s="101">
        <f t="shared" si="105"/>
        <v>215</v>
      </c>
      <c r="L90" s="101"/>
      <c r="M90" s="101"/>
      <c r="N90" s="101"/>
      <c r="O90" s="101"/>
      <c r="P90" s="69" t="str">
        <f t="shared" si="92"/>
        <v>HPMP%45</v>
      </c>
      <c r="Q90" s="100" t="str">
        <f t="shared" si="91"/>
        <v>龙晶碎片5324/元宝5324000</v>
      </c>
      <c r="R90" s="97">
        <v>87</v>
      </c>
      <c r="S90" s="158"/>
      <c r="T90" s="158">
        <f t="shared" si="79"/>
        <v>8700</v>
      </c>
      <c r="U90" s="158">
        <f t="shared" si="80"/>
        <v>34800</v>
      </c>
      <c r="V90" s="158">
        <f t="shared" si="81"/>
        <v>435</v>
      </c>
      <c r="W90" s="158">
        <f t="shared" si="82"/>
        <v>435</v>
      </c>
      <c r="X90" s="158">
        <f>T90*属性价值参考!C$5+附件合成!U90*属性价值参考!C$6+附件合成!V90*(属性价值参考!C$7+属性价值参考!C$8)+附件合成!W90*(属性价值参考!C$9+属性价值参考!C$10)</f>
        <v>132901.20000000001</v>
      </c>
      <c r="Y90" s="158">
        <f>AE90*属性价值参考!C$26+附件合成!AH90*属性价值参考!C$24+附件合成!AI90*属性价值参考!C$26+附件合成!AK90*(属性价值参考!C$28+属性价值参考!C$29)+附件合成!AN90*属性价值参考!C$26+附件合成!AO90*属性价值参考!C$27+AP90*(属性价值参考!C$37+属性价值参考!C$38)</f>
        <v>58416</v>
      </c>
      <c r="Z90" s="158">
        <f t="shared" si="83"/>
        <v>11957.325000000001</v>
      </c>
      <c r="AA90" s="158">
        <f t="shared" si="84"/>
        <v>11957325</v>
      </c>
      <c r="AB90" s="158">
        <f>ROUND(1/4*SUM(材料产出!$AB$27:$AB$28),0)</f>
        <v>5324</v>
      </c>
      <c r="AC90" s="158">
        <f t="shared" si="113"/>
        <v>5324000</v>
      </c>
      <c r="AD90" s="8">
        <f t="shared" si="85"/>
        <v>217</v>
      </c>
      <c r="AE90" s="97">
        <f t="shared" si="111"/>
        <v>45</v>
      </c>
      <c r="AF90" s="8">
        <f t="shared" si="86"/>
        <v>217</v>
      </c>
      <c r="AG90" s="8">
        <f t="shared" si="87"/>
        <v>217</v>
      </c>
      <c r="AH90" s="97">
        <f t="shared" si="106"/>
        <v>9</v>
      </c>
      <c r="AI90" s="97">
        <f t="shared" si="112"/>
        <v>9</v>
      </c>
      <c r="AJ90" s="8">
        <f t="shared" si="88"/>
        <v>217</v>
      </c>
      <c r="AK90" s="97">
        <f t="shared" si="107"/>
        <v>18</v>
      </c>
      <c r="AL90" s="8">
        <f t="shared" si="89"/>
        <v>8700</v>
      </c>
      <c r="AM90" s="8">
        <f t="shared" si="90"/>
        <v>34800</v>
      </c>
      <c r="AN90" s="97">
        <f t="shared" si="108"/>
        <v>9</v>
      </c>
      <c r="AO90" s="97">
        <f t="shared" si="109"/>
        <v>9</v>
      </c>
      <c r="AP90" s="97">
        <f t="shared" si="110"/>
        <v>1600</v>
      </c>
    </row>
    <row r="91" spans="1:42" ht="16.5" x14ac:dyDescent="0.3">
      <c r="A91" s="22" t="s">
        <v>2278</v>
      </c>
      <c r="B91" s="23" t="s">
        <v>2366</v>
      </c>
      <c r="C91" s="22">
        <v>87</v>
      </c>
      <c r="D91" s="22"/>
      <c r="E91" s="22"/>
      <c r="F91" s="98">
        <f t="shared" si="100"/>
        <v>109</v>
      </c>
      <c r="G91" s="101">
        <f t="shared" si="101"/>
        <v>217</v>
      </c>
      <c r="H91" s="98">
        <f t="shared" si="102"/>
        <v>109</v>
      </c>
      <c r="I91" s="101">
        <f t="shared" si="103"/>
        <v>217</v>
      </c>
      <c r="J91" s="98">
        <f t="shared" si="104"/>
        <v>109</v>
      </c>
      <c r="K91" s="101">
        <f t="shared" si="105"/>
        <v>217</v>
      </c>
      <c r="L91" s="101"/>
      <c r="M91" s="101"/>
      <c r="N91" s="101"/>
      <c r="O91" s="101"/>
      <c r="P91" s="69" t="str">
        <f t="shared" si="92"/>
        <v>HPMP%45</v>
      </c>
      <c r="Q91" s="100" t="str">
        <f t="shared" si="91"/>
        <v>龙晶碎片5324/元宝5324000</v>
      </c>
      <c r="R91" s="97">
        <v>88</v>
      </c>
      <c r="S91" s="158"/>
      <c r="T91" s="158">
        <f t="shared" si="79"/>
        <v>8800</v>
      </c>
      <c r="U91" s="158">
        <f t="shared" si="80"/>
        <v>35200</v>
      </c>
      <c r="V91" s="158">
        <f t="shared" si="81"/>
        <v>440</v>
      </c>
      <c r="W91" s="158">
        <f t="shared" si="82"/>
        <v>440</v>
      </c>
      <c r="X91" s="158">
        <f>T91*属性价值参考!C$5+附件合成!U91*属性价值参考!C$6+附件合成!V91*(属性价值参考!C$7+属性价值参考!C$8)+附件合成!W91*(属性价值参考!C$9+属性价值参考!C$10)</f>
        <v>134428.79999999999</v>
      </c>
      <c r="Y91" s="158">
        <f>AE91*属性价值参考!C$26+附件合成!AH91*属性价值参考!C$24+附件合成!AI91*属性价值参考!C$26+附件合成!AK91*(属性价值参考!C$28+属性价值参考!C$29)+附件合成!AN91*属性价值参考!C$26+附件合成!AO91*属性价值参考!C$27+AP91*(属性价值参考!C$37+属性价值参考!C$38)</f>
        <v>58416</v>
      </c>
      <c r="Z91" s="158">
        <f t="shared" si="83"/>
        <v>12052.8</v>
      </c>
      <c r="AA91" s="158">
        <f t="shared" si="84"/>
        <v>12052800</v>
      </c>
      <c r="AB91" s="158">
        <f>ROUND(1/4*SUM(材料产出!$AB$27:$AB$28),0)</f>
        <v>5324</v>
      </c>
      <c r="AC91" s="158">
        <f t="shared" si="113"/>
        <v>5324000</v>
      </c>
      <c r="AD91" s="8">
        <f t="shared" si="85"/>
        <v>220</v>
      </c>
      <c r="AE91" s="97">
        <f t="shared" si="111"/>
        <v>45</v>
      </c>
      <c r="AF91" s="8">
        <f t="shared" si="86"/>
        <v>220</v>
      </c>
      <c r="AG91" s="8">
        <f t="shared" si="87"/>
        <v>220</v>
      </c>
      <c r="AH91" s="97">
        <f t="shared" si="106"/>
        <v>9</v>
      </c>
      <c r="AI91" s="97">
        <f t="shared" si="112"/>
        <v>9</v>
      </c>
      <c r="AJ91" s="8">
        <f t="shared" si="88"/>
        <v>220</v>
      </c>
      <c r="AK91" s="97">
        <f t="shared" si="107"/>
        <v>18</v>
      </c>
      <c r="AL91" s="8">
        <f t="shared" si="89"/>
        <v>8800</v>
      </c>
      <c r="AM91" s="8">
        <f t="shared" si="90"/>
        <v>35200</v>
      </c>
      <c r="AN91" s="97">
        <f t="shared" si="108"/>
        <v>9</v>
      </c>
      <c r="AO91" s="97">
        <f t="shared" si="109"/>
        <v>9</v>
      </c>
      <c r="AP91" s="97">
        <f t="shared" si="110"/>
        <v>1600</v>
      </c>
    </row>
    <row r="92" spans="1:42" ht="16.5" x14ac:dyDescent="0.3">
      <c r="A92" s="22" t="s">
        <v>2278</v>
      </c>
      <c r="B92" s="23" t="s">
        <v>2367</v>
      </c>
      <c r="C92" s="22">
        <v>88</v>
      </c>
      <c r="D92" s="22"/>
      <c r="E92" s="22"/>
      <c r="F92" s="98">
        <f t="shared" si="100"/>
        <v>110</v>
      </c>
      <c r="G92" s="101">
        <f t="shared" si="101"/>
        <v>220</v>
      </c>
      <c r="H92" s="98">
        <f t="shared" si="102"/>
        <v>110</v>
      </c>
      <c r="I92" s="101">
        <f t="shared" si="103"/>
        <v>220</v>
      </c>
      <c r="J92" s="98">
        <f t="shared" si="104"/>
        <v>110</v>
      </c>
      <c r="K92" s="101">
        <f t="shared" si="105"/>
        <v>220</v>
      </c>
      <c r="L92" s="101"/>
      <c r="M92" s="101"/>
      <c r="N92" s="101"/>
      <c r="O92" s="101"/>
      <c r="P92" s="69" t="str">
        <f t="shared" si="92"/>
        <v>HPMP%45</v>
      </c>
      <c r="Q92" s="100" t="str">
        <f t="shared" si="91"/>
        <v>龙晶碎片5324/元宝5324000</v>
      </c>
      <c r="R92" s="97">
        <v>89</v>
      </c>
      <c r="S92" s="158"/>
      <c r="T92" s="158">
        <f t="shared" si="79"/>
        <v>8900</v>
      </c>
      <c r="U92" s="158">
        <f t="shared" si="80"/>
        <v>35600</v>
      </c>
      <c r="V92" s="158">
        <f t="shared" si="81"/>
        <v>445</v>
      </c>
      <c r="W92" s="158">
        <f t="shared" si="82"/>
        <v>445</v>
      </c>
      <c r="X92" s="158">
        <f>T92*属性价值参考!C$5+附件合成!U92*属性价值参考!C$6+附件合成!V92*(属性价值参考!C$7+属性价值参考!C$8)+附件合成!W92*(属性价值参考!C$9+属性价值参考!C$10)</f>
        <v>135956.4</v>
      </c>
      <c r="Y92" s="158">
        <f>AE92*属性价值参考!C$26+附件合成!AH92*属性价值参考!C$24+附件合成!AI92*属性价值参考!C$26+附件合成!AK92*(属性价值参考!C$28+属性价值参考!C$29)+附件合成!AN92*属性价值参考!C$26+附件合成!AO92*属性价值参考!C$27+AP92*(属性价值参考!C$37+属性价值参考!C$38)</f>
        <v>58416</v>
      </c>
      <c r="Z92" s="158">
        <f t="shared" si="83"/>
        <v>12148.275</v>
      </c>
      <c r="AA92" s="158">
        <f t="shared" si="84"/>
        <v>12148275</v>
      </c>
      <c r="AB92" s="158">
        <f>ROUND(1/4*SUM(材料产出!$AB$27:$AB$28),0)</f>
        <v>5324</v>
      </c>
      <c r="AC92" s="158">
        <f t="shared" si="113"/>
        <v>5324000</v>
      </c>
      <c r="AD92" s="8">
        <f t="shared" si="85"/>
        <v>222</v>
      </c>
      <c r="AE92" s="97">
        <f t="shared" si="111"/>
        <v>45</v>
      </c>
      <c r="AF92" s="8">
        <f t="shared" si="86"/>
        <v>222</v>
      </c>
      <c r="AG92" s="8">
        <f t="shared" si="87"/>
        <v>222</v>
      </c>
      <c r="AH92" s="97">
        <f t="shared" si="106"/>
        <v>9</v>
      </c>
      <c r="AI92" s="97">
        <f t="shared" si="112"/>
        <v>9</v>
      </c>
      <c r="AJ92" s="8">
        <f t="shared" si="88"/>
        <v>222</v>
      </c>
      <c r="AK92" s="97">
        <f t="shared" si="107"/>
        <v>18</v>
      </c>
      <c r="AL92" s="8">
        <f t="shared" si="89"/>
        <v>8900</v>
      </c>
      <c r="AM92" s="8">
        <f t="shared" si="90"/>
        <v>35600</v>
      </c>
      <c r="AN92" s="97">
        <f t="shared" si="108"/>
        <v>9</v>
      </c>
      <c r="AO92" s="97">
        <f t="shared" si="109"/>
        <v>9</v>
      </c>
      <c r="AP92" s="97">
        <f t="shared" si="110"/>
        <v>1600</v>
      </c>
    </row>
    <row r="93" spans="1:42" ht="16.5" x14ac:dyDescent="0.3">
      <c r="A93" s="22" t="s">
        <v>2278</v>
      </c>
      <c r="B93" s="23" t="s">
        <v>2368</v>
      </c>
      <c r="C93" s="22">
        <v>89</v>
      </c>
      <c r="D93" s="22"/>
      <c r="E93" s="22"/>
      <c r="F93" s="98">
        <f t="shared" si="100"/>
        <v>111</v>
      </c>
      <c r="G93" s="101">
        <f t="shared" si="101"/>
        <v>222</v>
      </c>
      <c r="H93" s="98">
        <f t="shared" si="102"/>
        <v>111</v>
      </c>
      <c r="I93" s="101">
        <f t="shared" si="103"/>
        <v>222</v>
      </c>
      <c r="J93" s="98">
        <f t="shared" si="104"/>
        <v>111</v>
      </c>
      <c r="K93" s="101">
        <f t="shared" si="105"/>
        <v>222</v>
      </c>
      <c r="L93" s="101"/>
      <c r="M93" s="101"/>
      <c r="N93" s="101"/>
      <c r="O93" s="101"/>
      <c r="P93" s="69" t="str">
        <f t="shared" si="92"/>
        <v>HPMP%45</v>
      </c>
      <c r="Q93" s="100" t="str">
        <f t="shared" si="91"/>
        <v>龙晶碎片5324/元宝5324000</v>
      </c>
      <c r="R93" s="97">
        <v>90</v>
      </c>
      <c r="S93" s="206">
        <f>材料产出!C28</f>
        <v>6.4</v>
      </c>
      <c r="T93" s="158">
        <f t="shared" si="79"/>
        <v>9000</v>
      </c>
      <c r="U93" s="158">
        <f t="shared" si="80"/>
        <v>36000</v>
      </c>
      <c r="V93" s="158">
        <f t="shared" si="81"/>
        <v>450</v>
      </c>
      <c r="W93" s="158">
        <f t="shared" si="82"/>
        <v>450</v>
      </c>
      <c r="X93" s="158">
        <f>T93*属性价值参考!C$5+附件合成!U93*属性价值参考!C$6+附件合成!V93*(属性价值参考!C$7+属性价值参考!C$8)+附件合成!W93*(属性价值参考!C$9+属性价值参考!C$10)</f>
        <v>137484</v>
      </c>
      <c r="Y93" s="158">
        <f>AE93*属性价值参考!C$26+附件合成!AH93*属性价值参考!C$24+附件合成!AI93*属性价值参考!C$26+附件合成!AK93*(属性价值参考!C$28+属性价值参考!C$29)+附件合成!AN93*属性价值参考!C$26+附件合成!AO93*属性价值参考!C$27+AP93*(属性价值参考!C$37+属性价值参考!C$38)</f>
        <v>58416</v>
      </c>
      <c r="Z93" s="158">
        <f t="shared" si="83"/>
        <v>12243.75</v>
      </c>
      <c r="AA93" s="158">
        <f t="shared" si="84"/>
        <v>12243750</v>
      </c>
      <c r="AB93" s="158">
        <f>ROUND(1/4*SUM(材料产出!$AB$27:$AB$28),0)</f>
        <v>5324</v>
      </c>
      <c r="AC93" s="158">
        <f t="shared" si="113"/>
        <v>5324000</v>
      </c>
      <c r="AD93" s="8">
        <f t="shared" si="85"/>
        <v>225</v>
      </c>
      <c r="AE93" s="97">
        <f t="shared" si="111"/>
        <v>45</v>
      </c>
      <c r="AF93" s="8">
        <f t="shared" si="86"/>
        <v>225</v>
      </c>
      <c r="AG93" s="8">
        <f t="shared" si="87"/>
        <v>225</v>
      </c>
      <c r="AH93" s="97">
        <f>9/10*$AH$103</f>
        <v>9</v>
      </c>
      <c r="AI93" s="97">
        <f>9/10*$AI$103</f>
        <v>9</v>
      </c>
      <c r="AJ93" s="8">
        <f t="shared" si="88"/>
        <v>225</v>
      </c>
      <c r="AK93" s="97">
        <f>9/10*$AK$103</f>
        <v>18</v>
      </c>
      <c r="AL93" s="8">
        <f t="shared" si="89"/>
        <v>9000</v>
      </c>
      <c r="AM93" s="8">
        <f t="shared" si="90"/>
        <v>36000</v>
      </c>
      <c r="AN93" s="97">
        <f>9/10*$AN$103</f>
        <v>9</v>
      </c>
      <c r="AO93" s="97">
        <f>9/10*$AO$103</f>
        <v>9</v>
      </c>
      <c r="AP93" s="97">
        <f>16/20*$AP$103</f>
        <v>1600</v>
      </c>
    </row>
    <row r="94" spans="1:42" ht="16.5" x14ac:dyDescent="0.3">
      <c r="A94" s="22" t="s">
        <v>2278</v>
      </c>
      <c r="B94" s="23" t="s">
        <v>2369</v>
      </c>
      <c r="C94" s="22">
        <v>90</v>
      </c>
      <c r="D94" s="22"/>
      <c r="E94" s="22"/>
      <c r="F94" s="98">
        <f t="shared" si="100"/>
        <v>113</v>
      </c>
      <c r="G94" s="101">
        <f t="shared" si="101"/>
        <v>225</v>
      </c>
      <c r="H94" s="98">
        <f t="shared" si="102"/>
        <v>113</v>
      </c>
      <c r="I94" s="101">
        <f t="shared" si="103"/>
        <v>225</v>
      </c>
      <c r="J94" s="98">
        <f t="shared" si="104"/>
        <v>113</v>
      </c>
      <c r="K94" s="101">
        <f t="shared" si="105"/>
        <v>225</v>
      </c>
      <c r="L94" s="101"/>
      <c r="M94" s="101"/>
      <c r="N94" s="101"/>
      <c r="O94" s="101"/>
      <c r="P94" s="69" t="str">
        <f t="shared" si="92"/>
        <v>HPMP%45</v>
      </c>
      <c r="Q94" s="100" t="str">
        <f t="shared" si="91"/>
        <v>龙晶碎片5835/元宝5835000</v>
      </c>
      <c r="R94" s="191">
        <v>91</v>
      </c>
      <c r="S94" s="207"/>
      <c r="T94" s="158">
        <f t="shared" si="79"/>
        <v>9100</v>
      </c>
      <c r="U94" s="158">
        <f t="shared" si="80"/>
        <v>36400</v>
      </c>
      <c r="V94" s="158">
        <f t="shared" si="81"/>
        <v>455</v>
      </c>
      <c r="W94" s="158">
        <f t="shared" si="82"/>
        <v>455</v>
      </c>
      <c r="X94" s="158">
        <f>T94*属性价值参考!C$5+附件合成!U94*属性价值参考!C$6+附件合成!V94*(属性价值参考!C$7+属性价值参考!C$8)+附件合成!W94*(属性价值参考!C$9+属性价值参考!C$10)</f>
        <v>139011.6</v>
      </c>
      <c r="Y94" s="158">
        <f>AE94*属性价值参考!C$26+附件合成!AH94*属性价值参考!C$24+附件合成!AI94*属性价值参考!C$26+附件合成!AK94*(属性价值参考!C$28+属性价值参考!C$29)+附件合成!AN94*属性价值参考!C$26+附件合成!AO94*属性价值参考!C$27+AP94*(属性价值参考!C$37+属性价值参考!C$38)</f>
        <v>71400</v>
      </c>
      <c r="Z94" s="158">
        <f t="shared" si="83"/>
        <v>13150.725</v>
      </c>
      <c r="AA94" s="158">
        <f t="shared" si="84"/>
        <v>13150725</v>
      </c>
      <c r="AB94" s="158">
        <f>ROUND(1/4*SUM(材料产出!$AB$29:$AB$30),0)</f>
        <v>5835</v>
      </c>
      <c r="AC94" s="158">
        <f t="shared" si="113"/>
        <v>5835000</v>
      </c>
      <c r="AD94" s="104">
        <f t="shared" si="85"/>
        <v>227</v>
      </c>
      <c r="AE94" s="105">
        <f>$AE$103</f>
        <v>50</v>
      </c>
      <c r="AF94" s="104">
        <f t="shared" si="86"/>
        <v>227</v>
      </c>
      <c r="AG94" s="104">
        <f t="shared" si="87"/>
        <v>227</v>
      </c>
      <c r="AH94" s="97">
        <f t="shared" ref="AH94:AH101" si="114">$AH$103</f>
        <v>10</v>
      </c>
      <c r="AI94" s="97">
        <f>$AI$103</f>
        <v>10</v>
      </c>
      <c r="AJ94" s="104">
        <f t="shared" si="88"/>
        <v>227</v>
      </c>
      <c r="AK94" s="97">
        <f t="shared" ref="AK94:AK101" si="115">$AK$103</f>
        <v>20</v>
      </c>
      <c r="AL94" s="104">
        <f t="shared" si="89"/>
        <v>9100</v>
      </c>
      <c r="AM94" s="104">
        <f t="shared" si="90"/>
        <v>36400</v>
      </c>
      <c r="AN94" s="97">
        <f t="shared" ref="AN94:AN101" si="116">$AN$103</f>
        <v>10</v>
      </c>
      <c r="AO94" s="97">
        <f t="shared" ref="AO94:AO101" si="117">$AO$103</f>
        <v>10</v>
      </c>
      <c r="AP94" s="97">
        <f t="shared" ref="AP94:AP101" si="118">$AP$103</f>
        <v>2000</v>
      </c>
    </row>
    <row r="95" spans="1:42" ht="16.5" x14ac:dyDescent="0.3">
      <c r="A95" s="22" t="s">
        <v>2278</v>
      </c>
      <c r="B95" s="23" t="s">
        <v>2370</v>
      </c>
      <c r="C95" s="22">
        <v>91</v>
      </c>
      <c r="D95" s="22"/>
      <c r="E95" s="22"/>
      <c r="F95" s="98">
        <f t="shared" si="100"/>
        <v>114</v>
      </c>
      <c r="G95" s="101">
        <f t="shared" si="101"/>
        <v>227</v>
      </c>
      <c r="H95" s="98">
        <f t="shared" si="102"/>
        <v>114</v>
      </c>
      <c r="I95" s="101">
        <f t="shared" si="103"/>
        <v>227</v>
      </c>
      <c r="J95" s="98">
        <f t="shared" si="104"/>
        <v>114</v>
      </c>
      <c r="K95" s="101">
        <f t="shared" si="105"/>
        <v>227</v>
      </c>
      <c r="L95" s="101"/>
      <c r="M95" s="101"/>
      <c r="N95" s="101"/>
      <c r="O95" s="101"/>
      <c r="P95" s="69" t="str">
        <f t="shared" si="92"/>
        <v>HPMP%50</v>
      </c>
      <c r="Q95" s="100" t="str">
        <f t="shared" si="91"/>
        <v>龙晶碎片5835/元宝5835000</v>
      </c>
      <c r="R95" s="97">
        <v>92</v>
      </c>
      <c r="S95" s="158"/>
      <c r="T95" s="158">
        <f t="shared" si="79"/>
        <v>9200</v>
      </c>
      <c r="U95" s="158">
        <f t="shared" si="80"/>
        <v>36800</v>
      </c>
      <c r="V95" s="158">
        <f t="shared" si="81"/>
        <v>460</v>
      </c>
      <c r="W95" s="158">
        <f t="shared" si="82"/>
        <v>460</v>
      </c>
      <c r="X95" s="158">
        <f>T95*属性价值参考!C$5+附件合成!U95*属性价值参考!C$6+附件合成!V95*(属性价值参考!C$7+属性价值参考!C$8)+附件合成!W95*(属性价值参考!C$9+属性价值参考!C$10)</f>
        <v>140539.20000000001</v>
      </c>
      <c r="Y95" s="158">
        <f>AE95*属性价值参考!C$26+附件合成!AH95*属性价值参考!C$24+附件合成!AI95*属性价值参考!C$26+附件合成!AK95*(属性价值参考!C$28+属性价值参考!C$29)+附件合成!AN95*属性价值参考!C$26+附件合成!AO95*属性价值参考!C$27+AP95*(属性价值参考!C$37+属性价值参考!C$38)</f>
        <v>71400</v>
      </c>
      <c r="Z95" s="158">
        <f t="shared" si="83"/>
        <v>13246.2</v>
      </c>
      <c r="AA95" s="158">
        <f t="shared" si="84"/>
        <v>13246200</v>
      </c>
      <c r="AB95" s="158">
        <f>ROUND(1/4*SUM(材料产出!$AB$29:$AB$30),0)</f>
        <v>5835</v>
      </c>
      <c r="AC95" s="158">
        <f t="shared" si="113"/>
        <v>5835000</v>
      </c>
      <c r="AD95" s="8">
        <f t="shared" si="85"/>
        <v>230</v>
      </c>
      <c r="AE95" s="97">
        <f t="shared" ref="AE95:AE101" si="119">$AE$103</f>
        <v>50</v>
      </c>
      <c r="AF95" s="8">
        <f t="shared" si="86"/>
        <v>230</v>
      </c>
      <c r="AG95" s="8">
        <f t="shared" si="87"/>
        <v>230</v>
      </c>
      <c r="AH95" s="97">
        <f t="shared" si="114"/>
        <v>10</v>
      </c>
      <c r="AI95" s="97">
        <f t="shared" ref="AI95:AI101" si="120">$AI$103</f>
        <v>10</v>
      </c>
      <c r="AJ95" s="8">
        <f t="shared" si="88"/>
        <v>230</v>
      </c>
      <c r="AK95" s="97">
        <f t="shared" si="115"/>
        <v>20</v>
      </c>
      <c r="AL95" s="8">
        <f t="shared" si="89"/>
        <v>9200</v>
      </c>
      <c r="AM95" s="8">
        <f t="shared" si="90"/>
        <v>36800</v>
      </c>
      <c r="AN95" s="97">
        <f t="shared" si="116"/>
        <v>10</v>
      </c>
      <c r="AO95" s="97">
        <f t="shared" si="117"/>
        <v>10</v>
      </c>
      <c r="AP95" s="97">
        <f t="shared" si="118"/>
        <v>2000</v>
      </c>
    </row>
    <row r="96" spans="1:42" ht="16.5" x14ac:dyDescent="0.3">
      <c r="A96" s="22" t="s">
        <v>2278</v>
      </c>
      <c r="B96" s="23" t="s">
        <v>2371</v>
      </c>
      <c r="C96" s="22">
        <v>92</v>
      </c>
      <c r="D96" s="22"/>
      <c r="E96" s="22"/>
      <c r="F96" s="98">
        <f t="shared" si="100"/>
        <v>115</v>
      </c>
      <c r="G96" s="101">
        <f t="shared" si="101"/>
        <v>230</v>
      </c>
      <c r="H96" s="98">
        <f t="shared" si="102"/>
        <v>115</v>
      </c>
      <c r="I96" s="101">
        <f t="shared" si="103"/>
        <v>230</v>
      </c>
      <c r="J96" s="98">
        <f t="shared" si="104"/>
        <v>115</v>
      </c>
      <c r="K96" s="101">
        <f t="shared" si="105"/>
        <v>230</v>
      </c>
      <c r="L96" s="101"/>
      <c r="M96" s="101"/>
      <c r="N96" s="101"/>
      <c r="O96" s="101"/>
      <c r="P96" s="69" t="str">
        <f t="shared" si="92"/>
        <v>HPMP%50</v>
      </c>
      <c r="Q96" s="100" t="str">
        <f t="shared" si="91"/>
        <v>龙晶碎片5835/元宝5835000</v>
      </c>
      <c r="R96" s="97">
        <v>93</v>
      </c>
      <c r="S96" s="158"/>
      <c r="T96" s="158">
        <f t="shared" si="79"/>
        <v>9300</v>
      </c>
      <c r="U96" s="158">
        <f t="shared" si="80"/>
        <v>37200</v>
      </c>
      <c r="V96" s="158">
        <f t="shared" si="81"/>
        <v>465</v>
      </c>
      <c r="W96" s="158">
        <f t="shared" si="82"/>
        <v>465</v>
      </c>
      <c r="X96" s="158">
        <f>T96*属性价值参考!C$5+附件合成!U96*属性价值参考!C$6+附件合成!V96*(属性价值参考!C$7+属性价值参考!C$8)+附件合成!W96*(属性价值参考!C$9+属性价值参考!C$10)</f>
        <v>142066.79999999999</v>
      </c>
      <c r="Y96" s="158">
        <f>AE96*属性价值参考!C$26+附件合成!AH96*属性价值参考!C$24+附件合成!AI96*属性价值参考!C$26+附件合成!AK96*(属性价值参考!C$28+属性价值参考!C$29)+附件合成!AN96*属性价值参考!C$26+附件合成!AO96*属性价值参考!C$27+AP96*(属性价值参考!C$37+属性价值参考!C$38)</f>
        <v>71400</v>
      </c>
      <c r="Z96" s="158">
        <f t="shared" si="83"/>
        <v>13341.674999999999</v>
      </c>
      <c r="AA96" s="158">
        <f t="shared" si="84"/>
        <v>13341675</v>
      </c>
      <c r="AB96" s="158">
        <f>ROUND(1/4*SUM(材料产出!$AB$29:$AB$30),0)</f>
        <v>5835</v>
      </c>
      <c r="AC96" s="158">
        <f t="shared" si="113"/>
        <v>5835000</v>
      </c>
      <c r="AD96" s="8">
        <f t="shared" si="85"/>
        <v>232</v>
      </c>
      <c r="AE96" s="97">
        <f t="shared" si="119"/>
        <v>50</v>
      </c>
      <c r="AF96" s="8">
        <f t="shared" si="86"/>
        <v>232</v>
      </c>
      <c r="AG96" s="8">
        <f t="shared" si="87"/>
        <v>232</v>
      </c>
      <c r="AH96" s="97">
        <f t="shared" si="114"/>
        <v>10</v>
      </c>
      <c r="AI96" s="97">
        <f t="shared" si="120"/>
        <v>10</v>
      </c>
      <c r="AJ96" s="8">
        <f t="shared" si="88"/>
        <v>232</v>
      </c>
      <c r="AK96" s="97">
        <f t="shared" si="115"/>
        <v>20</v>
      </c>
      <c r="AL96" s="8">
        <f t="shared" si="89"/>
        <v>9300</v>
      </c>
      <c r="AM96" s="8">
        <f t="shared" si="90"/>
        <v>37200</v>
      </c>
      <c r="AN96" s="97">
        <f t="shared" si="116"/>
        <v>10</v>
      </c>
      <c r="AO96" s="97">
        <f t="shared" si="117"/>
        <v>10</v>
      </c>
      <c r="AP96" s="97">
        <f t="shared" si="118"/>
        <v>2000</v>
      </c>
    </row>
    <row r="97" spans="1:42" ht="16.5" x14ac:dyDescent="0.3">
      <c r="A97" s="22" t="s">
        <v>2278</v>
      </c>
      <c r="B97" s="23" t="s">
        <v>2372</v>
      </c>
      <c r="C97" s="22">
        <v>93</v>
      </c>
      <c r="D97" s="22"/>
      <c r="E97" s="22"/>
      <c r="F97" s="98">
        <f t="shared" si="100"/>
        <v>116</v>
      </c>
      <c r="G97" s="101">
        <f t="shared" si="101"/>
        <v>232</v>
      </c>
      <c r="H97" s="98">
        <f t="shared" si="102"/>
        <v>116</v>
      </c>
      <c r="I97" s="101">
        <f t="shared" si="103"/>
        <v>232</v>
      </c>
      <c r="J97" s="98">
        <f t="shared" si="104"/>
        <v>116</v>
      </c>
      <c r="K97" s="101">
        <f t="shared" si="105"/>
        <v>232</v>
      </c>
      <c r="L97" s="101"/>
      <c r="M97" s="101"/>
      <c r="N97" s="101"/>
      <c r="O97" s="101"/>
      <c r="P97" s="69" t="str">
        <f t="shared" si="92"/>
        <v>HPMP%50</v>
      </c>
      <c r="Q97" s="100" t="str">
        <f t="shared" si="91"/>
        <v>龙晶碎片5835/元宝5835000</v>
      </c>
      <c r="R97" s="97">
        <v>94</v>
      </c>
      <c r="S97" s="158"/>
      <c r="T97" s="158">
        <f t="shared" si="79"/>
        <v>9400</v>
      </c>
      <c r="U97" s="158">
        <f t="shared" si="80"/>
        <v>37600</v>
      </c>
      <c r="V97" s="158">
        <f t="shared" si="81"/>
        <v>470</v>
      </c>
      <c r="W97" s="158">
        <f t="shared" si="82"/>
        <v>470</v>
      </c>
      <c r="X97" s="158">
        <f>T97*属性价值参考!C$5+附件合成!U97*属性价值参考!C$6+附件合成!V97*(属性价值参考!C$7+属性价值参考!C$8)+附件合成!W97*(属性价值参考!C$9+属性价值参考!C$10)</f>
        <v>143594.4</v>
      </c>
      <c r="Y97" s="158">
        <f>AE97*属性价值参考!C$26+附件合成!AH97*属性价值参考!C$24+附件合成!AI97*属性价值参考!C$26+附件合成!AK97*(属性价值参考!C$28+属性价值参考!C$29)+附件合成!AN97*属性价值参考!C$26+附件合成!AO97*属性价值参考!C$27+AP97*(属性价值参考!C$37+属性价值参考!C$38)</f>
        <v>71400</v>
      </c>
      <c r="Z97" s="158">
        <f t="shared" si="83"/>
        <v>13437.15</v>
      </c>
      <c r="AA97" s="158">
        <f t="shared" si="84"/>
        <v>13437150</v>
      </c>
      <c r="AB97" s="158">
        <f>ROUND(1/4*SUM(材料产出!$AB$29:$AB$30),0)</f>
        <v>5835</v>
      </c>
      <c r="AC97" s="158">
        <f t="shared" si="113"/>
        <v>5835000</v>
      </c>
      <c r="AD97" s="8">
        <f t="shared" si="85"/>
        <v>235</v>
      </c>
      <c r="AE97" s="97">
        <f t="shared" si="119"/>
        <v>50</v>
      </c>
      <c r="AF97" s="8">
        <f t="shared" si="86"/>
        <v>235</v>
      </c>
      <c r="AG97" s="8">
        <f t="shared" si="87"/>
        <v>235</v>
      </c>
      <c r="AH97" s="97">
        <f t="shared" si="114"/>
        <v>10</v>
      </c>
      <c r="AI97" s="97">
        <f>$AI$103</f>
        <v>10</v>
      </c>
      <c r="AJ97" s="8">
        <f t="shared" si="88"/>
        <v>235</v>
      </c>
      <c r="AK97" s="97">
        <f t="shared" si="115"/>
        <v>20</v>
      </c>
      <c r="AL97" s="8">
        <f t="shared" si="89"/>
        <v>9400</v>
      </c>
      <c r="AM97" s="8">
        <f t="shared" si="90"/>
        <v>37600</v>
      </c>
      <c r="AN97" s="97">
        <f t="shared" si="116"/>
        <v>10</v>
      </c>
      <c r="AO97" s="97">
        <f t="shared" si="117"/>
        <v>10</v>
      </c>
      <c r="AP97" s="97">
        <f t="shared" si="118"/>
        <v>2000</v>
      </c>
    </row>
    <row r="98" spans="1:42" ht="16.5" x14ac:dyDescent="0.3">
      <c r="A98" s="22" t="s">
        <v>2278</v>
      </c>
      <c r="B98" s="23" t="s">
        <v>2373</v>
      </c>
      <c r="C98" s="22">
        <v>94</v>
      </c>
      <c r="D98" s="22"/>
      <c r="E98" s="22"/>
      <c r="F98" s="98">
        <f t="shared" si="100"/>
        <v>118</v>
      </c>
      <c r="G98" s="101">
        <f t="shared" si="101"/>
        <v>235</v>
      </c>
      <c r="H98" s="98">
        <f t="shared" si="102"/>
        <v>118</v>
      </c>
      <c r="I98" s="101">
        <f t="shared" si="103"/>
        <v>235</v>
      </c>
      <c r="J98" s="98">
        <f t="shared" si="104"/>
        <v>118</v>
      </c>
      <c r="K98" s="101">
        <f t="shared" si="105"/>
        <v>235</v>
      </c>
      <c r="L98" s="101"/>
      <c r="M98" s="101"/>
      <c r="N98" s="101"/>
      <c r="O98" s="101"/>
      <c r="P98" s="69" t="str">
        <f t="shared" si="92"/>
        <v>HPMP%50</v>
      </c>
      <c r="Q98" s="100" t="str">
        <f t="shared" si="91"/>
        <v>龙晶碎片5835/元宝5835000</v>
      </c>
      <c r="R98" s="97">
        <v>95</v>
      </c>
      <c r="S98" s="158"/>
      <c r="T98" s="158">
        <f t="shared" si="79"/>
        <v>9500</v>
      </c>
      <c r="U98" s="158">
        <f t="shared" si="80"/>
        <v>38000</v>
      </c>
      <c r="V98" s="158">
        <f t="shared" si="81"/>
        <v>475</v>
      </c>
      <c r="W98" s="158">
        <f t="shared" si="82"/>
        <v>475</v>
      </c>
      <c r="X98" s="158">
        <f>T98*属性价值参考!C$5+附件合成!U98*属性价值参考!C$6+附件合成!V98*(属性价值参考!C$7+属性价值参考!C$8)+附件合成!W98*(属性价值参考!C$9+属性价值参考!C$10)</f>
        <v>145122</v>
      </c>
      <c r="Y98" s="158">
        <f>AE98*属性价值参考!C$26+附件合成!AH98*属性价值参考!C$24+附件合成!AI98*属性价值参考!C$26+附件合成!AK98*(属性价值参考!C$28+属性价值参考!C$29)+附件合成!AN98*属性价值参考!C$26+附件合成!AO98*属性价值参考!C$27+AP98*(属性价值参考!C$37+属性价值参考!C$38)</f>
        <v>71400</v>
      </c>
      <c r="Z98" s="158">
        <f t="shared" si="83"/>
        <v>13532.625</v>
      </c>
      <c r="AA98" s="158">
        <f t="shared" si="84"/>
        <v>13532625</v>
      </c>
      <c r="AB98" s="158">
        <f>ROUND(1/4*SUM(材料产出!$AB$29:$AB$30),0)</f>
        <v>5835</v>
      </c>
      <c r="AC98" s="158">
        <f t="shared" si="113"/>
        <v>5835000</v>
      </c>
      <c r="AD98" s="8">
        <f t="shared" si="85"/>
        <v>237</v>
      </c>
      <c r="AE98" s="97">
        <f t="shared" si="119"/>
        <v>50</v>
      </c>
      <c r="AF98" s="8">
        <f t="shared" si="86"/>
        <v>237</v>
      </c>
      <c r="AG98" s="8">
        <f t="shared" si="87"/>
        <v>237</v>
      </c>
      <c r="AH98" s="97">
        <f t="shared" si="114"/>
        <v>10</v>
      </c>
      <c r="AI98" s="97">
        <f t="shared" si="120"/>
        <v>10</v>
      </c>
      <c r="AJ98" s="8">
        <f t="shared" si="88"/>
        <v>237</v>
      </c>
      <c r="AK98" s="97">
        <f t="shared" si="115"/>
        <v>20</v>
      </c>
      <c r="AL98" s="8">
        <f t="shared" si="89"/>
        <v>9500</v>
      </c>
      <c r="AM98" s="8">
        <f t="shared" si="90"/>
        <v>38000</v>
      </c>
      <c r="AN98" s="97">
        <f t="shared" si="116"/>
        <v>10</v>
      </c>
      <c r="AO98" s="97">
        <f t="shared" si="117"/>
        <v>10</v>
      </c>
      <c r="AP98" s="97">
        <f t="shared" si="118"/>
        <v>2000</v>
      </c>
    </row>
    <row r="99" spans="1:42" ht="16.5" x14ac:dyDescent="0.3">
      <c r="A99" s="22" t="s">
        <v>2278</v>
      </c>
      <c r="B99" s="23" t="s">
        <v>2374</v>
      </c>
      <c r="C99" s="22">
        <v>95</v>
      </c>
      <c r="D99" s="22"/>
      <c r="E99" s="22"/>
      <c r="F99" s="98">
        <f t="shared" si="100"/>
        <v>119</v>
      </c>
      <c r="G99" s="101">
        <f t="shared" si="101"/>
        <v>237</v>
      </c>
      <c r="H99" s="98">
        <f t="shared" si="102"/>
        <v>119</v>
      </c>
      <c r="I99" s="101">
        <f t="shared" si="103"/>
        <v>237</v>
      </c>
      <c r="J99" s="98">
        <f t="shared" si="104"/>
        <v>119</v>
      </c>
      <c r="K99" s="101">
        <f t="shared" si="105"/>
        <v>237</v>
      </c>
      <c r="L99" s="101"/>
      <c r="M99" s="101"/>
      <c r="N99" s="101"/>
      <c r="O99" s="101"/>
      <c r="P99" s="69" t="str">
        <f t="shared" si="92"/>
        <v>HPMP%50</v>
      </c>
      <c r="Q99" s="100" t="str">
        <f t="shared" si="91"/>
        <v>龙晶碎片5835/元宝5835000</v>
      </c>
      <c r="R99" s="97">
        <v>96</v>
      </c>
      <c r="S99" s="158"/>
      <c r="T99" s="158">
        <f t="shared" si="79"/>
        <v>9600</v>
      </c>
      <c r="U99" s="158">
        <f t="shared" si="80"/>
        <v>38400</v>
      </c>
      <c r="V99" s="158">
        <f t="shared" si="81"/>
        <v>480</v>
      </c>
      <c r="W99" s="158">
        <f t="shared" si="82"/>
        <v>480</v>
      </c>
      <c r="X99" s="158">
        <f>T99*属性价值参考!C$5+附件合成!U99*属性价值参考!C$6+附件合成!V99*(属性价值参考!C$7+属性价值参考!C$8)+附件合成!W99*(属性价值参考!C$9+属性价值参考!C$10)</f>
        <v>146649.60000000001</v>
      </c>
      <c r="Y99" s="158">
        <f>AE99*属性价值参考!C$26+附件合成!AH99*属性价值参考!C$24+附件合成!AI99*属性价值参考!C$26+附件合成!AK99*(属性价值参考!C$28+属性价值参考!C$29)+附件合成!AN99*属性价值参考!C$26+附件合成!AO99*属性价值参考!C$27+AP99*(属性价值参考!C$37+属性价值参考!C$38)</f>
        <v>71400</v>
      </c>
      <c r="Z99" s="158">
        <f t="shared" si="83"/>
        <v>13628.1</v>
      </c>
      <c r="AA99" s="158">
        <f t="shared" si="84"/>
        <v>13628100</v>
      </c>
      <c r="AB99" s="158">
        <f>ROUND(1/4*SUM(材料产出!$AB$29:$AB$30),0)</f>
        <v>5835</v>
      </c>
      <c r="AC99" s="158">
        <f t="shared" si="113"/>
        <v>5835000</v>
      </c>
      <c r="AD99" s="8">
        <f t="shared" si="85"/>
        <v>240</v>
      </c>
      <c r="AE99" s="97">
        <f t="shared" si="119"/>
        <v>50</v>
      </c>
      <c r="AF99" s="8">
        <f t="shared" si="86"/>
        <v>240</v>
      </c>
      <c r="AG99" s="8">
        <f t="shared" si="87"/>
        <v>240</v>
      </c>
      <c r="AH99" s="97">
        <f t="shared" si="114"/>
        <v>10</v>
      </c>
      <c r="AI99" s="97">
        <f t="shared" si="120"/>
        <v>10</v>
      </c>
      <c r="AJ99" s="8">
        <f t="shared" si="88"/>
        <v>240</v>
      </c>
      <c r="AK99" s="97">
        <f t="shared" si="115"/>
        <v>20</v>
      </c>
      <c r="AL99" s="8">
        <f t="shared" si="89"/>
        <v>9600</v>
      </c>
      <c r="AM99" s="8">
        <f t="shared" si="90"/>
        <v>38400</v>
      </c>
      <c r="AN99" s="97">
        <f t="shared" si="116"/>
        <v>10</v>
      </c>
      <c r="AO99" s="97">
        <f t="shared" si="117"/>
        <v>10</v>
      </c>
      <c r="AP99" s="97">
        <f t="shared" si="118"/>
        <v>2000</v>
      </c>
    </row>
    <row r="100" spans="1:42" ht="16.5" x14ac:dyDescent="0.3">
      <c r="A100" s="22" t="s">
        <v>2278</v>
      </c>
      <c r="B100" s="23" t="s">
        <v>2375</v>
      </c>
      <c r="C100" s="22">
        <v>96</v>
      </c>
      <c r="D100" s="22"/>
      <c r="E100" s="22"/>
      <c r="F100" s="98">
        <f t="shared" si="100"/>
        <v>120</v>
      </c>
      <c r="G100" s="101">
        <f t="shared" si="101"/>
        <v>240</v>
      </c>
      <c r="H100" s="98">
        <f t="shared" si="102"/>
        <v>120</v>
      </c>
      <c r="I100" s="101">
        <f t="shared" si="103"/>
        <v>240</v>
      </c>
      <c r="J100" s="98">
        <f t="shared" si="104"/>
        <v>120</v>
      </c>
      <c r="K100" s="101">
        <f t="shared" si="105"/>
        <v>240</v>
      </c>
      <c r="L100" s="101"/>
      <c r="M100" s="101"/>
      <c r="N100" s="101"/>
      <c r="O100" s="101"/>
      <c r="P100" s="69" t="str">
        <f t="shared" si="92"/>
        <v>HPMP%50</v>
      </c>
      <c r="Q100" s="100" t="str">
        <f t="shared" si="91"/>
        <v>龙晶碎片5835/元宝5835000</v>
      </c>
      <c r="R100" s="97">
        <v>97</v>
      </c>
      <c r="S100" s="158"/>
      <c r="T100" s="158">
        <f t="shared" si="79"/>
        <v>9700</v>
      </c>
      <c r="U100" s="158">
        <f t="shared" si="80"/>
        <v>38800</v>
      </c>
      <c r="V100" s="158">
        <f t="shared" si="81"/>
        <v>485</v>
      </c>
      <c r="W100" s="158">
        <f t="shared" si="82"/>
        <v>485</v>
      </c>
      <c r="X100" s="158">
        <f>T100*属性价值参考!C$5+附件合成!U100*属性价值参考!C$6+附件合成!V100*(属性价值参考!C$7+属性价值参考!C$8)+附件合成!W100*(属性价值参考!C$9+属性价值参考!C$10)</f>
        <v>148177.20000000001</v>
      </c>
      <c r="Y100" s="158">
        <f>AE100*属性价值参考!C$26+附件合成!AH100*属性价值参考!C$24+附件合成!AI100*属性价值参考!C$26+附件合成!AK100*(属性价值参考!C$28+属性价值参考!C$29)+附件合成!AN100*属性价值参考!C$26+附件合成!AO100*属性价值参考!C$27+AP100*(属性价值参考!C$37+属性价值参考!C$38)</f>
        <v>71400</v>
      </c>
      <c r="Z100" s="158">
        <f t="shared" si="83"/>
        <v>13723.575000000001</v>
      </c>
      <c r="AA100" s="158">
        <f t="shared" si="84"/>
        <v>13723575</v>
      </c>
      <c r="AB100" s="158">
        <f>ROUND(1/4*SUM(材料产出!$AB$29:$AB$30),0)</f>
        <v>5835</v>
      </c>
      <c r="AC100" s="158">
        <f t="shared" si="113"/>
        <v>5835000</v>
      </c>
      <c r="AD100" s="8">
        <f t="shared" si="85"/>
        <v>242</v>
      </c>
      <c r="AE100" s="97">
        <f t="shared" si="119"/>
        <v>50</v>
      </c>
      <c r="AF100" s="8">
        <f t="shared" si="86"/>
        <v>242</v>
      </c>
      <c r="AG100" s="8">
        <f t="shared" si="87"/>
        <v>242</v>
      </c>
      <c r="AH100" s="97">
        <f t="shared" si="114"/>
        <v>10</v>
      </c>
      <c r="AI100" s="97">
        <f t="shared" si="120"/>
        <v>10</v>
      </c>
      <c r="AJ100" s="8">
        <f t="shared" si="88"/>
        <v>242</v>
      </c>
      <c r="AK100" s="97">
        <f t="shared" si="115"/>
        <v>20</v>
      </c>
      <c r="AL100" s="8">
        <f t="shared" si="89"/>
        <v>9700</v>
      </c>
      <c r="AM100" s="8">
        <f t="shared" si="90"/>
        <v>38800</v>
      </c>
      <c r="AN100" s="97">
        <f t="shared" si="116"/>
        <v>10</v>
      </c>
      <c r="AO100" s="97">
        <f t="shared" si="117"/>
        <v>10</v>
      </c>
      <c r="AP100" s="97">
        <f t="shared" si="118"/>
        <v>2000</v>
      </c>
    </row>
    <row r="101" spans="1:42" ht="16.5" x14ac:dyDescent="0.3">
      <c r="A101" s="22" t="s">
        <v>2278</v>
      </c>
      <c r="B101" s="23" t="s">
        <v>2376</v>
      </c>
      <c r="C101" s="22">
        <v>97</v>
      </c>
      <c r="D101" s="22"/>
      <c r="E101" s="22"/>
      <c r="F101" s="98">
        <f t="shared" si="100"/>
        <v>121</v>
      </c>
      <c r="G101" s="101">
        <f t="shared" si="101"/>
        <v>242</v>
      </c>
      <c r="H101" s="98">
        <f t="shared" si="102"/>
        <v>121</v>
      </c>
      <c r="I101" s="101">
        <f t="shared" si="103"/>
        <v>242</v>
      </c>
      <c r="J101" s="98">
        <f t="shared" si="104"/>
        <v>121</v>
      </c>
      <c r="K101" s="101">
        <f t="shared" si="105"/>
        <v>242</v>
      </c>
      <c r="L101" s="101"/>
      <c r="M101" s="101"/>
      <c r="N101" s="101"/>
      <c r="O101" s="101"/>
      <c r="P101" s="69" t="str">
        <f t="shared" si="92"/>
        <v>HPMP%50</v>
      </c>
      <c r="Q101" s="100" t="str">
        <f t="shared" si="91"/>
        <v>龙晶碎片5835/元宝5835000</v>
      </c>
      <c r="R101" s="97">
        <v>98</v>
      </c>
      <c r="S101" s="158"/>
      <c r="T101" s="158">
        <f t="shared" si="79"/>
        <v>9800</v>
      </c>
      <c r="U101" s="158">
        <f t="shared" si="80"/>
        <v>39200</v>
      </c>
      <c r="V101" s="158">
        <f t="shared" si="81"/>
        <v>490</v>
      </c>
      <c r="W101" s="158">
        <f t="shared" si="82"/>
        <v>490</v>
      </c>
      <c r="X101" s="158">
        <f>T101*属性价值参考!C$5+附件合成!U101*属性价值参考!C$6+附件合成!V101*(属性价值参考!C$7+属性价值参考!C$8)+附件合成!W101*(属性价值参考!C$9+属性价值参考!C$10)</f>
        <v>149704.79999999999</v>
      </c>
      <c r="Y101" s="158">
        <f>AE101*属性价值参考!C$26+附件合成!AH101*属性价值参考!C$24+附件合成!AI101*属性价值参考!C$26+附件合成!AK101*(属性价值参考!C$28+属性价值参考!C$29)+附件合成!AN101*属性价值参考!C$26+附件合成!AO101*属性价值参考!C$27+AP101*(属性价值参考!C$37+属性价值参考!C$38)</f>
        <v>71400</v>
      </c>
      <c r="Z101" s="158">
        <f t="shared" si="83"/>
        <v>13819.05</v>
      </c>
      <c r="AA101" s="158">
        <f t="shared" si="84"/>
        <v>13819050</v>
      </c>
      <c r="AB101" s="158">
        <f>ROUND(1/4*SUM(材料产出!$AB$29:$AB$30),0)</f>
        <v>5835</v>
      </c>
      <c r="AC101" s="158">
        <f t="shared" si="113"/>
        <v>5835000</v>
      </c>
      <c r="AD101" s="8">
        <f t="shared" si="85"/>
        <v>245</v>
      </c>
      <c r="AE101" s="97">
        <f t="shared" si="119"/>
        <v>50</v>
      </c>
      <c r="AF101" s="8">
        <f t="shared" si="86"/>
        <v>245</v>
      </c>
      <c r="AG101" s="8">
        <f t="shared" si="87"/>
        <v>245</v>
      </c>
      <c r="AH101" s="97">
        <f t="shared" si="114"/>
        <v>10</v>
      </c>
      <c r="AI101" s="97">
        <f t="shared" si="120"/>
        <v>10</v>
      </c>
      <c r="AJ101" s="8">
        <f t="shared" si="88"/>
        <v>245</v>
      </c>
      <c r="AK101" s="97">
        <f t="shared" si="115"/>
        <v>20</v>
      </c>
      <c r="AL101" s="8">
        <f t="shared" si="89"/>
        <v>9800</v>
      </c>
      <c r="AM101" s="8">
        <f t="shared" si="90"/>
        <v>39200</v>
      </c>
      <c r="AN101" s="97">
        <f t="shared" si="116"/>
        <v>10</v>
      </c>
      <c r="AO101" s="97">
        <f t="shared" si="117"/>
        <v>10</v>
      </c>
      <c r="AP101" s="97">
        <f t="shared" si="118"/>
        <v>2000</v>
      </c>
    </row>
    <row r="102" spans="1:42" ht="16.5" x14ac:dyDescent="0.3">
      <c r="A102" s="22" t="s">
        <v>2278</v>
      </c>
      <c r="B102" s="23" t="s">
        <v>2377</v>
      </c>
      <c r="C102" s="22">
        <v>98</v>
      </c>
      <c r="D102" s="22"/>
      <c r="E102" s="22"/>
      <c r="F102" s="98">
        <f t="shared" si="100"/>
        <v>123</v>
      </c>
      <c r="G102" s="101">
        <f t="shared" si="101"/>
        <v>245</v>
      </c>
      <c r="H102" s="98">
        <f t="shared" si="102"/>
        <v>123</v>
      </c>
      <c r="I102" s="101">
        <f t="shared" si="103"/>
        <v>245</v>
      </c>
      <c r="J102" s="98">
        <f t="shared" si="104"/>
        <v>123</v>
      </c>
      <c r="K102" s="101">
        <f t="shared" si="105"/>
        <v>245</v>
      </c>
      <c r="L102" s="101"/>
      <c r="M102" s="101"/>
      <c r="N102" s="101"/>
      <c r="O102" s="101"/>
      <c r="P102" s="69" t="str">
        <f t="shared" si="92"/>
        <v>HPMP%50</v>
      </c>
      <c r="Q102" s="100" t="str">
        <f t="shared" si="91"/>
        <v>龙晶碎片5835/元宝5835000</v>
      </c>
      <c r="R102" s="97">
        <v>99</v>
      </c>
      <c r="S102" s="158"/>
      <c r="T102" s="158">
        <f>INT(R102/R$103*T$103)</f>
        <v>9900</v>
      </c>
      <c r="U102" s="158">
        <f>INT(R102/R$103*U$103)</f>
        <v>39600</v>
      </c>
      <c r="V102" s="158">
        <f>INT(R102/R$103*V$103)</f>
        <v>495</v>
      </c>
      <c r="W102" s="158">
        <f>INT(R102/R$103*W$103)</f>
        <v>495</v>
      </c>
      <c r="X102" s="158">
        <f>T102*属性价值参考!C$5+附件合成!U102*属性价值参考!C$6+附件合成!V102*(属性价值参考!C$7+属性价值参考!C$8)+附件合成!W102*(属性价值参考!C$9+属性价值参考!C$10)</f>
        <v>151232.4</v>
      </c>
      <c r="Y102" s="158">
        <f>AE102*属性价值参考!C$26+附件合成!AH102*属性价值参考!C$24+附件合成!AI102*属性价值参考!C$26+附件合成!AK102*(属性价值参考!C$28+属性价值参考!C$29)+附件合成!AN102*属性价值参考!C$26+附件合成!AO102*属性价值参考!C$27+AP102*(属性价值参考!C$37+属性价值参考!C$38)</f>
        <v>71400</v>
      </c>
      <c r="Z102" s="158">
        <f t="shared" si="83"/>
        <v>13914.525</v>
      </c>
      <c r="AA102" s="158">
        <f t="shared" si="84"/>
        <v>13914525</v>
      </c>
      <c r="AB102" s="158">
        <f>ROUND(1/4*SUM(材料产出!$AB$29:$AB$30),0)</f>
        <v>5835</v>
      </c>
      <c r="AC102" s="158">
        <f t="shared" si="113"/>
        <v>5835000</v>
      </c>
      <c r="AD102" s="8">
        <f t="shared" si="85"/>
        <v>247</v>
      </c>
      <c r="AE102" s="97">
        <f>$AE$103</f>
        <v>50</v>
      </c>
      <c r="AF102" s="8">
        <f t="shared" si="86"/>
        <v>247</v>
      </c>
      <c r="AG102" s="8">
        <f t="shared" si="87"/>
        <v>247</v>
      </c>
      <c r="AH102" s="97">
        <f>$AH$103</f>
        <v>10</v>
      </c>
      <c r="AI102" s="97">
        <f>$AI$103</f>
        <v>10</v>
      </c>
      <c r="AJ102" s="8">
        <f t="shared" si="88"/>
        <v>247</v>
      </c>
      <c r="AK102" s="97">
        <f>$AK$103</f>
        <v>20</v>
      </c>
      <c r="AL102" s="8">
        <f t="shared" si="89"/>
        <v>9900</v>
      </c>
      <c r="AM102" s="8">
        <f t="shared" si="90"/>
        <v>39600</v>
      </c>
      <c r="AN102" s="97">
        <f>$AN$103</f>
        <v>10</v>
      </c>
      <c r="AO102" s="97">
        <f>$AO$103</f>
        <v>10</v>
      </c>
      <c r="AP102" s="97">
        <f>$AP$103</f>
        <v>2000</v>
      </c>
    </row>
    <row r="103" spans="1:42" ht="16.5" x14ac:dyDescent="0.3">
      <c r="A103" s="22" t="s">
        <v>2278</v>
      </c>
      <c r="B103" s="23" t="s">
        <v>2378</v>
      </c>
      <c r="C103" s="22">
        <v>99</v>
      </c>
      <c r="D103" s="22"/>
      <c r="E103" s="22"/>
      <c r="F103" s="98">
        <f t="shared" si="100"/>
        <v>124</v>
      </c>
      <c r="G103" s="101">
        <f t="shared" si="101"/>
        <v>247</v>
      </c>
      <c r="H103" s="98">
        <f t="shared" si="102"/>
        <v>124</v>
      </c>
      <c r="I103" s="101">
        <f t="shared" si="103"/>
        <v>247</v>
      </c>
      <c r="J103" s="98">
        <f t="shared" si="104"/>
        <v>124</v>
      </c>
      <c r="K103" s="101">
        <f t="shared" si="105"/>
        <v>247</v>
      </c>
      <c r="L103" s="101"/>
      <c r="M103" s="101"/>
      <c r="N103" s="101"/>
      <c r="O103" s="101"/>
      <c r="P103" s="69" t="str">
        <f t="shared" si="92"/>
        <v>HPMP%50</v>
      </c>
      <c r="Q103" s="100" t="str">
        <f t="shared" si="91"/>
        <v>龙晶碎片5835/元宝5835000</v>
      </c>
      <c r="R103" s="97">
        <v>100</v>
      </c>
      <c r="S103" s="158">
        <f>材料产出!C30</f>
        <v>7</v>
      </c>
      <c r="T103" s="158">
        <f>养成属性分配!AC31</f>
        <v>10000</v>
      </c>
      <c r="U103" s="158">
        <f>养成属性分配!AD31</f>
        <v>40000</v>
      </c>
      <c r="V103" s="158">
        <f>养成属性分配!AE31</f>
        <v>500</v>
      </c>
      <c r="W103" s="158">
        <f>养成属性分配!AF31</f>
        <v>500</v>
      </c>
      <c r="X103" s="158">
        <f>T103*属性价值参考!C$5+附件合成!U103*属性价值参考!C$6+附件合成!V103*(属性价值参考!C$7+属性价值参考!C$8)+附件合成!W103*(属性价值参考!C$9+属性价值参考!C$10)</f>
        <v>152760</v>
      </c>
      <c r="Y103" s="158">
        <f>AE103*属性价值参考!C$26+附件合成!AH103*属性价值参考!C$24+附件合成!AI103*属性价值参考!C$26+附件合成!AK103*(属性价值参考!C$28+属性价值参考!C$29)+附件合成!AN103*属性价值参考!C$26+附件合成!AO103*属性价值参考!C$27+AP103*(属性价值参考!C$37+属性价值参考!C$38)</f>
        <v>71400</v>
      </c>
      <c r="Z103" s="158">
        <f>(X103+Y103)/16</f>
        <v>14010</v>
      </c>
      <c r="AA103" s="158">
        <f>(X103+Y103)/16*1000</f>
        <v>14010000</v>
      </c>
      <c r="AB103" s="158">
        <f>ROUND(1/4*SUM(材料产出!$AB$29:$AB$30),0)</f>
        <v>5835</v>
      </c>
      <c r="AC103" s="158">
        <f t="shared" si="113"/>
        <v>5835000</v>
      </c>
      <c r="AD103" s="8">
        <f>INT(0.5*V103)</f>
        <v>250</v>
      </c>
      <c r="AE103" s="97">
        <f>5/7*参数调整!AE9</f>
        <v>50</v>
      </c>
      <c r="AF103" s="8">
        <f>INT(0.5*V103)</f>
        <v>250</v>
      </c>
      <c r="AG103" s="8">
        <f>INT(0.5*W103)</f>
        <v>250</v>
      </c>
      <c r="AH103" s="97">
        <f>参数调整!AI9</f>
        <v>10</v>
      </c>
      <c r="AI103" s="97">
        <f>1/7*参数调整!AE9</f>
        <v>10</v>
      </c>
      <c r="AJ103" s="8">
        <f>INT(0.5*W103)</f>
        <v>250</v>
      </c>
      <c r="AK103" s="97">
        <f>参数调整!AG9</f>
        <v>20</v>
      </c>
      <c r="AL103" s="8">
        <f>INT(T103)</f>
        <v>10000</v>
      </c>
      <c r="AM103" s="8">
        <f>INT(U103)</f>
        <v>40000</v>
      </c>
      <c r="AN103" s="97">
        <f>1/7*参数调整!AE9</f>
        <v>10</v>
      </c>
      <c r="AO103" s="97">
        <f>参数调整!V9</f>
        <v>10</v>
      </c>
      <c r="AP103" s="97">
        <f>参数调整!AN9</f>
        <v>2000</v>
      </c>
    </row>
    <row r="104" spans="1:42" ht="15.75" x14ac:dyDescent="0.3">
      <c r="A104" s="22" t="s">
        <v>2278</v>
      </c>
      <c r="B104" s="23" t="s">
        <v>2379</v>
      </c>
      <c r="C104" s="22">
        <v>100</v>
      </c>
      <c r="D104" s="22"/>
      <c r="E104" s="22"/>
      <c r="F104" s="98">
        <f t="shared" si="100"/>
        <v>125</v>
      </c>
      <c r="G104" s="101">
        <f t="shared" si="101"/>
        <v>250</v>
      </c>
      <c r="H104" s="98">
        <f t="shared" si="102"/>
        <v>125</v>
      </c>
      <c r="I104" s="101">
        <f t="shared" si="103"/>
        <v>250</v>
      </c>
      <c r="J104" s="98">
        <f t="shared" si="104"/>
        <v>125</v>
      </c>
      <c r="K104" s="101">
        <f t="shared" si="105"/>
        <v>250</v>
      </c>
      <c r="L104" s="101"/>
      <c r="M104" s="101"/>
      <c r="N104" s="101"/>
      <c r="O104" s="101"/>
      <c r="P104" s="69" t="str">
        <f t="shared" si="92"/>
        <v>HPMP%50</v>
      </c>
      <c r="Q104" s="100"/>
    </row>
    <row r="105" spans="1:42" ht="15.75" x14ac:dyDescent="0.3">
      <c r="A105" s="22" t="s">
        <v>2380</v>
      </c>
      <c r="B105" s="69" t="s">
        <v>2381</v>
      </c>
      <c r="C105" s="22">
        <v>0</v>
      </c>
      <c r="D105" s="22"/>
      <c r="E105" s="22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22"/>
      <c r="Q105" s="100" t="str">
        <f>"龙晶碎片"&amp;AB4&amp;"/元宝"&amp;AC4</f>
        <v>龙晶碎片9/元宝9000</v>
      </c>
    </row>
    <row r="106" spans="1:42" ht="15.75" x14ac:dyDescent="0.3">
      <c r="A106" s="22" t="s">
        <v>2380</v>
      </c>
      <c r="B106" s="69" t="s">
        <v>2382</v>
      </c>
      <c r="C106" s="22">
        <v>1</v>
      </c>
      <c r="D106" s="22"/>
      <c r="E106" s="22"/>
      <c r="F106" s="98">
        <f>ROUND(0.5*AF4,0)</f>
        <v>1</v>
      </c>
      <c r="G106" s="101">
        <f>ROUND(AF4,0)</f>
        <v>2</v>
      </c>
      <c r="H106" s="98">
        <f>ROUND(0.5*AF4,0)</f>
        <v>1</v>
      </c>
      <c r="I106" s="101">
        <f>ROUND(AF4,0)</f>
        <v>2</v>
      </c>
      <c r="J106" s="98">
        <f>ROUND(0.5*AF4,0)</f>
        <v>1</v>
      </c>
      <c r="K106" s="101">
        <f>ROUND(AF4,0)</f>
        <v>2</v>
      </c>
      <c r="L106" s="98">
        <f>ROUND(0.5*AG4,0)</f>
        <v>1</v>
      </c>
      <c r="M106" s="101">
        <f>ROUND(AG4,0)</f>
        <v>2</v>
      </c>
      <c r="N106" s="98">
        <f>ROUND(0.5*AG4,0)</f>
        <v>1</v>
      </c>
      <c r="O106" s="101">
        <f>ROUND(AG4,0)</f>
        <v>2</v>
      </c>
      <c r="P106" s="22" t="str">
        <f>$AH$3&amp;AH4&amp;"|"&amp;$AI$3&amp;AI4</f>
        <v>忽视防御%1|HPMP%1</v>
      </c>
      <c r="Q106" s="100" t="str">
        <f t="shared" ref="Q106:Q169" si="121">"龙晶碎片"&amp;AB5&amp;"/元宝"&amp;AC5</f>
        <v>龙晶碎片9/元宝9000</v>
      </c>
    </row>
    <row r="107" spans="1:42" ht="15.75" x14ac:dyDescent="0.3">
      <c r="A107" s="22" t="s">
        <v>2380</v>
      </c>
      <c r="B107" s="69" t="s">
        <v>2383</v>
      </c>
      <c r="C107" s="22">
        <v>2</v>
      </c>
      <c r="D107" s="22"/>
      <c r="E107" s="22"/>
      <c r="F107" s="98">
        <f t="shared" ref="F107:F170" si="122">ROUND(0.5*AF5,0)</f>
        <v>3</v>
      </c>
      <c r="G107" s="101">
        <f t="shared" ref="G107:G170" si="123">ROUND(AF5,0)</f>
        <v>5</v>
      </c>
      <c r="H107" s="98">
        <f t="shared" ref="H107:H170" si="124">ROUND(0.5*AF5,0)</f>
        <v>3</v>
      </c>
      <c r="I107" s="101">
        <f t="shared" ref="I107:I170" si="125">ROUND(AF5,0)</f>
        <v>5</v>
      </c>
      <c r="J107" s="98">
        <f t="shared" ref="J107:J170" si="126">ROUND(0.5*AF5,0)</f>
        <v>3</v>
      </c>
      <c r="K107" s="101">
        <f t="shared" ref="K107:K170" si="127">ROUND(AF5,0)</f>
        <v>5</v>
      </c>
      <c r="L107" s="98">
        <f t="shared" ref="L107:L170" si="128">ROUND(0.5*AG5,0)</f>
        <v>3</v>
      </c>
      <c r="M107" s="101">
        <f t="shared" ref="M107:M170" si="129">ROUND(AG5,0)</f>
        <v>5</v>
      </c>
      <c r="N107" s="98">
        <f t="shared" ref="N107:N170" si="130">ROUND(0.5*AG5,0)</f>
        <v>3</v>
      </c>
      <c r="O107" s="101">
        <f t="shared" ref="O107:O170" si="131">ROUND(AG5,0)</f>
        <v>5</v>
      </c>
      <c r="P107" s="22" t="str">
        <f t="shared" ref="P107:P170" si="132">$AH$3&amp;AH5&amp;"|"&amp;$AI$3&amp;AI5</f>
        <v>忽视防御%1|HPMP%1</v>
      </c>
      <c r="Q107" s="100" t="str">
        <f t="shared" si="121"/>
        <v>龙晶碎片9/元宝9000</v>
      </c>
    </row>
    <row r="108" spans="1:42" ht="15.75" x14ac:dyDescent="0.3">
      <c r="A108" s="22" t="s">
        <v>2380</v>
      </c>
      <c r="B108" s="69" t="s">
        <v>2384</v>
      </c>
      <c r="C108" s="22">
        <v>3</v>
      </c>
      <c r="D108" s="22"/>
      <c r="E108" s="22"/>
      <c r="F108" s="98">
        <f t="shared" si="122"/>
        <v>4</v>
      </c>
      <c r="G108" s="101">
        <f t="shared" si="123"/>
        <v>7</v>
      </c>
      <c r="H108" s="98">
        <f t="shared" si="124"/>
        <v>4</v>
      </c>
      <c r="I108" s="101">
        <f t="shared" si="125"/>
        <v>7</v>
      </c>
      <c r="J108" s="98">
        <f t="shared" si="126"/>
        <v>4</v>
      </c>
      <c r="K108" s="101">
        <f t="shared" si="127"/>
        <v>7</v>
      </c>
      <c r="L108" s="98">
        <f t="shared" si="128"/>
        <v>4</v>
      </c>
      <c r="M108" s="101">
        <f t="shared" si="129"/>
        <v>7</v>
      </c>
      <c r="N108" s="98">
        <f t="shared" si="130"/>
        <v>4</v>
      </c>
      <c r="O108" s="101">
        <f t="shared" si="131"/>
        <v>7</v>
      </c>
      <c r="P108" s="22" t="str">
        <f t="shared" si="132"/>
        <v>忽视防御%1|HPMP%1</v>
      </c>
      <c r="Q108" s="100" t="str">
        <f t="shared" si="121"/>
        <v>龙晶碎片9/元宝9000</v>
      </c>
    </row>
    <row r="109" spans="1:42" ht="15.75" x14ac:dyDescent="0.3">
      <c r="A109" s="22" t="s">
        <v>2380</v>
      </c>
      <c r="B109" s="69" t="s">
        <v>2385</v>
      </c>
      <c r="C109" s="22">
        <v>4</v>
      </c>
      <c r="D109" s="22"/>
      <c r="E109" s="22"/>
      <c r="F109" s="98">
        <f t="shared" si="122"/>
        <v>5</v>
      </c>
      <c r="G109" s="101">
        <f t="shared" si="123"/>
        <v>10</v>
      </c>
      <c r="H109" s="98">
        <f t="shared" si="124"/>
        <v>5</v>
      </c>
      <c r="I109" s="101">
        <f t="shared" si="125"/>
        <v>10</v>
      </c>
      <c r="J109" s="98">
        <f t="shared" si="126"/>
        <v>5</v>
      </c>
      <c r="K109" s="101">
        <f t="shared" si="127"/>
        <v>10</v>
      </c>
      <c r="L109" s="98">
        <f t="shared" si="128"/>
        <v>5</v>
      </c>
      <c r="M109" s="101">
        <f t="shared" si="129"/>
        <v>10</v>
      </c>
      <c r="N109" s="98">
        <f t="shared" si="130"/>
        <v>5</v>
      </c>
      <c r="O109" s="101">
        <f t="shared" si="131"/>
        <v>10</v>
      </c>
      <c r="P109" s="22" t="str">
        <f t="shared" si="132"/>
        <v>忽视防御%1|HPMP%1</v>
      </c>
      <c r="Q109" s="100" t="str">
        <f t="shared" si="121"/>
        <v>龙晶碎片9/元宝9000</v>
      </c>
    </row>
    <row r="110" spans="1:42" ht="15.75" x14ac:dyDescent="0.3">
      <c r="A110" s="22" t="s">
        <v>2380</v>
      </c>
      <c r="B110" s="69" t="s">
        <v>2386</v>
      </c>
      <c r="C110" s="22">
        <v>5</v>
      </c>
      <c r="D110" s="22"/>
      <c r="E110" s="22"/>
      <c r="F110" s="98">
        <f t="shared" si="122"/>
        <v>6</v>
      </c>
      <c r="G110" s="101">
        <f t="shared" si="123"/>
        <v>12</v>
      </c>
      <c r="H110" s="98">
        <f t="shared" si="124"/>
        <v>6</v>
      </c>
      <c r="I110" s="101">
        <f t="shared" si="125"/>
        <v>12</v>
      </c>
      <c r="J110" s="98">
        <f t="shared" si="126"/>
        <v>6</v>
      </c>
      <c r="K110" s="101">
        <f t="shared" si="127"/>
        <v>12</v>
      </c>
      <c r="L110" s="98">
        <f t="shared" si="128"/>
        <v>6</v>
      </c>
      <c r="M110" s="101">
        <f t="shared" si="129"/>
        <v>12</v>
      </c>
      <c r="N110" s="98">
        <f t="shared" si="130"/>
        <v>6</v>
      </c>
      <c r="O110" s="101">
        <f t="shared" si="131"/>
        <v>12</v>
      </c>
      <c r="P110" s="22" t="str">
        <f t="shared" si="132"/>
        <v>忽视防御%1|HPMP%1</v>
      </c>
      <c r="Q110" s="100" t="str">
        <f t="shared" si="121"/>
        <v>龙晶碎片9/元宝9000</v>
      </c>
    </row>
    <row r="111" spans="1:42" ht="15.75" x14ac:dyDescent="0.3">
      <c r="A111" s="22" t="s">
        <v>2380</v>
      </c>
      <c r="B111" s="69" t="s">
        <v>2387</v>
      </c>
      <c r="C111" s="22">
        <v>6</v>
      </c>
      <c r="D111" s="22"/>
      <c r="E111" s="22"/>
      <c r="F111" s="98">
        <f t="shared" si="122"/>
        <v>8</v>
      </c>
      <c r="G111" s="101">
        <f t="shared" si="123"/>
        <v>15</v>
      </c>
      <c r="H111" s="98">
        <f t="shared" si="124"/>
        <v>8</v>
      </c>
      <c r="I111" s="101">
        <f t="shared" si="125"/>
        <v>15</v>
      </c>
      <c r="J111" s="98">
        <f t="shared" si="126"/>
        <v>8</v>
      </c>
      <c r="K111" s="101">
        <f t="shared" si="127"/>
        <v>15</v>
      </c>
      <c r="L111" s="98">
        <f t="shared" si="128"/>
        <v>8</v>
      </c>
      <c r="M111" s="101">
        <f t="shared" si="129"/>
        <v>15</v>
      </c>
      <c r="N111" s="98">
        <f t="shared" si="130"/>
        <v>8</v>
      </c>
      <c r="O111" s="101">
        <f t="shared" si="131"/>
        <v>15</v>
      </c>
      <c r="P111" s="22" t="str">
        <f t="shared" si="132"/>
        <v>忽视防御%1|HPMP%1</v>
      </c>
      <c r="Q111" s="100" t="str">
        <f t="shared" si="121"/>
        <v>龙晶碎片9/元宝9000</v>
      </c>
    </row>
    <row r="112" spans="1:42" ht="15.75" x14ac:dyDescent="0.3">
      <c r="A112" s="22" t="s">
        <v>2380</v>
      </c>
      <c r="B112" s="69" t="s">
        <v>2388</v>
      </c>
      <c r="C112" s="22">
        <v>7</v>
      </c>
      <c r="D112" s="22"/>
      <c r="E112" s="22"/>
      <c r="F112" s="98">
        <f t="shared" si="122"/>
        <v>9</v>
      </c>
      <c r="G112" s="101">
        <f t="shared" si="123"/>
        <v>17</v>
      </c>
      <c r="H112" s="98">
        <f t="shared" si="124"/>
        <v>9</v>
      </c>
      <c r="I112" s="101">
        <f t="shared" si="125"/>
        <v>17</v>
      </c>
      <c r="J112" s="98">
        <f t="shared" si="126"/>
        <v>9</v>
      </c>
      <c r="K112" s="101">
        <f t="shared" si="127"/>
        <v>17</v>
      </c>
      <c r="L112" s="98">
        <f t="shared" si="128"/>
        <v>9</v>
      </c>
      <c r="M112" s="101">
        <f t="shared" si="129"/>
        <v>17</v>
      </c>
      <c r="N112" s="98">
        <f t="shared" si="130"/>
        <v>9</v>
      </c>
      <c r="O112" s="101">
        <f t="shared" si="131"/>
        <v>17</v>
      </c>
      <c r="P112" s="22" t="str">
        <f t="shared" si="132"/>
        <v>忽视防御%1|HPMP%1</v>
      </c>
      <c r="Q112" s="100" t="str">
        <f t="shared" si="121"/>
        <v>龙晶碎片9/元宝9000</v>
      </c>
    </row>
    <row r="113" spans="1:17" ht="15.75" x14ac:dyDescent="0.3">
      <c r="A113" s="22" t="s">
        <v>2380</v>
      </c>
      <c r="B113" s="69" t="s">
        <v>2389</v>
      </c>
      <c r="C113" s="22">
        <v>8</v>
      </c>
      <c r="D113" s="22"/>
      <c r="E113" s="22"/>
      <c r="F113" s="98">
        <f t="shared" si="122"/>
        <v>10</v>
      </c>
      <c r="G113" s="101">
        <f t="shared" si="123"/>
        <v>20</v>
      </c>
      <c r="H113" s="98">
        <f t="shared" si="124"/>
        <v>10</v>
      </c>
      <c r="I113" s="101">
        <f t="shared" si="125"/>
        <v>20</v>
      </c>
      <c r="J113" s="98">
        <f t="shared" si="126"/>
        <v>10</v>
      </c>
      <c r="K113" s="101">
        <f t="shared" si="127"/>
        <v>20</v>
      </c>
      <c r="L113" s="98">
        <f t="shared" si="128"/>
        <v>10</v>
      </c>
      <c r="M113" s="101">
        <f t="shared" si="129"/>
        <v>20</v>
      </c>
      <c r="N113" s="98">
        <f t="shared" si="130"/>
        <v>10</v>
      </c>
      <c r="O113" s="101">
        <f t="shared" si="131"/>
        <v>20</v>
      </c>
      <c r="P113" s="22" t="str">
        <f t="shared" si="132"/>
        <v>忽视防御%1|HPMP%1</v>
      </c>
      <c r="Q113" s="100" t="str">
        <f t="shared" si="121"/>
        <v>龙晶碎片9/元宝9000</v>
      </c>
    </row>
    <row r="114" spans="1:17" ht="15.75" x14ac:dyDescent="0.3">
      <c r="A114" s="22" t="s">
        <v>2380</v>
      </c>
      <c r="B114" s="69" t="s">
        <v>2390</v>
      </c>
      <c r="C114" s="22">
        <v>9</v>
      </c>
      <c r="D114" s="22"/>
      <c r="E114" s="22"/>
      <c r="F114" s="98">
        <f t="shared" si="122"/>
        <v>11</v>
      </c>
      <c r="G114" s="101">
        <f t="shared" si="123"/>
        <v>22</v>
      </c>
      <c r="H114" s="98">
        <f t="shared" si="124"/>
        <v>11</v>
      </c>
      <c r="I114" s="101">
        <f t="shared" si="125"/>
        <v>22</v>
      </c>
      <c r="J114" s="98">
        <f t="shared" si="126"/>
        <v>11</v>
      </c>
      <c r="K114" s="101">
        <f t="shared" si="127"/>
        <v>22</v>
      </c>
      <c r="L114" s="98">
        <f t="shared" si="128"/>
        <v>11</v>
      </c>
      <c r="M114" s="101">
        <f t="shared" si="129"/>
        <v>22</v>
      </c>
      <c r="N114" s="98">
        <f t="shared" si="130"/>
        <v>11</v>
      </c>
      <c r="O114" s="101">
        <f t="shared" si="131"/>
        <v>22</v>
      </c>
      <c r="P114" s="22" t="str">
        <f t="shared" si="132"/>
        <v>忽视防御%1|HPMP%1</v>
      </c>
      <c r="Q114" s="100" t="str">
        <f t="shared" si="121"/>
        <v>龙晶碎片9/元宝9000</v>
      </c>
    </row>
    <row r="115" spans="1:17" ht="15.75" x14ac:dyDescent="0.3">
      <c r="A115" s="22" t="s">
        <v>2380</v>
      </c>
      <c r="B115" s="69" t="s">
        <v>2391</v>
      </c>
      <c r="C115" s="22">
        <v>10</v>
      </c>
      <c r="D115" s="22"/>
      <c r="E115" s="22"/>
      <c r="F115" s="98">
        <f t="shared" si="122"/>
        <v>13</v>
      </c>
      <c r="G115" s="101">
        <f t="shared" si="123"/>
        <v>25</v>
      </c>
      <c r="H115" s="98">
        <f t="shared" si="124"/>
        <v>13</v>
      </c>
      <c r="I115" s="101">
        <f t="shared" si="125"/>
        <v>25</v>
      </c>
      <c r="J115" s="98">
        <f t="shared" si="126"/>
        <v>13</v>
      </c>
      <c r="K115" s="101">
        <f t="shared" si="127"/>
        <v>25</v>
      </c>
      <c r="L115" s="98">
        <f t="shared" si="128"/>
        <v>13</v>
      </c>
      <c r="M115" s="101">
        <f t="shared" si="129"/>
        <v>25</v>
      </c>
      <c r="N115" s="98">
        <f t="shared" si="130"/>
        <v>13</v>
      </c>
      <c r="O115" s="101">
        <f t="shared" si="131"/>
        <v>25</v>
      </c>
      <c r="P115" s="22" t="str">
        <f t="shared" si="132"/>
        <v>忽视防御%1|HPMP%1</v>
      </c>
      <c r="Q115" s="100" t="str">
        <f t="shared" si="121"/>
        <v>龙晶碎片10/元宝10000</v>
      </c>
    </row>
    <row r="116" spans="1:17" ht="15.75" x14ac:dyDescent="0.3">
      <c r="A116" s="22" t="s">
        <v>2380</v>
      </c>
      <c r="B116" s="69" t="s">
        <v>2392</v>
      </c>
      <c r="C116" s="22">
        <v>11</v>
      </c>
      <c r="D116" s="22"/>
      <c r="E116" s="22"/>
      <c r="F116" s="98">
        <f t="shared" si="122"/>
        <v>14</v>
      </c>
      <c r="G116" s="101">
        <f t="shared" si="123"/>
        <v>27</v>
      </c>
      <c r="H116" s="98">
        <f t="shared" si="124"/>
        <v>14</v>
      </c>
      <c r="I116" s="101">
        <f t="shared" si="125"/>
        <v>27</v>
      </c>
      <c r="J116" s="98">
        <f t="shared" si="126"/>
        <v>14</v>
      </c>
      <c r="K116" s="101">
        <f t="shared" si="127"/>
        <v>27</v>
      </c>
      <c r="L116" s="98">
        <f t="shared" si="128"/>
        <v>14</v>
      </c>
      <c r="M116" s="101">
        <f t="shared" si="129"/>
        <v>27</v>
      </c>
      <c r="N116" s="98">
        <f t="shared" si="130"/>
        <v>14</v>
      </c>
      <c r="O116" s="101">
        <f t="shared" si="131"/>
        <v>27</v>
      </c>
      <c r="P116" s="22" t="str">
        <f t="shared" si="132"/>
        <v>忽视防御%2|HPMP%2</v>
      </c>
      <c r="Q116" s="100" t="str">
        <f t="shared" si="121"/>
        <v>龙晶碎片10/元宝10000</v>
      </c>
    </row>
    <row r="117" spans="1:17" ht="15.75" x14ac:dyDescent="0.3">
      <c r="A117" s="22" t="s">
        <v>2380</v>
      </c>
      <c r="B117" s="69" t="s">
        <v>2393</v>
      </c>
      <c r="C117" s="22">
        <v>12</v>
      </c>
      <c r="D117" s="22"/>
      <c r="E117" s="22"/>
      <c r="F117" s="98">
        <f t="shared" si="122"/>
        <v>15</v>
      </c>
      <c r="G117" s="101">
        <f t="shared" si="123"/>
        <v>30</v>
      </c>
      <c r="H117" s="98">
        <f t="shared" si="124"/>
        <v>15</v>
      </c>
      <c r="I117" s="101">
        <f t="shared" si="125"/>
        <v>30</v>
      </c>
      <c r="J117" s="98">
        <f t="shared" si="126"/>
        <v>15</v>
      </c>
      <c r="K117" s="101">
        <f t="shared" si="127"/>
        <v>30</v>
      </c>
      <c r="L117" s="98">
        <f t="shared" si="128"/>
        <v>15</v>
      </c>
      <c r="M117" s="101">
        <f t="shared" si="129"/>
        <v>30</v>
      </c>
      <c r="N117" s="98">
        <f t="shared" si="130"/>
        <v>15</v>
      </c>
      <c r="O117" s="101">
        <f t="shared" si="131"/>
        <v>30</v>
      </c>
      <c r="P117" s="22" t="str">
        <f t="shared" si="132"/>
        <v>忽视防御%2|HPMP%2</v>
      </c>
      <c r="Q117" s="100" t="str">
        <f t="shared" si="121"/>
        <v>龙晶碎片10/元宝10000</v>
      </c>
    </row>
    <row r="118" spans="1:17" ht="15.75" x14ac:dyDescent="0.3">
      <c r="A118" s="22" t="s">
        <v>2380</v>
      </c>
      <c r="B118" s="69" t="s">
        <v>2394</v>
      </c>
      <c r="C118" s="22">
        <v>13</v>
      </c>
      <c r="D118" s="22"/>
      <c r="E118" s="22"/>
      <c r="F118" s="98">
        <f t="shared" si="122"/>
        <v>16</v>
      </c>
      <c r="G118" s="101">
        <f t="shared" si="123"/>
        <v>32</v>
      </c>
      <c r="H118" s="98">
        <f t="shared" si="124"/>
        <v>16</v>
      </c>
      <c r="I118" s="101">
        <f t="shared" si="125"/>
        <v>32</v>
      </c>
      <c r="J118" s="98">
        <f t="shared" si="126"/>
        <v>16</v>
      </c>
      <c r="K118" s="101">
        <f t="shared" si="127"/>
        <v>32</v>
      </c>
      <c r="L118" s="98">
        <f t="shared" si="128"/>
        <v>16</v>
      </c>
      <c r="M118" s="101">
        <f t="shared" si="129"/>
        <v>32</v>
      </c>
      <c r="N118" s="98">
        <f t="shared" si="130"/>
        <v>16</v>
      </c>
      <c r="O118" s="101">
        <f t="shared" si="131"/>
        <v>32</v>
      </c>
      <c r="P118" s="22" t="str">
        <f t="shared" si="132"/>
        <v>忽视防御%2|HPMP%2</v>
      </c>
      <c r="Q118" s="100" t="str">
        <f t="shared" si="121"/>
        <v>龙晶碎片10/元宝10000</v>
      </c>
    </row>
    <row r="119" spans="1:17" ht="15.75" x14ac:dyDescent="0.3">
      <c r="A119" s="22" t="s">
        <v>2380</v>
      </c>
      <c r="B119" s="69" t="s">
        <v>2395</v>
      </c>
      <c r="C119" s="22">
        <v>14</v>
      </c>
      <c r="D119" s="22"/>
      <c r="E119" s="22"/>
      <c r="F119" s="98">
        <f t="shared" si="122"/>
        <v>18</v>
      </c>
      <c r="G119" s="101">
        <f t="shared" si="123"/>
        <v>35</v>
      </c>
      <c r="H119" s="98">
        <f t="shared" si="124"/>
        <v>18</v>
      </c>
      <c r="I119" s="101">
        <f t="shared" si="125"/>
        <v>35</v>
      </c>
      <c r="J119" s="98">
        <f t="shared" si="126"/>
        <v>18</v>
      </c>
      <c r="K119" s="101">
        <f t="shared" si="127"/>
        <v>35</v>
      </c>
      <c r="L119" s="98">
        <f t="shared" si="128"/>
        <v>18</v>
      </c>
      <c r="M119" s="101">
        <f t="shared" si="129"/>
        <v>35</v>
      </c>
      <c r="N119" s="98">
        <f t="shared" si="130"/>
        <v>18</v>
      </c>
      <c r="O119" s="101">
        <f t="shared" si="131"/>
        <v>35</v>
      </c>
      <c r="P119" s="22" t="str">
        <f t="shared" si="132"/>
        <v>忽视防御%2|HPMP%2</v>
      </c>
      <c r="Q119" s="100" t="str">
        <f t="shared" si="121"/>
        <v>龙晶碎片10/元宝10000</v>
      </c>
    </row>
    <row r="120" spans="1:17" ht="15.75" x14ac:dyDescent="0.3">
      <c r="A120" s="22" t="s">
        <v>2380</v>
      </c>
      <c r="B120" s="69" t="s">
        <v>2396</v>
      </c>
      <c r="C120" s="22">
        <v>15</v>
      </c>
      <c r="D120" s="22"/>
      <c r="E120" s="22"/>
      <c r="F120" s="98">
        <f t="shared" si="122"/>
        <v>19</v>
      </c>
      <c r="G120" s="101">
        <f t="shared" si="123"/>
        <v>37</v>
      </c>
      <c r="H120" s="98">
        <f t="shared" si="124"/>
        <v>19</v>
      </c>
      <c r="I120" s="101">
        <f t="shared" si="125"/>
        <v>37</v>
      </c>
      <c r="J120" s="98">
        <f t="shared" si="126"/>
        <v>19</v>
      </c>
      <c r="K120" s="101">
        <f t="shared" si="127"/>
        <v>37</v>
      </c>
      <c r="L120" s="98">
        <f t="shared" si="128"/>
        <v>19</v>
      </c>
      <c r="M120" s="101">
        <f t="shared" si="129"/>
        <v>37</v>
      </c>
      <c r="N120" s="98">
        <f t="shared" si="130"/>
        <v>19</v>
      </c>
      <c r="O120" s="101">
        <f t="shared" si="131"/>
        <v>37</v>
      </c>
      <c r="P120" s="22" t="str">
        <f t="shared" si="132"/>
        <v>忽视防御%2|HPMP%2</v>
      </c>
      <c r="Q120" s="100" t="str">
        <f t="shared" si="121"/>
        <v>龙晶碎片10/元宝10000</v>
      </c>
    </row>
    <row r="121" spans="1:17" ht="15.75" x14ac:dyDescent="0.3">
      <c r="A121" s="22" t="s">
        <v>2380</v>
      </c>
      <c r="B121" s="69" t="s">
        <v>2397</v>
      </c>
      <c r="C121" s="22">
        <v>16</v>
      </c>
      <c r="D121" s="22"/>
      <c r="E121" s="22"/>
      <c r="F121" s="98">
        <f t="shared" si="122"/>
        <v>20</v>
      </c>
      <c r="G121" s="101">
        <f t="shared" si="123"/>
        <v>40</v>
      </c>
      <c r="H121" s="98">
        <f t="shared" si="124"/>
        <v>20</v>
      </c>
      <c r="I121" s="101">
        <f t="shared" si="125"/>
        <v>40</v>
      </c>
      <c r="J121" s="98">
        <f t="shared" si="126"/>
        <v>20</v>
      </c>
      <c r="K121" s="101">
        <f t="shared" si="127"/>
        <v>40</v>
      </c>
      <c r="L121" s="98">
        <f t="shared" si="128"/>
        <v>20</v>
      </c>
      <c r="M121" s="101">
        <f t="shared" si="129"/>
        <v>40</v>
      </c>
      <c r="N121" s="98">
        <f t="shared" si="130"/>
        <v>20</v>
      </c>
      <c r="O121" s="101">
        <f t="shared" si="131"/>
        <v>40</v>
      </c>
      <c r="P121" s="22" t="str">
        <f t="shared" si="132"/>
        <v>忽视防御%2|HPMP%2</v>
      </c>
      <c r="Q121" s="100" t="str">
        <f t="shared" si="121"/>
        <v>龙晶碎片10/元宝10000</v>
      </c>
    </row>
    <row r="122" spans="1:17" ht="15.75" x14ac:dyDescent="0.3">
      <c r="A122" s="22" t="s">
        <v>2380</v>
      </c>
      <c r="B122" s="69" t="s">
        <v>2398</v>
      </c>
      <c r="C122" s="22">
        <v>17</v>
      </c>
      <c r="D122" s="22"/>
      <c r="E122" s="22"/>
      <c r="F122" s="98">
        <f t="shared" si="122"/>
        <v>21</v>
      </c>
      <c r="G122" s="101">
        <f t="shared" si="123"/>
        <v>42</v>
      </c>
      <c r="H122" s="98">
        <f t="shared" si="124"/>
        <v>21</v>
      </c>
      <c r="I122" s="101">
        <f t="shared" si="125"/>
        <v>42</v>
      </c>
      <c r="J122" s="98">
        <f t="shared" si="126"/>
        <v>21</v>
      </c>
      <c r="K122" s="101">
        <f t="shared" si="127"/>
        <v>42</v>
      </c>
      <c r="L122" s="98">
        <f t="shared" si="128"/>
        <v>21</v>
      </c>
      <c r="M122" s="101">
        <f t="shared" si="129"/>
        <v>42</v>
      </c>
      <c r="N122" s="98">
        <f t="shared" si="130"/>
        <v>21</v>
      </c>
      <c r="O122" s="101">
        <f t="shared" si="131"/>
        <v>42</v>
      </c>
      <c r="P122" s="22" t="str">
        <f t="shared" si="132"/>
        <v>忽视防御%2|HPMP%2</v>
      </c>
      <c r="Q122" s="100" t="str">
        <f t="shared" si="121"/>
        <v>龙晶碎片10/元宝10000</v>
      </c>
    </row>
    <row r="123" spans="1:17" ht="15.75" x14ac:dyDescent="0.3">
      <c r="A123" s="22" t="s">
        <v>2380</v>
      </c>
      <c r="B123" s="69" t="s">
        <v>2399</v>
      </c>
      <c r="C123" s="22">
        <v>18</v>
      </c>
      <c r="D123" s="22"/>
      <c r="E123" s="22"/>
      <c r="F123" s="98">
        <f t="shared" si="122"/>
        <v>23</v>
      </c>
      <c r="G123" s="101">
        <f t="shared" si="123"/>
        <v>45</v>
      </c>
      <c r="H123" s="98">
        <f t="shared" si="124"/>
        <v>23</v>
      </c>
      <c r="I123" s="101">
        <f t="shared" si="125"/>
        <v>45</v>
      </c>
      <c r="J123" s="98">
        <f t="shared" si="126"/>
        <v>23</v>
      </c>
      <c r="K123" s="101">
        <f t="shared" si="127"/>
        <v>45</v>
      </c>
      <c r="L123" s="98">
        <f t="shared" si="128"/>
        <v>23</v>
      </c>
      <c r="M123" s="101">
        <f t="shared" si="129"/>
        <v>45</v>
      </c>
      <c r="N123" s="98">
        <f t="shared" si="130"/>
        <v>23</v>
      </c>
      <c r="O123" s="101">
        <f t="shared" si="131"/>
        <v>45</v>
      </c>
      <c r="P123" s="22" t="str">
        <f t="shared" si="132"/>
        <v>忽视防御%2|HPMP%2</v>
      </c>
      <c r="Q123" s="100" t="str">
        <f t="shared" si="121"/>
        <v>龙晶碎片10/元宝10000</v>
      </c>
    </row>
    <row r="124" spans="1:17" ht="15.75" x14ac:dyDescent="0.3">
      <c r="A124" s="22" t="s">
        <v>2380</v>
      </c>
      <c r="B124" s="69" t="s">
        <v>2400</v>
      </c>
      <c r="C124" s="22">
        <v>19</v>
      </c>
      <c r="D124" s="22"/>
      <c r="E124" s="22"/>
      <c r="F124" s="98">
        <f t="shared" si="122"/>
        <v>24</v>
      </c>
      <c r="G124" s="101">
        <f t="shared" si="123"/>
        <v>47</v>
      </c>
      <c r="H124" s="98">
        <f t="shared" si="124"/>
        <v>24</v>
      </c>
      <c r="I124" s="101">
        <f t="shared" si="125"/>
        <v>47</v>
      </c>
      <c r="J124" s="98">
        <f t="shared" si="126"/>
        <v>24</v>
      </c>
      <c r="K124" s="101">
        <f t="shared" si="127"/>
        <v>47</v>
      </c>
      <c r="L124" s="98">
        <f t="shared" si="128"/>
        <v>24</v>
      </c>
      <c r="M124" s="101">
        <f t="shared" si="129"/>
        <v>47</v>
      </c>
      <c r="N124" s="98">
        <f t="shared" si="130"/>
        <v>24</v>
      </c>
      <c r="O124" s="101">
        <f t="shared" si="131"/>
        <v>47</v>
      </c>
      <c r="P124" s="22" t="str">
        <f t="shared" si="132"/>
        <v>忽视防御%2|HPMP%2</v>
      </c>
      <c r="Q124" s="100" t="str">
        <f t="shared" si="121"/>
        <v>龙晶碎片10/元宝10000</v>
      </c>
    </row>
    <row r="125" spans="1:17" ht="15.75" x14ac:dyDescent="0.3">
      <c r="A125" s="22" t="s">
        <v>2380</v>
      </c>
      <c r="B125" s="69" t="s">
        <v>2401</v>
      </c>
      <c r="C125" s="22">
        <v>20</v>
      </c>
      <c r="D125" s="22"/>
      <c r="E125" s="22"/>
      <c r="F125" s="98">
        <f t="shared" si="122"/>
        <v>25</v>
      </c>
      <c r="G125" s="101">
        <f t="shared" si="123"/>
        <v>50</v>
      </c>
      <c r="H125" s="98">
        <f t="shared" si="124"/>
        <v>25</v>
      </c>
      <c r="I125" s="101">
        <f t="shared" si="125"/>
        <v>50</v>
      </c>
      <c r="J125" s="98">
        <f t="shared" si="126"/>
        <v>25</v>
      </c>
      <c r="K125" s="101">
        <f t="shared" si="127"/>
        <v>50</v>
      </c>
      <c r="L125" s="98">
        <f t="shared" si="128"/>
        <v>25</v>
      </c>
      <c r="M125" s="101">
        <f t="shared" si="129"/>
        <v>50</v>
      </c>
      <c r="N125" s="98">
        <f t="shared" si="130"/>
        <v>25</v>
      </c>
      <c r="O125" s="101">
        <f t="shared" si="131"/>
        <v>50</v>
      </c>
      <c r="P125" s="22" t="str">
        <f t="shared" si="132"/>
        <v>忽视防御%2|HPMP%2</v>
      </c>
      <c r="Q125" s="100" t="str">
        <f t="shared" si="121"/>
        <v>龙晶碎片26/元宝26000</v>
      </c>
    </row>
    <row r="126" spans="1:17" ht="15.75" x14ac:dyDescent="0.3">
      <c r="A126" s="22" t="s">
        <v>2380</v>
      </c>
      <c r="B126" s="69" t="s">
        <v>2402</v>
      </c>
      <c r="C126" s="22">
        <v>21</v>
      </c>
      <c r="D126" s="22"/>
      <c r="E126" s="22"/>
      <c r="F126" s="98">
        <f t="shared" si="122"/>
        <v>26</v>
      </c>
      <c r="G126" s="101">
        <f t="shared" si="123"/>
        <v>52</v>
      </c>
      <c r="H126" s="98">
        <f t="shared" si="124"/>
        <v>26</v>
      </c>
      <c r="I126" s="101">
        <f t="shared" si="125"/>
        <v>52</v>
      </c>
      <c r="J126" s="98">
        <f t="shared" si="126"/>
        <v>26</v>
      </c>
      <c r="K126" s="101">
        <f t="shared" si="127"/>
        <v>52</v>
      </c>
      <c r="L126" s="98">
        <f t="shared" si="128"/>
        <v>26</v>
      </c>
      <c r="M126" s="101">
        <f t="shared" si="129"/>
        <v>52</v>
      </c>
      <c r="N126" s="98">
        <f t="shared" si="130"/>
        <v>26</v>
      </c>
      <c r="O126" s="101">
        <f t="shared" si="131"/>
        <v>52</v>
      </c>
      <c r="P126" s="22" t="str">
        <f t="shared" si="132"/>
        <v>忽视防御%3|HPMP%3</v>
      </c>
      <c r="Q126" s="100" t="str">
        <f t="shared" si="121"/>
        <v>龙晶碎片26/元宝26000</v>
      </c>
    </row>
    <row r="127" spans="1:17" ht="15.75" x14ac:dyDescent="0.3">
      <c r="A127" s="22" t="s">
        <v>2380</v>
      </c>
      <c r="B127" s="69" t="s">
        <v>2403</v>
      </c>
      <c r="C127" s="22">
        <v>22</v>
      </c>
      <c r="D127" s="22"/>
      <c r="E127" s="22"/>
      <c r="F127" s="98">
        <f t="shared" si="122"/>
        <v>28</v>
      </c>
      <c r="G127" s="101">
        <f t="shared" si="123"/>
        <v>55</v>
      </c>
      <c r="H127" s="98">
        <f t="shared" si="124"/>
        <v>28</v>
      </c>
      <c r="I127" s="101">
        <f t="shared" si="125"/>
        <v>55</v>
      </c>
      <c r="J127" s="98">
        <f t="shared" si="126"/>
        <v>28</v>
      </c>
      <c r="K127" s="101">
        <f t="shared" si="127"/>
        <v>55</v>
      </c>
      <c r="L127" s="98">
        <f t="shared" si="128"/>
        <v>28</v>
      </c>
      <c r="M127" s="101">
        <f t="shared" si="129"/>
        <v>55</v>
      </c>
      <c r="N127" s="98">
        <f t="shared" si="130"/>
        <v>28</v>
      </c>
      <c r="O127" s="101">
        <f t="shared" si="131"/>
        <v>55</v>
      </c>
      <c r="P127" s="22" t="str">
        <f t="shared" si="132"/>
        <v>忽视防御%3|HPMP%3</v>
      </c>
      <c r="Q127" s="100" t="str">
        <f t="shared" si="121"/>
        <v>龙晶碎片26/元宝26000</v>
      </c>
    </row>
    <row r="128" spans="1:17" ht="15.75" x14ac:dyDescent="0.3">
      <c r="A128" s="22" t="s">
        <v>2380</v>
      </c>
      <c r="B128" s="69" t="s">
        <v>2404</v>
      </c>
      <c r="C128" s="22">
        <v>23</v>
      </c>
      <c r="D128" s="22"/>
      <c r="E128" s="22"/>
      <c r="F128" s="98">
        <f t="shared" si="122"/>
        <v>29</v>
      </c>
      <c r="G128" s="101">
        <f t="shared" si="123"/>
        <v>57</v>
      </c>
      <c r="H128" s="98">
        <f t="shared" si="124"/>
        <v>29</v>
      </c>
      <c r="I128" s="101">
        <f t="shared" si="125"/>
        <v>57</v>
      </c>
      <c r="J128" s="98">
        <f t="shared" si="126"/>
        <v>29</v>
      </c>
      <c r="K128" s="101">
        <f t="shared" si="127"/>
        <v>57</v>
      </c>
      <c r="L128" s="98">
        <f t="shared" si="128"/>
        <v>29</v>
      </c>
      <c r="M128" s="101">
        <f t="shared" si="129"/>
        <v>57</v>
      </c>
      <c r="N128" s="98">
        <f t="shared" si="130"/>
        <v>29</v>
      </c>
      <c r="O128" s="101">
        <f t="shared" si="131"/>
        <v>57</v>
      </c>
      <c r="P128" s="22" t="str">
        <f t="shared" si="132"/>
        <v>忽视防御%3|HPMP%3</v>
      </c>
      <c r="Q128" s="100" t="str">
        <f t="shared" si="121"/>
        <v>龙晶碎片26/元宝26000</v>
      </c>
    </row>
    <row r="129" spans="1:17" ht="15.75" x14ac:dyDescent="0.3">
      <c r="A129" s="22" t="s">
        <v>2380</v>
      </c>
      <c r="B129" s="69" t="s">
        <v>2405</v>
      </c>
      <c r="C129" s="22">
        <v>24</v>
      </c>
      <c r="D129" s="22"/>
      <c r="E129" s="22"/>
      <c r="F129" s="98">
        <f t="shared" si="122"/>
        <v>30</v>
      </c>
      <c r="G129" s="101">
        <f t="shared" si="123"/>
        <v>60</v>
      </c>
      <c r="H129" s="98">
        <f t="shared" si="124"/>
        <v>30</v>
      </c>
      <c r="I129" s="101">
        <f t="shared" si="125"/>
        <v>60</v>
      </c>
      <c r="J129" s="98">
        <f t="shared" si="126"/>
        <v>30</v>
      </c>
      <c r="K129" s="101">
        <f t="shared" si="127"/>
        <v>60</v>
      </c>
      <c r="L129" s="98">
        <f t="shared" si="128"/>
        <v>30</v>
      </c>
      <c r="M129" s="101">
        <f t="shared" si="129"/>
        <v>60</v>
      </c>
      <c r="N129" s="98">
        <f t="shared" si="130"/>
        <v>30</v>
      </c>
      <c r="O129" s="101">
        <f t="shared" si="131"/>
        <v>60</v>
      </c>
      <c r="P129" s="22" t="str">
        <f t="shared" si="132"/>
        <v>忽视防御%3|HPMP%3</v>
      </c>
      <c r="Q129" s="100" t="str">
        <f t="shared" si="121"/>
        <v>龙晶碎片26/元宝26000</v>
      </c>
    </row>
    <row r="130" spans="1:17" ht="15.75" x14ac:dyDescent="0.3">
      <c r="A130" s="22" t="s">
        <v>2380</v>
      </c>
      <c r="B130" s="69" t="s">
        <v>2406</v>
      </c>
      <c r="C130" s="22">
        <v>25</v>
      </c>
      <c r="D130" s="22"/>
      <c r="E130" s="22"/>
      <c r="F130" s="98">
        <f t="shared" si="122"/>
        <v>31</v>
      </c>
      <c r="G130" s="101">
        <f t="shared" si="123"/>
        <v>62</v>
      </c>
      <c r="H130" s="98">
        <f t="shared" si="124"/>
        <v>31</v>
      </c>
      <c r="I130" s="101">
        <f t="shared" si="125"/>
        <v>62</v>
      </c>
      <c r="J130" s="98">
        <f t="shared" si="126"/>
        <v>31</v>
      </c>
      <c r="K130" s="101">
        <f t="shared" si="127"/>
        <v>62</v>
      </c>
      <c r="L130" s="98">
        <f t="shared" si="128"/>
        <v>31</v>
      </c>
      <c r="M130" s="101">
        <f t="shared" si="129"/>
        <v>62</v>
      </c>
      <c r="N130" s="98">
        <f t="shared" si="130"/>
        <v>31</v>
      </c>
      <c r="O130" s="101">
        <f t="shared" si="131"/>
        <v>62</v>
      </c>
      <c r="P130" s="22" t="str">
        <f t="shared" si="132"/>
        <v>忽视防御%3|HPMP%3</v>
      </c>
      <c r="Q130" s="100" t="str">
        <f t="shared" si="121"/>
        <v>龙晶碎片26/元宝26000</v>
      </c>
    </row>
    <row r="131" spans="1:17" ht="15.75" x14ac:dyDescent="0.3">
      <c r="A131" s="22" t="s">
        <v>2380</v>
      </c>
      <c r="B131" s="69" t="s">
        <v>2407</v>
      </c>
      <c r="C131" s="22">
        <v>26</v>
      </c>
      <c r="D131" s="22"/>
      <c r="E131" s="22"/>
      <c r="F131" s="98">
        <f t="shared" si="122"/>
        <v>33</v>
      </c>
      <c r="G131" s="101">
        <f t="shared" si="123"/>
        <v>65</v>
      </c>
      <c r="H131" s="98">
        <f t="shared" si="124"/>
        <v>33</v>
      </c>
      <c r="I131" s="101">
        <f t="shared" si="125"/>
        <v>65</v>
      </c>
      <c r="J131" s="98">
        <f t="shared" si="126"/>
        <v>33</v>
      </c>
      <c r="K131" s="101">
        <f t="shared" si="127"/>
        <v>65</v>
      </c>
      <c r="L131" s="98">
        <f t="shared" si="128"/>
        <v>33</v>
      </c>
      <c r="M131" s="101">
        <f t="shared" si="129"/>
        <v>65</v>
      </c>
      <c r="N131" s="98">
        <f t="shared" si="130"/>
        <v>33</v>
      </c>
      <c r="O131" s="101">
        <f t="shared" si="131"/>
        <v>65</v>
      </c>
      <c r="P131" s="22" t="str">
        <f t="shared" si="132"/>
        <v>忽视防御%3|HPMP%3</v>
      </c>
      <c r="Q131" s="100" t="str">
        <f t="shared" si="121"/>
        <v>龙晶碎片26/元宝26000</v>
      </c>
    </row>
    <row r="132" spans="1:17" ht="15.75" x14ac:dyDescent="0.3">
      <c r="A132" s="22" t="s">
        <v>2380</v>
      </c>
      <c r="B132" s="69" t="s">
        <v>2408</v>
      </c>
      <c r="C132" s="22">
        <v>27</v>
      </c>
      <c r="D132" s="22"/>
      <c r="E132" s="22"/>
      <c r="F132" s="98">
        <f t="shared" si="122"/>
        <v>34</v>
      </c>
      <c r="G132" s="101">
        <f t="shared" si="123"/>
        <v>67</v>
      </c>
      <c r="H132" s="98">
        <f t="shared" si="124"/>
        <v>34</v>
      </c>
      <c r="I132" s="101">
        <f t="shared" si="125"/>
        <v>67</v>
      </c>
      <c r="J132" s="98">
        <f t="shared" si="126"/>
        <v>34</v>
      </c>
      <c r="K132" s="101">
        <f t="shared" si="127"/>
        <v>67</v>
      </c>
      <c r="L132" s="98">
        <f t="shared" si="128"/>
        <v>34</v>
      </c>
      <c r="M132" s="101">
        <f t="shared" si="129"/>
        <v>67</v>
      </c>
      <c r="N132" s="98">
        <f t="shared" si="130"/>
        <v>34</v>
      </c>
      <c r="O132" s="101">
        <f t="shared" si="131"/>
        <v>67</v>
      </c>
      <c r="P132" s="22" t="str">
        <f t="shared" si="132"/>
        <v>忽视防御%3|HPMP%3</v>
      </c>
      <c r="Q132" s="100" t="str">
        <f t="shared" si="121"/>
        <v>龙晶碎片26/元宝26000</v>
      </c>
    </row>
    <row r="133" spans="1:17" ht="15.75" x14ac:dyDescent="0.3">
      <c r="A133" s="22" t="s">
        <v>2380</v>
      </c>
      <c r="B133" s="69" t="s">
        <v>2409</v>
      </c>
      <c r="C133" s="22">
        <v>28</v>
      </c>
      <c r="D133" s="22"/>
      <c r="E133" s="22"/>
      <c r="F133" s="98">
        <f t="shared" si="122"/>
        <v>35</v>
      </c>
      <c r="G133" s="101">
        <f t="shared" si="123"/>
        <v>70</v>
      </c>
      <c r="H133" s="98">
        <f t="shared" si="124"/>
        <v>35</v>
      </c>
      <c r="I133" s="101">
        <f t="shared" si="125"/>
        <v>70</v>
      </c>
      <c r="J133" s="98">
        <f t="shared" si="126"/>
        <v>35</v>
      </c>
      <c r="K133" s="101">
        <f t="shared" si="127"/>
        <v>70</v>
      </c>
      <c r="L133" s="98">
        <f t="shared" si="128"/>
        <v>35</v>
      </c>
      <c r="M133" s="101">
        <f t="shared" si="129"/>
        <v>70</v>
      </c>
      <c r="N133" s="98">
        <f t="shared" si="130"/>
        <v>35</v>
      </c>
      <c r="O133" s="101">
        <f t="shared" si="131"/>
        <v>70</v>
      </c>
      <c r="P133" s="22" t="str">
        <f t="shared" si="132"/>
        <v>忽视防御%3|HPMP%3</v>
      </c>
      <c r="Q133" s="100" t="str">
        <f t="shared" si="121"/>
        <v>龙晶碎片26/元宝26000</v>
      </c>
    </row>
    <row r="134" spans="1:17" ht="15.75" x14ac:dyDescent="0.3">
      <c r="A134" s="22" t="s">
        <v>2380</v>
      </c>
      <c r="B134" s="69" t="s">
        <v>2410</v>
      </c>
      <c r="C134" s="22">
        <v>29</v>
      </c>
      <c r="D134" s="22"/>
      <c r="E134" s="22"/>
      <c r="F134" s="98">
        <f t="shared" si="122"/>
        <v>36</v>
      </c>
      <c r="G134" s="101">
        <f t="shared" si="123"/>
        <v>72</v>
      </c>
      <c r="H134" s="98">
        <f t="shared" si="124"/>
        <v>36</v>
      </c>
      <c r="I134" s="101">
        <f t="shared" si="125"/>
        <v>72</v>
      </c>
      <c r="J134" s="98">
        <f t="shared" si="126"/>
        <v>36</v>
      </c>
      <c r="K134" s="101">
        <f t="shared" si="127"/>
        <v>72</v>
      </c>
      <c r="L134" s="98">
        <f t="shared" si="128"/>
        <v>36</v>
      </c>
      <c r="M134" s="101">
        <f t="shared" si="129"/>
        <v>72</v>
      </c>
      <c r="N134" s="98">
        <f t="shared" si="130"/>
        <v>36</v>
      </c>
      <c r="O134" s="101">
        <f t="shared" si="131"/>
        <v>72</v>
      </c>
      <c r="P134" s="22" t="str">
        <f t="shared" si="132"/>
        <v>忽视防御%3|HPMP%3</v>
      </c>
      <c r="Q134" s="100" t="str">
        <f t="shared" si="121"/>
        <v>龙晶碎片26/元宝26000</v>
      </c>
    </row>
    <row r="135" spans="1:17" ht="15.75" x14ac:dyDescent="0.3">
      <c r="A135" s="22" t="s">
        <v>2380</v>
      </c>
      <c r="B135" s="69" t="s">
        <v>2411</v>
      </c>
      <c r="C135" s="22">
        <v>30</v>
      </c>
      <c r="D135" s="22"/>
      <c r="E135" s="22"/>
      <c r="F135" s="98">
        <f t="shared" si="122"/>
        <v>38</v>
      </c>
      <c r="G135" s="101">
        <f t="shared" si="123"/>
        <v>75</v>
      </c>
      <c r="H135" s="98">
        <f t="shared" si="124"/>
        <v>38</v>
      </c>
      <c r="I135" s="101">
        <f t="shared" si="125"/>
        <v>75</v>
      </c>
      <c r="J135" s="98">
        <f t="shared" si="126"/>
        <v>38</v>
      </c>
      <c r="K135" s="101">
        <f t="shared" si="127"/>
        <v>75</v>
      </c>
      <c r="L135" s="98">
        <f t="shared" si="128"/>
        <v>38</v>
      </c>
      <c r="M135" s="101">
        <f t="shared" si="129"/>
        <v>75</v>
      </c>
      <c r="N135" s="98">
        <f t="shared" si="130"/>
        <v>38</v>
      </c>
      <c r="O135" s="101">
        <f t="shared" si="131"/>
        <v>75</v>
      </c>
      <c r="P135" s="22" t="str">
        <f t="shared" si="132"/>
        <v>忽视防御%3|HPMP%3</v>
      </c>
      <c r="Q135" s="100" t="str">
        <f t="shared" si="121"/>
        <v>龙晶碎片128/元宝128000</v>
      </c>
    </row>
    <row r="136" spans="1:17" ht="15.75" x14ac:dyDescent="0.3">
      <c r="A136" s="22" t="s">
        <v>2380</v>
      </c>
      <c r="B136" s="69" t="s">
        <v>2412</v>
      </c>
      <c r="C136" s="22">
        <v>31</v>
      </c>
      <c r="D136" s="22"/>
      <c r="E136" s="22"/>
      <c r="F136" s="98">
        <f t="shared" si="122"/>
        <v>39</v>
      </c>
      <c r="G136" s="101">
        <f t="shared" si="123"/>
        <v>77</v>
      </c>
      <c r="H136" s="98">
        <f t="shared" si="124"/>
        <v>39</v>
      </c>
      <c r="I136" s="101">
        <f t="shared" si="125"/>
        <v>77</v>
      </c>
      <c r="J136" s="98">
        <f t="shared" si="126"/>
        <v>39</v>
      </c>
      <c r="K136" s="101">
        <f t="shared" si="127"/>
        <v>77</v>
      </c>
      <c r="L136" s="98">
        <f t="shared" si="128"/>
        <v>39</v>
      </c>
      <c r="M136" s="101">
        <f t="shared" si="129"/>
        <v>77</v>
      </c>
      <c r="N136" s="98">
        <f t="shared" si="130"/>
        <v>39</v>
      </c>
      <c r="O136" s="101">
        <f t="shared" si="131"/>
        <v>77</v>
      </c>
      <c r="P136" s="22" t="str">
        <f t="shared" si="132"/>
        <v>忽视防御%4|HPMP%4</v>
      </c>
      <c r="Q136" s="100" t="str">
        <f t="shared" si="121"/>
        <v>龙晶碎片128/元宝128000</v>
      </c>
    </row>
    <row r="137" spans="1:17" ht="15.75" x14ac:dyDescent="0.3">
      <c r="A137" s="22" t="s">
        <v>2380</v>
      </c>
      <c r="B137" s="69" t="s">
        <v>2413</v>
      </c>
      <c r="C137" s="22">
        <v>32</v>
      </c>
      <c r="D137" s="22"/>
      <c r="E137" s="22"/>
      <c r="F137" s="98">
        <f t="shared" si="122"/>
        <v>40</v>
      </c>
      <c r="G137" s="101">
        <f t="shared" si="123"/>
        <v>80</v>
      </c>
      <c r="H137" s="98">
        <f t="shared" si="124"/>
        <v>40</v>
      </c>
      <c r="I137" s="101">
        <f t="shared" si="125"/>
        <v>80</v>
      </c>
      <c r="J137" s="98">
        <f t="shared" si="126"/>
        <v>40</v>
      </c>
      <c r="K137" s="101">
        <f t="shared" si="127"/>
        <v>80</v>
      </c>
      <c r="L137" s="98">
        <f t="shared" si="128"/>
        <v>40</v>
      </c>
      <c r="M137" s="101">
        <f t="shared" si="129"/>
        <v>80</v>
      </c>
      <c r="N137" s="98">
        <f t="shared" si="130"/>
        <v>40</v>
      </c>
      <c r="O137" s="101">
        <f t="shared" si="131"/>
        <v>80</v>
      </c>
      <c r="P137" s="22" t="str">
        <f t="shared" si="132"/>
        <v>忽视防御%4|HPMP%4</v>
      </c>
      <c r="Q137" s="100" t="str">
        <f t="shared" si="121"/>
        <v>龙晶碎片128/元宝128000</v>
      </c>
    </row>
    <row r="138" spans="1:17" ht="15.75" x14ac:dyDescent="0.3">
      <c r="A138" s="22" t="s">
        <v>2380</v>
      </c>
      <c r="B138" s="69" t="s">
        <v>2414</v>
      </c>
      <c r="C138" s="22">
        <v>33</v>
      </c>
      <c r="D138" s="22"/>
      <c r="E138" s="22"/>
      <c r="F138" s="98">
        <f t="shared" si="122"/>
        <v>41</v>
      </c>
      <c r="G138" s="101">
        <f t="shared" si="123"/>
        <v>82</v>
      </c>
      <c r="H138" s="98">
        <f t="shared" si="124"/>
        <v>41</v>
      </c>
      <c r="I138" s="101">
        <f t="shared" si="125"/>
        <v>82</v>
      </c>
      <c r="J138" s="98">
        <f t="shared" si="126"/>
        <v>41</v>
      </c>
      <c r="K138" s="101">
        <f t="shared" si="127"/>
        <v>82</v>
      </c>
      <c r="L138" s="98">
        <f t="shared" si="128"/>
        <v>41</v>
      </c>
      <c r="M138" s="101">
        <f t="shared" si="129"/>
        <v>82</v>
      </c>
      <c r="N138" s="98">
        <f t="shared" si="130"/>
        <v>41</v>
      </c>
      <c r="O138" s="101">
        <f t="shared" si="131"/>
        <v>82</v>
      </c>
      <c r="P138" s="22" t="str">
        <f t="shared" si="132"/>
        <v>忽视防御%4|HPMP%4</v>
      </c>
      <c r="Q138" s="100" t="str">
        <f t="shared" si="121"/>
        <v>龙晶碎片128/元宝128000</v>
      </c>
    </row>
    <row r="139" spans="1:17" ht="15.75" x14ac:dyDescent="0.3">
      <c r="A139" s="22" t="s">
        <v>2380</v>
      </c>
      <c r="B139" s="69" t="s">
        <v>2415</v>
      </c>
      <c r="C139" s="22">
        <v>34</v>
      </c>
      <c r="D139" s="22"/>
      <c r="E139" s="22"/>
      <c r="F139" s="98">
        <f t="shared" si="122"/>
        <v>43</v>
      </c>
      <c r="G139" s="101">
        <f t="shared" si="123"/>
        <v>85</v>
      </c>
      <c r="H139" s="98">
        <f t="shared" si="124"/>
        <v>43</v>
      </c>
      <c r="I139" s="101">
        <f t="shared" si="125"/>
        <v>85</v>
      </c>
      <c r="J139" s="98">
        <f t="shared" si="126"/>
        <v>43</v>
      </c>
      <c r="K139" s="101">
        <f t="shared" si="127"/>
        <v>85</v>
      </c>
      <c r="L139" s="98">
        <f t="shared" si="128"/>
        <v>43</v>
      </c>
      <c r="M139" s="101">
        <f t="shared" si="129"/>
        <v>85</v>
      </c>
      <c r="N139" s="98">
        <f t="shared" si="130"/>
        <v>43</v>
      </c>
      <c r="O139" s="101">
        <f t="shared" si="131"/>
        <v>85</v>
      </c>
      <c r="P139" s="22" t="str">
        <f t="shared" si="132"/>
        <v>忽视防御%4|HPMP%4</v>
      </c>
      <c r="Q139" s="100" t="str">
        <f t="shared" si="121"/>
        <v>龙晶碎片128/元宝128000</v>
      </c>
    </row>
    <row r="140" spans="1:17" ht="15.75" x14ac:dyDescent="0.3">
      <c r="A140" s="22" t="s">
        <v>2380</v>
      </c>
      <c r="B140" s="69" t="s">
        <v>2416</v>
      </c>
      <c r="C140" s="22">
        <v>35</v>
      </c>
      <c r="D140" s="22"/>
      <c r="E140" s="22"/>
      <c r="F140" s="98">
        <f t="shared" si="122"/>
        <v>44</v>
      </c>
      <c r="G140" s="101">
        <f t="shared" si="123"/>
        <v>87</v>
      </c>
      <c r="H140" s="98">
        <f t="shared" si="124"/>
        <v>44</v>
      </c>
      <c r="I140" s="101">
        <f t="shared" si="125"/>
        <v>87</v>
      </c>
      <c r="J140" s="98">
        <f t="shared" si="126"/>
        <v>44</v>
      </c>
      <c r="K140" s="101">
        <f t="shared" si="127"/>
        <v>87</v>
      </c>
      <c r="L140" s="98">
        <f t="shared" si="128"/>
        <v>44</v>
      </c>
      <c r="M140" s="101">
        <f t="shared" si="129"/>
        <v>87</v>
      </c>
      <c r="N140" s="98">
        <f t="shared" si="130"/>
        <v>44</v>
      </c>
      <c r="O140" s="101">
        <f t="shared" si="131"/>
        <v>87</v>
      </c>
      <c r="P140" s="22" t="str">
        <f t="shared" si="132"/>
        <v>忽视防御%4|HPMP%4</v>
      </c>
      <c r="Q140" s="100" t="str">
        <f t="shared" si="121"/>
        <v>龙晶碎片128/元宝128000</v>
      </c>
    </row>
    <row r="141" spans="1:17" ht="15.75" x14ac:dyDescent="0.3">
      <c r="A141" s="22" t="s">
        <v>2380</v>
      </c>
      <c r="B141" s="69" t="s">
        <v>2417</v>
      </c>
      <c r="C141" s="22">
        <v>36</v>
      </c>
      <c r="D141" s="22"/>
      <c r="E141" s="22"/>
      <c r="F141" s="98">
        <f t="shared" si="122"/>
        <v>45</v>
      </c>
      <c r="G141" s="101">
        <f t="shared" si="123"/>
        <v>90</v>
      </c>
      <c r="H141" s="98">
        <f t="shared" si="124"/>
        <v>45</v>
      </c>
      <c r="I141" s="101">
        <f t="shared" si="125"/>
        <v>90</v>
      </c>
      <c r="J141" s="98">
        <f t="shared" si="126"/>
        <v>45</v>
      </c>
      <c r="K141" s="101">
        <f t="shared" si="127"/>
        <v>90</v>
      </c>
      <c r="L141" s="98">
        <f t="shared" si="128"/>
        <v>45</v>
      </c>
      <c r="M141" s="101">
        <f t="shared" si="129"/>
        <v>90</v>
      </c>
      <c r="N141" s="98">
        <f t="shared" si="130"/>
        <v>45</v>
      </c>
      <c r="O141" s="101">
        <f t="shared" si="131"/>
        <v>90</v>
      </c>
      <c r="P141" s="22" t="str">
        <f t="shared" si="132"/>
        <v>忽视防御%4|HPMP%4</v>
      </c>
      <c r="Q141" s="100" t="str">
        <f t="shared" si="121"/>
        <v>龙晶碎片128/元宝128000</v>
      </c>
    </row>
    <row r="142" spans="1:17" ht="15.75" x14ac:dyDescent="0.3">
      <c r="A142" s="22" t="s">
        <v>2380</v>
      </c>
      <c r="B142" s="69" t="s">
        <v>2418</v>
      </c>
      <c r="C142" s="22">
        <v>37</v>
      </c>
      <c r="D142" s="22"/>
      <c r="E142" s="22"/>
      <c r="F142" s="98">
        <f t="shared" si="122"/>
        <v>46</v>
      </c>
      <c r="G142" s="101">
        <f t="shared" si="123"/>
        <v>92</v>
      </c>
      <c r="H142" s="98">
        <f t="shared" si="124"/>
        <v>46</v>
      </c>
      <c r="I142" s="101">
        <f t="shared" si="125"/>
        <v>92</v>
      </c>
      <c r="J142" s="98">
        <f t="shared" si="126"/>
        <v>46</v>
      </c>
      <c r="K142" s="101">
        <f t="shared" si="127"/>
        <v>92</v>
      </c>
      <c r="L142" s="98">
        <f t="shared" si="128"/>
        <v>46</v>
      </c>
      <c r="M142" s="101">
        <f t="shared" si="129"/>
        <v>92</v>
      </c>
      <c r="N142" s="98">
        <f t="shared" si="130"/>
        <v>46</v>
      </c>
      <c r="O142" s="101">
        <f t="shared" si="131"/>
        <v>92</v>
      </c>
      <c r="P142" s="22" t="str">
        <f t="shared" si="132"/>
        <v>忽视防御%4|HPMP%4</v>
      </c>
      <c r="Q142" s="100" t="str">
        <f t="shared" si="121"/>
        <v>龙晶碎片128/元宝128000</v>
      </c>
    </row>
    <row r="143" spans="1:17" ht="15.75" x14ac:dyDescent="0.3">
      <c r="A143" s="22" t="s">
        <v>2380</v>
      </c>
      <c r="B143" s="69" t="s">
        <v>2419</v>
      </c>
      <c r="C143" s="22">
        <v>38</v>
      </c>
      <c r="D143" s="22"/>
      <c r="E143" s="22"/>
      <c r="F143" s="98">
        <f t="shared" si="122"/>
        <v>48</v>
      </c>
      <c r="G143" s="101">
        <f t="shared" si="123"/>
        <v>95</v>
      </c>
      <c r="H143" s="98">
        <f t="shared" si="124"/>
        <v>48</v>
      </c>
      <c r="I143" s="101">
        <f t="shared" si="125"/>
        <v>95</v>
      </c>
      <c r="J143" s="98">
        <f t="shared" si="126"/>
        <v>48</v>
      </c>
      <c r="K143" s="101">
        <f t="shared" si="127"/>
        <v>95</v>
      </c>
      <c r="L143" s="98">
        <f t="shared" si="128"/>
        <v>48</v>
      </c>
      <c r="M143" s="101">
        <f t="shared" si="129"/>
        <v>95</v>
      </c>
      <c r="N143" s="98">
        <f t="shared" si="130"/>
        <v>48</v>
      </c>
      <c r="O143" s="101">
        <f t="shared" si="131"/>
        <v>95</v>
      </c>
      <c r="P143" s="22" t="str">
        <f t="shared" si="132"/>
        <v>忽视防御%4|HPMP%4</v>
      </c>
      <c r="Q143" s="100" t="str">
        <f t="shared" si="121"/>
        <v>龙晶碎片128/元宝128000</v>
      </c>
    </row>
    <row r="144" spans="1:17" ht="15.75" x14ac:dyDescent="0.3">
      <c r="A144" s="22" t="s">
        <v>2380</v>
      </c>
      <c r="B144" s="69" t="s">
        <v>2420</v>
      </c>
      <c r="C144" s="22">
        <v>39</v>
      </c>
      <c r="D144" s="22"/>
      <c r="E144" s="22"/>
      <c r="F144" s="98">
        <f t="shared" si="122"/>
        <v>49</v>
      </c>
      <c r="G144" s="101">
        <f t="shared" si="123"/>
        <v>97</v>
      </c>
      <c r="H144" s="98">
        <f t="shared" si="124"/>
        <v>49</v>
      </c>
      <c r="I144" s="101">
        <f t="shared" si="125"/>
        <v>97</v>
      </c>
      <c r="J144" s="98">
        <f t="shared" si="126"/>
        <v>49</v>
      </c>
      <c r="K144" s="101">
        <f t="shared" si="127"/>
        <v>97</v>
      </c>
      <c r="L144" s="98">
        <f t="shared" si="128"/>
        <v>49</v>
      </c>
      <c r="M144" s="101">
        <f t="shared" si="129"/>
        <v>97</v>
      </c>
      <c r="N144" s="98">
        <f t="shared" si="130"/>
        <v>49</v>
      </c>
      <c r="O144" s="101">
        <f t="shared" si="131"/>
        <v>97</v>
      </c>
      <c r="P144" s="22" t="str">
        <f t="shared" si="132"/>
        <v>忽视防御%4|HPMP%4</v>
      </c>
      <c r="Q144" s="100" t="str">
        <f t="shared" si="121"/>
        <v>龙晶碎片128/元宝128000</v>
      </c>
    </row>
    <row r="145" spans="1:17" ht="15.75" x14ac:dyDescent="0.3">
      <c r="A145" s="22" t="s">
        <v>2380</v>
      </c>
      <c r="B145" s="69" t="s">
        <v>2421</v>
      </c>
      <c r="C145" s="22">
        <v>40</v>
      </c>
      <c r="D145" s="22"/>
      <c r="E145" s="22"/>
      <c r="F145" s="98">
        <f t="shared" si="122"/>
        <v>50</v>
      </c>
      <c r="G145" s="101">
        <f t="shared" si="123"/>
        <v>100</v>
      </c>
      <c r="H145" s="98">
        <f t="shared" si="124"/>
        <v>50</v>
      </c>
      <c r="I145" s="101">
        <f t="shared" si="125"/>
        <v>100</v>
      </c>
      <c r="J145" s="98">
        <f t="shared" si="126"/>
        <v>50</v>
      </c>
      <c r="K145" s="101">
        <f t="shared" si="127"/>
        <v>100</v>
      </c>
      <c r="L145" s="98">
        <f t="shared" si="128"/>
        <v>50</v>
      </c>
      <c r="M145" s="101">
        <f t="shared" si="129"/>
        <v>100</v>
      </c>
      <c r="N145" s="98">
        <f t="shared" si="130"/>
        <v>50</v>
      </c>
      <c r="O145" s="101">
        <f t="shared" si="131"/>
        <v>100</v>
      </c>
      <c r="P145" s="22" t="str">
        <f t="shared" si="132"/>
        <v>忽视防御%4|HPMP%4</v>
      </c>
      <c r="Q145" s="100" t="str">
        <f t="shared" si="121"/>
        <v>龙晶碎片383/元宝383000</v>
      </c>
    </row>
    <row r="146" spans="1:17" ht="15.75" x14ac:dyDescent="0.3">
      <c r="A146" s="22" t="s">
        <v>2380</v>
      </c>
      <c r="B146" s="69" t="s">
        <v>2422</v>
      </c>
      <c r="C146" s="22">
        <v>41</v>
      </c>
      <c r="D146" s="22"/>
      <c r="E146" s="22"/>
      <c r="F146" s="98">
        <f t="shared" si="122"/>
        <v>51</v>
      </c>
      <c r="G146" s="101">
        <f t="shared" si="123"/>
        <v>102</v>
      </c>
      <c r="H146" s="98">
        <f t="shared" si="124"/>
        <v>51</v>
      </c>
      <c r="I146" s="101">
        <f t="shared" si="125"/>
        <v>102</v>
      </c>
      <c r="J146" s="98">
        <f t="shared" si="126"/>
        <v>51</v>
      </c>
      <c r="K146" s="101">
        <f t="shared" si="127"/>
        <v>102</v>
      </c>
      <c r="L146" s="98">
        <f t="shared" si="128"/>
        <v>51</v>
      </c>
      <c r="M146" s="101">
        <f t="shared" si="129"/>
        <v>102</v>
      </c>
      <c r="N146" s="98">
        <f t="shared" si="130"/>
        <v>51</v>
      </c>
      <c r="O146" s="101">
        <f t="shared" si="131"/>
        <v>102</v>
      </c>
      <c r="P146" s="22" t="str">
        <f t="shared" si="132"/>
        <v>忽视防御%5|HPMP%5</v>
      </c>
      <c r="Q146" s="100" t="str">
        <f t="shared" si="121"/>
        <v>龙晶碎片383/元宝383000</v>
      </c>
    </row>
    <row r="147" spans="1:17" ht="15.75" x14ac:dyDescent="0.3">
      <c r="A147" s="22" t="s">
        <v>2380</v>
      </c>
      <c r="B147" s="69" t="s">
        <v>2423</v>
      </c>
      <c r="C147" s="22">
        <v>42</v>
      </c>
      <c r="D147" s="22"/>
      <c r="E147" s="22"/>
      <c r="F147" s="98">
        <f t="shared" si="122"/>
        <v>53</v>
      </c>
      <c r="G147" s="101">
        <f t="shared" si="123"/>
        <v>105</v>
      </c>
      <c r="H147" s="98">
        <f t="shared" si="124"/>
        <v>53</v>
      </c>
      <c r="I147" s="101">
        <f t="shared" si="125"/>
        <v>105</v>
      </c>
      <c r="J147" s="98">
        <f t="shared" si="126"/>
        <v>53</v>
      </c>
      <c r="K147" s="101">
        <f t="shared" si="127"/>
        <v>105</v>
      </c>
      <c r="L147" s="98">
        <f t="shared" si="128"/>
        <v>53</v>
      </c>
      <c r="M147" s="101">
        <f t="shared" si="129"/>
        <v>105</v>
      </c>
      <c r="N147" s="98">
        <f t="shared" si="130"/>
        <v>53</v>
      </c>
      <c r="O147" s="101">
        <f t="shared" si="131"/>
        <v>105</v>
      </c>
      <c r="P147" s="22" t="str">
        <f t="shared" si="132"/>
        <v>忽视防御%5|HPMP%5</v>
      </c>
      <c r="Q147" s="100" t="str">
        <f t="shared" si="121"/>
        <v>龙晶碎片383/元宝383000</v>
      </c>
    </row>
    <row r="148" spans="1:17" ht="15.75" x14ac:dyDescent="0.3">
      <c r="A148" s="22" t="s">
        <v>2380</v>
      </c>
      <c r="B148" s="69" t="s">
        <v>2424</v>
      </c>
      <c r="C148" s="22">
        <v>43</v>
      </c>
      <c r="D148" s="22"/>
      <c r="E148" s="22"/>
      <c r="F148" s="98">
        <f t="shared" si="122"/>
        <v>54</v>
      </c>
      <c r="G148" s="101">
        <f t="shared" si="123"/>
        <v>107</v>
      </c>
      <c r="H148" s="98">
        <f t="shared" si="124"/>
        <v>54</v>
      </c>
      <c r="I148" s="101">
        <f t="shared" si="125"/>
        <v>107</v>
      </c>
      <c r="J148" s="98">
        <f t="shared" si="126"/>
        <v>54</v>
      </c>
      <c r="K148" s="101">
        <f t="shared" si="127"/>
        <v>107</v>
      </c>
      <c r="L148" s="98">
        <f t="shared" si="128"/>
        <v>54</v>
      </c>
      <c r="M148" s="101">
        <f t="shared" si="129"/>
        <v>107</v>
      </c>
      <c r="N148" s="98">
        <f t="shared" si="130"/>
        <v>54</v>
      </c>
      <c r="O148" s="101">
        <f t="shared" si="131"/>
        <v>107</v>
      </c>
      <c r="P148" s="22" t="str">
        <f t="shared" si="132"/>
        <v>忽视防御%5|HPMP%5</v>
      </c>
      <c r="Q148" s="100" t="str">
        <f t="shared" si="121"/>
        <v>龙晶碎片383/元宝383000</v>
      </c>
    </row>
    <row r="149" spans="1:17" ht="15.75" x14ac:dyDescent="0.3">
      <c r="A149" s="22" t="s">
        <v>2380</v>
      </c>
      <c r="B149" s="69" t="s">
        <v>2425</v>
      </c>
      <c r="C149" s="22">
        <v>44</v>
      </c>
      <c r="D149" s="22"/>
      <c r="E149" s="22"/>
      <c r="F149" s="98">
        <f t="shared" si="122"/>
        <v>55</v>
      </c>
      <c r="G149" s="101">
        <f t="shared" si="123"/>
        <v>110</v>
      </c>
      <c r="H149" s="98">
        <f t="shared" si="124"/>
        <v>55</v>
      </c>
      <c r="I149" s="101">
        <f t="shared" si="125"/>
        <v>110</v>
      </c>
      <c r="J149" s="98">
        <f t="shared" si="126"/>
        <v>55</v>
      </c>
      <c r="K149" s="101">
        <f t="shared" si="127"/>
        <v>110</v>
      </c>
      <c r="L149" s="98">
        <f t="shared" si="128"/>
        <v>55</v>
      </c>
      <c r="M149" s="101">
        <f t="shared" si="129"/>
        <v>110</v>
      </c>
      <c r="N149" s="98">
        <f t="shared" si="130"/>
        <v>55</v>
      </c>
      <c r="O149" s="101">
        <f t="shared" si="131"/>
        <v>110</v>
      </c>
      <c r="P149" s="22" t="str">
        <f t="shared" si="132"/>
        <v>忽视防御%5|HPMP%5</v>
      </c>
      <c r="Q149" s="100" t="str">
        <f t="shared" si="121"/>
        <v>龙晶碎片383/元宝383000</v>
      </c>
    </row>
    <row r="150" spans="1:17" ht="15.75" x14ac:dyDescent="0.3">
      <c r="A150" s="22" t="s">
        <v>2380</v>
      </c>
      <c r="B150" s="69" t="s">
        <v>2426</v>
      </c>
      <c r="C150" s="22">
        <v>45</v>
      </c>
      <c r="D150" s="22"/>
      <c r="E150" s="22"/>
      <c r="F150" s="98">
        <f t="shared" si="122"/>
        <v>56</v>
      </c>
      <c r="G150" s="101">
        <f t="shared" si="123"/>
        <v>112</v>
      </c>
      <c r="H150" s="98">
        <f t="shared" si="124"/>
        <v>56</v>
      </c>
      <c r="I150" s="101">
        <f t="shared" si="125"/>
        <v>112</v>
      </c>
      <c r="J150" s="98">
        <f t="shared" si="126"/>
        <v>56</v>
      </c>
      <c r="K150" s="101">
        <f t="shared" si="127"/>
        <v>112</v>
      </c>
      <c r="L150" s="98">
        <f t="shared" si="128"/>
        <v>56</v>
      </c>
      <c r="M150" s="101">
        <f t="shared" si="129"/>
        <v>112</v>
      </c>
      <c r="N150" s="98">
        <f t="shared" si="130"/>
        <v>56</v>
      </c>
      <c r="O150" s="101">
        <f t="shared" si="131"/>
        <v>112</v>
      </c>
      <c r="P150" s="22" t="str">
        <f t="shared" si="132"/>
        <v>忽视防御%5|HPMP%5</v>
      </c>
      <c r="Q150" s="100" t="str">
        <f t="shared" si="121"/>
        <v>龙晶碎片383/元宝383000</v>
      </c>
    </row>
    <row r="151" spans="1:17" ht="15.75" x14ac:dyDescent="0.3">
      <c r="A151" s="22" t="s">
        <v>2380</v>
      </c>
      <c r="B151" s="69" t="s">
        <v>2427</v>
      </c>
      <c r="C151" s="22">
        <v>46</v>
      </c>
      <c r="D151" s="22"/>
      <c r="E151" s="22"/>
      <c r="F151" s="98">
        <f t="shared" si="122"/>
        <v>58</v>
      </c>
      <c r="G151" s="101">
        <f t="shared" si="123"/>
        <v>115</v>
      </c>
      <c r="H151" s="98">
        <f t="shared" si="124"/>
        <v>58</v>
      </c>
      <c r="I151" s="101">
        <f t="shared" si="125"/>
        <v>115</v>
      </c>
      <c r="J151" s="98">
        <f t="shared" si="126"/>
        <v>58</v>
      </c>
      <c r="K151" s="101">
        <f t="shared" si="127"/>
        <v>115</v>
      </c>
      <c r="L151" s="98">
        <f t="shared" si="128"/>
        <v>58</v>
      </c>
      <c r="M151" s="101">
        <f t="shared" si="129"/>
        <v>115</v>
      </c>
      <c r="N151" s="98">
        <f t="shared" si="130"/>
        <v>58</v>
      </c>
      <c r="O151" s="101">
        <f t="shared" si="131"/>
        <v>115</v>
      </c>
      <c r="P151" s="22" t="str">
        <f t="shared" si="132"/>
        <v>忽视防御%5|HPMP%5</v>
      </c>
      <c r="Q151" s="100" t="str">
        <f t="shared" si="121"/>
        <v>龙晶碎片383/元宝383000</v>
      </c>
    </row>
    <row r="152" spans="1:17" ht="15.75" x14ac:dyDescent="0.3">
      <c r="A152" s="22" t="s">
        <v>2380</v>
      </c>
      <c r="B152" s="69" t="s">
        <v>2428</v>
      </c>
      <c r="C152" s="22">
        <v>47</v>
      </c>
      <c r="D152" s="22"/>
      <c r="E152" s="22"/>
      <c r="F152" s="98">
        <f t="shared" si="122"/>
        <v>59</v>
      </c>
      <c r="G152" s="101">
        <f t="shared" si="123"/>
        <v>117</v>
      </c>
      <c r="H152" s="98">
        <f t="shared" si="124"/>
        <v>59</v>
      </c>
      <c r="I152" s="101">
        <f t="shared" si="125"/>
        <v>117</v>
      </c>
      <c r="J152" s="98">
        <f t="shared" si="126"/>
        <v>59</v>
      </c>
      <c r="K152" s="101">
        <f t="shared" si="127"/>
        <v>117</v>
      </c>
      <c r="L152" s="98">
        <f t="shared" si="128"/>
        <v>59</v>
      </c>
      <c r="M152" s="101">
        <f t="shared" si="129"/>
        <v>117</v>
      </c>
      <c r="N152" s="98">
        <f t="shared" si="130"/>
        <v>59</v>
      </c>
      <c r="O152" s="101">
        <f t="shared" si="131"/>
        <v>117</v>
      </c>
      <c r="P152" s="22" t="str">
        <f t="shared" si="132"/>
        <v>忽视防御%5|HPMP%5</v>
      </c>
      <c r="Q152" s="100" t="str">
        <f t="shared" si="121"/>
        <v>龙晶碎片383/元宝383000</v>
      </c>
    </row>
    <row r="153" spans="1:17" ht="15.75" x14ac:dyDescent="0.3">
      <c r="A153" s="22" t="s">
        <v>2380</v>
      </c>
      <c r="B153" s="69" t="s">
        <v>2429</v>
      </c>
      <c r="C153" s="22">
        <v>48</v>
      </c>
      <c r="D153" s="22"/>
      <c r="E153" s="22"/>
      <c r="F153" s="98">
        <f t="shared" si="122"/>
        <v>60</v>
      </c>
      <c r="G153" s="101">
        <f t="shared" si="123"/>
        <v>120</v>
      </c>
      <c r="H153" s="98">
        <f t="shared" si="124"/>
        <v>60</v>
      </c>
      <c r="I153" s="101">
        <f t="shared" si="125"/>
        <v>120</v>
      </c>
      <c r="J153" s="98">
        <f t="shared" si="126"/>
        <v>60</v>
      </c>
      <c r="K153" s="101">
        <f t="shared" si="127"/>
        <v>120</v>
      </c>
      <c r="L153" s="98">
        <f t="shared" si="128"/>
        <v>60</v>
      </c>
      <c r="M153" s="101">
        <f t="shared" si="129"/>
        <v>120</v>
      </c>
      <c r="N153" s="98">
        <f t="shared" si="130"/>
        <v>60</v>
      </c>
      <c r="O153" s="101">
        <f t="shared" si="131"/>
        <v>120</v>
      </c>
      <c r="P153" s="22" t="str">
        <f t="shared" si="132"/>
        <v>忽视防御%5|HPMP%5</v>
      </c>
      <c r="Q153" s="100" t="str">
        <f t="shared" si="121"/>
        <v>龙晶碎片383/元宝383000</v>
      </c>
    </row>
    <row r="154" spans="1:17" ht="15.75" x14ac:dyDescent="0.3">
      <c r="A154" s="22" t="s">
        <v>2380</v>
      </c>
      <c r="B154" s="69" t="s">
        <v>2430</v>
      </c>
      <c r="C154" s="22">
        <v>49</v>
      </c>
      <c r="D154" s="22"/>
      <c r="E154" s="22"/>
      <c r="F154" s="98">
        <f t="shared" si="122"/>
        <v>61</v>
      </c>
      <c r="G154" s="101">
        <f t="shared" si="123"/>
        <v>122</v>
      </c>
      <c r="H154" s="98">
        <f t="shared" si="124"/>
        <v>61</v>
      </c>
      <c r="I154" s="101">
        <f t="shared" si="125"/>
        <v>122</v>
      </c>
      <c r="J154" s="98">
        <f t="shared" si="126"/>
        <v>61</v>
      </c>
      <c r="K154" s="101">
        <f t="shared" si="127"/>
        <v>122</v>
      </c>
      <c r="L154" s="98">
        <f t="shared" si="128"/>
        <v>61</v>
      </c>
      <c r="M154" s="101">
        <f t="shared" si="129"/>
        <v>122</v>
      </c>
      <c r="N154" s="98">
        <f t="shared" si="130"/>
        <v>61</v>
      </c>
      <c r="O154" s="101">
        <f t="shared" si="131"/>
        <v>122</v>
      </c>
      <c r="P154" s="22" t="str">
        <f t="shared" si="132"/>
        <v>忽视防御%5|HPMP%5</v>
      </c>
      <c r="Q154" s="100" t="str">
        <f t="shared" si="121"/>
        <v>龙晶碎片383/元宝383000</v>
      </c>
    </row>
    <row r="155" spans="1:17" ht="15.75" x14ac:dyDescent="0.3">
      <c r="A155" s="22" t="s">
        <v>2380</v>
      </c>
      <c r="B155" s="69" t="s">
        <v>2431</v>
      </c>
      <c r="C155" s="22">
        <v>50</v>
      </c>
      <c r="D155" s="22"/>
      <c r="E155" s="22"/>
      <c r="F155" s="98">
        <f t="shared" si="122"/>
        <v>63</v>
      </c>
      <c r="G155" s="101">
        <f t="shared" si="123"/>
        <v>125</v>
      </c>
      <c r="H155" s="98">
        <f t="shared" si="124"/>
        <v>63</v>
      </c>
      <c r="I155" s="101">
        <f t="shared" si="125"/>
        <v>125</v>
      </c>
      <c r="J155" s="98">
        <f t="shared" si="126"/>
        <v>63</v>
      </c>
      <c r="K155" s="101">
        <f t="shared" si="127"/>
        <v>125</v>
      </c>
      <c r="L155" s="98">
        <f t="shared" si="128"/>
        <v>63</v>
      </c>
      <c r="M155" s="101">
        <f t="shared" si="129"/>
        <v>125</v>
      </c>
      <c r="N155" s="98">
        <f t="shared" si="130"/>
        <v>63</v>
      </c>
      <c r="O155" s="101">
        <f t="shared" si="131"/>
        <v>125</v>
      </c>
      <c r="P155" s="22" t="str">
        <f t="shared" si="132"/>
        <v>忽视防御%5|HPMP%5</v>
      </c>
      <c r="Q155" s="100" t="str">
        <f t="shared" si="121"/>
        <v>龙晶碎片1244/元宝1244000</v>
      </c>
    </row>
    <row r="156" spans="1:17" ht="15.75" x14ac:dyDescent="0.3">
      <c r="A156" s="22" t="s">
        <v>2380</v>
      </c>
      <c r="B156" s="69" t="s">
        <v>2432</v>
      </c>
      <c r="C156" s="22">
        <v>51</v>
      </c>
      <c r="D156" s="22"/>
      <c r="E156" s="22"/>
      <c r="F156" s="98">
        <f t="shared" si="122"/>
        <v>64</v>
      </c>
      <c r="G156" s="101">
        <f t="shared" si="123"/>
        <v>127</v>
      </c>
      <c r="H156" s="98">
        <f t="shared" si="124"/>
        <v>64</v>
      </c>
      <c r="I156" s="101">
        <f t="shared" si="125"/>
        <v>127</v>
      </c>
      <c r="J156" s="98">
        <f t="shared" si="126"/>
        <v>64</v>
      </c>
      <c r="K156" s="101">
        <f t="shared" si="127"/>
        <v>127</v>
      </c>
      <c r="L156" s="98">
        <f t="shared" si="128"/>
        <v>64</v>
      </c>
      <c r="M156" s="101">
        <f t="shared" si="129"/>
        <v>127</v>
      </c>
      <c r="N156" s="98">
        <f t="shared" si="130"/>
        <v>64</v>
      </c>
      <c r="O156" s="101">
        <f t="shared" si="131"/>
        <v>127</v>
      </c>
      <c r="P156" s="22" t="str">
        <f t="shared" si="132"/>
        <v>忽视防御%6|HPMP%6</v>
      </c>
      <c r="Q156" s="100" t="str">
        <f t="shared" si="121"/>
        <v>龙晶碎片1244/元宝1244000</v>
      </c>
    </row>
    <row r="157" spans="1:17" ht="15.75" x14ac:dyDescent="0.3">
      <c r="A157" s="22" t="s">
        <v>2380</v>
      </c>
      <c r="B157" s="69" t="s">
        <v>2433</v>
      </c>
      <c r="C157" s="22">
        <v>52</v>
      </c>
      <c r="D157" s="22"/>
      <c r="E157" s="22"/>
      <c r="F157" s="98">
        <f t="shared" si="122"/>
        <v>65</v>
      </c>
      <c r="G157" s="101">
        <f t="shared" si="123"/>
        <v>130</v>
      </c>
      <c r="H157" s="98">
        <f t="shared" si="124"/>
        <v>65</v>
      </c>
      <c r="I157" s="101">
        <f t="shared" si="125"/>
        <v>130</v>
      </c>
      <c r="J157" s="98">
        <f t="shared" si="126"/>
        <v>65</v>
      </c>
      <c r="K157" s="101">
        <f t="shared" si="127"/>
        <v>130</v>
      </c>
      <c r="L157" s="98">
        <f t="shared" si="128"/>
        <v>65</v>
      </c>
      <c r="M157" s="101">
        <f t="shared" si="129"/>
        <v>130</v>
      </c>
      <c r="N157" s="98">
        <f t="shared" si="130"/>
        <v>65</v>
      </c>
      <c r="O157" s="101">
        <f t="shared" si="131"/>
        <v>130</v>
      </c>
      <c r="P157" s="22" t="str">
        <f t="shared" si="132"/>
        <v>忽视防御%6|HPMP%6</v>
      </c>
      <c r="Q157" s="100" t="str">
        <f t="shared" si="121"/>
        <v>龙晶碎片1244/元宝1244000</v>
      </c>
    </row>
    <row r="158" spans="1:17" ht="15.75" x14ac:dyDescent="0.3">
      <c r="A158" s="22" t="s">
        <v>2380</v>
      </c>
      <c r="B158" s="69" t="s">
        <v>2434</v>
      </c>
      <c r="C158" s="22">
        <v>53</v>
      </c>
      <c r="D158" s="22"/>
      <c r="E158" s="22"/>
      <c r="F158" s="98">
        <f t="shared" si="122"/>
        <v>66</v>
      </c>
      <c r="G158" s="101">
        <f t="shared" si="123"/>
        <v>132</v>
      </c>
      <c r="H158" s="98">
        <f t="shared" si="124"/>
        <v>66</v>
      </c>
      <c r="I158" s="101">
        <f t="shared" si="125"/>
        <v>132</v>
      </c>
      <c r="J158" s="98">
        <f t="shared" si="126"/>
        <v>66</v>
      </c>
      <c r="K158" s="101">
        <f t="shared" si="127"/>
        <v>132</v>
      </c>
      <c r="L158" s="98">
        <f t="shared" si="128"/>
        <v>66</v>
      </c>
      <c r="M158" s="101">
        <f t="shared" si="129"/>
        <v>132</v>
      </c>
      <c r="N158" s="98">
        <f t="shared" si="130"/>
        <v>66</v>
      </c>
      <c r="O158" s="101">
        <f t="shared" si="131"/>
        <v>132</v>
      </c>
      <c r="P158" s="22" t="str">
        <f t="shared" si="132"/>
        <v>忽视防御%6|HPMP%6</v>
      </c>
      <c r="Q158" s="100" t="str">
        <f t="shared" si="121"/>
        <v>龙晶碎片1244/元宝1244000</v>
      </c>
    </row>
    <row r="159" spans="1:17" ht="15.75" x14ac:dyDescent="0.3">
      <c r="A159" s="22" t="s">
        <v>2380</v>
      </c>
      <c r="B159" s="69" t="s">
        <v>2435</v>
      </c>
      <c r="C159" s="22">
        <v>54</v>
      </c>
      <c r="D159" s="22"/>
      <c r="E159" s="22"/>
      <c r="F159" s="98">
        <f t="shared" si="122"/>
        <v>68</v>
      </c>
      <c r="G159" s="101">
        <f t="shared" si="123"/>
        <v>135</v>
      </c>
      <c r="H159" s="98">
        <f t="shared" si="124"/>
        <v>68</v>
      </c>
      <c r="I159" s="101">
        <f t="shared" si="125"/>
        <v>135</v>
      </c>
      <c r="J159" s="98">
        <f t="shared" si="126"/>
        <v>68</v>
      </c>
      <c r="K159" s="101">
        <f t="shared" si="127"/>
        <v>135</v>
      </c>
      <c r="L159" s="98">
        <f t="shared" si="128"/>
        <v>68</v>
      </c>
      <c r="M159" s="101">
        <f t="shared" si="129"/>
        <v>135</v>
      </c>
      <c r="N159" s="98">
        <f t="shared" si="130"/>
        <v>68</v>
      </c>
      <c r="O159" s="101">
        <f t="shared" si="131"/>
        <v>135</v>
      </c>
      <c r="P159" s="22" t="str">
        <f t="shared" si="132"/>
        <v>忽视防御%6|HPMP%6</v>
      </c>
      <c r="Q159" s="100" t="str">
        <f t="shared" si="121"/>
        <v>龙晶碎片1244/元宝1244000</v>
      </c>
    </row>
    <row r="160" spans="1:17" ht="15.75" x14ac:dyDescent="0.3">
      <c r="A160" s="22" t="s">
        <v>2380</v>
      </c>
      <c r="B160" s="69" t="s">
        <v>2436</v>
      </c>
      <c r="C160" s="22">
        <v>55</v>
      </c>
      <c r="D160" s="22"/>
      <c r="E160" s="22"/>
      <c r="F160" s="98">
        <f t="shared" si="122"/>
        <v>69</v>
      </c>
      <c r="G160" s="101">
        <f t="shared" si="123"/>
        <v>137</v>
      </c>
      <c r="H160" s="98">
        <f t="shared" si="124"/>
        <v>69</v>
      </c>
      <c r="I160" s="101">
        <f t="shared" si="125"/>
        <v>137</v>
      </c>
      <c r="J160" s="98">
        <f t="shared" si="126"/>
        <v>69</v>
      </c>
      <c r="K160" s="101">
        <f t="shared" si="127"/>
        <v>137</v>
      </c>
      <c r="L160" s="98">
        <f t="shared" si="128"/>
        <v>69</v>
      </c>
      <c r="M160" s="101">
        <f t="shared" si="129"/>
        <v>137</v>
      </c>
      <c r="N160" s="98">
        <f t="shared" si="130"/>
        <v>69</v>
      </c>
      <c r="O160" s="101">
        <f t="shared" si="131"/>
        <v>137</v>
      </c>
      <c r="P160" s="22" t="str">
        <f t="shared" si="132"/>
        <v>忽视防御%6|HPMP%6</v>
      </c>
      <c r="Q160" s="100" t="str">
        <f t="shared" si="121"/>
        <v>龙晶碎片1244/元宝1244000</v>
      </c>
    </row>
    <row r="161" spans="1:17" ht="15.75" x14ac:dyDescent="0.3">
      <c r="A161" s="22" t="s">
        <v>2380</v>
      </c>
      <c r="B161" s="69" t="s">
        <v>2437</v>
      </c>
      <c r="C161" s="22">
        <v>56</v>
      </c>
      <c r="D161" s="22"/>
      <c r="E161" s="22"/>
      <c r="F161" s="98">
        <f t="shared" si="122"/>
        <v>70</v>
      </c>
      <c r="G161" s="101">
        <f t="shared" si="123"/>
        <v>140</v>
      </c>
      <c r="H161" s="98">
        <f t="shared" si="124"/>
        <v>70</v>
      </c>
      <c r="I161" s="101">
        <f t="shared" si="125"/>
        <v>140</v>
      </c>
      <c r="J161" s="98">
        <f t="shared" si="126"/>
        <v>70</v>
      </c>
      <c r="K161" s="101">
        <f t="shared" si="127"/>
        <v>140</v>
      </c>
      <c r="L161" s="98">
        <f t="shared" si="128"/>
        <v>70</v>
      </c>
      <c r="M161" s="101">
        <f t="shared" si="129"/>
        <v>140</v>
      </c>
      <c r="N161" s="98">
        <f t="shared" si="130"/>
        <v>70</v>
      </c>
      <c r="O161" s="101">
        <f t="shared" si="131"/>
        <v>140</v>
      </c>
      <c r="P161" s="22" t="str">
        <f t="shared" si="132"/>
        <v>忽视防御%6|HPMP%6</v>
      </c>
      <c r="Q161" s="100" t="str">
        <f t="shared" si="121"/>
        <v>龙晶碎片1244/元宝1244000</v>
      </c>
    </row>
    <row r="162" spans="1:17" ht="15.75" x14ac:dyDescent="0.3">
      <c r="A162" s="22" t="s">
        <v>2380</v>
      </c>
      <c r="B162" s="69" t="s">
        <v>2438</v>
      </c>
      <c r="C162" s="22">
        <v>57</v>
      </c>
      <c r="D162" s="22"/>
      <c r="E162" s="22"/>
      <c r="F162" s="98">
        <f t="shared" si="122"/>
        <v>71</v>
      </c>
      <c r="G162" s="101">
        <f t="shared" si="123"/>
        <v>142</v>
      </c>
      <c r="H162" s="98">
        <f t="shared" si="124"/>
        <v>71</v>
      </c>
      <c r="I162" s="101">
        <f t="shared" si="125"/>
        <v>142</v>
      </c>
      <c r="J162" s="98">
        <f t="shared" si="126"/>
        <v>71</v>
      </c>
      <c r="K162" s="101">
        <f t="shared" si="127"/>
        <v>142</v>
      </c>
      <c r="L162" s="98">
        <f t="shared" si="128"/>
        <v>71</v>
      </c>
      <c r="M162" s="101">
        <f t="shared" si="129"/>
        <v>142</v>
      </c>
      <c r="N162" s="98">
        <f t="shared" si="130"/>
        <v>71</v>
      </c>
      <c r="O162" s="101">
        <f t="shared" si="131"/>
        <v>142</v>
      </c>
      <c r="P162" s="22" t="str">
        <f t="shared" si="132"/>
        <v>忽视防御%6|HPMP%6</v>
      </c>
      <c r="Q162" s="100" t="str">
        <f t="shared" si="121"/>
        <v>龙晶碎片1244/元宝1244000</v>
      </c>
    </row>
    <row r="163" spans="1:17" ht="15.75" x14ac:dyDescent="0.3">
      <c r="A163" s="22" t="s">
        <v>2380</v>
      </c>
      <c r="B163" s="69" t="s">
        <v>2439</v>
      </c>
      <c r="C163" s="22">
        <v>58</v>
      </c>
      <c r="D163" s="22"/>
      <c r="E163" s="22"/>
      <c r="F163" s="98">
        <f t="shared" si="122"/>
        <v>73</v>
      </c>
      <c r="G163" s="101">
        <f t="shared" si="123"/>
        <v>145</v>
      </c>
      <c r="H163" s="98">
        <f t="shared" si="124"/>
        <v>73</v>
      </c>
      <c r="I163" s="101">
        <f t="shared" si="125"/>
        <v>145</v>
      </c>
      <c r="J163" s="98">
        <f t="shared" si="126"/>
        <v>73</v>
      </c>
      <c r="K163" s="101">
        <f t="shared" si="127"/>
        <v>145</v>
      </c>
      <c r="L163" s="98">
        <f t="shared" si="128"/>
        <v>73</v>
      </c>
      <c r="M163" s="101">
        <f t="shared" si="129"/>
        <v>145</v>
      </c>
      <c r="N163" s="98">
        <f t="shared" si="130"/>
        <v>73</v>
      </c>
      <c r="O163" s="101">
        <f t="shared" si="131"/>
        <v>145</v>
      </c>
      <c r="P163" s="22" t="str">
        <f t="shared" si="132"/>
        <v>忽视防御%6|HPMP%6</v>
      </c>
      <c r="Q163" s="100" t="str">
        <f t="shared" si="121"/>
        <v>龙晶碎片1244/元宝1244000</v>
      </c>
    </row>
    <row r="164" spans="1:17" ht="15.75" x14ac:dyDescent="0.3">
      <c r="A164" s="22" t="s">
        <v>2380</v>
      </c>
      <c r="B164" s="69" t="s">
        <v>2440</v>
      </c>
      <c r="C164" s="22">
        <v>59</v>
      </c>
      <c r="D164" s="22"/>
      <c r="E164" s="22"/>
      <c r="F164" s="98">
        <f t="shared" si="122"/>
        <v>74</v>
      </c>
      <c r="G164" s="101">
        <f t="shared" si="123"/>
        <v>147</v>
      </c>
      <c r="H164" s="98">
        <f t="shared" si="124"/>
        <v>74</v>
      </c>
      <c r="I164" s="101">
        <f t="shared" si="125"/>
        <v>147</v>
      </c>
      <c r="J164" s="98">
        <f t="shared" si="126"/>
        <v>74</v>
      </c>
      <c r="K164" s="101">
        <f t="shared" si="127"/>
        <v>147</v>
      </c>
      <c r="L164" s="98">
        <f t="shared" si="128"/>
        <v>74</v>
      </c>
      <c r="M164" s="101">
        <f t="shared" si="129"/>
        <v>147</v>
      </c>
      <c r="N164" s="98">
        <f t="shared" si="130"/>
        <v>74</v>
      </c>
      <c r="O164" s="101">
        <f t="shared" si="131"/>
        <v>147</v>
      </c>
      <c r="P164" s="22" t="str">
        <f t="shared" si="132"/>
        <v>忽视防御%6|HPMP%6</v>
      </c>
      <c r="Q164" s="100" t="str">
        <f t="shared" si="121"/>
        <v>龙晶碎片1244/元宝1244000</v>
      </c>
    </row>
    <row r="165" spans="1:17" ht="15.75" x14ac:dyDescent="0.3">
      <c r="A165" s="22" t="s">
        <v>2380</v>
      </c>
      <c r="B165" s="69" t="s">
        <v>2441</v>
      </c>
      <c r="C165" s="22">
        <v>60</v>
      </c>
      <c r="D165" s="22"/>
      <c r="E165" s="22"/>
      <c r="F165" s="98">
        <f t="shared" si="122"/>
        <v>75</v>
      </c>
      <c r="G165" s="101">
        <f t="shared" si="123"/>
        <v>150</v>
      </c>
      <c r="H165" s="98">
        <f t="shared" si="124"/>
        <v>75</v>
      </c>
      <c r="I165" s="101">
        <f t="shared" si="125"/>
        <v>150</v>
      </c>
      <c r="J165" s="98">
        <f t="shared" si="126"/>
        <v>75</v>
      </c>
      <c r="K165" s="101">
        <f t="shared" si="127"/>
        <v>150</v>
      </c>
      <c r="L165" s="98">
        <f t="shared" si="128"/>
        <v>75</v>
      </c>
      <c r="M165" s="101">
        <f t="shared" si="129"/>
        <v>150</v>
      </c>
      <c r="N165" s="98">
        <f t="shared" si="130"/>
        <v>75</v>
      </c>
      <c r="O165" s="101">
        <f t="shared" si="131"/>
        <v>150</v>
      </c>
      <c r="P165" s="22" t="str">
        <f t="shared" si="132"/>
        <v>忽视防御%6|HPMP%6</v>
      </c>
      <c r="Q165" s="100" t="str">
        <f t="shared" si="121"/>
        <v>龙晶碎片3130/元宝3130000</v>
      </c>
    </row>
    <row r="166" spans="1:17" ht="15.75" x14ac:dyDescent="0.3">
      <c r="A166" s="22" t="s">
        <v>2380</v>
      </c>
      <c r="B166" s="69" t="s">
        <v>2442</v>
      </c>
      <c r="C166" s="22">
        <v>61</v>
      </c>
      <c r="D166" s="22"/>
      <c r="E166" s="22"/>
      <c r="F166" s="98">
        <f t="shared" si="122"/>
        <v>76</v>
      </c>
      <c r="G166" s="101">
        <f t="shared" si="123"/>
        <v>152</v>
      </c>
      <c r="H166" s="98">
        <f t="shared" si="124"/>
        <v>76</v>
      </c>
      <c r="I166" s="101">
        <f t="shared" si="125"/>
        <v>152</v>
      </c>
      <c r="J166" s="98">
        <f t="shared" si="126"/>
        <v>76</v>
      </c>
      <c r="K166" s="101">
        <f t="shared" si="127"/>
        <v>152</v>
      </c>
      <c r="L166" s="98">
        <f t="shared" si="128"/>
        <v>76</v>
      </c>
      <c r="M166" s="101">
        <f t="shared" si="129"/>
        <v>152</v>
      </c>
      <c r="N166" s="98">
        <f t="shared" si="130"/>
        <v>76</v>
      </c>
      <c r="O166" s="101">
        <f t="shared" si="131"/>
        <v>152</v>
      </c>
      <c r="P166" s="22" t="str">
        <f t="shared" si="132"/>
        <v>忽视防御%7|HPMP%7</v>
      </c>
      <c r="Q166" s="100" t="str">
        <f t="shared" si="121"/>
        <v>龙晶碎片3130/元宝3130000</v>
      </c>
    </row>
    <row r="167" spans="1:17" ht="15.75" x14ac:dyDescent="0.3">
      <c r="A167" s="22" t="s">
        <v>2380</v>
      </c>
      <c r="B167" s="69" t="s">
        <v>2443</v>
      </c>
      <c r="C167" s="22">
        <v>62</v>
      </c>
      <c r="D167" s="22"/>
      <c r="E167" s="22"/>
      <c r="F167" s="98">
        <f t="shared" si="122"/>
        <v>78</v>
      </c>
      <c r="G167" s="101">
        <f t="shared" si="123"/>
        <v>155</v>
      </c>
      <c r="H167" s="98">
        <f t="shared" si="124"/>
        <v>78</v>
      </c>
      <c r="I167" s="101">
        <f t="shared" si="125"/>
        <v>155</v>
      </c>
      <c r="J167" s="98">
        <f t="shared" si="126"/>
        <v>78</v>
      </c>
      <c r="K167" s="101">
        <f t="shared" si="127"/>
        <v>155</v>
      </c>
      <c r="L167" s="98">
        <f t="shared" si="128"/>
        <v>78</v>
      </c>
      <c r="M167" s="101">
        <f t="shared" si="129"/>
        <v>155</v>
      </c>
      <c r="N167" s="98">
        <f t="shared" si="130"/>
        <v>78</v>
      </c>
      <c r="O167" s="101">
        <f t="shared" si="131"/>
        <v>155</v>
      </c>
      <c r="P167" s="22" t="str">
        <f t="shared" si="132"/>
        <v>忽视防御%7|HPMP%7</v>
      </c>
      <c r="Q167" s="100" t="str">
        <f t="shared" si="121"/>
        <v>龙晶碎片3130/元宝3130000</v>
      </c>
    </row>
    <row r="168" spans="1:17" ht="15.75" x14ac:dyDescent="0.3">
      <c r="A168" s="22" t="s">
        <v>2380</v>
      </c>
      <c r="B168" s="69" t="s">
        <v>2444</v>
      </c>
      <c r="C168" s="22">
        <v>63</v>
      </c>
      <c r="D168" s="22"/>
      <c r="E168" s="22"/>
      <c r="F168" s="98">
        <f t="shared" si="122"/>
        <v>79</v>
      </c>
      <c r="G168" s="101">
        <f t="shared" si="123"/>
        <v>157</v>
      </c>
      <c r="H168" s="98">
        <f t="shared" si="124"/>
        <v>79</v>
      </c>
      <c r="I168" s="101">
        <f t="shared" si="125"/>
        <v>157</v>
      </c>
      <c r="J168" s="98">
        <f t="shared" si="126"/>
        <v>79</v>
      </c>
      <c r="K168" s="101">
        <f t="shared" si="127"/>
        <v>157</v>
      </c>
      <c r="L168" s="98">
        <f t="shared" si="128"/>
        <v>79</v>
      </c>
      <c r="M168" s="101">
        <f t="shared" si="129"/>
        <v>157</v>
      </c>
      <c r="N168" s="98">
        <f t="shared" si="130"/>
        <v>79</v>
      </c>
      <c r="O168" s="101">
        <f t="shared" si="131"/>
        <v>157</v>
      </c>
      <c r="P168" s="22" t="str">
        <f t="shared" si="132"/>
        <v>忽视防御%7|HPMP%7</v>
      </c>
      <c r="Q168" s="100" t="str">
        <f t="shared" si="121"/>
        <v>龙晶碎片3130/元宝3130000</v>
      </c>
    </row>
    <row r="169" spans="1:17" ht="15.75" x14ac:dyDescent="0.3">
      <c r="A169" s="22" t="s">
        <v>2380</v>
      </c>
      <c r="B169" s="69" t="s">
        <v>2445</v>
      </c>
      <c r="C169" s="22">
        <v>64</v>
      </c>
      <c r="D169" s="22"/>
      <c r="E169" s="22"/>
      <c r="F169" s="98">
        <f t="shared" si="122"/>
        <v>80</v>
      </c>
      <c r="G169" s="101">
        <f t="shared" si="123"/>
        <v>160</v>
      </c>
      <c r="H169" s="98">
        <f t="shared" si="124"/>
        <v>80</v>
      </c>
      <c r="I169" s="101">
        <f t="shared" si="125"/>
        <v>160</v>
      </c>
      <c r="J169" s="98">
        <f t="shared" si="126"/>
        <v>80</v>
      </c>
      <c r="K169" s="101">
        <f t="shared" si="127"/>
        <v>160</v>
      </c>
      <c r="L169" s="98">
        <f t="shared" si="128"/>
        <v>80</v>
      </c>
      <c r="M169" s="101">
        <f t="shared" si="129"/>
        <v>160</v>
      </c>
      <c r="N169" s="98">
        <f t="shared" si="130"/>
        <v>80</v>
      </c>
      <c r="O169" s="101">
        <f t="shared" si="131"/>
        <v>160</v>
      </c>
      <c r="P169" s="22" t="str">
        <f t="shared" si="132"/>
        <v>忽视防御%7|HPMP%7</v>
      </c>
      <c r="Q169" s="100" t="str">
        <f t="shared" si="121"/>
        <v>龙晶碎片3130/元宝3130000</v>
      </c>
    </row>
    <row r="170" spans="1:17" ht="15.75" x14ac:dyDescent="0.3">
      <c r="A170" s="22" t="s">
        <v>2380</v>
      </c>
      <c r="B170" s="69" t="s">
        <v>2446</v>
      </c>
      <c r="C170" s="22">
        <v>65</v>
      </c>
      <c r="D170" s="22"/>
      <c r="E170" s="22"/>
      <c r="F170" s="98">
        <f t="shared" si="122"/>
        <v>81</v>
      </c>
      <c r="G170" s="101">
        <f t="shared" si="123"/>
        <v>162</v>
      </c>
      <c r="H170" s="98">
        <f t="shared" si="124"/>
        <v>81</v>
      </c>
      <c r="I170" s="101">
        <f t="shared" si="125"/>
        <v>162</v>
      </c>
      <c r="J170" s="98">
        <f t="shared" si="126"/>
        <v>81</v>
      </c>
      <c r="K170" s="101">
        <f t="shared" si="127"/>
        <v>162</v>
      </c>
      <c r="L170" s="98">
        <f t="shared" si="128"/>
        <v>81</v>
      </c>
      <c r="M170" s="101">
        <f t="shared" si="129"/>
        <v>162</v>
      </c>
      <c r="N170" s="98">
        <f t="shared" si="130"/>
        <v>81</v>
      </c>
      <c r="O170" s="101">
        <f t="shared" si="131"/>
        <v>162</v>
      </c>
      <c r="P170" s="22" t="str">
        <f t="shared" si="132"/>
        <v>忽视防御%7|HPMP%7</v>
      </c>
      <c r="Q170" s="100" t="str">
        <f t="shared" ref="Q170:Q204" si="133">"龙晶碎片"&amp;AB69&amp;"/元宝"&amp;AC69</f>
        <v>龙晶碎片3130/元宝3130000</v>
      </c>
    </row>
    <row r="171" spans="1:17" ht="15.75" x14ac:dyDescent="0.3">
      <c r="A171" s="22" t="s">
        <v>2380</v>
      </c>
      <c r="B171" s="69" t="s">
        <v>2447</v>
      </c>
      <c r="C171" s="22">
        <v>66</v>
      </c>
      <c r="D171" s="22"/>
      <c r="E171" s="22"/>
      <c r="F171" s="98">
        <f t="shared" ref="F171:F174" si="134">ROUND(0.5*AF69,0)</f>
        <v>83</v>
      </c>
      <c r="G171" s="101">
        <f t="shared" ref="G171:G174" si="135">ROUND(AF69,0)</f>
        <v>165</v>
      </c>
      <c r="H171" s="98">
        <f t="shared" ref="H171:H174" si="136">ROUND(0.5*AF69,0)</f>
        <v>83</v>
      </c>
      <c r="I171" s="101">
        <f t="shared" ref="I171:I174" si="137">ROUND(AF69,0)</f>
        <v>165</v>
      </c>
      <c r="J171" s="98">
        <f t="shared" ref="J171:J174" si="138">ROUND(0.5*AF69,0)</f>
        <v>83</v>
      </c>
      <c r="K171" s="101">
        <f t="shared" ref="K171:K174" si="139">ROUND(AF69,0)</f>
        <v>165</v>
      </c>
      <c r="L171" s="98">
        <f t="shared" ref="L171:L174" si="140">ROUND(0.5*AG69,0)</f>
        <v>83</v>
      </c>
      <c r="M171" s="101">
        <f t="shared" ref="M171:M174" si="141">ROUND(AG69,0)</f>
        <v>165</v>
      </c>
      <c r="N171" s="98">
        <f t="shared" ref="N171:N174" si="142">ROUND(0.5*AG69,0)</f>
        <v>83</v>
      </c>
      <c r="O171" s="101">
        <f t="shared" ref="O171:O174" si="143">ROUND(AG69,0)</f>
        <v>165</v>
      </c>
      <c r="P171" s="22" t="str">
        <f t="shared" ref="P171:P205" si="144">$AH$3&amp;AH69&amp;"|"&amp;$AI$3&amp;AI69</f>
        <v>忽视防御%7|HPMP%7</v>
      </c>
      <c r="Q171" s="100" t="str">
        <f t="shared" si="133"/>
        <v>龙晶碎片3130/元宝3130000</v>
      </c>
    </row>
    <row r="172" spans="1:17" ht="15.75" x14ac:dyDescent="0.3">
      <c r="A172" s="22" t="s">
        <v>2380</v>
      </c>
      <c r="B172" s="69" t="s">
        <v>2448</v>
      </c>
      <c r="C172" s="22">
        <v>67</v>
      </c>
      <c r="D172" s="22"/>
      <c r="E172" s="22"/>
      <c r="F172" s="98">
        <f t="shared" si="134"/>
        <v>84</v>
      </c>
      <c r="G172" s="101">
        <f t="shared" si="135"/>
        <v>167</v>
      </c>
      <c r="H172" s="98">
        <f t="shared" si="136"/>
        <v>84</v>
      </c>
      <c r="I172" s="101">
        <f t="shared" si="137"/>
        <v>167</v>
      </c>
      <c r="J172" s="98">
        <f t="shared" si="138"/>
        <v>84</v>
      </c>
      <c r="K172" s="101">
        <f t="shared" si="139"/>
        <v>167</v>
      </c>
      <c r="L172" s="98">
        <f t="shared" si="140"/>
        <v>84</v>
      </c>
      <c r="M172" s="101">
        <f t="shared" si="141"/>
        <v>167</v>
      </c>
      <c r="N172" s="98">
        <f t="shared" si="142"/>
        <v>84</v>
      </c>
      <c r="O172" s="101">
        <f t="shared" si="143"/>
        <v>167</v>
      </c>
      <c r="P172" s="22" t="str">
        <f t="shared" si="144"/>
        <v>忽视防御%7|HPMP%7</v>
      </c>
      <c r="Q172" s="100" t="str">
        <f t="shared" si="133"/>
        <v>龙晶碎片3130/元宝3130000</v>
      </c>
    </row>
    <row r="173" spans="1:17" ht="15.75" x14ac:dyDescent="0.3">
      <c r="A173" s="22" t="s">
        <v>2380</v>
      </c>
      <c r="B173" s="69" t="s">
        <v>2449</v>
      </c>
      <c r="C173" s="22">
        <v>68</v>
      </c>
      <c r="D173" s="22"/>
      <c r="E173" s="22"/>
      <c r="F173" s="98">
        <f t="shared" si="134"/>
        <v>85</v>
      </c>
      <c r="G173" s="101">
        <f t="shared" si="135"/>
        <v>170</v>
      </c>
      <c r="H173" s="98">
        <f t="shared" si="136"/>
        <v>85</v>
      </c>
      <c r="I173" s="101">
        <f t="shared" si="137"/>
        <v>170</v>
      </c>
      <c r="J173" s="98">
        <f t="shared" si="138"/>
        <v>85</v>
      </c>
      <c r="K173" s="101">
        <f t="shared" si="139"/>
        <v>170</v>
      </c>
      <c r="L173" s="98">
        <f t="shared" si="140"/>
        <v>85</v>
      </c>
      <c r="M173" s="101">
        <f t="shared" si="141"/>
        <v>170</v>
      </c>
      <c r="N173" s="98">
        <f t="shared" si="142"/>
        <v>85</v>
      </c>
      <c r="O173" s="101">
        <f t="shared" si="143"/>
        <v>170</v>
      </c>
      <c r="P173" s="22" t="str">
        <f t="shared" si="144"/>
        <v>忽视防御%7|HPMP%7</v>
      </c>
      <c r="Q173" s="100" t="str">
        <f t="shared" si="133"/>
        <v>龙晶碎片3130/元宝3130000</v>
      </c>
    </row>
    <row r="174" spans="1:17" ht="15.75" x14ac:dyDescent="0.3">
      <c r="A174" s="22" t="s">
        <v>2380</v>
      </c>
      <c r="B174" s="69" t="s">
        <v>2450</v>
      </c>
      <c r="C174" s="22">
        <v>69</v>
      </c>
      <c r="D174" s="22"/>
      <c r="E174" s="22"/>
      <c r="F174" s="98">
        <f t="shared" si="134"/>
        <v>86</v>
      </c>
      <c r="G174" s="101">
        <f t="shared" si="135"/>
        <v>172</v>
      </c>
      <c r="H174" s="98">
        <f t="shared" si="136"/>
        <v>86</v>
      </c>
      <c r="I174" s="101">
        <f t="shared" si="137"/>
        <v>172</v>
      </c>
      <c r="J174" s="98">
        <f t="shared" si="138"/>
        <v>86</v>
      </c>
      <c r="K174" s="101">
        <f t="shared" si="139"/>
        <v>172</v>
      </c>
      <c r="L174" s="98">
        <f t="shared" si="140"/>
        <v>86</v>
      </c>
      <c r="M174" s="101">
        <f t="shared" si="141"/>
        <v>172</v>
      </c>
      <c r="N174" s="98">
        <f t="shared" si="142"/>
        <v>86</v>
      </c>
      <c r="O174" s="101">
        <f t="shared" si="143"/>
        <v>172</v>
      </c>
      <c r="P174" s="22" t="str">
        <f t="shared" si="144"/>
        <v>忽视防御%7|HPMP%7</v>
      </c>
      <c r="Q174" s="100" t="str">
        <f t="shared" si="133"/>
        <v>龙晶碎片3130/元宝3130000</v>
      </c>
    </row>
    <row r="175" spans="1:17" ht="15.75" x14ac:dyDescent="0.3">
      <c r="A175" s="22" t="s">
        <v>2380</v>
      </c>
      <c r="B175" s="69" t="s">
        <v>2451</v>
      </c>
      <c r="C175" s="22">
        <v>70</v>
      </c>
      <c r="D175" s="22"/>
      <c r="E175" s="22"/>
      <c r="F175" s="98">
        <f>ROUND(0.5*AF73,0)</f>
        <v>88</v>
      </c>
      <c r="G175" s="101">
        <f>ROUND(AF73,0)</f>
        <v>175</v>
      </c>
      <c r="H175" s="98">
        <f>ROUND(0.5*AF73,0)</f>
        <v>88</v>
      </c>
      <c r="I175" s="101">
        <f>ROUND(AF73,0)</f>
        <v>175</v>
      </c>
      <c r="J175" s="98">
        <f>ROUND(0.5*AF73,0)</f>
        <v>88</v>
      </c>
      <c r="K175" s="101">
        <f>ROUND(AF73,0)</f>
        <v>175</v>
      </c>
      <c r="L175" s="98">
        <f>ROUND(0.5*AG73,0)</f>
        <v>88</v>
      </c>
      <c r="M175" s="101">
        <f>ROUND(AG73,0)</f>
        <v>175</v>
      </c>
      <c r="N175" s="98">
        <f>ROUND(0.5*AG73,0)</f>
        <v>88</v>
      </c>
      <c r="O175" s="101">
        <f>ROUND(AG73,0)</f>
        <v>175</v>
      </c>
      <c r="P175" s="22" t="str">
        <f t="shared" si="144"/>
        <v>忽视防御%7|HPMP%7</v>
      </c>
      <c r="Q175" s="100" t="str">
        <f t="shared" si="133"/>
        <v>龙晶碎片3641/元宝3641000</v>
      </c>
    </row>
    <row r="176" spans="1:17" ht="15.75" x14ac:dyDescent="0.3">
      <c r="A176" s="22" t="s">
        <v>2380</v>
      </c>
      <c r="B176" s="69" t="s">
        <v>2452</v>
      </c>
      <c r="C176" s="22">
        <v>71</v>
      </c>
      <c r="D176" s="22"/>
      <c r="E176" s="22"/>
      <c r="F176" s="98">
        <f t="shared" ref="F176:F205" si="145">ROUND(0.5*AF74,0)</f>
        <v>89</v>
      </c>
      <c r="G176" s="101">
        <f t="shared" ref="G176:G205" si="146">ROUND(AF74,0)</f>
        <v>177</v>
      </c>
      <c r="H176" s="98">
        <f t="shared" ref="H176:H205" si="147">ROUND(0.5*AF74,0)</f>
        <v>89</v>
      </c>
      <c r="I176" s="101">
        <f t="shared" ref="I176:I205" si="148">ROUND(AF74,0)</f>
        <v>177</v>
      </c>
      <c r="J176" s="98">
        <f t="shared" ref="J176:J205" si="149">ROUND(0.5*AF74,0)</f>
        <v>89</v>
      </c>
      <c r="K176" s="101">
        <f t="shared" ref="K176:K205" si="150">ROUND(AF74,0)</f>
        <v>177</v>
      </c>
      <c r="L176" s="98">
        <f t="shared" ref="L176:L205" si="151">ROUND(0.5*AG74,0)</f>
        <v>89</v>
      </c>
      <c r="M176" s="101">
        <f t="shared" ref="M176:M205" si="152">ROUND(AG74,0)</f>
        <v>177</v>
      </c>
      <c r="N176" s="98">
        <f t="shared" ref="N176:N205" si="153">ROUND(0.5*AG74,0)</f>
        <v>89</v>
      </c>
      <c r="O176" s="101">
        <f t="shared" ref="O176:O205" si="154">ROUND(AG74,0)</f>
        <v>177</v>
      </c>
      <c r="P176" s="22" t="str">
        <f t="shared" si="144"/>
        <v>忽视防御%8|HPMP%8</v>
      </c>
      <c r="Q176" s="100" t="str">
        <f t="shared" si="133"/>
        <v>龙晶碎片3641/元宝3641000</v>
      </c>
    </row>
    <row r="177" spans="1:17" ht="15.75" x14ac:dyDescent="0.3">
      <c r="A177" s="22" t="s">
        <v>2380</v>
      </c>
      <c r="B177" s="69" t="s">
        <v>2453</v>
      </c>
      <c r="C177" s="22">
        <v>72</v>
      </c>
      <c r="D177" s="22"/>
      <c r="E177" s="22"/>
      <c r="F177" s="98">
        <f t="shared" si="145"/>
        <v>90</v>
      </c>
      <c r="G177" s="101">
        <f t="shared" si="146"/>
        <v>180</v>
      </c>
      <c r="H177" s="98">
        <f t="shared" si="147"/>
        <v>90</v>
      </c>
      <c r="I177" s="101">
        <f t="shared" si="148"/>
        <v>180</v>
      </c>
      <c r="J177" s="98">
        <f t="shared" si="149"/>
        <v>90</v>
      </c>
      <c r="K177" s="101">
        <f t="shared" si="150"/>
        <v>180</v>
      </c>
      <c r="L177" s="98">
        <f t="shared" si="151"/>
        <v>90</v>
      </c>
      <c r="M177" s="101">
        <f t="shared" si="152"/>
        <v>180</v>
      </c>
      <c r="N177" s="98">
        <f t="shared" si="153"/>
        <v>90</v>
      </c>
      <c r="O177" s="101">
        <f t="shared" si="154"/>
        <v>180</v>
      </c>
      <c r="P177" s="22" t="str">
        <f t="shared" si="144"/>
        <v>忽视防御%8|HPMP%8</v>
      </c>
      <c r="Q177" s="100" t="str">
        <f t="shared" si="133"/>
        <v>龙晶碎片3641/元宝3641000</v>
      </c>
    </row>
    <row r="178" spans="1:17" ht="15.75" x14ac:dyDescent="0.3">
      <c r="A178" s="22" t="s">
        <v>2380</v>
      </c>
      <c r="B178" s="69" t="s">
        <v>2454</v>
      </c>
      <c r="C178" s="22">
        <v>73</v>
      </c>
      <c r="D178" s="22"/>
      <c r="E178" s="22"/>
      <c r="F178" s="98">
        <f t="shared" si="145"/>
        <v>91</v>
      </c>
      <c r="G178" s="101">
        <f t="shared" si="146"/>
        <v>182</v>
      </c>
      <c r="H178" s="98">
        <f t="shared" si="147"/>
        <v>91</v>
      </c>
      <c r="I178" s="101">
        <f t="shared" si="148"/>
        <v>182</v>
      </c>
      <c r="J178" s="98">
        <f t="shared" si="149"/>
        <v>91</v>
      </c>
      <c r="K178" s="101">
        <f t="shared" si="150"/>
        <v>182</v>
      </c>
      <c r="L178" s="98">
        <f t="shared" si="151"/>
        <v>91</v>
      </c>
      <c r="M178" s="101">
        <f t="shared" si="152"/>
        <v>182</v>
      </c>
      <c r="N178" s="98">
        <f t="shared" si="153"/>
        <v>91</v>
      </c>
      <c r="O178" s="101">
        <f t="shared" si="154"/>
        <v>182</v>
      </c>
      <c r="P178" s="22" t="str">
        <f t="shared" si="144"/>
        <v>忽视防御%8|HPMP%8</v>
      </c>
      <c r="Q178" s="100" t="str">
        <f t="shared" si="133"/>
        <v>龙晶碎片3641/元宝3641000</v>
      </c>
    </row>
    <row r="179" spans="1:17" ht="15.75" x14ac:dyDescent="0.3">
      <c r="A179" s="22" t="s">
        <v>2380</v>
      </c>
      <c r="B179" s="69" t="s">
        <v>2455</v>
      </c>
      <c r="C179" s="22">
        <v>74</v>
      </c>
      <c r="D179" s="22"/>
      <c r="E179" s="22"/>
      <c r="F179" s="98">
        <f t="shared" si="145"/>
        <v>93</v>
      </c>
      <c r="G179" s="101">
        <f t="shared" si="146"/>
        <v>185</v>
      </c>
      <c r="H179" s="98">
        <f t="shared" si="147"/>
        <v>93</v>
      </c>
      <c r="I179" s="101">
        <f t="shared" si="148"/>
        <v>185</v>
      </c>
      <c r="J179" s="98">
        <f t="shared" si="149"/>
        <v>93</v>
      </c>
      <c r="K179" s="101">
        <f t="shared" si="150"/>
        <v>185</v>
      </c>
      <c r="L179" s="98">
        <f t="shared" si="151"/>
        <v>93</v>
      </c>
      <c r="M179" s="101">
        <f t="shared" si="152"/>
        <v>185</v>
      </c>
      <c r="N179" s="98">
        <f t="shared" si="153"/>
        <v>93</v>
      </c>
      <c r="O179" s="101">
        <f t="shared" si="154"/>
        <v>185</v>
      </c>
      <c r="P179" s="22" t="str">
        <f t="shared" si="144"/>
        <v>忽视防御%8|HPMP%8</v>
      </c>
      <c r="Q179" s="100" t="str">
        <f t="shared" si="133"/>
        <v>龙晶碎片3641/元宝3641000</v>
      </c>
    </row>
    <row r="180" spans="1:17" ht="15.75" x14ac:dyDescent="0.3">
      <c r="A180" s="22" t="s">
        <v>2380</v>
      </c>
      <c r="B180" s="69" t="s">
        <v>2456</v>
      </c>
      <c r="C180" s="22">
        <v>75</v>
      </c>
      <c r="D180" s="22"/>
      <c r="E180" s="22"/>
      <c r="F180" s="98">
        <f t="shared" si="145"/>
        <v>94</v>
      </c>
      <c r="G180" s="101">
        <f t="shared" si="146"/>
        <v>187</v>
      </c>
      <c r="H180" s="98">
        <f t="shared" si="147"/>
        <v>94</v>
      </c>
      <c r="I180" s="101">
        <f t="shared" si="148"/>
        <v>187</v>
      </c>
      <c r="J180" s="98">
        <f t="shared" si="149"/>
        <v>94</v>
      </c>
      <c r="K180" s="101">
        <f t="shared" si="150"/>
        <v>187</v>
      </c>
      <c r="L180" s="98">
        <f t="shared" si="151"/>
        <v>94</v>
      </c>
      <c r="M180" s="101">
        <f t="shared" si="152"/>
        <v>187</v>
      </c>
      <c r="N180" s="98">
        <f t="shared" si="153"/>
        <v>94</v>
      </c>
      <c r="O180" s="101">
        <f t="shared" si="154"/>
        <v>187</v>
      </c>
      <c r="P180" s="22" t="str">
        <f t="shared" si="144"/>
        <v>忽视防御%8|HPMP%8</v>
      </c>
      <c r="Q180" s="100" t="str">
        <f t="shared" si="133"/>
        <v>龙晶碎片3641/元宝3641000</v>
      </c>
    </row>
    <row r="181" spans="1:17" ht="15.75" x14ac:dyDescent="0.3">
      <c r="A181" s="22" t="s">
        <v>2380</v>
      </c>
      <c r="B181" s="69" t="s">
        <v>2457</v>
      </c>
      <c r="C181" s="22">
        <v>76</v>
      </c>
      <c r="D181" s="22"/>
      <c r="E181" s="22"/>
      <c r="F181" s="98">
        <f t="shared" si="145"/>
        <v>95</v>
      </c>
      <c r="G181" s="101">
        <f t="shared" si="146"/>
        <v>190</v>
      </c>
      <c r="H181" s="98">
        <f t="shared" si="147"/>
        <v>95</v>
      </c>
      <c r="I181" s="101">
        <f t="shared" si="148"/>
        <v>190</v>
      </c>
      <c r="J181" s="98">
        <f t="shared" si="149"/>
        <v>95</v>
      </c>
      <c r="K181" s="101">
        <f t="shared" si="150"/>
        <v>190</v>
      </c>
      <c r="L181" s="98">
        <f t="shared" si="151"/>
        <v>95</v>
      </c>
      <c r="M181" s="101">
        <f t="shared" si="152"/>
        <v>190</v>
      </c>
      <c r="N181" s="98">
        <f t="shared" si="153"/>
        <v>95</v>
      </c>
      <c r="O181" s="101">
        <f t="shared" si="154"/>
        <v>190</v>
      </c>
      <c r="P181" s="22" t="str">
        <f t="shared" si="144"/>
        <v>忽视防御%8|HPMP%8</v>
      </c>
      <c r="Q181" s="100" t="str">
        <f t="shared" si="133"/>
        <v>龙晶碎片3641/元宝3641000</v>
      </c>
    </row>
    <row r="182" spans="1:17" ht="15.75" x14ac:dyDescent="0.3">
      <c r="A182" s="22" t="s">
        <v>2380</v>
      </c>
      <c r="B182" s="69" t="s">
        <v>2458</v>
      </c>
      <c r="C182" s="22">
        <v>77</v>
      </c>
      <c r="D182" s="22"/>
      <c r="E182" s="22"/>
      <c r="F182" s="98">
        <f t="shared" si="145"/>
        <v>96</v>
      </c>
      <c r="G182" s="101">
        <f t="shared" si="146"/>
        <v>192</v>
      </c>
      <c r="H182" s="98">
        <f t="shared" si="147"/>
        <v>96</v>
      </c>
      <c r="I182" s="101">
        <f t="shared" si="148"/>
        <v>192</v>
      </c>
      <c r="J182" s="98">
        <f t="shared" si="149"/>
        <v>96</v>
      </c>
      <c r="K182" s="101">
        <f t="shared" si="150"/>
        <v>192</v>
      </c>
      <c r="L182" s="98">
        <f t="shared" si="151"/>
        <v>96</v>
      </c>
      <c r="M182" s="101">
        <f t="shared" si="152"/>
        <v>192</v>
      </c>
      <c r="N182" s="98">
        <f t="shared" si="153"/>
        <v>96</v>
      </c>
      <c r="O182" s="101">
        <f t="shared" si="154"/>
        <v>192</v>
      </c>
      <c r="P182" s="22" t="str">
        <f t="shared" si="144"/>
        <v>忽视防御%8|HPMP%8</v>
      </c>
      <c r="Q182" s="100" t="str">
        <f t="shared" si="133"/>
        <v>龙晶碎片3641/元宝3641000</v>
      </c>
    </row>
    <row r="183" spans="1:17" ht="15.75" x14ac:dyDescent="0.3">
      <c r="A183" s="22" t="s">
        <v>2380</v>
      </c>
      <c r="B183" s="69" t="s">
        <v>2459</v>
      </c>
      <c r="C183" s="22">
        <v>78</v>
      </c>
      <c r="D183" s="22"/>
      <c r="E183" s="22"/>
      <c r="F183" s="98">
        <f t="shared" si="145"/>
        <v>98</v>
      </c>
      <c r="G183" s="101">
        <f t="shared" si="146"/>
        <v>195</v>
      </c>
      <c r="H183" s="98">
        <f t="shared" si="147"/>
        <v>98</v>
      </c>
      <c r="I183" s="101">
        <f t="shared" si="148"/>
        <v>195</v>
      </c>
      <c r="J183" s="98">
        <f t="shared" si="149"/>
        <v>98</v>
      </c>
      <c r="K183" s="101">
        <f t="shared" si="150"/>
        <v>195</v>
      </c>
      <c r="L183" s="98">
        <f t="shared" si="151"/>
        <v>98</v>
      </c>
      <c r="M183" s="101">
        <f t="shared" si="152"/>
        <v>195</v>
      </c>
      <c r="N183" s="98">
        <f t="shared" si="153"/>
        <v>98</v>
      </c>
      <c r="O183" s="101">
        <f t="shared" si="154"/>
        <v>195</v>
      </c>
      <c r="P183" s="22" t="str">
        <f t="shared" si="144"/>
        <v>忽视防御%8|HPMP%8</v>
      </c>
      <c r="Q183" s="100" t="str">
        <f t="shared" si="133"/>
        <v>龙晶碎片3641/元宝3641000</v>
      </c>
    </row>
    <row r="184" spans="1:17" ht="15.75" x14ac:dyDescent="0.3">
      <c r="A184" s="22" t="s">
        <v>2380</v>
      </c>
      <c r="B184" s="69" t="s">
        <v>2460</v>
      </c>
      <c r="C184" s="22">
        <v>79</v>
      </c>
      <c r="D184" s="22"/>
      <c r="E184" s="22"/>
      <c r="F184" s="98">
        <f t="shared" si="145"/>
        <v>99</v>
      </c>
      <c r="G184" s="101">
        <f t="shared" si="146"/>
        <v>197</v>
      </c>
      <c r="H184" s="98">
        <f t="shared" si="147"/>
        <v>99</v>
      </c>
      <c r="I184" s="101">
        <f t="shared" si="148"/>
        <v>197</v>
      </c>
      <c r="J184" s="98">
        <f t="shared" si="149"/>
        <v>99</v>
      </c>
      <c r="K184" s="101">
        <f t="shared" si="150"/>
        <v>197</v>
      </c>
      <c r="L184" s="98">
        <f t="shared" si="151"/>
        <v>99</v>
      </c>
      <c r="M184" s="101">
        <f t="shared" si="152"/>
        <v>197</v>
      </c>
      <c r="N184" s="98">
        <f t="shared" si="153"/>
        <v>99</v>
      </c>
      <c r="O184" s="101">
        <f t="shared" si="154"/>
        <v>197</v>
      </c>
      <c r="P184" s="22" t="str">
        <f t="shared" si="144"/>
        <v>忽视防御%8|HPMP%8</v>
      </c>
      <c r="Q184" s="100" t="str">
        <f t="shared" si="133"/>
        <v>龙晶碎片3641/元宝3641000</v>
      </c>
    </row>
    <row r="185" spans="1:17" ht="15.75" x14ac:dyDescent="0.3">
      <c r="A185" s="22" t="s">
        <v>2380</v>
      </c>
      <c r="B185" s="69" t="s">
        <v>2461</v>
      </c>
      <c r="C185" s="22">
        <v>80</v>
      </c>
      <c r="D185" s="22"/>
      <c r="E185" s="22"/>
      <c r="F185" s="98">
        <f t="shared" si="145"/>
        <v>100</v>
      </c>
      <c r="G185" s="101">
        <f t="shared" si="146"/>
        <v>200</v>
      </c>
      <c r="H185" s="98">
        <f t="shared" si="147"/>
        <v>100</v>
      </c>
      <c r="I185" s="101">
        <f t="shared" si="148"/>
        <v>200</v>
      </c>
      <c r="J185" s="98">
        <f t="shared" si="149"/>
        <v>100</v>
      </c>
      <c r="K185" s="101">
        <f t="shared" si="150"/>
        <v>200</v>
      </c>
      <c r="L185" s="98">
        <f t="shared" si="151"/>
        <v>100</v>
      </c>
      <c r="M185" s="101">
        <f t="shared" si="152"/>
        <v>200</v>
      </c>
      <c r="N185" s="98">
        <f t="shared" si="153"/>
        <v>100</v>
      </c>
      <c r="O185" s="101">
        <f t="shared" si="154"/>
        <v>200</v>
      </c>
      <c r="P185" s="22" t="str">
        <f t="shared" si="144"/>
        <v>忽视防御%8|HPMP%8</v>
      </c>
      <c r="Q185" s="100" t="str">
        <f t="shared" si="133"/>
        <v>龙晶碎片5324/元宝5324000</v>
      </c>
    </row>
    <row r="186" spans="1:17" ht="15.75" x14ac:dyDescent="0.3">
      <c r="A186" s="22" t="s">
        <v>2380</v>
      </c>
      <c r="B186" s="69" t="s">
        <v>2462</v>
      </c>
      <c r="C186" s="22">
        <v>81</v>
      </c>
      <c r="D186" s="22"/>
      <c r="E186" s="22"/>
      <c r="F186" s="98">
        <f t="shared" si="145"/>
        <v>101</v>
      </c>
      <c r="G186" s="101">
        <f t="shared" si="146"/>
        <v>202</v>
      </c>
      <c r="H186" s="98">
        <f t="shared" si="147"/>
        <v>101</v>
      </c>
      <c r="I186" s="101">
        <f t="shared" si="148"/>
        <v>202</v>
      </c>
      <c r="J186" s="98">
        <f t="shared" si="149"/>
        <v>101</v>
      </c>
      <c r="K186" s="101">
        <f t="shared" si="150"/>
        <v>202</v>
      </c>
      <c r="L186" s="98">
        <f t="shared" si="151"/>
        <v>101</v>
      </c>
      <c r="M186" s="101">
        <f t="shared" si="152"/>
        <v>202</v>
      </c>
      <c r="N186" s="98">
        <f t="shared" si="153"/>
        <v>101</v>
      </c>
      <c r="O186" s="101">
        <f t="shared" si="154"/>
        <v>202</v>
      </c>
      <c r="P186" s="22" t="str">
        <f t="shared" si="144"/>
        <v>忽视防御%9|HPMP%9</v>
      </c>
      <c r="Q186" s="100" t="str">
        <f t="shared" si="133"/>
        <v>龙晶碎片5324/元宝5324000</v>
      </c>
    </row>
    <row r="187" spans="1:17" ht="15.75" x14ac:dyDescent="0.3">
      <c r="A187" s="22" t="s">
        <v>2380</v>
      </c>
      <c r="B187" s="69" t="s">
        <v>2463</v>
      </c>
      <c r="C187" s="22">
        <v>82</v>
      </c>
      <c r="D187" s="22"/>
      <c r="E187" s="22"/>
      <c r="F187" s="98">
        <f t="shared" si="145"/>
        <v>103</v>
      </c>
      <c r="G187" s="101">
        <f t="shared" si="146"/>
        <v>205</v>
      </c>
      <c r="H187" s="98">
        <f t="shared" si="147"/>
        <v>103</v>
      </c>
      <c r="I187" s="101">
        <f t="shared" si="148"/>
        <v>205</v>
      </c>
      <c r="J187" s="98">
        <f t="shared" si="149"/>
        <v>103</v>
      </c>
      <c r="K187" s="101">
        <f t="shared" si="150"/>
        <v>205</v>
      </c>
      <c r="L187" s="98">
        <f t="shared" si="151"/>
        <v>103</v>
      </c>
      <c r="M187" s="101">
        <f t="shared" si="152"/>
        <v>205</v>
      </c>
      <c r="N187" s="98">
        <f t="shared" si="153"/>
        <v>103</v>
      </c>
      <c r="O187" s="101">
        <f t="shared" si="154"/>
        <v>205</v>
      </c>
      <c r="P187" s="22" t="str">
        <f t="shared" si="144"/>
        <v>忽视防御%9|HPMP%9</v>
      </c>
      <c r="Q187" s="100" t="str">
        <f t="shared" si="133"/>
        <v>龙晶碎片5324/元宝5324000</v>
      </c>
    </row>
    <row r="188" spans="1:17" ht="15.75" x14ac:dyDescent="0.3">
      <c r="A188" s="22" t="s">
        <v>2380</v>
      </c>
      <c r="B188" s="69" t="s">
        <v>2464</v>
      </c>
      <c r="C188" s="22">
        <v>83</v>
      </c>
      <c r="D188" s="22"/>
      <c r="E188" s="22"/>
      <c r="F188" s="98">
        <f t="shared" si="145"/>
        <v>104</v>
      </c>
      <c r="G188" s="101">
        <f t="shared" si="146"/>
        <v>207</v>
      </c>
      <c r="H188" s="98">
        <f t="shared" si="147"/>
        <v>104</v>
      </c>
      <c r="I188" s="101">
        <f t="shared" si="148"/>
        <v>207</v>
      </c>
      <c r="J188" s="98">
        <f t="shared" si="149"/>
        <v>104</v>
      </c>
      <c r="K188" s="101">
        <f t="shared" si="150"/>
        <v>207</v>
      </c>
      <c r="L188" s="98">
        <f t="shared" si="151"/>
        <v>104</v>
      </c>
      <c r="M188" s="101">
        <f t="shared" si="152"/>
        <v>207</v>
      </c>
      <c r="N188" s="98">
        <f t="shared" si="153"/>
        <v>104</v>
      </c>
      <c r="O188" s="101">
        <f t="shared" si="154"/>
        <v>207</v>
      </c>
      <c r="P188" s="22" t="str">
        <f t="shared" si="144"/>
        <v>忽视防御%9|HPMP%9</v>
      </c>
      <c r="Q188" s="100" t="str">
        <f t="shared" si="133"/>
        <v>龙晶碎片5324/元宝5324000</v>
      </c>
    </row>
    <row r="189" spans="1:17" ht="15.75" x14ac:dyDescent="0.3">
      <c r="A189" s="22" t="s">
        <v>2380</v>
      </c>
      <c r="B189" s="69" t="s">
        <v>2465</v>
      </c>
      <c r="C189" s="22">
        <v>84</v>
      </c>
      <c r="D189" s="22"/>
      <c r="E189" s="22"/>
      <c r="F189" s="98">
        <f t="shared" si="145"/>
        <v>105</v>
      </c>
      <c r="G189" s="101">
        <f t="shared" si="146"/>
        <v>210</v>
      </c>
      <c r="H189" s="98">
        <f t="shared" si="147"/>
        <v>105</v>
      </c>
      <c r="I189" s="101">
        <f t="shared" si="148"/>
        <v>210</v>
      </c>
      <c r="J189" s="98">
        <f t="shared" si="149"/>
        <v>105</v>
      </c>
      <c r="K189" s="101">
        <f t="shared" si="150"/>
        <v>210</v>
      </c>
      <c r="L189" s="98">
        <f t="shared" si="151"/>
        <v>105</v>
      </c>
      <c r="M189" s="101">
        <f t="shared" si="152"/>
        <v>210</v>
      </c>
      <c r="N189" s="98">
        <f t="shared" si="153"/>
        <v>105</v>
      </c>
      <c r="O189" s="101">
        <f t="shared" si="154"/>
        <v>210</v>
      </c>
      <c r="P189" s="22" t="str">
        <f t="shared" si="144"/>
        <v>忽视防御%9|HPMP%9</v>
      </c>
      <c r="Q189" s="100" t="str">
        <f t="shared" si="133"/>
        <v>龙晶碎片5324/元宝5324000</v>
      </c>
    </row>
    <row r="190" spans="1:17" ht="15.75" x14ac:dyDescent="0.3">
      <c r="A190" s="22" t="s">
        <v>2380</v>
      </c>
      <c r="B190" s="69" t="s">
        <v>2466</v>
      </c>
      <c r="C190" s="22">
        <v>85</v>
      </c>
      <c r="D190" s="22"/>
      <c r="E190" s="22"/>
      <c r="F190" s="98">
        <f t="shared" si="145"/>
        <v>106</v>
      </c>
      <c r="G190" s="101">
        <f t="shared" si="146"/>
        <v>212</v>
      </c>
      <c r="H190" s="98">
        <f t="shared" si="147"/>
        <v>106</v>
      </c>
      <c r="I190" s="101">
        <f t="shared" si="148"/>
        <v>212</v>
      </c>
      <c r="J190" s="98">
        <f t="shared" si="149"/>
        <v>106</v>
      </c>
      <c r="K190" s="101">
        <f t="shared" si="150"/>
        <v>212</v>
      </c>
      <c r="L190" s="98">
        <f t="shared" si="151"/>
        <v>106</v>
      </c>
      <c r="M190" s="101">
        <f t="shared" si="152"/>
        <v>212</v>
      </c>
      <c r="N190" s="98">
        <f t="shared" si="153"/>
        <v>106</v>
      </c>
      <c r="O190" s="101">
        <f t="shared" si="154"/>
        <v>212</v>
      </c>
      <c r="P190" s="22" t="str">
        <f t="shared" si="144"/>
        <v>忽视防御%9|HPMP%9</v>
      </c>
      <c r="Q190" s="100" t="str">
        <f t="shared" si="133"/>
        <v>龙晶碎片5324/元宝5324000</v>
      </c>
    </row>
    <row r="191" spans="1:17" ht="15.75" x14ac:dyDescent="0.3">
      <c r="A191" s="22" t="s">
        <v>2380</v>
      </c>
      <c r="B191" s="69" t="s">
        <v>2467</v>
      </c>
      <c r="C191" s="22">
        <v>86</v>
      </c>
      <c r="D191" s="22"/>
      <c r="E191" s="22"/>
      <c r="F191" s="98">
        <f t="shared" si="145"/>
        <v>108</v>
      </c>
      <c r="G191" s="101">
        <f t="shared" si="146"/>
        <v>215</v>
      </c>
      <c r="H191" s="98">
        <f t="shared" si="147"/>
        <v>108</v>
      </c>
      <c r="I191" s="101">
        <f t="shared" si="148"/>
        <v>215</v>
      </c>
      <c r="J191" s="98">
        <f t="shared" si="149"/>
        <v>108</v>
      </c>
      <c r="K191" s="101">
        <f t="shared" si="150"/>
        <v>215</v>
      </c>
      <c r="L191" s="98">
        <f t="shared" si="151"/>
        <v>108</v>
      </c>
      <c r="M191" s="101">
        <f t="shared" si="152"/>
        <v>215</v>
      </c>
      <c r="N191" s="98">
        <f t="shared" si="153"/>
        <v>108</v>
      </c>
      <c r="O191" s="101">
        <f t="shared" si="154"/>
        <v>215</v>
      </c>
      <c r="P191" s="22" t="str">
        <f t="shared" si="144"/>
        <v>忽视防御%9|HPMP%9</v>
      </c>
      <c r="Q191" s="100" t="str">
        <f t="shared" si="133"/>
        <v>龙晶碎片5324/元宝5324000</v>
      </c>
    </row>
    <row r="192" spans="1:17" ht="15.75" x14ac:dyDescent="0.3">
      <c r="A192" s="22" t="s">
        <v>2380</v>
      </c>
      <c r="B192" s="69" t="s">
        <v>2468</v>
      </c>
      <c r="C192" s="22">
        <v>87</v>
      </c>
      <c r="D192" s="22"/>
      <c r="E192" s="22"/>
      <c r="F192" s="98">
        <f t="shared" si="145"/>
        <v>109</v>
      </c>
      <c r="G192" s="101">
        <f t="shared" si="146"/>
        <v>217</v>
      </c>
      <c r="H192" s="98">
        <f t="shared" si="147"/>
        <v>109</v>
      </c>
      <c r="I192" s="101">
        <f t="shared" si="148"/>
        <v>217</v>
      </c>
      <c r="J192" s="98">
        <f t="shared" si="149"/>
        <v>109</v>
      </c>
      <c r="K192" s="101">
        <f t="shared" si="150"/>
        <v>217</v>
      </c>
      <c r="L192" s="98">
        <f t="shared" si="151"/>
        <v>109</v>
      </c>
      <c r="M192" s="101">
        <f t="shared" si="152"/>
        <v>217</v>
      </c>
      <c r="N192" s="98">
        <f t="shared" si="153"/>
        <v>109</v>
      </c>
      <c r="O192" s="101">
        <f t="shared" si="154"/>
        <v>217</v>
      </c>
      <c r="P192" s="22" t="str">
        <f t="shared" si="144"/>
        <v>忽视防御%9|HPMP%9</v>
      </c>
      <c r="Q192" s="100" t="str">
        <f t="shared" si="133"/>
        <v>龙晶碎片5324/元宝5324000</v>
      </c>
    </row>
    <row r="193" spans="1:17" ht="15.75" x14ac:dyDescent="0.3">
      <c r="A193" s="22" t="s">
        <v>2380</v>
      </c>
      <c r="B193" s="69" t="s">
        <v>2469</v>
      </c>
      <c r="C193" s="22">
        <v>88</v>
      </c>
      <c r="D193" s="22"/>
      <c r="E193" s="22"/>
      <c r="F193" s="98">
        <f t="shared" si="145"/>
        <v>110</v>
      </c>
      <c r="G193" s="101">
        <f t="shared" si="146"/>
        <v>220</v>
      </c>
      <c r="H193" s="98">
        <f t="shared" si="147"/>
        <v>110</v>
      </c>
      <c r="I193" s="101">
        <f t="shared" si="148"/>
        <v>220</v>
      </c>
      <c r="J193" s="98">
        <f t="shared" si="149"/>
        <v>110</v>
      </c>
      <c r="K193" s="101">
        <f t="shared" si="150"/>
        <v>220</v>
      </c>
      <c r="L193" s="98">
        <f t="shared" si="151"/>
        <v>110</v>
      </c>
      <c r="M193" s="101">
        <f t="shared" si="152"/>
        <v>220</v>
      </c>
      <c r="N193" s="98">
        <f t="shared" si="153"/>
        <v>110</v>
      </c>
      <c r="O193" s="101">
        <f t="shared" si="154"/>
        <v>220</v>
      </c>
      <c r="P193" s="22" t="str">
        <f t="shared" si="144"/>
        <v>忽视防御%9|HPMP%9</v>
      </c>
      <c r="Q193" s="100" t="str">
        <f t="shared" si="133"/>
        <v>龙晶碎片5324/元宝5324000</v>
      </c>
    </row>
    <row r="194" spans="1:17" ht="15.75" x14ac:dyDescent="0.3">
      <c r="A194" s="22" t="s">
        <v>2380</v>
      </c>
      <c r="B194" s="69" t="s">
        <v>2470</v>
      </c>
      <c r="C194" s="22">
        <v>89</v>
      </c>
      <c r="D194" s="22"/>
      <c r="E194" s="22"/>
      <c r="F194" s="98">
        <f t="shared" si="145"/>
        <v>111</v>
      </c>
      <c r="G194" s="101">
        <f t="shared" si="146"/>
        <v>222</v>
      </c>
      <c r="H194" s="98">
        <f t="shared" si="147"/>
        <v>111</v>
      </c>
      <c r="I194" s="101">
        <f t="shared" si="148"/>
        <v>222</v>
      </c>
      <c r="J194" s="98">
        <f t="shared" si="149"/>
        <v>111</v>
      </c>
      <c r="K194" s="101">
        <f t="shared" si="150"/>
        <v>222</v>
      </c>
      <c r="L194" s="98">
        <f t="shared" si="151"/>
        <v>111</v>
      </c>
      <c r="M194" s="101">
        <f t="shared" si="152"/>
        <v>222</v>
      </c>
      <c r="N194" s="98">
        <f t="shared" si="153"/>
        <v>111</v>
      </c>
      <c r="O194" s="101">
        <f t="shared" si="154"/>
        <v>222</v>
      </c>
      <c r="P194" s="22" t="str">
        <f t="shared" si="144"/>
        <v>忽视防御%9|HPMP%9</v>
      </c>
      <c r="Q194" s="100" t="str">
        <f t="shared" si="133"/>
        <v>龙晶碎片5324/元宝5324000</v>
      </c>
    </row>
    <row r="195" spans="1:17" ht="15.75" x14ac:dyDescent="0.3">
      <c r="A195" s="22" t="s">
        <v>2380</v>
      </c>
      <c r="B195" s="69" t="s">
        <v>2471</v>
      </c>
      <c r="C195" s="22">
        <v>90</v>
      </c>
      <c r="D195" s="22"/>
      <c r="E195" s="22"/>
      <c r="F195" s="98">
        <f t="shared" si="145"/>
        <v>113</v>
      </c>
      <c r="G195" s="101">
        <f t="shared" si="146"/>
        <v>225</v>
      </c>
      <c r="H195" s="98">
        <f t="shared" si="147"/>
        <v>113</v>
      </c>
      <c r="I195" s="101">
        <f t="shared" si="148"/>
        <v>225</v>
      </c>
      <c r="J195" s="98">
        <f t="shared" si="149"/>
        <v>113</v>
      </c>
      <c r="K195" s="101">
        <f t="shared" si="150"/>
        <v>225</v>
      </c>
      <c r="L195" s="98">
        <f t="shared" si="151"/>
        <v>113</v>
      </c>
      <c r="M195" s="101">
        <f t="shared" si="152"/>
        <v>225</v>
      </c>
      <c r="N195" s="98">
        <f t="shared" si="153"/>
        <v>113</v>
      </c>
      <c r="O195" s="101">
        <f t="shared" si="154"/>
        <v>225</v>
      </c>
      <c r="P195" s="22" t="str">
        <f t="shared" si="144"/>
        <v>忽视防御%9|HPMP%9</v>
      </c>
      <c r="Q195" s="100" t="str">
        <f t="shared" si="133"/>
        <v>龙晶碎片5835/元宝5835000</v>
      </c>
    </row>
    <row r="196" spans="1:17" ht="15.75" x14ac:dyDescent="0.3">
      <c r="A196" s="22" t="s">
        <v>2380</v>
      </c>
      <c r="B196" s="69" t="s">
        <v>2472</v>
      </c>
      <c r="C196" s="22">
        <v>91</v>
      </c>
      <c r="D196" s="22"/>
      <c r="E196" s="22"/>
      <c r="F196" s="98">
        <f t="shared" si="145"/>
        <v>114</v>
      </c>
      <c r="G196" s="101">
        <f t="shared" si="146"/>
        <v>227</v>
      </c>
      <c r="H196" s="98">
        <f t="shared" si="147"/>
        <v>114</v>
      </c>
      <c r="I196" s="101">
        <f t="shared" si="148"/>
        <v>227</v>
      </c>
      <c r="J196" s="98">
        <f t="shared" si="149"/>
        <v>114</v>
      </c>
      <c r="K196" s="101">
        <f t="shared" si="150"/>
        <v>227</v>
      </c>
      <c r="L196" s="98">
        <f t="shared" si="151"/>
        <v>114</v>
      </c>
      <c r="M196" s="101">
        <f t="shared" si="152"/>
        <v>227</v>
      </c>
      <c r="N196" s="98">
        <f t="shared" si="153"/>
        <v>114</v>
      </c>
      <c r="O196" s="101">
        <f t="shared" si="154"/>
        <v>227</v>
      </c>
      <c r="P196" s="22" t="str">
        <f t="shared" si="144"/>
        <v>忽视防御%10|HPMP%10</v>
      </c>
      <c r="Q196" s="100" t="str">
        <f t="shared" si="133"/>
        <v>龙晶碎片5835/元宝5835000</v>
      </c>
    </row>
    <row r="197" spans="1:17" ht="15.75" x14ac:dyDescent="0.3">
      <c r="A197" s="22" t="s">
        <v>2380</v>
      </c>
      <c r="B197" s="69" t="s">
        <v>2473</v>
      </c>
      <c r="C197" s="22">
        <v>92</v>
      </c>
      <c r="D197" s="22"/>
      <c r="E197" s="22"/>
      <c r="F197" s="98">
        <f t="shared" si="145"/>
        <v>115</v>
      </c>
      <c r="G197" s="101">
        <f t="shared" si="146"/>
        <v>230</v>
      </c>
      <c r="H197" s="98">
        <f t="shared" si="147"/>
        <v>115</v>
      </c>
      <c r="I197" s="101">
        <f t="shared" si="148"/>
        <v>230</v>
      </c>
      <c r="J197" s="98">
        <f t="shared" si="149"/>
        <v>115</v>
      </c>
      <c r="K197" s="101">
        <f t="shared" si="150"/>
        <v>230</v>
      </c>
      <c r="L197" s="98">
        <f t="shared" si="151"/>
        <v>115</v>
      </c>
      <c r="M197" s="101">
        <f t="shared" si="152"/>
        <v>230</v>
      </c>
      <c r="N197" s="98">
        <f t="shared" si="153"/>
        <v>115</v>
      </c>
      <c r="O197" s="101">
        <f t="shared" si="154"/>
        <v>230</v>
      </c>
      <c r="P197" s="22" t="str">
        <f t="shared" si="144"/>
        <v>忽视防御%10|HPMP%10</v>
      </c>
      <c r="Q197" s="100" t="str">
        <f t="shared" si="133"/>
        <v>龙晶碎片5835/元宝5835000</v>
      </c>
    </row>
    <row r="198" spans="1:17" ht="15.75" x14ac:dyDescent="0.3">
      <c r="A198" s="22" t="s">
        <v>2380</v>
      </c>
      <c r="B198" s="69" t="s">
        <v>2474</v>
      </c>
      <c r="C198" s="22">
        <v>93</v>
      </c>
      <c r="D198" s="22"/>
      <c r="E198" s="22"/>
      <c r="F198" s="98">
        <f t="shared" si="145"/>
        <v>116</v>
      </c>
      <c r="G198" s="101">
        <f t="shared" si="146"/>
        <v>232</v>
      </c>
      <c r="H198" s="98">
        <f t="shared" si="147"/>
        <v>116</v>
      </c>
      <c r="I198" s="101">
        <f t="shared" si="148"/>
        <v>232</v>
      </c>
      <c r="J198" s="98">
        <f t="shared" si="149"/>
        <v>116</v>
      </c>
      <c r="K198" s="101">
        <f t="shared" si="150"/>
        <v>232</v>
      </c>
      <c r="L198" s="98">
        <f t="shared" si="151"/>
        <v>116</v>
      </c>
      <c r="M198" s="101">
        <f t="shared" si="152"/>
        <v>232</v>
      </c>
      <c r="N198" s="98">
        <f t="shared" si="153"/>
        <v>116</v>
      </c>
      <c r="O198" s="101">
        <f t="shared" si="154"/>
        <v>232</v>
      </c>
      <c r="P198" s="22" t="str">
        <f t="shared" si="144"/>
        <v>忽视防御%10|HPMP%10</v>
      </c>
      <c r="Q198" s="100" t="str">
        <f t="shared" si="133"/>
        <v>龙晶碎片5835/元宝5835000</v>
      </c>
    </row>
    <row r="199" spans="1:17" ht="15.75" x14ac:dyDescent="0.3">
      <c r="A199" s="22" t="s">
        <v>2380</v>
      </c>
      <c r="B199" s="69" t="s">
        <v>2475</v>
      </c>
      <c r="C199" s="22">
        <v>94</v>
      </c>
      <c r="D199" s="22"/>
      <c r="E199" s="22"/>
      <c r="F199" s="98">
        <f t="shared" si="145"/>
        <v>118</v>
      </c>
      <c r="G199" s="101">
        <f t="shared" si="146"/>
        <v>235</v>
      </c>
      <c r="H199" s="98">
        <f t="shared" si="147"/>
        <v>118</v>
      </c>
      <c r="I199" s="101">
        <f t="shared" si="148"/>
        <v>235</v>
      </c>
      <c r="J199" s="98">
        <f t="shared" si="149"/>
        <v>118</v>
      </c>
      <c r="K199" s="101">
        <f t="shared" si="150"/>
        <v>235</v>
      </c>
      <c r="L199" s="98">
        <f t="shared" si="151"/>
        <v>118</v>
      </c>
      <c r="M199" s="101">
        <f t="shared" si="152"/>
        <v>235</v>
      </c>
      <c r="N199" s="98">
        <f t="shared" si="153"/>
        <v>118</v>
      </c>
      <c r="O199" s="101">
        <f t="shared" si="154"/>
        <v>235</v>
      </c>
      <c r="P199" s="22" t="str">
        <f t="shared" si="144"/>
        <v>忽视防御%10|HPMP%10</v>
      </c>
      <c r="Q199" s="100" t="str">
        <f t="shared" si="133"/>
        <v>龙晶碎片5835/元宝5835000</v>
      </c>
    </row>
    <row r="200" spans="1:17" ht="15.75" x14ac:dyDescent="0.3">
      <c r="A200" s="22" t="s">
        <v>2380</v>
      </c>
      <c r="B200" s="69" t="s">
        <v>2476</v>
      </c>
      <c r="C200" s="22">
        <v>95</v>
      </c>
      <c r="D200" s="22"/>
      <c r="E200" s="22"/>
      <c r="F200" s="98">
        <f t="shared" si="145"/>
        <v>119</v>
      </c>
      <c r="G200" s="101">
        <f t="shared" si="146"/>
        <v>237</v>
      </c>
      <c r="H200" s="98">
        <f t="shared" si="147"/>
        <v>119</v>
      </c>
      <c r="I200" s="101">
        <f t="shared" si="148"/>
        <v>237</v>
      </c>
      <c r="J200" s="98">
        <f t="shared" si="149"/>
        <v>119</v>
      </c>
      <c r="K200" s="101">
        <f t="shared" si="150"/>
        <v>237</v>
      </c>
      <c r="L200" s="98">
        <f t="shared" si="151"/>
        <v>119</v>
      </c>
      <c r="M200" s="101">
        <f t="shared" si="152"/>
        <v>237</v>
      </c>
      <c r="N200" s="98">
        <f t="shared" si="153"/>
        <v>119</v>
      </c>
      <c r="O200" s="101">
        <f t="shared" si="154"/>
        <v>237</v>
      </c>
      <c r="P200" s="22" t="str">
        <f t="shared" si="144"/>
        <v>忽视防御%10|HPMP%10</v>
      </c>
      <c r="Q200" s="100" t="str">
        <f t="shared" si="133"/>
        <v>龙晶碎片5835/元宝5835000</v>
      </c>
    </row>
    <row r="201" spans="1:17" ht="15.75" x14ac:dyDescent="0.3">
      <c r="A201" s="22" t="s">
        <v>2380</v>
      </c>
      <c r="B201" s="69" t="s">
        <v>2477</v>
      </c>
      <c r="C201" s="22">
        <v>96</v>
      </c>
      <c r="D201" s="22"/>
      <c r="E201" s="22"/>
      <c r="F201" s="98">
        <f t="shared" si="145"/>
        <v>120</v>
      </c>
      <c r="G201" s="101">
        <f t="shared" si="146"/>
        <v>240</v>
      </c>
      <c r="H201" s="98">
        <f t="shared" si="147"/>
        <v>120</v>
      </c>
      <c r="I201" s="101">
        <f t="shared" si="148"/>
        <v>240</v>
      </c>
      <c r="J201" s="98">
        <f t="shared" si="149"/>
        <v>120</v>
      </c>
      <c r="K201" s="101">
        <f t="shared" si="150"/>
        <v>240</v>
      </c>
      <c r="L201" s="98">
        <f t="shared" si="151"/>
        <v>120</v>
      </c>
      <c r="M201" s="101">
        <f t="shared" si="152"/>
        <v>240</v>
      </c>
      <c r="N201" s="98">
        <f t="shared" si="153"/>
        <v>120</v>
      </c>
      <c r="O201" s="101">
        <f t="shared" si="154"/>
        <v>240</v>
      </c>
      <c r="P201" s="22" t="str">
        <f t="shared" si="144"/>
        <v>忽视防御%10|HPMP%10</v>
      </c>
      <c r="Q201" s="100" t="str">
        <f t="shared" si="133"/>
        <v>龙晶碎片5835/元宝5835000</v>
      </c>
    </row>
    <row r="202" spans="1:17" ht="15.75" x14ac:dyDescent="0.3">
      <c r="A202" s="22" t="s">
        <v>2380</v>
      </c>
      <c r="B202" s="69" t="s">
        <v>2478</v>
      </c>
      <c r="C202" s="22">
        <v>97</v>
      </c>
      <c r="D202" s="22"/>
      <c r="E202" s="22"/>
      <c r="F202" s="98">
        <f t="shared" si="145"/>
        <v>121</v>
      </c>
      <c r="G202" s="101">
        <f t="shared" si="146"/>
        <v>242</v>
      </c>
      <c r="H202" s="98">
        <f t="shared" si="147"/>
        <v>121</v>
      </c>
      <c r="I202" s="101">
        <f t="shared" si="148"/>
        <v>242</v>
      </c>
      <c r="J202" s="98">
        <f t="shared" si="149"/>
        <v>121</v>
      </c>
      <c r="K202" s="101">
        <f t="shared" si="150"/>
        <v>242</v>
      </c>
      <c r="L202" s="98">
        <f t="shared" si="151"/>
        <v>121</v>
      </c>
      <c r="M202" s="101">
        <f t="shared" si="152"/>
        <v>242</v>
      </c>
      <c r="N202" s="98">
        <f t="shared" si="153"/>
        <v>121</v>
      </c>
      <c r="O202" s="101">
        <f t="shared" si="154"/>
        <v>242</v>
      </c>
      <c r="P202" s="22" t="str">
        <f t="shared" si="144"/>
        <v>忽视防御%10|HPMP%10</v>
      </c>
      <c r="Q202" s="100" t="str">
        <f t="shared" si="133"/>
        <v>龙晶碎片5835/元宝5835000</v>
      </c>
    </row>
    <row r="203" spans="1:17" ht="15.75" x14ac:dyDescent="0.3">
      <c r="A203" s="22" t="s">
        <v>2380</v>
      </c>
      <c r="B203" s="69" t="s">
        <v>2479</v>
      </c>
      <c r="C203" s="22">
        <v>98</v>
      </c>
      <c r="D203" s="22"/>
      <c r="E203" s="22"/>
      <c r="F203" s="98">
        <f t="shared" si="145"/>
        <v>123</v>
      </c>
      <c r="G203" s="101">
        <f t="shared" si="146"/>
        <v>245</v>
      </c>
      <c r="H203" s="98">
        <f t="shared" si="147"/>
        <v>123</v>
      </c>
      <c r="I203" s="101">
        <f t="shared" si="148"/>
        <v>245</v>
      </c>
      <c r="J203" s="98">
        <f t="shared" si="149"/>
        <v>123</v>
      </c>
      <c r="K203" s="101">
        <f t="shared" si="150"/>
        <v>245</v>
      </c>
      <c r="L203" s="98">
        <f t="shared" si="151"/>
        <v>123</v>
      </c>
      <c r="M203" s="101">
        <f t="shared" si="152"/>
        <v>245</v>
      </c>
      <c r="N203" s="98">
        <f t="shared" si="153"/>
        <v>123</v>
      </c>
      <c r="O203" s="101">
        <f t="shared" si="154"/>
        <v>245</v>
      </c>
      <c r="P203" s="22" t="str">
        <f t="shared" si="144"/>
        <v>忽视防御%10|HPMP%10</v>
      </c>
      <c r="Q203" s="100" t="str">
        <f t="shared" si="133"/>
        <v>龙晶碎片5835/元宝5835000</v>
      </c>
    </row>
    <row r="204" spans="1:17" ht="15.75" x14ac:dyDescent="0.3">
      <c r="A204" s="22" t="s">
        <v>2380</v>
      </c>
      <c r="B204" s="69" t="s">
        <v>2480</v>
      </c>
      <c r="C204" s="22">
        <v>99</v>
      </c>
      <c r="D204" s="22"/>
      <c r="E204" s="22"/>
      <c r="F204" s="98">
        <f t="shared" si="145"/>
        <v>124</v>
      </c>
      <c r="G204" s="101">
        <f t="shared" si="146"/>
        <v>247</v>
      </c>
      <c r="H204" s="98">
        <f t="shared" si="147"/>
        <v>124</v>
      </c>
      <c r="I204" s="101">
        <f t="shared" si="148"/>
        <v>247</v>
      </c>
      <c r="J204" s="98">
        <f t="shared" si="149"/>
        <v>124</v>
      </c>
      <c r="K204" s="101">
        <f t="shared" si="150"/>
        <v>247</v>
      </c>
      <c r="L204" s="98">
        <f t="shared" si="151"/>
        <v>124</v>
      </c>
      <c r="M204" s="101">
        <f t="shared" si="152"/>
        <v>247</v>
      </c>
      <c r="N204" s="98">
        <f t="shared" si="153"/>
        <v>124</v>
      </c>
      <c r="O204" s="101">
        <f t="shared" si="154"/>
        <v>247</v>
      </c>
      <c r="P204" s="22" t="str">
        <f t="shared" si="144"/>
        <v>忽视防御%10|HPMP%10</v>
      </c>
      <c r="Q204" s="100" t="str">
        <f t="shared" si="133"/>
        <v>龙晶碎片5835/元宝5835000</v>
      </c>
    </row>
    <row r="205" spans="1:17" ht="15.75" x14ac:dyDescent="0.3">
      <c r="A205" s="22" t="s">
        <v>2380</v>
      </c>
      <c r="B205" s="69" t="s">
        <v>2481</v>
      </c>
      <c r="C205" s="22">
        <v>100</v>
      </c>
      <c r="D205" s="22"/>
      <c r="E205" s="22"/>
      <c r="F205" s="98">
        <f t="shared" si="145"/>
        <v>125</v>
      </c>
      <c r="G205" s="101">
        <f t="shared" si="146"/>
        <v>250</v>
      </c>
      <c r="H205" s="98">
        <f t="shared" si="147"/>
        <v>125</v>
      </c>
      <c r="I205" s="101">
        <f t="shared" si="148"/>
        <v>250</v>
      </c>
      <c r="J205" s="98">
        <f t="shared" si="149"/>
        <v>125</v>
      </c>
      <c r="K205" s="101">
        <f t="shared" si="150"/>
        <v>250</v>
      </c>
      <c r="L205" s="98">
        <f t="shared" si="151"/>
        <v>125</v>
      </c>
      <c r="M205" s="101">
        <f t="shared" si="152"/>
        <v>250</v>
      </c>
      <c r="N205" s="98">
        <f t="shared" si="153"/>
        <v>125</v>
      </c>
      <c r="O205" s="101">
        <f t="shared" si="154"/>
        <v>250</v>
      </c>
      <c r="P205" s="22" t="str">
        <f t="shared" si="144"/>
        <v>忽视防御%10|HPMP%10</v>
      </c>
      <c r="Q205" s="22"/>
    </row>
    <row r="206" spans="1:17" ht="15.75" x14ac:dyDescent="0.3">
      <c r="A206" s="22" t="s">
        <v>2482</v>
      </c>
      <c r="B206" s="23" t="s">
        <v>2483</v>
      </c>
      <c r="C206" s="22">
        <v>0</v>
      </c>
      <c r="D206" s="22"/>
      <c r="E206" s="22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22"/>
      <c r="Q206" s="100" t="str">
        <f>"龙晶碎片"&amp;AB4&amp;"/元宝"&amp;AC4</f>
        <v>龙晶碎片9/元宝9000</v>
      </c>
    </row>
    <row r="207" spans="1:17" ht="15.75" x14ac:dyDescent="0.3">
      <c r="A207" s="22" t="s">
        <v>2482</v>
      </c>
      <c r="B207" s="23" t="s">
        <v>2484</v>
      </c>
      <c r="C207" s="22">
        <v>1</v>
      </c>
      <c r="D207" s="22"/>
      <c r="E207" s="22"/>
      <c r="F207" s="101"/>
      <c r="G207" s="101"/>
      <c r="H207" s="101"/>
      <c r="I207" s="101"/>
      <c r="J207" s="101"/>
      <c r="K207" s="101"/>
      <c r="L207" s="98">
        <f>ROUND(0.5*AJ4,0)</f>
        <v>1</v>
      </c>
      <c r="M207" s="101">
        <f>ROUND(AJ4,0)</f>
        <v>2</v>
      </c>
      <c r="N207" s="98">
        <f>ROUND(0.5*AJ4,0)</f>
        <v>1</v>
      </c>
      <c r="O207" s="101">
        <f>ROUND(AJ4,0)</f>
        <v>2</v>
      </c>
      <c r="P207" s="22" t="str">
        <f>$AK$3&amp;AK4</f>
        <v>物魔防%2</v>
      </c>
      <c r="Q207" s="100" t="str">
        <f t="shared" ref="Q207:Q270" si="155">"龙晶碎片"&amp;AB5&amp;"/元宝"&amp;AC5</f>
        <v>龙晶碎片9/元宝9000</v>
      </c>
    </row>
    <row r="208" spans="1:17" ht="15.75" x14ac:dyDescent="0.3">
      <c r="A208" s="22" t="s">
        <v>2482</v>
      </c>
      <c r="B208" s="23" t="s">
        <v>2485</v>
      </c>
      <c r="C208" s="22">
        <v>2</v>
      </c>
      <c r="D208" s="22"/>
      <c r="E208" s="22"/>
      <c r="F208" s="101"/>
      <c r="G208" s="101"/>
      <c r="H208" s="101"/>
      <c r="I208" s="101"/>
      <c r="J208" s="101"/>
      <c r="K208" s="101"/>
      <c r="L208" s="98">
        <f t="shared" ref="L208:L271" si="156">ROUND(0.5*AJ5,0)</f>
        <v>3</v>
      </c>
      <c r="M208" s="101">
        <f t="shared" ref="M208:M271" si="157">ROUND(AJ5,0)</f>
        <v>5</v>
      </c>
      <c r="N208" s="98">
        <f t="shared" ref="N208:N271" si="158">ROUND(0.5*AJ5,0)</f>
        <v>3</v>
      </c>
      <c r="O208" s="101">
        <f t="shared" ref="O208:O271" si="159">ROUND(AJ5,0)</f>
        <v>5</v>
      </c>
      <c r="P208" s="22" t="str">
        <f t="shared" ref="P208:P271" si="160">$AK$3&amp;AK5</f>
        <v>物魔防%2</v>
      </c>
      <c r="Q208" s="100" t="str">
        <f t="shared" si="155"/>
        <v>龙晶碎片9/元宝9000</v>
      </c>
    </row>
    <row r="209" spans="1:17" ht="15.75" x14ac:dyDescent="0.3">
      <c r="A209" s="22" t="s">
        <v>2482</v>
      </c>
      <c r="B209" s="23" t="s">
        <v>2486</v>
      </c>
      <c r="C209" s="22">
        <v>3</v>
      </c>
      <c r="D209" s="22"/>
      <c r="E209" s="22"/>
      <c r="F209" s="101"/>
      <c r="G209" s="101"/>
      <c r="H209" s="101"/>
      <c r="I209" s="101"/>
      <c r="J209" s="101"/>
      <c r="K209" s="101"/>
      <c r="L209" s="98">
        <f t="shared" si="156"/>
        <v>4</v>
      </c>
      <c r="M209" s="101">
        <f t="shared" si="157"/>
        <v>7</v>
      </c>
      <c r="N209" s="98">
        <f t="shared" si="158"/>
        <v>4</v>
      </c>
      <c r="O209" s="101">
        <f t="shared" si="159"/>
        <v>7</v>
      </c>
      <c r="P209" s="22" t="str">
        <f t="shared" si="160"/>
        <v>物魔防%2</v>
      </c>
      <c r="Q209" s="100" t="str">
        <f t="shared" si="155"/>
        <v>龙晶碎片9/元宝9000</v>
      </c>
    </row>
    <row r="210" spans="1:17" ht="15.75" x14ac:dyDescent="0.3">
      <c r="A210" s="22" t="s">
        <v>2482</v>
      </c>
      <c r="B210" s="23" t="s">
        <v>2487</v>
      </c>
      <c r="C210" s="22">
        <v>4</v>
      </c>
      <c r="D210" s="22"/>
      <c r="E210" s="22"/>
      <c r="F210" s="101"/>
      <c r="G210" s="101"/>
      <c r="H210" s="101"/>
      <c r="I210" s="101"/>
      <c r="J210" s="101"/>
      <c r="K210" s="101"/>
      <c r="L210" s="98">
        <f t="shared" si="156"/>
        <v>5</v>
      </c>
      <c r="M210" s="101">
        <f t="shared" si="157"/>
        <v>10</v>
      </c>
      <c r="N210" s="98">
        <f t="shared" si="158"/>
        <v>5</v>
      </c>
      <c r="O210" s="101">
        <f t="shared" si="159"/>
        <v>10</v>
      </c>
      <c r="P210" s="22" t="str">
        <f t="shared" si="160"/>
        <v>物魔防%2</v>
      </c>
      <c r="Q210" s="100" t="str">
        <f t="shared" si="155"/>
        <v>龙晶碎片9/元宝9000</v>
      </c>
    </row>
    <row r="211" spans="1:17" ht="15.75" x14ac:dyDescent="0.3">
      <c r="A211" s="22" t="s">
        <v>2482</v>
      </c>
      <c r="B211" s="23" t="s">
        <v>2488</v>
      </c>
      <c r="C211" s="22">
        <v>5</v>
      </c>
      <c r="D211" s="22"/>
      <c r="E211" s="22"/>
      <c r="F211" s="101"/>
      <c r="G211" s="101"/>
      <c r="H211" s="101"/>
      <c r="I211" s="101"/>
      <c r="J211" s="101"/>
      <c r="K211" s="101"/>
      <c r="L211" s="98">
        <f t="shared" si="156"/>
        <v>6</v>
      </c>
      <c r="M211" s="101">
        <f t="shared" si="157"/>
        <v>12</v>
      </c>
      <c r="N211" s="98">
        <f t="shared" si="158"/>
        <v>6</v>
      </c>
      <c r="O211" s="101">
        <f t="shared" si="159"/>
        <v>12</v>
      </c>
      <c r="P211" s="22" t="str">
        <f t="shared" si="160"/>
        <v>物魔防%2</v>
      </c>
      <c r="Q211" s="100" t="str">
        <f t="shared" si="155"/>
        <v>龙晶碎片9/元宝9000</v>
      </c>
    </row>
    <row r="212" spans="1:17" ht="15.75" x14ac:dyDescent="0.3">
      <c r="A212" s="22" t="s">
        <v>2482</v>
      </c>
      <c r="B212" s="23" t="s">
        <v>2489</v>
      </c>
      <c r="C212" s="22">
        <v>6</v>
      </c>
      <c r="D212" s="22"/>
      <c r="E212" s="22"/>
      <c r="F212" s="101"/>
      <c r="G212" s="101"/>
      <c r="H212" s="101"/>
      <c r="I212" s="101"/>
      <c r="J212" s="101"/>
      <c r="K212" s="101"/>
      <c r="L212" s="98">
        <f t="shared" si="156"/>
        <v>8</v>
      </c>
      <c r="M212" s="101">
        <f t="shared" si="157"/>
        <v>15</v>
      </c>
      <c r="N212" s="98">
        <f t="shared" si="158"/>
        <v>8</v>
      </c>
      <c r="O212" s="101">
        <f t="shared" si="159"/>
        <v>15</v>
      </c>
      <c r="P212" s="22" t="str">
        <f t="shared" si="160"/>
        <v>物魔防%2</v>
      </c>
      <c r="Q212" s="100" t="str">
        <f t="shared" si="155"/>
        <v>龙晶碎片9/元宝9000</v>
      </c>
    </row>
    <row r="213" spans="1:17" ht="15.75" x14ac:dyDescent="0.3">
      <c r="A213" s="22" t="s">
        <v>2482</v>
      </c>
      <c r="B213" s="23" t="s">
        <v>2490</v>
      </c>
      <c r="C213" s="22">
        <v>7</v>
      </c>
      <c r="D213" s="22"/>
      <c r="E213" s="22"/>
      <c r="F213" s="101"/>
      <c r="G213" s="101"/>
      <c r="H213" s="101"/>
      <c r="I213" s="101"/>
      <c r="J213" s="101"/>
      <c r="K213" s="101"/>
      <c r="L213" s="98">
        <f t="shared" si="156"/>
        <v>9</v>
      </c>
      <c r="M213" s="101">
        <f t="shared" si="157"/>
        <v>17</v>
      </c>
      <c r="N213" s="98">
        <f t="shared" si="158"/>
        <v>9</v>
      </c>
      <c r="O213" s="101">
        <f t="shared" si="159"/>
        <v>17</v>
      </c>
      <c r="P213" s="22" t="str">
        <f t="shared" si="160"/>
        <v>物魔防%2</v>
      </c>
      <c r="Q213" s="100" t="str">
        <f t="shared" si="155"/>
        <v>龙晶碎片9/元宝9000</v>
      </c>
    </row>
    <row r="214" spans="1:17" ht="15.75" x14ac:dyDescent="0.3">
      <c r="A214" s="22" t="s">
        <v>2482</v>
      </c>
      <c r="B214" s="23" t="s">
        <v>2491</v>
      </c>
      <c r="C214" s="22">
        <v>8</v>
      </c>
      <c r="D214" s="22"/>
      <c r="E214" s="22"/>
      <c r="F214" s="101"/>
      <c r="G214" s="101"/>
      <c r="H214" s="101"/>
      <c r="I214" s="101"/>
      <c r="J214" s="101"/>
      <c r="K214" s="101"/>
      <c r="L214" s="98">
        <f t="shared" si="156"/>
        <v>10</v>
      </c>
      <c r="M214" s="101">
        <f t="shared" si="157"/>
        <v>20</v>
      </c>
      <c r="N214" s="98">
        <f t="shared" si="158"/>
        <v>10</v>
      </c>
      <c r="O214" s="101">
        <f t="shared" si="159"/>
        <v>20</v>
      </c>
      <c r="P214" s="22" t="str">
        <f t="shared" si="160"/>
        <v>物魔防%2</v>
      </c>
      <c r="Q214" s="100" t="str">
        <f t="shared" si="155"/>
        <v>龙晶碎片9/元宝9000</v>
      </c>
    </row>
    <row r="215" spans="1:17" ht="15.75" x14ac:dyDescent="0.3">
      <c r="A215" s="22" t="s">
        <v>2482</v>
      </c>
      <c r="B215" s="23" t="s">
        <v>2492</v>
      </c>
      <c r="C215" s="22">
        <v>9</v>
      </c>
      <c r="D215" s="22"/>
      <c r="E215" s="22"/>
      <c r="F215" s="101"/>
      <c r="G215" s="101"/>
      <c r="H215" s="101"/>
      <c r="I215" s="101"/>
      <c r="J215" s="101"/>
      <c r="K215" s="101"/>
      <c r="L215" s="98">
        <f t="shared" si="156"/>
        <v>11</v>
      </c>
      <c r="M215" s="101">
        <f t="shared" si="157"/>
        <v>22</v>
      </c>
      <c r="N215" s="98">
        <f t="shared" si="158"/>
        <v>11</v>
      </c>
      <c r="O215" s="101">
        <f t="shared" si="159"/>
        <v>22</v>
      </c>
      <c r="P215" s="22" t="str">
        <f t="shared" si="160"/>
        <v>物魔防%2</v>
      </c>
      <c r="Q215" s="100" t="str">
        <f t="shared" si="155"/>
        <v>龙晶碎片9/元宝9000</v>
      </c>
    </row>
    <row r="216" spans="1:17" ht="15.75" x14ac:dyDescent="0.3">
      <c r="A216" s="22" t="s">
        <v>2482</v>
      </c>
      <c r="B216" s="23" t="s">
        <v>2493</v>
      </c>
      <c r="C216" s="22">
        <v>10</v>
      </c>
      <c r="D216" s="22"/>
      <c r="E216" s="22"/>
      <c r="F216" s="101"/>
      <c r="G216" s="101"/>
      <c r="H216" s="101"/>
      <c r="I216" s="101"/>
      <c r="J216" s="101"/>
      <c r="K216" s="101"/>
      <c r="L216" s="98">
        <f t="shared" si="156"/>
        <v>13</v>
      </c>
      <c r="M216" s="101">
        <f t="shared" si="157"/>
        <v>25</v>
      </c>
      <c r="N216" s="98">
        <f t="shared" si="158"/>
        <v>13</v>
      </c>
      <c r="O216" s="101">
        <f t="shared" si="159"/>
        <v>25</v>
      </c>
      <c r="P216" s="22" t="str">
        <f t="shared" si="160"/>
        <v>物魔防%2</v>
      </c>
      <c r="Q216" s="100" t="str">
        <f t="shared" si="155"/>
        <v>龙晶碎片10/元宝10000</v>
      </c>
    </row>
    <row r="217" spans="1:17" ht="15.75" x14ac:dyDescent="0.3">
      <c r="A217" s="22" t="s">
        <v>2482</v>
      </c>
      <c r="B217" s="23" t="s">
        <v>2494</v>
      </c>
      <c r="C217" s="22">
        <v>11</v>
      </c>
      <c r="D217" s="22"/>
      <c r="E217" s="22"/>
      <c r="F217" s="101"/>
      <c r="G217" s="101"/>
      <c r="H217" s="101"/>
      <c r="I217" s="101"/>
      <c r="J217" s="101"/>
      <c r="K217" s="101"/>
      <c r="L217" s="98">
        <f t="shared" si="156"/>
        <v>14</v>
      </c>
      <c r="M217" s="101">
        <f t="shared" si="157"/>
        <v>27</v>
      </c>
      <c r="N217" s="98">
        <f t="shared" si="158"/>
        <v>14</v>
      </c>
      <c r="O217" s="101">
        <f t="shared" si="159"/>
        <v>27</v>
      </c>
      <c r="P217" s="22" t="str">
        <f t="shared" si="160"/>
        <v>物魔防%4</v>
      </c>
      <c r="Q217" s="100" t="str">
        <f t="shared" si="155"/>
        <v>龙晶碎片10/元宝10000</v>
      </c>
    </row>
    <row r="218" spans="1:17" ht="15.75" x14ac:dyDescent="0.3">
      <c r="A218" s="22" t="s">
        <v>2482</v>
      </c>
      <c r="B218" s="23" t="s">
        <v>2495</v>
      </c>
      <c r="C218" s="22">
        <v>12</v>
      </c>
      <c r="D218" s="22"/>
      <c r="E218" s="22"/>
      <c r="F218" s="101"/>
      <c r="G218" s="101"/>
      <c r="H218" s="101"/>
      <c r="I218" s="101"/>
      <c r="J218" s="101"/>
      <c r="K218" s="101"/>
      <c r="L218" s="98">
        <f t="shared" si="156"/>
        <v>15</v>
      </c>
      <c r="M218" s="101">
        <f t="shared" si="157"/>
        <v>30</v>
      </c>
      <c r="N218" s="98">
        <f t="shared" si="158"/>
        <v>15</v>
      </c>
      <c r="O218" s="101">
        <f t="shared" si="159"/>
        <v>30</v>
      </c>
      <c r="P218" s="22" t="str">
        <f t="shared" si="160"/>
        <v>物魔防%4</v>
      </c>
      <c r="Q218" s="100" t="str">
        <f t="shared" si="155"/>
        <v>龙晶碎片10/元宝10000</v>
      </c>
    </row>
    <row r="219" spans="1:17" ht="15.75" x14ac:dyDescent="0.3">
      <c r="A219" s="22" t="s">
        <v>2482</v>
      </c>
      <c r="B219" s="23" t="s">
        <v>2496</v>
      </c>
      <c r="C219" s="22">
        <v>13</v>
      </c>
      <c r="D219" s="22"/>
      <c r="E219" s="22"/>
      <c r="F219" s="101"/>
      <c r="G219" s="101"/>
      <c r="H219" s="101"/>
      <c r="I219" s="101"/>
      <c r="J219" s="101"/>
      <c r="K219" s="101"/>
      <c r="L219" s="98">
        <f t="shared" si="156"/>
        <v>16</v>
      </c>
      <c r="M219" s="101">
        <f t="shared" si="157"/>
        <v>32</v>
      </c>
      <c r="N219" s="98">
        <f t="shared" si="158"/>
        <v>16</v>
      </c>
      <c r="O219" s="101">
        <f t="shared" si="159"/>
        <v>32</v>
      </c>
      <c r="P219" s="22" t="str">
        <f t="shared" si="160"/>
        <v>物魔防%4</v>
      </c>
      <c r="Q219" s="100" t="str">
        <f t="shared" si="155"/>
        <v>龙晶碎片10/元宝10000</v>
      </c>
    </row>
    <row r="220" spans="1:17" ht="15.75" x14ac:dyDescent="0.3">
      <c r="A220" s="22" t="s">
        <v>2482</v>
      </c>
      <c r="B220" s="23" t="s">
        <v>2497</v>
      </c>
      <c r="C220" s="22">
        <v>14</v>
      </c>
      <c r="D220" s="22"/>
      <c r="E220" s="22"/>
      <c r="F220" s="101"/>
      <c r="G220" s="101"/>
      <c r="H220" s="101"/>
      <c r="I220" s="101"/>
      <c r="J220" s="101"/>
      <c r="K220" s="101"/>
      <c r="L220" s="98">
        <f t="shared" si="156"/>
        <v>18</v>
      </c>
      <c r="M220" s="101">
        <f t="shared" si="157"/>
        <v>35</v>
      </c>
      <c r="N220" s="98">
        <f t="shared" si="158"/>
        <v>18</v>
      </c>
      <c r="O220" s="101">
        <f t="shared" si="159"/>
        <v>35</v>
      </c>
      <c r="P220" s="22" t="str">
        <f t="shared" si="160"/>
        <v>物魔防%4</v>
      </c>
      <c r="Q220" s="100" t="str">
        <f t="shared" si="155"/>
        <v>龙晶碎片10/元宝10000</v>
      </c>
    </row>
    <row r="221" spans="1:17" ht="15.75" x14ac:dyDescent="0.3">
      <c r="A221" s="22" t="s">
        <v>2482</v>
      </c>
      <c r="B221" s="23" t="s">
        <v>2498</v>
      </c>
      <c r="C221" s="22">
        <v>15</v>
      </c>
      <c r="D221" s="22"/>
      <c r="E221" s="22"/>
      <c r="F221" s="101"/>
      <c r="G221" s="101"/>
      <c r="H221" s="101"/>
      <c r="I221" s="101"/>
      <c r="J221" s="101"/>
      <c r="K221" s="101"/>
      <c r="L221" s="98">
        <f t="shared" si="156"/>
        <v>19</v>
      </c>
      <c r="M221" s="101">
        <f t="shared" si="157"/>
        <v>37</v>
      </c>
      <c r="N221" s="98">
        <f t="shared" si="158"/>
        <v>19</v>
      </c>
      <c r="O221" s="101">
        <f t="shared" si="159"/>
        <v>37</v>
      </c>
      <c r="P221" s="22" t="str">
        <f t="shared" si="160"/>
        <v>物魔防%4</v>
      </c>
      <c r="Q221" s="100" t="str">
        <f t="shared" si="155"/>
        <v>龙晶碎片10/元宝10000</v>
      </c>
    </row>
    <row r="222" spans="1:17" ht="15.75" x14ac:dyDescent="0.3">
      <c r="A222" s="22" t="s">
        <v>2482</v>
      </c>
      <c r="B222" s="23" t="s">
        <v>2499</v>
      </c>
      <c r="C222" s="22">
        <v>16</v>
      </c>
      <c r="D222" s="22"/>
      <c r="E222" s="22"/>
      <c r="F222" s="101"/>
      <c r="G222" s="101"/>
      <c r="H222" s="101"/>
      <c r="I222" s="101"/>
      <c r="J222" s="101"/>
      <c r="K222" s="101"/>
      <c r="L222" s="98">
        <f t="shared" si="156"/>
        <v>20</v>
      </c>
      <c r="M222" s="101">
        <f t="shared" si="157"/>
        <v>40</v>
      </c>
      <c r="N222" s="98">
        <f t="shared" si="158"/>
        <v>20</v>
      </c>
      <c r="O222" s="101">
        <f t="shared" si="159"/>
        <v>40</v>
      </c>
      <c r="P222" s="22" t="str">
        <f t="shared" si="160"/>
        <v>物魔防%4</v>
      </c>
      <c r="Q222" s="100" t="str">
        <f t="shared" si="155"/>
        <v>龙晶碎片10/元宝10000</v>
      </c>
    </row>
    <row r="223" spans="1:17" ht="15.75" x14ac:dyDescent="0.3">
      <c r="A223" s="22" t="s">
        <v>2482</v>
      </c>
      <c r="B223" s="23" t="s">
        <v>2500</v>
      </c>
      <c r="C223" s="22">
        <v>17</v>
      </c>
      <c r="D223" s="22"/>
      <c r="E223" s="22"/>
      <c r="F223" s="101"/>
      <c r="G223" s="101"/>
      <c r="H223" s="101"/>
      <c r="I223" s="101"/>
      <c r="J223" s="101"/>
      <c r="K223" s="101"/>
      <c r="L223" s="98">
        <f t="shared" si="156"/>
        <v>21</v>
      </c>
      <c r="M223" s="101">
        <f t="shared" si="157"/>
        <v>42</v>
      </c>
      <c r="N223" s="98">
        <f t="shared" si="158"/>
        <v>21</v>
      </c>
      <c r="O223" s="101">
        <f t="shared" si="159"/>
        <v>42</v>
      </c>
      <c r="P223" s="22" t="str">
        <f t="shared" si="160"/>
        <v>物魔防%4</v>
      </c>
      <c r="Q223" s="100" t="str">
        <f t="shared" si="155"/>
        <v>龙晶碎片10/元宝10000</v>
      </c>
    </row>
    <row r="224" spans="1:17" ht="15.75" x14ac:dyDescent="0.3">
      <c r="A224" s="22" t="s">
        <v>2482</v>
      </c>
      <c r="B224" s="23" t="s">
        <v>2501</v>
      </c>
      <c r="C224" s="22">
        <v>18</v>
      </c>
      <c r="D224" s="22"/>
      <c r="E224" s="22"/>
      <c r="F224" s="101"/>
      <c r="G224" s="101"/>
      <c r="H224" s="101"/>
      <c r="I224" s="101"/>
      <c r="J224" s="101"/>
      <c r="K224" s="101"/>
      <c r="L224" s="98">
        <f t="shared" si="156"/>
        <v>23</v>
      </c>
      <c r="M224" s="101">
        <f t="shared" si="157"/>
        <v>45</v>
      </c>
      <c r="N224" s="98">
        <f t="shared" si="158"/>
        <v>23</v>
      </c>
      <c r="O224" s="101">
        <f t="shared" si="159"/>
        <v>45</v>
      </c>
      <c r="P224" s="22" t="str">
        <f t="shared" si="160"/>
        <v>物魔防%4</v>
      </c>
      <c r="Q224" s="100" t="str">
        <f t="shared" si="155"/>
        <v>龙晶碎片10/元宝10000</v>
      </c>
    </row>
    <row r="225" spans="1:17" ht="15.75" x14ac:dyDescent="0.3">
      <c r="A225" s="22" t="s">
        <v>2482</v>
      </c>
      <c r="B225" s="23" t="s">
        <v>2502</v>
      </c>
      <c r="C225" s="22">
        <v>19</v>
      </c>
      <c r="D225" s="22"/>
      <c r="E225" s="22"/>
      <c r="F225" s="101"/>
      <c r="G225" s="101"/>
      <c r="H225" s="101"/>
      <c r="I225" s="101"/>
      <c r="J225" s="101"/>
      <c r="K225" s="101"/>
      <c r="L225" s="98">
        <f t="shared" si="156"/>
        <v>24</v>
      </c>
      <c r="M225" s="101">
        <f t="shared" si="157"/>
        <v>47</v>
      </c>
      <c r="N225" s="98">
        <f t="shared" si="158"/>
        <v>24</v>
      </c>
      <c r="O225" s="101">
        <f t="shared" si="159"/>
        <v>47</v>
      </c>
      <c r="P225" s="22" t="str">
        <f t="shared" si="160"/>
        <v>物魔防%4</v>
      </c>
      <c r="Q225" s="100" t="str">
        <f t="shared" si="155"/>
        <v>龙晶碎片10/元宝10000</v>
      </c>
    </row>
    <row r="226" spans="1:17" ht="15.75" x14ac:dyDescent="0.3">
      <c r="A226" s="22" t="s">
        <v>2482</v>
      </c>
      <c r="B226" s="23" t="s">
        <v>2503</v>
      </c>
      <c r="C226" s="22">
        <v>20</v>
      </c>
      <c r="D226" s="22"/>
      <c r="E226" s="22"/>
      <c r="F226" s="101"/>
      <c r="G226" s="101"/>
      <c r="H226" s="101"/>
      <c r="I226" s="101"/>
      <c r="J226" s="101"/>
      <c r="K226" s="101"/>
      <c r="L226" s="98">
        <f t="shared" si="156"/>
        <v>25</v>
      </c>
      <c r="M226" s="101">
        <f t="shared" si="157"/>
        <v>50</v>
      </c>
      <c r="N226" s="98">
        <f t="shared" si="158"/>
        <v>25</v>
      </c>
      <c r="O226" s="101">
        <f t="shared" si="159"/>
        <v>50</v>
      </c>
      <c r="P226" s="22" t="str">
        <f t="shared" si="160"/>
        <v>物魔防%4</v>
      </c>
      <c r="Q226" s="100" t="str">
        <f t="shared" si="155"/>
        <v>龙晶碎片26/元宝26000</v>
      </c>
    </row>
    <row r="227" spans="1:17" ht="15.75" x14ac:dyDescent="0.3">
      <c r="A227" s="22" t="s">
        <v>2482</v>
      </c>
      <c r="B227" s="23" t="s">
        <v>2504</v>
      </c>
      <c r="C227" s="22">
        <v>21</v>
      </c>
      <c r="D227" s="22"/>
      <c r="E227" s="22"/>
      <c r="F227" s="101"/>
      <c r="G227" s="101"/>
      <c r="H227" s="101"/>
      <c r="I227" s="101"/>
      <c r="J227" s="101"/>
      <c r="K227" s="101"/>
      <c r="L227" s="98">
        <f t="shared" si="156"/>
        <v>26</v>
      </c>
      <c r="M227" s="101">
        <f t="shared" si="157"/>
        <v>52</v>
      </c>
      <c r="N227" s="98">
        <f t="shared" si="158"/>
        <v>26</v>
      </c>
      <c r="O227" s="101">
        <f t="shared" si="159"/>
        <v>52</v>
      </c>
      <c r="P227" s="22" t="str">
        <f t="shared" si="160"/>
        <v>物魔防%6</v>
      </c>
      <c r="Q227" s="100" t="str">
        <f t="shared" si="155"/>
        <v>龙晶碎片26/元宝26000</v>
      </c>
    </row>
    <row r="228" spans="1:17" ht="15.75" x14ac:dyDescent="0.3">
      <c r="A228" s="22" t="s">
        <v>2482</v>
      </c>
      <c r="B228" s="23" t="s">
        <v>2505</v>
      </c>
      <c r="C228" s="22">
        <v>22</v>
      </c>
      <c r="D228" s="22"/>
      <c r="E228" s="22"/>
      <c r="F228" s="101"/>
      <c r="G228" s="101"/>
      <c r="H228" s="101"/>
      <c r="I228" s="101"/>
      <c r="J228" s="101"/>
      <c r="K228" s="101"/>
      <c r="L228" s="98">
        <f t="shared" si="156"/>
        <v>28</v>
      </c>
      <c r="M228" s="101">
        <f t="shared" si="157"/>
        <v>55</v>
      </c>
      <c r="N228" s="98">
        <f t="shared" si="158"/>
        <v>28</v>
      </c>
      <c r="O228" s="101">
        <f t="shared" si="159"/>
        <v>55</v>
      </c>
      <c r="P228" s="22" t="str">
        <f t="shared" si="160"/>
        <v>物魔防%6</v>
      </c>
      <c r="Q228" s="100" t="str">
        <f t="shared" si="155"/>
        <v>龙晶碎片26/元宝26000</v>
      </c>
    </row>
    <row r="229" spans="1:17" ht="15.75" x14ac:dyDescent="0.3">
      <c r="A229" s="22" t="s">
        <v>2482</v>
      </c>
      <c r="B229" s="23" t="s">
        <v>2506</v>
      </c>
      <c r="C229" s="22">
        <v>23</v>
      </c>
      <c r="D229" s="22"/>
      <c r="E229" s="22"/>
      <c r="F229" s="101"/>
      <c r="G229" s="101"/>
      <c r="H229" s="101"/>
      <c r="I229" s="101"/>
      <c r="J229" s="101"/>
      <c r="K229" s="101"/>
      <c r="L229" s="98">
        <f t="shared" si="156"/>
        <v>29</v>
      </c>
      <c r="M229" s="101">
        <f t="shared" si="157"/>
        <v>57</v>
      </c>
      <c r="N229" s="98">
        <f t="shared" si="158"/>
        <v>29</v>
      </c>
      <c r="O229" s="101">
        <f t="shared" si="159"/>
        <v>57</v>
      </c>
      <c r="P229" s="22" t="str">
        <f t="shared" si="160"/>
        <v>物魔防%6</v>
      </c>
      <c r="Q229" s="100" t="str">
        <f t="shared" si="155"/>
        <v>龙晶碎片26/元宝26000</v>
      </c>
    </row>
    <row r="230" spans="1:17" ht="15.75" x14ac:dyDescent="0.3">
      <c r="A230" s="22" t="s">
        <v>2482</v>
      </c>
      <c r="B230" s="23" t="s">
        <v>2507</v>
      </c>
      <c r="C230" s="22">
        <v>24</v>
      </c>
      <c r="D230" s="22"/>
      <c r="E230" s="22"/>
      <c r="F230" s="101"/>
      <c r="G230" s="101"/>
      <c r="H230" s="101"/>
      <c r="I230" s="101"/>
      <c r="J230" s="101"/>
      <c r="K230" s="101"/>
      <c r="L230" s="98">
        <f t="shared" si="156"/>
        <v>30</v>
      </c>
      <c r="M230" s="101">
        <f t="shared" si="157"/>
        <v>60</v>
      </c>
      <c r="N230" s="98">
        <f t="shared" si="158"/>
        <v>30</v>
      </c>
      <c r="O230" s="101">
        <f t="shared" si="159"/>
        <v>60</v>
      </c>
      <c r="P230" s="22" t="str">
        <f t="shared" si="160"/>
        <v>物魔防%6</v>
      </c>
      <c r="Q230" s="100" t="str">
        <f t="shared" si="155"/>
        <v>龙晶碎片26/元宝26000</v>
      </c>
    </row>
    <row r="231" spans="1:17" ht="15.75" x14ac:dyDescent="0.3">
      <c r="A231" s="22" t="s">
        <v>2482</v>
      </c>
      <c r="B231" s="23" t="s">
        <v>2508</v>
      </c>
      <c r="C231" s="22">
        <v>25</v>
      </c>
      <c r="D231" s="22"/>
      <c r="E231" s="22"/>
      <c r="F231" s="101"/>
      <c r="G231" s="101"/>
      <c r="H231" s="101"/>
      <c r="I231" s="101"/>
      <c r="J231" s="101"/>
      <c r="K231" s="101"/>
      <c r="L231" s="98">
        <f t="shared" si="156"/>
        <v>31</v>
      </c>
      <c r="M231" s="101">
        <f t="shared" si="157"/>
        <v>62</v>
      </c>
      <c r="N231" s="98">
        <f t="shared" si="158"/>
        <v>31</v>
      </c>
      <c r="O231" s="101">
        <f t="shared" si="159"/>
        <v>62</v>
      </c>
      <c r="P231" s="22" t="str">
        <f t="shared" si="160"/>
        <v>物魔防%6</v>
      </c>
      <c r="Q231" s="100" t="str">
        <f t="shared" si="155"/>
        <v>龙晶碎片26/元宝26000</v>
      </c>
    </row>
    <row r="232" spans="1:17" ht="15.75" x14ac:dyDescent="0.3">
      <c r="A232" s="22" t="s">
        <v>2482</v>
      </c>
      <c r="B232" s="23" t="s">
        <v>2509</v>
      </c>
      <c r="C232" s="22">
        <v>26</v>
      </c>
      <c r="D232" s="22"/>
      <c r="E232" s="22"/>
      <c r="F232" s="101"/>
      <c r="G232" s="101"/>
      <c r="H232" s="101"/>
      <c r="I232" s="101"/>
      <c r="J232" s="101"/>
      <c r="K232" s="101"/>
      <c r="L232" s="98">
        <f t="shared" si="156"/>
        <v>33</v>
      </c>
      <c r="M232" s="101">
        <f t="shared" si="157"/>
        <v>65</v>
      </c>
      <c r="N232" s="98">
        <f t="shared" si="158"/>
        <v>33</v>
      </c>
      <c r="O232" s="101">
        <f t="shared" si="159"/>
        <v>65</v>
      </c>
      <c r="P232" s="22" t="str">
        <f t="shared" si="160"/>
        <v>物魔防%6</v>
      </c>
      <c r="Q232" s="100" t="str">
        <f t="shared" si="155"/>
        <v>龙晶碎片26/元宝26000</v>
      </c>
    </row>
    <row r="233" spans="1:17" ht="15.75" x14ac:dyDescent="0.3">
      <c r="A233" s="22" t="s">
        <v>2482</v>
      </c>
      <c r="B233" s="23" t="s">
        <v>2510</v>
      </c>
      <c r="C233" s="22">
        <v>27</v>
      </c>
      <c r="D233" s="22"/>
      <c r="E233" s="22"/>
      <c r="F233" s="101"/>
      <c r="G233" s="101"/>
      <c r="H233" s="101"/>
      <c r="I233" s="101"/>
      <c r="J233" s="101"/>
      <c r="K233" s="101"/>
      <c r="L233" s="98">
        <f t="shared" si="156"/>
        <v>34</v>
      </c>
      <c r="M233" s="101">
        <f t="shared" si="157"/>
        <v>67</v>
      </c>
      <c r="N233" s="98">
        <f t="shared" si="158"/>
        <v>34</v>
      </c>
      <c r="O233" s="101">
        <f t="shared" si="159"/>
        <v>67</v>
      </c>
      <c r="P233" s="22" t="str">
        <f t="shared" si="160"/>
        <v>物魔防%6</v>
      </c>
      <c r="Q233" s="100" t="str">
        <f t="shared" si="155"/>
        <v>龙晶碎片26/元宝26000</v>
      </c>
    </row>
    <row r="234" spans="1:17" ht="15.75" x14ac:dyDescent="0.3">
      <c r="A234" s="22" t="s">
        <v>2482</v>
      </c>
      <c r="B234" s="23" t="s">
        <v>2511</v>
      </c>
      <c r="C234" s="22">
        <v>28</v>
      </c>
      <c r="D234" s="22"/>
      <c r="E234" s="22"/>
      <c r="F234" s="101"/>
      <c r="G234" s="101"/>
      <c r="H234" s="101"/>
      <c r="I234" s="101"/>
      <c r="J234" s="101"/>
      <c r="K234" s="101"/>
      <c r="L234" s="98">
        <f t="shared" si="156"/>
        <v>35</v>
      </c>
      <c r="M234" s="101">
        <f t="shared" si="157"/>
        <v>70</v>
      </c>
      <c r="N234" s="98">
        <f t="shared" si="158"/>
        <v>35</v>
      </c>
      <c r="O234" s="101">
        <f t="shared" si="159"/>
        <v>70</v>
      </c>
      <c r="P234" s="22" t="str">
        <f t="shared" si="160"/>
        <v>物魔防%6</v>
      </c>
      <c r="Q234" s="100" t="str">
        <f t="shared" si="155"/>
        <v>龙晶碎片26/元宝26000</v>
      </c>
    </row>
    <row r="235" spans="1:17" ht="15.75" x14ac:dyDescent="0.3">
      <c r="A235" s="22" t="s">
        <v>2482</v>
      </c>
      <c r="B235" s="23" t="s">
        <v>2512</v>
      </c>
      <c r="C235" s="22">
        <v>29</v>
      </c>
      <c r="D235" s="22"/>
      <c r="E235" s="22"/>
      <c r="F235" s="101"/>
      <c r="G235" s="101"/>
      <c r="H235" s="101"/>
      <c r="I235" s="101"/>
      <c r="J235" s="101"/>
      <c r="K235" s="101"/>
      <c r="L235" s="98">
        <f t="shared" si="156"/>
        <v>36</v>
      </c>
      <c r="M235" s="101">
        <f t="shared" si="157"/>
        <v>72</v>
      </c>
      <c r="N235" s="98">
        <f t="shared" si="158"/>
        <v>36</v>
      </c>
      <c r="O235" s="101">
        <f t="shared" si="159"/>
        <v>72</v>
      </c>
      <c r="P235" s="22" t="str">
        <f t="shared" si="160"/>
        <v>物魔防%6</v>
      </c>
      <c r="Q235" s="100" t="str">
        <f t="shared" si="155"/>
        <v>龙晶碎片26/元宝26000</v>
      </c>
    </row>
    <row r="236" spans="1:17" ht="15.75" x14ac:dyDescent="0.3">
      <c r="A236" s="22" t="s">
        <v>2482</v>
      </c>
      <c r="B236" s="23" t="s">
        <v>2513</v>
      </c>
      <c r="C236" s="22">
        <v>30</v>
      </c>
      <c r="D236" s="22"/>
      <c r="E236" s="22"/>
      <c r="F236" s="101"/>
      <c r="G236" s="101"/>
      <c r="H236" s="101"/>
      <c r="I236" s="101"/>
      <c r="J236" s="101"/>
      <c r="K236" s="101"/>
      <c r="L236" s="98">
        <f t="shared" si="156"/>
        <v>38</v>
      </c>
      <c r="M236" s="101">
        <f t="shared" si="157"/>
        <v>75</v>
      </c>
      <c r="N236" s="98">
        <f t="shared" si="158"/>
        <v>38</v>
      </c>
      <c r="O236" s="101">
        <f t="shared" si="159"/>
        <v>75</v>
      </c>
      <c r="P236" s="22" t="str">
        <f t="shared" si="160"/>
        <v>物魔防%6</v>
      </c>
      <c r="Q236" s="100" t="str">
        <f t="shared" si="155"/>
        <v>龙晶碎片128/元宝128000</v>
      </c>
    </row>
    <row r="237" spans="1:17" ht="15.75" x14ac:dyDescent="0.3">
      <c r="A237" s="22" t="s">
        <v>2482</v>
      </c>
      <c r="B237" s="23" t="s">
        <v>2514</v>
      </c>
      <c r="C237" s="22">
        <v>31</v>
      </c>
      <c r="D237" s="22"/>
      <c r="E237" s="22"/>
      <c r="F237" s="101"/>
      <c r="G237" s="101"/>
      <c r="H237" s="101"/>
      <c r="I237" s="101"/>
      <c r="J237" s="101"/>
      <c r="K237" s="101"/>
      <c r="L237" s="98">
        <f t="shared" si="156"/>
        <v>39</v>
      </c>
      <c r="M237" s="101">
        <f t="shared" si="157"/>
        <v>77</v>
      </c>
      <c r="N237" s="98">
        <f t="shared" si="158"/>
        <v>39</v>
      </c>
      <c r="O237" s="101">
        <f t="shared" si="159"/>
        <v>77</v>
      </c>
      <c r="P237" s="22" t="str">
        <f t="shared" si="160"/>
        <v>物魔防%8</v>
      </c>
      <c r="Q237" s="100" t="str">
        <f t="shared" si="155"/>
        <v>龙晶碎片128/元宝128000</v>
      </c>
    </row>
    <row r="238" spans="1:17" ht="15.75" x14ac:dyDescent="0.3">
      <c r="A238" s="22" t="s">
        <v>2482</v>
      </c>
      <c r="B238" s="23" t="s">
        <v>2515</v>
      </c>
      <c r="C238" s="22">
        <v>32</v>
      </c>
      <c r="D238" s="22"/>
      <c r="E238" s="22"/>
      <c r="F238" s="101"/>
      <c r="G238" s="101"/>
      <c r="H238" s="101"/>
      <c r="I238" s="101"/>
      <c r="J238" s="101"/>
      <c r="K238" s="101"/>
      <c r="L238" s="98">
        <f t="shared" si="156"/>
        <v>40</v>
      </c>
      <c r="M238" s="101">
        <f t="shared" si="157"/>
        <v>80</v>
      </c>
      <c r="N238" s="98">
        <f t="shared" si="158"/>
        <v>40</v>
      </c>
      <c r="O238" s="101">
        <f t="shared" si="159"/>
        <v>80</v>
      </c>
      <c r="P238" s="22" t="str">
        <f t="shared" si="160"/>
        <v>物魔防%8</v>
      </c>
      <c r="Q238" s="100" t="str">
        <f t="shared" si="155"/>
        <v>龙晶碎片128/元宝128000</v>
      </c>
    </row>
    <row r="239" spans="1:17" ht="15.75" x14ac:dyDescent="0.3">
      <c r="A239" s="22" t="s">
        <v>2482</v>
      </c>
      <c r="B239" s="23" t="s">
        <v>2516</v>
      </c>
      <c r="C239" s="22">
        <v>33</v>
      </c>
      <c r="D239" s="22"/>
      <c r="E239" s="22"/>
      <c r="F239" s="101"/>
      <c r="G239" s="101"/>
      <c r="H239" s="101"/>
      <c r="I239" s="101"/>
      <c r="J239" s="101"/>
      <c r="K239" s="101"/>
      <c r="L239" s="98">
        <f t="shared" si="156"/>
        <v>41</v>
      </c>
      <c r="M239" s="101">
        <f t="shared" si="157"/>
        <v>82</v>
      </c>
      <c r="N239" s="98">
        <f t="shared" si="158"/>
        <v>41</v>
      </c>
      <c r="O239" s="101">
        <f t="shared" si="159"/>
        <v>82</v>
      </c>
      <c r="P239" s="22" t="str">
        <f t="shared" si="160"/>
        <v>物魔防%8</v>
      </c>
      <c r="Q239" s="100" t="str">
        <f t="shared" si="155"/>
        <v>龙晶碎片128/元宝128000</v>
      </c>
    </row>
    <row r="240" spans="1:17" ht="15.75" x14ac:dyDescent="0.3">
      <c r="A240" s="22" t="s">
        <v>2482</v>
      </c>
      <c r="B240" s="23" t="s">
        <v>2517</v>
      </c>
      <c r="C240" s="22">
        <v>34</v>
      </c>
      <c r="D240" s="22"/>
      <c r="E240" s="22"/>
      <c r="F240" s="101"/>
      <c r="G240" s="101"/>
      <c r="H240" s="101"/>
      <c r="I240" s="101"/>
      <c r="J240" s="101"/>
      <c r="K240" s="101"/>
      <c r="L240" s="98">
        <f t="shared" si="156"/>
        <v>43</v>
      </c>
      <c r="M240" s="101">
        <f t="shared" si="157"/>
        <v>85</v>
      </c>
      <c r="N240" s="98">
        <f t="shared" si="158"/>
        <v>43</v>
      </c>
      <c r="O240" s="101">
        <f t="shared" si="159"/>
        <v>85</v>
      </c>
      <c r="P240" s="22" t="str">
        <f t="shared" si="160"/>
        <v>物魔防%8</v>
      </c>
      <c r="Q240" s="100" t="str">
        <f t="shared" si="155"/>
        <v>龙晶碎片128/元宝128000</v>
      </c>
    </row>
    <row r="241" spans="1:17" ht="15.75" x14ac:dyDescent="0.3">
      <c r="A241" s="22" t="s">
        <v>2482</v>
      </c>
      <c r="B241" s="23" t="s">
        <v>2518</v>
      </c>
      <c r="C241" s="22">
        <v>35</v>
      </c>
      <c r="D241" s="22"/>
      <c r="E241" s="22"/>
      <c r="F241" s="101"/>
      <c r="G241" s="101"/>
      <c r="H241" s="101"/>
      <c r="I241" s="101"/>
      <c r="J241" s="101"/>
      <c r="K241" s="101"/>
      <c r="L241" s="98">
        <f t="shared" si="156"/>
        <v>44</v>
      </c>
      <c r="M241" s="101">
        <f t="shared" si="157"/>
        <v>87</v>
      </c>
      <c r="N241" s="98">
        <f t="shared" si="158"/>
        <v>44</v>
      </c>
      <c r="O241" s="101">
        <f t="shared" si="159"/>
        <v>87</v>
      </c>
      <c r="P241" s="22" t="str">
        <f t="shared" si="160"/>
        <v>物魔防%8</v>
      </c>
      <c r="Q241" s="100" t="str">
        <f t="shared" si="155"/>
        <v>龙晶碎片128/元宝128000</v>
      </c>
    </row>
    <row r="242" spans="1:17" ht="15.75" x14ac:dyDescent="0.3">
      <c r="A242" s="22" t="s">
        <v>2482</v>
      </c>
      <c r="B242" s="23" t="s">
        <v>2519</v>
      </c>
      <c r="C242" s="22">
        <v>36</v>
      </c>
      <c r="D242" s="22"/>
      <c r="E242" s="22"/>
      <c r="F242" s="101"/>
      <c r="G242" s="101"/>
      <c r="H242" s="101"/>
      <c r="I242" s="101"/>
      <c r="J242" s="101"/>
      <c r="K242" s="101"/>
      <c r="L242" s="98">
        <f t="shared" si="156"/>
        <v>45</v>
      </c>
      <c r="M242" s="101">
        <f t="shared" si="157"/>
        <v>90</v>
      </c>
      <c r="N242" s="98">
        <f t="shared" si="158"/>
        <v>45</v>
      </c>
      <c r="O242" s="101">
        <f t="shared" si="159"/>
        <v>90</v>
      </c>
      <c r="P242" s="22" t="str">
        <f t="shared" si="160"/>
        <v>物魔防%8</v>
      </c>
      <c r="Q242" s="100" t="str">
        <f t="shared" si="155"/>
        <v>龙晶碎片128/元宝128000</v>
      </c>
    </row>
    <row r="243" spans="1:17" ht="15.75" x14ac:dyDescent="0.3">
      <c r="A243" s="22" t="s">
        <v>2482</v>
      </c>
      <c r="B243" s="23" t="s">
        <v>2520</v>
      </c>
      <c r="C243" s="22">
        <v>37</v>
      </c>
      <c r="D243" s="22"/>
      <c r="E243" s="22"/>
      <c r="F243" s="101"/>
      <c r="G243" s="101"/>
      <c r="H243" s="101"/>
      <c r="I243" s="101"/>
      <c r="J243" s="101"/>
      <c r="K243" s="101"/>
      <c r="L243" s="98">
        <f t="shared" si="156"/>
        <v>46</v>
      </c>
      <c r="M243" s="101">
        <f t="shared" si="157"/>
        <v>92</v>
      </c>
      <c r="N243" s="98">
        <f t="shared" si="158"/>
        <v>46</v>
      </c>
      <c r="O243" s="101">
        <f t="shared" si="159"/>
        <v>92</v>
      </c>
      <c r="P243" s="22" t="str">
        <f t="shared" si="160"/>
        <v>物魔防%8</v>
      </c>
      <c r="Q243" s="100" t="str">
        <f t="shared" si="155"/>
        <v>龙晶碎片128/元宝128000</v>
      </c>
    </row>
    <row r="244" spans="1:17" ht="15.75" x14ac:dyDescent="0.3">
      <c r="A244" s="22" t="s">
        <v>2482</v>
      </c>
      <c r="B244" s="23" t="s">
        <v>2521</v>
      </c>
      <c r="C244" s="22">
        <v>38</v>
      </c>
      <c r="D244" s="22"/>
      <c r="E244" s="22"/>
      <c r="F244" s="101"/>
      <c r="G244" s="101"/>
      <c r="H244" s="101"/>
      <c r="I244" s="101"/>
      <c r="J244" s="101"/>
      <c r="K244" s="101"/>
      <c r="L244" s="98">
        <f t="shared" si="156"/>
        <v>48</v>
      </c>
      <c r="M244" s="101">
        <f t="shared" si="157"/>
        <v>95</v>
      </c>
      <c r="N244" s="98">
        <f t="shared" si="158"/>
        <v>48</v>
      </c>
      <c r="O244" s="101">
        <f t="shared" si="159"/>
        <v>95</v>
      </c>
      <c r="P244" s="22" t="str">
        <f t="shared" si="160"/>
        <v>物魔防%8</v>
      </c>
      <c r="Q244" s="100" t="str">
        <f t="shared" si="155"/>
        <v>龙晶碎片128/元宝128000</v>
      </c>
    </row>
    <row r="245" spans="1:17" ht="15.75" x14ac:dyDescent="0.3">
      <c r="A245" s="22" t="s">
        <v>2482</v>
      </c>
      <c r="B245" s="23" t="s">
        <v>2522</v>
      </c>
      <c r="C245" s="22">
        <v>39</v>
      </c>
      <c r="D245" s="22"/>
      <c r="E245" s="22"/>
      <c r="F245" s="101"/>
      <c r="G245" s="101"/>
      <c r="H245" s="101"/>
      <c r="I245" s="101"/>
      <c r="J245" s="101"/>
      <c r="K245" s="101"/>
      <c r="L245" s="98">
        <f t="shared" si="156"/>
        <v>49</v>
      </c>
      <c r="M245" s="101">
        <f t="shared" si="157"/>
        <v>97</v>
      </c>
      <c r="N245" s="98">
        <f t="shared" si="158"/>
        <v>49</v>
      </c>
      <c r="O245" s="101">
        <f t="shared" si="159"/>
        <v>97</v>
      </c>
      <c r="P245" s="22" t="str">
        <f t="shared" si="160"/>
        <v>物魔防%8</v>
      </c>
      <c r="Q245" s="100" t="str">
        <f t="shared" si="155"/>
        <v>龙晶碎片128/元宝128000</v>
      </c>
    </row>
    <row r="246" spans="1:17" ht="15.75" x14ac:dyDescent="0.3">
      <c r="A246" s="22" t="s">
        <v>2482</v>
      </c>
      <c r="B246" s="23" t="s">
        <v>2523</v>
      </c>
      <c r="C246" s="22">
        <v>40</v>
      </c>
      <c r="D246" s="22"/>
      <c r="E246" s="22"/>
      <c r="F246" s="101"/>
      <c r="G246" s="101"/>
      <c r="H246" s="101"/>
      <c r="I246" s="101"/>
      <c r="J246" s="101"/>
      <c r="K246" s="101"/>
      <c r="L246" s="98">
        <f t="shared" si="156"/>
        <v>50</v>
      </c>
      <c r="M246" s="101">
        <f t="shared" si="157"/>
        <v>100</v>
      </c>
      <c r="N246" s="98">
        <f t="shared" si="158"/>
        <v>50</v>
      </c>
      <c r="O246" s="101">
        <f t="shared" si="159"/>
        <v>100</v>
      </c>
      <c r="P246" s="22" t="str">
        <f t="shared" si="160"/>
        <v>物魔防%8</v>
      </c>
      <c r="Q246" s="100" t="str">
        <f t="shared" si="155"/>
        <v>龙晶碎片383/元宝383000</v>
      </c>
    </row>
    <row r="247" spans="1:17" ht="15.75" x14ac:dyDescent="0.3">
      <c r="A247" s="22" t="s">
        <v>2482</v>
      </c>
      <c r="B247" s="23" t="s">
        <v>2524</v>
      </c>
      <c r="C247" s="22">
        <v>41</v>
      </c>
      <c r="D247" s="22"/>
      <c r="E247" s="22"/>
      <c r="F247" s="101"/>
      <c r="G247" s="101"/>
      <c r="H247" s="101"/>
      <c r="I247" s="101"/>
      <c r="J247" s="101"/>
      <c r="K247" s="101"/>
      <c r="L247" s="98">
        <f t="shared" si="156"/>
        <v>51</v>
      </c>
      <c r="M247" s="101">
        <f t="shared" si="157"/>
        <v>102</v>
      </c>
      <c r="N247" s="98">
        <f t="shared" si="158"/>
        <v>51</v>
      </c>
      <c r="O247" s="101">
        <f t="shared" si="159"/>
        <v>102</v>
      </c>
      <c r="P247" s="22" t="str">
        <f t="shared" si="160"/>
        <v>物魔防%10</v>
      </c>
      <c r="Q247" s="100" t="str">
        <f t="shared" si="155"/>
        <v>龙晶碎片383/元宝383000</v>
      </c>
    </row>
    <row r="248" spans="1:17" ht="15.75" x14ac:dyDescent="0.3">
      <c r="A248" s="22" t="s">
        <v>2482</v>
      </c>
      <c r="B248" s="23" t="s">
        <v>2525</v>
      </c>
      <c r="C248" s="22">
        <v>42</v>
      </c>
      <c r="D248" s="22"/>
      <c r="E248" s="22"/>
      <c r="F248" s="101"/>
      <c r="G248" s="101"/>
      <c r="H248" s="101"/>
      <c r="I248" s="101"/>
      <c r="J248" s="101"/>
      <c r="K248" s="101"/>
      <c r="L248" s="98">
        <f t="shared" si="156"/>
        <v>53</v>
      </c>
      <c r="M248" s="101">
        <f t="shared" si="157"/>
        <v>105</v>
      </c>
      <c r="N248" s="98">
        <f t="shared" si="158"/>
        <v>53</v>
      </c>
      <c r="O248" s="101">
        <f t="shared" si="159"/>
        <v>105</v>
      </c>
      <c r="P248" s="22" t="str">
        <f t="shared" si="160"/>
        <v>物魔防%10</v>
      </c>
      <c r="Q248" s="100" t="str">
        <f t="shared" si="155"/>
        <v>龙晶碎片383/元宝383000</v>
      </c>
    </row>
    <row r="249" spans="1:17" ht="15.75" x14ac:dyDescent="0.3">
      <c r="A249" s="22" t="s">
        <v>2482</v>
      </c>
      <c r="B249" s="23" t="s">
        <v>2526</v>
      </c>
      <c r="C249" s="22">
        <v>43</v>
      </c>
      <c r="D249" s="22"/>
      <c r="E249" s="22"/>
      <c r="F249" s="101"/>
      <c r="G249" s="101"/>
      <c r="H249" s="101"/>
      <c r="I249" s="101"/>
      <c r="J249" s="101"/>
      <c r="K249" s="101"/>
      <c r="L249" s="98">
        <f t="shared" si="156"/>
        <v>54</v>
      </c>
      <c r="M249" s="101">
        <f t="shared" si="157"/>
        <v>107</v>
      </c>
      <c r="N249" s="98">
        <f t="shared" si="158"/>
        <v>54</v>
      </c>
      <c r="O249" s="101">
        <f t="shared" si="159"/>
        <v>107</v>
      </c>
      <c r="P249" s="22" t="str">
        <f t="shared" si="160"/>
        <v>物魔防%10</v>
      </c>
      <c r="Q249" s="100" t="str">
        <f t="shared" si="155"/>
        <v>龙晶碎片383/元宝383000</v>
      </c>
    </row>
    <row r="250" spans="1:17" ht="15.75" x14ac:dyDescent="0.3">
      <c r="A250" s="22" t="s">
        <v>2482</v>
      </c>
      <c r="B250" s="23" t="s">
        <v>2527</v>
      </c>
      <c r="C250" s="22">
        <v>44</v>
      </c>
      <c r="D250" s="22"/>
      <c r="E250" s="22"/>
      <c r="F250" s="101"/>
      <c r="G250" s="101"/>
      <c r="H250" s="101"/>
      <c r="I250" s="101"/>
      <c r="J250" s="101"/>
      <c r="K250" s="101"/>
      <c r="L250" s="98">
        <f t="shared" si="156"/>
        <v>55</v>
      </c>
      <c r="M250" s="101">
        <f t="shared" si="157"/>
        <v>110</v>
      </c>
      <c r="N250" s="98">
        <f t="shared" si="158"/>
        <v>55</v>
      </c>
      <c r="O250" s="101">
        <f t="shared" si="159"/>
        <v>110</v>
      </c>
      <c r="P250" s="22" t="str">
        <f t="shared" si="160"/>
        <v>物魔防%10</v>
      </c>
      <c r="Q250" s="100" t="str">
        <f t="shared" si="155"/>
        <v>龙晶碎片383/元宝383000</v>
      </c>
    </row>
    <row r="251" spans="1:17" ht="15.75" x14ac:dyDescent="0.3">
      <c r="A251" s="22" t="s">
        <v>2482</v>
      </c>
      <c r="B251" s="23" t="s">
        <v>2528</v>
      </c>
      <c r="C251" s="22">
        <v>45</v>
      </c>
      <c r="D251" s="22"/>
      <c r="E251" s="22"/>
      <c r="F251" s="101"/>
      <c r="G251" s="101"/>
      <c r="H251" s="101"/>
      <c r="I251" s="101"/>
      <c r="J251" s="101"/>
      <c r="K251" s="101"/>
      <c r="L251" s="98">
        <f t="shared" si="156"/>
        <v>56</v>
      </c>
      <c r="M251" s="101">
        <f t="shared" si="157"/>
        <v>112</v>
      </c>
      <c r="N251" s="98">
        <f t="shared" si="158"/>
        <v>56</v>
      </c>
      <c r="O251" s="101">
        <f t="shared" si="159"/>
        <v>112</v>
      </c>
      <c r="P251" s="22" t="str">
        <f t="shared" si="160"/>
        <v>物魔防%10</v>
      </c>
      <c r="Q251" s="100" t="str">
        <f t="shared" si="155"/>
        <v>龙晶碎片383/元宝383000</v>
      </c>
    </row>
    <row r="252" spans="1:17" ht="15.75" x14ac:dyDescent="0.3">
      <c r="A252" s="22" t="s">
        <v>2482</v>
      </c>
      <c r="B252" s="23" t="s">
        <v>2529</v>
      </c>
      <c r="C252" s="22">
        <v>46</v>
      </c>
      <c r="D252" s="22"/>
      <c r="E252" s="22"/>
      <c r="F252" s="101"/>
      <c r="G252" s="101"/>
      <c r="H252" s="101"/>
      <c r="I252" s="101"/>
      <c r="J252" s="101"/>
      <c r="K252" s="101"/>
      <c r="L252" s="98">
        <f t="shared" si="156"/>
        <v>58</v>
      </c>
      <c r="M252" s="101">
        <f t="shared" si="157"/>
        <v>115</v>
      </c>
      <c r="N252" s="98">
        <f t="shared" si="158"/>
        <v>58</v>
      </c>
      <c r="O252" s="101">
        <f t="shared" si="159"/>
        <v>115</v>
      </c>
      <c r="P252" s="22" t="str">
        <f t="shared" si="160"/>
        <v>物魔防%10</v>
      </c>
      <c r="Q252" s="100" t="str">
        <f t="shared" si="155"/>
        <v>龙晶碎片383/元宝383000</v>
      </c>
    </row>
    <row r="253" spans="1:17" ht="15.75" x14ac:dyDescent="0.3">
      <c r="A253" s="22" t="s">
        <v>2482</v>
      </c>
      <c r="B253" s="23" t="s">
        <v>2530</v>
      </c>
      <c r="C253" s="22">
        <v>47</v>
      </c>
      <c r="D253" s="22"/>
      <c r="E253" s="22"/>
      <c r="F253" s="101"/>
      <c r="G253" s="101"/>
      <c r="H253" s="101"/>
      <c r="I253" s="101"/>
      <c r="J253" s="101"/>
      <c r="K253" s="101"/>
      <c r="L253" s="98">
        <f t="shared" si="156"/>
        <v>59</v>
      </c>
      <c r="M253" s="101">
        <f t="shared" si="157"/>
        <v>117</v>
      </c>
      <c r="N253" s="98">
        <f t="shared" si="158"/>
        <v>59</v>
      </c>
      <c r="O253" s="101">
        <f t="shared" si="159"/>
        <v>117</v>
      </c>
      <c r="P253" s="22" t="str">
        <f t="shared" si="160"/>
        <v>物魔防%10</v>
      </c>
      <c r="Q253" s="100" t="str">
        <f t="shared" si="155"/>
        <v>龙晶碎片383/元宝383000</v>
      </c>
    </row>
    <row r="254" spans="1:17" ht="15.75" x14ac:dyDescent="0.3">
      <c r="A254" s="22" t="s">
        <v>2482</v>
      </c>
      <c r="B254" s="23" t="s">
        <v>2531</v>
      </c>
      <c r="C254" s="22">
        <v>48</v>
      </c>
      <c r="D254" s="22"/>
      <c r="E254" s="22"/>
      <c r="F254" s="101"/>
      <c r="G254" s="101"/>
      <c r="H254" s="101"/>
      <c r="I254" s="101"/>
      <c r="J254" s="101"/>
      <c r="K254" s="101"/>
      <c r="L254" s="98">
        <f t="shared" si="156"/>
        <v>60</v>
      </c>
      <c r="M254" s="101">
        <f t="shared" si="157"/>
        <v>120</v>
      </c>
      <c r="N254" s="98">
        <f t="shared" si="158"/>
        <v>60</v>
      </c>
      <c r="O254" s="101">
        <f t="shared" si="159"/>
        <v>120</v>
      </c>
      <c r="P254" s="22" t="str">
        <f t="shared" si="160"/>
        <v>物魔防%10</v>
      </c>
      <c r="Q254" s="100" t="str">
        <f t="shared" si="155"/>
        <v>龙晶碎片383/元宝383000</v>
      </c>
    </row>
    <row r="255" spans="1:17" ht="15.75" x14ac:dyDescent="0.3">
      <c r="A255" s="22" t="s">
        <v>2482</v>
      </c>
      <c r="B255" s="23" t="s">
        <v>2532</v>
      </c>
      <c r="C255" s="22">
        <v>49</v>
      </c>
      <c r="D255" s="22"/>
      <c r="E255" s="22"/>
      <c r="F255" s="101"/>
      <c r="G255" s="101"/>
      <c r="H255" s="101"/>
      <c r="I255" s="101"/>
      <c r="J255" s="101"/>
      <c r="K255" s="101"/>
      <c r="L255" s="98">
        <f t="shared" si="156"/>
        <v>61</v>
      </c>
      <c r="M255" s="101">
        <f t="shared" si="157"/>
        <v>122</v>
      </c>
      <c r="N255" s="98">
        <f t="shared" si="158"/>
        <v>61</v>
      </c>
      <c r="O255" s="101">
        <f t="shared" si="159"/>
        <v>122</v>
      </c>
      <c r="P255" s="22" t="str">
        <f t="shared" si="160"/>
        <v>物魔防%10</v>
      </c>
      <c r="Q255" s="100" t="str">
        <f t="shared" si="155"/>
        <v>龙晶碎片383/元宝383000</v>
      </c>
    </row>
    <row r="256" spans="1:17" ht="15.75" x14ac:dyDescent="0.3">
      <c r="A256" s="22" t="s">
        <v>2482</v>
      </c>
      <c r="B256" s="23" t="s">
        <v>2533</v>
      </c>
      <c r="C256" s="22">
        <v>50</v>
      </c>
      <c r="D256" s="22"/>
      <c r="E256" s="22"/>
      <c r="F256" s="101"/>
      <c r="G256" s="101"/>
      <c r="H256" s="101"/>
      <c r="I256" s="101"/>
      <c r="J256" s="101"/>
      <c r="K256" s="101"/>
      <c r="L256" s="98">
        <f t="shared" si="156"/>
        <v>63</v>
      </c>
      <c r="M256" s="101">
        <f t="shared" si="157"/>
        <v>125</v>
      </c>
      <c r="N256" s="98">
        <f t="shared" si="158"/>
        <v>63</v>
      </c>
      <c r="O256" s="101">
        <f t="shared" si="159"/>
        <v>125</v>
      </c>
      <c r="P256" s="22" t="str">
        <f t="shared" si="160"/>
        <v>物魔防%10</v>
      </c>
      <c r="Q256" s="100" t="str">
        <f t="shared" si="155"/>
        <v>龙晶碎片1244/元宝1244000</v>
      </c>
    </row>
    <row r="257" spans="1:17" ht="15.75" x14ac:dyDescent="0.3">
      <c r="A257" s="22" t="s">
        <v>2482</v>
      </c>
      <c r="B257" s="23" t="s">
        <v>2534</v>
      </c>
      <c r="C257" s="22">
        <v>51</v>
      </c>
      <c r="D257" s="22"/>
      <c r="E257" s="22"/>
      <c r="F257" s="101"/>
      <c r="G257" s="101"/>
      <c r="H257" s="101"/>
      <c r="I257" s="101"/>
      <c r="J257" s="101"/>
      <c r="K257" s="101"/>
      <c r="L257" s="98">
        <f t="shared" si="156"/>
        <v>64</v>
      </c>
      <c r="M257" s="101">
        <f t="shared" si="157"/>
        <v>127</v>
      </c>
      <c r="N257" s="98">
        <f t="shared" si="158"/>
        <v>64</v>
      </c>
      <c r="O257" s="101">
        <f t="shared" si="159"/>
        <v>127</v>
      </c>
      <c r="P257" s="22" t="str">
        <f t="shared" si="160"/>
        <v>物魔防%12</v>
      </c>
      <c r="Q257" s="100" t="str">
        <f t="shared" si="155"/>
        <v>龙晶碎片1244/元宝1244000</v>
      </c>
    </row>
    <row r="258" spans="1:17" ht="15.75" x14ac:dyDescent="0.3">
      <c r="A258" s="22" t="s">
        <v>2482</v>
      </c>
      <c r="B258" s="23" t="s">
        <v>2535</v>
      </c>
      <c r="C258" s="22">
        <v>52</v>
      </c>
      <c r="D258" s="22"/>
      <c r="E258" s="22"/>
      <c r="F258" s="101"/>
      <c r="G258" s="101"/>
      <c r="H258" s="101"/>
      <c r="I258" s="101"/>
      <c r="J258" s="101"/>
      <c r="K258" s="101"/>
      <c r="L258" s="98">
        <f t="shared" si="156"/>
        <v>65</v>
      </c>
      <c r="M258" s="101">
        <f t="shared" si="157"/>
        <v>130</v>
      </c>
      <c r="N258" s="98">
        <f t="shared" si="158"/>
        <v>65</v>
      </c>
      <c r="O258" s="101">
        <f t="shared" si="159"/>
        <v>130</v>
      </c>
      <c r="P258" s="22" t="str">
        <f t="shared" si="160"/>
        <v>物魔防%12</v>
      </c>
      <c r="Q258" s="100" t="str">
        <f t="shared" si="155"/>
        <v>龙晶碎片1244/元宝1244000</v>
      </c>
    </row>
    <row r="259" spans="1:17" ht="15.75" x14ac:dyDescent="0.3">
      <c r="A259" s="22" t="s">
        <v>2482</v>
      </c>
      <c r="B259" s="23" t="s">
        <v>2536</v>
      </c>
      <c r="C259" s="22">
        <v>53</v>
      </c>
      <c r="D259" s="22"/>
      <c r="E259" s="22"/>
      <c r="F259" s="101"/>
      <c r="G259" s="101"/>
      <c r="H259" s="101"/>
      <c r="I259" s="101"/>
      <c r="J259" s="101"/>
      <c r="K259" s="101"/>
      <c r="L259" s="98">
        <f t="shared" si="156"/>
        <v>66</v>
      </c>
      <c r="M259" s="101">
        <f t="shared" si="157"/>
        <v>132</v>
      </c>
      <c r="N259" s="98">
        <f t="shared" si="158"/>
        <v>66</v>
      </c>
      <c r="O259" s="101">
        <f t="shared" si="159"/>
        <v>132</v>
      </c>
      <c r="P259" s="22" t="str">
        <f t="shared" si="160"/>
        <v>物魔防%12</v>
      </c>
      <c r="Q259" s="100" t="str">
        <f t="shared" si="155"/>
        <v>龙晶碎片1244/元宝1244000</v>
      </c>
    </row>
    <row r="260" spans="1:17" ht="15.75" x14ac:dyDescent="0.3">
      <c r="A260" s="22" t="s">
        <v>2482</v>
      </c>
      <c r="B260" s="23" t="s">
        <v>2537</v>
      </c>
      <c r="C260" s="22">
        <v>54</v>
      </c>
      <c r="D260" s="22"/>
      <c r="E260" s="22"/>
      <c r="F260" s="101"/>
      <c r="G260" s="101"/>
      <c r="H260" s="101"/>
      <c r="I260" s="101"/>
      <c r="J260" s="101"/>
      <c r="K260" s="101"/>
      <c r="L260" s="98">
        <f t="shared" si="156"/>
        <v>68</v>
      </c>
      <c r="M260" s="101">
        <f t="shared" si="157"/>
        <v>135</v>
      </c>
      <c r="N260" s="98">
        <f t="shared" si="158"/>
        <v>68</v>
      </c>
      <c r="O260" s="101">
        <f t="shared" si="159"/>
        <v>135</v>
      </c>
      <c r="P260" s="22" t="str">
        <f t="shared" si="160"/>
        <v>物魔防%12</v>
      </c>
      <c r="Q260" s="100" t="str">
        <f t="shared" si="155"/>
        <v>龙晶碎片1244/元宝1244000</v>
      </c>
    </row>
    <row r="261" spans="1:17" ht="15.75" x14ac:dyDescent="0.3">
      <c r="A261" s="22" t="s">
        <v>2482</v>
      </c>
      <c r="B261" s="23" t="s">
        <v>2538</v>
      </c>
      <c r="C261" s="22">
        <v>55</v>
      </c>
      <c r="D261" s="22"/>
      <c r="E261" s="22"/>
      <c r="F261" s="101"/>
      <c r="G261" s="101"/>
      <c r="H261" s="101"/>
      <c r="I261" s="101"/>
      <c r="J261" s="101"/>
      <c r="K261" s="101"/>
      <c r="L261" s="98">
        <f t="shared" si="156"/>
        <v>69</v>
      </c>
      <c r="M261" s="101">
        <f t="shared" si="157"/>
        <v>137</v>
      </c>
      <c r="N261" s="98">
        <f t="shared" si="158"/>
        <v>69</v>
      </c>
      <c r="O261" s="101">
        <f t="shared" si="159"/>
        <v>137</v>
      </c>
      <c r="P261" s="22" t="str">
        <f t="shared" si="160"/>
        <v>物魔防%12</v>
      </c>
      <c r="Q261" s="100" t="str">
        <f t="shared" si="155"/>
        <v>龙晶碎片1244/元宝1244000</v>
      </c>
    </row>
    <row r="262" spans="1:17" ht="15.75" x14ac:dyDescent="0.3">
      <c r="A262" s="22" t="s">
        <v>2482</v>
      </c>
      <c r="B262" s="23" t="s">
        <v>2539</v>
      </c>
      <c r="C262" s="22">
        <v>56</v>
      </c>
      <c r="D262" s="22"/>
      <c r="E262" s="22"/>
      <c r="F262" s="101"/>
      <c r="G262" s="101"/>
      <c r="H262" s="101"/>
      <c r="I262" s="101"/>
      <c r="J262" s="101"/>
      <c r="K262" s="101"/>
      <c r="L262" s="98">
        <f t="shared" si="156"/>
        <v>70</v>
      </c>
      <c r="M262" s="101">
        <f t="shared" si="157"/>
        <v>140</v>
      </c>
      <c r="N262" s="98">
        <f t="shared" si="158"/>
        <v>70</v>
      </c>
      <c r="O262" s="101">
        <f t="shared" si="159"/>
        <v>140</v>
      </c>
      <c r="P262" s="22" t="str">
        <f t="shared" si="160"/>
        <v>物魔防%12</v>
      </c>
      <c r="Q262" s="100" t="str">
        <f t="shared" si="155"/>
        <v>龙晶碎片1244/元宝1244000</v>
      </c>
    </row>
    <row r="263" spans="1:17" ht="15.75" x14ac:dyDescent="0.3">
      <c r="A263" s="22" t="s">
        <v>2482</v>
      </c>
      <c r="B263" s="23" t="s">
        <v>2540</v>
      </c>
      <c r="C263" s="22">
        <v>57</v>
      </c>
      <c r="D263" s="22"/>
      <c r="E263" s="22"/>
      <c r="F263" s="101"/>
      <c r="G263" s="101"/>
      <c r="H263" s="101"/>
      <c r="I263" s="101"/>
      <c r="J263" s="101"/>
      <c r="K263" s="101"/>
      <c r="L263" s="98">
        <f t="shared" si="156"/>
        <v>71</v>
      </c>
      <c r="M263" s="101">
        <f t="shared" si="157"/>
        <v>142</v>
      </c>
      <c r="N263" s="98">
        <f t="shared" si="158"/>
        <v>71</v>
      </c>
      <c r="O263" s="101">
        <f t="shared" si="159"/>
        <v>142</v>
      </c>
      <c r="P263" s="22" t="str">
        <f t="shared" si="160"/>
        <v>物魔防%12</v>
      </c>
      <c r="Q263" s="100" t="str">
        <f t="shared" si="155"/>
        <v>龙晶碎片1244/元宝1244000</v>
      </c>
    </row>
    <row r="264" spans="1:17" ht="15.75" x14ac:dyDescent="0.3">
      <c r="A264" s="22" t="s">
        <v>2482</v>
      </c>
      <c r="B264" s="23" t="s">
        <v>2541</v>
      </c>
      <c r="C264" s="22">
        <v>58</v>
      </c>
      <c r="D264" s="22"/>
      <c r="E264" s="22"/>
      <c r="F264" s="101"/>
      <c r="G264" s="101"/>
      <c r="H264" s="101"/>
      <c r="I264" s="101"/>
      <c r="J264" s="101"/>
      <c r="K264" s="101"/>
      <c r="L264" s="98">
        <f t="shared" si="156"/>
        <v>73</v>
      </c>
      <c r="M264" s="101">
        <f t="shared" si="157"/>
        <v>145</v>
      </c>
      <c r="N264" s="98">
        <f t="shared" si="158"/>
        <v>73</v>
      </c>
      <c r="O264" s="101">
        <f t="shared" si="159"/>
        <v>145</v>
      </c>
      <c r="P264" s="22" t="str">
        <f t="shared" si="160"/>
        <v>物魔防%12</v>
      </c>
      <c r="Q264" s="100" t="str">
        <f t="shared" si="155"/>
        <v>龙晶碎片1244/元宝1244000</v>
      </c>
    </row>
    <row r="265" spans="1:17" ht="15.75" x14ac:dyDescent="0.3">
      <c r="A265" s="22" t="s">
        <v>2482</v>
      </c>
      <c r="B265" s="23" t="s">
        <v>2542</v>
      </c>
      <c r="C265" s="22">
        <v>59</v>
      </c>
      <c r="D265" s="22"/>
      <c r="E265" s="22"/>
      <c r="F265" s="101"/>
      <c r="G265" s="101"/>
      <c r="H265" s="101"/>
      <c r="I265" s="101"/>
      <c r="J265" s="101"/>
      <c r="K265" s="101"/>
      <c r="L265" s="98">
        <f t="shared" si="156"/>
        <v>74</v>
      </c>
      <c r="M265" s="101">
        <f t="shared" si="157"/>
        <v>147</v>
      </c>
      <c r="N265" s="98">
        <f t="shared" si="158"/>
        <v>74</v>
      </c>
      <c r="O265" s="101">
        <f t="shared" si="159"/>
        <v>147</v>
      </c>
      <c r="P265" s="22" t="str">
        <f t="shared" si="160"/>
        <v>物魔防%12</v>
      </c>
      <c r="Q265" s="100" t="str">
        <f t="shared" si="155"/>
        <v>龙晶碎片1244/元宝1244000</v>
      </c>
    </row>
    <row r="266" spans="1:17" ht="15.75" x14ac:dyDescent="0.3">
      <c r="A266" s="22" t="s">
        <v>2482</v>
      </c>
      <c r="B266" s="23" t="s">
        <v>2543</v>
      </c>
      <c r="C266" s="22">
        <v>60</v>
      </c>
      <c r="D266" s="22"/>
      <c r="E266" s="22"/>
      <c r="F266" s="101"/>
      <c r="G266" s="101"/>
      <c r="H266" s="101"/>
      <c r="I266" s="101"/>
      <c r="J266" s="101"/>
      <c r="K266" s="101"/>
      <c r="L266" s="98">
        <f t="shared" si="156"/>
        <v>75</v>
      </c>
      <c r="M266" s="101">
        <f t="shared" si="157"/>
        <v>150</v>
      </c>
      <c r="N266" s="98">
        <f t="shared" si="158"/>
        <v>75</v>
      </c>
      <c r="O266" s="101">
        <f t="shared" si="159"/>
        <v>150</v>
      </c>
      <c r="P266" s="22" t="str">
        <f t="shared" si="160"/>
        <v>物魔防%12</v>
      </c>
      <c r="Q266" s="100" t="str">
        <f t="shared" si="155"/>
        <v>龙晶碎片3130/元宝3130000</v>
      </c>
    </row>
    <row r="267" spans="1:17" ht="15.75" x14ac:dyDescent="0.3">
      <c r="A267" s="22" t="s">
        <v>2482</v>
      </c>
      <c r="B267" s="23" t="s">
        <v>2544</v>
      </c>
      <c r="C267" s="22">
        <v>61</v>
      </c>
      <c r="D267" s="22"/>
      <c r="E267" s="22"/>
      <c r="F267" s="101"/>
      <c r="G267" s="101"/>
      <c r="H267" s="101"/>
      <c r="I267" s="101"/>
      <c r="J267" s="101"/>
      <c r="K267" s="101"/>
      <c r="L267" s="98">
        <f t="shared" si="156"/>
        <v>76</v>
      </c>
      <c r="M267" s="101">
        <f t="shared" si="157"/>
        <v>152</v>
      </c>
      <c r="N267" s="98">
        <f t="shared" si="158"/>
        <v>76</v>
      </c>
      <c r="O267" s="101">
        <f t="shared" si="159"/>
        <v>152</v>
      </c>
      <c r="P267" s="22" t="str">
        <f t="shared" si="160"/>
        <v>物魔防%14</v>
      </c>
      <c r="Q267" s="100" t="str">
        <f t="shared" si="155"/>
        <v>龙晶碎片3130/元宝3130000</v>
      </c>
    </row>
    <row r="268" spans="1:17" ht="15.75" x14ac:dyDescent="0.3">
      <c r="A268" s="22" t="s">
        <v>2482</v>
      </c>
      <c r="B268" s="23" t="s">
        <v>2545</v>
      </c>
      <c r="C268" s="22">
        <v>62</v>
      </c>
      <c r="D268" s="22"/>
      <c r="E268" s="22"/>
      <c r="F268" s="101"/>
      <c r="G268" s="101"/>
      <c r="H268" s="101"/>
      <c r="I268" s="101"/>
      <c r="J268" s="101"/>
      <c r="K268" s="101"/>
      <c r="L268" s="98">
        <f t="shared" si="156"/>
        <v>78</v>
      </c>
      <c r="M268" s="101">
        <f t="shared" si="157"/>
        <v>155</v>
      </c>
      <c r="N268" s="98">
        <f t="shared" si="158"/>
        <v>78</v>
      </c>
      <c r="O268" s="101">
        <f t="shared" si="159"/>
        <v>155</v>
      </c>
      <c r="P268" s="22" t="str">
        <f t="shared" si="160"/>
        <v>物魔防%14</v>
      </c>
      <c r="Q268" s="100" t="str">
        <f t="shared" si="155"/>
        <v>龙晶碎片3130/元宝3130000</v>
      </c>
    </row>
    <row r="269" spans="1:17" ht="15.75" x14ac:dyDescent="0.3">
      <c r="A269" s="22" t="s">
        <v>2482</v>
      </c>
      <c r="B269" s="23" t="s">
        <v>2546</v>
      </c>
      <c r="C269" s="22">
        <v>63</v>
      </c>
      <c r="D269" s="22"/>
      <c r="E269" s="22"/>
      <c r="F269" s="101"/>
      <c r="G269" s="101"/>
      <c r="H269" s="101"/>
      <c r="I269" s="101"/>
      <c r="J269" s="101"/>
      <c r="K269" s="101"/>
      <c r="L269" s="98">
        <f t="shared" si="156"/>
        <v>79</v>
      </c>
      <c r="M269" s="101">
        <f t="shared" si="157"/>
        <v>157</v>
      </c>
      <c r="N269" s="98">
        <f t="shared" si="158"/>
        <v>79</v>
      </c>
      <c r="O269" s="101">
        <f t="shared" si="159"/>
        <v>157</v>
      </c>
      <c r="P269" s="22" t="str">
        <f t="shared" si="160"/>
        <v>物魔防%14</v>
      </c>
      <c r="Q269" s="100" t="str">
        <f t="shared" si="155"/>
        <v>龙晶碎片3130/元宝3130000</v>
      </c>
    </row>
    <row r="270" spans="1:17" ht="15.75" x14ac:dyDescent="0.3">
      <c r="A270" s="22" t="s">
        <v>2482</v>
      </c>
      <c r="B270" s="23" t="s">
        <v>2547</v>
      </c>
      <c r="C270" s="22">
        <v>64</v>
      </c>
      <c r="D270" s="22"/>
      <c r="E270" s="22"/>
      <c r="F270" s="101"/>
      <c r="G270" s="101"/>
      <c r="H270" s="101"/>
      <c r="I270" s="101"/>
      <c r="J270" s="101"/>
      <c r="K270" s="101"/>
      <c r="L270" s="98">
        <f t="shared" si="156"/>
        <v>80</v>
      </c>
      <c r="M270" s="101">
        <f t="shared" si="157"/>
        <v>160</v>
      </c>
      <c r="N270" s="98">
        <f t="shared" si="158"/>
        <v>80</v>
      </c>
      <c r="O270" s="101">
        <f t="shared" si="159"/>
        <v>160</v>
      </c>
      <c r="P270" s="22" t="str">
        <f t="shared" si="160"/>
        <v>物魔防%14</v>
      </c>
      <c r="Q270" s="100" t="str">
        <f t="shared" si="155"/>
        <v>龙晶碎片3130/元宝3130000</v>
      </c>
    </row>
    <row r="271" spans="1:17" ht="15.75" x14ac:dyDescent="0.3">
      <c r="A271" s="22" t="s">
        <v>2482</v>
      </c>
      <c r="B271" s="23" t="s">
        <v>2548</v>
      </c>
      <c r="C271" s="22">
        <v>65</v>
      </c>
      <c r="D271" s="22"/>
      <c r="E271" s="22"/>
      <c r="F271" s="101"/>
      <c r="G271" s="101"/>
      <c r="H271" s="101"/>
      <c r="I271" s="101"/>
      <c r="J271" s="101"/>
      <c r="K271" s="101"/>
      <c r="L271" s="98">
        <f t="shared" si="156"/>
        <v>81</v>
      </c>
      <c r="M271" s="101">
        <f t="shared" si="157"/>
        <v>162</v>
      </c>
      <c r="N271" s="98">
        <f t="shared" si="158"/>
        <v>81</v>
      </c>
      <c r="O271" s="101">
        <f t="shared" si="159"/>
        <v>162</v>
      </c>
      <c r="P271" s="22" t="str">
        <f t="shared" si="160"/>
        <v>物魔防%14</v>
      </c>
      <c r="Q271" s="100" t="str">
        <f t="shared" ref="Q271:Q305" si="161">"龙晶碎片"&amp;AB69&amp;"/元宝"&amp;AC69</f>
        <v>龙晶碎片3130/元宝3130000</v>
      </c>
    </row>
    <row r="272" spans="1:17" ht="15.75" x14ac:dyDescent="0.3">
      <c r="A272" s="22" t="s">
        <v>2482</v>
      </c>
      <c r="B272" s="23" t="s">
        <v>2549</v>
      </c>
      <c r="C272" s="22">
        <v>66</v>
      </c>
      <c r="D272" s="22"/>
      <c r="E272" s="22"/>
      <c r="F272" s="101"/>
      <c r="G272" s="101"/>
      <c r="H272" s="101"/>
      <c r="I272" s="101"/>
      <c r="J272" s="101"/>
      <c r="K272" s="101"/>
      <c r="L272" s="98">
        <f t="shared" ref="L272:L306" si="162">ROUND(0.5*AJ69,0)</f>
        <v>83</v>
      </c>
      <c r="M272" s="101">
        <f t="shared" ref="M272:M306" si="163">ROUND(AJ69,0)</f>
        <v>165</v>
      </c>
      <c r="N272" s="98">
        <f t="shared" ref="N272:N306" si="164">ROUND(0.5*AJ69,0)</f>
        <v>83</v>
      </c>
      <c r="O272" s="101">
        <f t="shared" ref="O272:O306" si="165">ROUND(AJ69,0)</f>
        <v>165</v>
      </c>
      <c r="P272" s="22" t="str">
        <f t="shared" ref="P272:P306" si="166">$AK$3&amp;AK69</f>
        <v>物魔防%14</v>
      </c>
      <c r="Q272" s="100" t="str">
        <f t="shared" si="161"/>
        <v>龙晶碎片3130/元宝3130000</v>
      </c>
    </row>
    <row r="273" spans="1:17" ht="15.75" x14ac:dyDescent="0.3">
      <c r="A273" s="22" t="s">
        <v>2482</v>
      </c>
      <c r="B273" s="23" t="s">
        <v>2550</v>
      </c>
      <c r="C273" s="22">
        <v>67</v>
      </c>
      <c r="D273" s="22"/>
      <c r="E273" s="22"/>
      <c r="F273" s="101"/>
      <c r="G273" s="101"/>
      <c r="H273" s="101"/>
      <c r="I273" s="101"/>
      <c r="J273" s="101"/>
      <c r="K273" s="101"/>
      <c r="L273" s="98">
        <f t="shared" si="162"/>
        <v>84</v>
      </c>
      <c r="M273" s="101">
        <f t="shared" si="163"/>
        <v>167</v>
      </c>
      <c r="N273" s="98">
        <f t="shared" si="164"/>
        <v>84</v>
      </c>
      <c r="O273" s="101">
        <f t="shared" si="165"/>
        <v>167</v>
      </c>
      <c r="P273" s="22" t="str">
        <f t="shared" si="166"/>
        <v>物魔防%14</v>
      </c>
      <c r="Q273" s="100" t="str">
        <f t="shared" si="161"/>
        <v>龙晶碎片3130/元宝3130000</v>
      </c>
    </row>
    <row r="274" spans="1:17" ht="15.75" x14ac:dyDescent="0.3">
      <c r="A274" s="22" t="s">
        <v>2482</v>
      </c>
      <c r="B274" s="23" t="s">
        <v>2551</v>
      </c>
      <c r="C274" s="22">
        <v>68</v>
      </c>
      <c r="D274" s="22"/>
      <c r="E274" s="22"/>
      <c r="F274" s="101"/>
      <c r="G274" s="101"/>
      <c r="H274" s="101"/>
      <c r="I274" s="101"/>
      <c r="J274" s="101"/>
      <c r="K274" s="101"/>
      <c r="L274" s="98">
        <f t="shared" si="162"/>
        <v>85</v>
      </c>
      <c r="M274" s="101">
        <f t="shared" si="163"/>
        <v>170</v>
      </c>
      <c r="N274" s="98">
        <f t="shared" si="164"/>
        <v>85</v>
      </c>
      <c r="O274" s="101">
        <f t="shared" si="165"/>
        <v>170</v>
      </c>
      <c r="P274" s="22" t="str">
        <f t="shared" si="166"/>
        <v>物魔防%14</v>
      </c>
      <c r="Q274" s="100" t="str">
        <f t="shared" si="161"/>
        <v>龙晶碎片3130/元宝3130000</v>
      </c>
    </row>
    <row r="275" spans="1:17" ht="15.75" x14ac:dyDescent="0.3">
      <c r="A275" s="22" t="s">
        <v>2482</v>
      </c>
      <c r="B275" s="23" t="s">
        <v>2552</v>
      </c>
      <c r="C275" s="22">
        <v>69</v>
      </c>
      <c r="D275" s="22"/>
      <c r="E275" s="22"/>
      <c r="F275" s="101"/>
      <c r="G275" s="101"/>
      <c r="H275" s="101"/>
      <c r="I275" s="101"/>
      <c r="J275" s="101"/>
      <c r="K275" s="101"/>
      <c r="L275" s="98">
        <f t="shared" si="162"/>
        <v>86</v>
      </c>
      <c r="M275" s="101">
        <f t="shared" si="163"/>
        <v>172</v>
      </c>
      <c r="N275" s="98">
        <f t="shared" si="164"/>
        <v>86</v>
      </c>
      <c r="O275" s="101">
        <f t="shared" si="165"/>
        <v>172</v>
      </c>
      <c r="P275" s="22" t="str">
        <f t="shared" si="166"/>
        <v>物魔防%14</v>
      </c>
      <c r="Q275" s="100" t="str">
        <f t="shared" si="161"/>
        <v>龙晶碎片3130/元宝3130000</v>
      </c>
    </row>
    <row r="276" spans="1:17" ht="15.75" x14ac:dyDescent="0.3">
      <c r="A276" s="22" t="s">
        <v>2482</v>
      </c>
      <c r="B276" s="23" t="s">
        <v>2553</v>
      </c>
      <c r="C276" s="22">
        <v>70</v>
      </c>
      <c r="D276" s="22"/>
      <c r="E276" s="22"/>
      <c r="F276" s="101"/>
      <c r="G276" s="101"/>
      <c r="H276" s="101"/>
      <c r="I276" s="101"/>
      <c r="J276" s="101"/>
      <c r="K276" s="101"/>
      <c r="L276" s="98">
        <f t="shared" si="162"/>
        <v>88</v>
      </c>
      <c r="M276" s="101">
        <f t="shared" si="163"/>
        <v>175</v>
      </c>
      <c r="N276" s="98">
        <f t="shared" si="164"/>
        <v>88</v>
      </c>
      <c r="O276" s="101">
        <f t="shared" si="165"/>
        <v>175</v>
      </c>
      <c r="P276" s="22" t="str">
        <f t="shared" si="166"/>
        <v>物魔防%14</v>
      </c>
      <c r="Q276" s="100" t="str">
        <f t="shared" si="161"/>
        <v>龙晶碎片3641/元宝3641000</v>
      </c>
    </row>
    <row r="277" spans="1:17" ht="15.75" x14ac:dyDescent="0.3">
      <c r="A277" s="22" t="s">
        <v>2482</v>
      </c>
      <c r="B277" s="23" t="s">
        <v>2554</v>
      </c>
      <c r="C277" s="22">
        <v>71</v>
      </c>
      <c r="D277" s="22"/>
      <c r="E277" s="22"/>
      <c r="F277" s="101"/>
      <c r="G277" s="101"/>
      <c r="H277" s="101"/>
      <c r="I277" s="101"/>
      <c r="J277" s="101"/>
      <c r="K277" s="101"/>
      <c r="L277" s="98">
        <f t="shared" si="162"/>
        <v>89</v>
      </c>
      <c r="M277" s="101">
        <f t="shared" si="163"/>
        <v>177</v>
      </c>
      <c r="N277" s="98">
        <f t="shared" si="164"/>
        <v>89</v>
      </c>
      <c r="O277" s="101">
        <f t="shared" si="165"/>
        <v>177</v>
      </c>
      <c r="P277" s="22" t="str">
        <f t="shared" si="166"/>
        <v>物魔防%16</v>
      </c>
      <c r="Q277" s="100" t="str">
        <f t="shared" si="161"/>
        <v>龙晶碎片3641/元宝3641000</v>
      </c>
    </row>
    <row r="278" spans="1:17" ht="15.75" x14ac:dyDescent="0.3">
      <c r="A278" s="22" t="s">
        <v>2482</v>
      </c>
      <c r="B278" s="23" t="s">
        <v>2555</v>
      </c>
      <c r="C278" s="22">
        <v>72</v>
      </c>
      <c r="D278" s="22"/>
      <c r="E278" s="22"/>
      <c r="F278" s="101"/>
      <c r="G278" s="101"/>
      <c r="H278" s="101"/>
      <c r="I278" s="101"/>
      <c r="J278" s="101"/>
      <c r="K278" s="101"/>
      <c r="L278" s="98">
        <f t="shared" si="162"/>
        <v>90</v>
      </c>
      <c r="M278" s="101">
        <f t="shared" si="163"/>
        <v>180</v>
      </c>
      <c r="N278" s="98">
        <f t="shared" si="164"/>
        <v>90</v>
      </c>
      <c r="O278" s="101">
        <f t="shared" si="165"/>
        <v>180</v>
      </c>
      <c r="P278" s="22" t="str">
        <f t="shared" si="166"/>
        <v>物魔防%16</v>
      </c>
      <c r="Q278" s="100" t="str">
        <f t="shared" si="161"/>
        <v>龙晶碎片3641/元宝3641000</v>
      </c>
    </row>
    <row r="279" spans="1:17" ht="15.75" x14ac:dyDescent="0.3">
      <c r="A279" s="22" t="s">
        <v>2482</v>
      </c>
      <c r="B279" s="23" t="s">
        <v>2556</v>
      </c>
      <c r="C279" s="22">
        <v>73</v>
      </c>
      <c r="D279" s="22"/>
      <c r="E279" s="22"/>
      <c r="F279" s="101"/>
      <c r="G279" s="101"/>
      <c r="H279" s="101"/>
      <c r="I279" s="101"/>
      <c r="J279" s="101"/>
      <c r="K279" s="101"/>
      <c r="L279" s="98">
        <f t="shared" si="162"/>
        <v>91</v>
      </c>
      <c r="M279" s="101">
        <f t="shared" si="163"/>
        <v>182</v>
      </c>
      <c r="N279" s="98">
        <f t="shared" si="164"/>
        <v>91</v>
      </c>
      <c r="O279" s="101">
        <f t="shared" si="165"/>
        <v>182</v>
      </c>
      <c r="P279" s="22" t="str">
        <f t="shared" si="166"/>
        <v>物魔防%16</v>
      </c>
      <c r="Q279" s="100" t="str">
        <f t="shared" si="161"/>
        <v>龙晶碎片3641/元宝3641000</v>
      </c>
    </row>
    <row r="280" spans="1:17" ht="15.75" x14ac:dyDescent="0.3">
      <c r="A280" s="22" t="s">
        <v>2482</v>
      </c>
      <c r="B280" s="23" t="s">
        <v>2557</v>
      </c>
      <c r="C280" s="22">
        <v>74</v>
      </c>
      <c r="D280" s="22"/>
      <c r="E280" s="22"/>
      <c r="F280" s="101"/>
      <c r="G280" s="101"/>
      <c r="H280" s="101"/>
      <c r="I280" s="101"/>
      <c r="J280" s="101"/>
      <c r="K280" s="101"/>
      <c r="L280" s="98">
        <f t="shared" si="162"/>
        <v>93</v>
      </c>
      <c r="M280" s="101">
        <f t="shared" si="163"/>
        <v>185</v>
      </c>
      <c r="N280" s="98">
        <f t="shared" si="164"/>
        <v>93</v>
      </c>
      <c r="O280" s="101">
        <f t="shared" si="165"/>
        <v>185</v>
      </c>
      <c r="P280" s="22" t="str">
        <f t="shared" si="166"/>
        <v>物魔防%16</v>
      </c>
      <c r="Q280" s="100" t="str">
        <f t="shared" si="161"/>
        <v>龙晶碎片3641/元宝3641000</v>
      </c>
    </row>
    <row r="281" spans="1:17" ht="15.75" x14ac:dyDescent="0.3">
      <c r="A281" s="22" t="s">
        <v>2482</v>
      </c>
      <c r="B281" s="23" t="s">
        <v>2558</v>
      </c>
      <c r="C281" s="22">
        <v>75</v>
      </c>
      <c r="D281" s="22"/>
      <c r="E281" s="22"/>
      <c r="F281" s="101"/>
      <c r="G281" s="101"/>
      <c r="H281" s="101"/>
      <c r="I281" s="101"/>
      <c r="J281" s="101"/>
      <c r="K281" s="101"/>
      <c r="L281" s="98">
        <f t="shared" si="162"/>
        <v>94</v>
      </c>
      <c r="M281" s="101">
        <f t="shared" si="163"/>
        <v>187</v>
      </c>
      <c r="N281" s="98">
        <f t="shared" si="164"/>
        <v>94</v>
      </c>
      <c r="O281" s="101">
        <f t="shared" si="165"/>
        <v>187</v>
      </c>
      <c r="P281" s="22" t="str">
        <f t="shared" si="166"/>
        <v>物魔防%16</v>
      </c>
      <c r="Q281" s="100" t="str">
        <f t="shared" si="161"/>
        <v>龙晶碎片3641/元宝3641000</v>
      </c>
    </row>
    <row r="282" spans="1:17" ht="15.75" x14ac:dyDescent="0.3">
      <c r="A282" s="22" t="s">
        <v>2482</v>
      </c>
      <c r="B282" s="23" t="s">
        <v>2559</v>
      </c>
      <c r="C282" s="22">
        <v>76</v>
      </c>
      <c r="D282" s="22"/>
      <c r="E282" s="22"/>
      <c r="F282" s="101"/>
      <c r="G282" s="101"/>
      <c r="H282" s="101"/>
      <c r="I282" s="101"/>
      <c r="J282" s="101"/>
      <c r="K282" s="101"/>
      <c r="L282" s="98">
        <f t="shared" si="162"/>
        <v>95</v>
      </c>
      <c r="M282" s="101">
        <f t="shared" si="163"/>
        <v>190</v>
      </c>
      <c r="N282" s="98">
        <f t="shared" si="164"/>
        <v>95</v>
      </c>
      <c r="O282" s="101">
        <f t="shared" si="165"/>
        <v>190</v>
      </c>
      <c r="P282" s="22" t="str">
        <f t="shared" si="166"/>
        <v>物魔防%16</v>
      </c>
      <c r="Q282" s="100" t="str">
        <f t="shared" si="161"/>
        <v>龙晶碎片3641/元宝3641000</v>
      </c>
    </row>
    <row r="283" spans="1:17" ht="15.75" x14ac:dyDescent="0.3">
      <c r="A283" s="22" t="s">
        <v>2482</v>
      </c>
      <c r="B283" s="23" t="s">
        <v>2560</v>
      </c>
      <c r="C283" s="22">
        <v>77</v>
      </c>
      <c r="D283" s="22"/>
      <c r="E283" s="22"/>
      <c r="F283" s="101"/>
      <c r="G283" s="101"/>
      <c r="H283" s="101"/>
      <c r="I283" s="101"/>
      <c r="J283" s="101"/>
      <c r="K283" s="101"/>
      <c r="L283" s="98">
        <f t="shared" si="162"/>
        <v>96</v>
      </c>
      <c r="M283" s="101">
        <f t="shared" si="163"/>
        <v>192</v>
      </c>
      <c r="N283" s="98">
        <f t="shared" si="164"/>
        <v>96</v>
      </c>
      <c r="O283" s="101">
        <f t="shared" si="165"/>
        <v>192</v>
      </c>
      <c r="P283" s="22" t="str">
        <f t="shared" si="166"/>
        <v>物魔防%16</v>
      </c>
      <c r="Q283" s="100" t="str">
        <f t="shared" si="161"/>
        <v>龙晶碎片3641/元宝3641000</v>
      </c>
    </row>
    <row r="284" spans="1:17" ht="15.75" x14ac:dyDescent="0.3">
      <c r="A284" s="22" t="s">
        <v>2482</v>
      </c>
      <c r="B284" s="23" t="s">
        <v>2561</v>
      </c>
      <c r="C284" s="22">
        <v>78</v>
      </c>
      <c r="D284" s="22"/>
      <c r="E284" s="22"/>
      <c r="F284" s="101"/>
      <c r="G284" s="101"/>
      <c r="H284" s="101"/>
      <c r="I284" s="101"/>
      <c r="J284" s="101"/>
      <c r="K284" s="101"/>
      <c r="L284" s="98">
        <f t="shared" si="162"/>
        <v>98</v>
      </c>
      <c r="M284" s="101">
        <f t="shared" si="163"/>
        <v>195</v>
      </c>
      <c r="N284" s="98">
        <f t="shared" si="164"/>
        <v>98</v>
      </c>
      <c r="O284" s="101">
        <f t="shared" si="165"/>
        <v>195</v>
      </c>
      <c r="P284" s="22" t="str">
        <f t="shared" si="166"/>
        <v>物魔防%16</v>
      </c>
      <c r="Q284" s="100" t="str">
        <f t="shared" si="161"/>
        <v>龙晶碎片3641/元宝3641000</v>
      </c>
    </row>
    <row r="285" spans="1:17" ht="15.75" x14ac:dyDescent="0.3">
      <c r="A285" s="22" t="s">
        <v>2482</v>
      </c>
      <c r="B285" s="23" t="s">
        <v>2562</v>
      </c>
      <c r="C285" s="22">
        <v>79</v>
      </c>
      <c r="D285" s="22"/>
      <c r="E285" s="22"/>
      <c r="F285" s="101"/>
      <c r="G285" s="101"/>
      <c r="H285" s="101"/>
      <c r="I285" s="101"/>
      <c r="J285" s="101"/>
      <c r="K285" s="101"/>
      <c r="L285" s="98">
        <f t="shared" si="162"/>
        <v>99</v>
      </c>
      <c r="M285" s="101">
        <f t="shared" si="163"/>
        <v>197</v>
      </c>
      <c r="N285" s="98">
        <f t="shared" si="164"/>
        <v>99</v>
      </c>
      <c r="O285" s="101">
        <f t="shared" si="165"/>
        <v>197</v>
      </c>
      <c r="P285" s="22" t="str">
        <f t="shared" si="166"/>
        <v>物魔防%16</v>
      </c>
      <c r="Q285" s="100" t="str">
        <f t="shared" si="161"/>
        <v>龙晶碎片3641/元宝3641000</v>
      </c>
    </row>
    <row r="286" spans="1:17" ht="15.75" x14ac:dyDescent="0.3">
      <c r="A286" s="22" t="s">
        <v>2482</v>
      </c>
      <c r="B286" s="23" t="s">
        <v>2563</v>
      </c>
      <c r="C286" s="22">
        <v>80</v>
      </c>
      <c r="D286" s="22"/>
      <c r="E286" s="22"/>
      <c r="F286" s="101"/>
      <c r="G286" s="101"/>
      <c r="H286" s="101"/>
      <c r="I286" s="101"/>
      <c r="J286" s="101"/>
      <c r="K286" s="101"/>
      <c r="L286" s="98">
        <f t="shared" si="162"/>
        <v>100</v>
      </c>
      <c r="M286" s="101">
        <f t="shared" si="163"/>
        <v>200</v>
      </c>
      <c r="N286" s="98">
        <f t="shared" si="164"/>
        <v>100</v>
      </c>
      <c r="O286" s="101">
        <f t="shared" si="165"/>
        <v>200</v>
      </c>
      <c r="P286" s="22" t="str">
        <f t="shared" si="166"/>
        <v>物魔防%16</v>
      </c>
      <c r="Q286" s="100" t="str">
        <f t="shared" si="161"/>
        <v>龙晶碎片5324/元宝5324000</v>
      </c>
    </row>
    <row r="287" spans="1:17" ht="15.75" x14ac:dyDescent="0.3">
      <c r="A287" s="22" t="s">
        <v>2482</v>
      </c>
      <c r="B287" s="23" t="s">
        <v>2564</v>
      </c>
      <c r="C287" s="22">
        <v>81</v>
      </c>
      <c r="D287" s="22"/>
      <c r="E287" s="22"/>
      <c r="F287" s="101"/>
      <c r="G287" s="101"/>
      <c r="H287" s="101"/>
      <c r="I287" s="101"/>
      <c r="J287" s="101"/>
      <c r="K287" s="101"/>
      <c r="L287" s="98">
        <f t="shared" si="162"/>
        <v>101</v>
      </c>
      <c r="M287" s="101">
        <f t="shared" si="163"/>
        <v>202</v>
      </c>
      <c r="N287" s="98">
        <f t="shared" si="164"/>
        <v>101</v>
      </c>
      <c r="O287" s="101">
        <f t="shared" si="165"/>
        <v>202</v>
      </c>
      <c r="P287" s="22" t="str">
        <f t="shared" si="166"/>
        <v>物魔防%18</v>
      </c>
      <c r="Q287" s="100" t="str">
        <f t="shared" si="161"/>
        <v>龙晶碎片5324/元宝5324000</v>
      </c>
    </row>
    <row r="288" spans="1:17" ht="15.75" x14ac:dyDescent="0.3">
      <c r="A288" s="22" t="s">
        <v>2482</v>
      </c>
      <c r="B288" s="23" t="s">
        <v>2565</v>
      </c>
      <c r="C288" s="22">
        <v>82</v>
      </c>
      <c r="D288" s="22"/>
      <c r="E288" s="22"/>
      <c r="F288" s="101"/>
      <c r="G288" s="101"/>
      <c r="H288" s="101"/>
      <c r="I288" s="101"/>
      <c r="J288" s="101"/>
      <c r="K288" s="101"/>
      <c r="L288" s="98">
        <f t="shared" si="162"/>
        <v>103</v>
      </c>
      <c r="M288" s="101">
        <f t="shared" si="163"/>
        <v>205</v>
      </c>
      <c r="N288" s="98">
        <f t="shared" si="164"/>
        <v>103</v>
      </c>
      <c r="O288" s="101">
        <f t="shared" si="165"/>
        <v>205</v>
      </c>
      <c r="P288" s="22" t="str">
        <f t="shared" si="166"/>
        <v>物魔防%18</v>
      </c>
      <c r="Q288" s="100" t="str">
        <f t="shared" si="161"/>
        <v>龙晶碎片5324/元宝5324000</v>
      </c>
    </row>
    <row r="289" spans="1:17" ht="15.75" x14ac:dyDescent="0.3">
      <c r="A289" s="22" t="s">
        <v>2482</v>
      </c>
      <c r="B289" s="23" t="s">
        <v>2566</v>
      </c>
      <c r="C289" s="22">
        <v>83</v>
      </c>
      <c r="D289" s="22"/>
      <c r="E289" s="22"/>
      <c r="F289" s="101"/>
      <c r="G289" s="101"/>
      <c r="H289" s="101"/>
      <c r="I289" s="101"/>
      <c r="J289" s="101"/>
      <c r="K289" s="101"/>
      <c r="L289" s="98">
        <f t="shared" si="162"/>
        <v>104</v>
      </c>
      <c r="M289" s="101">
        <f t="shared" si="163"/>
        <v>207</v>
      </c>
      <c r="N289" s="98">
        <f t="shared" si="164"/>
        <v>104</v>
      </c>
      <c r="O289" s="101">
        <f t="shared" si="165"/>
        <v>207</v>
      </c>
      <c r="P289" s="22" t="str">
        <f t="shared" si="166"/>
        <v>物魔防%18</v>
      </c>
      <c r="Q289" s="100" t="str">
        <f t="shared" si="161"/>
        <v>龙晶碎片5324/元宝5324000</v>
      </c>
    </row>
    <row r="290" spans="1:17" ht="15.75" x14ac:dyDescent="0.3">
      <c r="A290" s="22" t="s">
        <v>2482</v>
      </c>
      <c r="B290" s="23" t="s">
        <v>2567</v>
      </c>
      <c r="C290" s="22">
        <v>84</v>
      </c>
      <c r="D290" s="22"/>
      <c r="E290" s="22"/>
      <c r="F290" s="101"/>
      <c r="G290" s="101"/>
      <c r="H290" s="101"/>
      <c r="I290" s="101"/>
      <c r="J290" s="101"/>
      <c r="K290" s="101"/>
      <c r="L290" s="98">
        <f t="shared" si="162"/>
        <v>105</v>
      </c>
      <c r="M290" s="101">
        <f t="shared" si="163"/>
        <v>210</v>
      </c>
      <c r="N290" s="98">
        <f t="shared" si="164"/>
        <v>105</v>
      </c>
      <c r="O290" s="101">
        <f t="shared" si="165"/>
        <v>210</v>
      </c>
      <c r="P290" s="22" t="str">
        <f t="shared" si="166"/>
        <v>物魔防%18</v>
      </c>
      <c r="Q290" s="100" t="str">
        <f t="shared" si="161"/>
        <v>龙晶碎片5324/元宝5324000</v>
      </c>
    </row>
    <row r="291" spans="1:17" ht="15.75" x14ac:dyDescent="0.3">
      <c r="A291" s="22" t="s">
        <v>2482</v>
      </c>
      <c r="B291" s="23" t="s">
        <v>2568</v>
      </c>
      <c r="C291" s="22">
        <v>85</v>
      </c>
      <c r="D291" s="22"/>
      <c r="E291" s="22"/>
      <c r="F291" s="101"/>
      <c r="G291" s="101"/>
      <c r="H291" s="101"/>
      <c r="I291" s="101"/>
      <c r="J291" s="101"/>
      <c r="K291" s="101"/>
      <c r="L291" s="98">
        <f t="shared" si="162"/>
        <v>106</v>
      </c>
      <c r="M291" s="101">
        <f t="shared" si="163"/>
        <v>212</v>
      </c>
      <c r="N291" s="98">
        <f t="shared" si="164"/>
        <v>106</v>
      </c>
      <c r="O291" s="101">
        <f t="shared" si="165"/>
        <v>212</v>
      </c>
      <c r="P291" s="22" t="str">
        <f t="shared" si="166"/>
        <v>物魔防%18</v>
      </c>
      <c r="Q291" s="100" t="str">
        <f t="shared" si="161"/>
        <v>龙晶碎片5324/元宝5324000</v>
      </c>
    </row>
    <row r="292" spans="1:17" ht="15.75" x14ac:dyDescent="0.3">
      <c r="A292" s="22" t="s">
        <v>2482</v>
      </c>
      <c r="B292" s="23" t="s">
        <v>2569</v>
      </c>
      <c r="C292" s="22">
        <v>86</v>
      </c>
      <c r="D292" s="22"/>
      <c r="E292" s="22"/>
      <c r="F292" s="101"/>
      <c r="G292" s="101"/>
      <c r="H292" s="101"/>
      <c r="I292" s="101"/>
      <c r="J292" s="101"/>
      <c r="K292" s="101"/>
      <c r="L292" s="98">
        <f t="shared" si="162"/>
        <v>108</v>
      </c>
      <c r="M292" s="101">
        <f t="shared" si="163"/>
        <v>215</v>
      </c>
      <c r="N292" s="98">
        <f t="shared" si="164"/>
        <v>108</v>
      </c>
      <c r="O292" s="101">
        <f t="shared" si="165"/>
        <v>215</v>
      </c>
      <c r="P292" s="22" t="str">
        <f t="shared" si="166"/>
        <v>物魔防%18</v>
      </c>
      <c r="Q292" s="100" t="str">
        <f t="shared" si="161"/>
        <v>龙晶碎片5324/元宝5324000</v>
      </c>
    </row>
    <row r="293" spans="1:17" ht="15.75" x14ac:dyDescent="0.3">
      <c r="A293" s="22" t="s">
        <v>2482</v>
      </c>
      <c r="B293" s="23" t="s">
        <v>2570</v>
      </c>
      <c r="C293" s="22">
        <v>87</v>
      </c>
      <c r="D293" s="22"/>
      <c r="E293" s="22"/>
      <c r="F293" s="101"/>
      <c r="G293" s="101"/>
      <c r="H293" s="101"/>
      <c r="I293" s="101"/>
      <c r="J293" s="101"/>
      <c r="K293" s="101"/>
      <c r="L293" s="98">
        <f t="shared" si="162"/>
        <v>109</v>
      </c>
      <c r="M293" s="101">
        <f t="shared" si="163"/>
        <v>217</v>
      </c>
      <c r="N293" s="98">
        <f t="shared" si="164"/>
        <v>109</v>
      </c>
      <c r="O293" s="101">
        <f t="shared" si="165"/>
        <v>217</v>
      </c>
      <c r="P293" s="22" t="str">
        <f t="shared" si="166"/>
        <v>物魔防%18</v>
      </c>
      <c r="Q293" s="100" t="str">
        <f t="shared" si="161"/>
        <v>龙晶碎片5324/元宝5324000</v>
      </c>
    </row>
    <row r="294" spans="1:17" ht="15.75" x14ac:dyDescent="0.3">
      <c r="A294" s="22" t="s">
        <v>2482</v>
      </c>
      <c r="B294" s="23" t="s">
        <v>2571</v>
      </c>
      <c r="C294" s="22">
        <v>88</v>
      </c>
      <c r="D294" s="22"/>
      <c r="E294" s="22"/>
      <c r="F294" s="101"/>
      <c r="G294" s="101"/>
      <c r="H294" s="101"/>
      <c r="I294" s="101"/>
      <c r="J294" s="101"/>
      <c r="K294" s="101"/>
      <c r="L294" s="98">
        <f t="shared" si="162"/>
        <v>110</v>
      </c>
      <c r="M294" s="101">
        <f t="shared" si="163"/>
        <v>220</v>
      </c>
      <c r="N294" s="98">
        <f t="shared" si="164"/>
        <v>110</v>
      </c>
      <c r="O294" s="101">
        <f t="shared" si="165"/>
        <v>220</v>
      </c>
      <c r="P294" s="22" t="str">
        <f t="shared" si="166"/>
        <v>物魔防%18</v>
      </c>
      <c r="Q294" s="100" t="str">
        <f t="shared" si="161"/>
        <v>龙晶碎片5324/元宝5324000</v>
      </c>
    </row>
    <row r="295" spans="1:17" ht="15.75" x14ac:dyDescent="0.3">
      <c r="A295" s="22" t="s">
        <v>2482</v>
      </c>
      <c r="B295" s="23" t="s">
        <v>2572</v>
      </c>
      <c r="C295" s="22">
        <v>89</v>
      </c>
      <c r="D295" s="22"/>
      <c r="E295" s="22"/>
      <c r="F295" s="101"/>
      <c r="G295" s="101"/>
      <c r="H295" s="101"/>
      <c r="I295" s="101"/>
      <c r="J295" s="101"/>
      <c r="K295" s="101"/>
      <c r="L295" s="98">
        <f t="shared" si="162"/>
        <v>111</v>
      </c>
      <c r="M295" s="101">
        <f t="shared" si="163"/>
        <v>222</v>
      </c>
      <c r="N295" s="98">
        <f t="shared" si="164"/>
        <v>111</v>
      </c>
      <c r="O295" s="101">
        <f t="shared" si="165"/>
        <v>222</v>
      </c>
      <c r="P295" s="22" t="str">
        <f t="shared" si="166"/>
        <v>物魔防%18</v>
      </c>
      <c r="Q295" s="100" t="str">
        <f t="shared" si="161"/>
        <v>龙晶碎片5324/元宝5324000</v>
      </c>
    </row>
    <row r="296" spans="1:17" ht="15.75" x14ac:dyDescent="0.3">
      <c r="A296" s="22" t="s">
        <v>2482</v>
      </c>
      <c r="B296" s="23" t="s">
        <v>2573</v>
      </c>
      <c r="C296" s="22">
        <v>90</v>
      </c>
      <c r="D296" s="22"/>
      <c r="E296" s="22"/>
      <c r="F296" s="101"/>
      <c r="G296" s="101"/>
      <c r="H296" s="101"/>
      <c r="I296" s="101"/>
      <c r="J296" s="101"/>
      <c r="K296" s="101"/>
      <c r="L296" s="98">
        <f t="shared" si="162"/>
        <v>113</v>
      </c>
      <c r="M296" s="101">
        <f t="shared" si="163"/>
        <v>225</v>
      </c>
      <c r="N296" s="98">
        <f t="shared" si="164"/>
        <v>113</v>
      </c>
      <c r="O296" s="101">
        <f t="shared" si="165"/>
        <v>225</v>
      </c>
      <c r="P296" s="22" t="str">
        <f t="shared" si="166"/>
        <v>物魔防%18</v>
      </c>
      <c r="Q296" s="100" t="str">
        <f t="shared" si="161"/>
        <v>龙晶碎片5835/元宝5835000</v>
      </c>
    </row>
    <row r="297" spans="1:17" ht="15.75" x14ac:dyDescent="0.3">
      <c r="A297" s="22" t="s">
        <v>2482</v>
      </c>
      <c r="B297" s="23" t="s">
        <v>2574</v>
      </c>
      <c r="C297" s="22">
        <v>91</v>
      </c>
      <c r="D297" s="22"/>
      <c r="E297" s="22"/>
      <c r="F297" s="101"/>
      <c r="G297" s="101"/>
      <c r="H297" s="101"/>
      <c r="I297" s="101"/>
      <c r="J297" s="101"/>
      <c r="K297" s="101"/>
      <c r="L297" s="98">
        <f t="shared" si="162"/>
        <v>114</v>
      </c>
      <c r="M297" s="101">
        <f t="shared" si="163"/>
        <v>227</v>
      </c>
      <c r="N297" s="98">
        <f t="shared" si="164"/>
        <v>114</v>
      </c>
      <c r="O297" s="101">
        <f t="shared" si="165"/>
        <v>227</v>
      </c>
      <c r="P297" s="22" t="str">
        <f t="shared" si="166"/>
        <v>物魔防%20</v>
      </c>
      <c r="Q297" s="100" t="str">
        <f t="shared" si="161"/>
        <v>龙晶碎片5835/元宝5835000</v>
      </c>
    </row>
    <row r="298" spans="1:17" ht="15.75" x14ac:dyDescent="0.3">
      <c r="A298" s="22" t="s">
        <v>2482</v>
      </c>
      <c r="B298" s="23" t="s">
        <v>2575</v>
      </c>
      <c r="C298" s="22">
        <v>92</v>
      </c>
      <c r="D298" s="22"/>
      <c r="E298" s="22"/>
      <c r="F298" s="101"/>
      <c r="G298" s="101"/>
      <c r="H298" s="101"/>
      <c r="I298" s="101"/>
      <c r="J298" s="101"/>
      <c r="K298" s="101"/>
      <c r="L298" s="98">
        <f t="shared" si="162"/>
        <v>115</v>
      </c>
      <c r="M298" s="101">
        <f t="shared" si="163"/>
        <v>230</v>
      </c>
      <c r="N298" s="98">
        <f t="shared" si="164"/>
        <v>115</v>
      </c>
      <c r="O298" s="101">
        <f t="shared" si="165"/>
        <v>230</v>
      </c>
      <c r="P298" s="22" t="str">
        <f t="shared" si="166"/>
        <v>物魔防%20</v>
      </c>
      <c r="Q298" s="100" t="str">
        <f t="shared" si="161"/>
        <v>龙晶碎片5835/元宝5835000</v>
      </c>
    </row>
    <row r="299" spans="1:17" ht="15.75" x14ac:dyDescent="0.3">
      <c r="A299" s="22" t="s">
        <v>2482</v>
      </c>
      <c r="B299" s="23" t="s">
        <v>2576</v>
      </c>
      <c r="C299" s="22">
        <v>93</v>
      </c>
      <c r="D299" s="22"/>
      <c r="E299" s="22"/>
      <c r="F299" s="101"/>
      <c r="G299" s="101"/>
      <c r="H299" s="101"/>
      <c r="I299" s="101"/>
      <c r="J299" s="101"/>
      <c r="K299" s="101"/>
      <c r="L299" s="98">
        <f t="shared" si="162"/>
        <v>116</v>
      </c>
      <c r="M299" s="101">
        <f t="shared" si="163"/>
        <v>232</v>
      </c>
      <c r="N299" s="98">
        <f t="shared" si="164"/>
        <v>116</v>
      </c>
      <c r="O299" s="101">
        <f t="shared" si="165"/>
        <v>232</v>
      </c>
      <c r="P299" s="22" t="str">
        <f t="shared" si="166"/>
        <v>物魔防%20</v>
      </c>
      <c r="Q299" s="100" t="str">
        <f t="shared" si="161"/>
        <v>龙晶碎片5835/元宝5835000</v>
      </c>
    </row>
    <row r="300" spans="1:17" ht="15.75" x14ac:dyDescent="0.3">
      <c r="A300" s="22" t="s">
        <v>2482</v>
      </c>
      <c r="B300" s="23" t="s">
        <v>2577</v>
      </c>
      <c r="C300" s="22">
        <v>94</v>
      </c>
      <c r="D300" s="22"/>
      <c r="E300" s="22"/>
      <c r="F300" s="101"/>
      <c r="G300" s="101"/>
      <c r="H300" s="101"/>
      <c r="I300" s="101"/>
      <c r="J300" s="101"/>
      <c r="K300" s="101"/>
      <c r="L300" s="98">
        <f t="shared" si="162"/>
        <v>118</v>
      </c>
      <c r="M300" s="101">
        <f t="shared" si="163"/>
        <v>235</v>
      </c>
      <c r="N300" s="98">
        <f t="shared" si="164"/>
        <v>118</v>
      </c>
      <c r="O300" s="101">
        <f t="shared" si="165"/>
        <v>235</v>
      </c>
      <c r="P300" s="22" t="str">
        <f t="shared" si="166"/>
        <v>物魔防%20</v>
      </c>
      <c r="Q300" s="100" t="str">
        <f t="shared" si="161"/>
        <v>龙晶碎片5835/元宝5835000</v>
      </c>
    </row>
    <row r="301" spans="1:17" ht="15.75" x14ac:dyDescent="0.3">
      <c r="A301" s="22" t="s">
        <v>2482</v>
      </c>
      <c r="B301" s="23" t="s">
        <v>2578</v>
      </c>
      <c r="C301" s="22">
        <v>95</v>
      </c>
      <c r="D301" s="22"/>
      <c r="E301" s="22"/>
      <c r="F301" s="101"/>
      <c r="G301" s="101"/>
      <c r="H301" s="101"/>
      <c r="I301" s="101"/>
      <c r="J301" s="101"/>
      <c r="K301" s="101"/>
      <c r="L301" s="98">
        <f t="shared" si="162"/>
        <v>119</v>
      </c>
      <c r="M301" s="101">
        <f t="shared" si="163"/>
        <v>237</v>
      </c>
      <c r="N301" s="98">
        <f t="shared" si="164"/>
        <v>119</v>
      </c>
      <c r="O301" s="101">
        <f t="shared" si="165"/>
        <v>237</v>
      </c>
      <c r="P301" s="22" t="str">
        <f t="shared" si="166"/>
        <v>物魔防%20</v>
      </c>
      <c r="Q301" s="100" t="str">
        <f t="shared" si="161"/>
        <v>龙晶碎片5835/元宝5835000</v>
      </c>
    </row>
    <row r="302" spans="1:17" ht="15.75" x14ac:dyDescent="0.3">
      <c r="A302" s="22" t="s">
        <v>2482</v>
      </c>
      <c r="B302" s="23" t="s">
        <v>2579</v>
      </c>
      <c r="C302" s="22">
        <v>96</v>
      </c>
      <c r="D302" s="22"/>
      <c r="E302" s="22"/>
      <c r="F302" s="101"/>
      <c r="G302" s="101"/>
      <c r="H302" s="101"/>
      <c r="I302" s="101"/>
      <c r="J302" s="101"/>
      <c r="K302" s="101"/>
      <c r="L302" s="98">
        <f t="shared" si="162"/>
        <v>120</v>
      </c>
      <c r="M302" s="101">
        <f t="shared" si="163"/>
        <v>240</v>
      </c>
      <c r="N302" s="98">
        <f t="shared" si="164"/>
        <v>120</v>
      </c>
      <c r="O302" s="101">
        <f t="shared" si="165"/>
        <v>240</v>
      </c>
      <c r="P302" s="22" t="str">
        <f t="shared" si="166"/>
        <v>物魔防%20</v>
      </c>
      <c r="Q302" s="100" t="str">
        <f t="shared" si="161"/>
        <v>龙晶碎片5835/元宝5835000</v>
      </c>
    </row>
    <row r="303" spans="1:17" ht="15.75" x14ac:dyDescent="0.3">
      <c r="A303" s="22" t="s">
        <v>2482</v>
      </c>
      <c r="B303" s="23" t="s">
        <v>2580</v>
      </c>
      <c r="C303" s="22">
        <v>97</v>
      </c>
      <c r="D303" s="22"/>
      <c r="E303" s="22"/>
      <c r="F303" s="101"/>
      <c r="G303" s="101"/>
      <c r="H303" s="101"/>
      <c r="I303" s="101"/>
      <c r="J303" s="101"/>
      <c r="K303" s="101"/>
      <c r="L303" s="98">
        <f t="shared" si="162"/>
        <v>121</v>
      </c>
      <c r="M303" s="101">
        <f t="shared" si="163"/>
        <v>242</v>
      </c>
      <c r="N303" s="98">
        <f t="shared" si="164"/>
        <v>121</v>
      </c>
      <c r="O303" s="101">
        <f t="shared" si="165"/>
        <v>242</v>
      </c>
      <c r="P303" s="22" t="str">
        <f t="shared" si="166"/>
        <v>物魔防%20</v>
      </c>
      <c r="Q303" s="100" t="str">
        <f t="shared" si="161"/>
        <v>龙晶碎片5835/元宝5835000</v>
      </c>
    </row>
    <row r="304" spans="1:17" ht="15.75" x14ac:dyDescent="0.3">
      <c r="A304" s="22" t="s">
        <v>2482</v>
      </c>
      <c r="B304" s="23" t="s">
        <v>2581</v>
      </c>
      <c r="C304" s="22">
        <v>98</v>
      </c>
      <c r="D304" s="22"/>
      <c r="E304" s="22"/>
      <c r="F304" s="101"/>
      <c r="G304" s="101"/>
      <c r="H304" s="101"/>
      <c r="I304" s="101"/>
      <c r="J304" s="101"/>
      <c r="K304" s="101"/>
      <c r="L304" s="98">
        <f t="shared" si="162"/>
        <v>123</v>
      </c>
      <c r="M304" s="101">
        <f t="shared" si="163"/>
        <v>245</v>
      </c>
      <c r="N304" s="98">
        <f t="shared" si="164"/>
        <v>123</v>
      </c>
      <c r="O304" s="101">
        <f t="shared" si="165"/>
        <v>245</v>
      </c>
      <c r="P304" s="22" t="str">
        <f t="shared" si="166"/>
        <v>物魔防%20</v>
      </c>
      <c r="Q304" s="100" t="str">
        <f t="shared" si="161"/>
        <v>龙晶碎片5835/元宝5835000</v>
      </c>
    </row>
    <row r="305" spans="1:17" ht="15.75" x14ac:dyDescent="0.3">
      <c r="A305" s="22" t="s">
        <v>2482</v>
      </c>
      <c r="B305" s="23" t="s">
        <v>2582</v>
      </c>
      <c r="C305" s="22">
        <v>99</v>
      </c>
      <c r="D305" s="22"/>
      <c r="E305" s="22"/>
      <c r="F305" s="101"/>
      <c r="G305" s="101"/>
      <c r="H305" s="101"/>
      <c r="I305" s="101"/>
      <c r="J305" s="101"/>
      <c r="K305" s="101"/>
      <c r="L305" s="98">
        <f t="shared" si="162"/>
        <v>124</v>
      </c>
      <c r="M305" s="101">
        <f t="shared" si="163"/>
        <v>247</v>
      </c>
      <c r="N305" s="98">
        <f t="shared" si="164"/>
        <v>124</v>
      </c>
      <c r="O305" s="101">
        <f t="shared" si="165"/>
        <v>247</v>
      </c>
      <c r="P305" s="22" t="str">
        <f t="shared" si="166"/>
        <v>物魔防%20</v>
      </c>
      <c r="Q305" s="100" t="str">
        <f t="shared" si="161"/>
        <v>龙晶碎片5835/元宝5835000</v>
      </c>
    </row>
    <row r="306" spans="1:17" ht="15.75" x14ac:dyDescent="0.3">
      <c r="A306" s="22" t="s">
        <v>2482</v>
      </c>
      <c r="B306" s="23" t="s">
        <v>2583</v>
      </c>
      <c r="C306" s="22">
        <v>100</v>
      </c>
      <c r="D306" s="22"/>
      <c r="E306" s="22"/>
      <c r="F306" s="101"/>
      <c r="G306" s="101"/>
      <c r="H306" s="101"/>
      <c r="I306" s="101"/>
      <c r="J306" s="101"/>
      <c r="K306" s="101"/>
      <c r="L306" s="98">
        <f t="shared" si="162"/>
        <v>125</v>
      </c>
      <c r="M306" s="101">
        <f t="shared" si="163"/>
        <v>250</v>
      </c>
      <c r="N306" s="98">
        <f t="shared" si="164"/>
        <v>125</v>
      </c>
      <c r="O306" s="101">
        <f t="shared" si="165"/>
        <v>250</v>
      </c>
      <c r="P306" s="22" t="str">
        <f t="shared" si="166"/>
        <v>物魔防%20</v>
      </c>
      <c r="Q306" s="22"/>
    </row>
    <row r="307" spans="1:17" ht="15.75" x14ac:dyDescent="0.3">
      <c r="A307" s="22" t="s">
        <v>2584</v>
      </c>
      <c r="B307" s="23" t="s">
        <v>2585</v>
      </c>
      <c r="C307" s="22">
        <v>0</v>
      </c>
      <c r="D307" s="22"/>
      <c r="E307" s="22"/>
      <c r="F307" s="98"/>
      <c r="G307" s="101"/>
      <c r="H307" s="98"/>
      <c r="I307" s="101"/>
      <c r="J307" s="98"/>
      <c r="K307" s="101"/>
      <c r="L307" s="98"/>
      <c r="M307" s="101"/>
      <c r="N307" s="98"/>
      <c r="O307" s="101"/>
      <c r="P307" s="22"/>
      <c r="Q307" s="100" t="str">
        <f>"龙晶碎片"&amp;AB4&amp;"/元宝"&amp;AC4</f>
        <v>龙晶碎片9/元宝9000</v>
      </c>
    </row>
    <row r="308" spans="1:17" ht="15.75" x14ac:dyDescent="0.3">
      <c r="A308" s="22" t="s">
        <v>2584</v>
      </c>
      <c r="B308" s="23" t="s">
        <v>2586</v>
      </c>
      <c r="C308" s="22">
        <v>1</v>
      </c>
      <c r="D308" s="22">
        <f>AL4</f>
        <v>100</v>
      </c>
      <c r="E308" s="22">
        <f>AM4</f>
        <v>400</v>
      </c>
      <c r="F308" s="98"/>
      <c r="G308" s="101"/>
      <c r="H308" s="98"/>
      <c r="I308" s="101"/>
      <c r="J308" s="98"/>
      <c r="K308" s="101"/>
      <c r="L308" s="98"/>
      <c r="M308" s="101"/>
      <c r="N308" s="98"/>
      <c r="O308" s="101"/>
      <c r="P308" s="22" t="str">
        <f>$AN$3&amp;AN4&amp;"|"&amp;$AO$3&amp;AO4</f>
        <v>HPMP%1|攻魔道%1</v>
      </c>
      <c r="Q308" s="100" t="str">
        <f t="shared" ref="Q308:Q371" si="167">"龙晶碎片"&amp;AB5&amp;"/元宝"&amp;AC5</f>
        <v>龙晶碎片9/元宝9000</v>
      </c>
    </row>
    <row r="309" spans="1:17" ht="15.75" x14ac:dyDescent="0.3">
      <c r="A309" s="22" t="s">
        <v>2584</v>
      </c>
      <c r="B309" s="23" t="s">
        <v>2587</v>
      </c>
      <c r="C309" s="22">
        <v>2</v>
      </c>
      <c r="D309" s="22">
        <f t="shared" ref="D309:E309" si="168">AL5</f>
        <v>200</v>
      </c>
      <c r="E309" s="22">
        <f t="shared" si="168"/>
        <v>800</v>
      </c>
      <c r="F309" s="98"/>
      <c r="G309" s="101"/>
      <c r="H309" s="98"/>
      <c r="I309" s="101"/>
      <c r="J309" s="98"/>
      <c r="K309" s="101"/>
      <c r="L309" s="98"/>
      <c r="M309" s="101"/>
      <c r="N309" s="98"/>
      <c r="O309" s="101"/>
      <c r="P309" s="22" t="str">
        <f t="shared" ref="P309:P372" si="169">$AN$3&amp;AN5&amp;"|"&amp;$AO$3&amp;AO5</f>
        <v>HPMP%1|攻魔道%1</v>
      </c>
      <c r="Q309" s="100" t="str">
        <f t="shared" si="167"/>
        <v>龙晶碎片9/元宝9000</v>
      </c>
    </row>
    <row r="310" spans="1:17" ht="15.75" x14ac:dyDescent="0.3">
      <c r="A310" s="22" t="s">
        <v>2584</v>
      </c>
      <c r="B310" s="23" t="s">
        <v>2588</v>
      </c>
      <c r="C310" s="22">
        <v>3</v>
      </c>
      <c r="D310" s="22">
        <f t="shared" ref="D310:E310" si="170">AL6</f>
        <v>300</v>
      </c>
      <c r="E310" s="22">
        <f t="shared" si="170"/>
        <v>1200</v>
      </c>
      <c r="F310" s="98"/>
      <c r="G310" s="101"/>
      <c r="H310" s="98"/>
      <c r="I310" s="101"/>
      <c r="J310" s="98"/>
      <c r="K310" s="101"/>
      <c r="L310" s="98"/>
      <c r="M310" s="101"/>
      <c r="N310" s="98"/>
      <c r="O310" s="101"/>
      <c r="P310" s="22" t="str">
        <f t="shared" si="169"/>
        <v>HPMP%1|攻魔道%1</v>
      </c>
      <c r="Q310" s="100" t="str">
        <f t="shared" si="167"/>
        <v>龙晶碎片9/元宝9000</v>
      </c>
    </row>
    <row r="311" spans="1:17" ht="15.75" x14ac:dyDescent="0.3">
      <c r="A311" s="22" t="s">
        <v>2584</v>
      </c>
      <c r="B311" s="23" t="s">
        <v>2589</v>
      </c>
      <c r="C311" s="22">
        <v>4</v>
      </c>
      <c r="D311" s="22">
        <f t="shared" ref="D311:E311" si="171">AL7</f>
        <v>400</v>
      </c>
      <c r="E311" s="22">
        <f t="shared" si="171"/>
        <v>1600</v>
      </c>
      <c r="F311" s="98"/>
      <c r="G311" s="101"/>
      <c r="H311" s="98"/>
      <c r="I311" s="101"/>
      <c r="J311" s="98"/>
      <c r="K311" s="101"/>
      <c r="L311" s="98"/>
      <c r="M311" s="101"/>
      <c r="N311" s="98"/>
      <c r="O311" s="101"/>
      <c r="P311" s="22" t="str">
        <f t="shared" si="169"/>
        <v>HPMP%1|攻魔道%1</v>
      </c>
      <c r="Q311" s="100" t="str">
        <f t="shared" si="167"/>
        <v>龙晶碎片9/元宝9000</v>
      </c>
    </row>
    <row r="312" spans="1:17" ht="15.75" x14ac:dyDescent="0.3">
      <c r="A312" s="22" t="s">
        <v>2584</v>
      </c>
      <c r="B312" s="23" t="s">
        <v>2590</v>
      </c>
      <c r="C312" s="22">
        <v>5</v>
      </c>
      <c r="D312" s="22">
        <f t="shared" ref="D312:E312" si="172">AL8</f>
        <v>500</v>
      </c>
      <c r="E312" s="22">
        <f t="shared" si="172"/>
        <v>2000</v>
      </c>
      <c r="F312" s="98"/>
      <c r="G312" s="101"/>
      <c r="H312" s="98"/>
      <c r="I312" s="101"/>
      <c r="J312" s="98"/>
      <c r="K312" s="101"/>
      <c r="L312" s="98"/>
      <c r="M312" s="101"/>
      <c r="N312" s="98"/>
      <c r="O312" s="101"/>
      <c r="P312" s="22" t="str">
        <f t="shared" si="169"/>
        <v>HPMP%1|攻魔道%1</v>
      </c>
      <c r="Q312" s="100" t="str">
        <f t="shared" si="167"/>
        <v>龙晶碎片9/元宝9000</v>
      </c>
    </row>
    <row r="313" spans="1:17" ht="15.75" x14ac:dyDescent="0.3">
      <c r="A313" s="22" t="s">
        <v>2584</v>
      </c>
      <c r="B313" s="23" t="s">
        <v>2591</v>
      </c>
      <c r="C313" s="22">
        <v>6</v>
      </c>
      <c r="D313" s="22">
        <f t="shared" ref="D313:E313" si="173">AL9</f>
        <v>600</v>
      </c>
      <c r="E313" s="22">
        <f t="shared" si="173"/>
        <v>2400</v>
      </c>
      <c r="F313" s="98"/>
      <c r="G313" s="101"/>
      <c r="H313" s="98"/>
      <c r="I313" s="101"/>
      <c r="J313" s="98"/>
      <c r="K313" s="101"/>
      <c r="L313" s="98"/>
      <c r="M313" s="101"/>
      <c r="N313" s="98"/>
      <c r="O313" s="101"/>
      <c r="P313" s="22" t="str">
        <f t="shared" si="169"/>
        <v>HPMP%1|攻魔道%1</v>
      </c>
      <c r="Q313" s="100" t="str">
        <f t="shared" si="167"/>
        <v>龙晶碎片9/元宝9000</v>
      </c>
    </row>
    <row r="314" spans="1:17" ht="15.75" x14ac:dyDescent="0.3">
      <c r="A314" s="22" t="s">
        <v>2584</v>
      </c>
      <c r="B314" s="23" t="s">
        <v>2592</v>
      </c>
      <c r="C314" s="22">
        <v>7</v>
      </c>
      <c r="D314" s="22">
        <f t="shared" ref="D314:E314" si="174">AL10</f>
        <v>700</v>
      </c>
      <c r="E314" s="22">
        <f t="shared" si="174"/>
        <v>2800</v>
      </c>
      <c r="F314" s="98"/>
      <c r="G314" s="101"/>
      <c r="H314" s="98"/>
      <c r="I314" s="101"/>
      <c r="J314" s="98"/>
      <c r="K314" s="101"/>
      <c r="L314" s="98"/>
      <c r="M314" s="101"/>
      <c r="N314" s="98"/>
      <c r="O314" s="101"/>
      <c r="P314" s="22" t="str">
        <f t="shared" si="169"/>
        <v>HPMP%1|攻魔道%1</v>
      </c>
      <c r="Q314" s="100" t="str">
        <f t="shared" si="167"/>
        <v>龙晶碎片9/元宝9000</v>
      </c>
    </row>
    <row r="315" spans="1:17" ht="15.75" x14ac:dyDescent="0.3">
      <c r="A315" s="22" t="s">
        <v>2584</v>
      </c>
      <c r="B315" s="23" t="s">
        <v>2593</v>
      </c>
      <c r="C315" s="22">
        <v>8</v>
      </c>
      <c r="D315" s="22">
        <f t="shared" ref="D315:E315" si="175">AL11</f>
        <v>800</v>
      </c>
      <c r="E315" s="22">
        <f t="shared" si="175"/>
        <v>3200</v>
      </c>
      <c r="F315" s="98"/>
      <c r="G315" s="101"/>
      <c r="H315" s="98"/>
      <c r="I315" s="101"/>
      <c r="J315" s="98"/>
      <c r="K315" s="101"/>
      <c r="L315" s="98"/>
      <c r="M315" s="101"/>
      <c r="N315" s="98"/>
      <c r="O315" s="101"/>
      <c r="P315" s="22" t="str">
        <f t="shared" si="169"/>
        <v>HPMP%1|攻魔道%1</v>
      </c>
      <c r="Q315" s="100" t="str">
        <f t="shared" si="167"/>
        <v>龙晶碎片9/元宝9000</v>
      </c>
    </row>
    <row r="316" spans="1:17" ht="15.75" x14ac:dyDescent="0.3">
      <c r="A316" s="22" t="s">
        <v>2584</v>
      </c>
      <c r="B316" s="23" t="s">
        <v>2594</v>
      </c>
      <c r="C316" s="22">
        <v>9</v>
      </c>
      <c r="D316" s="22">
        <f t="shared" ref="D316:E316" si="176">AL12</f>
        <v>900</v>
      </c>
      <c r="E316" s="22">
        <f t="shared" si="176"/>
        <v>3600</v>
      </c>
      <c r="F316" s="98"/>
      <c r="G316" s="101"/>
      <c r="H316" s="98"/>
      <c r="I316" s="101"/>
      <c r="J316" s="98"/>
      <c r="K316" s="101"/>
      <c r="L316" s="98"/>
      <c r="M316" s="101"/>
      <c r="N316" s="98"/>
      <c r="O316" s="101"/>
      <c r="P316" s="22" t="str">
        <f t="shared" si="169"/>
        <v>HPMP%1|攻魔道%1</v>
      </c>
      <c r="Q316" s="100" t="str">
        <f t="shared" si="167"/>
        <v>龙晶碎片9/元宝9000</v>
      </c>
    </row>
    <row r="317" spans="1:17" ht="15.75" x14ac:dyDescent="0.3">
      <c r="A317" s="22" t="s">
        <v>2584</v>
      </c>
      <c r="B317" s="23" t="s">
        <v>2595</v>
      </c>
      <c r="C317" s="22">
        <v>10</v>
      </c>
      <c r="D317" s="22">
        <f t="shared" ref="D317:E317" si="177">AL13</f>
        <v>1000</v>
      </c>
      <c r="E317" s="22">
        <f t="shared" si="177"/>
        <v>4000</v>
      </c>
      <c r="F317" s="98"/>
      <c r="G317" s="101"/>
      <c r="H317" s="98"/>
      <c r="I317" s="101"/>
      <c r="J317" s="98"/>
      <c r="K317" s="101"/>
      <c r="L317" s="98"/>
      <c r="M317" s="101"/>
      <c r="N317" s="98"/>
      <c r="O317" s="101"/>
      <c r="P317" s="22" t="str">
        <f t="shared" si="169"/>
        <v>HPMP%1|攻魔道%1</v>
      </c>
      <c r="Q317" s="100" t="str">
        <f t="shared" si="167"/>
        <v>龙晶碎片10/元宝10000</v>
      </c>
    </row>
    <row r="318" spans="1:17" ht="15.75" x14ac:dyDescent="0.3">
      <c r="A318" s="22" t="s">
        <v>2584</v>
      </c>
      <c r="B318" s="23" t="s">
        <v>2596</v>
      </c>
      <c r="C318" s="22">
        <v>11</v>
      </c>
      <c r="D318" s="22">
        <f t="shared" ref="D318:E318" si="178">AL14</f>
        <v>1100</v>
      </c>
      <c r="E318" s="22">
        <f t="shared" si="178"/>
        <v>4400</v>
      </c>
      <c r="F318" s="98"/>
      <c r="G318" s="101"/>
      <c r="H318" s="98"/>
      <c r="I318" s="101"/>
      <c r="J318" s="98"/>
      <c r="K318" s="101"/>
      <c r="L318" s="98"/>
      <c r="M318" s="101"/>
      <c r="N318" s="98"/>
      <c r="O318" s="101"/>
      <c r="P318" s="22" t="str">
        <f t="shared" si="169"/>
        <v>HPMP%2|攻魔道%2</v>
      </c>
      <c r="Q318" s="100" t="str">
        <f t="shared" si="167"/>
        <v>龙晶碎片10/元宝10000</v>
      </c>
    </row>
    <row r="319" spans="1:17" ht="15.75" x14ac:dyDescent="0.3">
      <c r="A319" s="22" t="s">
        <v>2584</v>
      </c>
      <c r="B319" s="23" t="s">
        <v>2597</v>
      </c>
      <c r="C319" s="22">
        <v>12</v>
      </c>
      <c r="D319" s="22">
        <f t="shared" ref="D319:E319" si="179">AL15</f>
        <v>1200</v>
      </c>
      <c r="E319" s="22">
        <f t="shared" si="179"/>
        <v>4800</v>
      </c>
      <c r="F319" s="98"/>
      <c r="G319" s="101"/>
      <c r="H319" s="98"/>
      <c r="I319" s="101"/>
      <c r="J319" s="98"/>
      <c r="K319" s="101"/>
      <c r="L319" s="98"/>
      <c r="M319" s="101"/>
      <c r="N319" s="98"/>
      <c r="O319" s="101"/>
      <c r="P319" s="22" t="str">
        <f t="shared" si="169"/>
        <v>HPMP%2|攻魔道%2</v>
      </c>
      <c r="Q319" s="100" t="str">
        <f t="shared" si="167"/>
        <v>龙晶碎片10/元宝10000</v>
      </c>
    </row>
    <row r="320" spans="1:17" ht="15.75" x14ac:dyDescent="0.3">
      <c r="A320" s="22" t="s">
        <v>2584</v>
      </c>
      <c r="B320" s="23" t="s">
        <v>2598</v>
      </c>
      <c r="C320" s="22">
        <v>13</v>
      </c>
      <c r="D320" s="22">
        <f t="shared" ref="D320:E320" si="180">AL16</f>
        <v>1300</v>
      </c>
      <c r="E320" s="22">
        <f t="shared" si="180"/>
        <v>5200</v>
      </c>
      <c r="F320" s="98"/>
      <c r="G320" s="101"/>
      <c r="H320" s="98"/>
      <c r="I320" s="101"/>
      <c r="J320" s="98"/>
      <c r="K320" s="101"/>
      <c r="L320" s="98"/>
      <c r="M320" s="101"/>
      <c r="N320" s="98"/>
      <c r="O320" s="101"/>
      <c r="P320" s="22" t="str">
        <f t="shared" si="169"/>
        <v>HPMP%2|攻魔道%2</v>
      </c>
      <c r="Q320" s="100" t="str">
        <f t="shared" si="167"/>
        <v>龙晶碎片10/元宝10000</v>
      </c>
    </row>
    <row r="321" spans="1:17" ht="15.75" x14ac:dyDescent="0.3">
      <c r="A321" s="22" t="s">
        <v>2584</v>
      </c>
      <c r="B321" s="23" t="s">
        <v>2599</v>
      </c>
      <c r="C321" s="22">
        <v>14</v>
      </c>
      <c r="D321" s="22">
        <f t="shared" ref="D321:E321" si="181">AL17</f>
        <v>1400</v>
      </c>
      <c r="E321" s="22">
        <f t="shared" si="181"/>
        <v>5600</v>
      </c>
      <c r="F321" s="98"/>
      <c r="G321" s="101"/>
      <c r="H321" s="98"/>
      <c r="I321" s="101"/>
      <c r="J321" s="98"/>
      <c r="K321" s="101"/>
      <c r="L321" s="98"/>
      <c r="M321" s="101"/>
      <c r="N321" s="98"/>
      <c r="O321" s="101"/>
      <c r="P321" s="22" t="str">
        <f t="shared" si="169"/>
        <v>HPMP%2|攻魔道%2</v>
      </c>
      <c r="Q321" s="100" t="str">
        <f t="shared" si="167"/>
        <v>龙晶碎片10/元宝10000</v>
      </c>
    </row>
    <row r="322" spans="1:17" ht="15.75" x14ac:dyDescent="0.3">
      <c r="A322" s="22" t="s">
        <v>2584</v>
      </c>
      <c r="B322" s="23" t="s">
        <v>2600</v>
      </c>
      <c r="C322" s="22">
        <v>15</v>
      </c>
      <c r="D322" s="22">
        <f t="shared" ref="D322:E322" si="182">AL18</f>
        <v>1500</v>
      </c>
      <c r="E322" s="22">
        <f t="shared" si="182"/>
        <v>6000</v>
      </c>
      <c r="F322" s="98"/>
      <c r="G322" s="101"/>
      <c r="H322" s="98"/>
      <c r="I322" s="101"/>
      <c r="J322" s="98"/>
      <c r="K322" s="101"/>
      <c r="L322" s="98"/>
      <c r="M322" s="101"/>
      <c r="N322" s="98"/>
      <c r="O322" s="101"/>
      <c r="P322" s="22" t="str">
        <f t="shared" si="169"/>
        <v>HPMP%2|攻魔道%2</v>
      </c>
      <c r="Q322" s="100" t="str">
        <f t="shared" si="167"/>
        <v>龙晶碎片10/元宝10000</v>
      </c>
    </row>
    <row r="323" spans="1:17" ht="15.75" x14ac:dyDescent="0.3">
      <c r="A323" s="22" t="s">
        <v>2584</v>
      </c>
      <c r="B323" s="23" t="s">
        <v>2601</v>
      </c>
      <c r="C323" s="22">
        <v>16</v>
      </c>
      <c r="D323" s="22">
        <f t="shared" ref="D323:E323" si="183">AL19</f>
        <v>1600</v>
      </c>
      <c r="E323" s="22">
        <f t="shared" si="183"/>
        <v>6400</v>
      </c>
      <c r="F323" s="98"/>
      <c r="G323" s="101"/>
      <c r="H323" s="98"/>
      <c r="I323" s="101"/>
      <c r="J323" s="98"/>
      <c r="K323" s="101"/>
      <c r="L323" s="98"/>
      <c r="M323" s="101"/>
      <c r="N323" s="98"/>
      <c r="O323" s="101"/>
      <c r="P323" s="22" t="str">
        <f t="shared" si="169"/>
        <v>HPMP%2|攻魔道%2</v>
      </c>
      <c r="Q323" s="100" t="str">
        <f t="shared" si="167"/>
        <v>龙晶碎片10/元宝10000</v>
      </c>
    </row>
    <row r="324" spans="1:17" ht="15.75" x14ac:dyDescent="0.3">
      <c r="A324" s="22" t="s">
        <v>2584</v>
      </c>
      <c r="B324" s="23" t="s">
        <v>2602</v>
      </c>
      <c r="C324" s="22">
        <v>17</v>
      </c>
      <c r="D324" s="22">
        <f t="shared" ref="D324:E324" si="184">AL20</f>
        <v>1700</v>
      </c>
      <c r="E324" s="22">
        <f t="shared" si="184"/>
        <v>6800</v>
      </c>
      <c r="F324" s="98"/>
      <c r="G324" s="101"/>
      <c r="H324" s="98"/>
      <c r="I324" s="101"/>
      <c r="J324" s="98"/>
      <c r="K324" s="101"/>
      <c r="L324" s="98"/>
      <c r="M324" s="101"/>
      <c r="N324" s="98"/>
      <c r="O324" s="101"/>
      <c r="P324" s="22" t="str">
        <f t="shared" si="169"/>
        <v>HPMP%2|攻魔道%2</v>
      </c>
      <c r="Q324" s="100" t="str">
        <f t="shared" si="167"/>
        <v>龙晶碎片10/元宝10000</v>
      </c>
    </row>
    <row r="325" spans="1:17" ht="15.75" x14ac:dyDescent="0.3">
      <c r="A325" s="22" t="s">
        <v>2584</v>
      </c>
      <c r="B325" s="23" t="s">
        <v>2603</v>
      </c>
      <c r="C325" s="22">
        <v>18</v>
      </c>
      <c r="D325" s="22">
        <f t="shared" ref="D325:E325" si="185">AL21</f>
        <v>1800</v>
      </c>
      <c r="E325" s="22">
        <f t="shared" si="185"/>
        <v>7200</v>
      </c>
      <c r="F325" s="98"/>
      <c r="G325" s="101"/>
      <c r="H325" s="98"/>
      <c r="I325" s="101"/>
      <c r="J325" s="98"/>
      <c r="K325" s="101"/>
      <c r="L325" s="98"/>
      <c r="M325" s="101"/>
      <c r="N325" s="98"/>
      <c r="O325" s="101"/>
      <c r="P325" s="22" t="str">
        <f t="shared" si="169"/>
        <v>HPMP%2|攻魔道%2</v>
      </c>
      <c r="Q325" s="100" t="str">
        <f t="shared" si="167"/>
        <v>龙晶碎片10/元宝10000</v>
      </c>
    </row>
    <row r="326" spans="1:17" ht="15.75" x14ac:dyDescent="0.3">
      <c r="A326" s="22" t="s">
        <v>2584</v>
      </c>
      <c r="B326" s="23" t="s">
        <v>2604</v>
      </c>
      <c r="C326" s="22">
        <v>19</v>
      </c>
      <c r="D326" s="22">
        <f t="shared" ref="D326:E326" si="186">AL22</f>
        <v>1900</v>
      </c>
      <c r="E326" s="22">
        <f t="shared" si="186"/>
        <v>7600</v>
      </c>
      <c r="F326" s="98"/>
      <c r="G326" s="101"/>
      <c r="H326" s="98"/>
      <c r="I326" s="101"/>
      <c r="J326" s="98"/>
      <c r="K326" s="101"/>
      <c r="L326" s="98"/>
      <c r="M326" s="101"/>
      <c r="N326" s="98"/>
      <c r="O326" s="101"/>
      <c r="P326" s="22" t="str">
        <f t="shared" si="169"/>
        <v>HPMP%2|攻魔道%2</v>
      </c>
      <c r="Q326" s="100" t="str">
        <f t="shared" si="167"/>
        <v>龙晶碎片10/元宝10000</v>
      </c>
    </row>
    <row r="327" spans="1:17" ht="15.75" x14ac:dyDescent="0.3">
      <c r="A327" s="22" t="s">
        <v>2584</v>
      </c>
      <c r="B327" s="23" t="s">
        <v>2605</v>
      </c>
      <c r="C327" s="22">
        <v>20</v>
      </c>
      <c r="D327" s="22">
        <f t="shared" ref="D327:E327" si="187">AL23</f>
        <v>2000</v>
      </c>
      <c r="E327" s="22">
        <f t="shared" si="187"/>
        <v>8000</v>
      </c>
      <c r="F327" s="98"/>
      <c r="G327" s="101"/>
      <c r="H327" s="98"/>
      <c r="I327" s="101"/>
      <c r="J327" s="98"/>
      <c r="K327" s="101"/>
      <c r="L327" s="98"/>
      <c r="M327" s="101"/>
      <c r="N327" s="98"/>
      <c r="O327" s="101"/>
      <c r="P327" s="22" t="str">
        <f t="shared" si="169"/>
        <v>HPMP%2|攻魔道%2</v>
      </c>
      <c r="Q327" s="100" t="str">
        <f t="shared" si="167"/>
        <v>龙晶碎片26/元宝26000</v>
      </c>
    </row>
    <row r="328" spans="1:17" ht="15.75" x14ac:dyDescent="0.3">
      <c r="A328" s="22" t="s">
        <v>2584</v>
      </c>
      <c r="B328" s="23" t="s">
        <v>2606</v>
      </c>
      <c r="C328" s="22">
        <v>21</v>
      </c>
      <c r="D328" s="22">
        <f t="shared" ref="D328:E328" si="188">AL24</f>
        <v>2100</v>
      </c>
      <c r="E328" s="22">
        <f t="shared" si="188"/>
        <v>8400</v>
      </c>
      <c r="F328" s="98"/>
      <c r="G328" s="101"/>
      <c r="H328" s="98"/>
      <c r="I328" s="101"/>
      <c r="J328" s="98"/>
      <c r="K328" s="101"/>
      <c r="L328" s="98"/>
      <c r="M328" s="101"/>
      <c r="N328" s="98"/>
      <c r="O328" s="101"/>
      <c r="P328" s="22" t="str">
        <f t="shared" si="169"/>
        <v>HPMP%3|攻魔道%3</v>
      </c>
      <c r="Q328" s="100" t="str">
        <f t="shared" si="167"/>
        <v>龙晶碎片26/元宝26000</v>
      </c>
    </row>
    <row r="329" spans="1:17" ht="15.75" x14ac:dyDescent="0.3">
      <c r="A329" s="22" t="s">
        <v>2584</v>
      </c>
      <c r="B329" s="23" t="s">
        <v>2607</v>
      </c>
      <c r="C329" s="22">
        <v>22</v>
      </c>
      <c r="D329" s="22">
        <f t="shared" ref="D329:E329" si="189">AL25</f>
        <v>2200</v>
      </c>
      <c r="E329" s="22">
        <f t="shared" si="189"/>
        <v>8800</v>
      </c>
      <c r="F329" s="98"/>
      <c r="G329" s="101"/>
      <c r="H329" s="98"/>
      <c r="I329" s="101"/>
      <c r="J329" s="98"/>
      <c r="K329" s="101"/>
      <c r="L329" s="98"/>
      <c r="M329" s="101"/>
      <c r="N329" s="98"/>
      <c r="O329" s="101"/>
      <c r="P329" s="22" t="str">
        <f t="shared" si="169"/>
        <v>HPMP%3|攻魔道%3</v>
      </c>
      <c r="Q329" s="100" t="str">
        <f t="shared" si="167"/>
        <v>龙晶碎片26/元宝26000</v>
      </c>
    </row>
    <row r="330" spans="1:17" ht="15.75" x14ac:dyDescent="0.3">
      <c r="A330" s="22" t="s">
        <v>2584</v>
      </c>
      <c r="B330" s="23" t="s">
        <v>2608</v>
      </c>
      <c r="C330" s="22">
        <v>23</v>
      </c>
      <c r="D330" s="22">
        <f t="shared" ref="D330:E330" si="190">AL26</f>
        <v>2300</v>
      </c>
      <c r="E330" s="22">
        <f t="shared" si="190"/>
        <v>9200</v>
      </c>
      <c r="F330" s="98"/>
      <c r="G330" s="101"/>
      <c r="H330" s="98"/>
      <c r="I330" s="101"/>
      <c r="J330" s="98"/>
      <c r="K330" s="101"/>
      <c r="L330" s="98"/>
      <c r="M330" s="101"/>
      <c r="N330" s="98"/>
      <c r="O330" s="101"/>
      <c r="P330" s="22" t="str">
        <f t="shared" si="169"/>
        <v>HPMP%3|攻魔道%3</v>
      </c>
      <c r="Q330" s="100" t="str">
        <f t="shared" si="167"/>
        <v>龙晶碎片26/元宝26000</v>
      </c>
    </row>
    <row r="331" spans="1:17" ht="15.75" x14ac:dyDescent="0.3">
      <c r="A331" s="22" t="s">
        <v>2584</v>
      </c>
      <c r="B331" s="23" t="s">
        <v>2609</v>
      </c>
      <c r="C331" s="22">
        <v>24</v>
      </c>
      <c r="D331" s="22">
        <f t="shared" ref="D331:E331" si="191">AL27</f>
        <v>2400</v>
      </c>
      <c r="E331" s="22">
        <f t="shared" si="191"/>
        <v>9600</v>
      </c>
      <c r="F331" s="98"/>
      <c r="G331" s="101"/>
      <c r="H331" s="98"/>
      <c r="I331" s="101"/>
      <c r="J331" s="98"/>
      <c r="K331" s="101"/>
      <c r="L331" s="98"/>
      <c r="M331" s="101"/>
      <c r="N331" s="98"/>
      <c r="O331" s="101"/>
      <c r="P331" s="22" t="str">
        <f t="shared" si="169"/>
        <v>HPMP%3|攻魔道%3</v>
      </c>
      <c r="Q331" s="100" t="str">
        <f t="shared" si="167"/>
        <v>龙晶碎片26/元宝26000</v>
      </c>
    </row>
    <row r="332" spans="1:17" ht="15.75" x14ac:dyDescent="0.3">
      <c r="A332" s="22" t="s">
        <v>2584</v>
      </c>
      <c r="B332" s="23" t="s">
        <v>2610</v>
      </c>
      <c r="C332" s="22">
        <v>25</v>
      </c>
      <c r="D332" s="22">
        <f t="shared" ref="D332:E332" si="192">AL28</f>
        <v>2500</v>
      </c>
      <c r="E332" s="22">
        <f t="shared" si="192"/>
        <v>10000</v>
      </c>
      <c r="F332" s="98"/>
      <c r="G332" s="101"/>
      <c r="H332" s="98"/>
      <c r="I332" s="101"/>
      <c r="J332" s="98"/>
      <c r="K332" s="101"/>
      <c r="L332" s="98"/>
      <c r="M332" s="101"/>
      <c r="N332" s="98"/>
      <c r="O332" s="101"/>
      <c r="P332" s="22" t="str">
        <f t="shared" si="169"/>
        <v>HPMP%3|攻魔道%3</v>
      </c>
      <c r="Q332" s="100" t="str">
        <f t="shared" si="167"/>
        <v>龙晶碎片26/元宝26000</v>
      </c>
    </row>
    <row r="333" spans="1:17" ht="15.75" x14ac:dyDescent="0.3">
      <c r="A333" s="22" t="s">
        <v>2584</v>
      </c>
      <c r="B333" s="23" t="s">
        <v>2611</v>
      </c>
      <c r="C333" s="22">
        <v>26</v>
      </c>
      <c r="D333" s="22">
        <f t="shared" ref="D333:E333" si="193">AL29</f>
        <v>2600</v>
      </c>
      <c r="E333" s="22">
        <f t="shared" si="193"/>
        <v>10400</v>
      </c>
      <c r="F333" s="98"/>
      <c r="G333" s="101"/>
      <c r="H333" s="98"/>
      <c r="I333" s="101"/>
      <c r="J333" s="98"/>
      <c r="K333" s="101"/>
      <c r="L333" s="98"/>
      <c r="M333" s="101"/>
      <c r="N333" s="98"/>
      <c r="O333" s="101"/>
      <c r="P333" s="22" t="str">
        <f t="shared" si="169"/>
        <v>HPMP%3|攻魔道%3</v>
      </c>
      <c r="Q333" s="100" t="str">
        <f t="shared" si="167"/>
        <v>龙晶碎片26/元宝26000</v>
      </c>
    </row>
    <row r="334" spans="1:17" ht="15.75" x14ac:dyDescent="0.3">
      <c r="A334" s="22" t="s">
        <v>2584</v>
      </c>
      <c r="B334" s="23" t="s">
        <v>2612</v>
      </c>
      <c r="C334" s="22">
        <v>27</v>
      </c>
      <c r="D334" s="22">
        <f t="shared" ref="D334:E334" si="194">AL30</f>
        <v>2700</v>
      </c>
      <c r="E334" s="22">
        <f t="shared" si="194"/>
        <v>10800</v>
      </c>
      <c r="F334" s="98"/>
      <c r="G334" s="101"/>
      <c r="H334" s="98"/>
      <c r="I334" s="101"/>
      <c r="J334" s="98"/>
      <c r="K334" s="101"/>
      <c r="L334" s="98"/>
      <c r="M334" s="101"/>
      <c r="N334" s="98"/>
      <c r="O334" s="101"/>
      <c r="P334" s="22" t="str">
        <f t="shared" si="169"/>
        <v>HPMP%3|攻魔道%3</v>
      </c>
      <c r="Q334" s="100" t="str">
        <f t="shared" si="167"/>
        <v>龙晶碎片26/元宝26000</v>
      </c>
    </row>
    <row r="335" spans="1:17" ht="15.75" x14ac:dyDescent="0.3">
      <c r="A335" s="22" t="s">
        <v>2584</v>
      </c>
      <c r="B335" s="23" t="s">
        <v>2613</v>
      </c>
      <c r="C335" s="22">
        <v>28</v>
      </c>
      <c r="D335" s="22">
        <f t="shared" ref="D335:E335" si="195">AL31</f>
        <v>2800</v>
      </c>
      <c r="E335" s="22">
        <f t="shared" si="195"/>
        <v>11200</v>
      </c>
      <c r="F335" s="98"/>
      <c r="G335" s="101"/>
      <c r="H335" s="98"/>
      <c r="I335" s="101"/>
      <c r="J335" s="98"/>
      <c r="K335" s="101"/>
      <c r="L335" s="98"/>
      <c r="M335" s="101"/>
      <c r="N335" s="98"/>
      <c r="O335" s="101"/>
      <c r="P335" s="22" t="str">
        <f t="shared" si="169"/>
        <v>HPMP%3|攻魔道%3</v>
      </c>
      <c r="Q335" s="100" t="str">
        <f t="shared" si="167"/>
        <v>龙晶碎片26/元宝26000</v>
      </c>
    </row>
    <row r="336" spans="1:17" ht="15.75" x14ac:dyDescent="0.3">
      <c r="A336" s="22" t="s">
        <v>2584</v>
      </c>
      <c r="B336" s="23" t="s">
        <v>2614</v>
      </c>
      <c r="C336" s="22">
        <v>29</v>
      </c>
      <c r="D336" s="22">
        <f t="shared" ref="D336:E336" si="196">AL32</f>
        <v>2900</v>
      </c>
      <c r="E336" s="22">
        <f t="shared" si="196"/>
        <v>11600</v>
      </c>
      <c r="F336" s="98"/>
      <c r="G336" s="101"/>
      <c r="H336" s="98"/>
      <c r="I336" s="101"/>
      <c r="J336" s="98"/>
      <c r="K336" s="101"/>
      <c r="L336" s="98"/>
      <c r="M336" s="101"/>
      <c r="N336" s="98"/>
      <c r="O336" s="101"/>
      <c r="P336" s="22" t="str">
        <f t="shared" si="169"/>
        <v>HPMP%3|攻魔道%3</v>
      </c>
      <c r="Q336" s="100" t="str">
        <f t="shared" si="167"/>
        <v>龙晶碎片26/元宝26000</v>
      </c>
    </row>
    <row r="337" spans="1:17" ht="15.75" x14ac:dyDescent="0.3">
      <c r="A337" s="22" t="s">
        <v>2584</v>
      </c>
      <c r="B337" s="23" t="s">
        <v>2615</v>
      </c>
      <c r="C337" s="22">
        <v>30</v>
      </c>
      <c r="D337" s="22">
        <f t="shared" ref="D337:E337" si="197">AL33</f>
        <v>3000</v>
      </c>
      <c r="E337" s="22">
        <f t="shared" si="197"/>
        <v>12000</v>
      </c>
      <c r="F337" s="98"/>
      <c r="G337" s="101"/>
      <c r="H337" s="98"/>
      <c r="I337" s="101"/>
      <c r="J337" s="98"/>
      <c r="K337" s="101"/>
      <c r="L337" s="98"/>
      <c r="M337" s="101"/>
      <c r="N337" s="98"/>
      <c r="O337" s="101"/>
      <c r="P337" s="22" t="str">
        <f t="shared" si="169"/>
        <v>HPMP%3|攻魔道%3</v>
      </c>
      <c r="Q337" s="100" t="str">
        <f t="shared" si="167"/>
        <v>龙晶碎片128/元宝128000</v>
      </c>
    </row>
    <row r="338" spans="1:17" ht="15.75" x14ac:dyDescent="0.3">
      <c r="A338" s="22" t="s">
        <v>2584</v>
      </c>
      <c r="B338" s="23" t="s">
        <v>2616</v>
      </c>
      <c r="C338" s="22">
        <v>31</v>
      </c>
      <c r="D338" s="22">
        <f t="shared" ref="D338:E338" si="198">AL34</f>
        <v>3100</v>
      </c>
      <c r="E338" s="22">
        <f t="shared" si="198"/>
        <v>12400</v>
      </c>
      <c r="F338" s="98"/>
      <c r="G338" s="101"/>
      <c r="H338" s="98"/>
      <c r="I338" s="101"/>
      <c r="J338" s="98"/>
      <c r="K338" s="101"/>
      <c r="L338" s="98"/>
      <c r="M338" s="101"/>
      <c r="N338" s="98"/>
      <c r="O338" s="101"/>
      <c r="P338" s="22" t="str">
        <f t="shared" si="169"/>
        <v>HPMP%4|攻魔道%4</v>
      </c>
      <c r="Q338" s="100" t="str">
        <f t="shared" si="167"/>
        <v>龙晶碎片128/元宝128000</v>
      </c>
    </row>
    <row r="339" spans="1:17" ht="15.75" x14ac:dyDescent="0.3">
      <c r="A339" s="22" t="s">
        <v>2584</v>
      </c>
      <c r="B339" s="23" t="s">
        <v>2617</v>
      </c>
      <c r="C339" s="22">
        <v>32</v>
      </c>
      <c r="D339" s="22">
        <f t="shared" ref="D339:E339" si="199">AL35</f>
        <v>3200</v>
      </c>
      <c r="E339" s="22">
        <f t="shared" si="199"/>
        <v>12800</v>
      </c>
      <c r="F339" s="98"/>
      <c r="G339" s="101"/>
      <c r="H339" s="98"/>
      <c r="I339" s="101"/>
      <c r="J339" s="98"/>
      <c r="K339" s="101"/>
      <c r="L339" s="98"/>
      <c r="M339" s="101"/>
      <c r="N339" s="98"/>
      <c r="O339" s="101"/>
      <c r="P339" s="22" t="str">
        <f t="shared" si="169"/>
        <v>HPMP%4|攻魔道%4</v>
      </c>
      <c r="Q339" s="100" t="str">
        <f t="shared" si="167"/>
        <v>龙晶碎片128/元宝128000</v>
      </c>
    </row>
    <row r="340" spans="1:17" ht="15.75" x14ac:dyDescent="0.3">
      <c r="A340" s="22" t="s">
        <v>2584</v>
      </c>
      <c r="B340" s="23" t="s">
        <v>2618</v>
      </c>
      <c r="C340" s="22">
        <v>33</v>
      </c>
      <c r="D340" s="22">
        <f t="shared" ref="D340:E340" si="200">AL36</f>
        <v>3300</v>
      </c>
      <c r="E340" s="22">
        <f t="shared" si="200"/>
        <v>13200</v>
      </c>
      <c r="F340" s="98"/>
      <c r="G340" s="101"/>
      <c r="H340" s="98"/>
      <c r="I340" s="101"/>
      <c r="J340" s="98"/>
      <c r="K340" s="101"/>
      <c r="L340" s="98"/>
      <c r="M340" s="101"/>
      <c r="N340" s="98"/>
      <c r="O340" s="101"/>
      <c r="P340" s="22" t="str">
        <f t="shared" si="169"/>
        <v>HPMP%4|攻魔道%4</v>
      </c>
      <c r="Q340" s="100" t="str">
        <f t="shared" si="167"/>
        <v>龙晶碎片128/元宝128000</v>
      </c>
    </row>
    <row r="341" spans="1:17" ht="15.75" x14ac:dyDescent="0.3">
      <c r="A341" s="22" t="s">
        <v>2584</v>
      </c>
      <c r="B341" s="23" t="s">
        <v>2619</v>
      </c>
      <c r="C341" s="22">
        <v>34</v>
      </c>
      <c r="D341" s="22">
        <f t="shared" ref="D341:E341" si="201">AL37</f>
        <v>3400</v>
      </c>
      <c r="E341" s="22">
        <f t="shared" si="201"/>
        <v>13600</v>
      </c>
      <c r="F341" s="98"/>
      <c r="G341" s="101"/>
      <c r="H341" s="98"/>
      <c r="I341" s="101"/>
      <c r="J341" s="98"/>
      <c r="K341" s="101"/>
      <c r="L341" s="98"/>
      <c r="M341" s="101"/>
      <c r="N341" s="98"/>
      <c r="O341" s="101"/>
      <c r="P341" s="22" t="str">
        <f t="shared" si="169"/>
        <v>HPMP%4|攻魔道%4</v>
      </c>
      <c r="Q341" s="100" t="str">
        <f t="shared" si="167"/>
        <v>龙晶碎片128/元宝128000</v>
      </c>
    </row>
    <row r="342" spans="1:17" ht="15.75" x14ac:dyDescent="0.3">
      <c r="A342" s="22" t="s">
        <v>2584</v>
      </c>
      <c r="B342" s="23" t="s">
        <v>2620</v>
      </c>
      <c r="C342" s="22">
        <v>35</v>
      </c>
      <c r="D342" s="22">
        <f t="shared" ref="D342:E342" si="202">AL38</f>
        <v>3500</v>
      </c>
      <c r="E342" s="22">
        <f t="shared" si="202"/>
        <v>14000</v>
      </c>
      <c r="F342" s="98"/>
      <c r="G342" s="101"/>
      <c r="H342" s="98"/>
      <c r="I342" s="101"/>
      <c r="J342" s="98"/>
      <c r="K342" s="101"/>
      <c r="L342" s="98"/>
      <c r="M342" s="101"/>
      <c r="N342" s="98"/>
      <c r="O342" s="101"/>
      <c r="P342" s="22" t="str">
        <f t="shared" si="169"/>
        <v>HPMP%4|攻魔道%4</v>
      </c>
      <c r="Q342" s="100" t="str">
        <f t="shared" si="167"/>
        <v>龙晶碎片128/元宝128000</v>
      </c>
    </row>
    <row r="343" spans="1:17" ht="15.75" x14ac:dyDescent="0.3">
      <c r="A343" s="22" t="s">
        <v>2584</v>
      </c>
      <c r="B343" s="23" t="s">
        <v>2621</v>
      </c>
      <c r="C343" s="22">
        <v>36</v>
      </c>
      <c r="D343" s="22">
        <f t="shared" ref="D343:E343" si="203">AL39</f>
        <v>3600</v>
      </c>
      <c r="E343" s="22">
        <f t="shared" si="203"/>
        <v>14400</v>
      </c>
      <c r="F343" s="98"/>
      <c r="G343" s="101"/>
      <c r="H343" s="98"/>
      <c r="I343" s="101"/>
      <c r="J343" s="98"/>
      <c r="K343" s="101"/>
      <c r="L343" s="98"/>
      <c r="M343" s="101"/>
      <c r="N343" s="98"/>
      <c r="O343" s="101"/>
      <c r="P343" s="22" t="str">
        <f t="shared" si="169"/>
        <v>HPMP%4|攻魔道%4</v>
      </c>
      <c r="Q343" s="100" t="str">
        <f t="shared" si="167"/>
        <v>龙晶碎片128/元宝128000</v>
      </c>
    </row>
    <row r="344" spans="1:17" ht="15.75" x14ac:dyDescent="0.3">
      <c r="A344" s="22" t="s">
        <v>2584</v>
      </c>
      <c r="B344" s="23" t="s">
        <v>2622</v>
      </c>
      <c r="C344" s="22">
        <v>37</v>
      </c>
      <c r="D344" s="22">
        <f t="shared" ref="D344:E344" si="204">AL40</f>
        <v>3700</v>
      </c>
      <c r="E344" s="22">
        <f t="shared" si="204"/>
        <v>14800</v>
      </c>
      <c r="F344" s="98"/>
      <c r="G344" s="101"/>
      <c r="H344" s="98"/>
      <c r="I344" s="101"/>
      <c r="J344" s="98"/>
      <c r="K344" s="101"/>
      <c r="L344" s="98"/>
      <c r="M344" s="101"/>
      <c r="N344" s="98"/>
      <c r="O344" s="101"/>
      <c r="P344" s="22" t="str">
        <f t="shared" si="169"/>
        <v>HPMP%4|攻魔道%4</v>
      </c>
      <c r="Q344" s="100" t="str">
        <f t="shared" si="167"/>
        <v>龙晶碎片128/元宝128000</v>
      </c>
    </row>
    <row r="345" spans="1:17" ht="15.75" x14ac:dyDescent="0.3">
      <c r="A345" s="22" t="s">
        <v>2584</v>
      </c>
      <c r="B345" s="23" t="s">
        <v>2623</v>
      </c>
      <c r="C345" s="22">
        <v>38</v>
      </c>
      <c r="D345" s="22">
        <f t="shared" ref="D345:E345" si="205">AL41</f>
        <v>3800</v>
      </c>
      <c r="E345" s="22">
        <f t="shared" si="205"/>
        <v>15200</v>
      </c>
      <c r="F345" s="98"/>
      <c r="G345" s="101"/>
      <c r="H345" s="98"/>
      <c r="I345" s="101"/>
      <c r="J345" s="98"/>
      <c r="K345" s="101"/>
      <c r="L345" s="98"/>
      <c r="M345" s="101"/>
      <c r="N345" s="98"/>
      <c r="O345" s="101"/>
      <c r="P345" s="22" t="str">
        <f t="shared" si="169"/>
        <v>HPMP%4|攻魔道%4</v>
      </c>
      <c r="Q345" s="100" t="str">
        <f t="shared" si="167"/>
        <v>龙晶碎片128/元宝128000</v>
      </c>
    </row>
    <row r="346" spans="1:17" ht="15.75" x14ac:dyDescent="0.3">
      <c r="A346" s="22" t="s">
        <v>2584</v>
      </c>
      <c r="B346" s="23" t="s">
        <v>2624</v>
      </c>
      <c r="C346" s="22">
        <v>39</v>
      </c>
      <c r="D346" s="22">
        <f t="shared" ref="D346:E346" si="206">AL42</f>
        <v>3900</v>
      </c>
      <c r="E346" s="22">
        <f t="shared" si="206"/>
        <v>15600</v>
      </c>
      <c r="F346" s="98"/>
      <c r="G346" s="101"/>
      <c r="H346" s="98"/>
      <c r="I346" s="101"/>
      <c r="J346" s="98"/>
      <c r="K346" s="101"/>
      <c r="L346" s="98"/>
      <c r="M346" s="101"/>
      <c r="N346" s="98"/>
      <c r="O346" s="101"/>
      <c r="P346" s="22" t="str">
        <f t="shared" si="169"/>
        <v>HPMP%4|攻魔道%4</v>
      </c>
      <c r="Q346" s="100" t="str">
        <f t="shared" si="167"/>
        <v>龙晶碎片128/元宝128000</v>
      </c>
    </row>
    <row r="347" spans="1:17" ht="15.75" x14ac:dyDescent="0.3">
      <c r="A347" s="22" t="s">
        <v>2584</v>
      </c>
      <c r="B347" s="23" t="s">
        <v>2625</v>
      </c>
      <c r="C347" s="22">
        <v>40</v>
      </c>
      <c r="D347" s="22">
        <f t="shared" ref="D347:E347" si="207">AL43</f>
        <v>4000</v>
      </c>
      <c r="E347" s="22">
        <f t="shared" si="207"/>
        <v>16000</v>
      </c>
      <c r="F347" s="98"/>
      <c r="G347" s="101"/>
      <c r="H347" s="98"/>
      <c r="I347" s="101"/>
      <c r="J347" s="98"/>
      <c r="K347" s="101"/>
      <c r="L347" s="98"/>
      <c r="M347" s="101"/>
      <c r="N347" s="98"/>
      <c r="O347" s="101"/>
      <c r="P347" s="22" t="str">
        <f t="shared" si="169"/>
        <v>HPMP%4|攻魔道%4</v>
      </c>
      <c r="Q347" s="100" t="str">
        <f t="shared" si="167"/>
        <v>龙晶碎片383/元宝383000</v>
      </c>
    </row>
    <row r="348" spans="1:17" ht="15.75" x14ac:dyDescent="0.3">
      <c r="A348" s="22" t="s">
        <v>2584</v>
      </c>
      <c r="B348" s="23" t="s">
        <v>2626</v>
      </c>
      <c r="C348" s="22">
        <v>41</v>
      </c>
      <c r="D348" s="22">
        <f t="shared" ref="D348:E348" si="208">AL44</f>
        <v>4100</v>
      </c>
      <c r="E348" s="22">
        <f t="shared" si="208"/>
        <v>16400</v>
      </c>
      <c r="F348" s="98"/>
      <c r="G348" s="101"/>
      <c r="H348" s="98"/>
      <c r="I348" s="101"/>
      <c r="J348" s="98"/>
      <c r="K348" s="101"/>
      <c r="L348" s="98"/>
      <c r="M348" s="101"/>
      <c r="N348" s="98"/>
      <c r="O348" s="101"/>
      <c r="P348" s="22" t="str">
        <f t="shared" si="169"/>
        <v>HPMP%5|攻魔道%5</v>
      </c>
      <c r="Q348" s="100" t="str">
        <f t="shared" si="167"/>
        <v>龙晶碎片383/元宝383000</v>
      </c>
    </row>
    <row r="349" spans="1:17" ht="15.75" x14ac:dyDescent="0.3">
      <c r="A349" s="22" t="s">
        <v>2584</v>
      </c>
      <c r="B349" s="23" t="s">
        <v>2627</v>
      </c>
      <c r="C349" s="22">
        <v>42</v>
      </c>
      <c r="D349" s="22">
        <f t="shared" ref="D349:E349" si="209">AL45</f>
        <v>4200</v>
      </c>
      <c r="E349" s="22">
        <f t="shared" si="209"/>
        <v>16800</v>
      </c>
      <c r="F349" s="98"/>
      <c r="G349" s="101"/>
      <c r="H349" s="98"/>
      <c r="I349" s="101"/>
      <c r="J349" s="98"/>
      <c r="K349" s="101"/>
      <c r="L349" s="98"/>
      <c r="M349" s="101"/>
      <c r="N349" s="98"/>
      <c r="O349" s="101"/>
      <c r="P349" s="22" t="str">
        <f t="shared" si="169"/>
        <v>HPMP%5|攻魔道%5</v>
      </c>
      <c r="Q349" s="100" t="str">
        <f t="shared" si="167"/>
        <v>龙晶碎片383/元宝383000</v>
      </c>
    </row>
    <row r="350" spans="1:17" ht="15.75" x14ac:dyDescent="0.3">
      <c r="A350" s="22" t="s">
        <v>2584</v>
      </c>
      <c r="B350" s="23" t="s">
        <v>2628</v>
      </c>
      <c r="C350" s="22">
        <v>43</v>
      </c>
      <c r="D350" s="22">
        <f t="shared" ref="D350:E350" si="210">AL46</f>
        <v>4300</v>
      </c>
      <c r="E350" s="22">
        <f t="shared" si="210"/>
        <v>17200</v>
      </c>
      <c r="F350" s="98"/>
      <c r="G350" s="101"/>
      <c r="H350" s="98"/>
      <c r="I350" s="101"/>
      <c r="J350" s="98"/>
      <c r="K350" s="101"/>
      <c r="L350" s="98"/>
      <c r="M350" s="101"/>
      <c r="N350" s="98"/>
      <c r="O350" s="101"/>
      <c r="P350" s="22" t="str">
        <f t="shared" si="169"/>
        <v>HPMP%5|攻魔道%5</v>
      </c>
      <c r="Q350" s="100" t="str">
        <f t="shared" si="167"/>
        <v>龙晶碎片383/元宝383000</v>
      </c>
    </row>
    <row r="351" spans="1:17" ht="15.75" x14ac:dyDescent="0.3">
      <c r="A351" s="22" t="s">
        <v>2584</v>
      </c>
      <c r="B351" s="23" t="s">
        <v>2629</v>
      </c>
      <c r="C351" s="22">
        <v>44</v>
      </c>
      <c r="D351" s="22">
        <f t="shared" ref="D351:E351" si="211">AL47</f>
        <v>4400</v>
      </c>
      <c r="E351" s="22">
        <f t="shared" si="211"/>
        <v>17600</v>
      </c>
      <c r="F351" s="98"/>
      <c r="G351" s="101"/>
      <c r="H351" s="98"/>
      <c r="I351" s="101"/>
      <c r="J351" s="98"/>
      <c r="K351" s="101"/>
      <c r="L351" s="98"/>
      <c r="M351" s="101"/>
      <c r="N351" s="98"/>
      <c r="O351" s="101"/>
      <c r="P351" s="22" t="str">
        <f t="shared" si="169"/>
        <v>HPMP%5|攻魔道%5</v>
      </c>
      <c r="Q351" s="100" t="str">
        <f t="shared" si="167"/>
        <v>龙晶碎片383/元宝383000</v>
      </c>
    </row>
    <row r="352" spans="1:17" ht="15.75" x14ac:dyDescent="0.3">
      <c r="A352" s="22" t="s">
        <v>2584</v>
      </c>
      <c r="B352" s="23" t="s">
        <v>2630</v>
      </c>
      <c r="C352" s="22">
        <v>45</v>
      </c>
      <c r="D352" s="22">
        <f t="shared" ref="D352:E352" si="212">AL48</f>
        <v>4500</v>
      </c>
      <c r="E352" s="22">
        <f t="shared" si="212"/>
        <v>18000</v>
      </c>
      <c r="F352" s="98"/>
      <c r="G352" s="101"/>
      <c r="H352" s="98"/>
      <c r="I352" s="101"/>
      <c r="J352" s="98"/>
      <c r="K352" s="101"/>
      <c r="L352" s="98"/>
      <c r="M352" s="101"/>
      <c r="N352" s="98"/>
      <c r="O352" s="101"/>
      <c r="P352" s="22" t="str">
        <f t="shared" si="169"/>
        <v>HPMP%5|攻魔道%5</v>
      </c>
      <c r="Q352" s="100" t="str">
        <f t="shared" si="167"/>
        <v>龙晶碎片383/元宝383000</v>
      </c>
    </row>
    <row r="353" spans="1:17" ht="15.75" x14ac:dyDescent="0.3">
      <c r="A353" s="22" t="s">
        <v>2584</v>
      </c>
      <c r="B353" s="23" t="s">
        <v>2631</v>
      </c>
      <c r="C353" s="22">
        <v>46</v>
      </c>
      <c r="D353" s="22">
        <f t="shared" ref="D353:E353" si="213">AL49</f>
        <v>4600</v>
      </c>
      <c r="E353" s="22">
        <f t="shared" si="213"/>
        <v>18400</v>
      </c>
      <c r="F353" s="98"/>
      <c r="G353" s="101"/>
      <c r="H353" s="98"/>
      <c r="I353" s="101"/>
      <c r="J353" s="98"/>
      <c r="K353" s="101"/>
      <c r="L353" s="98"/>
      <c r="M353" s="101"/>
      <c r="N353" s="98"/>
      <c r="O353" s="101"/>
      <c r="P353" s="22" t="str">
        <f t="shared" si="169"/>
        <v>HPMP%5|攻魔道%5</v>
      </c>
      <c r="Q353" s="100" t="str">
        <f t="shared" si="167"/>
        <v>龙晶碎片383/元宝383000</v>
      </c>
    </row>
    <row r="354" spans="1:17" ht="15.75" x14ac:dyDescent="0.3">
      <c r="A354" s="22" t="s">
        <v>2584</v>
      </c>
      <c r="B354" s="23" t="s">
        <v>2632</v>
      </c>
      <c r="C354" s="22">
        <v>47</v>
      </c>
      <c r="D354" s="22">
        <f t="shared" ref="D354:E354" si="214">AL50</f>
        <v>4700</v>
      </c>
      <c r="E354" s="22">
        <f t="shared" si="214"/>
        <v>18800</v>
      </c>
      <c r="F354" s="98"/>
      <c r="G354" s="101"/>
      <c r="H354" s="98"/>
      <c r="I354" s="101"/>
      <c r="J354" s="98"/>
      <c r="K354" s="101"/>
      <c r="L354" s="98"/>
      <c r="M354" s="101"/>
      <c r="N354" s="98"/>
      <c r="O354" s="101"/>
      <c r="P354" s="22" t="str">
        <f t="shared" si="169"/>
        <v>HPMP%5|攻魔道%5</v>
      </c>
      <c r="Q354" s="100" t="str">
        <f t="shared" si="167"/>
        <v>龙晶碎片383/元宝383000</v>
      </c>
    </row>
    <row r="355" spans="1:17" ht="15.75" x14ac:dyDescent="0.3">
      <c r="A355" s="22" t="s">
        <v>2584</v>
      </c>
      <c r="B355" s="23" t="s">
        <v>2633</v>
      </c>
      <c r="C355" s="22">
        <v>48</v>
      </c>
      <c r="D355" s="22">
        <f t="shared" ref="D355:E355" si="215">AL51</f>
        <v>4800</v>
      </c>
      <c r="E355" s="22">
        <f t="shared" si="215"/>
        <v>19200</v>
      </c>
      <c r="F355" s="98"/>
      <c r="G355" s="101"/>
      <c r="H355" s="98"/>
      <c r="I355" s="101"/>
      <c r="J355" s="98"/>
      <c r="K355" s="101"/>
      <c r="L355" s="98"/>
      <c r="M355" s="101"/>
      <c r="N355" s="98"/>
      <c r="O355" s="101"/>
      <c r="P355" s="22" t="str">
        <f t="shared" si="169"/>
        <v>HPMP%5|攻魔道%5</v>
      </c>
      <c r="Q355" s="100" t="str">
        <f t="shared" si="167"/>
        <v>龙晶碎片383/元宝383000</v>
      </c>
    </row>
    <row r="356" spans="1:17" ht="15.75" x14ac:dyDescent="0.3">
      <c r="A356" s="22" t="s">
        <v>2584</v>
      </c>
      <c r="B356" s="23" t="s">
        <v>2634</v>
      </c>
      <c r="C356" s="22">
        <v>49</v>
      </c>
      <c r="D356" s="22">
        <f t="shared" ref="D356:E356" si="216">AL52</f>
        <v>4900</v>
      </c>
      <c r="E356" s="22">
        <f t="shared" si="216"/>
        <v>19600</v>
      </c>
      <c r="F356" s="98"/>
      <c r="G356" s="101"/>
      <c r="H356" s="98"/>
      <c r="I356" s="101"/>
      <c r="J356" s="98"/>
      <c r="K356" s="101"/>
      <c r="L356" s="98"/>
      <c r="M356" s="101"/>
      <c r="N356" s="98"/>
      <c r="O356" s="101"/>
      <c r="P356" s="22" t="str">
        <f t="shared" si="169"/>
        <v>HPMP%5|攻魔道%5</v>
      </c>
      <c r="Q356" s="100" t="str">
        <f t="shared" si="167"/>
        <v>龙晶碎片383/元宝383000</v>
      </c>
    </row>
    <row r="357" spans="1:17" ht="15.75" x14ac:dyDescent="0.3">
      <c r="A357" s="22" t="s">
        <v>2584</v>
      </c>
      <c r="B357" s="23" t="s">
        <v>2635</v>
      </c>
      <c r="C357" s="22">
        <v>50</v>
      </c>
      <c r="D357" s="22">
        <f t="shared" ref="D357:E357" si="217">AL53</f>
        <v>5000</v>
      </c>
      <c r="E357" s="22">
        <f t="shared" si="217"/>
        <v>20000</v>
      </c>
      <c r="F357" s="98"/>
      <c r="G357" s="101"/>
      <c r="H357" s="98"/>
      <c r="I357" s="101"/>
      <c r="J357" s="98"/>
      <c r="K357" s="101"/>
      <c r="L357" s="98"/>
      <c r="M357" s="101"/>
      <c r="N357" s="98"/>
      <c r="O357" s="101"/>
      <c r="P357" s="22" t="str">
        <f t="shared" si="169"/>
        <v>HPMP%5|攻魔道%5</v>
      </c>
      <c r="Q357" s="100" t="str">
        <f t="shared" si="167"/>
        <v>龙晶碎片1244/元宝1244000</v>
      </c>
    </row>
    <row r="358" spans="1:17" ht="15.75" x14ac:dyDescent="0.3">
      <c r="A358" s="22" t="s">
        <v>2584</v>
      </c>
      <c r="B358" s="23" t="s">
        <v>2636</v>
      </c>
      <c r="C358" s="22">
        <v>51</v>
      </c>
      <c r="D358" s="22">
        <f t="shared" ref="D358:E358" si="218">AL54</f>
        <v>5100</v>
      </c>
      <c r="E358" s="22">
        <f t="shared" si="218"/>
        <v>20400</v>
      </c>
      <c r="F358" s="98"/>
      <c r="G358" s="101"/>
      <c r="H358" s="98"/>
      <c r="I358" s="101"/>
      <c r="J358" s="98"/>
      <c r="K358" s="101"/>
      <c r="L358" s="98"/>
      <c r="M358" s="101"/>
      <c r="N358" s="98"/>
      <c r="O358" s="101"/>
      <c r="P358" s="22" t="str">
        <f t="shared" si="169"/>
        <v>HPMP%6|攻魔道%6</v>
      </c>
      <c r="Q358" s="100" t="str">
        <f t="shared" si="167"/>
        <v>龙晶碎片1244/元宝1244000</v>
      </c>
    </row>
    <row r="359" spans="1:17" ht="15.75" x14ac:dyDescent="0.3">
      <c r="A359" s="22" t="s">
        <v>2584</v>
      </c>
      <c r="B359" s="23" t="s">
        <v>2637</v>
      </c>
      <c r="C359" s="22">
        <v>52</v>
      </c>
      <c r="D359" s="22">
        <f t="shared" ref="D359:E359" si="219">AL55</f>
        <v>5200</v>
      </c>
      <c r="E359" s="22">
        <f t="shared" si="219"/>
        <v>20800</v>
      </c>
      <c r="F359" s="98"/>
      <c r="G359" s="101"/>
      <c r="H359" s="98"/>
      <c r="I359" s="101"/>
      <c r="J359" s="98"/>
      <c r="K359" s="101"/>
      <c r="L359" s="98"/>
      <c r="M359" s="101"/>
      <c r="N359" s="98"/>
      <c r="O359" s="101"/>
      <c r="P359" s="22" t="str">
        <f t="shared" si="169"/>
        <v>HPMP%6|攻魔道%6</v>
      </c>
      <c r="Q359" s="100" t="str">
        <f t="shared" si="167"/>
        <v>龙晶碎片1244/元宝1244000</v>
      </c>
    </row>
    <row r="360" spans="1:17" ht="15.75" x14ac:dyDescent="0.3">
      <c r="A360" s="22" t="s">
        <v>2584</v>
      </c>
      <c r="B360" s="23" t="s">
        <v>2638</v>
      </c>
      <c r="C360" s="22">
        <v>53</v>
      </c>
      <c r="D360" s="22">
        <f t="shared" ref="D360:E360" si="220">AL56</f>
        <v>5300</v>
      </c>
      <c r="E360" s="22">
        <f t="shared" si="220"/>
        <v>21200</v>
      </c>
      <c r="F360" s="98"/>
      <c r="G360" s="101"/>
      <c r="H360" s="98"/>
      <c r="I360" s="101"/>
      <c r="J360" s="98"/>
      <c r="K360" s="101"/>
      <c r="L360" s="98"/>
      <c r="M360" s="101"/>
      <c r="N360" s="98"/>
      <c r="O360" s="101"/>
      <c r="P360" s="22" t="str">
        <f t="shared" si="169"/>
        <v>HPMP%6|攻魔道%6</v>
      </c>
      <c r="Q360" s="100" t="str">
        <f t="shared" si="167"/>
        <v>龙晶碎片1244/元宝1244000</v>
      </c>
    </row>
    <row r="361" spans="1:17" ht="15.75" x14ac:dyDescent="0.3">
      <c r="A361" s="22" t="s">
        <v>2584</v>
      </c>
      <c r="B361" s="23" t="s">
        <v>2639</v>
      </c>
      <c r="C361" s="22">
        <v>54</v>
      </c>
      <c r="D361" s="22">
        <f t="shared" ref="D361:E361" si="221">AL57</f>
        <v>5400</v>
      </c>
      <c r="E361" s="22">
        <f t="shared" si="221"/>
        <v>21600</v>
      </c>
      <c r="F361" s="98"/>
      <c r="G361" s="101"/>
      <c r="H361" s="98"/>
      <c r="I361" s="101"/>
      <c r="J361" s="98"/>
      <c r="K361" s="101"/>
      <c r="L361" s="98"/>
      <c r="M361" s="101"/>
      <c r="N361" s="98"/>
      <c r="O361" s="101"/>
      <c r="P361" s="22" t="str">
        <f t="shared" si="169"/>
        <v>HPMP%6|攻魔道%6</v>
      </c>
      <c r="Q361" s="100" t="str">
        <f t="shared" si="167"/>
        <v>龙晶碎片1244/元宝1244000</v>
      </c>
    </row>
    <row r="362" spans="1:17" ht="15.75" x14ac:dyDescent="0.3">
      <c r="A362" s="22" t="s">
        <v>2584</v>
      </c>
      <c r="B362" s="23" t="s">
        <v>2640</v>
      </c>
      <c r="C362" s="22">
        <v>55</v>
      </c>
      <c r="D362" s="22">
        <f t="shared" ref="D362:E362" si="222">AL58</f>
        <v>5500</v>
      </c>
      <c r="E362" s="22">
        <f t="shared" si="222"/>
        <v>22000</v>
      </c>
      <c r="F362" s="98"/>
      <c r="G362" s="101"/>
      <c r="H362" s="98"/>
      <c r="I362" s="101"/>
      <c r="J362" s="98"/>
      <c r="K362" s="101"/>
      <c r="L362" s="98"/>
      <c r="M362" s="101"/>
      <c r="N362" s="98"/>
      <c r="O362" s="101"/>
      <c r="P362" s="22" t="str">
        <f t="shared" si="169"/>
        <v>HPMP%6|攻魔道%6</v>
      </c>
      <c r="Q362" s="100" t="str">
        <f t="shared" si="167"/>
        <v>龙晶碎片1244/元宝1244000</v>
      </c>
    </row>
    <row r="363" spans="1:17" ht="15.75" x14ac:dyDescent="0.3">
      <c r="A363" s="22" t="s">
        <v>2584</v>
      </c>
      <c r="B363" s="23" t="s">
        <v>2641</v>
      </c>
      <c r="C363" s="22">
        <v>56</v>
      </c>
      <c r="D363" s="22">
        <f t="shared" ref="D363:E363" si="223">AL59</f>
        <v>5600</v>
      </c>
      <c r="E363" s="22">
        <f t="shared" si="223"/>
        <v>22400</v>
      </c>
      <c r="F363" s="98"/>
      <c r="G363" s="101"/>
      <c r="H363" s="98"/>
      <c r="I363" s="101"/>
      <c r="J363" s="98"/>
      <c r="K363" s="101"/>
      <c r="L363" s="98"/>
      <c r="M363" s="101"/>
      <c r="N363" s="98"/>
      <c r="O363" s="101"/>
      <c r="P363" s="22" t="str">
        <f t="shared" si="169"/>
        <v>HPMP%6|攻魔道%6</v>
      </c>
      <c r="Q363" s="100" t="str">
        <f t="shared" si="167"/>
        <v>龙晶碎片1244/元宝1244000</v>
      </c>
    </row>
    <row r="364" spans="1:17" ht="15.75" x14ac:dyDescent="0.3">
      <c r="A364" s="22" t="s">
        <v>2584</v>
      </c>
      <c r="B364" s="23" t="s">
        <v>2642</v>
      </c>
      <c r="C364" s="22">
        <v>57</v>
      </c>
      <c r="D364" s="22">
        <f t="shared" ref="D364:E364" si="224">AL60</f>
        <v>5700</v>
      </c>
      <c r="E364" s="22">
        <f t="shared" si="224"/>
        <v>22800</v>
      </c>
      <c r="F364" s="98"/>
      <c r="G364" s="101"/>
      <c r="H364" s="98"/>
      <c r="I364" s="101"/>
      <c r="J364" s="98"/>
      <c r="K364" s="101"/>
      <c r="L364" s="98"/>
      <c r="M364" s="101"/>
      <c r="N364" s="98"/>
      <c r="O364" s="101"/>
      <c r="P364" s="22" t="str">
        <f t="shared" si="169"/>
        <v>HPMP%6|攻魔道%6</v>
      </c>
      <c r="Q364" s="100" t="str">
        <f t="shared" si="167"/>
        <v>龙晶碎片1244/元宝1244000</v>
      </c>
    </row>
    <row r="365" spans="1:17" ht="15.75" x14ac:dyDescent="0.3">
      <c r="A365" s="22" t="s">
        <v>2584</v>
      </c>
      <c r="B365" s="23" t="s">
        <v>2643</v>
      </c>
      <c r="C365" s="22">
        <v>58</v>
      </c>
      <c r="D365" s="22">
        <f t="shared" ref="D365:E365" si="225">AL61</f>
        <v>5800</v>
      </c>
      <c r="E365" s="22">
        <f t="shared" si="225"/>
        <v>23200</v>
      </c>
      <c r="F365" s="98"/>
      <c r="G365" s="101"/>
      <c r="H365" s="98"/>
      <c r="I365" s="101"/>
      <c r="J365" s="98"/>
      <c r="K365" s="101"/>
      <c r="L365" s="98"/>
      <c r="M365" s="101"/>
      <c r="N365" s="98"/>
      <c r="O365" s="101"/>
      <c r="P365" s="22" t="str">
        <f t="shared" si="169"/>
        <v>HPMP%6|攻魔道%6</v>
      </c>
      <c r="Q365" s="100" t="str">
        <f t="shared" si="167"/>
        <v>龙晶碎片1244/元宝1244000</v>
      </c>
    </row>
    <row r="366" spans="1:17" ht="15.75" x14ac:dyDescent="0.3">
      <c r="A366" s="22" t="s">
        <v>2584</v>
      </c>
      <c r="B366" s="23" t="s">
        <v>2644</v>
      </c>
      <c r="C366" s="22">
        <v>59</v>
      </c>
      <c r="D366" s="22">
        <f t="shared" ref="D366:E366" si="226">AL62</f>
        <v>5900</v>
      </c>
      <c r="E366" s="22">
        <f t="shared" si="226"/>
        <v>23600</v>
      </c>
      <c r="F366" s="98"/>
      <c r="G366" s="101"/>
      <c r="H366" s="98"/>
      <c r="I366" s="101"/>
      <c r="J366" s="98"/>
      <c r="K366" s="101"/>
      <c r="L366" s="98"/>
      <c r="M366" s="101"/>
      <c r="N366" s="98"/>
      <c r="O366" s="101"/>
      <c r="P366" s="22" t="str">
        <f t="shared" si="169"/>
        <v>HPMP%6|攻魔道%6</v>
      </c>
      <c r="Q366" s="100" t="str">
        <f t="shared" si="167"/>
        <v>龙晶碎片1244/元宝1244000</v>
      </c>
    </row>
    <row r="367" spans="1:17" ht="15.75" x14ac:dyDescent="0.3">
      <c r="A367" s="22" t="s">
        <v>2584</v>
      </c>
      <c r="B367" s="23" t="s">
        <v>2645</v>
      </c>
      <c r="C367" s="22">
        <v>60</v>
      </c>
      <c r="D367" s="22">
        <f t="shared" ref="D367:E367" si="227">AL63</f>
        <v>6000</v>
      </c>
      <c r="E367" s="22">
        <f t="shared" si="227"/>
        <v>24000</v>
      </c>
      <c r="F367" s="98"/>
      <c r="G367" s="101"/>
      <c r="H367" s="98"/>
      <c r="I367" s="101"/>
      <c r="J367" s="98"/>
      <c r="K367" s="101"/>
      <c r="L367" s="98"/>
      <c r="M367" s="101"/>
      <c r="N367" s="98"/>
      <c r="O367" s="101"/>
      <c r="P367" s="22" t="str">
        <f t="shared" si="169"/>
        <v>HPMP%6|攻魔道%6</v>
      </c>
      <c r="Q367" s="100" t="str">
        <f t="shared" si="167"/>
        <v>龙晶碎片3130/元宝3130000</v>
      </c>
    </row>
    <row r="368" spans="1:17" ht="15.75" x14ac:dyDescent="0.3">
      <c r="A368" s="22" t="s">
        <v>2584</v>
      </c>
      <c r="B368" s="23" t="s">
        <v>2646</v>
      </c>
      <c r="C368" s="22">
        <v>61</v>
      </c>
      <c r="D368" s="22">
        <f t="shared" ref="D368:E368" si="228">AL64</f>
        <v>6100</v>
      </c>
      <c r="E368" s="22">
        <f t="shared" si="228"/>
        <v>24400</v>
      </c>
      <c r="F368" s="98"/>
      <c r="G368" s="101"/>
      <c r="H368" s="98"/>
      <c r="I368" s="101"/>
      <c r="J368" s="98"/>
      <c r="K368" s="101"/>
      <c r="L368" s="98"/>
      <c r="M368" s="101"/>
      <c r="N368" s="98"/>
      <c r="O368" s="101"/>
      <c r="P368" s="22" t="str">
        <f t="shared" si="169"/>
        <v>HPMP%7|攻魔道%7</v>
      </c>
      <c r="Q368" s="100" t="str">
        <f t="shared" si="167"/>
        <v>龙晶碎片3130/元宝3130000</v>
      </c>
    </row>
    <row r="369" spans="1:17" ht="15.75" x14ac:dyDescent="0.3">
      <c r="A369" s="22" t="s">
        <v>2584</v>
      </c>
      <c r="B369" s="23" t="s">
        <v>2647</v>
      </c>
      <c r="C369" s="22">
        <v>62</v>
      </c>
      <c r="D369" s="22">
        <f t="shared" ref="D369:E369" si="229">AL65</f>
        <v>6200</v>
      </c>
      <c r="E369" s="22">
        <f t="shared" si="229"/>
        <v>24800</v>
      </c>
      <c r="F369" s="98"/>
      <c r="G369" s="101"/>
      <c r="H369" s="98"/>
      <c r="I369" s="101"/>
      <c r="J369" s="98"/>
      <c r="K369" s="101"/>
      <c r="L369" s="98"/>
      <c r="M369" s="101"/>
      <c r="N369" s="98"/>
      <c r="O369" s="101"/>
      <c r="P369" s="22" t="str">
        <f t="shared" si="169"/>
        <v>HPMP%7|攻魔道%7</v>
      </c>
      <c r="Q369" s="100" t="str">
        <f t="shared" si="167"/>
        <v>龙晶碎片3130/元宝3130000</v>
      </c>
    </row>
    <row r="370" spans="1:17" ht="15.75" x14ac:dyDescent="0.3">
      <c r="A370" s="22" t="s">
        <v>2584</v>
      </c>
      <c r="B370" s="23" t="s">
        <v>2648</v>
      </c>
      <c r="C370" s="22">
        <v>63</v>
      </c>
      <c r="D370" s="22">
        <f t="shared" ref="D370:E370" si="230">AL66</f>
        <v>6300</v>
      </c>
      <c r="E370" s="22">
        <f t="shared" si="230"/>
        <v>25200</v>
      </c>
      <c r="F370" s="98"/>
      <c r="G370" s="101"/>
      <c r="H370" s="98"/>
      <c r="I370" s="101"/>
      <c r="J370" s="98"/>
      <c r="K370" s="101"/>
      <c r="L370" s="98"/>
      <c r="M370" s="101"/>
      <c r="N370" s="98"/>
      <c r="O370" s="101"/>
      <c r="P370" s="22" t="str">
        <f t="shared" si="169"/>
        <v>HPMP%7|攻魔道%7</v>
      </c>
      <c r="Q370" s="100" t="str">
        <f t="shared" si="167"/>
        <v>龙晶碎片3130/元宝3130000</v>
      </c>
    </row>
    <row r="371" spans="1:17" ht="15.75" x14ac:dyDescent="0.3">
      <c r="A371" s="22" t="s">
        <v>2584</v>
      </c>
      <c r="B371" s="23" t="s">
        <v>2649</v>
      </c>
      <c r="C371" s="22">
        <v>64</v>
      </c>
      <c r="D371" s="22">
        <f t="shared" ref="D371:E371" si="231">AL67</f>
        <v>6400</v>
      </c>
      <c r="E371" s="22">
        <f t="shared" si="231"/>
        <v>25600</v>
      </c>
      <c r="F371" s="98"/>
      <c r="G371" s="101"/>
      <c r="H371" s="98"/>
      <c r="I371" s="101"/>
      <c r="J371" s="98"/>
      <c r="K371" s="101"/>
      <c r="L371" s="98"/>
      <c r="M371" s="101"/>
      <c r="N371" s="98"/>
      <c r="O371" s="101"/>
      <c r="P371" s="22" t="str">
        <f t="shared" si="169"/>
        <v>HPMP%7|攻魔道%7</v>
      </c>
      <c r="Q371" s="100" t="str">
        <f t="shared" si="167"/>
        <v>龙晶碎片3130/元宝3130000</v>
      </c>
    </row>
    <row r="372" spans="1:17" ht="15.75" x14ac:dyDescent="0.3">
      <c r="A372" s="22" t="s">
        <v>2584</v>
      </c>
      <c r="B372" s="23" t="s">
        <v>2650</v>
      </c>
      <c r="C372" s="22">
        <v>65</v>
      </c>
      <c r="D372" s="22">
        <f t="shared" ref="D372:E372" si="232">AL68</f>
        <v>6500</v>
      </c>
      <c r="E372" s="22">
        <f t="shared" si="232"/>
        <v>26000</v>
      </c>
      <c r="F372" s="98"/>
      <c r="G372" s="101"/>
      <c r="H372" s="98"/>
      <c r="I372" s="101"/>
      <c r="J372" s="98"/>
      <c r="K372" s="101"/>
      <c r="L372" s="98"/>
      <c r="M372" s="101"/>
      <c r="N372" s="98"/>
      <c r="O372" s="101"/>
      <c r="P372" s="22" t="str">
        <f t="shared" si="169"/>
        <v>HPMP%7|攻魔道%7</v>
      </c>
      <c r="Q372" s="100" t="str">
        <f t="shared" ref="Q372:Q406" si="233">"龙晶碎片"&amp;AB69&amp;"/元宝"&amp;AC69</f>
        <v>龙晶碎片3130/元宝3130000</v>
      </c>
    </row>
    <row r="373" spans="1:17" ht="15.75" x14ac:dyDescent="0.3">
      <c r="A373" s="22" t="s">
        <v>2584</v>
      </c>
      <c r="B373" s="23" t="s">
        <v>2651</v>
      </c>
      <c r="C373" s="22">
        <v>66</v>
      </c>
      <c r="D373" s="22">
        <f t="shared" ref="D373:E373" si="234">AL69</f>
        <v>6600</v>
      </c>
      <c r="E373" s="22">
        <f t="shared" si="234"/>
        <v>26400</v>
      </c>
      <c r="F373" s="98"/>
      <c r="G373" s="101"/>
      <c r="H373" s="98"/>
      <c r="I373" s="101"/>
      <c r="J373" s="98"/>
      <c r="K373" s="101"/>
      <c r="L373" s="98"/>
      <c r="M373" s="101"/>
      <c r="N373" s="98"/>
      <c r="O373" s="101"/>
      <c r="P373" s="22" t="str">
        <f t="shared" ref="P373:P407" si="235">$AN$3&amp;AN69&amp;"|"&amp;$AO$3&amp;AO69</f>
        <v>HPMP%7|攻魔道%7</v>
      </c>
      <c r="Q373" s="100" t="str">
        <f t="shared" si="233"/>
        <v>龙晶碎片3130/元宝3130000</v>
      </c>
    </row>
    <row r="374" spans="1:17" ht="15.75" x14ac:dyDescent="0.3">
      <c r="A374" s="22" t="s">
        <v>2584</v>
      </c>
      <c r="B374" s="23" t="s">
        <v>2652</v>
      </c>
      <c r="C374" s="22">
        <v>67</v>
      </c>
      <c r="D374" s="22">
        <f t="shared" ref="D374:E374" si="236">AL70</f>
        <v>6700</v>
      </c>
      <c r="E374" s="22">
        <f t="shared" si="236"/>
        <v>26800</v>
      </c>
      <c r="F374" s="98"/>
      <c r="G374" s="101"/>
      <c r="H374" s="98"/>
      <c r="I374" s="101"/>
      <c r="J374" s="98"/>
      <c r="K374" s="101"/>
      <c r="L374" s="98"/>
      <c r="M374" s="101"/>
      <c r="N374" s="98"/>
      <c r="O374" s="101"/>
      <c r="P374" s="22" t="str">
        <f t="shared" si="235"/>
        <v>HPMP%7|攻魔道%7</v>
      </c>
      <c r="Q374" s="100" t="str">
        <f t="shared" si="233"/>
        <v>龙晶碎片3130/元宝3130000</v>
      </c>
    </row>
    <row r="375" spans="1:17" ht="15.75" x14ac:dyDescent="0.3">
      <c r="A375" s="22" t="s">
        <v>2584</v>
      </c>
      <c r="B375" s="23" t="s">
        <v>2653</v>
      </c>
      <c r="C375" s="22">
        <v>68</v>
      </c>
      <c r="D375" s="22">
        <f t="shared" ref="D375:E375" si="237">AL71</f>
        <v>6800</v>
      </c>
      <c r="E375" s="22">
        <f t="shared" si="237"/>
        <v>27200</v>
      </c>
      <c r="F375" s="98"/>
      <c r="G375" s="101"/>
      <c r="H375" s="98"/>
      <c r="I375" s="101"/>
      <c r="J375" s="98"/>
      <c r="K375" s="101"/>
      <c r="L375" s="98"/>
      <c r="M375" s="101"/>
      <c r="N375" s="98"/>
      <c r="O375" s="101"/>
      <c r="P375" s="22" t="str">
        <f t="shared" si="235"/>
        <v>HPMP%7|攻魔道%7</v>
      </c>
      <c r="Q375" s="100" t="str">
        <f t="shared" si="233"/>
        <v>龙晶碎片3130/元宝3130000</v>
      </c>
    </row>
    <row r="376" spans="1:17" ht="15.75" x14ac:dyDescent="0.3">
      <c r="A376" s="22" t="s">
        <v>2584</v>
      </c>
      <c r="B376" s="23" t="s">
        <v>2654</v>
      </c>
      <c r="C376" s="22">
        <v>69</v>
      </c>
      <c r="D376" s="22">
        <f t="shared" ref="D376:E376" si="238">AL72</f>
        <v>6900</v>
      </c>
      <c r="E376" s="22">
        <f t="shared" si="238"/>
        <v>27600</v>
      </c>
      <c r="F376" s="98"/>
      <c r="G376" s="101"/>
      <c r="H376" s="98"/>
      <c r="I376" s="101"/>
      <c r="J376" s="98"/>
      <c r="K376" s="101"/>
      <c r="L376" s="98"/>
      <c r="M376" s="101"/>
      <c r="N376" s="98"/>
      <c r="O376" s="101"/>
      <c r="P376" s="22" t="str">
        <f t="shared" si="235"/>
        <v>HPMP%7|攻魔道%7</v>
      </c>
      <c r="Q376" s="100" t="str">
        <f t="shared" si="233"/>
        <v>龙晶碎片3130/元宝3130000</v>
      </c>
    </row>
    <row r="377" spans="1:17" ht="15.75" x14ac:dyDescent="0.3">
      <c r="A377" s="22" t="s">
        <v>2584</v>
      </c>
      <c r="B377" s="23" t="s">
        <v>2655</v>
      </c>
      <c r="C377" s="22">
        <v>70</v>
      </c>
      <c r="D377" s="22">
        <f t="shared" ref="D377:E377" si="239">AL73</f>
        <v>7000</v>
      </c>
      <c r="E377" s="22">
        <f t="shared" si="239"/>
        <v>28000</v>
      </c>
      <c r="F377" s="98"/>
      <c r="G377" s="101"/>
      <c r="H377" s="98"/>
      <c r="I377" s="101"/>
      <c r="J377" s="98"/>
      <c r="K377" s="101"/>
      <c r="L377" s="98"/>
      <c r="M377" s="101"/>
      <c r="N377" s="98"/>
      <c r="O377" s="101"/>
      <c r="P377" s="22" t="str">
        <f t="shared" si="235"/>
        <v>HPMP%7|攻魔道%7</v>
      </c>
      <c r="Q377" s="100" t="str">
        <f t="shared" si="233"/>
        <v>龙晶碎片3641/元宝3641000</v>
      </c>
    </row>
    <row r="378" spans="1:17" ht="15.75" x14ac:dyDescent="0.3">
      <c r="A378" s="22" t="s">
        <v>2584</v>
      </c>
      <c r="B378" s="23" t="s">
        <v>2656</v>
      </c>
      <c r="C378" s="22">
        <v>71</v>
      </c>
      <c r="D378" s="22">
        <f t="shared" ref="D378:E378" si="240">AL74</f>
        <v>7100</v>
      </c>
      <c r="E378" s="22">
        <f t="shared" si="240"/>
        <v>28400</v>
      </c>
      <c r="F378" s="98"/>
      <c r="G378" s="101"/>
      <c r="H378" s="98"/>
      <c r="I378" s="101"/>
      <c r="J378" s="98"/>
      <c r="K378" s="101"/>
      <c r="L378" s="98"/>
      <c r="M378" s="101"/>
      <c r="N378" s="98"/>
      <c r="O378" s="101"/>
      <c r="P378" s="22" t="str">
        <f t="shared" si="235"/>
        <v>HPMP%8|攻魔道%8</v>
      </c>
      <c r="Q378" s="100" t="str">
        <f t="shared" si="233"/>
        <v>龙晶碎片3641/元宝3641000</v>
      </c>
    </row>
    <row r="379" spans="1:17" ht="15.75" x14ac:dyDescent="0.3">
      <c r="A379" s="22" t="s">
        <v>2584</v>
      </c>
      <c r="B379" s="23" t="s">
        <v>2657</v>
      </c>
      <c r="C379" s="22">
        <v>72</v>
      </c>
      <c r="D379" s="22">
        <f t="shared" ref="D379:E379" si="241">AL75</f>
        <v>7200</v>
      </c>
      <c r="E379" s="22">
        <f t="shared" si="241"/>
        <v>28800</v>
      </c>
      <c r="F379" s="98"/>
      <c r="G379" s="101"/>
      <c r="H379" s="98"/>
      <c r="I379" s="101"/>
      <c r="J379" s="98"/>
      <c r="K379" s="101"/>
      <c r="L379" s="98"/>
      <c r="M379" s="101"/>
      <c r="N379" s="98"/>
      <c r="O379" s="101"/>
      <c r="P379" s="22" t="str">
        <f t="shared" si="235"/>
        <v>HPMP%8|攻魔道%8</v>
      </c>
      <c r="Q379" s="100" t="str">
        <f t="shared" si="233"/>
        <v>龙晶碎片3641/元宝3641000</v>
      </c>
    </row>
    <row r="380" spans="1:17" ht="15.75" x14ac:dyDescent="0.3">
      <c r="A380" s="22" t="s">
        <v>2584</v>
      </c>
      <c r="B380" s="23" t="s">
        <v>2658</v>
      </c>
      <c r="C380" s="22">
        <v>73</v>
      </c>
      <c r="D380" s="22">
        <f t="shared" ref="D380:E380" si="242">AL76</f>
        <v>7300</v>
      </c>
      <c r="E380" s="22">
        <f t="shared" si="242"/>
        <v>29200</v>
      </c>
      <c r="F380" s="98"/>
      <c r="G380" s="101"/>
      <c r="H380" s="98"/>
      <c r="I380" s="101"/>
      <c r="J380" s="98"/>
      <c r="K380" s="101"/>
      <c r="L380" s="98"/>
      <c r="M380" s="101"/>
      <c r="N380" s="98"/>
      <c r="O380" s="101"/>
      <c r="P380" s="22" t="str">
        <f t="shared" si="235"/>
        <v>HPMP%8|攻魔道%8</v>
      </c>
      <c r="Q380" s="100" t="str">
        <f t="shared" si="233"/>
        <v>龙晶碎片3641/元宝3641000</v>
      </c>
    </row>
    <row r="381" spans="1:17" ht="15.75" x14ac:dyDescent="0.3">
      <c r="A381" s="22" t="s">
        <v>2584</v>
      </c>
      <c r="B381" s="23" t="s">
        <v>2659</v>
      </c>
      <c r="C381" s="22">
        <v>74</v>
      </c>
      <c r="D381" s="22">
        <f t="shared" ref="D381:E381" si="243">AL77</f>
        <v>7400</v>
      </c>
      <c r="E381" s="22">
        <f t="shared" si="243"/>
        <v>29600</v>
      </c>
      <c r="F381" s="98"/>
      <c r="G381" s="101"/>
      <c r="H381" s="98"/>
      <c r="I381" s="101"/>
      <c r="J381" s="98"/>
      <c r="K381" s="101"/>
      <c r="L381" s="98"/>
      <c r="M381" s="101"/>
      <c r="N381" s="98"/>
      <c r="O381" s="101"/>
      <c r="P381" s="22" t="str">
        <f t="shared" si="235"/>
        <v>HPMP%8|攻魔道%8</v>
      </c>
      <c r="Q381" s="100" t="str">
        <f t="shared" si="233"/>
        <v>龙晶碎片3641/元宝3641000</v>
      </c>
    </row>
    <row r="382" spans="1:17" ht="15.75" x14ac:dyDescent="0.3">
      <c r="A382" s="22" t="s">
        <v>2584</v>
      </c>
      <c r="B382" s="23" t="s">
        <v>2660</v>
      </c>
      <c r="C382" s="22">
        <v>75</v>
      </c>
      <c r="D382" s="22">
        <f t="shared" ref="D382:E382" si="244">AL78</f>
        <v>7500</v>
      </c>
      <c r="E382" s="22">
        <f t="shared" si="244"/>
        <v>30000</v>
      </c>
      <c r="F382" s="98"/>
      <c r="G382" s="101"/>
      <c r="H382" s="98"/>
      <c r="I382" s="101"/>
      <c r="J382" s="98"/>
      <c r="K382" s="101"/>
      <c r="L382" s="98"/>
      <c r="M382" s="101"/>
      <c r="N382" s="98"/>
      <c r="O382" s="101"/>
      <c r="P382" s="22" t="str">
        <f t="shared" si="235"/>
        <v>HPMP%8|攻魔道%8</v>
      </c>
      <c r="Q382" s="100" t="str">
        <f t="shared" si="233"/>
        <v>龙晶碎片3641/元宝3641000</v>
      </c>
    </row>
    <row r="383" spans="1:17" ht="15.75" x14ac:dyDescent="0.3">
      <c r="A383" s="22" t="s">
        <v>2584</v>
      </c>
      <c r="B383" s="23" t="s">
        <v>2661</v>
      </c>
      <c r="C383" s="22">
        <v>76</v>
      </c>
      <c r="D383" s="22">
        <f t="shared" ref="D383:E383" si="245">AL79</f>
        <v>7600</v>
      </c>
      <c r="E383" s="22">
        <f t="shared" si="245"/>
        <v>30400</v>
      </c>
      <c r="F383" s="98"/>
      <c r="G383" s="101"/>
      <c r="H383" s="98"/>
      <c r="I383" s="101"/>
      <c r="J383" s="98"/>
      <c r="K383" s="101"/>
      <c r="L383" s="98"/>
      <c r="M383" s="101"/>
      <c r="N383" s="98"/>
      <c r="O383" s="101"/>
      <c r="P383" s="22" t="str">
        <f t="shared" si="235"/>
        <v>HPMP%8|攻魔道%8</v>
      </c>
      <c r="Q383" s="100" t="str">
        <f t="shared" si="233"/>
        <v>龙晶碎片3641/元宝3641000</v>
      </c>
    </row>
    <row r="384" spans="1:17" ht="15.75" x14ac:dyDescent="0.3">
      <c r="A384" s="22" t="s">
        <v>2584</v>
      </c>
      <c r="B384" s="23" t="s">
        <v>2662</v>
      </c>
      <c r="C384" s="22">
        <v>77</v>
      </c>
      <c r="D384" s="22">
        <f t="shared" ref="D384:E384" si="246">AL80</f>
        <v>7700</v>
      </c>
      <c r="E384" s="22">
        <f t="shared" si="246"/>
        <v>30800</v>
      </c>
      <c r="F384" s="98"/>
      <c r="G384" s="101"/>
      <c r="H384" s="98"/>
      <c r="I384" s="101"/>
      <c r="J384" s="98"/>
      <c r="K384" s="101"/>
      <c r="L384" s="98"/>
      <c r="M384" s="101"/>
      <c r="N384" s="98"/>
      <c r="O384" s="101"/>
      <c r="P384" s="22" t="str">
        <f t="shared" si="235"/>
        <v>HPMP%8|攻魔道%8</v>
      </c>
      <c r="Q384" s="100" t="str">
        <f t="shared" si="233"/>
        <v>龙晶碎片3641/元宝3641000</v>
      </c>
    </row>
    <row r="385" spans="1:17" ht="15.75" x14ac:dyDescent="0.3">
      <c r="A385" s="22" t="s">
        <v>2584</v>
      </c>
      <c r="B385" s="23" t="s">
        <v>2663</v>
      </c>
      <c r="C385" s="22">
        <v>78</v>
      </c>
      <c r="D385" s="22">
        <f t="shared" ref="D385:E385" si="247">AL81</f>
        <v>7800</v>
      </c>
      <c r="E385" s="22">
        <f t="shared" si="247"/>
        <v>31200</v>
      </c>
      <c r="F385" s="98"/>
      <c r="G385" s="101"/>
      <c r="H385" s="98"/>
      <c r="I385" s="101"/>
      <c r="J385" s="98"/>
      <c r="K385" s="101"/>
      <c r="L385" s="98"/>
      <c r="M385" s="101"/>
      <c r="N385" s="98"/>
      <c r="O385" s="101"/>
      <c r="P385" s="22" t="str">
        <f t="shared" si="235"/>
        <v>HPMP%8|攻魔道%8</v>
      </c>
      <c r="Q385" s="100" t="str">
        <f t="shared" si="233"/>
        <v>龙晶碎片3641/元宝3641000</v>
      </c>
    </row>
    <row r="386" spans="1:17" ht="15.75" x14ac:dyDescent="0.3">
      <c r="A386" s="22" t="s">
        <v>2584</v>
      </c>
      <c r="B386" s="23" t="s">
        <v>2664</v>
      </c>
      <c r="C386" s="22">
        <v>79</v>
      </c>
      <c r="D386" s="22">
        <f t="shared" ref="D386:E386" si="248">AL82</f>
        <v>7900</v>
      </c>
      <c r="E386" s="22">
        <f t="shared" si="248"/>
        <v>31600</v>
      </c>
      <c r="F386" s="98"/>
      <c r="G386" s="101"/>
      <c r="H386" s="98"/>
      <c r="I386" s="101"/>
      <c r="J386" s="98"/>
      <c r="K386" s="101"/>
      <c r="L386" s="98"/>
      <c r="M386" s="101"/>
      <c r="N386" s="98"/>
      <c r="O386" s="101"/>
      <c r="P386" s="22" t="str">
        <f t="shared" si="235"/>
        <v>HPMP%8|攻魔道%8</v>
      </c>
      <c r="Q386" s="100" t="str">
        <f t="shared" si="233"/>
        <v>龙晶碎片3641/元宝3641000</v>
      </c>
    </row>
    <row r="387" spans="1:17" ht="15.75" x14ac:dyDescent="0.3">
      <c r="A387" s="22" t="s">
        <v>2584</v>
      </c>
      <c r="B387" s="23" t="s">
        <v>2665</v>
      </c>
      <c r="C387" s="22">
        <v>80</v>
      </c>
      <c r="D387" s="22">
        <f t="shared" ref="D387:E387" si="249">AL83</f>
        <v>8000</v>
      </c>
      <c r="E387" s="22">
        <f t="shared" si="249"/>
        <v>32000</v>
      </c>
      <c r="F387" s="98"/>
      <c r="G387" s="101"/>
      <c r="H387" s="98"/>
      <c r="I387" s="101"/>
      <c r="J387" s="98"/>
      <c r="K387" s="101"/>
      <c r="L387" s="98"/>
      <c r="M387" s="101"/>
      <c r="N387" s="98"/>
      <c r="O387" s="101"/>
      <c r="P387" s="22" t="str">
        <f t="shared" si="235"/>
        <v>HPMP%8|攻魔道%8</v>
      </c>
      <c r="Q387" s="100" t="str">
        <f t="shared" si="233"/>
        <v>龙晶碎片5324/元宝5324000</v>
      </c>
    </row>
    <row r="388" spans="1:17" ht="15.75" x14ac:dyDescent="0.3">
      <c r="A388" s="22" t="s">
        <v>2584</v>
      </c>
      <c r="B388" s="23" t="s">
        <v>2666</v>
      </c>
      <c r="C388" s="22">
        <v>81</v>
      </c>
      <c r="D388" s="22">
        <f t="shared" ref="D388:E388" si="250">AL84</f>
        <v>8100</v>
      </c>
      <c r="E388" s="22">
        <f t="shared" si="250"/>
        <v>32400</v>
      </c>
      <c r="F388" s="98"/>
      <c r="G388" s="101"/>
      <c r="H388" s="98"/>
      <c r="I388" s="101"/>
      <c r="J388" s="98"/>
      <c r="K388" s="101"/>
      <c r="L388" s="98"/>
      <c r="M388" s="101"/>
      <c r="N388" s="98"/>
      <c r="O388" s="101"/>
      <c r="P388" s="22" t="str">
        <f t="shared" si="235"/>
        <v>HPMP%9|攻魔道%9</v>
      </c>
      <c r="Q388" s="100" t="str">
        <f t="shared" si="233"/>
        <v>龙晶碎片5324/元宝5324000</v>
      </c>
    </row>
    <row r="389" spans="1:17" ht="15.75" x14ac:dyDescent="0.3">
      <c r="A389" s="22" t="s">
        <v>2584</v>
      </c>
      <c r="B389" s="23" t="s">
        <v>2667</v>
      </c>
      <c r="C389" s="22">
        <v>82</v>
      </c>
      <c r="D389" s="22">
        <f t="shared" ref="D389:E389" si="251">AL85</f>
        <v>8200</v>
      </c>
      <c r="E389" s="22">
        <f t="shared" si="251"/>
        <v>32800</v>
      </c>
      <c r="F389" s="98"/>
      <c r="G389" s="101"/>
      <c r="H389" s="98"/>
      <c r="I389" s="101"/>
      <c r="J389" s="98"/>
      <c r="K389" s="101"/>
      <c r="L389" s="98"/>
      <c r="M389" s="101"/>
      <c r="N389" s="98"/>
      <c r="O389" s="101"/>
      <c r="P389" s="22" t="str">
        <f t="shared" si="235"/>
        <v>HPMP%9|攻魔道%9</v>
      </c>
      <c r="Q389" s="100" t="str">
        <f t="shared" si="233"/>
        <v>龙晶碎片5324/元宝5324000</v>
      </c>
    </row>
    <row r="390" spans="1:17" ht="15.75" x14ac:dyDescent="0.3">
      <c r="A390" s="22" t="s">
        <v>2584</v>
      </c>
      <c r="B390" s="23" t="s">
        <v>2668</v>
      </c>
      <c r="C390" s="22">
        <v>83</v>
      </c>
      <c r="D390" s="22">
        <f t="shared" ref="D390:E390" si="252">AL86</f>
        <v>8300</v>
      </c>
      <c r="E390" s="22">
        <f t="shared" si="252"/>
        <v>33200</v>
      </c>
      <c r="F390" s="98"/>
      <c r="G390" s="101"/>
      <c r="H390" s="98"/>
      <c r="I390" s="101"/>
      <c r="J390" s="98"/>
      <c r="K390" s="101"/>
      <c r="L390" s="98"/>
      <c r="M390" s="101"/>
      <c r="N390" s="98"/>
      <c r="O390" s="101"/>
      <c r="P390" s="22" t="str">
        <f t="shared" si="235"/>
        <v>HPMP%9|攻魔道%9</v>
      </c>
      <c r="Q390" s="100" t="str">
        <f t="shared" si="233"/>
        <v>龙晶碎片5324/元宝5324000</v>
      </c>
    </row>
    <row r="391" spans="1:17" ht="15.75" x14ac:dyDescent="0.3">
      <c r="A391" s="22" t="s">
        <v>2584</v>
      </c>
      <c r="B391" s="23" t="s">
        <v>2669</v>
      </c>
      <c r="C391" s="22">
        <v>84</v>
      </c>
      <c r="D391" s="22">
        <f t="shared" ref="D391:E391" si="253">AL87</f>
        <v>8400</v>
      </c>
      <c r="E391" s="22">
        <f t="shared" si="253"/>
        <v>33600</v>
      </c>
      <c r="F391" s="98"/>
      <c r="G391" s="101"/>
      <c r="H391" s="98"/>
      <c r="I391" s="101"/>
      <c r="J391" s="98"/>
      <c r="K391" s="101"/>
      <c r="L391" s="98"/>
      <c r="M391" s="101"/>
      <c r="N391" s="98"/>
      <c r="O391" s="101"/>
      <c r="P391" s="22" t="str">
        <f t="shared" si="235"/>
        <v>HPMP%9|攻魔道%9</v>
      </c>
      <c r="Q391" s="100" t="str">
        <f t="shared" si="233"/>
        <v>龙晶碎片5324/元宝5324000</v>
      </c>
    </row>
    <row r="392" spans="1:17" ht="15.75" x14ac:dyDescent="0.3">
      <c r="A392" s="22" t="s">
        <v>2584</v>
      </c>
      <c r="B392" s="23" t="s">
        <v>2670</v>
      </c>
      <c r="C392" s="22">
        <v>85</v>
      </c>
      <c r="D392" s="22">
        <f t="shared" ref="D392:E392" si="254">AL88</f>
        <v>8500</v>
      </c>
      <c r="E392" s="22">
        <f t="shared" si="254"/>
        <v>34000</v>
      </c>
      <c r="F392" s="98"/>
      <c r="G392" s="101"/>
      <c r="H392" s="98"/>
      <c r="I392" s="101"/>
      <c r="J392" s="98"/>
      <c r="K392" s="101"/>
      <c r="L392" s="98"/>
      <c r="M392" s="101"/>
      <c r="N392" s="98"/>
      <c r="O392" s="101"/>
      <c r="P392" s="22" t="str">
        <f t="shared" si="235"/>
        <v>HPMP%9|攻魔道%9</v>
      </c>
      <c r="Q392" s="100" t="str">
        <f t="shared" si="233"/>
        <v>龙晶碎片5324/元宝5324000</v>
      </c>
    </row>
    <row r="393" spans="1:17" ht="15.75" x14ac:dyDescent="0.3">
      <c r="A393" s="22" t="s">
        <v>2584</v>
      </c>
      <c r="B393" s="23" t="s">
        <v>2671</v>
      </c>
      <c r="C393" s="22">
        <v>86</v>
      </c>
      <c r="D393" s="22">
        <f t="shared" ref="D393:E393" si="255">AL89</f>
        <v>8600</v>
      </c>
      <c r="E393" s="22">
        <f t="shared" si="255"/>
        <v>34400</v>
      </c>
      <c r="F393" s="98"/>
      <c r="G393" s="101"/>
      <c r="H393" s="98"/>
      <c r="I393" s="101"/>
      <c r="J393" s="98"/>
      <c r="K393" s="101"/>
      <c r="L393" s="98"/>
      <c r="M393" s="101"/>
      <c r="N393" s="98"/>
      <c r="O393" s="101"/>
      <c r="P393" s="22" t="str">
        <f t="shared" si="235"/>
        <v>HPMP%9|攻魔道%9</v>
      </c>
      <c r="Q393" s="100" t="str">
        <f t="shared" si="233"/>
        <v>龙晶碎片5324/元宝5324000</v>
      </c>
    </row>
    <row r="394" spans="1:17" ht="15.75" x14ac:dyDescent="0.3">
      <c r="A394" s="22" t="s">
        <v>2584</v>
      </c>
      <c r="B394" s="23" t="s">
        <v>2672</v>
      </c>
      <c r="C394" s="22">
        <v>87</v>
      </c>
      <c r="D394" s="22">
        <f t="shared" ref="D394:E394" si="256">AL90</f>
        <v>8700</v>
      </c>
      <c r="E394" s="22">
        <f t="shared" si="256"/>
        <v>34800</v>
      </c>
      <c r="F394" s="98"/>
      <c r="G394" s="101"/>
      <c r="H394" s="98"/>
      <c r="I394" s="101"/>
      <c r="J394" s="98"/>
      <c r="K394" s="101"/>
      <c r="L394" s="98"/>
      <c r="M394" s="101"/>
      <c r="N394" s="98"/>
      <c r="O394" s="101"/>
      <c r="P394" s="22" t="str">
        <f t="shared" si="235"/>
        <v>HPMP%9|攻魔道%9</v>
      </c>
      <c r="Q394" s="100" t="str">
        <f t="shared" si="233"/>
        <v>龙晶碎片5324/元宝5324000</v>
      </c>
    </row>
    <row r="395" spans="1:17" ht="15.75" x14ac:dyDescent="0.3">
      <c r="A395" s="22" t="s">
        <v>2584</v>
      </c>
      <c r="B395" s="23" t="s">
        <v>2673</v>
      </c>
      <c r="C395" s="22">
        <v>88</v>
      </c>
      <c r="D395" s="22">
        <f t="shared" ref="D395:E395" si="257">AL91</f>
        <v>8800</v>
      </c>
      <c r="E395" s="22">
        <f t="shared" si="257"/>
        <v>35200</v>
      </c>
      <c r="F395" s="98"/>
      <c r="G395" s="101"/>
      <c r="H395" s="98"/>
      <c r="I395" s="101"/>
      <c r="J395" s="98"/>
      <c r="K395" s="101"/>
      <c r="L395" s="98"/>
      <c r="M395" s="101"/>
      <c r="N395" s="98"/>
      <c r="O395" s="101"/>
      <c r="P395" s="22" t="str">
        <f t="shared" si="235"/>
        <v>HPMP%9|攻魔道%9</v>
      </c>
      <c r="Q395" s="100" t="str">
        <f t="shared" si="233"/>
        <v>龙晶碎片5324/元宝5324000</v>
      </c>
    </row>
    <row r="396" spans="1:17" ht="15.75" x14ac:dyDescent="0.3">
      <c r="A396" s="22" t="s">
        <v>2584</v>
      </c>
      <c r="B396" s="23" t="s">
        <v>2674</v>
      </c>
      <c r="C396" s="22">
        <v>89</v>
      </c>
      <c r="D396" s="22">
        <f t="shared" ref="D396:E396" si="258">AL92</f>
        <v>8900</v>
      </c>
      <c r="E396" s="22">
        <f t="shared" si="258"/>
        <v>35600</v>
      </c>
      <c r="F396" s="98"/>
      <c r="G396" s="101"/>
      <c r="H396" s="98"/>
      <c r="I396" s="101"/>
      <c r="J396" s="98"/>
      <c r="K396" s="101"/>
      <c r="L396" s="98"/>
      <c r="M396" s="101"/>
      <c r="N396" s="98"/>
      <c r="O396" s="101"/>
      <c r="P396" s="22" t="str">
        <f t="shared" si="235"/>
        <v>HPMP%9|攻魔道%9</v>
      </c>
      <c r="Q396" s="100" t="str">
        <f t="shared" si="233"/>
        <v>龙晶碎片5324/元宝5324000</v>
      </c>
    </row>
    <row r="397" spans="1:17" ht="15.75" x14ac:dyDescent="0.3">
      <c r="A397" s="22" t="s">
        <v>2584</v>
      </c>
      <c r="B397" s="23" t="s">
        <v>2675</v>
      </c>
      <c r="C397" s="22">
        <v>90</v>
      </c>
      <c r="D397" s="22">
        <f t="shared" ref="D397:E397" si="259">AL93</f>
        <v>9000</v>
      </c>
      <c r="E397" s="22">
        <f t="shared" si="259"/>
        <v>36000</v>
      </c>
      <c r="F397" s="98"/>
      <c r="G397" s="101"/>
      <c r="H397" s="98"/>
      <c r="I397" s="101"/>
      <c r="J397" s="98"/>
      <c r="K397" s="101"/>
      <c r="L397" s="98"/>
      <c r="M397" s="101"/>
      <c r="N397" s="98"/>
      <c r="O397" s="101"/>
      <c r="P397" s="22" t="str">
        <f t="shared" si="235"/>
        <v>HPMP%9|攻魔道%9</v>
      </c>
      <c r="Q397" s="100" t="str">
        <f t="shared" si="233"/>
        <v>龙晶碎片5835/元宝5835000</v>
      </c>
    </row>
    <row r="398" spans="1:17" ht="15.75" x14ac:dyDescent="0.3">
      <c r="A398" s="22" t="s">
        <v>2584</v>
      </c>
      <c r="B398" s="23" t="s">
        <v>2676</v>
      </c>
      <c r="C398" s="22">
        <v>91</v>
      </c>
      <c r="D398" s="22">
        <f t="shared" ref="D398:E398" si="260">AL94</f>
        <v>9100</v>
      </c>
      <c r="E398" s="22">
        <f t="shared" si="260"/>
        <v>36400</v>
      </c>
      <c r="F398" s="98"/>
      <c r="G398" s="101"/>
      <c r="H398" s="98"/>
      <c r="I398" s="101"/>
      <c r="J398" s="98"/>
      <c r="K398" s="101"/>
      <c r="L398" s="98"/>
      <c r="M398" s="101"/>
      <c r="N398" s="98"/>
      <c r="O398" s="101"/>
      <c r="P398" s="22" t="str">
        <f t="shared" si="235"/>
        <v>HPMP%10|攻魔道%10</v>
      </c>
      <c r="Q398" s="100" t="str">
        <f t="shared" si="233"/>
        <v>龙晶碎片5835/元宝5835000</v>
      </c>
    </row>
    <row r="399" spans="1:17" ht="15.75" x14ac:dyDescent="0.3">
      <c r="A399" s="22" t="s">
        <v>2584</v>
      </c>
      <c r="B399" s="23" t="s">
        <v>2677</v>
      </c>
      <c r="C399" s="22">
        <v>92</v>
      </c>
      <c r="D399" s="22">
        <f t="shared" ref="D399:E399" si="261">AL95</f>
        <v>9200</v>
      </c>
      <c r="E399" s="22">
        <f t="shared" si="261"/>
        <v>36800</v>
      </c>
      <c r="F399" s="98"/>
      <c r="G399" s="101"/>
      <c r="H399" s="98"/>
      <c r="I399" s="101"/>
      <c r="J399" s="98"/>
      <c r="K399" s="101"/>
      <c r="L399" s="98"/>
      <c r="M399" s="101"/>
      <c r="N399" s="98"/>
      <c r="O399" s="101"/>
      <c r="P399" s="22" t="str">
        <f t="shared" si="235"/>
        <v>HPMP%10|攻魔道%10</v>
      </c>
      <c r="Q399" s="100" t="str">
        <f t="shared" si="233"/>
        <v>龙晶碎片5835/元宝5835000</v>
      </c>
    </row>
    <row r="400" spans="1:17" ht="15.75" x14ac:dyDescent="0.3">
      <c r="A400" s="22" t="s">
        <v>2584</v>
      </c>
      <c r="B400" s="23" t="s">
        <v>2678</v>
      </c>
      <c r="C400" s="22">
        <v>93</v>
      </c>
      <c r="D400" s="22">
        <f t="shared" ref="D400:E400" si="262">AL96</f>
        <v>9300</v>
      </c>
      <c r="E400" s="22">
        <f t="shared" si="262"/>
        <v>37200</v>
      </c>
      <c r="F400" s="98"/>
      <c r="G400" s="101"/>
      <c r="H400" s="98"/>
      <c r="I400" s="101"/>
      <c r="J400" s="98"/>
      <c r="K400" s="101"/>
      <c r="L400" s="98"/>
      <c r="M400" s="101"/>
      <c r="N400" s="98"/>
      <c r="O400" s="101"/>
      <c r="P400" s="22" t="str">
        <f t="shared" si="235"/>
        <v>HPMP%10|攻魔道%10</v>
      </c>
      <c r="Q400" s="100" t="str">
        <f t="shared" si="233"/>
        <v>龙晶碎片5835/元宝5835000</v>
      </c>
    </row>
    <row r="401" spans="1:17" ht="15.75" x14ac:dyDescent="0.3">
      <c r="A401" s="22" t="s">
        <v>2584</v>
      </c>
      <c r="B401" s="23" t="s">
        <v>2679</v>
      </c>
      <c r="C401" s="22">
        <v>94</v>
      </c>
      <c r="D401" s="22">
        <f t="shared" ref="D401:E401" si="263">AL97</f>
        <v>9400</v>
      </c>
      <c r="E401" s="22">
        <f t="shared" si="263"/>
        <v>37600</v>
      </c>
      <c r="F401" s="98"/>
      <c r="G401" s="101"/>
      <c r="H401" s="98"/>
      <c r="I401" s="101"/>
      <c r="J401" s="98"/>
      <c r="K401" s="101"/>
      <c r="L401" s="98"/>
      <c r="M401" s="101"/>
      <c r="N401" s="98"/>
      <c r="O401" s="101"/>
      <c r="P401" s="22" t="str">
        <f t="shared" si="235"/>
        <v>HPMP%10|攻魔道%10</v>
      </c>
      <c r="Q401" s="100" t="str">
        <f t="shared" si="233"/>
        <v>龙晶碎片5835/元宝5835000</v>
      </c>
    </row>
    <row r="402" spans="1:17" ht="15.75" x14ac:dyDescent="0.3">
      <c r="A402" s="22" t="s">
        <v>2584</v>
      </c>
      <c r="B402" s="23" t="s">
        <v>2680</v>
      </c>
      <c r="C402" s="22">
        <v>95</v>
      </c>
      <c r="D402" s="22">
        <f t="shared" ref="D402:E402" si="264">AL98</f>
        <v>9500</v>
      </c>
      <c r="E402" s="22">
        <f t="shared" si="264"/>
        <v>38000</v>
      </c>
      <c r="F402" s="98"/>
      <c r="G402" s="101"/>
      <c r="H402" s="98"/>
      <c r="I402" s="101"/>
      <c r="J402" s="98"/>
      <c r="K402" s="101"/>
      <c r="L402" s="98"/>
      <c r="M402" s="101"/>
      <c r="N402" s="98"/>
      <c r="O402" s="101"/>
      <c r="P402" s="22" t="str">
        <f t="shared" si="235"/>
        <v>HPMP%10|攻魔道%10</v>
      </c>
      <c r="Q402" s="100" t="str">
        <f t="shared" si="233"/>
        <v>龙晶碎片5835/元宝5835000</v>
      </c>
    </row>
    <row r="403" spans="1:17" ht="15.75" x14ac:dyDescent="0.3">
      <c r="A403" s="22" t="s">
        <v>2584</v>
      </c>
      <c r="B403" s="23" t="s">
        <v>2681</v>
      </c>
      <c r="C403" s="22">
        <v>96</v>
      </c>
      <c r="D403" s="22">
        <f t="shared" ref="D403:E403" si="265">AL99</f>
        <v>9600</v>
      </c>
      <c r="E403" s="22">
        <f t="shared" si="265"/>
        <v>38400</v>
      </c>
      <c r="F403" s="98"/>
      <c r="G403" s="101"/>
      <c r="H403" s="98"/>
      <c r="I403" s="101"/>
      <c r="J403" s="98"/>
      <c r="K403" s="101"/>
      <c r="L403" s="98"/>
      <c r="M403" s="101"/>
      <c r="N403" s="98"/>
      <c r="O403" s="101"/>
      <c r="P403" s="22" t="str">
        <f t="shared" si="235"/>
        <v>HPMP%10|攻魔道%10</v>
      </c>
      <c r="Q403" s="100" t="str">
        <f t="shared" si="233"/>
        <v>龙晶碎片5835/元宝5835000</v>
      </c>
    </row>
    <row r="404" spans="1:17" ht="15.75" x14ac:dyDescent="0.3">
      <c r="A404" s="22" t="s">
        <v>2584</v>
      </c>
      <c r="B404" s="23" t="s">
        <v>2682</v>
      </c>
      <c r="C404" s="22">
        <v>97</v>
      </c>
      <c r="D404" s="22">
        <f t="shared" ref="D404:E404" si="266">AL100</f>
        <v>9700</v>
      </c>
      <c r="E404" s="22">
        <f t="shared" si="266"/>
        <v>38800</v>
      </c>
      <c r="F404" s="98"/>
      <c r="G404" s="101"/>
      <c r="H404" s="98"/>
      <c r="I404" s="101"/>
      <c r="J404" s="98"/>
      <c r="K404" s="101"/>
      <c r="L404" s="98"/>
      <c r="M404" s="101"/>
      <c r="N404" s="98"/>
      <c r="O404" s="101"/>
      <c r="P404" s="22" t="str">
        <f t="shared" si="235"/>
        <v>HPMP%10|攻魔道%10</v>
      </c>
      <c r="Q404" s="100" t="str">
        <f t="shared" si="233"/>
        <v>龙晶碎片5835/元宝5835000</v>
      </c>
    </row>
    <row r="405" spans="1:17" ht="15.75" x14ac:dyDescent="0.3">
      <c r="A405" s="22" t="s">
        <v>2584</v>
      </c>
      <c r="B405" s="23" t="s">
        <v>2683</v>
      </c>
      <c r="C405" s="22">
        <v>98</v>
      </c>
      <c r="D405" s="22">
        <f t="shared" ref="D405:E405" si="267">AL101</f>
        <v>9800</v>
      </c>
      <c r="E405" s="22">
        <f t="shared" si="267"/>
        <v>39200</v>
      </c>
      <c r="F405" s="98"/>
      <c r="G405" s="101"/>
      <c r="H405" s="98"/>
      <c r="I405" s="101"/>
      <c r="J405" s="98"/>
      <c r="K405" s="101"/>
      <c r="L405" s="98"/>
      <c r="M405" s="101"/>
      <c r="N405" s="98"/>
      <c r="O405" s="101"/>
      <c r="P405" s="22" t="str">
        <f t="shared" si="235"/>
        <v>HPMP%10|攻魔道%10</v>
      </c>
      <c r="Q405" s="100" t="str">
        <f t="shared" si="233"/>
        <v>龙晶碎片5835/元宝5835000</v>
      </c>
    </row>
    <row r="406" spans="1:17" ht="15.75" x14ac:dyDescent="0.3">
      <c r="A406" s="22" t="s">
        <v>2584</v>
      </c>
      <c r="B406" s="23" t="s">
        <v>2684</v>
      </c>
      <c r="C406" s="22">
        <v>99</v>
      </c>
      <c r="D406" s="22">
        <f t="shared" ref="D406:E406" si="268">AL102</f>
        <v>9900</v>
      </c>
      <c r="E406" s="22">
        <f t="shared" si="268"/>
        <v>39600</v>
      </c>
      <c r="F406" s="98"/>
      <c r="G406" s="101"/>
      <c r="H406" s="98"/>
      <c r="I406" s="101"/>
      <c r="J406" s="98"/>
      <c r="K406" s="101"/>
      <c r="L406" s="98"/>
      <c r="M406" s="101"/>
      <c r="N406" s="98"/>
      <c r="O406" s="101"/>
      <c r="P406" s="22" t="str">
        <f t="shared" si="235"/>
        <v>HPMP%10|攻魔道%10</v>
      </c>
      <c r="Q406" s="100" t="str">
        <f t="shared" si="233"/>
        <v>龙晶碎片5835/元宝5835000</v>
      </c>
    </row>
    <row r="407" spans="1:17" ht="15.75" x14ac:dyDescent="0.3">
      <c r="A407" s="22" t="s">
        <v>2584</v>
      </c>
      <c r="B407" s="23" t="s">
        <v>2685</v>
      </c>
      <c r="C407" s="22">
        <v>100</v>
      </c>
      <c r="D407" s="22">
        <f t="shared" ref="D407:E407" si="269">AL103</f>
        <v>10000</v>
      </c>
      <c r="E407" s="22">
        <f t="shared" si="269"/>
        <v>40000</v>
      </c>
      <c r="F407" s="98"/>
      <c r="G407" s="102"/>
      <c r="H407" s="98"/>
      <c r="I407" s="102"/>
      <c r="J407" s="98"/>
      <c r="K407" s="102"/>
      <c r="L407" s="98"/>
      <c r="M407" s="102"/>
      <c r="N407" s="98"/>
      <c r="O407" s="102"/>
      <c r="P407" s="22" t="str">
        <f t="shared" si="235"/>
        <v>HPMP%10|攻魔道%10</v>
      </c>
      <c r="Q407" s="22"/>
    </row>
  </sheetData>
  <mergeCells count="11">
    <mergeCell ref="D2:O2"/>
    <mergeCell ref="AJ2:AK2"/>
    <mergeCell ref="AL2:AP2"/>
    <mergeCell ref="AD1:AP1"/>
    <mergeCell ref="R2:W2"/>
    <mergeCell ref="R1:W1"/>
    <mergeCell ref="AD2:AE2"/>
    <mergeCell ref="AF2:AI2"/>
    <mergeCell ref="X1:Y1"/>
    <mergeCell ref="Z1:AA1"/>
    <mergeCell ref="AB1:AC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C103-91B4-4F1D-9BF8-97700FDC76D1}">
  <dimension ref="A1:N32"/>
  <sheetViews>
    <sheetView workbookViewId="0">
      <selection activeCell="I16" sqref="I16"/>
    </sheetView>
  </sheetViews>
  <sheetFormatPr defaultRowHeight="14.25" x14ac:dyDescent="0.2"/>
  <cols>
    <col min="2" max="3" width="0" hidden="1" customWidth="1"/>
    <col min="5" max="6" width="0" hidden="1" customWidth="1"/>
    <col min="7" max="7" width="20" hidden="1" customWidth="1"/>
    <col min="8" max="8" width="53.125" customWidth="1"/>
    <col min="9" max="9" width="30.25" customWidth="1"/>
    <col min="10" max="10" width="9" style="94" customWidth="1"/>
    <col min="11" max="12" width="9" style="94"/>
    <col min="13" max="13" width="11.25" bestFit="1" customWidth="1"/>
    <col min="14" max="14" width="13.25" bestFit="1" customWidth="1"/>
  </cols>
  <sheetData>
    <row r="1" spans="1:14" ht="16.5" x14ac:dyDescent="0.2">
      <c r="A1" s="106" t="s">
        <v>2263</v>
      </c>
      <c r="B1" s="106"/>
      <c r="C1" s="106"/>
      <c r="D1" s="106"/>
      <c r="E1" s="106"/>
      <c r="F1" s="106"/>
      <c r="G1" s="106"/>
      <c r="H1" s="106"/>
      <c r="I1" s="106"/>
      <c r="J1" s="160"/>
    </row>
    <row r="2" spans="1:14" s="31" customFormat="1" ht="18" x14ac:dyDescent="0.2">
      <c r="A2" s="21" t="s">
        <v>154</v>
      </c>
      <c r="B2" s="21" t="s">
        <v>156</v>
      </c>
      <c r="C2" s="21" t="s">
        <v>2692</v>
      </c>
      <c r="D2" s="21" t="s">
        <v>157</v>
      </c>
      <c r="E2" s="21" t="s">
        <v>158</v>
      </c>
      <c r="F2" s="21" t="s">
        <v>159</v>
      </c>
      <c r="G2" s="21" t="s">
        <v>160</v>
      </c>
      <c r="H2" s="21" t="s">
        <v>161</v>
      </c>
      <c r="I2" s="103" t="s">
        <v>62</v>
      </c>
      <c r="J2" s="312" t="s">
        <v>2751</v>
      </c>
      <c r="K2" s="312"/>
      <c r="L2" s="312"/>
      <c r="M2" s="312" t="s">
        <v>3443</v>
      </c>
      <c r="N2" s="312"/>
    </row>
    <row r="3" spans="1:14" ht="16.5" x14ac:dyDescent="0.3">
      <c r="A3" s="34" t="s">
        <v>2693</v>
      </c>
      <c r="B3" s="34"/>
      <c r="C3" s="23"/>
      <c r="D3" s="34" t="s">
        <v>2694</v>
      </c>
      <c r="E3" s="34"/>
      <c r="F3" s="34">
        <v>1</v>
      </c>
      <c r="G3" s="34"/>
      <c r="H3" s="34" t="str">
        <f t="shared" ref="H3:H11" si="0">"3#3#"&amp;0&amp;"|"&amp;"3#4#"&amp;0.5*K4&amp;"|"&amp;"3#5#"&amp;0&amp;"|"&amp;"3#6#"&amp;0.5*K4&amp;"|"&amp;"3#7#"&amp;0&amp;"|"&amp;"3#8#"&amp;0.5*K4</f>
        <v>3#3#0|3#4#25|3#5#0|3#6#25|3#7#0|3#8#25</v>
      </c>
      <c r="I3" s="34" t="s">
        <v>2695</v>
      </c>
      <c r="J3" s="97" t="s">
        <v>55</v>
      </c>
      <c r="K3" s="158" t="s">
        <v>3</v>
      </c>
      <c r="L3" s="158" t="s">
        <v>2262</v>
      </c>
      <c r="M3" s="158" t="s">
        <v>3428</v>
      </c>
      <c r="N3" s="158" t="s">
        <v>3446</v>
      </c>
    </row>
    <row r="4" spans="1:14" ht="16.5" x14ac:dyDescent="0.3">
      <c r="A4" s="34" t="s">
        <v>2693</v>
      </c>
      <c r="B4" s="34"/>
      <c r="C4" s="23"/>
      <c r="D4" s="34" t="s">
        <v>2696</v>
      </c>
      <c r="E4" s="34"/>
      <c r="F4" s="34">
        <v>1</v>
      </c>
      <c r="G4" s="34"/>
      <c r="H4" s="34" t="str">
        <f t="shared" si="0"/>
        <v>3#3#0|3#4#50|3#5#0|3#6#50|3#7#0|3#8#50</v>
      </c>
      <c r="I4" s="34" t="s">
        <v>2697</v>
      </c>
      <c r="J4" s="97">
        <v>1</v>
      </c>
      <c r="K4" s="158">
        <f t="shared" ref="K4:K11" si="1">INT(J4/J$13*K$13)</f>
        <v>50</v>
      </c>
      <c r="L4" s="158">
        <f t="shared" ref="L4:L11" si="2">INT(J4/J$13*L$13)</f>
        <v>25</v>
      </c>
      <c r="M4" s="158">
        <f>K4*(属性价值参考!C$7+属性价值参考!C$8)+特戒!L4*(属性价值参考!C$9+属性价值参考!C$10)</f>
        <v>5130</v>
      </c>
      <c r="N4" s="158"/>
    </row>
    <row r="5" spans="1:14" ht="16.5" x14ac:dyDescent="0.3">
      <c r="A5" s="34" t="s">
        <v>2693</v>
      </c>
      <c r="B5" s="34"/>
      <c r="C5" s="23"/>
      <c r="D5" s="34" t="s">
        <v>2698</v>
      </c>
      <c r="E5" s="34"/>
      <c r="F5" s="34">
        <v>1</v>
      </c>
      <c r="G5" s="34"/>
      <c r="H5" s="34" t="str">
        <f t="shared" si="0"/>
        <v>3#3#0|3#4#75|3#5#0|3#6#75|3#7#0|3#8#75</v>
      </c>
      <c r="I5" s="34" t="s">
        <v>2699</v>
      </c>
      <c r="J5" s="97">
        <v>2</v>
      </c>
      <c r="K5" s="158">
        <f t="shared" si="1"/>
        <v>100</v>
      </c>
      <c r="L5" s="158">
        <f t="shared" si="2"/>
        <v>50</v>
      </c>
      <c r="M5" s="158">
        <f>K5*(属性价值参考!C$7+属性价值参考!C$8)+特戒!L5*(属性价值参考!C$9+属性价值参考!C$10)</f>
        <v>10260</v>
      </c>
      <c r="N5" s="158"/>
    </row>
    <row r="6" spans="1:14" ht="16.5" x14ac:dyDescent="0.3">
      <c r="A6" s="34" t="s">
        <v>2693</v>
      </c>
      <c r="B6" s="34"/>
      <c r="C6" s="23"/>
      <c r="D6" s="34" t="s">
        <v>2700</v>
      </c>
      <c r="E6" s="34"/>
      <c r="F6" s="34">
        <v>1</v>
      </c>
      <c r="G6" s="34"/>
      <c r="H6" s="34" t="str">
        <f t="shared" si="0"/>
        <v>3#3#0|3#4#100|3#5#0|3#6#100|3#7#0|3#8#100</v>
      </c>
      <c r="I6" s="34" t="s">
        <v>2701</v>
      </c>
      <c r="J6" s="97">
        <v>3</v>
      </c>
      <c r="K6" s="158">
        <f t="shared" si="1"/>
        <v>150</v>
      </c>
      <c r="L6" s="158">
        <f t="shared" si="2"/>
        <v>75</v>
      </c>
      <c r="M6" s="158">
        <f>K6*(属性价值参考!C$7+属性价值参考!C$8)+特戒!L6*(属性价值参考!C$9+属性价值参考!C$10)</f>
        <v>15390</v>
      </c>
      <c r="N6" s="158"/>
    </row>
    <row r="7" spans="1:14" ht="16.5" x14ac:dyDescent="0.3">
      <c r="A7" s="34" t="s">
        <v>2693</v>
      </c>
      <c r="B7" s="34"/>
      <c r="C7" s="23"/>
      <c r="D7" s="34" t="s">
        <v>2702</v>
      </c>
      <c r="E7" s="34"/>
      <c r="F7" s="34">
        <v>1</v>
      </c>
      <c r="G7" s="34"/>
      <c r="H7" s="34" t="str">
        <f t="shared" si="0"/>
        <v>3#3#0|3#4#125|3#5#0|3#6#125|3#7#0|3#8#125</v>
      </c>
      <c r="I7" s="34" t="s">
        <v>2703</v>
      </c>
      <c r="J7" s="97">
        <v>4</v>
      </c>
      <c r="K7" s="158">
        <f t="shared" si="1"/>
        <v>200</v>
      </c>
      <c r="L7" s="158">
        <f t="shared" si="2"/>
        <v>100</v>
      </c>
      <c r="M7" s="158">
        <f>K7*(属性价值参考!C$7+属性价值参考!C$8)+特戒!L7*(属性价值参考!C$9+属性价值参考!C$10)</f>
        <v>20520</v>
      </c>
      <c r="N7" s="158"/>
    </row>
    <row r="8" spans="1:14" ht="16.5" x14ac:dyDescent="0.3">
      <c r="A8" s="34" t="s">
        <v>2693</v>
      </c>
      <c r="B8" s="34"/>
      <c r="C8" s="23"/>
      <c r="D8" s="34" t="s">
        <v>2704</v>
      </c>
      <c r="E8" s="34"/>
      <c r="F8" s="34">
        <v>1</v>
      </c>
      <c r="G8" s="34"/>
      <c r="H8" s="34" t="str">
        <f t="shared" si="0"/>
        <v>3#3#0|3#4#150|3#5#0|3#6#150|3#7#0|3#8#150</v>
      </c>
      <c r="I8" s="34" t="s">
        <v>2705</v>
      </c>
      <c r="J8" s="97">
        <v>5</v>
      </c>
      <c r="K8" s="158">
        <f t="shared" si="1"/>
        <v>250</v>
      </c>
      <c r="L8" s="158">
        <f t="shared" si="2"/>
        <v>125</v>
      </c>
      <c r="M8" s="158">
        <f>K8*(属性价值参考!C$7+属性价值参考!C$8)+特戒!L8*(属性价值参考!C$9+属性价值参考!C$10)</f>
        <v>25650</v>
      </c>
      <c r="N8" s="158"/>
    </row>
    <row r="9" spans="1:14" ht="16.5" x14ac:dyDescent="0.3">
      <c r="A9" s="34" t="s">
        <v>2693</v>
      </c>
      <c r="B9" s="34"/>
      <c r="C9" s="23"/>
      <c r="D9" s="34" t="s">
        <v>2706</v>
      </c>
      <c r="E9" s="34"/>
      <c r="F9" s="34">
        <v>1</v>
      </c>
      <c r="G9" s="34"/>
      <c r="H9" s="34" t="str">
        <f t="shared" si="0"/>
        <v>3#3#0|3#4#175|3#5#0|3#6#175|3#7#0|3#8#175</v>
      </c>
      <c r="I9" s="34" t="s">
        <v>2707</v>
      </c>
      <c r="J9" s="97">
        <v>6</v>
      </c>
      <c r="K9" s="158">
        <f t="shared" si="1"/>
        <v>300</v>
      </c>
      <c r="L9" s="158">
        <f t="shared" si="2"/>
        <v>150</v>
      </c>
      <c r="M9" s="158">
        <f>K9*(属性价值参考!C$7+属性价值参考!C$8)+特戒!L9*(属性价值参考!C$9+属性价值参考!C$10)</f>
        <v>30780</v>
      </c>
      <c r="N9" s="158"/>
    </row>
    <row r="10" spans="1:14" ht="16.5" x14ac:dyDescent="0.3">
      <c r="A10" s="34" t="s">
        <v>2693</v>
      </c>
      <c r="B10" s="34"/>
      <c r="C10" s="23"/>
      <c r="D10" s="34" t="s">
        <v>2708</v>
      </c>
      <c r="E10" s="34"/>
      <c r="F10" s="34">
        <v>1</v>
      </c>
      <c r="G10" s="34"/>
      <c r="H10" s="34" t="str">
        <f t="shared" si="0"/>
        <v>3#3#0|3#4#200|3#5#0|3#6#200|3#7#0|3#8#200</v>
      </c>
      <c r="I10" s="34" t="s">
        <v>2709</v>
      </c>
      <c r="J10" s="97">
        <v>7</v>
      </c>
      <c r="K10" s="158">
        <f t="shared" si="1"/>
        <v>350</v>
      </c>
      <c r="L10" s="158">
        <f t="shared" si="2"/>
        <v>175</v>
      </c>
      <c r="M10" s="158">
        <f>K10*(属性价值参考!C$7+属性价值参考!C$8)+特戒!L10*(属性价值参考!C$9+属性价值参考!C$10)</f>
        <v>35910</v>
      </c>
      <c r="N10" s="158"/>
    </row>
    <row r="11" spans="1:14" ht="16.5" x14ac:dyDescent="0.3">
      <c r="A11" s="34" t="s">
        <v>2693</v>
      </c>
      <c r="B11" s="34"/>
      <c r="C11" s="23"/>
      <c r="D11" s="34" t="s">
        <v>2710</v>
      </c>
      <c r="E11" s="34"/>
      <c r="F11" s="34">
        <v>1</v>
      </c>
      <c r="G11" s="34"/>
      <c r="H11" s="34" t="str">
        <f t="shared" si="0"/>
        <v>3#3#0|3#4#225|3#5#0|3#6#225|3#7#0|3#8#225</v>
      </c>
      <c r="I11" s="34" t="s">
        <v>2711</v>
      </c>
      <c r="J11" s="97">
        <v>8</v>
      </c>
      <c r="K11" s="158">
        <f t="shared" si="1"/>
        <v>400</v>
      </c>
      <c r="L11" s="158">
        <f t="shared" si="2"/>
        <v>200</v>
      </c>
      <c r="M11" s="158">
        <f>K11*(属性价值参考!C$7+属性价值参考!C$8)+特戒!L11*(属性价值参考!C$9+属性价值参考!C$10)</f>
        <v>41040</v>
      </c>
      <c r="N11" s="158"/>
    </row>
    <row r="12" spans="1:14" ht="16.5" x14ac:dyDescent="0.3">
      <c r="A12" s="34" t="s">
        <v>2693</v>
      </c>
      <c r="B12" s="34"/>
      <c r="C12" s="23"/>
      <c r="D12" s="34" t="s">
        <v>2712</v>
      </c>
      <c r="E12" s="34"/>
      <c r="F12" s="34">
        <v>1</v>
      </c>
      <c r="G12" s="34"/>
      <c r="H12" s="34" t="str">
        <f>"3#3#"&amp;0&amp;"|"&amp;"3#4#"&amp;0.5*K13&amp;"|"&amp;"3#5#"&amp;0&amp;"|"&amp;"3#6#"&amp;0.5*K13&amp;"|"&amp;"3#7#"&amp;0&amp;"|"&amp;"3#8#"&amp;0.5*K13</f>
        <v>3#3#0|3#4#250|3#5#0|3#6#250|3#7#0|3#8#250</v>
      </c>
      <c r="I12" s="34"/>
      <c r="J12" s="97">
        <v>9</v>
      </c>
      <c r="K12" s="158">
        <f>INT(J12/J$13*K$13)</f>
        <v>450</v>
      </c>
      <c r="L12" s="158">
        <f>INT(J12/J$13*L$13)</f>
        <v>225</v>
      </c>
      <c r="M12" s="158">
        <f>K12*(属性价值参考!C$7+属性价值参考!C$8)+特戒!L12*(属性价值参考!C$9+属性价值参考!C$10)</f>
        <v>46170</v>
      </c>
      <c r="N12" s="158"/>
    </row>
    <row r="13" spans="1:14" ht="16.5" x14ac:dyDescent="0.3">
      <c r="A13" s="34" t="s">
        <v>2693</v>
      </c>
      <c r="B13" s="34"/>
      <c r="C13" s="23"/>
      <c r="D13" s="34" t="s">
        <v>2713</v>
      </c>
      <c r="E13" s="34"/>
      <c r="F13" s="34">
        <v>1</v>
      </c>
      <c r="G13" s="34"/>
      <c r="H13" s="34" t="str">
        <f t="shared" ref="H13:H21" si="3">"3#3#"&amp;0&amp;"|"&amp;"3#4#"&amp;0.5*K4&amp;"|"&amp;"3#9#"&amp;0&amp;"|"&amp;"3#10#"&amp;L4&amp;"|"&amp;"3#11#"&amp;0&amp;"|"&amp;"3#12#"&amp;L4</f>
        <v>3#3#0|3#4#25|3#9#0|3#10#25|3#11#0|3#12#25</v>
      </c>
      <c r="I13" s="34" t="s">
        <v>2714</v>
      </c>
      <c r="J13" s="97">
        <v>10</v>
      </c>
      <c r="K13" s="158">
        <f>养成属性分配!AG31</f>
        <v>500</v>
      </c>
      <c r="L13" s="158">
        <f>养成属性分配!AH31</f>
        <v>250</v>
      </c>
      <c r="M13" s="158">
        <f>K13*(属性价值参考!C$7+属性价值参考!C$8)+特戒!L13*(属性价值参考!C$9+属性价值参考!C$10)</f>
        <v>51300</v>
      </c>
      <c r="N13" s="158"/>
    </row>
    <row r="14" spans="1:14" ht="15.75" x14ac:dyDescent="0.3">
      <c r="A14" s="34" t="s">
        <v>2693</v>
      </c>
      <c r="B14" s="34"/>
      <c r="C14" s="23"/>
      <c r="D14" s="34" t="s">
        <v>2715</v>
      </c>
      <c r="E14" s="34"/>
      <c r="F14" s="34">
        <v>1</v>
      </c>
      <c r="G14" s="34"/>
      <c r="H14" s="34" t="str">
        <f t="shared" si="3"/>
        <v>3#3#0|3#4#50|3#9#0|3#10#50|3#11#0|3#12#50</v>
      </c>
      <c r="I14" s="34" t="s">
        <v>2716</v>
      </c>
      <c r="J14" s="161"/>
    </row>
    <row r="15" spans="1:14" ht="15.75" x14ac:dyDescent="0.3">
      <c r="A15" s="34" t="s">
        <v>2693</v>
      </c>
      <c r="B15" s="34"/>
      <c r="C15" s="23"/>
      <c r="D15" s="34" t="s">
        <v>2717</v>
      </c>
      <c r="E15" s="34"/>
      <c r="F15" s="34">
        <v>1</v>
      </c>
      <c r="G15" s="34"/>
      <c r="H15" s="34" t="str">
        <f t="shared" si="3"/>
        <v>3#3#0|3#4#75|3#9#0|3#10#75|3#11#0|3#12#75</v>
      </c>
      <c r="I15" s="34" t="s">
        <v>2718</v>
      </c>
      <c r="J15" s="161"/>
    </row>
    <row r="16" spans="1:14" ht="15.75" x14ac:dyDescent="0.3">
      <c r="A16" s="34" t="s">
        <v>2693</v>
      </c>
      <c r="B16" s="34"/>
      <c r="C16" s="23"/>
      <c r="D16" s="34" t="s">
        <v>2719</v>
      </c>
      <c r="E16" s="34"/>
      <c r="F16" s="34">
        <v>1</v>
      </c>
      <c r="G16" s="34"/>
      <c r="H16" s="34" t="str">
        <f t="shared" si="3"/>
        <v>3#3#0|3#4#100|3#9#0|3#10#100|3#11#0|3#12#100</v>
      </c>
      <c r="I16" s="34" t="s">
        <v>2720</v>
      </c>
      <c r="J16" s="161"/>
    </row>
    <row r="17" spans="1:10" ht="15.75" x14ac:dyDescent="0.3">
      <c r="A17" s="34" t="s">
        <v>2693</v>
      </c>
      <c r="B17" s="34"/>
      <c r="C17" s="23"/>
      <c r="D17" s="34" t="s">
        <v>2721</v>
      </c>
      <c r="E17" s="34"/>
      <c r="F17" s="34">
        <v>1</v>
      </c>
      <c r="G17" s="34"/>
      <c r="H17" s="34" t="str">
        <f t="shared" si="3"/>
        <v>3#3#0|3#4#125|3#9#0|3#10#125|3#11#0|3#12#125</v>
      </c>
      <c r="I17" s="34" t="s">
        <v>2722</v>
      </c>
      <c r="J17" s="161"/>
    </row>
    <row r="18" spans="1:10" ht="15.75" x14ac:dyDescent="0.3">
      <c r="A18" s="34" t="s">
        <v>2693</v>
      </c>
      <c r="B18" s="34"/>
      <c r="C18" s="23"/>
      <c r="D18" s="34" t="s">
        <v>2723</v>
      </c>
      <c r="E18" s="34"/>
      <c r="F18" s="34">
        <v>1</v>
      </c>
      <c r="G18" s="34"/>
      <c r="H18" s="34" t="str">
        <f t="shared" si="3"/>
        <v>3#3#0|3#4#150|3#9#0|3#10#150|3#11#0|3#12#150</v>
      </c>
      <c r="I18" s="34" t="s">
        <v>2724</v>
      </c>
      <c r="J18" s="161"/>
    </row>
    <row r="19" spans="1:10" ht="15.75" x14ac:dyDescent="0.3">
      <c r="A19" s="34" t="s">
        <v>2693</v>
      </c>
      <c r="B19" s="34"/>
      <c r="C19" s="23"/>
      <c r="D19" s="34" t="s">
        <v>2725</v>
      </c>
      <c r="E19" s="34"/>
      <c r="F19" s="34">
        <v>1</v>
      </c>
      <c r="G19" s="34"/>
      <c r="H19" s="34" t="str">
        <f t="shared" si="3"/>
        <v>3#3#0|3#4#175|3#9#0|3#10#175|3#11#0|3#12#175</v>
      </c>
      <c r="I19" s="34" t="s">
        <v>2726</v>
      </c>
      <c r="J19" s="161"/>
    </row>
    <row r="20" spans="1:10" ht="15.75" x14ac:dyDescent="0.3">
      <c r="A20" s="34" t="s">
        <v>2693</v>
      </c>
      <c r="B20" s="34"/>
      <c r="C20" s="23"/>
      <c r="D20" s="34" t="s">
        <v>2727</v>
      </c>
      <c r="E20" s="34"/>
      <c r="F20" s="34">
        <v>1</v>
      </c>
      <c r="G20" s="34"/>
      <c r="H20" s="34" t="str">
        <f t="shared" si="3"/>
        <v>3#3#0|3#4#200|3#9#0|3#10#200|3#11#0|3#12#200</v>
      </c>
      <c r="I20" s="34" t="s">
        <v>2728</v>
      </c>
      <c r="J20" s="161"/>
    </row>
    <row r="21" spans="1:10" ht="15.75" x14ac:dyDescent="0.3">
      <c r="A21" s="34" t="s">
        <v>2693</v>
      </c>
      <c r="B21" s="34"/>
      <c r="C21" s="23"/>
      <c r="D21" s="34" t="s">
        <v>2729</v>
      </c>
      <c r="E21" s="34"/>
      <c r="F21" s="34">
        <v>1</v>
      </c>
      <c r="G21" s="34"/>
      <c r="H21" s="34" t="str">
        <f t="shared" si="3"/>
        <v>3#3#0|3#4#225|3#9#0|3#10#225|3#11#0|3#12#225</v>
      </c>
      <c r="I21" s="34" t="s">
        <v>2730</v>
      </c>
      <c r="J21" s="161"/>
    </row>
    <row r="22" spans="1:10" ht="15.75" x14ac:dyDescent="0.3">
      <c r="A22" s="34" t="s">
        <v>2693</v>
      </c>
      <c r="B22" s="34"/>
      <c r="C22" s="23"/>
      <c r="D22" s="34" t="s">
        <v>2731</v>
      </c>
      <c r="E22" s="34"/>
      <c r="F22" s="34">
        <v>1</v>
      </c>
      <c r="G22" s="34"/>
      <c r="H22" s="34" t="str">
        <f>"3#3#"&amp;0&amp;"|"&amp;"3#4#"&amp;0.5*K13&amp;"|"&amp;"3#9#"&amp;0&amp;"|"&amp;"3#10#"&amp;L13&amp;"|"&amp;"3#11#"&amp;0&amp;"|"&amp;"3#12#"&amp;L13</f>
        <v>3#3#0|3#4#250|3#9#0|3#10#250|3#11#0|3#12#250</v>
      </c>
      <c r="I22" s="34"/>
      <c r="J22" s="161"/>
    </row>
    <row r="23" spans="1:10" ht="15.75" x14ac:dyDescent="0.3">
      <c r="A23" s="34" t="s">
        <v>2693</v>
      </c>
      <c r="B23" s="34"/>
      <c r="C23" s="23"/>
      <c r="D23" s="34" t="s">
        <v>2732</v>
      </c>
      <c r="E23" s="34"/>
      <c r="F23" s="34">
        <v>1</v>
      </c>
      <c r="G23" s="34"/>
      <c r="H23" s="34" t="str">
        <f t="shared" ref="H23:H31" si="4">"3#5#"&amp;0&amp;"|"&amp;"3#6#"&amp;0.5*K4&amp;"|"&amp;"3#7#"&amp;0&amp;"|"&amp;"3#8#"&amp;0.5*K4&amp;"|"&amp;"3#9#"&amp;0&amp;"|"&amp;"3#10#"&amp;L4&amp;"|"&amp;"3#11#"&amp;0&amp;"|"&amp;"3#12#"&amp;L4</f>
        <v>3#5#0|3#6#25|3#7#0|3#8#25|3#9#0|3#10#25|3#11#0|3#12#25</v>
      </c>
      <c r="I23" s="34" t="s">
        <v>2733</v>
      </c>
      <c r="J23" s="161"/>
    </row>
    <row r="24" spans="1:10" ht="15.75" x14ac:dyDescent="0.3">
      <c r="A24" s="34" t="s">
        <v>2693</v>
      </c>
      <c r="B24" s="34"/>
      <c r="C24" s="23"/>
      <c r="D24" s="34" t="s">
        <v>2734</v>
      </c>
      <c r="E24" s="34"/>
      <c r="F24" s="34">
        <v>1</v>
      </c>
      <c r="G24" s="34"/>
      <c r="H24" s="34" t="str">
        <f t="shared" si="4"/>
        <v>3#5#0|3#6#50|3#7#0|3#8#50|3#9#0|3#10#50|3#11#0|3#12#50</v>
      </c>
      <c r="I24" s="34" t="s">
        <v>2735</v>
      </c>
      <c r="J24" s="161"/>
    </row>
    <row r="25" spans="1:10" ht="15.75" x14ac:dyDescent="0.3">
      <c r="A25" s="34" t="s">
        <v>2693</v>
      </c>
      <c r="B25" s="34"/>
      <c r="C25" s="23"/>
      <c r="D25" s="34" t="s">
        <v>2736</v>
      </c>
      <c r="E25" s="34"/>
      <c r="F25" s="34">
        <v>1</v>
      </c>
      <c r="G25" s="34"/>
      <c r="H25" s="34" t="str">
        <f t="shared" si="4"/>
        <v>3#5#0|3#6#75|3#7#0|3#8#75|3#9#0|3#10#75|3#11#0|3#12#75</v>
      </c>
      <c r="I25" s="34" t="s">
        <v>2737</v>
      </c>
      <c r="J25" s="161"/>
    </row>
    <row r="26" spans="1:10" ht="15.75" x14ac:dyDescent="0.3">
      <c r="A26" s="34" t="s">
        <v>2693</v>
      </c>
      <c r="B26" s="34"/>
      <c r="C26" s="23"/>
      <c r="D26" s="34" t="s">
        <v>2738</v>
      </c>
      <c r="E26" s="34"/>
      <c r="F26" s="34">
        <v>1</v>
      </c>
      <c r="G26" s="34"/>
      <c r="H26" s="34" t="str">
        <f t="shared" si="4"/>
        <v>3#5#0|3#6#100|3#7#0|3#8#100|3#9#0|3#10#100|3#11#0|3#12#100</v>
      </c>
      <c r="I26" s="34" t="s">
        <v>2739</v>
      </c>
      <c r="J26" s="161"/>
    </row>
    <row r="27" spans="1:10" ht="15.75" x14ac:dyDescent="0.3">
      <c r="A27" s="34" t="s">
        <v>2693</v>
      </c>
      <c r="B27" s="34"/>
      <c r="C27" s="23"/>
      <c r="D27" s="34" t="s">
        <v>2740</v>
      </c>
      <c r="E27" s="34"/>
      <c r="F27" s="34">
        <v>1</v>
      </c>
      <c r="G27" s="34"/>
      <c r="H27" s="34" t="str">
        <f t="shared" si="4"/>
        <v>3#5#0|3#6#125|3#7#0|3#8#125|3#9#0|3#10#125|3#11#0|3#12#125</v>
      </c>
      <c r="I27" s="34" t="s">
        <v>2741</v>
      </c>
      <c r="J27" s="161"/>
    </row>
    <row r="28" spans="1:10" ht="15.75" x14ac:dyDescent="0.3">
      <c r="A28" s="34" t="s">
        <v>2693</v>
      </c>
      <c r="B28" s="34"/>
      <c r="C28" s="23"/>
      <c r="D28" s="34" t="s">
        <v>2742</v>
      </c>
      <c r="E28" s="34"/>
      <c r="F28" s="34">
        <v>1</v>
      </c>
      <c r="G28" s="34"/>
      <c r="H28" s="34" t="str">
        <f t="shared" si="4"/>
        <v>3#5#0|3#6#150|3#7#0|3#8#150|3#9#0|3#10#150|3#11#0|3#12#150</v>
      </c>
      <c r="I28" s="34" t="s">
        <v>2743</v>
      </c>
      <c r="J28" s="161"/>
    </row>
    <row r="29" spans="1:10" ht="15.75" x14ac:dyDescent="0.3">
      <c r="A29" s="34" t="s">
        <v>2693</v>
      </c>
      <c r="B29" s="34"/>
      <c r="C29" s="23"/>
      <c r="D29" s="34" t="s">
        <v>2744</v>
      </c>
      <c r="E29" s="34"/>
      <c r="F29" s="34">
        <v>1</v>
      </c>
      <c r="G29" s="34"/>
      <c r="H29" s="34" t="str">
        <f t="shared" si="4"/>
        <v>3#5#0|3#6#175|3#7#0|3#8#175|3#9#0|3#10#175|3#11#0|3#12#175</v>
      </c>
      <c r="I29" s="34" t="s">
        <v>2745</v>
      </c>
      <c r="J29" s="161"/>
    </row>
    <row r="30" spans="1:10" ht="15.75" x14ac:dyDescent="0.3">
      <c r="A30" s="34" t="s">
        <v>2693</v>
      </c>
      <c r="B30" s="34"/>
      <c r="C30" s="23"/>
      <c r="D30" s="34" t="s">
        <v>2746</v>
      </c>
      <c r="E30" s="34"/>
      <c r="F30" s="34">
        <v>1</v>
      </c>
      <c r="G30" s="34"/>
      <c r="H30" s="34" t="str">
        <f t="shared" si="4"/>
        <v>3#5#0|3#6#200|3#7#0|3#8#200|3#9#0|3#10#200|3#11#0|3#12#200</v>
      </c>
      <c r="I30" s="34" t="s">
        <v>2747</v>
      </c>
      <c r="J30" s="161"/>
    </row>
    <row r="31" spans="1:10" ht="15.75" x14ac:dyDescent="0.3">
      <c r="A31" s="34" t="s">
        <v>2693</v>
      </c>
      <c r="B31" s="34"/>
      <c r="C31" s="23"/>
      <c r="D31" s="34" t="s">
        <v>2748</v>
      </c>
      <c r="E31" s="34"/>
      <c r="F31" s="34">
        <v>1</v>
      </c>
      <c r="G31" s="34"/>
      <c r="H31" s="34" t="str">
        <f t="shared" si="4"/>
        <v>3#5#0|3#6#225|3#7#0|3#8#225|3#9#0|3#10#225|3#11#0|3#12#225</v>
      </c>
      <c r="I31" s="34" t="s">
        <v>2749</v>
      </c>
      <c r="J31" s="161"/>
    </row>
    <row r="32" spans="1:10" ht="15.75" x14ac:dyDescent="0.3">
      <c r="A32" s="34" t="s">
        <v>2693</v>
      </c>
      <c r="B32" s="34"/>
      <c r="C32" s="23"/>
      <c r="D32" s="34" t="s">
        <v>2750</v>
      </c>
      <c r="E32" s="34"/>
      <c r="F32" s="34">
        <v>1</v>
      </c>
      <c r="G32" s="34"/>
      <c r="H32" s="34" t="str">
        <f>"3#5#"&amp;0&amp;"|"&amp;"3#6#"&amp;0.5*K13&amp;"|"&amp;"3#7#"&amp;0&amp;"|"&amp;"3#8#"&amp;0.5*K13&amp;"|"&amp;"3#9#"&amp;0&amp;"|"&amp;"3#10#"&amp;L13&amp;"|"&amp;"3#11#"&amp;0&amp;"|"&amp;"3#12#"&amp;L13</f>
        <v>3#5#0|3#6#250|3#7#0|3#8#250|3#9#0|3#10#250|3#11#0|3#12#250</v>
      </c>
      <c r="I32" s="34"/>
      <c r="J32" s="161"/>
    </row>
  </sheetData>
  <mergeCells count="2">
    <mergeCell ref="J2:L2"/>
    <mergeCell ref="M2:N2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9087-D046-4918-B531-FEC9661D8CFA}">
  <dimension ref="A2:U242"/>
  <sheetViews>
    <sheetView workbookViewId="0">
      <selection activeCell="F22" sqref="F22"/>
    </sheetView>
  </sheetViews>
  <sheetFormatPr defaultRowHeight="14.25" x14ac:dyDescent="0.2"/>
  <cols>
    <col min="3" max="3" width="13.875" bestFit="1" customWidth="1"/>
    <col min="4" max="4" width="78.375" bestFit="1" customWidth="1"/>
    <col min="5" max="5" width="9.75" style="94" customWidth="1"/>
    <col min="6" max="8" width="9" style="94"/>
    <col min="9" max="9" width="12.25" style="94" bestFit="1" customWidth="1"/>
    <col min="10" max="21" width="9" style="94"/>
  </cols>
  <sheetData>
    <row r="2" spans="1:21" ht="18" x14ac:dyDescent="0.2">
      <c r="A2" s="21" t="s">
        <v>49</v>
      </c>
      <c r="B2" s="21" t="s">
        <v>50</v>
      </c>
      <c r="C2" s="21" t="s">
        <v>54</v>
      </c>
      <c r="D2" s="21" t="s">
        <v>77</v>
      </c>
      <c r="E2" s="312" t="s">
        <v>2687</v>
      </c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  <c r="U2" s="312"/>
    </row>
    <row r="3" spans="1:21" ht="15.75" x14ac:dyDescent="0.3">
      <c r="A3" s="22" t="s">
        <v>2752</v>
      </c>
      <c r="B3" s="22" t="s">
        <v>2753</v>
      </c>
      <c r="C3" s="23" t="s">
        <v>2994</v>
      </c>
      <c r="D3" s="22" t="str">
        <f t="shared" ref="D3:D11" si="0">"3#9#"&amp;0&amp;"|"&amp;"3#10#"&amp;G4&amp;"|"&amp;"3#11#"&amp;0&amp;"|"&amp;"3#12#"&amp;G4&amp;"|"&amp;"3#28#"&amp;J4</f>
        <v>3#9#0|3#10#25|3#11#0|3#12#25|3#28#1</v>
      </c>
      <c r="E3" s="107" t="s">
        <v>55</v>
      </c>
      <c r="F3" s="208" t="s">
        <v>3</v>
      </c>
      <c r="G3" s="208" t="s">
        <v>2</v>
      </c>
      <c r="H3" s="208" t="s">
        <v>3428</v>
      </c>
      <c r="I3" s="208" t="s">
        <v>3441</v>
      </c>
      <c r="J3" s="107" t="s">
        <v>2269</v>
      </c>
      <c r="K3" s="107" t="s">
        <v>3002</v>
      </c>
      <c r="L3" s="107" t="s">
        <v>3001</v>
      </c>
      <c r="M3" s="107" t="s">
        <v>2267</v>
      </c>
      <c r="N3" s="107" t="s">
        <v>2271</v>
      </c>
      <c r="O3" s="107" t="s">
        <v>2995</v>
      </c>
      <c r="P3" s="107" t="s">
        <v>2996</v>
      </c>
      <c r="Q3" s="107" t="s">
        <v>2997</v>
      </c>
      <c r="R3" s="107" t="s">
        <v>3003</v>
      </c>
      <c r="S3" s="107" t="s">
        <v>2998</v>
      </c>
      <c r="T3" s="107" t="s">
        <v>2999</v>
      </c>
      <c r="U3" s="107" t="s">
        <v>3000</v>
      </c>
    </row>
    <row r="4" spans="1:21" ht="15.75" x14ac:dyDescent="0.3">
      <c r="A4" s="22" t="s">
        <v>2752</v>
      </c>
      <c r="B4" s="22" t="s">
        <v>2753</v>
      </c>
      <c r="C4" s="23" t="s">
        <v>2754</v>
      </c>
      <c r="D4" s="22" t="str">
        <f t="shared" si="0"/>
        <v>3#9#0|3#10#50|3#11#0|3#12#50|3#28#2</v>
      </c>
      <c r="E4" s="108">
        <v>1</v>
      </c>
      <c r="F4" s="209">
        <f t="shared" ref="F4:F11" si="1">INT(E4/E$13*F$13)</f>
        <v>50</v>
      </c>
      <c r="G4" s="209">
        <f t="shared" ref="G4:G11" si="2">INT(E4/E$13*G$13)</f>
        <v>25</v>
      </c>
      <c r="H4" s="209">
        <f>F4*(属性价值参考!C$7+属性价值参考!C$8)+星座装备!G4*(属性价值参考!C$9+属性价值参考!C$10)</f>
        <v>5130</v>
      </c>
      <c r="I4" s="209">
        <f>J4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195.81999999999996</v>
      </c>
      <c r="J4" s="108">
        <f>ROUND(1/10*J$13,0)</f>
        <v>1</v>
      </c>
      <c r="K4" s="108">
        <f t="shared" ref="K4:T4" si="3">ROUND(1/10*K$13,0)</f>
        <v>1</v>
      </c>
      <c r="L4" s="108">
        <f t="shared" si="3"/>
        <v>1</v>
      </c>
      <c r="M4" s="108">
        <f t="shared" si="3"/>
        <v>1</v>
      </c>
      <c r="N4" s="108">
        <f t="shared" si="3"/>
        <v>1</v>
      </c>
      <c r="O4" s="108">
        <f t="shared" si="3"/>
        <v>1</v>
      </c>
      <c r="P4" s="108">
        <f t="shared" si="3"/>
        <v>1</v>
      </c>
      <c r="Q4" s="108">
        <f t="shared" si="3"/>
        <v>1</v>
      </c>
      <c r="R4" s="108">
        <f t="shared" si="3"/>
        <v>1</v>
      </c>
      <c r="S4" s="108">
        <f t="shared" si="3"/>
        <v>1</v>
      </c>
      <c r="T4" s="108">
        <f t="shared" si="3"/>
        <v>1</v>
      </c>
      <c r="U4" s="108">
        <f>ROUND(1/10*U$13,0)</f>
        <v>1</v>
      </c>
    </row>
    <row r="5" spans="1:21" ht="15.75" x14ac:dyDescent="0.3">
      <c r="A5" s="22" t="s">
        <v>2752</v>
      </c>
      <c r="B5" s="22" t="s">
        <v>2753</v>
      </c>
      <c r="C5" s="23" t="s">
        <v>2755</v>
      </c>
      <c r="D5" s="22" t="str">
        <f t="shared" si="0"/>
        <v>3#9#0|3#10#75|3#11#0|3#12#75|3#28#3</v>
      </c>
      <c r="E5" s="108">
        <v>2</v>
      </c>
      <c r="F5" s="209">
        <f t="shared" si="1"/>
        <v>100</v>
      </c>
      <c r="G5" s="209">
        <f t="shared" si="2"/>
        <v>50</v>
      </c>
      <c r="H5" s="209">
        <f>F5*(属性价值参考!C$7+属性价值参考!C$8)+星座装备!G5*(属性价值参考!C$9+属性价值参考!C$10)</f>
        <v>10260</v>
      </c>
      <c r="I5" s="209">
        <f>J5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391.63999999999993</v>
      </c>
      <c r="J5" s="108">
        <f>ROUND(2/10*J$13,0)</f>
        <v>2</v>
      </c>
      <c r="K5" s="108">
        <f t="shared" ref="K5:U5" si="4">ROUND(2/10*K$13,0)</f>
        <v>2</v>
      </c>
      <c r="L5" s="108">
        <f t="shared" si="4"/>
        <v>2</v>
      </c>
      <c r="M5" s="108">
        <f t="shared" si="4"/>
        <v>2</v>
      </c>
      <c r="N5" s="108">
        <f t="shared" si="4"/>
        <v>2</v>
      </c>
      <c r="O5" s="108">
        <f t="shared" si="4"/>
        <v>2</v>
      </c>
      <c r="P5" s="108">
        <f t="shared" si="4"/>
        <v>2</v>
      </c>
      <c r="Q5" s="108">
        <f t="shared" si="4"/>
        <v>2</v>
      </c>
      <c r="R5" s="108">
        <f t="shared" si="4"/>
        <v>2</v>
      </c>
      <c r="S5" s="108">
        <f t="shared" si="4"/>
        <v>2</v>
      </c>
      <c r="T5" s="108">
        <f t="shared" si="4"/>
        <v>2</v>
      </c>
      <c r="U5" s="108">
        <f t="shared" si="4"/>
        <v>2</v>
      </c>
    </row>
    <row r="6" spans="1:21" ht="15.75" x14ac:dyDescent="0.3">
      <c r="A6" s="22" t="s">
        <v>2752</v>
      </c>
      <c r="B6" s="22" t="s">
        <v>2753</v>
      </c>
      <c r="C6" s="23" t="s">
        <v>2756</v>
      </c>
      <c r="D6" s="22" t="str">
        <f t="shared" si="0"/>
        <v>3#9#0|3#10#100|3#11#0|3#12#100|3#28#4</v>
      </c>
      <c r="E6" s="108">
        <v>3</v>
      </c>
      <c r="F6" s="209">
        <f t="shared" si="1"/>
        <v>150</v>
      </c>
      <c r="G6" s="209">
        <f t="shared" si="2"/>
        <v>75</v>
      </c>
      <c r="H6" s="209">
        <f>F6*(属性价值参考!C$7+属性价值参考!C$8)+星座装备!G6*(属性价值参考!C$9+属性价值参考!C$10)</f>
        <v>15390</v>
      </c>
      <c r="I6" s="209">
        <f>J6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587.45999999999992</v>
      </c>
      <c r="J6" s="108">
        <f>ROUND(3/10*J$13,0)</f>
        <v>3</v>
      </c>
      <c r="K6" s="108">
        <f t="shared" ref="K6:U6" si="5">ROUND(3/10*K$13,0)</f>
        <v>3</v>
      </c>
      <c r="L6" s="108">
        <f t="shared" si="5"/>
        <v>3</v>
      </c>
      <c r="M6" s="108">
        <f t="shared" si="5"/>
        <v>3</v>
      </c>
      <c r="N6" s="108">
        <f t="shared" si="5"/>
        <v>3</v>
      </c>
      <c r="O6" s="108">
        <f t="shared" si="5"/>
        <v>3</v>
      </c>
      <c r="P6" s="108">
        <f t="shared" si="5"/>
        <v>3</v>
      </c>
      <c r="Q6" s="108">
        <f t="shared" si="5"/>
        <v>3</v>
      </c>
      <c r="R6" s="108">
        <f t="shared" si="5"/>
        <v>3</v>
      </c>
      <c r="S6" s="108">
        <f t="shared" si="5"/>
        <v>3</v>
      </c>
      <c r="T6" s="108">
        <f t="shared" si="5"/>
        <v>3</v>
      </c>
      <c r="U6" s="108">
        <f t="shared" si="5"/>
        <v>3</v>
      </c>
    </row>
    <row r="7" spans="1:21" ht="15.75" x14ac:dyDescent="0.3">
      <c r="A7" s="22" t="s">
        <v>2752</v>
      </c>
      <c r="B7" s="22" t="s">
        <v>2753</v>
      </c>
      <c r="C7" s="23" t="s">
        <v>2757</v>
      </c>
      <c r="D7" s="22" t="str">
        <f t="shared" si="0"/>
        <v>3#9#0|3#10#125|3#11#0|3#12#125|3#28#5</v>
      </c>
      <c r="E7" s="108">
        <v>4</v>
      </c>
      <c r="F7" s="209">
        <f t="shared" si="1"/>
        <v>200</v>
      </c>
      <c r="G7" s="209">
        <f t="shared" si="2"/>
        <v>100</v>
      </c>
      <c r="H7" s="209">
        <f>F7*(属性价值参考!C$7+属性价值参考!C$8)+星座装备!G7*(属性价值参考!C$9+属性价值参考!C$10)</f>
        <v>20520</v>
      </c>
      <c r="I7" s="209">
        <f>J7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783.27999999999986</v>
      </c>
      <c r="J7" s="108">
        <f>ROUND(4/10*J$13,0)</f>
        <v>4</v>
      </c>
      <c r="K7" s="108">
        <f t="shared" ref="K7:U7" si="6">ROUND(4/10*K$13,0)</f>
        <v>4</v>
      </c>
      <c r="L7" s="108">
        <f t="shared" si="6"/>
        <v>4</v>
      </c>
      <c r="M7" s="108">
        <f t="shared" si="6"/>
        <v>4</v>
      </c>
      <c r="N7" s="108">
        <f t="shared" si="6"/>
        <v>4</v>
      </c>
      <c r="O7" s="108">
        <f t="shared" si="6"/>
        <v>4</v>
      </c>
      <c r="P7" s="108">
        <f t="shared" si="6"/>
        <v>4</v>
      </c>
      <c r="Q7" s="108">
        <f t="shared" si="6"/>
        <v>4</v>
      </c>
      <c r="R7" s="108">
        <f t="shared" si="6"/>
        <v>4</v>
      </c>
      <c r="S7" s="108">
        <f t="shared" si="6"/>
        <v>4</v>
      </c>
      <c r="T7" s="108">
        <f t="shared" si="6"/>
        <v>4</v>
      </c>
      <c r="U7" s="108">
        <f t="shared" si="6"/>
        <v>4</v>
      </c>
    </row>
    <row r="8" spans="1:21" ht="15.75" x14ac:dyDescent="0.3">
      <c r="A8" s="22" t="s">
        <v>2752</v>
      </c>
      <c r="B8" s="22" t="s">
        <v>2753</v>
      </c>
      <c r="C8" s="23" t="s">
        <v>2758</v>
      </c>
      <c r="D8" s="22" t="str">
        <f t="shared" si="0"/>
        <v>3#9#0|3#10#150|3#11#0|3#12#150|3#28#6</v>
      </c>
      <c r="E8" s="108">
        <v>5</v>
      </c>
      <c r="F8" s="209">
        <f t="shared" si="1"/>
        <v>250</v>
      </c>
      <c r="G8" s="209">
        <f t="shared" si="2"/>
        <v>125</v>
      </c>
      <c r="H8" s="209">
        <f>F8*(属性价值参考!C$7+属性价值参考!C$8)+星座装备!G8*(属性价值参考!C$9+属性价值参考!C$10)</f>
        <v>25650</v>
      </c>
      <c r="I8" s="209">
        <f>J8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979.09999999999991</v>
      </c>
      <c r="J8" s="108">
        <f>ROUND(5/10*J$13,0)</f>
        <v>5</v>
      </c>
      <c r="K8" s="108">
        <f t="shared" ref="K8:U8" si="7">ROUND(5/10*K$13,0)</f>
        <v>5</v>
      </c>
      <c r="L8" s="108">
        <f t="shared" si="7"/>
        <v>5</v>
      </c>
      <c r="M8" s="108">
        <f t="shared" si="7"/>
        <v>5</v>
      </c>
      <c r="N8" s="108">
        <f t="shared" si="7"/>
        <v>5</v>
      </c>
      <c r="O8" s="108">
        <f t="shared" si="7"/>
        <v>5</v>
      </c>
      <c r="P8" s="108">
        <f t="shared" si="7"/>
        <v>5</v>
      </c>
      <c r="Q8" s="108">
        <f t="shared" si="7"/>
        <v>5</v>
      </c>
      <c r="R8" s="108">
        <f t="shared" si="7"/>
        <v>5</v>
      </c>
      <c r="S8" s="108">
        <f t="shared" si="7"/>
        <v>5</v>
      </c>
      <c r="T8" s="108">
        <f t="shared" si="7"/>
        <v>5</v>
      </c>
      <c r="U8" s="108">
        <f t="shared" si="7"/>
        <v>5</v>
      </c>
    </row>
    <row r="9" spans="1:21" ht="15.75" x14ac:dyDescent="0.3">
      <c r="A9" s="22" t="s">
        <v>2752</v>
      </c>
      <c r="B9" s="22" t="s">
        <v>2753</v>
      </c>
      <c r="C9" s="23" t="s">
        <v>2759</v>
      </c>
      <c r="D9" s="22" t="str">
        <f t="shared" si="0"/>
        <v>3#9#0|3#10#175|3#11#0|3#12#175|3#28#7</v>
      </c>
      <c r="E9" s="108">
        <v>6</v>
      </c>
      <c r="F9" s="209">
        <f t="shared" si="1"/>
        <v>300</v>
      </c>
      <c r="G9" s="209">
        <f t="shared" si="2"/>
        <v>150</v>
      </c>
      <c r="H9" s="209">
        <f>F9*(属性价值参考!C$7+属性价值参考!C$8)+星座装备!G9*(属性价值参考!C$9+属性价值参考!C$10)</f>
        <v>30780</v>
      </c>
      <c r="I9" s="209">
        <f>J9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1174.9199999999998</v>
      </c>
      <c r="J9" s="108">
        <f>ROUND(6/10*J$13,0)</f>
        <v>6</v>
      </c>
      <c r="K9" s="108">
        <f t="shared" ref="K9:U9" si="8">ROUND(6/10*K$13,0)</f>
        <v>6</v>
      </c>
      <c r="L9" s="108">
        <f t="shared" si="8"/>
        <v>6</v>
      </c>
      <c r="M9" s="108">
        <f t="shared" si="8"/>
        <v>6</v>
      </c>
      <c r="N9" s="108">
        <f t="shared" si="8"/>
        <v>6</v>
      </c>
      <c r="O9" s="108">
        <f t="shared" si="8"/>
        <v>6</v>
      </c>
      <c r="P9" s="108">
        <f t="shared" si="8"/>
        <v>6</v>
      </c>
      <c r="Q9" s="108">
        <f t="shared" si="8"/>
        <v>6</v>
      </c>
      <c r="R9" s="108">
        <f t="shared" si="8"/>
        <v>6</v>
      </c>
      <c r="S9" s="108">
        <f t="shared" si="8"/>
        <v>6</v>
      </c>
      <c r="T9" s="108">
        <f t="shared" si="8"/>
        <v>6</v>
      </c>
      <c r="U9" s="108">
        <f t="shared" si="8"/>
        <v>6</v>
      </c>
    </row>
    <row r="10" spans="1:21" ht="15.75" x14ac:dyDescent="0.3">
      <c r="A10" s="22" t="s">
        <v>2752</v>
      </c>
      <c r="B10" s="22" t="s">
        <v>2753</v>
      </c>
      <c r="C10" s="23" t="s">
        <v>2760</v>
      </c>
      <c r="D10" s="22" t="str">
        <f t="shared" si="0"/>
        <v>3#9#0|3#10#200|3#11#0|3#12#200|3#28#8</v>
      </c>
      <c r="E10" s="108">
        <v>7</v>
      </c>
      <c r="F10" s="209">
        <f t="shared" si="1"/>
        <v>350</v>
      </c>
      <c r="G10" s="209">
        <f t="shared" si="2"/>
        <v>175</v>
      </c>
      <c r="H10" s="209">
        <f>F10*(属性价值参考!C$7+属性价值参考!C$8)+星座装备!G10*(属性价值参考!C$9+属性价值参考!C$10)</f>
        <v>35910</v>
      </c>
      <c r="I10" s="209">
        <f>J10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1370.74</v>
      </c>
      <c r="J10" s="108">
        <f>ROUND(7/10*J$13,0)</f>
        <v>7</v>
      </c>
      <c r="K10" s="108">
        <f t="shared" ref="K10:U10" si="9">ROUND(7/10*K$13,0)</f>
        <v>7</v>
      </c>
      <c r="L10" s="108">
        <f t="shared" si="9"/>
        <v>7</v>
      </c>
      <c r="M10" s="108">
        <f t="shared" si="9"/>
        <v>7</v>
      </c>
      <c r="N10" s="108">
        <f t="shared" si="9"/>
        <v>7</v>
      </c>
      <c r="O10" s="108">
        <f t="shared" si="9"/>
        <v>7</v>
      </c>
      <c r="P10" s="108">
        <f t="shared" si="9"/>
        <v>7</v>
      </c>
      <c r="Q10" s="108">
        <f t="shared" si="9"/>
        <v>7</v>
      </c>
      <c r="R10" s="108">
        <f t="shared" si="9"/>
        <v>7</v>
      </c>
      <c r="S10" s="108">
        <f t="shared" si="9"/>
        <v>7</v>
      </c>
      <c r="T10" s="108">
        <f t="shared" si="9"/>
        <v>7</v>
      </c>
      <c r="U10" s="108">
        <f t="shared" si="9"/>
        <v>7</v>
      </c>
    </row>
    <row r="11" spans="1:21" ht="15.75" x14ac:dyDescent="0.3">
      <c r="A11" s="22" t="s">
        <v>2752</v>
      </c>
      <c r="B11" s="22" t="s">
        <v>2753</v>
      </c>
      <c r="C11" s="23" t="s">
        <v>2761</v>
      </c>
      <c r="D11" s="22" t="str">
        <f t="shared" si="0"/>
        <v>3#9#0|3#10#225|3#11#0|3#12#225|3#28#9</v>
      </c>
      <c r="E11" s="108">
        <v>8</v>
      </c>
      <c r="F11" s="209">
        <f t="shared" si="1"/>
        <v>400</v>
      </c>
      <c r="G11" s="209">
        <f t="shared" si="2"/>
        <v>200</v>
      </c>
      <c r="H11" s="209">
        <f>F11*(属性价值参考!C$7+属性价值参考!C$8)+星座装备!G11*(属性价值参考!C$9+属性价值参考!C$10)</f>
        <v>41040</v>
      </c>
      <c r="I11" s="209">
        <f>J11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1566.5599999999997</v>
      </c>
      <c r="J11" s="108">
        <f>ROUND(8/10*J$13,0)</f>
        <v>8</v>
      </c>
      <c r="K11" s="108">
        <f t="shared" ref="K11:U11" si="10">ROUND(8/10*K$13,0)</f>
        <v>8</v>
      </c>
      <c r="L11" s="108">
        <f t="shared" si="10"/>
        <v>8</v>
      </c>
      <c r="M11" s="108">
        <f t="shared" si="10"/>
        <v>8</v>
      </c>
      <c r="N11" s="108">
        <f t="shared" si="10"/>
        <v>8</v>
      </c>
      <c r="O11" s="108">
        <f t="shared" si="10"/>
        <v>8</v>
      </c>
      <c r="P11" s="108">
        <f t="shared" si="10"/>
        <v>8</v>
      </c>
      <c r="Q11" s="108">
        <f t="shared" si="10"/>
        <v>8</v>
      </c>
      <c r="R11" s="108">
        <f t="shared" si="10"/>
        <v>8</v>
      </c>
      <c r="S11" s="108">
        <f t="shared" si="10"/>
        <v>8</v>
      </c>
      <c r="T11" s="108">
        <f t="shared" si="10"/>
        <v>8</v>
      </c>
      <c r="U11" s="108">
        <f t="shared" si="10"/>
        <v>8</v>
      </c>
    </row>
    <row r="12" spans="1:21" ht="15.75" x14ac:dyDescent="0.3">
      <c r="A12" s="22" t="s">
        <v>2752</v>
      </c>
      <c r="B12" s="22" t="s">
        <v>2753</v>
      </c>
      <c r="C12" s="23" t="s">
        <v>2762</v>
      </c>
      <c r="D12" s="22" t="str">
        <f>"3#9#"&amp;0&amp;"|"&amp;"3#10#"&amp;G13&amp;"|"&amp;"3#11#"&amp;0&amp;"|"&amp;"3#12#"&amp;G13&amp;"|"&amp;"3#28#"&amp;J13</f>
        <v>3#9#0|3#10#250|3#11#0|3#12#250|3#28#10</v>
      </c>
      <c r="E12" s="108">
        <v>9</v>
      </c>
      <c r="F12" s="209">
        <f>INT(E12/E$13*F$13)</f>
        <v>450</v>
      </c>
      <c r="G12" s="209">
        <f>INT(E12/E$13*G$13)</f>
        <v>225</v>
      </c>
      <c r="H12" s="209">
        <f>F12*(属性价值参考!C$7+属性价值参考!C$8)+星座装备!G12*(属性价值参考!C$9+属性价值参考!C$10)</f>
        <v>46170</v>
      </c>
      <c r="I12" s="209">
        <f>J12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1762.3799999999997</v>
      </c>
      <c r="J12" s="108">
        <f>ROUND(9/10*J$13,0)</f>
        <v>9</v>
      </c>
      <c r="K12" s="108">
        <f t="shared" ref="K12:U12" si="11">ROUND(9/10*K$13,0)</f>
        <v>9</v>
      </c>
      <c r="L12" s="108">
        <f t="shared" si="11"/>
        <v>9</v>
      </c>
      <c r="M12" s="108">
        <f t="shared" si="11"/>
        <v>9</v>
      </c>
      <c r="N12" s="108">
        <f t="shared" si="11"/>
        <v>9</v>
      </c>
      <c r="O12" s="108">
        <f t="shared" si="11"/>
        <v>9</v>
      </c>
      <c r="P12" s="108">
        <f t="shared" si="11"/>
        <v>9</v>
      </c>
      <c r="Q12" s="108">
        <f t="shared" si="11"/>
        <v>9</v>
      </c>
      <c r="R12" s="108">
        <f t="shared" si="11"/>
        <v>9</v>
      </c>
      <c r="S12" s="108">
        <f t="shared" si="11"/>
        <v>9</v>
      </c>
      <c r="T12" s="108">
        <f t="shared" si="11"/>
        <v>9</v>
      </c>
      <c r="U12" s="108">
        <f t="shared" si="11"/>
        <v>9</v>
      </c>
    </row>
    <row r="13" spans="1:21" ht="15.75" x14ac:dyDescent="0.3">
      <c r="A13" s="22" t="s">
        <v>2752</v>
      </c>
      <c r="B13" s="22" t="s">
        <v>2753</v>
      </c>
      <c r="C13" s="23" t="s">
        <v>2763</v>
      </c>
      <c r="D13" s="22" t="str">
        <f t="shared" ref="D13:D21" si="12">"3#9#"&amp;0&amp;"|"&amp;"3#10#"&amp;G4&amp;"|"&amp;"3#11#"&amp;0&amp;"|"&amp;"3#12#"&amp;G4&amp;"|"&amp;"3#21#"&amp;J4</f>
        <v>3#9#0|3#10#25|3#11#0|3#12#25|3#21#1</v>
      </c>
      <c r="E13" s="108">
        <v>10</v>
      </c>
      <c r="F13" s="209">
        <f>养成属性分配!AI31</f>
        <v>500</v>
      </c>
      <c r="G13" s="209">
        <f>养成属性分配!AJ31</f>
        <v>250</v>
      </c>
      <c r="H13" s="209">
        <f>F13*(属性价值参考!C$7+属性价值参考!C$8)+星座装备!G13*(属性价值参考!C$9+属性价值参考!C$10)</f>
        <v>51300</v>
      </c>
      <c r="I13" s="209">
        <f>J13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1958.1999999999998</v>
      </c>
      <c r="J13" s="108">
        <f>ROUND(11/2*参数调整!$AI$11,0)</f>
        <v>10</v>
      </c>
      <c r="K13" s="108">
        <f>ROUND(11/2*参数调整!$W$11,0)</f>
        <v>10</v>
      </c>
      <c r="L13" s="108">
        <f>ROUND(11/2*参数调整!$AF$11,0)</f>
        <v>10</v>
      </c>
      <c r="M13" s="108">
        <f>ROUND(11/2*参数调整!$AB$11,0)</f>
        <v>10</v>
      </c>
      <c r="N13" s="108">
        <f>ROUND(11/2*参数调整!$AJ$11,0)</f>
        <v>10</v>
      </c>
      <c r="O13" s="108">
        <f>ROUND(11/2*参数调整!$AM$11,0)</f>
        <v>10</v>
      </c>
      <c r="P13" s="108">
        <f>ROUND(11/2*参数调整!$AQ$11,0)</f>
        <v>10</v>
      </c>
      <c r="Q13" s="108">
        <f>ROUND(11/2*参数调整!$AL$11,0)</f>
        <v>10</v>
      </c>
      <c r="R13" s="108">
        <f>ROUND(11/2*参数调整!$AP$11,0)</f>
        <v>10</v>
      </c>
      <c r="S13" s="108">
        <f>ROUND(11/2*参数调整!$AE$11,0)</f>
        <v>10</v>
      </c>
      <c r="T13" s="108">
        <f>ROUND(11/2*参数调整!$AC$11,0)</f>
        <v>10</v>
      </c>
      <c r="U13" s="108">
        <f>ROUND(11/2*参数调整!$AD$11,0)</f>
        <v>10</v>
      </c>
    </row>
    <row r="14" spans="1:21" ht="15.75" x14ac:dyDescent="0.3">
      <c r="A14" s="22" t="s">
        <v>2752</v>
      </c>
      <c r="B14" s="22" t="s">
        <v>2753</v>
      </c>
      <c r="C14" s="23" t="s">
        <v>2764</v>
      </c>
      <c r="D14" s="22" t="str">
        <f t="shared" si="12"/>
        <v>3#9#0|3#10#50|3#11#0|3#12#50|3#21#2</v>
      </c>
      <c r="E14" s="162"/>
      <c r="F14" s="162"/>
      <c r="G14" s="162"/>
      <c r="H14" s="162"/>
      <c r="I14" s="162"/>
    </row>
    <row r="15" spans="1:21" ht="15.75" x14ac:dyDescent="0.3">
      <c r="A15" s="22" t="s">
        <v>2752</v>
      </c>
      <c r="B15" s="22" t="s">
        <v>2753</v>
      </c>
      <c r="C15" s="23" t="s">
        <v>2765</v>
      </c>
      <c r="D15" s="22" t="str">
        <f t="shared" si="12"/>
        <v>3#9#0|3#10#75|3#11#0|3#12#75|3#21#3</v>
      </c>
    </row>
    <row r="16" spans="1:21" ht="15.75" x14ac:dyDescent="0.3">
      <c r="A16" s="22" t="s">
        <v>2752</v>
      </c>
      <c r="B16" s="22" t="s">
        <v>2753</v>
      </c>
      <c r="C16" s="23" t="s">
        <v>2766</v>
      </c>
      <c r="D16" s="22" t="str">
        <f t="shared" si="12"/>
        <v>3#9#0|3#10#100|3#11#0|3#12#100|3#21#4</v>
      </c>
    </row>
    <row r="17" spans="1:5" ht="15.75" x14ac:dyDescent="0.3">
      <c r="A17" s="22" t="s">
        <v>2752</v>
      </c>
      <c r="B17" s="22" t="s">
        <v>2753</v>
      </c>
      <c r="C17" s="23" t="s">
        <v>2767</v>
      </c>
      <c r="D17" s="22" t="str">
        <f t="shared" si="12"/>
        <v>3#9#0|3#10#125|3#11#0|3#12#125|3#21#5</v>
      </c>
    </row>
    <row r="18" spans="1:5" ht="15.75" x14ac:dyDescent="0.3">
      <c r="A18" s="22" t="s">
        <v>2752</v>
      </c>
      <c r="B18" s="22" t="s">
        <v>2753</v>
      </c>
      <c r="C18" s="23" t="s">
        <v>2768</v>
      </c>
      <c r="D18" s="22" t="str">
        <f t="shared" si="12"/>
        <v>3#9#0|3#10#150|3#11#0|3#12#150|3#21#6</v>
      </c>
    </row>
    <row r="19" spans="1:5" ht="15.75" x14ac:dyDescent="0.3">
      <c r="A19" s="22" t="s">
        <v>2752</v>
      </c>
      <c r="B19" s="22" t="s">
        <v>2753</v>
      </c>
      <c r="C19" s="23" t="s">
        <v>2769</v>
      </c>
      <c r="D19" s="22" t="str">
        <f t="shared" si="12"/>
        <v>3#9#0|3#10#175|3#11#0|3#12#175|3#21#7</v>
      </c>
    </row>
    <row r="20" spans="1:5" ht="15.75" x14ac:dyDescent="0.3">
      <c r="A20" s="22" t="s">
        <v>2752</v>
      </c>
      <c r="B20" s="22" t="s">
        <v>2753</v>
      </c>
      <c r="C20" s="23" t="s">
        <v>2770</v>
      </c>
      <c r="D20" s="22" t="str">
        <f t="shared" si="12"/>
        <v>3#9#0|3#10#200|3#11#0|3#12#200|3#21#8</v>
      </c>
    </row>
    <row r="21" spans="1:5" ht="15.75" x14ac:dyDescent="0.3">
      <c r="A21" s="22" t="s">
        <v>2752</v>
      </c>
      <c r="B21" s="22" t="s">
        <v>2753</v>
      </c>
      <c r="C21" s="23" t="s">
        <v>2771</v>
      </c>
      <c r="D21" s="22" t="str">
        <f t="shared" si="12"/>
        <v>3#9#0|3#10#225|3#11#0|3#12#225|3#21#9</v>
      </c>
    </row>
    <row r="22" spans="1:5" ht="15.75" x14ac:dyDescent="0.3">
      <c r="A22" s="22" t="s">
        <v>2752</v>
      </c>
      <c r="B22" s="22" t="s">
        <v>2753</v>
      </c>
      <c r="C22" s="23" t="s">
        <v>2772</v>
      </c>
      <c r="D22" s="22" t="str">
        <f>"3#9#"&amp;0&amp;"|"&amp;"3#10#"&amp;G13&amp;"|"&amp;"3#11#"&amp;0&amp;"|"&amp;"3#12#"&amp;G13&amp;"|"&amp;"3#21#"&amp;J13</f>
        <v>3#9#0|3#10#250|3#11#0|3#12#250|3#21#10</v>
      </c>
    </row>
    <row r="23" spans="1:5" ht="15.75" x14ac:dyDescent="0.3">
      <c r="A23" s="22" t="s">
        <v>2752</v>
      </c>
      <c r="B23" s="22" t="s">
        <v>2753</v>
      </c>
      <c r="C23" s="23" t="s">
        <v>2773</v>
      </c>
      <c r="D23" s="22" t="str">
        <f t="shared" ref="D23:D31" si="13">"3#9#"&amp;0&amp;"|"&amp;"3#10#"&amp;G4&amp;"|"&amp;"3#11#"&amp;0&amp;"|"&amp;"3#12#"&amp;G4&amp;"|"&amp;"3#31#"&amp;J4</f>
        <v>3#9#0|3#10#25|3#11#0|3#12#25|3#31#1</v>
      </c>
    </row>
    <row r="24" spans="1:5" ht="15.75" x14ac:dyDescent="0.3">
      <c r="A24" s="22" t="s">
        <v>2752</v>
      </c>
      <c r="B24" s="22" t="s">
        <v>2753</v>
      </c>
      <c r="C24" s="23" t="s">
        <v>2774</v>
      </c>
      <c r="D24" s="22" t="str">
        <f t="shared" si="13"/>
        <v>3#9#0|3#10#50|3#11#0|3#12#50|3#31#2</v>
      </c>
    </row>
    <row r="25" spans="1:5" ht="15.75" x14ac:dyDescent="0.3">
      <c r="A25" s="22" t="s">
        <v>2752</v>
      </c>
      <c r="B25" s="22" t="s">
        <v>2753</v>
      </c>
      <c r="C25" s="23" t="s">
        <v>2775</v>
      </c>
      <c r="D25" s="22" t="str">
        <f t="shared" si="13"/>
        <v>3#9#0|3#10#75|3#11#0|3#12#75|3#31#3</v>
      </c>
    </row>
    <row r="26" spans="1:5" ht="15.75" x14ac:dyDescent="0.3">
      <c r="A26" s="22" t="s">
        <v>2752</v>
      </c>
      <c r="B26" s="22" t="s">
        <v>2753</v>
      </c>
      <c r="C26" s="23" t="s">
        <v>2776</v>
      </c>
      <c r="D26" s="22" t="str">
        <f t="shared" si="13"/>
        <v>3#9#0|3#10#100|3#11#0|3#12#100|3#31#4</v>
      </c>
    </row>
    <row r="27" spans="1:5" ht="15.75" x14ac:dyDescent="0.3">
      <c r="A27" s="22" t="s">
        <v>2752</v>
      </c>
      <c r="B27" s="22" t="s">
        <v>2753</v>
      </c>
      <c r="C27" s="23" t="s">
        <v>2777</v>
      </c>
      <c r="D27" s="22" t="str">
        <f t="shared" si="13"/>
        <v>3#9#0|3#10#125|3#11#0|3#12#125|3#31#5</v>
      </c>
    </row>
    <row r="28" spans="1:5" ht="15.75" x14ac:dyDescent="0.3">
      <c r="A28" s="22" t="s">
        <v>2752</v>
      </c>
      <c r="B28" s="22" t="s">
        <v>2753</v>
      </c>
      <c r="C28" s="23" t="s">
        <v>2778</v>
      </c>
      <c r="D28" s="22" t="str">
        <f t="shared" si="13"/>
        <v>3#9#0|3#10#150|3#11#0|3#12#150|3#31#6</v>
      </c>
    </row>
    <row r="29" spans="1:5" ht="15.75" x14ac:dyDescent="0.3">
      <c r="A29" s="22" t="s">
        <v>2752</v>
      </c>
      <c r="B29" s="22" t="s">
        <v>2753</v>
      </c>
      <c r="C29" s="23" t="s">
        <v>2779</v>
      </c>
      <c r="D29" s="22" t="str">
        <f t="shared" si="13"/>
        <v>3#9#0|3#10#175|3#11#0|3#12#175|3#31#7</v>
      </c>
    </row>
    <row r="30" spans="1:5" ht="15.75" x14ac:dyDescent="0.3">
      <c r="A30" s="22" t="s">
        <v>2752</v>
      </c>
      <c r="B30" s="22" t="s">
        <v>2753</v>
      </c>
      <c r="C30" s="23" t="s">
        <v>2780</v>
      </c>
      <c r="D30" s="22" t="str">
        <f t="shared" si="13"/>
        <v>3#9#0|3#10#200|3#11#0|3#12#200|3#31#8</v>
      </c>
    </row>
    <row r="31" spans="1:5" ht="15.75" x14ac:dyDescent="0.3">
      <c r="A31" s="22" t="s">
        <v>2752</v>
      </c>
      <c r="B31" s="22" t="s">
        <v>2753</v>
      </c>
      <c r="C31" s="23" t="s">
        <v>2781</v>
      </c>
      <c r="D31" s="22" t="str">
        <f t="shared" si="13"/>
        <v>3#9#0|3#10#225|3#11#0|3#12#225|3#31#9</v>
      </c>
    </row>
    <row r="32" spans="1:5" ht="15.75" x14ac:dyDescent="0.3">
      <c r="A32" s="22" t="s">
        <v>2752</v>
      </c>
      <c r="B32" s="22" t="s">
        <v>2753</v>
      </c>
      <c r="C32" s="23" t="s">
        <v>2782</v>
      </c>
      <c r="D32" s="22" t="str">
        <f>"3#9#"&amp;0&amp;"|"&amp;"3#10#"&amp;G13&amp;"|"&amp;"3#11#"&amp;0&amp;"|"&amp;"3#12#"&amp;G13&amp;"|"&amp;"3#31#"&amp;J13</f>
        <v>3#9#0|3#10#250|3#11#0|3#12#250|3#31#10</v>
      </c>
      <c r="E32" s="161"/>
    </row>
    <row r="33" spans="1:5" ht="15.75" x14ac:dyDescent="0.3">
      <c r="A33" s="22" t="s">
        <v>2752</v>
      </c>
      <c r="B33" s="22" t="s">
        <v>2753</v>
      </c>
      <c r="C33" s="23" t="s">
        <v>2783</v>
      </c>
      <c r="D33" s="22" t="str">
        <f t="shared" ref="D33:D41" si="14">"3#9#"&amp;0&amp;"|"&amp;"3#10#"&amp;G4&amp;"|"&amp;"3#11#"&amp;0&amp;"|"&amp;"3#12#"&amp;G4&amp;"|"&amp;"3#25#"&amp;J4</f>
        <v>3#9#0|3#10#25|3#11#0|3#12#25|3#25#1</v>
      </c>
      <c r="E33" s="161"/>
    </row>
    <row r="34" spans="1:5" ht="15.75" x14ac:dyDescent="0.3">
      <c r="A34" s="22" t="s">
        <v>2752</v>
      </c>
      <c r="B34" s="22" t="s">
        <v>2753</v>
      </c>
      <c r="C34" s="23" t="s">
        <v>2784</v>
      </c>
      <c r="D34" s="22" t="str">
        <f t="shared" si="14"/>
        <v>3#9#0|3#10#50|3#11#0|3#12#50|3#25#2</v>
      </c>
      <c r="E34" s="161"/>
    </row>
    <row r="35" spans="1:5" ht="15.75" x14ac:dyDescent="0.3">
      <c r="A35" s="22" t="s">
        <v>2752</v>
      </c>
      <c r="B35" s="22" t="s">
        <v>2753</v>
      </c>
      <c r="C35" s="23" t="s">
        <v>2785</v>
      </c>
      <c r="D35" s="22" t="str">
        <f t="shared" si="14"/>
        <v>3#9#0|3#10#75|3#11#0|3#12#75|3#25#3</v>
      </c>
      <c r="E35" s="161"/>
    </row>
    <row r="36" spans="1:5" ht="15.75" x14ac:dyDescent="0.3">
      <c r="A36" s="22" t="s">
        <v>2752</v>
      </c>
      <c r="B36" s="22" t="s">
        <v>2753</v>
      </c>
      <c r="C36" s="23" t="s">
        <v>2786</v>
      </c>
      <c r="D36" s="22" t="str">
        <f t="shared" si="14"/>
        <v>3#9#0|3#10#100|3#11#0|3#12#100|3#25#4</v>
      </c>
      <c r="E36" s="161"/>
    </row>
    <row r="37" spans="1:5" ht="15.75" x14ac:dyDescent="0.3">
      <c r="A37" s="22" t="s">
        <v>2752</v>
      </c>
      <c r="B37" s="22" t="s">
        <v>2753</v>
      </c>
      <c r="C37" s="23" t="s">
        <v>2787</v>
      </c>
      <c r="D37" s="22" t="str">
        <f t="shared" si="14"/>
        <v>3#9#0|3#10#125|3#11#0|3#12#125|3#25#5</v>
      </c>
      <c r="E37" s="161"/>
    </row>
    <row r="38" spans="1:5" ht="15.75" x14ac:dyDescent="0.3">
      <c r="A38" s="22" t="s">
        <v>2752</v>
      </c>
      <c r="B38" s="22" t="s">
        <v>2753</v>
      </c>
      <c r="C38" s="23" t="s">
        <v>2788</v>
      </c>
      <c r="D38" s="22" t="str">
        <f t="shared" si="14"/>
        <v>3#9#0|3#10#150|3#11#0|3#12#150|3#25#6</v>
      </c>
      <c r="E38" s="161"/>
    </row>
    <row r="39" spans="1:5" ht="15.75" x14ac:dyDescent="0.3">
      <c r="A39" s="22" t="s">
        <v>2752</v>
      </c>
      <c r="B39" s="22" t="s">
        <v>2753</v>
      </c>
      <c r="C39" s="23" t="s">
        <v>2789</v>
      </c>
      <c r="D39" s="22" t="str">
        <f t="shared" si="14"/>
        <v>3#9#0|3#10#175|3#11#0|3#12#175|3#25#7</v>
      </c>
      <c r="E39" s="161"/>
    </row>
    <row r="40" spans="1:5" ht="15.75" x14ac:dyDescent="0.3">
      <c r="A40" s="22" t="s">
        <v>2752</v>
      </c>
      <c r="B40" s="22" t="s">
        <v>2753</v>
      </c>
      <c r="C40" s="23" t="s">
        <v>2790</v>
      </c>
      <c r="D40" s="22" t="str">
        <f t="shared" si="14"/>
        <v>3#9#0|3#10#200|3#11#0|3#12#200|3#25#8</v>
      </c>
      <c r="E40" s="161"/>
    </row>
    <row r="41" spans="1:5" ht="15.75" x14ac:dyDescent="0.3">
      <c r="A41" s="22" t="s">
        <v>2752</v>
      </c>
      <c r="B41" s="22" t="s">
        <v>2753</v>
      </c>
      <c r="C41" s="23" t="s">
        <v>2791</v>
      </c>
      <c r="D41" s="22" t="str">
        <f t="shared" si="14"/>
        <v>3#9#0|3#10#225|3#11#0|3#12#225|3#25#9</v>
      </c>
      <c r="E41" s="161"/>
    </row>
    <row r="42" spans="1:5" ht="15.75" x14ac:dyDescent="0.3">
      <c r="A42" s="22" t="s">
        <v>2752</v>
      </c>
      <c r="B42" s="22" t="s">
        <v>2753</v>
      </c>
      <c r="C42" s="23" t="s">
        <v>2792</v>
      </c>
      <c r="D42" s="22" t="str">
        <f>"3#9#"&amp;0&amp;"|"&amp;"3#10#"&amp;G13&amp;"|"&amp;"3#11#"&amp;0&amp;"|"&amp;"3#12#"&amp;G13&amp;"|"&amp;"3#25#"&amp;J13</f>
        <v>3#9#0|3#10#250|3#11#0|3#12#250|3#25#10</v>
      </c>
      <c r="E42" s="161"/>
    </row>
    <row r="43" spans="1:5" ht="15.75" x14ac:dyDescent="0.3">
      <c r="A43" s="22" t="s">
        <v>2752</v>
      </c>
      <c r="B43" s="22" t="s">
        <v>2753</v>
      </c>
      <c r="C43" s="23" t="s">
        <v>2793</v>
      </c>
      <c r="D43" s="22" t="str">
        <f t="shared" ref="D43:D51" si="15">"3#9#"&amp;0&amp;"|"&amp;"3#10#"&amp;G4&amp;"|"&amp;"3#11#"&amp;0&amp;"|"&amp;"3#12#"&amp;G4&amp;"|"&amp;"3#34#"&amp;100*J4</f>
        <v>3#9#0|3#10#25|3#11#0|3#12#25|3#34#100</v>
      </c>
      <c r="E43" s="161"/>
    </row>
    <row r="44" spans="1:5" ht="15.75" x14ac:dyDescent="0.3">
      <c r="A44" s="22" t="s">
        <v>2752</v>
      </c>
      <c r="B44" s="22" t="s">
        <v>2753</v>
      </c>
      <c r="C44" s="23" t="s">
        <v>2794</v>
      </c>
      <c r="D44" s="22" t="str">
        <f t="shared" si="15"/>
        <v>3#9#0|3#10#50|3#11#0|3#12#50|3#34#200</v>
      </c>
      <c r="E44" s="161"/>
    </row>
    <row r="45" spans="1:5" ht="15.75" x14ac:dyDescent="0.3">
      <c r="A45" s="22" t="s">
        <v>2752</v>
      </c>
      <c r="B45" s="22" t="s">
        <v>2753</v>
      </c>
      <c r="C45" s="23" t="s">
        <v>2795</v>
      </c>
      <c r="D45" s="22" t="str">
        <f t="shared" si="15"/>
        <v>3#9#0|3#10#75|3#11#0|3#12#75|3#34#300</v>
      </c>
      <c r="E45" s="161"/>
    </row>
    <row r="46" spans="1:5" ht="15.75" x14ac:dyDescent="0.3">
      <c r="A46" s="22" t="s">
        <v>2752</v>
      </c>
      <c r="B46" s="22" t="s">
        <v>2753</v>
      </c>
      <c r="C46" s="23" t="s">
        <v>2796</v>
      </c>
      <c r="D46" s="22" t="str">
        <f t="shared" si="15"/>
        <v>3#9#0|3#10#100|3#11#0|3#12#100|3#34#400</v>
      </c>
      <c r="E46" s="161"/>
    </row>
    <row r="47" spans="1:5" ht="15.75" x14ac:dyDescent="0.3">
      <c r="A47" s="22" t="s">
        <v>2752</v>
      </c>
      <c r="B47" s="22" t="s">
        <v>2753</v>
      </c>
      <c r="C47" s="23" t="s">
        <v>2797</v>
      </c>
      <c r="D47" s="22" t="str">
        <f t="shared" si="15"/>
        <v>3#9#0|3#10#125|3#11#0|3#12#125|3#34#500</v>
      </c>
      <c r="E47" s="161"/>
    </row>
    <row r="48" spans="1:5" ht="15.75" x14ac:dyDescent="0.3">
      <c r="A48" s="22" t="s">
        <v>2752</v>
      </c>
      <c r="B48" s="22" t="s">
        <v>2753</v>
      </c>
      <c r="C48" s="23" t="s">
        <v>2798</v>
      </c>
      <c r="D48" s="22" t="str">
        <f t="shared" si="15"/>
        <v>3#9#0|3#10#150|3#11#0|3#12#150|3#34#600</v>
      </c>
      <c r="E48" s="161"/>
    </row>
    <row r="49" spans="1:5" ht="15.75" x14ac:dyDescent="0.3">
      <c r="A49" s="22" t="s">
        <v>2752</v>
      </c>
      <c r="B49" s="22" t="s">
        <v>2753</v>
      </c>
      <c r="C49" s="23" t="s">
        <v>2799</v>
      </c>
      <c r="D49" s="22" t="str">
        <f t="shared" si="15"/>
        <v>3#9#0|3#10#175|3#11#0|3#12#175|3#34#700</v>
      </c>
      <c r="E49" s="161"/>
    </row>
    <row r="50" spans="1:5" ht="15.75" x14ac:dyDescent="0.3">
      <c r="A50" s="22" t="s">
        <v>2752</v>
      </c>
      <c r="B50" s="22" t="s">
        <v>2753</v>
      </c>
      <c r="C50" s="23" t="s">
        <v>2800</v>
      </c>
      <c r="D50" s="22" t="str">
        <f t="shared" si="15"/>
        <v>3#9#0|3#10#200|3#11#0|3#12#200|3#34#800</v>
      </c>
      <c r="E50" s="161"/>
    </row>
    <row r="51" spans="1:5" ht="15.75" x14ac:dyDescent="0.3">
      <c r="A51" s="22" t="s">
        <v>2752</v>
      </c>
      <c r="B51" s="22" t="s">
        <v>2753</v>
      </c>
      <c r="C51" s="23" t="s">
        <v>2801</v>
      </c>
      <c r="D51" s="22" t="str">
        <f t="shared" si="15"/>
        <v>3#9#0|3#10#225|3#11#0|3#12#225|3#34#900</v>
      </c>
      <c r="E51" s="161"/>
    </row>
    <row r="52" spans="1:5" ht="15.75" x14ac:dyDescent="0.3">
      <c r="A52" s="22" t="s">
        <v>2752</v>
      </c>
      <c r="B52" s="22" t="s">
        <v>2753</v>
      </c>
      <c r="C52" s="23" t="s">
        <v>2802</v>
      </c>
      <c r="D52" s="22" t="str">
        <f>"3#9#"&amp;0&amp;"|"&amp;"3#10#"&amp;G13&amp;"|"&amp;"3#11#"&amp;0&amp;"|"&amp;"3#12#"&amp;G13&amp;"|"&amp;"3#34#"&amp;100*J13</f>
        <v>3#9#0|3#10#250|3#11#0|3#12#250|3#34#1000</v>
      </c>
      <c r="E52" s="161"/>
    </row>
    <row r="53" spans="1:5" ht="15.75" x14ac:dyDescent="0.3">
      <c r="A53" s="22" t="s">
        <v>2752</v>
      </c>
      <c r="B53" s="22" t="s">
        <v>2753</v>
      </c>
      <c r="C53" s="23" t="s">
        <v>2803</v>
      </c>
      <c r="D53" s="22" t="str">
        <f t="shared" ref="D53:D61" si="16">"3#9#"&amp;0&amp;"|"&amp;"3#10#"&amp;G4&amp;"|"&amp;"3#11#"&amp;0&amp;"|"&amp;"3#12#"&amp;G4&amp;"|"&amp;"3#40#"&amp;100*J4</f>
        <v>3#9#0|3#10#25|3#11#0|3#12#25|3#40#100</v>
      </c>
      <c r="E53" s="161"/>
    </row>
    <row r="54" spans="1:5" ht="15.75" x14ac:dyDescent="0.3">
      <c r="A54" s="22" t="s">
        <v>2752</v>
      </c>
      <c r="B54" s="22" t="s">
        <v>2753</v>
      </c>
      <c r="C54" s="23" t="s">
        <v>2804</v>
      </c>
      <c r="D54" s="22" t="str">
        <f t="shared" si="16"/>
        <v>3#9#0|3#10#50|3#11#0|3#12#50|3#40#200</v>
      </c>
      <c r="E54" s="161"/>
    </row>
    <row r="55" spans="1:5" ht="15.75" x14ac:dyDescent="0.3">
      <c r="A55" s="22" t="s">
        <v>2752</v>
      </c>
      <c r="B55" s="22" t="s">
        <v>2753</v>
      </c>
      <c r="C55" s="23" t="s">
        <v>2805</v>
      </c>
      <c r="D55" s="22" t="str">
        <f t="shared" si="16"/>
        <v>3#9#0|3#10#75|3#11#0|3#12#75|3#40#300</v>
      </c>
      <c r="E55" s="161"/>
    </row>
    <row r="56" spans="1:5" ht="15.75" x14ac:dyDescent="0.3">
      <c r="A56" s="22" t="s">
        <v>2752</v>
      </c>
      <c r="B56" s="22" t="s">
        <v>2753</v>
      </c>
      <c r="C56" s="23" t="s">
        <v>2806</v>
      </c>
      <c r="D56" s="22" t="str">
        <f t="shared" si="16"/>
        <v>3#9#0|3#10#100|3#11#0|3#12#100|3#40#400</v>
      </c>
      <c r="E56" s="161"/>
    </row>
    <row r="57" spans="1:5" ht="15.75" x14ac:dyDescent="0.3">
      <c r="A57" s="22" t="s">
        <v>2752</v>
      </c>
      <c r="B57" s="22" t="s">
        <v>2753</v>
      </c>
      <c r="C57" s="23" t="s">
        <v>2807</v>
      </c>
      <c r="D57" s="22" t="str">
        <f t="shared" si="16"/>
        <v>3#9#0|3#10#125|3#11#0|3#12#125|3#40#500</v>
      </c>
      <c r="E57" s="161"/>
    </row>
    <row r="58" spans="1:5" ht="15.75" x14ac:dyDescent="0.3">
      <c r="A58" s="22" t="s">
        <v>2752</v>
      </c>
      <c r="B58" s="22" t="s">
        <v>2753</v>
      </c>
      <c r="C58" s="23" t="s">
        <v>2808</v>
      </c>
      <c r="D58" s="22" t="str">
        <f t="shared" si="16"/>
        <v>3#9#0|3#10#150|3#11#0|3#12#150|3#40#600</v>
      </c>
      <c r="E58" s="161"/>
    </row>
    <row r="59" spans="1:5" ht="15.75" x14ac:dyDescent="0.3">
      <c r="A59" s="22" t="s">
        <v>2752</v>
      </c>
      <c r="B59" s="22" t="s">
        <v>2753</v>
      </c>
      <c r="C59" s="23" t="s">
        <v>2809</v>
      </c>
      <c r="D59" s="22" t="str">
        <f t="shared" si="16"/>
        <v>3#9#0|3#10#175|3#11#0|3#12#175|3#40#700</v>
      </c>
      <c r="E59" s="161"/>
    </row>
    <row r="60" spans="1:5" ht="15.75" x14ac:dyDescent="0.3">
      <c r="A60" s="22" t="s">
        <v>2752</v>
      </c>
      <c r="B60" s="22" t="s">
        <v>2753</v>
      </c>
      <c r="C60" s="23" t="s">
        <v>2810</v>
      </c>
      <c r="D60" s="22" t="str">
        <f t="shared" si="16"/>
        <v>3#9#0|3#10#200|3#11#0|3#12#200|3#40#800</v>
      </c>
      <c r="E60" s="161"/>
    </row>
    <row r="61" spans="1:5" ht="15.75" x14ac:dyDescent="0.3">
      <c r="A61" s="22" t="s">
        <v>2752</v>
      </c>
      <c r="B61" s="22" t="s">
        <v>2753</v>
      </c>
      <c r="C61" s="23" t="s">
        <v>2811</v>
      </c>
      <c r="D61" s="22" t="str">
        <f t="shared" si="16"/>
        <v>3#9#0|3#10#225|3#11#0|3#12#225|3#40#900</v>
      </c>
      <c r="E61" s="161"/>
    </row>
    <row r="62" spans="1:5" ht="15.75" x14ac:dyDescent="0.3">
      <c r="A62" s="22" t="s">
        <v>2752</v>
      </c>
      <c r="B62" s="22" t="s">
        <v>2753</v>
      </c>
      <c r="C62" s="23" t="s">
        <v>2812</v>
      </c>
      <c r="D62" s="22" t="str">
        <f>"3#9#"&amp;0&amp;"|"&amp;"3#10#"&amp;G13&amp;"|"&amp;"3#11#"&amp;0&amp;"|"&amp;"3#12#"&amp;G13&amp;"|"&amp;"3#40#"&amp;100*J13</f>
        <v>3#9#0|3#10#250|3#11#0|3#12#250|3#40#1000</v>
      </c>
      <c r="E62" s="161"/>
    </row>
    <row r="63" spans="1:5" ht="15.75" x14ac:dyDescent="0.3">
      <c r="A63" s="22" t="s">
        <v>2752</v>
      </c>
      <c r="B63" s="22" t="s">
        <v>2753</v>
      </c>
      <c r="C63" s="23" t="s">
        <v>2813</v>
      </c>
      <c r="D63" s="22" t="str">
        <f t="shared" ref="D63:D71" si="17">"3#9#"&amp;0&amp;"|"&amp;"3#10#"&amp;G4&amp;"|"&amp;"3#11#"&amp;0&amp;"|"&amp;"3#12#"&amp;G4&amp;"|"&amp;"3#65#"&amp;100*J4</f>
        <v>3#9#0|3#10#25|3#11#0|3#12#25|3#65#100</v>
      </c>
      <c r="E63" s="161"/>
    </row>
    <row r="64" spans="1:5" ht="15.75" x14ac:dyDescent="0.3">
      <c r="A64" s="22" t="s">
        <v>2752</v>
      </c>
      <c r="B64" s="22" t="s">
        <v>2753</v>
      </c>
      <c r="C64" s="23" t="s">
        <v>2814</v>
      </c>
      <c r="D64" s="22" t="str">
        <f t="shared" si="17"/>
        <v>3#9#0|3#10#50|3#11#0|3#12#50|3#65#200</v>
      </c>
      <c r="E64" s="161"/>
    </row>
    <row r="65" spans="1:5" ht="15.75" x14ac:dyDescent="0.3">
      <c r="A65" s="22" t="s">
        <v>2752</v>
      </c>
      <c r="B65" s="22" t="s">
        <v>2753</v>
      </c>
      <c r="C65" s="23" t="s">
        <v>2815</v>
      </c>
      <c r="D65" s="22" t="str">
        <f t="shared" si="17"/>
        <v>3#9#0|3#10#75|3#11#0|3#12#75|3#65#300</v>
      </c>
      <c r="E65" s="161"/>
    </row>
    <row r="66" spans="1:5" ht="15.75" x14ac:dyDescent="0.3">
      <c r="A66" s="22" t="s">
        <v>2752</v>
      </c>
      <c r="B66" s="22" t="s">
        <v>2753</v>
      </c>
      <c r="C66" s="23" t="s">
        <v>2816</v>
      </c>
      <c r="D66" s="22" t="str">
        <f t="shared" si="17"/>
        <v>3#9#0|3#10#100|3#11#0|3#12#100|3#65#400</v>
      </c>
      <c r="E66" s="161"/>
    </row>
    <row r="67" spans="1:5" ht="15.75" x14ac:dyDescent="0.3">
      <c r="A67" s="22" t="s">
        <v>2752</v>
      </c>
      <c r="B67" s="22" t="s">
        <v>2753</v>
      </c>
      <c r="C67" s="23" t="s">
        <v>2817</v>
      </c>
      <c r="D67" s="22" t="str">
        <f t="shared" si="17"/>
        <v>3#9#0|3#10#125|3#11#0|3#12#125|3#65#500</v>
      </c>
      <c r="E67" s="161"/>
    </row>
    <row r="68" spans="1:5" ht="15.75" x14ac:dyDescent="0.3">
      <c r="A68" s="22" t="s">
        <v>2752</v>
      </c>
      <c r="B68" s="22" t="s">
        <v>2753</v>
      </c>
      <c r="C68" s="23" t="s">
        <v>2818</v>
      </c>
      <c r="D68" s="22" t="str">
        <f t="shared" si="17"/>
        <v>3#9#0|3#10#150|3#11#0|3#12#150|3#65#600</v>
      </c>
      <c r="E68" s="161"/>
    </row>
    <row r="69" spans="1:5" ht="15.75" x14ac:dyDescent="0.3">
      <c r="A69" s="22" t="s">
        <v>2752</v>
      </c>
      <c r="B69" s="22" t="s">
        <v>2753</v>
      </c>
      <c r="C69" s="23" t="s">
        <v>2819</v>
      </c>
      <c r="D69" s="22" t="str">
        <f t="shared" si="17"/>
        <v>3#9#0|3#10#175|3#11#0|3#12#175|3#65#700</v>
      </c>
      <c r="E69" s="161"/>
    </row>
    <row r="70" spans="1:5" ht="15.75" x14ac:dyDescent="0.3">
      <c r="A70" s="22" t="s">
        <v>2752</v>
      </c>
      <c r="B70" s="22" t="s">
        <v>2753</v>
      </c>
      <c r="C70" s="23" t="s">
        <v>2820</v>
      </c>
      <c r="D70" s="22" t="str">
        <f t="shared" si="17"/>
        <v>3#9#0|3#10#200|3#11#0|3#12#200|3#65#800</v>
      </c>
      <c r="E70" s="161"/>
    </row>
    <row r="71" spans="1:5" ht="15.75" x14ac:dyDescent="0.3">
      <c r="A71" s="22" t="s">
        <v>2752</v>
      </c>
      <c r="B71" s="22" t="s">
        <v>2753</v>
      </c>
      <c r="C71" s="23" t="s">
        <v>2821</v>
      </c>
      <c r="D71" s="22" t="str">
        <f t="shared" si="17"/>
        <v>3#9#0|3#10#225|3#11#0|3#12#225|3#65#900</v>
      </c>
      <c r="E71" s="161"/>
    </row>
    <row r="72" spans="1:5" ht="15.75" x14ac:dyDescent="0.3">
      <c r="A72" s="22" t="s">
        <v>2752</v>
      </c>
      <c r="B72" s="22" t="s">
        <v>2753</v>
      </c>
      <c r="C72" s="23" t="s">
        <v>2822</v>
      </c>
      <c r="D72" s="22" t="str">
        <f>"3#9#"&amp;0&amp;"|"&amp;"3#10#"&amp;G13&amp;"|"&amp;"3#11#"&amp;0&amp;"|"&amp;"3#12#"&amp;G13&amp;"|"&amp;"3#65#"&amp;100*J13</f>
        <v>3#9#0|3#10#250|3#11#0|3#12#250|3#65#1000</v>
      </c>
      <c r="E72" s="161"/>
    </row>
    <row r="73" spans="1:5" ht="15.75" x14ac:dyDescent="0.3">
      <c r="A73" s="22" t="s">
        <v>2752</v>
      </c>
      <c r="B73" s="22" t="s">
        <v>2753</v>
      </c>
      <c r="C73" s="23" t="s">
        <v>2823</v>
      </c>
      <c r="D73" s="22" t="str">
        <f t="shared" ref="D73:D81" si="18">"3#9#"&amp;0&amp;"|"&amp;"3#10#"&amp;G4&amp;"|"&amp;"3#11#"&amp;0&amp;"|"&amp;"3#12#"&amp;G4&amp;"|"&amp;"3#82#"&amp;100*J4</f>
        <v>3#9#0|3#10#25|3#11#0|3#12#25|3#82#100</v>
      </c>
      <c r="E73" s="161"/>
    </row>
    <row r="74" spans="1:5" ht="15.75" x14ac:dyDescent="0.3">
      <c r="A74" s="22" t="s">
        <v>2752</v>
      </c>
      <c r="B74" s="22" t="s">
        <v>2753</v>
      </c>
      <c r="C74" s="23" t="s">
        <v>2824</v>
      </c>
      <c r="D74" s="22" t="str">
        <f t="shared" si="18"/>
        <v>3#9#0|3#10#50|3#11#0|3#12#50|3#82#200</v>
      </c>
      <c r="E74" s="161"/>
    </row>
    <row r="75" spans="1:5" ht="15.75" x14ac:dyDescent="0.3">
      <c r="A75" s="22" t="s">
        <v>2752</v>
      </c>
      <c r="B75" s="22" t="s">
        <v>2753</v>
      </c>
      <c r="C75" s="23" t="s">
        <v>2825</v>
      </c>
      <c r="D75" s="22" t="str">
        <f t="shared" si="18"/>
        <v>3#9#0|3#10#75|3#11#0|3#12#75|3#82#300</v>
      </c>
      <c r="E75" s="161"/>
    </row>
    <row r="76" spans="1:5" ht="15.75" x14ac:dyDescent="0.3">
      <c r="A76" s="22" t="s">
        <v>2752</v>
      </c>
      <c r="B76" s="22" t="s">
        <v>2753</v>
      </c>
      <c r="C76" s="23" t="s">
        <v>2826</v>
      </c>
      <c r="D76" s="22" t="str">
        <f t="shared" si="18"/>
        <v>3#9#0|3#10#100|3#11#0|3#12#100|3#82#400</v>
      </c>
      <c r="E76" s="161"/>
    </row>
    <row r="77" spans="1:5" ht="15.75" x14ac:dyDescent="0.3">
      <c r="A77" s="22" t="s">
        <v>2752</v>
      </c>
      <c r="B77" s="22" t="s">
        <v>2753</v>
      </c>
      <c r="C77" s="23" t="s">
        <v>2827</v>
      </c>
      <c r="D77" s="22" t="str">
        <f t="shared" si="18"/>
        <v>3#9#0|3#10#125|3#11#0|3#12#125|3#82#500</v>
      </c>
      <c r="E77" s="161"/>
    </row>
    <row r="78" spans="1:5" ht="15.75" x14ac:dyDescent="0.3">
      <c r="A78" s="22" t="s">
        <v>2752</v>
      </c>
      <c r="B78" s="22" t="s">
        <v>2753</v>
      </c>
      <c r="C78" s="23" t="s">
        <v>2828</v>
      </c>
      <c r="D78" s="22" t="str">
        <f t="shared" si="18"/>
        <v>3#9#0|3#10#150|3#11#0|3#12#150|3#82#600</v>
      </c>
      <c r="E78" s="161"/>
    </row>
    <row r="79" spans="1:5" ht="15.75" x14ac:dyDescent="0.3">
      <c r="A79" s="22" t="s">
        <v>2752</v>
      </c>
      <c r="B79" s="22" t="s">
        <v>2753</v>
      </c>
      <c r="C79" s="23" t="s">
        <v>2829</v>
      </c>
      <c r="D79" s="22" t="str">
        <f t="shared" si="18"/>
        <v>3#9#0|3#10#175|3#11#0|3#12#175|3#82#700</v>
      </c>
      <c r="E79" s="161"/>
    </row>
    <row r="80" spans="1:5" ht="15.75" x14ac:dyDescent="0.3">
      <c r="A80" s="22" t="s">
        <v>2752</v>
      </c>
      <c r="B80" s="22" t="s">
        <v>2753</v>
      </c>
      <c r="C80" s="23" t="s">
        <v>2830</v>
      </c>
      <c r="D80" s="22" t="str">
        <f t="shared" si="18"/>
        <v>3#9#0|3#10#200|3#11#0|3#12#200|3#82#800</v>
      </c>
      <c r="E80" s="161"/>
    </row>
    <row r="81" spans="1:5" ht="15.75" x14ac:dyDescent="0.3">
      <c r="A81" s="22" t="s">
        <v>2752</v>
      </c>
      <c r="B81" s="22" t="s">
        <v>2753</v>
      </c>
      <c r="C81" s="23" t="s">
        <v>2831</v>
      </c>
      <c r="D81" s="22" t="str">
        <f t="shared" si="18"/>
        <v>3#9#0|3#10#225|3#11#0|3#12#225|3#82#900</v>
      </c>
      <c r="E81" s="161"/>
    </row>
    <row r="82" spans="1:5" ht="15.75" x14ac:dyDescent="0.3">
      <c r="A82" s="22" t="s">
        <v>2752</v>
      </c>
      <c r="B82" s="22" t="s">
        <v>2753</v>
      </c>
      <c r="C82" s="23" t="s">
        <v>2832</v>
      </c>
      <c r="D82" s="22" t="str">
        <f>"3#9#"&amp;0&amp;"|"&amp;"3#10#"&amp;G13&amp;"|"&amp;"3#11#"&amp;0&amp;"|"&amp;"3#12#"&amp;G13&amp;"|"&amp;"3#82#"&amp;100*J13</f>
        <v>3#9#0|3#10#250|3#11#0|3#12#250|3#82#1000</v>
      </c>
      <c r="E82" s="161"/>
    </row>
    <row r="83" spans="1:5" ht="15.75" x14ac:dyDescent="0.3">
      <c r="A83" s="22" t="s">
        <v>2752</v>
      </c>
      <c r="B83" s="22" t="s">
        <v>2753</v>
      </c>
      <c r="C83" s="23" t="s">
        <v>2833</v>
      </c>
      <c r="D83" s="22" t="str">
        <f t="shared" ref="D83:D91" si="19">"3#9#"&amp;0&amp;"|"&amp;"3#10#"&amp;G4&amp;"|"&amp;"3#11#"&amp;0&amp;"|"&amp;"3#12#"&amp;G4&amp;"|"&amp;"3#29#"&amp;J4</f>
        <v>3#9#0|3#10#25|3#11#0|3#12#25|3#29#1</v>
      </c>
      <c r="E83" s="161"/>
    </row>
    <row r="84" spans="1:5" ht="15.75" x14ac:dyDescent="0.3">
      <c r="A84" s="22" t="s">
        <v>2752</v>
      </c>
      <c r="B84" s="22" t="s">
        <v>2753</v>
      </c>
      <c r="C84" s="23" t="s">
        <v>2834</v>
      </c>
      <c r="D84" s="22" t="str">
        <f t="shared" si="19"/>
        <v>3#9#0|3#10#50|3#11#0|3#12#50|3#29#2</v>
      </c>
      <c r="E84" s="161"/>
    </row>
    <row r="85" spans="1:5" ht="15.75" x14ac:dyDescent="0.3">
      <c r="A85" s="22" t="s">
        <v>2752</v>
      </c>
      <c r="B85" s="22" t="s">
        <v>2753</v>
      </c>
      <c r="C85" s="23" t="s">
        <v>2835</v>
      </c>
      <c r="D85" s="22" t="str">
        <f t="shared" si="19"/>
        <v>3#9#0|3#10#75|3#11#0|3#12#75|3#29#3</v>
      </c>
      <c r="E85" s="161"/>
    </row>
    <row r="86" spans="1:5" ht="15.75" x14ac:dyDescent="0.3">
      <c r="A86" s="22" t="s">
        <v>2752</v>
      </c>
      <c r="B86" s="22" t="s">
        <v>2753</v>
      </c>
      <c r="C86" s="23" t="s">
        <v>2836</v>
      </c>
      <c r="D86" s="22" t="str">
        <f t="shared" si="19"/>
        <v>3#9#0|3#10#100|3#11#0|3#12#100|3#29#4</v>
      </c>
      <c r="E86" s="161"/>
    </row>
    <row r="87" spans="1:5" ht="15.75" x14ac:dyDescent="0.3">
      <c r="A87" s="22" t="s">
        <v>2752</v>
      </c>
      <c r="B87" s="22" t="s">
        <v>2753</v>
      </c>
      <c r="C87" s="23" t="s">
        <v>2837</v>
      </c>
      <c r="D87" s="22" t="str">
        <f t="shared" si="19"/>
        <v>3#9#0|3#10#125|3#11#0|3#12#125|3#29#5</v>
      </c>
      <c r="E87" s="161"/>
    </row>
    <row r="88" spans="1:5" ht="15.75" x14ac:dyDescent="0.3">
      <c r="A88" s="22" t="s">
        <v>2752</v>
      </c>
      <c r="B88" s="22" t="s">
        <v>2753</v>
      </c>
      <c r="C88" s="23" t="s">
        <v>2838</v>
      </c>
      <c r="D88" s="22" t="str">
        <f t="shared" si="19"/>
        <v>3#9#0|3#10#150|3#11#0|3#12#150|3#29#6</v>
      </c>
      <c r="E88" s="161"/>
    </row>
    <row r="89" spans="1:5" ht="15.75" x14ac:dyDescent="0.3">
      <c r="A89" s="22" t="s">
        <v>2752</v>
      </c>
      <c r="B89" s="22" t="s">
        <v>2753</v>
      </c>
      <c r="C89" s="23" t="s">
        <v>2839</v>
      </c>
      <c r="D89" s="22" t="str">
        <f t="shared" si="19"/>
        <v>3#9#0|3#10#175|3#11#0|3#12#175|3#29#7</v>
      </c>
      <c r="E89" s="161"/>
    </row>
    <row r="90" spans="1:5" ht="15.75" x14ac:dyDescent="0.3">
      <c r="A90" s="22" t="s">
        <v>2752</v>
      </c>
      <c r="B90" s="22" t="s">
        <v>2753</v>
      </c>
      <c r="C90" s="23" t="s">
        <v>2840</v>
      </c>
      <c r="D90" s="22" t="str">
        <f t="shared" si="19"/>
        <v>3#9#0|3#10#200|3#11#0|3#12#200|3#29#8</v>
      </c>
      <c r="E90" s="161"/>
    </row>
    <row r="91" spans="1:5" ht="15.75" x14ac:dyDescent="0.3">
      <c r="A91" s="22" t="s">
        <v>2752</v>
      </c>
      <c r="B91" s="22" t="s">
        <v>2753</v>
      </c>
      <c r="C91" s="23" t="s">
        <v>2841</v>
      </c>
      <c r="D91" s="22" t="str">
        <f t="shared" si="19"/>
        <v>3#9#0|3#10#225|3#11#0|3#12#225|3#29#9</v>
      </c>
      <c r="E91" s="161"/>
    </row>
    <row r="92" spans="1:5" ht="15.75" x14ac:dyDescent="0.3">
      <c r="A92" s="22" t="s">
        <v>2752</v>
      </c>
      <c r="B92" s="22" t="s">
        <v>2753</v>
      </c>
      <c r="C92" s="23" t="s">
        <v>2842</v>
      </c>
      <c r="D92" s="22" t="str">
        <f>"3#9#"&amp;0&amp;"|"&amp;"3#10#"&amp;G13&amp;"|"&amp;"3#11#"&amp;0&amp;"|"&amp;"3#12#"&amp;G13&amp;"|"&amp;"3#29#"&amp;J13</f>
        <v>3#9#0|3#10#250|3#11#0|3#12#250|3#29#10</v>
      </c>
      <c r="E92" s="161"/>
    </row>
    <row r="93" spans="1:5" ht="15.75" x14ac:dyDescent="0.3">
      <c r="A93" s="22" t="s">
        <v>2752</v>
      </c>
      <c r="B93" s="22" t="s">
        <v>2753</v>
      </c>
      <c r="C93" s="23" t="s">
        <v>2843</v>
      </c>
      <c r="D93" s="22" t="str">
        <f t="shared" ref="D93:D101" si="20">"3#9#"&amp;0&amp;"|"&amp;"3#10#"&amp;G4&amp;"|"&amp;"3#11#"&amp;0&amp;"|"&amp;"3#12#"&amp;G4&amp;"|"&amp;"3#30#"&amp;J4</f>
        <v>3#9#0|3#10#25|3#11#0|3#12#25|3#30#1</v>
      </c>
      <c r="E93" s="161"/>
    </row>
    <row r="94" spans="1:5" ht="15.75" x14ac:dyDescent="0.3">
      <c r="A94" s="22" t="s">
        <v>2752</v>
      </c>
      <c r="B94" s="22" t="s">
        <v>2753</v>
      </c>
      <c r="C94" s="23" t="s">
        <v>2844</v>
      </c>
      <c r="D94" s="22" t="str">
        <f t="shared" si="20"/>
        <v>3#9#0|3#10#50|3#11#0|3#12#50|3#30#2</v>
      </c>
      <c r="E94" s="161"/>
    </row>
    <row r="95" spans="1:5" ht="15.75" x14ac:dyDescent="0.3">
      <c r="A95" s="22" t="s">
        <v>2752</v>
      </c>
      <c r="B95" s="22" t="s">
        <v>2753</v>
      </c>
      <c r="C95" s="23" t="s">
        <v>2845</v>
      </c>
      <c r="D95" s="22" t="str">
        <f t="shared" si="20"/>
        <v>3#9#0|3#10#75|3#11#0|3#12#75|3#30#3</v>
      </c>
      <c r="E95" s="161"/>
    </row>
    <row r="96" spans="1:5" ht="15.75" x14ac:dyDescent="0.3">
      <c r="A96" s="22" t="s">
        <v>2752</v>
      </c>
      <c r="B96" s="22" t="s">
        <v>2753</v>
      </c>
      <c r="C96" s="23" t="s">
        <v>2846</v>
      </c>
      <c r="D96" s="22" t="str">
        <f t="shared" si="20"/>
        <v>3#9#0|3#10#100|3#11#0|3#12#100|3#30#4</v>
      </c>
      <c r="E96" s="161"/>
    </row>
    <row r="97" spans="1:5" ht="15.75" x14ac:dyDescent="0.3">
      <c r="A97" s="22" t="s">
        <v>2752</v>
      </c>
      <c r="B97" s="22" t="s">
        <v>2753</v>
      </c>
      <c r="C97" s="23" t="s">
        <v>2847</v>
      </c>
      <c r="D97" s="22" t="str">
        <f t="shared" si="20"/>
        <v>3#9#0|3#10#125|3#11#0|3#12#125|3#30#5</v>
      </c>
      <c r="E97" s="161"/>
    </row>
    <row r="98" spans="1:5" ht="15.75" x14ac:dyDescent="0.3">
      <c r="A98" s="22" t="s">
        <v>2752</v>
      </c>
      <c r="B98" s="22" t="s">
        <v>2753</v>
      </c>
      <c r="C98" s="23" t="s">
        <v>2848</v>
      </c>
      <c r="D98" s="22" t="str">
        <f t="shared" si="20"/>
        <v>3#9#0|3#10#150|3#11#0|3#12#150|3#30#6</v>
      </c>
      <c r="E98" s="161"/>
    </row>
    <row r="99" spans="1:5" ht="15.75" x14ac:dyDescent="0.3">
      <c r="A99" s="22" t="s">
        <v>2752</v>
      </c>
      <c r="B99" s="22" t="s">
        <v>2753</v>
      </c>
      <c r="C99" s="23" t="s">
        <v>2849</v>
      </c>
      <c r="D99" s="22" t="str">
        <f t="shared" si="20"/>
        <v>3#9#0|3#10#175|3#11#0|3#12#175|3#30#7</v>
      </c>
      <c r="E99" s="161"/>
    </row>
    <row r="100" spans="1:5" ht="15.75" x14ac:dyDescent="0.3">
      <c r="A100" s="22" t="s">
        <v>2752</v>
      </c>
      <c r="B100" s="22" t="s">
        <v>2753</v>
      </c>
      <c r="C100" s="23" t="s">
        <v>2850</v>
      </c>
      <c r="D100" s="22" t="str">
        <f t="shared" si="20"/>
        <v>3#9#0|3#10#200|3#11#0|3#12#200|3#30#8</v>
      </c>
      <c r="E100" s="161"/>
    </row>
    <row r="101" spans="1:5" ht="15.75" x14ac:dyDescent="0.3">
      <c r="A101" s="22" t="s">
        <v>2752</v>
      </c>
      <c r="B101" s="22" t="s">
        <v>2753</v>
      </c>
      <c r="C101" s="23" t="s">
        <v>2851</v>
      </c>
      <c r="D101" s="22" t="str">
        <f t="shared" si="20"/>
        <v>3#9#0|3#10#225|3#11#0|3#12#225|3#30#9</v>
      </c>
      <c r="E101" s="161"/>
    </row>
    <row r="102" spans="1:5" ht="15.75" x14ac:dyDescent="0.3">
      <c r="A102" s="22" t="s">
        <v>2752</v>
      </c>
      <c r="B102" s="22" t="s">
        <v>2753</v>
      </c>
      <c r="C102" s="23" t="s">
        <v>2852</v>
      </c>
      <c r="D102" s="22" t="str">
        <f>"3#9#"&amp;0&amp;"|"&amp;"3#10#"&amp;G13&amp;"|"&amp;"3#11#"&amp;0&amp;"|"&amp;"3#12#"&amp;G13&amp;"|"&amp;"3#30#"&amp;J13</f>
        <v>3#9#0|3#10#250|3#11#0|3#12#250|3#30#10</v>
      </c>
      <c r="E102" s="161"/>
    </row>
    <row r="103" spans="1:5" ht="15.75" x14ac:dyDescent="0.3">
      <c r="A103" s="22" t="s">
        <v>2752</v>
      </c>
      <c r="B103" s="22" t="s">
        <v>2753</v>
      </c>
      <c r="C103" s="23" t="s">
        <v>2853</v>
      </c>
      <c r="D103" s="22" t="str">
        <f t="shared" ref="D103:D111" si="21">"3#9#"&amp;0&amp;"|"&amp;"3#10#"&amp;G4&amp;"|"&amp;"3#11#"&amp;0&amp;"|"&amp;"3#12#"&amp;G4&amp;"|"&amp;"3#26#"&amp;J4</f>
        <v>3#9#0|3#10#25|3#11#0|3#12#25|3#26#1</v>
      </c>
      <c r="E103" s="161"/>
    </row>
    <row r="104" spans="1:5" ht="15.75" x14ac:dyDescent="0.3">
      <c r="A104" s="22" t="s">
        <v>2752</v>
      </c>
      <c r="B104" s="22" t="s">
        <v>2753</v>
      </c>
      <c r="C104" s="23" t="s">
        <v>2854</v>
      </c>
      <c r="D104" s="22" t="str">
        <f t="shared" si="21"/>
        <v>3#9#0|3#10#50|3#11#0|3#12#50|3#26#2</v>
      </c>
      <c r="E104" s="161"/>
    </row>
    <row r="105" spans="1:5" ht="15.75" x14ac:dyDescent="0.3">
      <c r="A105" s="22" t="s">
        <v>2752</v>
      </c>
      <c r="B105" s="22" t="s">
        <v>2753</v>
      </c>
      <c r="C105" s="23" t="s">
        <v>2855</v>
      </c>
      <c r="D105" s="22" t="str">
        <f t="shared" si="21"/>
        <v>3#9#0|3#10#75|3#11#0|3#12#75|3#26#3</v>
      </c>
      <c r="E105" s="161"/>
    </row>
    <row r="106" spans="1:5" ht="15.75" x14ac:dyDescent="0.3">
      <c r="A106" s="22" t="s">
        <v>2752</v>
      </c>
      <c r="B106" s="22" t="s">
        <v>2753</v>
      </c>
      <c r="C106" s="23" t="s">
        <v>2856</v>
      </c>
      <c r="D106" s="22" t="str">
        <f t="shared" si="21"/>
        <v>3#9#0|3#10#100|3#11#0|3#12#100|3#26#4</v>
      </c>
      <c r="E106" s="161"/>
    </row>
    <row r="107" spans="1:5" ht="15.75" x14ac:dyDescent="0.3">
      <c r="A107" s="22" t="s">
        <v>2752</v>
      </c>
      <c r="B107" s="22" t="s">
        <v>2753</v>
      </c>
      <c r="C107" s="23" t="s">
        <v>2857</v>
      </c>
      <c r="D107" s="22" t="str">
        <f t="shared" si="21"/>
        <v>3#9#0|3#10#125|3#11#0|3#12#125|3#26#5</v>
      </c>
      <c r="E107" s="161"/>
    </row>
    <row r="108" spans="1:5" ht="15.75" x14ac:dyDescent="0.3">
      <c r="A108" s="22" t="s">
        <v>2752</v>
      </c>
      <c r="B108" s="22" t="s">
        <v>2753</v>
      </c>
      <c r="C108" s="23" t="s">
        <v>2858</v>
      </c>
      <c r="D108" s="22" t="str">
        <f t="shared" si="21"/>
        <v>3#9#0|3#10#150|3#11#0|3#12#150|3#26#6</v>
      </c>
      <c r="E108" s="161"/>
    </row>
    <row r="109" spans="1:5" ht="15.75" x14ac:dyDescent="0.3">
      <c r="A109" s="22" t="s">
        <v>2752</v>
      </c>
      <c r="B109" s="22" t="s">
        <v>2753</v>
      </c>
      <c r="C109" s="23" t="s">
        <v>2859</v>
      </c>
      <c r="D109" s="22" t="str">
        <f t="shared" si="21"/>
        <v>3#9#0|3#10#175|3#11#0|3#12#175|3#26#7</v>
      </c>
      <c r="E109" s="161"/>
    </row>
    <row r="110" spans="1:5" ht="15.75" x14ac:dyDescent="0.3">
      <c r="A110" s="22" t="s">
        <v>2752</v>
      </c>
      <c r="B110" s="22" t="s">
        <v>2753</v>
      </c>
      <c r="C110" s="23" t="s">
        <v>2860</v>
      </c>
      <c r="D110" s="22" t="str">
        <f t="shared" si="21"/>
        <v>3#9#0|3#10#200|3#11#0|3#12#200|3#26#8</v>
      </c>
      <c r="E110" s="161"/>
    </row>
    <row r="111" spans="1:5" ht="15.75" x14ac:dyDescent="0.3">
      <c r="A111" s="22" t="s">
        <v>2752</v>
      </c>
      <c r="B111" s="22" t="s">
        <v>2753</v>
      </c>
      <c r="C111" s="23" t="s">
        <v>2861</v>
      </c>
      <c r="D111" s="22" t="str">
        <f t="shared" si="21"/>
        <v>3#9#0|3#10#225|3#11#0|3#12#225|3#26#9</v>
      </c>
      <c r="E111" s="161"/>
    </row>
    <row r="112" spans="1:5" ht="15.75" x14ac:dyDescent="0.3">
      <c r="A112" s="22" t="s">
        <v>2752</v>
      </c>
      <c r="B112" s="22" t="s">
        <v>2753</v>
      </c>
      <c r="C112" s="23" t="s">
        <v>2862</v>
      </c>
      <c r="D112" s="22" t="str">
        <f>"3#9#"&amp;0&amp;"|"&amp;"3#10#"&amp;G13&amp;"|"&amp;"3#11#"&amp;0&amp;"|"&amp;"3#12#"&amp;G13&amp;"|"&amp;"3#26#"&amp;J13</f>
        <v>3#9#0|3#10#250|3#11#0|3#12#250|3#26#10</v>
      </c>
      <c r="E112" s="161"/>
    </row>
    <row r="113" spans="1:5" ht="15.75" x14ac:dyDescent="0.3">
      <c r="A113" s="22" t="s">
        <v>2752</v>
      </c>
      <c r="B113" s="22" t="s">
        <v>2753</v>
      </c>
      <c r="C113" s="23" t="s">
        <v>2863</v>
      </c>
      <c r="D113" s="22" t="str">
        <f t="shared" ref="D113:D121" si="22">"3#9#"&amp;0&amp;"|"&amp;"3#10#"&amp;G4&amp;"|"&amp;"3#11#"&amp;0&amp;"|"&amp;"3#12#"&amp;G4&amp;"|"&amp;"3#27#"&amp;J4</f>
        <v>3#9#0|3#10#25|3#11#0|3#12#25|3#27#1</v>
      </c>
      <c r="E113" s="161"/>
    </row>
    <row r="114" spans="1:5" ht="15.75" x14ac:dyDescent="0.3">
      <c r="A114" s="22" t="s">
        <v>2752</v>
      </c>
      <c r="B114" s="22" t="s">
        <v>2753</v>
      </c>
      <c r="C114" s="23" t="s">
        <v>2864</v>
      </c>
      <c r="D114" s="22" t="str">
        <f t="shared" si="22"/>
        <v>3#9#0|3#10#50|3#11#0|3#12#50|3#27#2</v>
      </c>
      <c r="E114" s="161"/>
    </row>
    <row r="115" spans="1:5" ht="15.75" x14ac:dyDescent="0.3">
      <c r="A115" s="22" t="s">
        <v>2752</v>
      </c>
      <c r="B115" s="22" t="s">
        <v>2753</v>
      </c>
      <c r="C115" s="23" t="s">
        <v>2865</v>
      </c>
      <c r="D115" s="22" t="str">
        <f t="shared" si="22"/>
        <v>3#9#0|3#10#75|3#11#0|3#12#75|3#27#3</v>
      </c>
      <c r="E115" s="161"/>
    </row>
    <row r="116" spans="1:5" ht="15.75" x14ac:dyDescent="0.3">
      <c r="A116" s="22" t="s">
        <v>2752</v>
      </c>
      <c r="B116" s="22" t="s">
        <v>2753</v>
      </c>
      <c r="C116" s="23" t="s">
        <v>2866</v>
      </c>
      <c r="D116" s="22" t="str">
        <f t="shared" si="22"/>
        <v>3#9#0|3#10#100|3#11#0|3#12#100|3#27#4</v>
      </c>
      <c r="E116" s="161"/>
    </row>
    <row r="117" spans="1:5" ht="15.75" x14ac:dyDescent="0.3">
      <c r="A117" s="22" t="s">
        <v>2752</v>
      </c>
      <c r="B117" s="22" t="s">
        <v>2753</v>
      </c>
      <c r="C117" s="23" t="s">
        <v>2867</v>
      </c>
      <c r="D117" s="22" t="str">
        <f t="shared" si="22"/>
        <v>3#9#0|3#10#125|3#11#0|3#12#125|3#27#5</v>
      </c>
      <c r="E117" s="161"/>
    </row>
    <row r="118" spans="1:5" ht="15.75" x14ac:dyDescent="0.3">
      <c r="A118" s="22" t="s">
        <v>2752</v>
      </c>
      <c r="B118" s="22" t="s">
        <v>2753</v>
      </c>
      <c r="C118" s="23" t="s">
        <v>2868</v>
      </c>
      <c r="D118" s="22" t="str">
        <f t="shared" si="22"/>
        <v>3#9#0|3#10#150|3#11#0|3#12#150|3#27#6</v>
      </c>
      <c r="E118" s="161"/>
    </row>
    <row r="119" spans="1:5" ht="15.75" x14ac:dyDescent="0.3">
      <c r="A119" s="22" t="s">
        <v>2752</v>
      </c>
      <c r="B119" s="22" t="s">
        <v>2753</v>
      </c>
      <c r="C119" s="23" t="s">
        <v>2869</v>
      </c>
      <c r="D119" s="22" t="str">
        <f t="shared" si="22"/>
        <v>3#9#0|3#10#175|3#11#0|3#12#175|3#27#7</v>
      </c>
      <c r="E119" s="161"/>
    </row>
    <row r="120" spans="1:5" ht="15.75" x14ac:dyDescent="0.3">
      <c r="A120" s="22" t="s">
        <v>2752</v>
      </c>
      <c r="B120" s="22" t="s">
        <v>2753</v>
      </c>
      <c r="C120" s="23" t="s">
        <v>2870</v>
      </c>
      <c r="D120" s="22" t="str">
        <f t="shared" si="22"/>
        <v>3#9#0|3#10#200|3#11#0|3#12#200|3#27#8</v>
      </c>
      <c r="E120" s="161"/>
    </row>
    <row r="121" spans="1:5" ht="15.75" x14ac:dyDescent="0.3">
      <c r="A121" s="22" t="s">
        <v>2752</v>
      </c>
      <c r="B121" s="22" t="s">
        <v>2753</v>
      </c>
      <c r="C121" s="23" t="s">
        <v>2871</v>
      </c>
      <c r="D121" s="22" t="str">
        <f t="shared" si="22"/>
        <v>3#9#0|3#10#225|3#11#0|3#12#225|3#27#9</v>
      </c>
      <c r="E121" s="161"/>
    </row>
    <row r="122" spans="1:5" ht="15.75" x14ac:dyDescent="0.3">
      <c r="A122" s="22" t="s">
        <v>2752</v>
      </c>
      <c r="B122" s="22" t="s">
        <v>2753</v>
      </c>
      <c r="C122" s="23" t="s">
        <v>2872</v>
      </c>
      <c r="D122" s="22" t="str">
        <f>"3#9#"&amp;0&amp;"|"&amp;"3#10#"&amp;G13&amp;"|"&amp;"3#11#"&amp;0&amp;"|"&amp;"3#12#"&amp;G13&amp;"|"&amp;"3#27#"&amp;J13</f>
        <v>3#9#0|3#10#250|3#11#0|3#12#250|3#27#10</v>
      </c>
      <c r="E122" s="161"/>
    </row>
    <row r="123" spans="1:5" ht="15.75" x14ac:dyDescent="0.3">
      <c r="A123" s="22" t="s">
        <v>2752</v>
      </c>
      <c r="B123" s="22" t="s">
        <v>2873</v>
      </c>
      <c r="C123" s="23" t="s">
        <v>2874</v>
      </c>
      <c r="D123" s="22" t="str">
        <f t="shared" ref="D123:D131" si="23">"0#3#"&amp;0&amp;"|"&amp;"0#4#"&amp;F4&amp;"|"&amp;"1#5#"&amp;0&amp;"|"&amp;"1#6#"&amp;F4&amp;"|"&amp;"2#7#"&amp;0&amp;"|"&amp;"2#8#"&amp;F4&amp;"|"&amp;"3#28#"&amp;J4</f>
        <v>0#3#0|0#4#50|1#5#0|1#6#50|2#7#0|2#8#50|3#28#1</v>
      </c>
      <c r="E123" s="161"/>
    </row>
    <row r="124" spans="1:5" ht="15.75" x14ac:dyDescent="0.3">
      <c r="A124" s="22" t="s">
        <v>2752</v>
      </c>
      <c r="B124" s="22" t="s">
        <v>2873</v>
      </c>
      <c r="C124" s="23" t="s">
        <v>2875</v>
      </c>
      <c r="D124" s="22" t="str">
        <f t="shared" si="23"/>
        <v>0#3#0|0#4#100|1#5#0|1#6#100|2#7#0|2#8#100|3#28#2</v>
      </c>
      <c r="E124" s="161"/>
    </row>
    <row r="125" spans="1:5" ht="15.75" x14ac:dyDescent="0.3">
      <c r="A125" s="22" t="s">
        <v>2752</v>
      </c>
      <c r="B125" s="22" t="s">
        <v>2873</v>
      </c>
      <c r="C125" s="23" t="s">
        <v>2876</v>
      </c>
      <c r="D125" s="22" t="str">
        <f t="shared" si="23"/>
        <v>0#3#0|0#4#150|1#5#0|1#6#150|2#7#0|2#8#150|3#28#3</v>
      </c>
      <c r="E125" s="161"/>
    </row>
    <row r="126" spans="1:5" ht="15.75" x14ac:dyDescent="0.3">
      <c r="A126" s="22" t="s">
        <v>2752</v>
      </c>
      <c r="B126" s="22" t="s">
        <v>2873</v>
      </c>
      <c r="C126" s="23" t="s">
        <v>2877</v>
      </c>
      <c r="D126" s="22" t="str">
        <f t="shared" si="23"/>
        <v>0#3#0|0#4#200|1#5#0|1#6#200|2#7#0|2#8#200|3#28#4</v>
      </c>
      <c r="E126" s="161"/>
    </row>
    <row r="127" spans="1:5" ht="15.75" x14ac:dyDescent="0.3">
      <c r="A127" s="22" t="s">
        <v>2752</v>
      </c>
      <c r="B127" s="22" t="s">
        <v>2873</v>
      </c>
      <c r="C127" s="23" t="s">
        <v>2878</v>
      </c>
      <c r="D127" s="22" t="str">
        <f t="shared" si="23"/>
        <v>0#3#0|0#4#250|1#5#0|1#6#250|2#7#0|2#8#250|3#28#5</v>
      </c>
      <c r="E127" s="161"/>
    </row>
    <row r="128" spans="1:5" ht="15.75" x14ac:dyDescent="0.3">
      <c r="A128" s="22" t="s">
        <v>2752</v>
      </c>
      <c r="B128" s="22" t="s">
        <v>2873</v>
      </c>
      <c r="C128" s="23" t="s">
        <v>2879</v>
      </c>
      <c r="D128" s="22" t="str">
        <f t="shared" si="23"/>
        <v>0#3#0|0#4#300|1#5#0|1#6#300|2#7#0|2#8#300|3#28#6</v>
      </c>
      <c r="E128" s="161"/>
    </row>
    <row r="129" spans="1:5" ht="15.75" x14ac:dyDescent="0.3">
      <c r="A129" s="22" t="s">
        <v>2752</v>
      </c>
      <c r="B129" s="22" t="s">
        <v>2873</v>
      </c>
      <c r="C129" s="23" t="s">
        <v>2880</v>
      </c>
      <c r="D129" s="22" t="str">
        <f t="shared" si="23"/>
        <v>0#3#0|0#4#350|1#5#0|1#6#350|2#7#0|2#8#350|3#28#7</v>
      </c>
      <c r="E129" s="161"/>
    </row>
    <row r="130" spans="1:5" ht="15.75" x14ac:dyDescent="0.3">
      <c r="A130" s="22" t="s">
        <v>2752</v>
      </c>
      <c r="B130" s="22" t="s">
        <v>2873</v>
      </c>
      <c r="C130" s="23" t="s">
        <v>2881</v>
      </c>
      <c r="D130" s="22" t="str">
        <f t="shared" si="23"/>
        <v>0#3#0|0#4#400|1#5#0|1#6#400|2#7#0|2#8#400|3#28#8</v>
      </c>
      <c r="E130" s="161"/>
    </row>
    <row r="131" spans="1:5" ht="15.75" x14ac:dyDescent="0.3">
      <c r="A131" s="22" t="s">
        <v>2752</v>
      </c>
      <c r="B131" s="22" t="s">
        <v>2873</v>
      </c>
      <c r="C131" s="23" t="s">
        <v>2882</v>
      </c>
      <c r="D131" s="22" t="str">
        <f t="shared" si="23"/>
        <v>0#3#0|0#4#450|1#5#0|1#6#450|2#7#0|2#8#450|3#28#9</v>
      </c>
      <c r="E131" s="161"/>
    </row>
    <row r="132" spans="1:5" ht="15.75" x14ac:dyDescent="0.3">
      <c r="A132" s="22" t="s">
        <v>2752</v>
      </c>
      <c r="B132" s="22" t="s">
        <v>2873</v>
      </c>
      <c r="C132" s="23" t="s">
        <v>2883</v>
      </c>
      <c r="D132" s="22" t="str">
        <f>"0#3#"&amp;0&amp;"|"&amp;"0#4#"&amp;F13&amp;"|"&amp;"1#5#"&amp;0&amp;"|"&amp;"1#6#"&amp;F13&amp;"|"&amp;"2#7#"&amp;0&amp;"|"&amp;"2#8#"&amp;F13&amp;"|"&amp;"3#28#"&amp;J13</f>
        <v>0#3#0|0#4#500|1#5#0|1#6#500|2#7#0|2#8#500|3#28#10</v>
      </c>
      <c r="E132" s="161"/>
    </row>
    <row r="133" spans="1:5" ht="15.75" x14ac:dyDescent="0.3">
      <c r="A133" s="22" t="s">
        <v>2752</v>
      </c>
      <c r="B133" s="22" t="s">
        <v>2873</v>
      </c>
      <c r="C133" s="23" t="s">
        <v>2884</v>
      </c>
      <c r="D133" s="22" t="str">
        <f t="shared" ref="D133:D141" si="24">"0#3#"&amp;0&amp;"|"&amp;"0#4#"&amp;F4&amp;"|"&amp;"1#5#"&amp;0&amp;"|"&amp;"1#6#"&amp;F4&amp;"|"&amp;"2#7#"&amp;0&amp;"|"&amp;"2#8#"&amp;F4&amp;"|"&amp;"3#21#"&amp;J4</f>
        <v>0#3#0|0#4#50|1#5#0|1#6#50|2#7#0|2#8#50|3#21#1</v>
      </c>
      <c r="E133" s="161"/>
    </row>
    <row r="134" spans="1:5" ht="15.75" x14ac:dyDescent="0.3">
      <c r="A134" s="22" t="s">
        <v>2752</v>
      </c>
      <c r="B134" s="22" t="s">
        <v>2873</v>
      </c>
      <c r="C134" s="23" t="s">
        <v>2885</v>
      </c>
      <c r="D134" s="22" t="str">
        <f t="shared" si="24"/>
        <v>0#3#0|0#4#100|1#5#0|1#6#100|2#7#0|2#8#100|3#21#2</v>
      </c>
      <c r="E134" s="161"/>
    </row>
    <row r="135" spans="1:5" ht="15.75" x14ac:dyDescent="0.3">
      <c r="A135" s="22" t="s">
        <v>2752</v>
      </c>
      <c r="B135" s="22" t="s">
        <v>2873</v>
      </c>
      <c r="C135" s="23" t="s">
        <v>2886</v>
      </c>
      <c r="D135" s="22" t="str">
        <f t="shared" si="24"/>
        <v>0#3#0|0#4#150|1#5#0|1#6#150|2#7#0|2#8#150|3#21#3</v>
      </c>
      <c r="E135" s="161"/>
    </row>
    <row r="136" spans="1:5" ht="15.75" x14ac:dyDescent="0.3">
      <c r="A136" s="22" t="s">
        <v>2752</v>
      </c>
      <c r="B136" s="22" t="s">
        <v>2873</v>
      </c>
      <c r="C136" s="23" t="s">
        <v>2887</v>
      </c>
      <c r="D136" s="22" t="str">
        <f t="shared" si="24"/>
        <v>0#3#0|0#4#200|1#5#0|1#6#200|2#7#0|2#8#200|3#21#4</v>
      </c>
      <c r="E136" s="161"/>
    </row>
    <row r="137" spans="1:5" ht="15.75" x14ac:dyDescent="0.3">
      <c r="A137" s="22" t="s">
        <v>2752</v>
      </c>
      <c r="B137" s="22" t="s">
        <v>2873</v>
      </c>
      <c r="C137" s="23" t="s">
        <v>2888</v>
      </c>
      <c r="D137" s="22" t="str">
        <f t="shared" si="24"/>
        <v>0#3#0|0#4#250|1#5#0|1#6#250|2#7#0|2#8#250|3#21#5</v>
      </c>
      <c r="E137" s="161"/>
    </row>
    <row r="138" spans="1:5" ht="15.75" x14ac:dyDescent="0.3">
      <c r="A138" s="22" t="s">
        <v>2752</v>
      </c>
      <c r="B138" s="22" t="s">
        <v>2873</v>
      </c>
      <c r="C138" s="23" t="s">
        <v>2889</v>
      </c>
      <c r="D138" s="22" t="str">
        <f t="shared" si="24"/>
        <v>0#3#0|0#4#300|1#5#0|1#6#300|2#7#0|2#8#300|3#21#6</v>
      </c>
      <c r="E138" s="161"/>
    </row>
    <row r="139" spans="1:5" ht="15.75" x14ac:dyDescent="0.3">
      <c r="A139" s="22" t="s">
        <v>2752</v>
      </c>
      <c r="B139" s="22" t="s">
        <v>2873</v>
      </c>
      <c r="C139" s="23" t="s">
        <v>2890</v>
      </c>
      <c r="D139" s="22" t="str">
        <f t="shared" si="24"/>
        <v>0#3#0|0#4#350|1#5#0|1#6#350|2#7#0|2#8#350|3#21#7</v>
      </c>
      <c r="E139" s="161"/>
    </row>
    <row r="140" spans="1:5" ht="15.75" x14ac:dyDescent="0.3">
      <c r="A140" s="22" t="s">
        <v>2752</v>
      </c>
      <c r="B140" s="22" t="s">
        <v>2873</v>
      </c>
      <c r="C140" s="23" t="s">
        <v>2891</v>
      </c>
      <c r="D140" s="22" t="str">
        <f t="shared" si="24"/>
        <v>0#3#0|0#4#400|1#5#0|1#6#400|2#7#0|2#8#400|3#21#8</v>
      </c>
      <c r="E140" s="161"/>
    </row>
    <row r="141" spans="1:5" ht="15.75" x14ac:dyDescent="0.3">
      <c r="A141" s="22" t="s">
        <v>2752</v>
      </c>
      <c r="B141" s="22" t="s">
        <v>2873</v>
      </c>
      <c r="C141" s="23" t="s">
        <v>2892</v>
      </c>
      <c r="D141" s="22" t="str">
        <f t="shared" si="24"/>
        <v>0#3#0|0#4#450|1#5#0|1#6#450|2#7#0|2#8#450|3#21#9</v>
      </c>
      <c r="E141" s="161"/>
    </row>
    <row r="142" spans="1:5" ht="15.75" x14ac:dyDescent="0.3">
      <c r="A142" s="22" t="s">
        <v>2752</v>
      </c>
      <c r="B142" s="22" t="s">
        <v>2873</v>
      </c>
      <c r="C142" s="23" t="s">
        <v>2893</v>
      </c>
      <c r="D142" s="22" t="str">
        <f>"0#3#"&amp;0&amp;"|"&amp;"0#4#"&amp;F13&amp;"|"&amp;"1#5#"&amp;0&amp;"|"&amp;"1#6#"&amp;F13&amp;"|"&amp;"2#7#"&amp;0&amp;"|"&amp;"2#8#"&amp;F13&amp;"|"&amp;"3#21#"&amp;J13</f>
        <v>0#3#0|0#4#500|1#5#0|1#6#500|2#7#0|2#8#500|3#21#10</v>
      </c>
      <c r="E142" s="161"/>
    </row>
    <row r="143" spans="1:5" ht="15.75" x14ac:dyDescent="0.3">
      <c r="A143" s="22" t="s">
        <v>2752</v>
      </c>
      <c r="B143" s="22" t="s">
        <v>2873</v>
      </c>
      <c r="C143" s="23" t="s">
        <v>2894</v>
      </c>
      <c r="D143" s="22" t="str">
        <f t="shared" ref="D143:D151" si="25">"0#3#"&amp;0&amp;"|"&amp;"0#4#"&amp;F4&amp;"|"&amp;"1#5#"&amp;0&amp;"|"&amp;"1#6#"&amp;F4&amp;"|"&amp;"2#7#"&amp;0&amp;"|"&amp;"2#8#"&amp;F4&amp;"|"&amp;"3#31#"&amp;J4</f>
        <v>0#3#0|0#4#50|1#5#0|1#6#50|2#7#0|2#8#50|3#31#1</v>
      </c>
      <c r="E143" s="161"/>
    </row>
    <row r="144" spans="1:5" ht="15.75" x14ac:dyDescent="0.3">
      <c r="A144" s="22" t="s">
        <v>2752</v>
      </c>
      <c r="B144" s="22" t="s">
        <v>2873</v>
      </c>
      <c r="C144" s="23" t="s">
        <v>2895</v>
      </c>
      <c r="D144" s="22" t="str">
        <f t="shared" si="25"/>
        <v>0#3#0|0#4#100|1#5#0|1#6#100|2#7#0|2#8#100|3#31#2</v>
      </c>
      <c r="E144" s="161"/>
    </row>
    <row r="145" spans="1:5" ht="15.75" x14ac:dyDescent="0.3">
      <c r="A145" s="22" t="s">
        <v>2752</v>
      </c>
      <c r="B145" s="22" t="s">
        <v>2873</v>
      </c>
      <c r="C145" s="23" t="s">
        <v>2896</v>
      </c>
      <c r="D145" s="22" t="str">
        <f t="shared" si="25"/>
        <v>0#3#0|0#4#150|1#5#0|1#6#150|2#7#0|2#8#150|3#31#3</v>
      </c>
      <c r="E145" s="161"/>
    </row>
    <row r="146" spans="1:5" ht="15.75" x14ac:dyDescent="0.3">
      <c r="A146" s="22" t="s">
        <v>2752</v>
      </c>
      <c r="B146" s="22" t="s">
        <v>2873</v>
      </c>
      <c r="C146" s="23" t="s">
        <v>2897</v>
      </c>
      <c r="D146" s="22" t="str">
        <f t="shared" si="25"/>
        <v>0#3#0|0#4#200|1#5#0|1#6#200|2#7#0|2#8#200|3#31#4</v>
      </c>
      <c r="E146" s="161"/>
    </row>
    <row r="147" spans="1:5" ht="15.75" x14ac:dyDescent="0.3">
      <c r="A147" s="22" t="s">
        <v>2752</v>
      </c>
      <c r="B147" s="22" t="s">
        <v>2873</v>
      </c>
      <c r="C147" s="23" t="s">
        <v>2898</v>
      </c>
      <c r="D147" s="22" t="str">
        <f t="shared" si="25"/>
        <v>0#3#0|0#4#250|1#5#0|1#6#250|2#7#0|2#8#250|3#31#5</v>
      </c>
      <c r="E147" s="161"/>
    </row>
    <row r="148" spans="1:5" ht="15.75" x14ac:dyDescent="0.3">
      <c r="A148" s="22" t="s">
        <v>2752</v>
      </c>
      <c r="B148" s="22" t="s">
        <v>2873</v>
      </c>
      <c r="C148" s="23" t="s">
        <v>2899</v>
      </c>
      <c r="D148" s="22" t="str">
        <f t="shared" si="25"/>
        <v>0#3#0|0#4#300|1#5#0|1#6#300|2#7#0|2#8#300|3#31#6</v>
      </c>
      <c r="E148" s="161"/>
    </row>
    <row r="149" spans="1:5" ht="15.75" x14ac:dyDescent="0.3">
      <c r="A149" s="22" t="s">
        <v>2752</v>
      </c>
      <c r="B149" s="22" t="s">
        <v>2873</v>
      </c>
      <c r="C149" s="23" t="s">
        <v>2900</v>
      </c>
      <c r="D149" s="22" t="str">
        <f t="shared" si="25"/>
        <v>0#3#0|0#4#350|1#5#0|1#6#350|2#7#0|2#8#350|3#31#7</v>
      </c>
      <c r="E149" s="161"/>
    </row>
    <row r="150" spans="1:5" ht="15.75" x14ac:dyDescent="0.3">
      <c r="A150" s="22" t="s">
        <v>2752</v>
      </c>
      <c r="B150" s="22" t="s">
        <v>2873</v>
      </c>
      <c r="C150" s="23" t="s">
        <v>2901</v>
      </c>
      <c r="D150" s="22" t="str">
        <f t="shared" si="25"/>
        <v>0#3#0|0#4#400|1#5#0|1#6#400|2#7#0|2#8#400|3#31#8</v>
      </c>
      <c r="E150" s="161"/>
    </row>
    <row r="151" spans="1:5" ht="15.75" x14ac:dyDescent="0.3">
      <c r="A151" s="22" t="s">
        <v>2752</v>
      </c>
      <c r="B151" s="22" t="s">
        <v>2873</v>
      </c>
      <c r="C151" s="23" t="s">
        <v>2902</v>
      </c>
      <c r="D151" s="22" t="str">
        <f t="shared" si="25"/>
        <v>0#3#0|0#4#450|1#5#0|1#6#450|2#7#0|2#8#450|3#31#9</v>
      </c>
      <c r="E151" s="161"/>
    </row>
    <row r="152" spans="1:5" ht="15.75" x14ac:dyDescent="0.3">
      <c r="A152" s="22" t="s">
        <v>2752</v>
      </c>
      <c r="B152" s="22" t="s">
        <v>2873</v>
      </c>
      <c r="C152" s="23" t="s">
        <v>2903</v>
      </c>
      <c r="D152" s="22" t="str">
        <f>"0#3#"&amp;0&amp;"|"&amp;"0#4#"&amp;F13&amp;"|"&amp;"1#5#"&amp;0&amp;"|"&amp;"1#6#"&amp;F13&amp;"|"&amp;"2#7#"&amp;0&amp;"|"&amp;"2#8#"&amp;F13&amp;"|"&amp;"3#31#"&amp;J13</f>
        <v>0#3#0|0#4#500|1#5#0|1#6#500|2#7#0|2#8#500|3#31#10</v>
      </c>
      <c r="E152" s="161"/>
    </row>
    <row r="153" spans="1:5" ht="15.75" x14ac:dyDescent="0.3">
      <c r="A153" s="22" t="s">
        <v>2752</v>
      </c>
      <c r="B153" s="22" t="s">
        <v>2873</v>
      </c>
      <c r="C153" s="23" t="s">
        <v>2904</v>
      </c>
      <c r="D153" s="22" t="str">
        <f t="shared" ref="D153:D161" si="26">"0#3#"&amp;0&amp;"|"&amp;"0#4#"&amp;F4&amp;"|"&amp;"1#5#"&amp;0&amp;"|"&amp;"1#6#"&amp;F4&amp;"|"&amp;"2#7#"&amp;0&amp;"|"&amp;"2#8#"&amp;F4&amp;"|"&amp;"3#25#"&amp;J4</f>
        <v>0#3#0|0#4#50|1#5#0|1#6#50|2#7#0|2#8#50|3#25#1</v>
      </c>
      <c r="E153" s="161"/>
    </row>
    <row r="154" spans="1:5" ht="15.75" x14ac:dyDescent="0.3">
      <c r="A154" s="22" t="s">
        <v>2752</v>
      </c>
      <c r="B154" s="22" t="s">
        <v>2873</v>
      </c>
      <c r="C154" s="23" t="s">
        <v>2905</v>
      </c>
      <c r="D154" s="22" t="str">
        <f t="shared" si="26"/>
        <v>0#3#0|0#4#100|1#5#0|1#6#100|2#7#0|2#8#100|3#25#2</v>
      </c>
      <c r="E154" s="161"/>
    </row>
    <row r="155" spans="1:5" ht="15.75" x14ac:dyDescent="0.3">
      <c r="A155" s="22" t="s">
        <v>2752</v>
      </c>
      <c r="B155" s="22" t="s">
        <v>2873</v>
      </c>
      <c r="C155" s="23" t="s">
        <v>2906</v>
      </c>
      <c r="D155" s="22" t="str">
        <f t="shared" si="26"/>
        <v>0#3#0|0#4#150|1#5#0|1#6#150|2#7#0|2#8#150|3#25#3</v>
      </c>
      <c r="E155" s="161"/>
    </row>
    <row r="156" spans="1:5" ht="15.75" x14ac:dyDescent="0.3">
      <c r="A156" s="22" t="s">
        <v>2752</v>
      </c>
      <c r="B156" s="22" t="s">
        <v>2873</v>
      </c>
      <c r="C156" s="23" t="s">
        <v>2907</v>
      </c>
      <c r="D156" s="22" t="str">
        <f t="shared" si="26"/>
        <v>0#3#0|0#4#200|1#5#0|1#6#200|2#7#0|2#8#200|3#25#4</v>
      </c>
      <c r="E156" s="161"/>
    </row>
    <row r="157" spans="1:5" ht="15.75" x14ac:dyDescent="0.3">
      <c r="A157" s="22" t="s">
        <v>2752</v>
      </c>
      <c r="B157" s="22" t="s">
        <v>2873</v>
      </c>
      <c r="C157" s="23" t="s">
        <v>2908</v>
      </c>
      <c r="D157" s="22" t="str">
        <f t="shared" si="26"/>
        <v>0#3#0|0#4#250|1#5#0|1#6#250|2#7#0|2#8#250|3#25#5</v>
      </c>
      <c r="E157" s="161"/>
    </row>
    <row r="158" spans="1:5" ht="15.75" x14ac:dyDescent="0.3">
      <c r="A158" s="22" t="s">
        <v>2752</v>
      </c>
      <c r="B158" s="22" t="s">
        <v>2873</v>
      </c>
      <c r="C158" s="23" t="s">
        <v>2909</v>
      </c>
      <c r="D158" s="22" t="str">
        <f t="shared" si="26"/>
        <v>0#3#0|0#4#300|1#5#0|1#6#300|2#7#0|2#8#300|3#25#6</v>
      </c>
      <c r="E158" s="161"/>
    </row>
    <row r="159" spans="1:5" ht="15.75" x14ac:dyDescent="0.3">
      <c r="A159" s="22" t="s">
        <v>2752</v>
      </c>
      <c r="B159" s="22" t="s">
        <v>2873</v>
      </c>
      <c r="C159" s="23" t="s">
        <v>2910</v>
      </c>
      <c r="D159" s="22" t="str">
        <f t="shared" si="26"/>
        <v>0#3#0|0#4#350|1#5#0|1#6#350|2#7#0|2#8#350|3#25#7</v>
      </c>
      <c r="E159" s="161"/>
    </row>
    <row r="160" spans="1:5" ht="15.75" x14ac:dyDescent="0.3">
      <c r="A160" s="22" t="s">
        <v>2752</v>
      </c>
      <c r="B160" s="22" t="s">
        <v>2873</v>
      </c>
      <c r="C160" s="23" t="s">
        <v>2911</v>
      </c>
      <c r="D160" s="22" t="str">
        <f t="shared" si="26"/>
        <v>0#3#0|0#4#400|1#5#0|1#6#400|2#7#0|2#8#400|3#25#8</v>
      </c>
      <c r="E160" s="161"/>
    </row>
    <row r="161" spans="1:5" ht="15.75" x14ac:dyDescent="0.3">
      <c r="A161" s="22" t="s">
        <v>2752</v>
      </c>
      <c r="B161" s="22" t="s">
        <v>2873</v>
      </c>
      <c r="C161" s="23" t="s">
        <v>2912</v>
      </c>
      <c r="D161" s="22" t="str">
        <f t="shared" si="26"/>
        <v>0#3#0|0#4#450|1#5#0|1#6#450|2#7#0|2#8#450|3#25#9</v>
      </c>
      <c r="E161" s="161"/>
    </row>
    <row r="162" spans="1:5" ht="15.75" x14ac:dyDescent="0.3">
      <c r="A162" s="22" t="s">
        <v>2752</v>
      </c>
      <c r="B162" s="22" t="s">
        <v>2873</v>
      </c>
      <c r="C162" s="23" t="s">
        <v>2913</v>
      </c>
      <c r="D162" s="22" t="str">
        <f>"0#3#"&amp;0&amp;"|"&amp;"0#4#"&amp;F13&amp;"|"&amp;"1#5#"&amp;0&amp;"|"&amp;"1#6#"&amp;F13&amp;"|"&amp;"2#7#"&amp;0&amp;"|"&amp;"2#8#"&amp;F13&amp;"|"&amp;"3#25#"&amp;J13</f>
        <v>0#3#0|0#4#500|1#5#0|1#6#500|2#7#0|2#8#500|3#25#10</v>
      </c>
      <c r="E162" s="161"/>
    </row>
    <row r="163" spans="1:5" ht="15.75" x14ac:dyDescent="0.3">
      <c r="A163" s="22" t="s">
        <v>2752</v>
      </c>
      <c r="B163" s="22" t="s">
        <v>2873</v>
      </c>
      <c r="C163" s="23" t="s">
        <v>2914</v>
      </c>
      <c r="D163" s="22" t="str">
        <f t="shared" ref="D163:D171" si="27">"0#3#"&amp;0&amp;"|"&amp;"0#4#"&amp;F4&amp;"|"&amp;"1#5#"&amp;0&amp;"|"&amp;"1#6#"&amp;F4&amp;"|"&amp;"2#7#"&amp;0&amp;"|"&amp;"2#8#"&amp;F4&amp;"|"&amp;"3#34#"&amp;100*J4</f>
        <v>0#3#0|0#4#50|1#5#0|1#6#50|2#7#0|2#8#50|3#34#100</v>
      </c>
      <c r="E163" s="161"/>
    </row>
    <row r="164" spans="1:5" ht="15.75" x14ac:dyDescent="0.3">
      <c r="A164" s="22" t="s">
        <v>2752</v>
      </c>
      <c r="B164" s="22" t="s">
        <v>2873</v>
      </c>
      <c r="C164" s="23" t="s">
        <v>2915</v>
      </c>
      <c r="D164" s="22" t="str">
        <f t="shared" si="27"/>
        <v>0#3#0|0#4#100|1#5#0|1#6#100|2#7#0|2#8#100|3#34#200</v>
      </c>
      <c r="E164" s="161"/>
    </row>
    <row r="165" spans="1:5" ht="15.75" x14ac:dyDescent="0.3">
      <c r="A165" s="22" t="s">
        <v>2752</v>
      </c>
      <c r="B165" s="22" t="s">
        <v>2873</v>
      </c>
      <c r="C165" s="23" t="s">
        <v>2916</v>
      </c>
      <c r="D165" s="22" t="str">
        <f t="shared" si="27"/>
        <v>0#3#0|0#4#150|1#5#0|1#6#150|2#7#0|2#8#150|3#34#300</v>
      </c>
      <c r="E165" s="161"/>
    </row>
    <row r="166" spans="1:5" ht="15.75" x14ac:dyDescent="0.3">
      <c r="A166" s="22" t="s">
        <v>2752</v>
      </c>
      <c r="B166" s="22" t="s">
        <v>2873</v>
      </c>
      <c r="C166" s="23" t="s">
        <v>2917</v>
      </c>
      <c r="D166" s="22" t="str">
        <f t="shared" si="27"/>
        <v>0#3#0|0#4#200|1#5#0|1#6#200|2#7#0|2#8#200|3#34#400</v>
      </c>
      <c r="E166" s="161"/>
    </row>
    <row r="167" spans="1:5" ht="15.75" x14ac:dyDescent="0.3">
      <c r="A167" s="22" t="s">
        <v>2752</v>
      </c>
      <c r="B167" s="22" t="s">
        <v>2873</v>
      </c>
      <c r="C167" s="23" t="s">
        <v>2918</v>
      </c>
      <c r="D167" s="22" t="str">
        <f t="shared" si="27"/>
        <v>0#3#0|0#4#250|1#5#0|1#6#250|2#7#0|2#8#250|3#34#500</v>
      </c>
      <c r="E167" s="161"/>
    </row>
    <row r="168" spans="1:5" ht="15.75" x14ac:dyDescent="0.3">
      <c r="A168" s="22" t="s">
        <v>2752</v>
      </c>
      <c r="B168" s="22" t="s">
        <v>2873</v>
      </c>
      <c r="C168" s="23" t="s">
        <v>2919</v>
      </c>
      <c r="D168" s="22" t="str">
        <f t="shared" si="27"/>
        <v>0#3#0|0#4#300|1#5#0|1#6#300|2#7#0|2#8#300|3#34#600</v>
      </c>
      <c r="E168" s="161"/>
    </row>
    <row r="169" spans="1:5" ht="15.75" x14ac:dyDescent="0.3">
      <c r="A169" s="22" t="s">
        <v>2752</v>
      </c>
      <c r="B169" s="22" t="s">
        <v>2873</v>
      </c>
      <c r="C169" s="23" t="s">
        <v>2920</v>
      </c>
      <c r="D169" s="22" t="str">
        <f t="shared" si="27"/>
        <v>0#3#0|0#4#350|1#5#0|1#6#350|2#7#0|2#8#350|3#34#700</v>
      </c>
      <c r="E169" s="161"/>
    </row>
    <row r="170" spans="1:5" ht="15.75" x14ac:dyDescent="0.3">
      <c r="A170" s="22" t="s">
        <v>2752</v>
      </c>
      <c r="B170" s="22" t="s">
        <v>2873</v>
      </c>
      <c r="C170" s="23" t="s">
        <v>2921</v>
      </c>
      <c r="D170" s="22" t="str">
        <f t="shared" si="27"/>
        <v>0#3#0|0#4#400|1#5#0|1#6#400|2#7#0|2#8#400|3#34#800</v>
      </c>
      <c r="E170" s="161"/>
    </row>
    <row r="171" spans="1:5" ht="15.75" x14ac:dyDescent="0.3">
      <c r="A171" s="22" t="s">
        <v>2752</v>
      </c>
      <c r="B171" s="22" t="s">
        <v>2873</v>
      </c>
      <c r="C171" s="23" t="s">
        <v>2922</v>
      </c>
      <c r="D171" s="22" t="str">
        <f t="shared" si="27"/>
        <v>0#3#0|0#4#450|1#5#0|1#6#450|2#7#0|2#8#450|3#34#900</v>
      </c>
      <c r="E171" s="161"/>
    </row>
    <row r="172" spans="1:5" ht="15.75" x14ac:dyDescent="0.3">
      <c r="A172" s="22" t="s">
        <v>2752</v>
      </c>
      <c r="B172" s="22" t="s">
        <v>2873</v>
      </c>
      <c r="C172" s="23" t="s">
        <v>2923</v>
      </c>
      <c r="D172" s="22" t="str">
        <f>"0#3#"&amp;0&amp;"|"&amp;"0#4#"&amp;F13&amp;"|"&amp;"1#5#"&amp;0&amp;"|"&amp;"1#6#"&amp;F13&amp;"|"&amp;"2#7#"&amp;0&amp;"|"&amp;"2#8#"&amp;F13&amp;"|"&amp;"3#34#"&amp;100*J13</f>
        <v>0#3#0|0#4#500|1#5#0|1#6#500|2#7#0|2#8#500|3#34#1000</v>
      </c>
      <c r="E172" s="161"/>
    </row>
    <row r="173" spans="1:5" ht="15.75" x14ac:dyDescent="0.3">
      <c r="A173" s="22" t="s">
        <v>2752</v>
      </c>
      <c r="B173" s="22" t="s">
        <v>2873</v>
      </c>
      <c r="C173" s="23" t="s">
        <v>2924</v>
      </c>
      <c r="D173" s="22" t="str">
        <f t="shared" ref="D173:D181" si="28">"0#3#"&amp;0&amp;"|"&amp;"0#4#"&amp;F4&amp;"|"&amp;"1#5#"&amp;0&amp;"|"&amp;"1#6#"&amp;F4&amp;"|"&amp;"2#7#"&amp;0&amp;"|"&amp;"2#8#"&amp;F4&amp;"|"&amp;"3#40#"&amp;100*J4</f>
        <v>0#3#0|0#4#50|1#5#0|1#6#50|2#7#0|2#8#50|3#40#100</v>
      </c>
      <c r="E173" s="161"/>
    </row>
    <row r="174" spans="1:5" ht="15.75" x14ac:dyDescent="0.3">
      <c r="A174" s="22" t="s">
        <v>2752</v>
      </c>
      <c r="B174" s="22" t="s">
        <v>2873</v>
      </c>
      <c r="C174" s="23" t="s">
        <v>2925</v>
      </c>
      <c r="D174" s="22" t="str">
        <f t="shared" si="28"/>
        <v>0#3#0|0#4#100|1#5#0|1#6#100|2#7#0|2#8#100|3#40#200</v>
      </c>
      <c r="E174" s="161"/>
    </row>
    <row r="175" spans="1:5" ht="15.75" x14ac:dyDescent="0.3">
      <c r="A175" s="22" t="s">
        <v>2752</v>
      </c>
      <c r="B175" s="22" t="s">
        <v>2873</v>
      </c>
      <c r="C175" s="23" t="s">
        <v>2926</v>
      </c>
      <c r="D175" s="22" t="str">
        <f t="shared" si="28"/>
        <v>0#3#0|0#4#150|1#5#0|1#6#150|2#7#0|2#8#150|3#40#300</v>
      </c>
      <c r="E175" s="161"/>
    </row>
    <row r="176" spans="1:5" ht="15.75" x14ac:dyDescent="0.3">
      <c r="A176" s="22" t="s">
        <v>2752</v>
      </c>
      <c r="B176" s="22" t="s">
        <v>2873</v>
      </c>
      <c r="C176" s="23" t="s">
        <v>2927</v>
      </c>
      <c r="D176" s="22" t="str">
        <f t="shared" si="28"/>
        <v>0#3#0|0#4#200|1#5#0|1#6#200|2#7#0|2#8#200|3#40#400</v>
      </c>
      <c r="E176" s="161"/>
    </row>
    <row r="177" spans="1:5" ht="15.75" x14ac:dyDescent="0.3">
      <c r="A177" s="22" t="s">
        <v>2752</v>
      </c>
      <c r="B177" s="22" t="s">
        <v>2873</v>
      </c>
      <c r="C177" s="23" t="s">
        <v>2928</v>
      </c>
      <c r="D177" s="22" t="str">
        <f t="shared" si="28"/>
        <v>0#3#0|0#4#250|1#5#0|1#6#250|2#7#0|2#8#250|3#40#500</v>
      </c>
      <c r="E177" s="161"/>
    </row>
    <row r="178" spans="1:5" ht="15.75" x14ac:dyDescent="0.3">
      <c r="A178" s="22" t="s">
        <v>2752</v>
      </c>
      <c r="B178" s="22" t="s">
        <v>2873</v>
      </c>
      <c r="C178" s="23" t="s">
        <v>2929</v>
      </c>
      <c r="D178" s="22" t="str">
        <f t="shared" si="28"/>
        <v>0#3#0|0#4#300|1#5#0|1#6#300|2#7#0|2#8#300|3#40#600</v>
      </c>
      <c r="E178" s="161"/>
    </row>
    <row r="179" spans="1:5" ht="15.75" x14ac:dyDescent="0.3">
      <c r="A179" s="22" t="s">
        <v>2752</v>
      </c>
      <c r="B179" s="22" t="s">
        <v>2873</v>
      </c>
      <c r="C179" s="23" t="s">
        <v>2930</v>
      </c>
      <c r="D179" s="22" t="str">
        <f t="shared" si="28"/>
        <v>0#3#0|0#4#350|1#5#0|1#6#350|2#7#0|2#8#350|3#40#700</v>
      </c>
      <c r="E179" s="161"/>
    </row>
    <row r="180" spans="1:5" ht="15.75" x14ac:dyDescent="0.3">
      <c r="A180" s="22" t="s">
        <v>2752</v>
      </c>
      <c r="B180" s="22" t="s">
        <v>2873</v>
      </c>
      <c r="C180" s="23" t="s">
        <v>2931</v>
      </c>
      <c r="D180" s="22" t="str">
        <f t="shared" si="28"/>
        <v>0#3#0|0#4#400|1#5#0|1#6#400|2#7#0|2#8#400|3#40#800</v>
      </c>
      <c r="E180" s="161"/>
    </row>
    <row r="181" spans="1:5" ht="15.75" x14ac:dyDescent="0.3">
      <c r="A181" s="22" t="s">
        <v>2752</v>
      </c>
      <c r="B181" s="22" t="s">
        <v>2873</v>
      </c>
      <c r="C181" s="23" t="s">
        <v>2932</v>
      </c>
      <c r="D181" s="22" t="str">
        <f t="shared" si="28"/>
        <v>0#3#0|0#4#450|1#5#0|1#6#450|2#7#0|2#8#450|3#40#900</v>
      </c>
      <c r="E181" s="161"/>
    </row>
    <row r="182" spans="1:5" ht="15.75" x14ac:dyDescent="0.3">
      <c r="A182" s="22" t="s">
        <v>2752</v>
      </c>
      <c r="B182" s="22" t="s">
        <v>2873</v>
      </c>
      <c r="C182" s="23" t="s">
        <v>2933</v>
      </c>
      <c r="D182" s="22" t="str">
        <f>"0#3#"&amp;0&amp;"|"&amp;"0#4#"&amp;F13&amp;"|"&amp;"1#5#"&amp;0&amp;"|"&amp;"1#6#"&amp;F13&amp;"|"&amp;"2#7#"&amp;0&amp;"|"&amp;"2#8#"&amp;F13&amp;"|"&amp;"3#40#"&amp;100*J13</f>
        <v>0#3#0|0#4#500|1#5#0|1#6#500|2#7#0|2#8#500|3#40#1000</v>
      </c>
      <c r="E182" s="161"/>
    </row>
    <row r="183" spans="1:5" ht="15.75" x14ac:dyDescent="0.3">
      <c r="A183" s="22" t="s">
        <v>2752</v>
      </c>
      <c r="B183" s="22" t="s">
        <v>2873</v>
      </c>
      <c r="C183" s="23" t="s">
        <v>2934</v>
      </c>
      <c r="D183" s="22" t="str">
        <f t="shared" ref="D183:D191" si="29">"0#3#"&amp;0&amp;"|"&amp;"0#4#"&amp;F4&amp;"|"&amp;"1#5#"&amp;0&amp;"|"&amp;"1#6#"&amp;F4&amp;"|"&amp;"2#7#"&amp;0&amp;"|"&amp;"2#8#"&amp;F4&amp;"|"&amp;"3#65#"&amp;100*J4</f>
        <v>0#3#0|0#4#50|1#5#0|1#6#50|2#7#0|2#8#50|3#65#100</v>
      </c>
      <c r="E183" s="161"/>
    </row>
    <row r="184" spans="1:5" ht="15.75" x14ac:dyDescent="0.3">
      <c r="A184" s="22" t="s">
        <v>2752</v>
      </c>
      <c r="B184" s="22" t="s">
        <v>2873</v>
      </c>
      <c r="C184" s="23" t="s">
        <v>2935</v>
      </c>
      <c r="D184" s="22" t="str">
        <f t="shared" si="29"/>
        <v>0#3#0|0#4#100|1#5#0|1#6#100|2#7#0|2#8#100|3#65#200</v>
      </c>
      <c r="E184" s="161"/>
    </row>
    <row r="185" spans="1:5" ht="15.75" x14ac:dyDescent="0.3">
      <c r="A185" s="22" t="s">
        <v>2752</v>
      </c>
      <c r="B185" s="22" t="s">
        <v>2873</v>
      </c>
      <c r="C185" s="23" t="s">
        <v>2936</v>
      </c>
      <c r="D185" s="22" t="str">
        <f t="shared" si="29"/>
        <v>0#3#0|0#4#150|1#5#0|1#6#150|2#7#0|2#8#150|3#65#300</v>
      </c>
      <c r="E185" s="161"/>
    </row>
    <row r="186" spans="1:5" ht="15.75" x14ac:dyDescent="0.3">
      <c r="A186" s="22" t="s">
        <v>2752</v>
      </c>
      <c r="B186" s="22" t="s">
        <v>2873</v>
      </c>
      <c r="C186" s="23" t="s">
        <v>2937</v>
      </c>
      <c r="D186" s="22" t="str">
        <f t="shared" si="29"/>
        <v>0#3#0|0#4#200|1#5#0|1#6#200|2#7#0|2#8#200|3#65#400</v>
      </c>
      <c r="E186" s="161"/>
    </row>
    <row r="187" spans="1:5" ht="15.75" x14ac:dyDescent="0.3">
      <c r="A187" s="22" t="s">
        <v>2752</v>
      </c>
      <c r="B187" s="22" t="s">
        <v>2873</v>
      </c>
      <c r="C187" s="23" t="s">
        <v>2938</v>
      </c>
      <c r="D187" s="22" t="str">
        <f t="shared" si="29"/>
        <v>0#3#0|0#4#250|1#5#0|1#6#250|2#7#0|2#8#250|3#65#500</v>
      </c>
      <c r="E187" s="161"/>
    </row>
    <row r="188" spans="1:5" ht="15.75" x14ac:dyDescent="0.3">
      <c r="A188" s="22" t="s">
        <v>2752</v>
      </c>
      <c r="B188" s="22" t="s">
        <v>2873</v>
      </c>
      <c r="C188" s="23" t="s">
        <v>2939</v>
      </c>
      <c r="D188" s="22" t="str">
        <f t="shared" si="29"/>
        <v>0#3#0|0#4#300|1#5#0|1#6#300|2#7#0|2#8#300|3#65#600</v>
      </c>
      <c r="E188" s="161"/>
    </row>
    <row r="189" spans="1:5" ht="15.75" x14ac:dyDescent="0.3">
      <c r="A189" s="22" t="s">
        <v>2752</v>
      </c>
      <c r="B189" s="22" t="s">
        <v>2873</v>
      </c>
      <c r="C189" s="23" t="s">
        <v>2940</v>
      </c>
      <c r="D189" s="22" t="str">
        <f t="shared" si="29"/>
        <v>0#3#0|0#4#350|1#5#0|1#6#350|2#7#0|2#8#350|3#65#700</v>
      </c>
      <c r="E189" s="161"/>
    </row>
    <row r="190" spans="1:5" ht="15.75" x14ac:dyDescent="0.3">
      <c r="A190" s="22" t="s">
        <v>2752</v>
      </c>
      <c r="B190" s="22" t="s">
        <v>2873</v>
      </c>
      <c r="C190" s="23" t="s">
        <v>2941</v>
      </c>
      <c r="D190" s="22" t="str">
        <f t="shared" si="29"/>
        <v>0#3#0|0#4#400|1#5#0|1#6#400|2#7#0|2#8#400|3#65#800</v>
      </c>
      <c r="E190" s="161"/>
    </row>
    <row r="191" spans="1:5" ht="15.75" x14ac:dyDescent="0.3">
      <c r="A191" s="22" t="s">
        <v>2752</v>
      </c>
      <c r="B191" s="22" t="s">
        <v>2873</v>
      </c>
      <c r="C191" s="23" t="s">
        <v>2942</v>
      </c>
      <c r="D191" s="22" t="str">
        <f t="shared" si="29"/>
        <v>0#3#0|0#4#450|1#5#0|1#6#450|2#7#0|2#8#450|3#65#900</v>
      </c>
      <c r="E191" s="161"/>
    </row>
    <row r="192" spans="1:5" ht="15.75" x14ac:dyDescent="0.3">
      <c r="A192" s="22" t="s">
        <v>2752</v>
      </c>
      <c r="B192" s="22" t="s">
        <v>2873</v>
      </c>
      <c r="C192" s="23" t="s">
        <v>2943</v>
      </c>
      <c r="D192" s="22" t="str">
        <f>"0#3#"&amp;0&amp;"|"&amp;"0#4#"&amp;F13&amp;"|"&amp;"1#5#"&amp;0&amp;"|"&amp;"1#6#"&amp;F13&amp;"|"&amp;"2#7#"&amp;0&amp;"|"&amp;"2#8#"&amp;F13&amp;"|"&amp;"3#65#"&amp;100*J13</f>
        <v>0#3#0|0#4#500|1#5#0|1#6#500|2#7#0|2#8#500|3#65#1000</v>
      </c>
      <c r="E192" s="161"/>
    </row>
    <row r="193" spans="1:5" ht="15.75" x14ac:dyDescent="0.3">
      <c r="A193" s="22" t="s">
        <v>2752</v>
      </c>
      <c r="B193" s="22" t="s">
        <v>2873</v>
      </c>
      <c r="C193" s="23" t="s">
        <v>2944</v>
      </c>
      <c r="D193" s="22" t="str">
        <f t="shared" ref="D193:D201" si="30">"0#3#"&amp;0&amp;"|"&amp;"0#4#"&amp;F4&amp;"|"&amp;"1#5#"&amp;0&amp;"|"&amp;"1#6#"&amp;F4&amp;"|"&amp;"2#7#"&amp;0&amp;"|"&amp;"2#8#"&amp;F4&amp;"|"&amp;"3#82#"&amp;100*J4</f>
        <v>0#3#0|0#4#50|1#5#0|1#6#50|2#7#0|2#8#50|3#82#100</v>
      </c>
      <c r="E193" s="161"/>
    </row>
    <row r="194" spans="1:5" ht="15.75" x14ac:dyDescent="0.3">
      <c r="A194" s="22" t="s">
        <v>2752</v>
      </c>
      <c r="B194" s="22" t="s">
        <v>2873</v>
      </c>
      <c r="C194" s="23" t="s">
        <v>2945</v>
      </c>
      <c r="D194" s="22" t="str">
        <f t="shared" si="30"/>
        <v>0#3#0|0#4#100|1#5#0|1#6#100|2#7#0|2#8#100|3#82#200</v>
      </c>
      <c r="E194" s="161"/>
    </row>
    <row r="195" spans="1:5" ht="15.75" x14ac:dyDescent="0.3">
      <c r="A195" s="22" t="s">
        <v>2752</v>
      </c>
      <c r="B195" s="22" t="s">
        <v>2873</v>
      </c>
      <c r="C195" s="23" t="s">
        <v>2946</v>
      </c>
      <c r="D195" s="22" t="str">
        <f t="shared" si="30"/>
        <v>0#3#0|0#4#150|1#5#0|1#6#150|2#7#0|2#8#150|3#82#300</v>
      </c>
      <c r="E195" s="161"/>
    </row>
    <row r="196" spans="1:5" ht="15.75" x14ac:dyDescent="0.3">
      <c r="A196" s="22" t="s">
        <v>2752</v>
      </c>
      <c r="B196" s="22" t="s">
        <v>2873</v>
      </c>
      <c r="C196" s="23" t="s">
        <v>2947</v>
      </c>
      <c r="D196" s="22" t="str">
        <f t="shared" si="30"/>
        <v>0#3#0|0#4#200|1#5#0|1#6#200|2#7#0|2#8#200|3#82#400</v>
      </c>
      <c r="E196" s="161"/>
    </row>
    <row r="197" spans="1:5" ht="15.75" x14ac:dyDescent="0.3">
      <c r="A197" s="22" t="s">
        <v>2752</v>
      </c>
      <c r="B197" s="22" t="s">
        <v>2873</v>
      </c>
      <c r="C197" s="23" t="s">
        <v>2948</v>
      </c>
      <c r="D197" s="22" t="str">
        <f t="shared" si="30"/>
        <v>0#3#0|0#4#250|1#5#0|1#6#250|2#7#0|2#8#250|3#82#500</v>
      </c>
      <c r="E197" s="161"/>
    </row>
    <row r="198" spans="1:5" ht="15.75" x14ac:dyDescent="0.3">
      <c r="A198" s="22" t="s">
        <v>2752</v>
      </c>
      <c r="B198" s="22" t="s">
        <v>2873</v>
      </c>
      <c r="C198" s="23" t="s">
        <v>2949</v>
      </c>
      <c r="D198" s="22" t="str">
        <f t="shared" si="30"/>
        <v>0#3#0|0#4#300|1#5#0|1#6#300|2#7#0|2#8#300|3#82#600</v>
      </c>
      <c r="E198" s="161"/>
    </row>
    <row r="199" spans="1:5" ht="15.75" x14ac:dyDescent="0.3">
      <c r="A199" s="22" t="s">
        <v>2752</v>
      </c>
      <c r="B199" s="22" t="s">
        <v>2873</v>
      </c>
      <c r="C199" s="23" t="s">
        <v>2950</v>
      </c>
      <c r="D199" s="22" t="str">
        <f t="shared" si="30"/>
        <v>0#3#0|0#4#350|1#5#0|1#6#350|2#7#0|2#8#350|3#82#700</v>
      </c>
      <c r="E199" s="161"/>
    </row>
    <row r="200" spans="1:5" ht="15.75" x14ac:dyDescent="0.3">
      <c r="A200" s="22" t="s">
        <v>2752</v>
      </c>
      <c r="B200" s="22" t="s">
        <v>2873</v>
      </c>
      <c r="C200" s="23" t="s">
        <v>2951</v>
      </c>
      <c r="D200" s="22" t="str">
        <f t="shared" si="30"/>
        <v>0#3#0|0#4#400|1#5#0|1#6#400|2#7#0|2#8#400|3#82#800</v>
      </c>
      <c r="E200" s="161"/>
    </row>
    <row r="201" spans="1:5" ht="15.75" x14ac:dyDescent="0.3">
      <c r="A201" s="22" t="s">
        <v>2752</v>
      </c>
      <c r="B201" s="22" t="s">
        <v>2873</v>
      </c>
      <c r="C201" s="23" t="s">
        <v>2952</v>
      </c>
      <c r="D201" s="22" t="str">
        <f t="shared" si="30"/>
        <v>0#3#0|0#4#450|1#5#0|1#6#450|2#7#0|2#8#450|3#82#900</v>
      </c>
      <c r="E201" s="161"/>
    </row>
    <row r="202" spans="1:5" ht="15.75" x14ac:dyDescent="0.3">
      <c r="A202" s="22" t="s">
        <v>2752</v>
      </c>
      <c r="B202" s="22" t="s">
        <v>2873</v>
      </c>
      <c r="C202" s="23" t="s">
        <v>2953</v>
      </c>
      <c r="D202" s="22" t="str">
        <f>"0#3#"&amp;0&amp;"|"&amp;"0#4#"&amp;F13&amp;"|"&amp;"1#5#"&amp;0&amp;"|"&amp;"1#6#"&amp;F13&amp;"|"&amp;"2#7#"&amp;0&amp;"|"&amp;"2#8#"&amp;F13&amp;"|"&amp;"3#82#"&amp;100*J13</f>
        <v>0#3#0|0#4#500|1#5#0|1#6#500|2#7#0|2#8#500|3#82#1000</v>
      </c>
      <c r="E202" s="161"/>
    </row>
    <row r="203" spans="1:5" ht="15.75" x14ac:dyDescent="0.3">
      <c r="A203" s="22" t="s">
        <v>2752</v>
      </c>
      <c r="B203" s="22" t="s">
        <v>2873</v>
      </c>
      <c r="C203" s="23" t="s">
        <v>2954</v>
      </c>
      <c r="D203" s="22" t="str">
        <f t="shared" ref="D203:D211" si="31">"0#3#"&amp;0&amp;"|"&amp;"0#4#"&amp;F4&amp;"|"&amp;"1#5#"&amp;0&amp;"|"&amp;"1#6#"&amp;F4&amp;"|"&amp;"2#7#"&amp;0&amp;"|"&amp;"2#8#"&amp;F4&amp;"|"&amp;"3#29#"&amp;J4</f>
        <v>0#3#0|0#4#50|1#5#0|1#6#50|2#7#0|2#8#50|3#29#1</v>
      </c>
      <c r="E203" s="161"/>
    </row>
    <row r="204" spans="1:5" ht="15.75" x14ac:dyDescent="0.3">
      <c r="A204" s="22" t="s">
        <v>2752</v>
      </c>
      <c r="B204" s="22" t="s">
        <v>2873</v>
      </c>
      <c r="C204" s="23" t="s">
        <v>2955</v>
      </c>
      <c r="D204" s="22" t="str">
        <f t="shared" si="31"/>
        <v>0#3#0|0#4#100|1#5#0|1#6#100|2#7#0|2#8#100|3#29#2</v>
      </c>
      <c r="E204" s="161"/>
    </row>
    <row r="205" spans="1:5" ht="15.75" x14ac:dyDescent="0.3">
      <c r="A205" s="22" t="s">
        <v>2752</v>
      </c>
      <c r="B205" s="22" t="s">
        <v>2873</v>
      </c>
      <c r="C205" s="23" t="s">
        <v>2956</v>
      </c>
      <c r="D205" s="22" t="str">
        <f t="shared" si="31"/>
        <v>0#3#0|0#4#150|1#5#0|1#6#150|2#7#0|2#8#150|3#29#3</v>
      </c>
      <c r="E205" s="161"/>
    </row>
    <row r="206" spans="1:5" ht="15.75" x14ac:dyDescent="0.3">
      <c r="A206" s="22" t="s">
        <v>2752</v>
      </c>
      <c r="B206" s="22" t="s">
        <v>2873</v>
      </c>
      <c r="C206" s="23" t="s">
        <v>2957</v>
      </c>
      <c r="D206" s="22" t="str">
        <f t="shared" si="31"/>
        <v>0#3#0|0#4#200|1#5#0|1#6#200|2#7#0|2#8#200|3#29#4</v>
      </c>
      <c r="E206" s="161"/>
    </row>
    <row r="207" spans="1:5" ht="15.75" x14ac:dyDescent="0.3">
      <c r="A207" s="22" t="s">
        <v>2752</v>
      </c>
      <c r="B207" s="22" t="s">
        <v>2873</v>
      </c>
      <c r="C207" s="23" t="s">
        <v>2958</v>
      </c>
      <c r="D207" s="22" t="str">
        <f t="shared" si="31"/>
        <v>0#3#0|0#4#250|1#5#0|1#6#250|2#7#0|2#8#250|3#29#5</v>
      </c>
      <c r="E207" s="161"/>
    </row>
    <row r="208" spans="1:5" ht="15.75" x14ac:dyDescent="0.3">
      <c r="A208" s="22" t="s">
        <v>2752</v>
      </c>
      <c r="B208" s="22" t="s">
        <v>2873</v>
      </c>
      <c r="C208" s="23" t="s">
        <v>2959</v>
      </c>
      <c r="D208" s="22" t="str">
        <f t="shared" si="31"/>
        <v>0#3#0|0#4#300|1#5#0|1#6#300|2#7#0|2#8#300|3#29#6</v>
      </c>
      <c r="E208" s="161"/>
    </row>
    <row r="209" spans="1:5" ht="15.75" x14ac:dyDescent="0.3">
      <c r="A209" s="22" t="s">
        <v>2752</v>
      </c>
      <c r="B209" s="22" t="s">
        <v>2873</v>
      </c>
      <c r="C209" s="23" t="s">
        <v>2960</v>
      </c>
      <c r="D209" s="22" t="str">
        <f t="shared" si="31"/>
        <v>0#3#0|0#4#350|1#5#0|1#6#350|2#7#0|2#8#350|3#29#7</v>
      </c>
      <c r="E209" s="161"/>
    </row>
    <row r="210" spans="1:5" ht="15.75" x14ac:dyDescent="0.3">
      <c r="A210" s="22" t="s">
        <v>2752</v>
      </c>
      <c r="B210" s="22" t="s">
        <v>2873</v>
      </c>
      <c r="C210" s="23" t="s">
        <v>2961</v>
      </c>
      <c r="D210" s="22" t="str">
        <f t="shared" si="31"/>
        <v>0#3#0|0#4#400|1#5#0|1#6#400|2#7#0|2#8#400|3#29#8</v>
      </c>
      <c r="E210" s="161"/>
    </row>
    <row r="211" spans="1:5" ht="15.75" x14ac:dyDescent="0.3">
      <c r="A211" s="22" t="s">
        <v>2752</v>
      </c>
      <c r="B211" s="22" t="s">
        <v>2873</v>
      </c>
      <c r="C211" s="23" t="s">
        <v>2962</v>
      </c>
      <c r="D211" s="22" t="str">
        <f t="shared" si="31"/>
        <v>0#3#0|0#4#450|1#5#0|1#6#450|2#7#0|2#8#450|3#29#9</v>
      </c>
      <c r="E211" s="161"/>
    </row>
    <row r="212" spans="1:5" ht="15.75" x14ac:dyDescent="0.3">
      <c r="A212" s="22" t="s">
        <v>2752</v>
      </c>
      <c r="B212" s="22" t="s">
        <v>2873</v>
      </c>
      <c r="C212" s="23" t="s">
        <v>2963</v>
      </c>
      <c r="D212" s="22" t="str">
        <f>"0#3#"&amp;0&amp;"|"&amp;"0#4#"&amp;F13&amp;"|"&amp;"1#5#"&amp;0&amp;"|"&amp;"1#6#"&amp;F13&amp;"|"&amp;"2#7#"&amp;0&amp;"|"&amp;"2#8#"&amp;F13&amp;"|"&amp;"3#29#"&amp;J13</f>
        <v>0#3#0|0#4#500|1#5#0|1#6#500|2#7#0|2#8#500|3#29#10</v>
      </c>
      <c r="E212" s="161"/>
    </row>
    <row r="213" spans="1:5" ht="15.75" x14ac:dyDescent="0.3">
      <c r="A213" s="22" t="s">
        <v>2752</v>
      </c>
      <c r="B213" s="22" t="s">
        <v>2873</v>
      </c>
      <c r="C213" s="23" t="s">
        <v>2964</v>
      </c>
      <c r="D213" s="22" t="str">
        <f t="shared" ref="D213:D221" si="32">"0#3#"&amp;0&amp;"|"&amp;"0#4#"&amp;F4&amp;"|"&amp;"1#5#"&amp;0&amp;"|"&amp;"1#6#"&amp;F4&amp;"|"&amp;"2#7#"&amp;0&amp;"|"&amp;"2#8#"&amp;F4&amp;"|"&amp;"3#30#"&amp;J4</f>
        <v>0#3#0|0#4#50|1#5#0|1#6#50|2#7#0|2#8#50|3#30#1</v>
      </c>
      <c r="E213" s="161"/>
    </row>
    <row r="214" spans="1:5" ht="15.75" x14ac:dyDescent="0.3">
      <c r="A214" s="22" t="s">
        <v>2752</v>
      </c>
      <c r="B214" s="22" t="s">
        <v>2873</v>
      </c>
      <c r="C214" s="23" t="s">
        <v>2965</v>
      </c>
      <c r="D214" s="22" t="str">
        <f t="shared" si="32"/>
        <v>0#3#0|0#4#100|1#5#0|1#6#100|2#7#0|2#8#100|3#30#2</v>
      </c>
      <c r="E214" s="161"/>
    </row>
    <row r="215" spans="1:5" ht="15.75" x14ac:dyDescent="0.3">
      <c r="A215" s="22" t="s">
        <v>2752</v>
      </c>
      <c r="B215" s="22" t="s">
        <v>2873</v>
      </c>
      <c r="C215" s="23" t="s">
        <v>2966</v>
      </c>
      <c r="D215" s="22" t="str">
        <f t="shared" si="32"/>
        <v>0#3#0|0#4#150|1#5#0|1#6#150|2#7#0|2#8#150|3#30#3</v>
      </c>
      <c r="E215" s="161"/>
    </row>
    <row r="216" spans="1:5" ht="15.75" x14ac:dyDescent="0.3">
      <c r="A216" s="22" t="s">
        <v>2752</v>
      </c>
      <c r="B216" s="22" t="s">
        <v>2873</v>
      </c>
      <c r="C216" s="23" t="s">
        <v>2967</v>
      </c>
      <c r="D216" s="22" t="str">
        <f t="shared" si="32"/>
        <v>0#3#0|0#4#200|1#5#0|1#6#200|2#7#0|2#8#200|3#30#4</v>
      </c>
      <c r="E216" s="161"/>
    </row>
    <row r="217" spans="1:5" ht="15.75" x14ac:dyDescent="0.3">
      <c r="A217" s="22" t="s">
        <v>2752</v>
      </c>
      <c r="B217" s="22" t="s">
        <v>2873</v>
      </c>
      <c r="C217" s="23" t="s">
        <v>2968</v>
      </c>
      <c r="D217" s="22" t="str">
        <f t="shared" si="32"/>
        <v>0#3#0|0#4#250|1#5#0|1#6#250|2#7#0|2#8#250|3#30#5</v>
      </c>
      <c r="E217" s="161"/>
    </row>
    <row r="218" spans="1:5" ht="15.75" x14ac:dyDescent="0.3">
      <c r="A218" s="22" t="s">
        <v>2752</v>
      </c>
      <c r="B218" s="22" t="s">
        <v>2873</v>
      </c>
      <c r="C218" s="23" t="s">
        <v>2969</v>
      </c>
      <c r="D218" s="22" t="str">
        <f t="shared" si="32"/>
        <v>0#3#0|0#4#300|1#5#0|1#6#300|2#7#0|2#8#300|3#30#6</v>
      </c>
      <c r="E218" s="161"/>
    </row>
    <row r="219" spans="1:5" ht="15.75" x14ac:dyDescent="0.3">
      <c r="A219" s="22" t="s">
        <v>2752</v>
      </c>
      <c r="B219" s="22" t="s">
        <v>2873</v>
      </c>
      <c r="C219" s="23" t="s">
        <v>2970</v>
      </c>
      <c r="D219" s="22" t="str">
        <f t="shared" si="32"/>
        <v>0#3#0|0#4#350|1#5#0|1#6#350|2#7#0|2#8#350|3#30#7</v>
      </c>
      <c r="E219" s="161"/>
    </row>
    <row r="220" spans="1:5" ht="15.75" x14ac:dyDescent="0.3">
      <c r="A220" s="22" t="s">
        <v>2752</v>
      </c>
      <c r="B220" s="22" t="s">
        <v>2873</v>
      </c>
      <c r="C220" s="23" t="s">
        <v>2971</v>
      </c>
      <c r="D220" s="22" t="str">
        <f t="shared" si="32"/>
        <v>0#3#0|0#4#400|1#5#0|1#6#400|2#7#0|2#8#400|3#30#8</v>
      </c>
      <c r="E220" s="161"/>
    </row>
    <row r="221" spans="1:5" ht="15.75" x14ac:dyDescent="0.3">
      <c r="A221" s="22" t="s">
        <v>2752</v>
      </c>
      <c r="B221" s="22" t="s">
        <v>2873</v>
      </c>
      <c r="C221" s="23" t="s">
        <v>2972</v>
      </c>
      <c r="D221" s="22" t="str">
        <f t="shared" si="32"/>
        <v>0#3#0|0#4#450|1#5#0|1#6#450|2#7#0|2#8#450|3#30#9</v>
      </c>
      <c r="E221" s="161"/>
    </row>
    <row r="222" spans="1:5" ht="15.75" x14ac:dyDescent="0.3">
      <c r="A222" s="22" t="s">
        <v>2752</v>
      </c>
      <c r="B222" s="22" t="s">
        <v>2873</v>
      </c>
      <c r="C222" s="23" t="s">
        <v>2973</v>
      </c>
      <c r="D222" s="22" t="str">
        <f>"0#3#"&amp;0&amp;"|"&amp;"0#4#"&amp;F13&amp;"|"&amp;"1#5#"&amp;0&amp;"|"&amp;"1#6#"&amp;F13&amp;"|"&amp;"2#7#"&amp;0&amp;"|"&amp;"2#8#"&amp;F13&amp;"|"&amp;"3#30#"&amp;J13</f>
        <v>0#3#0|0#4#500|1#5#0|1#6#500|2#7#0|2#8#500|3#30#10</v>
      </c>
      <c r="E222" s="161"/>
    </row>
    <row r="223" spans="1:5" ht="15.75" x14ac:dyDescent="0.3">
      <c r="A223" s="22" t="s">
        <v>2752</v>
      </c>
      <c r="B223" s="22" t="s">
        <v>2873</v>
      </c>
      <c r="C223" s="23" t="s">
        <v>2974</v>
      </c>
      <c r="D223" s="22" t="str">
        <f t="shared" ref="D223:D231" si="33">"0#3#"&amp;0&amp;"|"&amp;"0#4#"&amp;F4&amp;"|"&amp;"1#5#"&amp;0&amp;"|"&amp;"1#6#"&amp;F4&amp;"|"&amp;"2#7#"&amp;0&amp;"|"&amp;"2#8#"&amp;F4&amp;"|"&amp;"3#26#"&amp;J4</f>
        <v>0#3#0|0#4#50|1#5#0|1#6#50|2#7#0|2#8#50|3#26#1</v>
      </c>
      <c r="E223" s="161"/>
    </row>
    <row r="224" spans="1:5" ht="15.75" x14ac:dyDescent="0.3">
      <c r="A224" s="22" t="s">
        <v>2752</v>
      </c>
      <c r="B224" s="22" t="s">
        <v>2873</v>
      </c>
      <c r="C224" s="23" t="s">
        <v>2975</v>
      </c>
      <c r="D224" s="22" t="str">
        <f t="shared" si="33"/>
        <v>0#3#0|0#4#100|1#5#0|1#6#100|2#7#0|2#8#100|3#26#2</v>
      </c>
      <c r="E224" s="161"/>
    </row>
    <row r="225" spans="1:5" ht="15.75" x14ac:dyDescent="0.3">
      <c r="A225" s="22" t="s">
        <v>2752</v>
      </c>
      <c r="B225" s="22" t="s">
        <v>2873</v>
      </c>
      <c r="C225" s="23" t="s">
        <v>2976</v>
      </c>
      <c r="D225" s="22" t="str">
        <f t="shared" si="33"/>
        <v>0#3#0|0#4#150|1#5#0|1#6#150|2#7#0|2#8#150|3#26#3</v>
      </c>
      <c r="E225" s="161"/>
    </row>
    <row r="226" spans="1:5" ht="15.75" x14ac:dyDescent="0.3">
      <c r="A226" s="22" t="s">
        <v>2752</v>
      </c>
      <c r="B226" s="22" t="s">
        <v>2873</v>
      </c>
      <c r="C226" s="23" t="s">
        <v>2977</v>
      </c>
      <c r="D226" s="22" t="str">
        <f t="shared" si="33"/>
        <v>0#3#0|0#4#200|1#5#0|1#6#200|2#7#0|2#8#200|3#26#4</v>
      </c>
      <c r="E226" s="161"/>
    </row>
    <row r="227" spans="1:5" ht="15.75" x14ac:dyDescent="0.3">
      <c r="A227" s="22" t="s">
        <v>2752</v>
      </c>
      <c r="B227" s="22" t="s">
        <v>2873</v>
      </c>
      <c r="C227" s="23" t="s">
        <v>2978</v>
      </c>
      <c r="D227" s="22" t="str">
        <f t="shared" si="33"/>
        <v>0#3#0|0#4#250|1#5#0|1#6#250|2#7#0|2#8#250|3#26#5</v>
      </c>
      <c r="E227" s="161"/>
    </row>
    <row r="228" spans="1:5" ht="15.75" x14ac:dyDescent="0.3">
      <c r="A228" s="22" t="s">
        <v>2752</v>
      </c>
      <c r="B228" s="22" t="s">
        <v>2873</v>
      </c>
      <c r="C228" s="23" t="s">
        <v>2979</v>
      </c>
      <c r="D228" s="22" t="str">
        <f t="shared" si="33"/>
        <v>0#3#0|0#4#300|1#5#0|1#6#300|2#7#0|2#8#300|3#26#6</v>
      </c>
      <c r="E228" s="161"/>
    </row>
    <row r="229" spans="1:5" ht="15.75" x14ac:dyDescent="0.3">
      <c r="A229" s="22" t="s">
        <v>2752</v>
      </c>
      <c r="B229" s="22" t="s">
        <v>2873</v>
      </c>
      <c r="C229" s="23" t="s">
        <v>2980</v>
      </c>
      <c r="D229" s="22" t="str">
        <f t="shared" si="33"/>
        <v>0#3#0|0#4#350|1#5#0|1#6#350|2#7#0|2#8#350|3#26#7</v>
      </c>
      <c r="E229" s="161"/>
    </row>
    <row r="230" spans="1:5" ht="15.75" x14ac:dyDescent="0.3">
      <c r="A230" s="22" t="s">
        <v>2752</v>
      </c>
      <c r="B230" s="22" t="s">
        <v>2873</v>
      </c>
      <c r="C230" s="23" t="s">
        <v>2981</v>
      </c>
      <c r="D230" s="22" t="str">
        <f t="shared" si="33"/>
        <v>0#3#0|0#4#400|1#5#0|1#6#400|2#7#0|2#8#400|3#26#8</v>
      </c>
      <c r="E230" s="161"/>
    </row>
    <row r="231" spans="1:5" ht="15.75" x14ac:dyDescent="0.3">
      <c r="A231" s="22" t="s">
        <v>2752</v>
      </c>
      <c r="B231" s="22" t="s">
        <v>2873</v>
      </c>
      <c r="C231" s="23" t="s">
        <v>2982</v>
      </c>
      <c r="D231" s="22" t="str">
        <f t="shared" si="33"/>
        <v>0#3#0|0#4#450|1#5#0|1#6#450|2#7#0|2#8#450|3#26#9</v>
      </c>
      <c r="E231" s="161"/>
    </row>
    <row r="232" spans="1:5" ht="15.75" x14ac:dyDescent="0.3">
      <c r="A232" s="22" t="s">
        <v>2752</v>
      </c>
      <c r="B232" s="22" t="s">
        <v>2873</v>
      </c>
      <c r="C232" s="23" t="s">
        <v>2983</v>
      </c>
      <c r="D232" s="22" t="str">
        <f>"0#3#"&amp;0&amp;"|"&amp;"0#4#"&amp;F13&amp;"|"&amp;"1#5#"&amp;0&amp;"|"&amp;"1#6#"&amp;F13&amp;"|"&amp;"2#7#"&amp;0&amp;"|"&amp;"2#8#"&amp;F13&amp;"|"&amp;"3#26#"&amp;J13</f>
        <v>0#3#0|0#4#500|1#5#0|1#6#500|2#7#0|2#8#500|3#26#10</v>
      </c>
      <c r="E232" s="161"/>
    </row>
    <row r="233" spans="1:5" ht="15.75" x14ac:dyDescent="0.3">
      <c r="A233" s="22" t="s">
        <v>2752</v>
      </c>
      <c r="B233" s="22" t="s">
        <v>2873</v>
      </c>
      <c r="C233" s="23" t="s">
        <v>2984</v>
      </c>
      <c r="D233" s="22" t="str">
        <f t="shared" ref="D233:D241" si="34">"0#3#"&amp;0&amp;"|"&amp;"0#4#"&amp;F4&amp;"|"&amp;"1#5#"&amp;0&amp;"|"&amp;"1#6#"&amp;F4&amp;"|"&amp;"2#7#"&amp;0&amp;"|"&amp;"2#8#"&amp;F4&amp;"|"&amp;"3#27#"&amp;J4</f>
        <v>0#3#0|0#4#50|1#5#0|1#6#50|2#7#0|2#8#50|3#27#1</v>
      </c>
      <c r="E233" s="161"/>
    </row>
    <row r="234" spans="1:5" ht="15.75" x14ac:dyDescent="0.3">
      <c r="A234" s="22" t="s">
        <v>2752</v>
      </c>
      <c r="B234" s="22" t="s">
        <v>2873</v>
      </c>
      <c r="C234" s="23" t="s">
        <v>2985</v>
      </c>
      <c r="D234" s="22" t="str">
        <f t="shared" si="34"/>
        <v>0#3#0|0#4#100|1#5#0|1#6#100|2#7#0|2#8#100|3#27#2</v>
      </c>
      <c r="E234" s="161"/>
    </row>
    <row r="235" spans="1:5" ht="15.75" x14ac:dyDescent="0.3">
      <c r="A235" s="22" t="s">
        <v>2752</v>
      </c>
      <c r="B235" s="22" t="s">
        <v>2873</v>
      </c>
      <c r="C235" s="23" t="s">
        <v>2986</v>
      </c>
      <c r="D235" s="22" t="str">
        <f t="shared" si="34"/>
        <v>0#3#0|0#4#150|1#5#0|1#6#150|2#7#0|2#8#150|3#27#3</v>
      </c>
      <c r="E235" s="161"/>
    </row>
    <row r="236" spans="1:5" ht="15.75" x14ac:dyDescent="0.3">
      <c r="A236" s="22" t="s">
        <v>2752</v>
      </c>
      <c r="B236" s="22" t="s">
        <v>2873</v>
      </c>
      <c r="C236" s="23" t="s">
        <v>2987</v>
      </c>
      <c r="D236" s="22" t="str">
        <f t="shared" si="34"/>
        <v>0#3#0|0#4#200|1#5#0|1#6#200|2#7#0|2#8#200|3#27#4</v>
      </c>
      <c r="E236" s="161"/>
    </row>
    <row r="237" spans="1:5" ht="15.75" x14ac:dyDescent="0.3">
      <c r="A237" s="22" t="s">
        <v>2752</v>
      </c>
      <c r="B237" s="22" t="s">
        <v>2873</v>
      </c>
      <c r="C237" s="23" t="s">
        <v>2988</v>
      </c>
      <c r="D237" s="22" t="str">
        <f t="shared" si="34"/>
        <v>0#3#0|0#4#250|1#5#0|1#6#250|2#7#0|2#8#250|3#27#5</v>
      </c>
      <c r="E237" s="161"/>
    </row>
    <row r="238" spans="1:5" ht="15.75" x14ac:dyDescent="0.3">
      <c r="A238" s="22" t="s">
        <v>2752</v>
      </c>
      <c r="B238" s="22" t="s">
        <v>2873</v>
      </c>
      <c r="C238" s="23" t="s">
        <v>2989</v>
      </c>
      <c r="D238" s="22" t="str">
        <f t="shared" si="34"/>
        <v>0#3#0|0#4#300|1#5#0|1#6#300|2#7#0|2#8#300|3#27#6</v>
      </c>
      <c r="E238" s="161"/>
    </row>
    <row r="239" spans="1:5" ht="15.75" x14ac:dyDescent="0.3">
      <c r="A239" s="22" t="s">
        <v>2752</v>
      </c>
      <c r="B239" s="22" t="s">
        <v>2873</v>
      </c>
      <c r="C239" s="23" t="s">
        <v>2990</v>
      </c>
      <c r="D239" s="22" t="str">
        <f t="shared" si="34"/>
        <v>0#3#0|0#4#350|1#5#0|1#6#350|2#7#0|2#8#350|3#27#7</v>
      </c>
      <c r="E239" s="161"/>
    </row>
    <row r="240" spans="1:5" ht="15.75" x14ac:dyDescent="0.3">
      <c r="A240" s="22" t="s">
        <v>2752</v>
      </c>
      <c r="B240" s="22" t="s">
        <v>2873</v>
      </c>
      <c r="C240" s="23" t="s">
        <v>2991</v>
      </c>
      <c r="D240" s="22" t="str">
        <f t="shared" si="34"/>
        <v>0#3#0|0#4#400|1#5#0|1#6#400|2#7#0|2#8#400|3#27#8</v>
      </c>
      <c r="E240" s="161"/>
    </row>
    <row r="241" spans="1:5" ht="15.75" x14ac:dyDescent="0.3">
      <c r="A241" s="22" t="s">
        <v>2752</v>
      </c>
      <c r="B241" s="22" t="s">
        <v>2873</v>
      </c>
      <c r="C241" s="23" t="s">
        <v>2992</v>
      </c>
      <c r="D241" s="22" t="str">
        <f t="shared" si="34"/>
        <v>0#3#0|0#4#450|1#5#0|1#6#450|2#7#0|2#8#450|3#27#9</v>
      </c>
      <c r="E241" s="161"/>
    </row>
    <row r="242" spans="1:5" ht="15.75" x14ac:dyDescent="0.3">
      <c r="A242" s="22" t="s">
        <v>2752</v>
      </c>
      <c r="B242" s="22" t="s">
        <v>2873</v>
      </c>
      <c r="C242" s="23" t="s">
        <v>2993</v>
      </c>
      <c r="D242" s="22" t="str">
        <f>"0#3#"&amp;0&amp;"|"&amp;"0#4#"&amp;F13&amp;"|"&amp;"1#5#"&amp;0&amp;"|"&amp;"1#6#"&amp;F13&amp;"|"&amp;"2#7#"&amp;0&amp;"|"&amp;"2#8#"&amp;F13&amp;"|"&amp;"3#27#"&amp;J13</f>
        <v>0#3#0|0#4#500|1#5#0|1#6#500|2#7#0|2#8#500|3#27#10</v>
      </c>
      <c r="E242" s="161"/>
    </row>
  </sheetData>
  <mergeCells count="1">
    <mergeCell ref="E2:U2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9335-891A-4B13-899D-1F613DE0FD88}">
  <dimension ref="A2:AL362"/>
  <sheetViews>
    <sheetView topLeftCell="F1" workbookViewId="0">
      <selection activeCell="Q7" sqref="Q7"/>
    </sheetView>
  </sheetViews>
  <sheetFormatPr defaultRowHeight="14.25" x14ac:dyDescent="0.2"/>
  <cols>
    <col min="4" max="5" width="0" hidden="1" customWidth="1"/>
    <col min="8" max="9" width="0" hidden="1" customWidth="1"/>
    <col min="10" max="10" width="45.125" bestFit="1" customWidth="1"/>
    <col min="11" max="11" width="15.375" customWidth="1"/>
    <col min="12" max="12" width="32.5" customWidth="1"/>
    <col min="13" max="13" width="12.375" customWidth="1"/>
    <col min="19" max="19" width="13" bestFit="1" customWidth="1"/>
    <col min="20" max="20" width="11.25" bestFit="1" customWidth="1"/>
    <col min="21" max="21" width="15.375" bestFit="1" customWidth="1"/>
    <col min="22" max="22" width="34.5" customWidth="1"/>
    <col min="23" max="23" width="15.375" customWidth="1"/>
    <col min="24" max="24" width="37.875" bestFit="1" customWidth="1"/>
    <col min="25" max="25" width="15.375" customWidth="1"/>
    <col min="26" max="26" width="23.875" customWidth="1"/>
    <col min="27" max="31" width="9" style="94"/>
    <col min="32" max="32" width="10.375" style="94" customWidth="1"/>
    <col min="33" max="38" width="9" style="94"/>
  </cols>
  <sheetData>
    <row r="2" spans="1:3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1" t="s">
        <v>161</v>
      </c>
      <c r="K2" s="21" t="s">
        <v>61</v>
      </c>
      <c r="L2" s="21" t="s">
        <v>62</v>
      </c>
      <c r="M2" s="21" t="s">
        <v>3004</v>
      </c>
      <c r="N2" s="280" t="s">
        <v>33</v>
      </c>
      <c r="O2" s="280"/>
      <c r="P2" s="280"/>
      <c r="Q2" s="280"/>
      <c r="R2" s="280" t="s">
        <v>3049</v>
      </c>
      <c r="S2" s="280"/>
      <c r="T2" s="280" t="s">
        <v>3443</v>
      </c>
      <c r="U2" s="280"/>
      <c r="V2" s="280" t="s">
        <v>3452</v>
      </c>
      <c r="W2" s="280"/>
      <c r="X2" s="280" t="s">
        <v>3476</v>
      </c>
      <c r="Y2" s="280"/>
      <c r="AA2" s="300" t="s">
        <v>3306</v>
      </c>
      <c r="AB2" s="300"/>
      <c r="AC2" s="300"/>
      <c r="AD2" s="300"/>
      <c r="AE2" s="300"/>
      <c r="AF2" s="300"/>
      <c r="AG2" s="300"/>
      <c r="AH2" s="300"/>
      <c r="AI2" s="300"/>
      <c r="AJ2" s="300"/>
      <c r="AK2" s="300"/>
      <c r="AL2" s="300"/>
    </row>
    <row r="3" spans="1:38" ht="16.5" x14ac:dyDescent="0.3">
      <c r="A3" s="22" t="s">
        <v>49</v>
      </c>
      <c r="B3" s="22" t="s">
        <v>33</v>
      </c>
      <c r="C3" s="22" t="s">
        <v>1902</v>
      </c>
      <c r="D3" s="22"/>
      <c r="E3" s="22"/>
      <c r="F3" s="23" t="s">
        <v>3005</v>
      </c>
      <c r="G3" s="22">
        <v>0</v>
      </c>
      <c r="H3" s="32"/>
      <c r="I3" s="22"/>
      <c r="J3" s="22"/>
      <c r="K3" s="22"/>
      <c r="L3" s="33" t="str">
        <f>"凡品升星石"&amp;X4&amp;"/元宝"&amp;Y4</f>
        <v>凡品升星石16/元宝32000</v>
      </c>
      <c r="M3" s="22">
        <v>100</v>
      </c>
      <c r="N3" s="10" t="s">
        <v>55</v>
      </c>
      <c r="O3" s="15" t="s">
        <v>3468</v>
      </c>
      <c r="P3" s="15" t="s">
        <v>3045</v>
      </c>
      <c r="Q3" s="10" t="s">
        <v>3046</v>
      </c>
      <c r="R3" s="10" t="s">
        <v>3047</v>
      </c>
      <c r="S3" s="10" t="s">
        <v>3048</v>
      </c>
      <c r="T3" s="10" t="s">
        <v>3428</v>
      </c>
      <c r="U3" s="10" t="s">
        <v>3441</v>
      </c>
      <c r="V3" s="10" t="s">
        <v>3455</v>
      </c>
      <c r="W3" s="10" t="s">
        <v>3447</v>
      </c>
      <c r="X3" s="10" t="s">
        <v>3455</v>
      </c>
      <c r="Y3" s="10" t="s">
        <v>3447</v>
      </c>
      <c r="Z3" s="184" t="s">
        <v>3050</v>
      </c>
      <c r="AA3" s="15"/>
      <c r="AB3" s="15" t="s">
        <v>1902</v>
      </c>
      <c r="AC3" s="15" t="s">
        <v>1900</v>
      </c>
      <c r="AD3" s="15" t="s">
        <v>1904</v>
      </c>
      <c r="AE3" s="15" t="s">
        <v>1907</v>
      </c>
      <c r="AF3" s="15" t="s">
        <v>1906</v>
      </c>
      <c r="AG3" s="15" t="s">
        <v>1908</v>
      </c>
      <c r="AH3" s="15" t="s">
        <v>1908</v>
      </c>
      <c r="AI3" s="15" t="s">
        <v>1909</v>
      </c>
      <c r="AJ3" s="15" t="s">
        <v>1909</v>
      </c>
      <c r="AK3" s="15" t="s">
        <v>1910</v>
      </c>
      <c r="AL3" s="15" t="s">
        <v>1911</v>
      </c>
    </row>
    <row r="4" spans="1:38" ht="16.5" x14ac:dyDescent="0.3">
      <c r="A4" s="22" t="s">
        <v>49</v>
      </c>
      <c r="B4" s="22" t="s">
        <v>33</v>
      </c>
      <c r="C4" s="22" t="s">
        <v>1902</v>
      </c>
      <c r="D4" s="22"/>
      <c r="E4" s="22"/>
      <c r="F4" s="23" t="s">
        <v>3006</v>
      </c>
      <c r="G4" s="22">
        <v>1</v>
      </c>
      <c r="H4" s="32"/>
      <c r="I4" s="22"/>
      <c r="J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" s="22"/>
      <c r="L4" s="33" t="str">
        <f t="shared" ref="L4:L14" si="0">"凡品升星石"&amp;X5&amp;"/元宝"&amp;Y5</f>
        <v>凡品升星石16/元宝32000</v>
      </c>
      <c r="M4" s="22">
        <v>100</v>
      </c>
      <c r="N4" s="10">
        <v>1</v>
      </c>
      <c r="O4" s="15">
        <f>材料产出!C13</f>
        <v>1.5</v>
      </c>
      <c r="P4" s="15">
        <f t="shared" ref="P4:P37" si="1">INT(N4/N$39*P$39)</f>
        <v>55</v>
      </c>
      <c r="Q4" s="10">
        <f t="shared" ref="Q4:Q37" si="2">INT(P4*1/5)</f>
        <v>11</v>
      </c>
      <c r="R4" s="15">
        <f>参数调整!AT3</f>
        <v>0.5</v>
      </c>
      <c r="S4" s="10">
        <f>INT(Q4*R4)</f>
        <v>5</v>
      </c>
      <c r="T4" s="10">
        <f>P4*(属性价值参考!C$7+属性价值参考!C$8)</f>
        <v>4752</v>
      </c>
      <c r="U4" s="10">
        <f>AB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4" s="10">
        <f t="shared" ref="V4:V38" si="3">(T4+U4)/52*1</f>
        <v>91.384615384615387</v>
      </c>
      <c r="W4" s="10">
        <f t="shared" ref="W4:W38" si="4">(T4+U4)/52*2000</f>
        <v>182769.23076923078</v>
      </c>
      <c r="X4" s="10">
        <f>ROUND(V$39*1/36*O4/11,0)</f>
        <v>16</v>
      </c>
      <c r="Y4" s="10">
        <f t="shared" ref="Y4:Y38" si="5">X4*2000</f>
        <v>32000</v>
      </c>
      <c r="AA4" s="15" t="s">
        <v>55</v>
      </c>
      <c r="AB4" s="15" t="s">
        <v>3307</v>
      </c>
      <c r="AC4" s="15" t="s">
        <v>1921</v>
      </c>
      <c r="AD4" s="15" t="s">
        <v>3308</v>
      </c>
      <c r="AE4" s="15" t="s">
        <v>3309</v>
      </c>
      <c r="AF4" s="15" t="s">
        <v>3310</v>
      </c>
      <c r="AG4" s="15" t="s">
        <v>2690</v>
      </c>
      <c r="AH4" s="15" t="s">
        <v>2690</v>
      </c>
      <c r="AI4" s="15" t="s">
        <v>2690</v>
      </c>
      <c r="AJ4" s="15" t="s">
        <v>2690</v>
      </c>
      <c r="AK4" s="15" t="s">
        <v>2688</v>
      </c>
      <c r="AL4" s="15" t="s">
        <v>2688</v>
      </c>
    </row>
    <row r="5" spans="1:38" ht="16.5" x14ac:dyDescent="0.3">
      <c r="A5" s="22" t="s">
        <v>49</v>
      </c>
      <c r="B5" s="22" t="s">
        <v>33</v>
      </c>
      <c r="C5" s="22" t="s">
        <v>1902</v>
      </c>
      <c r="D5" s="2"/>
      <c r="E5" s="2"/>
      <c r="F5" s="23" t="s">
        <v>3007</v>
      </c>
      <c r="G5" s="22">
        <v>2</v>
      </c>
      <c r="H5" s="2"/>
      <c r="I5" s="2"/>
      <c r="J5" s="22" t="str">
        <f t="shared" ref="J5:J39" si="6">"3#3#"&amp;INT(0.5*S5)&amp;"|"&amp;"3#4#"&amp;S5&amp;"|"&amp;"3#5#"&amp;INT(0.5*S5)&amp;"|"&amp;"3#6#"&amp;S5&amp;"|"&amp;"3#7#"&amp;INT(0.5*S5)&amp;"|"&amp;"3#8#"&amp;S5</f>
        <v>3#3#5|3#4#11|3#5#5|3#6#11|3#7#5|3#8#11</v>
      </c>
      <c r="K5" s="22"/>
      <c r="L5" s="33" t="str">
        <f t="shared" si="0"/>
        <v>凡品升星石19/元宝38000</v>
      </c>
      <c r="M5" s="22">
        <v>100</v>
      </c>
      <c r="N5" s="10">
        <v>2</v>
      </c>
      <c r="O5" s="15">
        <f>材料产出!C13</f>
        <v>1.5</v>
      </c>
      <c r="P5" s="15">
        <f t="shared" si="1"/>
        <v>111</v>
      </c>
      <c r="Q5" s="10">
        <f t="shared" si="2"/>
        <v>22</v>
      </c>
      <c r="R5" s="15">
        <f>参数调整!AT4</f>
        <v>0.5</v>
      </c>
      <c r="S5" s="10">
        <f t="shared" ref="S5:S39" si="7">INT(Q5*R5)</f>
        <v>11</v>
      </c>
      <c r="T5" s="10">
        <f>P5*(属性价值参考!C$7+属性价值参考!C$8)</f>
        <v>9590.4000000000015</v>
      </c>
      <c r="U5" s="10">
        <f>AB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5" s="10">
        <f t="shared" si="3"/>
        <v>184.43076923076927</v>
      </c>
      <c r="W5" s="10">
        <f t="shared" si="4"/>
        <v>368861.53846153856</v>
      </c>
      <c r="X5" s="10">
        <f>ROUND(V$39*1/36*O5/11,0)</f>
        <v>16</v>
      </c>
      <c r="Y5" s="10">
        <f t="shared" si="5"/>
        <v>32000</v>
      </c>
      <c r="AA5" s="141">
        <v>1</v>
      </c>
      <c r="AB5" s="141"/>
      <c r="AC5" s="141"/>
      <c r="AD5" s="141"/>
      <c r="AE5" s="141"/>
      <c r="AF5" s="141"/>
      <c r="AG5" s="141"/>
      <c r="AH5" s="141"/>
      <c r="AI5" s="141"/>
      <c r="AJ5" s="141"/>
      <c r="AK5" s="141"/>
      <c r="AL5" s="141"/>
    </row>
    <row r="6" spans="1:38" ht="16.5" x14ac:dyDescent="0.3">
      <c r="A6" s="22" t="s">
        <v>49</v>
      </c>
      <c r="B6" s="22" t="s">
        <v>33</v>
      </c>
      <c r="C6" s="22" t="s">
        <v>1902</v>
      </c>
      <c r="D6" s="2"/>
      <c r="E6" s="2"/>
      <c r="F6" s="23" t="s">
        <v>3008</v>
      </c>
      <c r="G6" s="22">
        <v>3</v>
      </c>
      <c r="H6" s="2"/>
      <c r="I6" s="2"/>
      <c r="J6" s="22" t="str">
        <f t="shared" si="6"/>
        <v>3#3#8|3#4#16|3#5#8|3#6#16|3#7#8|3#8#16</v>
      </c>
      <c r="K6" s="22"/>
      <c r="L6" s="33" t="str">
        <f t="shared" si="0"/>
        <v>凡品升星石19/元宝38000</v>
      </c>
      <c r="M6" s="22">
        <v>90</v>
      </c>
      <c r="N6" s="10">
        <v>3</v>
      </c>
      <c r="O6" s="15">
        <f>材料产出!C14</f>
        <v>1.8</v>
      </c>
      <c r="P6" s="15">
        <f t="shared" si="1"/>
        <v>166</v>
      </c>
      <c r="Q6" s="10">
        <f t="shared" si="2"/>
        <v>33</v>
      </c>
      <c r="R6" s="15">
        <f>参数调整!AT5</f>
        <v>0.5</v>
      </c>
      <c r="S6" s="10">
        <f t="shared" si="7"/>
        <v>16</v>
      </c>
      <c r="T6" s="10">
        <f>P6*(属性价值参考!C$7+属性价值参考!C$8)</f>
        <v>14342.400000000001</v>
      </c>
      <c r="U6" s="10">
        <f>AB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6" s="10">
        <f t="shared" si="3"/>
        <v>275.81538461538463</v>
      </c>
      <c r="W6" s="10">
        <f t="shared" si="4"/>
        <v>551630.76923076925</v>
      </c>
      <c r="X6" s="10">
        <f t="shared" ref="X6:X39" si="8">ROUND(V$39*1/36*O6/11,0)</f>
        <v>19</v>
      </c>
      <c r="Y6" s="10">
        <f t="shared" si="5"/>
        <v>38000</v>
      </c>
      <c r="AA6" s="141">
        <v>2</v>
      </c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L6" s="141"/>
    </row>
    <row r="7" spans="1:38" ht="16.5" x14ac:dyDescent="0.3">
      <c r="A7" s="22" t="s">
        <v>49</v>
      </c>
      <c r="B7" s="22" t="s">
        <v>33</v>
      </c>
      <c r="C7" s="22" t="s">
        <v>1902</v>
      </c>
      <c r="D7" s="2"/>
      <c r="E7" s="2"/>
      <c r="F7" s="23" t="s">
        <v>3009</v>
      </c>
      <c r="G7" s="22">
        <v>4</v>
      </c>
      <c r="H7" s="2"/>
      <c r="I7" s="2"/>
      <c r="J7" s="22" t="str">
        <f t="shared" si="6"/>
        <v>3#3#11|3#4#22|3#5#11|3#6#22|3#7#11|3#8#22</v>
      </c>
      <c r="K7" s="22"/>
      <c r="L7" s="33" t="str">
        <f t="shared" si="0"/>
        <v>凡品升星石22/元宝44000</v>
      </c>
      <c r="M7" s="22">
        <v>80</v>
      </c>
      <c r="N7" s="10">
        <v>4</v>
      </c>
      <c r="O7" s="15">
        <f>材料产出!C14</f>
        <v>1.8</v>
      </c>
      <c r="P7" s="15">
        <f t="shared" si="1"/>
        <v>222</v>
      </c>
      <c r="Q7" s="10">
        <f t="shared" si="2"/>
        <v>44</v>
      </c>
      <c r="R7" s="15">
        <f>参数调整!AT6</f>
        <v>0.5</v>
      </c>
      <c r="S7" s="10">
        <f t="shared" si="7"/>
        <v>22</v>
      </c>
      <c r="T7" s="10">
        <f>P7*(属性价值参考!C$7+属性价值参考!C$8)</f>
        <v>19180.800000000003</v>
      </c>
      <c r="U7" s="10">
        <f>AB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7" s="10">
        <f t="shared" si="3"/>
        <v>368.86153846153854</v>
      </c>
      <c r="W7" s="10">
        <f t="shared" si="4"/>
        <v>737723.07692307711</v>
      </c>
      <c r="X7" s="10">
        <f t="shared" si="8"/>
        <v>19</v>
      </c>
      <c r="Y7" s="10">
        <f t="shared" si="5"/>
        <v>38000</v>
      </c>
      <c r="AA7" s="141">
        <v>3</v>
      </c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</row>
    <row r="8" spans="1:38" ht="16.5" x14ac:dyDescent="0.3">
      <c r="A8" s="22" t="s">
        <v>49</v>
      </c>
      <c r="B8" s="22" t="s">
        <v>33</v>
      </c>
      <c r="C8" s="22" t="s">
        <v>1902</v>
      </c>
      <c r="D8" s="2"/>
      <c r="E8" s="2"/>
      <c r="F8" s="23" t="s">
        <v>3010</v>
      </c>
      <c r="G8" s="22">
        <v>5</v>
      </c>
      <c r="H8" s="2"/>
      <c r="I8" s="2"/>
      <c r="J8" s="22" t="str">
        <f t="shared" si="6"/>
        <v>3#3#16|3#4#33|3#5#16|3#6#33|3#7#16|3#8#33</v>
      </c>
      <c r="K8" s="22"/>
      <c r="L8" s="33" t="str">
        <f t="shared" si="0"/>
        <v>凡品升星石22/元宝44000</v>
      </c>
      <c r="M8" s="22">
        <v>70</v>
      </c>
      <c r="N8" s="10">
        <v>5</v>
      </c>
      <c r="O8" s="15">
        <f>材料产出!C15</f>
        <v>2.1</v>
      </c>
      <c r="P8" s="15">
        <f t="shared" si="1"/>
        <v>277</v>
      </c>
      <c r="Q8" s="10">
        <f t="shared" si="2"/>
        <v>55</v>
      </c>
      <c r="R8" s="15">
        <f>参数调整!AT7</f>
        <v>0.6</v>
      </c>
      <c r="S8" s="10">
        <f t="shared" si="7"/>
        <v>33</v>
      </c>
      <c r="T8" s="10">
        <f>P8*(属性价值参考!C$7+属性价值参考!C$8)</f>
        <v>23932.800000000003</v>
      </c>
      <c r="U8" s="10">
        <f>AB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8" s="10">
        <f t="shared" si="3"/>
        <v>460.2461538461539</v>
      </c>
      <c r="W8" s="10">
        <f t="shared" si="4"/>
        <v>920492.30769230775</v>
      </c>
      <c r="X8" s="10">
        <f t="shared" si="8"/>
        <v>22</v>
      </c>
      <c r="Y8" s="10">
        <f t="shared" si="5"/>
        <v>44000</v>
      </c>
      <c r="AA8" s="141">
        <v>4</v>
      </c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</row>
    <row r="9" spans="1:38" ht="16.5" x14ac:dyDescent="0.3">
      <c r="A9" s="22" t="s">
        <v>49</v>
      </c>
      <c r="B9" s="22" t="s">
        <v>33</v>
      </c>
      <c r="C9" s="22" t="s">
        <v>1902</v>
      </c>
      <c r="D9" s="2"/>
      <c r="E9" s="2"/>
      <c r="F9" s="23" t="s">
        <v>3011</v>
      </c>
      <c r="G9" s="22">
        <v>6</v>
      </c>
      <c r="H9" s="2"/>
      <c r="I9" s="2"/>
      <c r="J9" s="22" t="str">
        <f t="shared" si="6"/>
        <v>3#3#19|3#4#39|3#5#19|3#6#39|3#7#19|3#8#39</v>
      </c>
      <c r="K9" s="22"/>
      <c r="L9" s="33" t="str">
        <f t="shared" si="0"/>
        <v>凡品升星石26/元宝52000</v>
      </c>
      <c r="M9" s="22">
        <v>60</v>
      </c>
      <c r="N9" s="10">
        <v>6</v>
      </c>
      <c r="O9" s="15">
        <f>材料产出!C15</f>
        <v>2.1</v>
      </c>
      <c r="P9" s="15">
        <f t="shared" si="1"/>
        <v>333</v>
      </c>
      <c r="Q9" s="10">
        <f t="shared" si="2"/>
        <v>66</v>
      </c>
      <c r="R9" s="15">
        <f>参数调整!AT8</f>
        <v>0.6</v>
      </c>
      <c r="S9" s="10">
        <f t="shared" si="7"/>
        <v>39</v>
      </c>
      <c r="T9" s="10">
        <f>P9*(属性价值参考!C$7+属性价值参考!C$8)</f>
        <v>28771.200000000001</v>
      </c>
      <c r="U9" s="10">
        <f>AB10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9" s="10">
        <f t="shared" si="3"/>
        <v>553.29230769230776</v>
      </c>
      <c r="W9" s="10">
        <f t="shared" si="4"/>
        <v>1106584.6153846155</v>
      </c>
      <c r="X9" s="10">
        <f t="shared" si="8"/>
        <v>22</v>
      </c>
      <c r="Y9" s="10">
        <f t="shared" si="5"/>
        <v>44000</v>
      </c>
      <c r="AA9" s="141">
        <v>5</v>
      </c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</row>
    <row r="10" spans="1:38" ht="16.5" x14ac:dyDescent="0.3">
      <c r="A10" s="22" t="s">
        <v>49</v>
      </c>
      <c r="B10" s="22" t="s">
        <v>33</v>
      </c>
      <c r="C10" s="22" t="s">
        <v>1902</v>
      </c>
      <c r="D10" s="2"/>
      <c r="E10" s="2"/>
      <c r="F10" s="23" t="s">
        <v>3012</v>
      </c>
      <c r="G10" s="22">
        <v>7</v>
      </c>
      <c r="H10" s="2"/>
      <c r="I10" s="2"/>
      <c r="J10" s="22" t="str">
        <f t="shared" si="6"/>
        <v>3#3#23|3#4#46|3#5#23|3#6#46|3#7#23|3#8#46</v>
      </c>
      <c r="K10" s="22" t="str">
        <f>$AB$4&amp;AB11&amp;"%"</f>
        <v>伤害减免1%</v>
      </c>
      <c r="L10" s="33" t="str">
        <f t="shared" si="0"/>
        <v>凡品升星石26/元宝52000</v>
      </c>
      <c r="M10" s="22">
        <v>50</v>
      </c>
      <c r="N10" s="10">
        <v>7</v>
      </c>
      <c r="O10" s="15">
        <f>材料产出!C16</f>
        <v>2.5</v>
      </c>
      <c r="P10" s="15">
        <f t="shared" si="1"/>
        <v>388</v>
      </c>
      <c r="Q10" s="10">
        <f t="shared" si="2"/>
        <v>77</v>
      </c>
      <c r="R10" s="15">
        <f>参数调整!AT9</f>
        <v>0.6</v>
      </c>
      <c r="S10" s="10">
        <f t="shared" si="7"/>
        <v>46</v>
      </c>
      <c r="T10" s="10">
        <f>P10*(属性价值参考!C$7+属性价值参考!C$8)</f>
        <v>33523.200000000004</v>
      </c>
      <c r="U10" s="10">
        <f>AB11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2524.8000000000002</v>
      </c>
      <c r="V10" s="10">
        <f t="shared" si="3"/>
        <v>693.2307692307694</v>
      </c>
      <c r="W10" s="10">
        <f t="shared" si="4"/>
        <v>1386461.5384615387</v>
      </c>
      <c r="X10" s="10">
        <f t="shared" si="8"/>
        <v>26</v>
      </c>
      <c r="Y10" s="10">
        <f t="shared" si="5"/>
        <v>52000</v>
      </c>
      <c r="AA10" s="141">
        <v>6</v>
      </c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</row>
    <row r="11" spans="1:38" ht="16.5" x14ac:dyDescent="0.3">
      <c r="A11" s="22" t="s">
        <v>49</v>
      </c>
      <c r="B11" s="22" t="s">
        <v>33</v>
      </c>
      <c r="C11" s="22" t="s">
        <v>1902</v>
      </c>
      <c r="D11" s="2"/>
      <c r="E11" s="2"/>
      <c r="F11" s="23" t="s">
        <v>3013</v>
      </c>
      <c r="G11" s="22">
        <v>8</v>
      </c>
      <c r="H11" s="2"/>
      <c r="I11" s="2"/>
      <c r="J11" s="22" t="str">
        <f t="shared" si="6"/>
        <v>3#3#26|3#4#52|3#5#26|3#6#52|3#7#26|3#8#52</v>
      </c>
      <c r="K11" s="22" t="str">
        <f t="shared" ref="K11:K39" si="9">$AB$4&amp;AB12&amp;"%"</f>
        <v>伤害减免2%</v>
      </c>
      <c r="L11" s="33" t="str">
        <f t="shared" si="0"/>
        <v>凡品升星石32/元宝64000</v>
      </c>
      <c r="M11" s="22">
        <v>40</v>
      </c>
      <c r="N11" s="10">
        <v>8</v>
      </c>
      <c r="O11" s="15">
        <f>材料产出!C16</f>
        <v>2.5</v>
      </c>
      <c r="P11" s="15">
        <f t="shared" si="1"/>
        <v>444</v>
      </c>
      <c r="Q11" s="10">
        <f t="shared" si="2"/>
        <v>88</v>
      </c>
      <c r="R11" s="15">
        <f>参数调整!AT10</f>
        <v>0.6</v>
      </c>
      <c r="S11" s="10">
        <f t="shared" si="7"/>
        <v>52</v>
      </c>
      <c r="T11" s="10">
        <f>P11*(属性价值参考!C$7+属性价值参考!C$8)</f>
        <v>38361.600000000006</v>
      </c>
      <c r="U11" s="10">
        <f>AB12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5049.6000000000004</v>
      </c>
      <c r="V11" s="10">
        <f t="shared" si="3"/>
        <v>834.83076923076931</v>
      </c>
      <c r="W11" s="10">
        <f t="shared" si="4"/>
        <v>1669661.5384615385</v>
      </c>
      <c r="X11" s="10">
        <f t="shared" si="8"/>
        <v>26</v>
      </c>
      <c r="Y11" s="10">
        <f t="shared" si="5"/>
        <v>52000</v>
      </c>
      <c r="AA11" s="141">
        <v>7</v>
      </c>
      <c r="AB11" s="141">
        <f>1*1/18*AB40</f>
        <v>1</v>
      </c>
      <c r="AC11" s="141">
        <f t="shared" ref="AC11:AL11" si="10">1*1/18*AC40</f>
        <v>1</v>
      </c>
      <c r="AD11" s="141">
        <f t="shared" si="10"/>
        <v>1</v>
      </c>
      <c r="AE11" s="141">
        <f t="shared" si="10"/>
        <v>1</v>
      </c>
      <c r="AF11" s="141">
        <f t="shared" si="10"/>
        <v>1</v>
      </c>
      <c r="AG11" s="141">
        <f t="shared" si="10"/>
        <v>1</v>
      </c>
      <c r="AH11" s="141">
        <f t="shared" si="10"/>
        <v>1</v>
      </c>
      <c r="AI11" s="141">
        <f t="shared" si="10"/>
        <v>1</v>
      </c>
      <c r="AJ11" s="141">
        <f t="shared" si="10"/>
        <v>1</v>
      </c>
      <c r="AK11" s="141">
        <f t="shared" si="10"/>
        <v>1</v>
      </c>
      <c r="AL11" s="141">
        <f t="shared" si="10"/>
        <v>1</v>
      </c>
    </row>
    <row r="12" spans="1:38" ht="16.5" x14ac:dyDescent="0.3">
      <c r="A12" s="22" t="s">
        <v>49</v>
      </c>
      <c r="B12" s="22" t="s">
        <v>33</v>
      </c>
      <c r="C12" s="22" t="s">
        <v>1902</v>
      </c>
      <c r="D12" s="2"/>
      <c r="E12" s="2"/>
      <c r="F12" s="23" t="s">
        <v>3014</v>
      </c>
      <c r="G12" s="22">
        <v>9</v>
      </c>
      <c r="H12" s="2"/>
      <c r="I12" s="2"/>
      <c r="J12" s="22" t="str">
        <f t="shared" si="6"/>
        <v>3#3#35|3#4#70|3#5#35|3#6#70|3#7#35|3#8#70</v>
      </c>
      <c r="K12" s="22" t="str">
        <f t="shared" si="9"/>
        <v>伤害减免3%</v>
      </c>
      <c r="L12" s="33" t="str">
        <f t="shared" si="0"/>
        <v>凡品升星石32/元宝64000</v>
      </c>
      <c r="M12" s="22">
        <v>30</v>
      </c>
      <c r="N12" s="10">
        <v>9</v>
      </c>
      <c r="O12" s="15">
        <f>材料产出!C17</f>
        <v>3</v>
      </c>
      <c r="P12" s="15">
        <f t="shared" si="1"/>
        <v>500</v>
      </c>
      <c r="Q12" s="10">
        <f t="shared" si="2"/>
        <v>100</v>
      </c>
      <c r="R12" s="15">
        <f>参数调整!AT11</f>
        <v>0.7</v>
      </c>
      <c r="S12" s="10">
        <f t="shared" si="7"/>
        <v>70</v>
      </c>
      <c r="T12" s="10">
        <f>P12*(属性价值参考!C$7+属性价值参考!C$8)</f>
        <v>43200</v>
      </c>
      <c r="U12" s="10">
        <f>AB13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2" s="10">
        <f t="shared" si="3"/>
        <v>976.43076923076922</v>
      </c>
      <c r="W12" s="10">
        <f t="shared" si="4"/>
        <v>1952861.5384615385</v>
      </c>
      <c r="X12" s="10">
        <f t="shared" si="8"/>
        <v>32</v>
      </c>
      <c r="Y12" s="10">
        <f t="shared" si="5"/>
        <v>64000</v>
      </c>
      <c r="AA12" s="141">
        <v>8</v>
      </c>
      <c r="AB12" s="141">
        <f>2*1/18*AB40</f>
        <v>2</v>
      </c>
      <c r="AC12" s="141">
        <f t="shared" ref="AC12:AL12" si="11">2*1/18*AC40</f>
        <v>2</v>
      </c>
      <c r="AD12" s="141">
        <f t="shared" si="11"/>
        <v>2</v>
      </c>
      <c r="AE12" s="141">
        <f t="shared" si="11"/>
        <v>2</v>
      </c>
      <c r="AF12" s="141">
        <f t="shared" si="11"/>
        <v>2</v>
      </c>
      <c r="AG12" s="141">
        <f t="shared" si="11"/>
        <v>2</v>
      </c>
      <c r="AH12" s="141">
        <f t="shared" si="11"/>
        <v>2</v>
      </c>
      <c r="AI12" s="141">
        <f t="shared" si="11"/>
        <v>2</v>
      </c>
      <c r="AJ12" s="141">
        <f t="shared" si="11"/>
        <v>2</v>
      </c>
      <c r="AK12" s="141">
        <f t="shared" si="11"/>
        <v>2</v>
      </c>
      <c r="AL12" s="141">
        <f t="shared" si="11"/>
        <v>2</v>
      </c>
    </row>
    <row r="13" spans="1:38" ht="16.5" x14ac:dyDescent="0.3">
      <c r="A13" s="22" t="s">
        <v>49</v>
      </c>
      <c r="B13" s="22" t="s">
        <v>33</v>
      </c>
      <c r="C13" s="22" t="s">
        <v>1902</v>
      </c>
      <c r="D13" s="2"/>
      <c r="E13" s="2"/>
      <c r="F13" s="23" t="s">
        <v>3015</v>
      </c>
      <c r="G13" s="22">
        <v>10</v>
      </c>
      <c r="H13" s="2"/>
      <c r="I13" s="2"/>
      <c r="J13" s="22" t="str">
        <f t="shared" si="6"/>
        <v>3#3#38|3#4#77|3#5#38|3#6#77|3#7#38|3#8#77</v>
      </c>
      <c r="K13" s="22" t="str">
        <f t="shared" si="9"/>
        <v>伤害减免3%</v>
      </c>
      <c r="L13" s="33" t="str">
        <f t="shared" si="0"/>
        <v>凡品升星石37/元宝74000</v>
      </c>
      <c r="M13" s="22">
        <v>20</v>
      </c>
      <c r="N13" s="10">
        <v>10</v>
      </c>
      <c r="O13" s="15">
        <f>材料产出!C17</f>
        <v>3</v>
      </c>
      <c r="P13" s="15">
        <f t="shared" si="1"/>
        <v>555</v>
      </c>
      <c r="Q13" s="10">
        <f t="shared" si="2"/>
        <v>111</v>
      </c>
      <c r="R13" s="15">
        <f>参数调整!AT12</f>
        <v>0.7</v>
      </c>
      <c r="S13" s="10">
        <f t="shared" si="7"/>
        <v>77</v>
      </c>
      <c r="T13" s="10">
        <f>P13*(属性价值参考!C$7+属性价值参考!C$8)</f>
        <v>47952</v>
      </c>
      <c r="U13" s="10">
        <f>AB14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3" s="10">
        <f t="shared" si="3"/>
        <v>1067.8153846153846</v>
      </c>
      <c r="W13" s="10">
        <f t="shared" si="4"/>
        <v>2135630.769230769</v>
      </c>
      <c r="X13" s="10">
        <f t="shared" si="8"/>
        <v>32</v>
      </c>
      <c r="Y13" s="10">
        <f t="shared" si="5"/>
        <v>64000</v>
      </c>
      <c r="AA13" s="141">
        <v>9</v>
      </c>
      <c r="AB13" s="141">
        <f>3*1/18*AB40</f>
        <v>3</v>
      </c>
      <c r="AC13" s="141">
        <f t="shared" ref="AC13:AL13" si="12">3*1/18*AC40</f>
        <v>3</v>
      </c>
      <c r="AD13" s="141">
        <f t="shared" si="12"/>
        <v>3</v>
      </c>
      <c r="AE13" s="141">
        <f t="shared" si="12"/>
        <v>3</v>
      </c>
      <c r="AF13" s="141">
        <f t="shared" si="12"/>
        <v>3</v>
      </c>
      <c r="AG13" s="141">
        <f t="shared" si="12"/>
        <v>3</v>
      </c>
      <c r="AH13" s="141">
        <f t="shared" si="12"/>
        <v>3</v>
      </c>
      <c r="AI13" s="141">
        <f t="shared" si="12"/>
        <v>3</v>
      </c>
      <c r="AJ13" s="141">
        <f t="shared" si="12"/>
        <v>3</v>
      </c>
      <c r="AK13" s="141">
        <f t="shared" si="12"/>
        <v>3</v>
      </c>
      <c r="AL13" s="141">
        <f t="shared" si="12"/>
        <v>3</v>
      </c>
    </row>
    <row r="14" spans="1:38" ht="16.5" x14ac:dyDescent="0.3">
      <c r="A14" s="22" t="s">
        <v>49</v>
      </c>
      <c r="B14" s="22" t="s">
        <v>33</v>
      </c>
      <c r="C14" s="22" t="s">
        <v>1902</v>
      </c>
      <c r="D14" s="2"/>
      <c r="E14" s="2"/>
      <c r="F14" s="23" t="s">
        <v>3016</v>
      </c>
      <c r="G14" s="22">
        <v>11</v>
      </c>
      <c r="H14" s="2"/>
      <c r="I14" s="2"/>
      <c r="J14" s="22" t="str">
        <f t="shared" si="6"/>
        <v>3#3#42|3#4#85|3#5#42|3#6#85|3#7#42|3#8#85</v>
      </c>
      <c r="K14" s="22" t="str">
        <f t="shared" si="9"/>
        <v>伤害减免4%</v>
      </c>
      <c r="L14" s="33" t="str">
        <f t="shared" si="0"/>
        <v>凡品升星石37/元宝74000</v>
      </c>
      <c r="M14" s="22">
        <v>15</v>
      </c>
      <c r="N14" s="10">
        <v>11</v>
      </c>
      <c r="O14" s="15">
        <f>材料产出!C18</f>
        <v>3.5</v>
      </c>
      <c r="P14" s="15">
        <f t="shared" si="1"/>
        <v>611</v>
      </c>
      <c r="Q14" s="10">
        <f t="shared" si="2"/>
        <v>122</v>
      </c>
      <c r="R14" s="15">
        <f>参数调整!AT13</f>
        <v>0.7</v>
      </c>
      <c r="S14" s="10">
        <f t="shared" si="7"/>
        <v>85</v>
      </c>
      <c r="T14" s="10">
        <f>P14*(属性价值参考!C$7+属性价值参考!C$8)</f>
        <v>52790.400000000001</v>
      </c>
      <c r="U14" s="10">
        <f>AB15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4" s="10">
        <f t="shared" si="3"/>
        <v>1209.4153846153847</v>
      </c>
      <c r="W14" s="10">
        <f t="shared" si="4"/>
        <v>2418830.7692307695</v>
      </c>
      <c r="X14" s="10">
        <f t="shared" si="8"/>
        <v>37</v>
      </c>
      <c r="Y14" s="10">
        <f t="shared" si="5"/>
        <v>74000</v>
      </c>
      <c r="AA14" s="141">
        <v>10</v>
      </c>
      <c r="AB14" s="141">
        <f>3*1/18*AB40</f>
        <v>3</v>
      </c>
      <c r="AC14" s="141">
        <f t="shared" ref="AC14:AL14" si="13">3*1/18*AC40</f>
        <v>3</v>
      </c>
      <c r="AD14" s="141">
        <f t="shared" si="13"/>
        <v>3</v>
      </c>
      <c r="AE14" s="141">
        <f t="shared" si="13"/>
        <v>3</v>
      </c>
      <c r="AF14" s="141">
        <f t="shared" si="13"/>
        <v>3</v>
      </c>
      <c r="AG14" s="141">
        <f t="shared" si="13"/>
        <v>3</v>
      </c>
      <c r="AH14" s="141">
        <f t="shared" si="13"/>
        <v>3</v>
      </c>
      <c r="AI14" s="141">
        <f t="shared" si="13"/>
        <v>3</v>
      </c>
      <c r="AJ14" s="141">
        <f t="shared" si="13"/>
        <v>3</v>
      </c>
      <c r="AK14" s="141">
        <f t="shared" si="13"/>
        <v>3</v>
      </c>
      <c r="AL14" s="141">
        <f t="shared" si="13"/>
        <v>3</v>
      </c>
    </row>
    <row r="15" spans="1:38" ht="16.5" x14ac:dyDescent="0.3">
      <c r="A15" s="22" t="s">
        <v>49</v>
      </c>
      <c r="B15" s="22" t="s">
        <v>33</v>
      </c>
      <c r="C15" s="22" t="s">
        <v>1902</v>
      </c>
      <c r="D15" s="2"/>
      <c r="E15" s="2"/>
      <c r="F15" s="23" t="s">
        <v>3017</v>
      </c>
      <c r="G15" s="22">
        <v>12</v>
      </c>
      <c r="H15" s="2"/>
      <c r="I15" s="2"/>
      <c r="J15" s="22" t="str">
        <f t="shared" si="6"/>
        <v>3#3#46|3#4#93|3#5#46|3#6#93|3#7#46|3#8#93</v>
      </c>
      <c r="K15" s="22" t="str">
        <f t="shared" si="9"/>
        <v>伤害减免4%</v>
      </c>
      <c r="L15" s="33" t="str">
        <f>"仙品升星石"&amp;INT(X16/2)&amp;"/元宝"&amp;Y16</f>
        <v>仙品升星石19/元宝78000</v>
      </c>
      <c r="M15" s="22">
        <v>100</v>
      </c>
      <c r="N15" s="10">
        <v>12</v>
      </c>
      <c r="O15" s="15">
        <f>材料产出!C18</f>
        <v>3.5</v>
      </c>
      <c r="P15" s="15">
        <f t="shared" si="1"/>
        <v>666</v>
      </c>
      <c r="Q15" s="10">
        <f t="shared" si="2"/>
        <v>133</v>
      </c>
      <c r="R15" s="15">
        <f>参数调整!AT14</f>
        <v>0.7</v>
      </c>
      <c r="S15" s="10">
        <f t="shared" si="7"/>
        <v>93</v>
      </c>
      <c r="T15" s="10">
        <f>P15*(属性价值参考!C$7+属性价值参考!C$8)</f>
        <v>57542.400000000001</v>
      </c>
      <c r="U15" s="10">
        <f>AB16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5" s="10">
        <f t="shared" si="3"/>
        <v>1300.8000000000002</v>
      </c>
      <c r="W15" s="10">
        <f t="shared" si="4"/>
        <v>2601600.0000000005</v>
      </c>
      <c r="X15" s="10">
        <f t="shared" si="8"/>
        <v>37</v>
      </c>
      <c r="Y15" s="10">
        <f t="shared" si="5"/>
        <v>74000</v>
      </c>
      <c r="AA15" s="141">
        <v>11</v>
      </c>
      <c r="AB15" s="141">
        <f>4*1/18*AB40</f>
        <v>4</v>
      </c>
      <c r="AC15" s="141">
        <f t="shared" ref="AC15:AL15" si="14">4*1/18*AC40</f>
        <v>4</v>
      </c>
      <c r="AD15" s="141">
        <f t="shared" si="14"/>
        <v>4</v>
      </c>
      <c r="AE15" s="141">
        <f t="shared" si="14"/>
        <v>4</v>
      </c>
      <c r="AF15" s="141">
        <f t="shared" si="14"/>
        <v>4</v>
      </c>
      <c r="AG15" s="141">
        <f t="shared" si="14"/>
        <v>4</v>
      </c>
      <c r="AH15" s="141">
        <f t="shared" si="14"/>
        <v>4</v>
      </c>
      <c r="AI15" s="141">
        <f t="shared" si="14"/>
        <v>4</v>
      </c>
      <c r="AJ15" s="141">
        <f t="shared" si="14"/>
        <v>4</v>
      </c>
      <c r="AK15" s="141">
        <f t="shared" si="14"/>
        <v>4</v>
      </c>
      <c r="AL15" s="141">
        <f t="shared" si="14"/>
        <v>4</v>
      </c>
    </row>
    <row r="16" spans="1:38" ht="16.5" x14ac:dyDescent="0.3">
      <c r="A16" s="22" t="s">
        <v>49</v>
      </c>
      <c r="B16" s="22" t="s">
        <v>33</v>
      </c>
      <c r="C16" s="22" t="s">
        <v>1902</v>
      </c>
      <c r="D16" s="2"/>
      <c r="E16" s="2"/>
      <c r="F16" s="23" t="s">
        <v>3018</v>
      </c>
      <c r="G16" s="22">
        <v>13</v>
      </c>
      <c r="H16" s="2"/>
      <c r="I16" s="2"/>
      <c r="J16" s="22" t="str">
        <f t="shared" si="6"/>
        <v>3#3#54|3#4#108|3#5#54|3#6#108|3#7#54|3#8#108</v>
      </c>
      <c r="K16" s="22" t="str">
        <f t="shared" si="9"/>
        <v>伤害减免5%</v>
      </c>
      <c r="L16" s="33" t="str">
        <f t="shared" ref="L16:L26" si="15">"仙品升星石"&amp;INT(X17/2)&amp;"/元宝"&amp;Y17</f>
        <v>仙品升星石19/元宝78000</v>
      </c>
      <c r="M16" s="22">
        <v>100</v>
      </c>
      <c r="N16" s="10">
        <v>13</v>
      </c>
      <c r="O16" s="15">
        <f>材料产出!C19</f>
        <v>3.7</v>
      </c>
      <c r="P16" s="15">
        <f t="shared" si="1"/>
        <v>722</v>
      </c>
      <c r="Q16" s="10">
        <f t="shared" si="2"/>
        <v>144</v>
      </c>
      <c r="R16" s="15">
        <f>参数调整!AT15</f>
        <v>0.75</v>
      </c>
      <c r="S16" s="10">
        <f t="shared" si="7"/>
        <v>108</v>
      </c>
      <c r="T16" s="10">
        <f>P16*(属性价值参考!C$7+属性价值参考!C$8)</f>
        <v>62380.800000000003</v>
      </c>
      <c r="U16" s="10">
        <f>AB17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6" s="10">
        <f t="shared" si="3"/>
        <v>1442.4</v>
      </c>
      <c r="W16" s="10">
        <f t="shared" si="4"/>
        <v>2884800</v>
      </c>
      <c r="X16" s="10">
        <f t="shared" si="8"/>
        <v>39</v>
      </c>
      <c r="Y16" s="10">
        <f t="shared" si="5"/>
        <v>78000</v>
      </c>
      <c r="AA16" s="141">
        <v>12</v>
      </c>
      <c r="AB16" s="141">
        <f>4*1/18*AB40</f>
        <v>4</v>
      </c>
      <c r="AC16" s="141">
        <f t="shared" ref="AC16:AL16" si="16">4*1/18*AC40</f>
        <v>4</v>
      </c>
      <c r="AD16" s="141">
        <f t="shared" si="16"/>
        <v>4</v>
      </c>
      <c r="AE16" s="141">
        <f t="shared" si="16"/>
        <v>4</v>
      </c>
      <c r="AF16" s="141">
        <f t="shared" si="16"/>
        <v>4</v>
      </c>
      <c r="AG16" s="141">
        <f t="shared" si="16"/>
        <v>4</v>
      </c>
      <c r="AH16" s="141">
        <f t="shared" si="16"/>
        <v>4</v>
      </c>
      <c r="AI16" s="141">
        <f t="shared" si="16"/>
        <v>4</v>
      </c>
      <c r="AJ16" s="141">
        <f t="shared" si="16"/>
        <v>4</v>
      </c>
      <c r="AK16" s="141">
        <f t="shared" si="16"/>
        <v>4</v>
      </c>
      <c r="AL16" s="141">
        <f t="shared" si="16"/>
        <v>4</v>
      </c>
    </row>
    <row r="17" spans="1:38" ht="16.5" x14ac:dyDescent="0.3">
      <c r="A17" s="22" t="s">
        <v>49</v>
      </c>
      <c r="B17" s="22" t="s">
        <v>33</v>
      </c>
      <c r="C17" s="22" t="s">
        <v>1902</v>
      </c>
      <c r="D17" s="2"/>
      <c r="E17" s="2"/>
      <c r="F17" s="23" t="s">
        <v>3019</v>
      </c>
      <c r="G17" s="22">
        <v>14</v>
      </c>
      <c r="H17" s="2"/>
      <c r="I17" s="2"/>
      <c r="J17" s="22" t="str">
        <f t="shared" si="6"/>
        <v>3#3#58|3#4#116|3#5#58|3#6#116|3#7#58|3#8#116</v>
      </c>
      <c r="K17" s="22" t="str">
        <f t="shared" si="9"/>
        <v>伤害减免5%</v>
      </c>
      <c r="L17" s="33" t="str">
        <f t="shared" si="15"/>
        <v>仙品升星石21/元宝84000</v>
      </c>
      <c r="M17" s="22">
        <v>100</v>
      </c>
      <c r="N17" s="10">
        <v>14</v>
      </c>
      <c r="O17" s="15">
        <f>材料产出!C19</f>
        <v>3.7</v>
      </c>
      <c r="P17" s="15">
        <f t="shared" si="1"/>
        <v>777</v>
      </c>
      <c r="Q17" s="10">
        <f t="shared" si="2"/>
        <v>155</v>
      </c>
      <c r="R17" s="15">
        <f>参数调整!AT16</f>
        <v>0.75</v>
      </c>
      <c r="S17" s="10">
        <f t="shared" si="7"/>
        <v>116</v>
      </c>
      <c r="T17" s="10">
        <f>P17*(属性价值参考!C$7+属性价值参考!C$8)</f>
        <v>67132.800000000003</v>
      </c>
      <c r="U17" s="10">
        <f>AB18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7" s="10">
        <f t="shared" si="3"/>
        <v>1533.7846153846153</v>
      </c>
      <c r="W17" s="10">
        <f t="shared" si="4"/>
        <v>3067569.2307692305</v>
      </c>
      <c r="X17" s="10">
        <f t="shared" si="8"/>
        <v>39</v>
      </c>
      <c r="Y17" s="10">
        <f t="shared" si="5"/>
        <v>78000</v>
      </c>
      <c r="AA17" s="141">
        <v>13</v>
      </c>
      <c r="AB17" s="141">
        <f>5*1/18*AB40</f>
        <v>5</v>
      </c>
      <c r="AC17" s="141">
        <f t="shared" ref="AC17:AL17" si="17">5*1/18*AC40</f>
        <v>5</v>
      </c>
      <c r="AD17" s="141">
        <f t="shared" si="17"/>
        <v>5</v>
      </c>
      <c r="AE17" s="141">
        <f t="shared" si="17"/>
        <v>5</v>
      </c>
      <c r="AF17" s="141">
        <f t="shared" si="17"/>
        <v>5</v>
      </c>
      <c r="AG17" s="141">
        <f t="shared" si="17"/>
        <v>5</v>
      </c>
      <c r="AH17" s="141">
        <f t="shared" si="17"/>
        <v>5</v>
      </c>
      <c r="AI17" s="141">
        <f t="shared" si="17"/>
        <v>5</v>
      </c>
      <c r="AJ17" s="141">
        <f t="shared" si="17"/>
        <v>5</v>
      </c>
      <c r="AK17" s="141">
        <f t="shared" si="17"/>
        <v>5</v>
      </c>
      <c r="AL17" s="141">
        <f t="shared" si="17"/>
        <v>5</v>
      </c>
    </row>
    <row r="18" spans="1:38" ht="16.5" x14ac:dyDescent="0.3">
      <c r="A18" s="22" t="s">
        <v>49</v>
      </c>
      <c r="B18" s="22" t="s">
        <v>33</v>
      </c>
      <c r="C18" s="22" t="s">
        <v>1902</v>
      </c>
      <c r="D18" s="2"/>
      <c r="E18" s="2"/>
      <c r="F18" s="23" t="s">
        <v>3020</v>
      </c>
      <c r="G18" s="22">
        <v>15</v>
      </c>
      <c r="H18" s="2"/>
      <c r="I18" s="2"/>
      <c r="J18" s="22" t="str">
        <f t="shared" si="6"/>
        <v>3#3#62|3#4#124|3#5#62|3#6#124|3#7#62|3#8#124</v>
      </c>
      <c r="K18" s="22" t="str">
        <f t="shared" si="9"/>
        <v>伤害减免6%</v>
      </c>
      <c r="L18" s="33" t="str">
        <f t="shared" si="15"/>
        <v>仙品升星石21/元宝84000</v>
      </c>
      <c r="M18" s="22">
        <v>70</v>
      </c>
      <c r="N18" s="10">
        <v>15</v>
      </c>
      <c r="O18" s="15">
        <f>材料产出!C20</f>
        <v>4</v>
      </c>
      <c r="P18" s="15">
        <f t="shared" si="1"/>
        <v>833</v>
      </c>
      <c r="Q18" s="10">
        <f t="shared" si="2"/>
        <v>166</v>
      </c>
      <c r="R18" s="15">
        <f>参数调整!AT17</f>
        <v>0.75</v>
      </c>
      <c r="S18" s="10">
        <f t="shared" si="7"/>
        <v>124</v>
      </c>
      <c r="T18" s="10">
        <f>P18*(属性价值参考!C$7+属性价值参考!C$8)</f>
        <v>71971.200000000012</v>
      </c>
      <c r="U18" s="10">
        <f>AB19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8" s="10">
        <f t="shared" si="3"/>
        <v>1675.3846153846157</v>
      </c>
      <c r="W18" s="10">
        <f t="shared" si="4"/>
        <v>3350769.2307692314</v>
      </c>
      <c r="X18" s="10">
        <f t="shared" si="8"/>
        <v>42</v>
      </c>
      <c r="Y18" s="10">
        <f t="shared" si="5"/>
        <v>84000</v>
      </c>
      <c r="AA18" s="141">
        <v>14</v>
      </c>
      <c r="AB18" s="141">
        <f>5*1/18*AB40</f>
        <v>5</v>
      </c>
      <c r="AC18" s="141">
        <f t="shared" ref="AC18:AL18" si="18">5*1/18*AC40</f>
        <v>5</v>
      </c>
      <c r="AD18" s="141">
        <f t="shared" si="18"/>
        <v>5</v>
      </c>
      <c r="AE18" s="141">
        <f t="shared" si="18"/>
        <v>5</v>
      </c>
      <c r="AF18" s="141">
        <f t="shared" si="18"/>
        <v>5</v>
      </c>
      <c r="AG18" s="141">
        <f t="shared" si="18"/>
        <v>5</v>
      </c>
      <c r="AH18" s="141">
        <f t="shared" si="18"/>
        <v>5</v>
      </c>
      <c r="AI18" s="141">
        <f t="shared" si="18"/>
        <v>5</v>
      </c>
      <c r="AJ18" s="141">
        <f t="shared" si="18"/>
        <v>5</v>
      </c>
      <c r="AK18" s="141">
        <f t="shared" si="18"/>
        <v>5</v>
      </c>
      <c r="AL18" s="141">
        <f t="shared" si="18"/>
        <v>5</v>
      </c>
    </row>
    <row r="19" spans="1:38" ht="16.5" x14ac:dyDescent="0.3">
      <c r="A19" s="22" t="s">
        <v>49</v>
      </c>
      <c r="B19" s="22" t="s">
        <v>33</v>
      </c>
      <c r="C19" s="22" t="s">
        <v>1902</v>
      </c>
      <c r="D19" s="2"/>
      <c r="E19" s="2"/>
      <c r="F19" s="23" t="s">
        <v>3021</v>
      </c>
      <c r="G19" s="22">
        <v>16</v>
      </c>
      <c r="H19" s="2"/>
      <c r="I19" s="2"/>
      <c r="J19" s="22" t="str">
        <f t="shared" si="6"/>
        <v>3#3#66|3#4#132|3#5#66|3#6#132|3#7#66|3#8#132</v>
      </c>
      <c r="K19" s="22" t="str">
        <f t="shared" si="9"/>
        <v>伤害减免6%</v>
      </c>
      <c r="L19" s="33" t="str">
        <f t="shared" si="15"/>
        <v>仙品升星石23/元宝92000</v>
      </c>
      <c r="M19" s="22">
        <v>60</v>
      </c>
      <c r="N19" s="10">
        <v>16</v>
      </c>
      <c r="O19" s="15">
        <f>材料产出!C20</f>
        <v>4</v>
      </c>
      <c r="P19" s="15">
        <f t="shared" si="1"/>
        <v>888</v>
      </c>
      <c r="Q19" s="10">
        <f t="shared" si="2"/>
        <v>177</v>
      </c>
      <c r="R19" s="15">
        <f>参数调整!AT18</f>
        <v>0.75</v>
      </c>
      <c r="S19" s="10">
        <f t="shared" si="7"/>
        <v>132</v>
      </c>
      <c r="T19" s="10">
        <f>P19*(属性价值参考!C$7+属性价值参考!C$8)</f>
        <v>76723.200000000012</v>
      </c>
      <c r="U19" s="10">
        <f>AB20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9" s="10">
        <f t="shared" si="3"/>
        <v>1766.7692307692309</v>
      </c>
      <c r="W19" s="10">
        <f t="shared" si="4"/>
        <v>3533538.461538462</v>
      </c>
      <c r="X19" s="10">
        <f t="shared" si="8"/>
        <v>42</v>
      </c>
      <c r="Y19" s="10">
        <f t="shared" si="5"/>
        <v>84000</v>
      </c>
      <c r="AA19" s="141">
        <v>15</v>
      </c>
      <c r="AB19" s="141">
        <f>6*1/18*AB40</f>
        <v>6</v>
      </c>
      <c r="AC19" s="141">
        <f t="shared" ref="AC19:AL19" si="19">6*1/18*AC40</f>
        <v>6</v>
      </c>
      <c r="AD19" s="141">
        <f t="shared" si="19"/>
        <v>6</v>
      </c>
      <c r="AE19" s="141">
        <f t="shared" si="19"/>
        <v>6</v>
      </c>
      <c r="AF19" s="141">
        <f t="shared" si="19"/>
        <v>6</v>
      </c>
      <c r="AG19" s="141">
        <f t="shared" si="19"/>
        <v>6</v>
      </c>
      <c r="AH19" s="141">
        <f t="shared" si="19"/>
        <v>6</v>
      </c>
      <c r="AI19" s="141">
        <f t="shared" si="19"/>
        <v>6</v>
      </c>
      <c r="AJ19" s="141">
        <f t="shared" si="19"/>
        <v>6</v>
      </c>
      <c r="AK19" s="141">
        <f t="shared" si="19"/>
        <v>6</v>
      </c>
      <c r="AL19" s="141">
        <f t="shared" si="19"/>
        <v>6</v>
      </c>
    </row>
    <row r="20" spans="1:38" ht="16.5" x14ac:dyDescent="0.3">
      <c r="A20" s="22" t="s">
        <v>49</v>
      </c>
      <c r="B20" s="22" t="s">
        <v>33</v>
      </c>
      <c r="C20" s="22" t="s">
        <v>1902</v>
      </c>
      <c r="D20" s="2"/>
      <c r="E20" s="2"/>
      <c r="F20" s="23" t="s">
        <v>3022</v>
      </c>
      <c r="G20" s="22">
        <v>17</v>
      </c>
      <c r="H20" s="2"/>
      <c r="I20" s="2"/>
      <c r="J20" s="22" t="str">
        <f t="shared" si="6"/>
        <v>3#3#79|3#4#159|3#5#79|3#6#159|3#7#79|3#8#159</v>
      </c>
      <c r="K20" s="22" t="str">
        <f t="shared" si="9"/>
        <v>伤害减免7%</v>
      </c>
      <c r="L20" s="33" t="str">
        <f t="shared" si="15"/>
        <v>仙品升星石23/元宝92000</v>
      </c>
      <c r="M20" s="22">
        <v>50</v>
      </c>
      <c r="N20" s="10">
        <v>17</v>
      </c>
      <c r="O20" s="15">
        <f>材料产出!C21</f>
        <v>4.3</v>
      </c>
      <c r="P20" s="15">
        <f t="shared" si="1"/>
        <v>944</v>
      </c>
      <c r="Q20" s="10">
        <f t="shared" si="2"/>
        <v>188</v>
      </c>
      <c r="R20" s="15">
        <f>参数调整!AT19</f>
        <v>0.85</v>
      </c>
      <c r="S20" s="10">
        <f t="shared" si="7"/>
        <v>159</v>
      </c>
      <c r="T20" s="10">
        <f>P20*(属性价值参考!C$7+属性价值参考!C$8)</f>
        <v>81561.600000000006</v>
      </c>
      <c r="U20" s="10">
        <f>AB21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0" s="10">
        <f t="shared" si="3"/>
        <v>1908.3692307692311</v>
      </c>
      <c r="W20" s="10">
        <f t="shared" si="4"/>
        <v>3816738.461538462</v>
      </c>
      <c r="X20" s="10">
        <f t="shared" si="8"/>
        <v>46</v>
      </c>
      <c r="Y20" s="10">
        <f t="shared" si="5"/>
        <v>92000</v>
      </c>
      <c r="AA20" s="141">
        <v>16</v>
      </c>
      <c r="AB20" s="141">
        <f>6*1/18*AB40</f>
        <v>6</v>
      </c>
      <c r="AC20" s="141">
        <f t="shared" ref="AC20:AL20" si="20">6*1/18*AC40</f>
        <v>6</v>
      </c>
      <c r="AD20" s="141">
        <f t="shared" si="20"/>
        <v>6</v>
      </c>
      <c r="AE20" s="141">
        <f t="shared" si="20"/>
        <v>6</v>
      </c>
      <c r="AF20" s="141">
        <f t="shared" si="20"/>
        <v>6</v>
      </c>
      <c r="AG20" s="141">
        <f t="shared" si="20"/>
        <v>6</v>
      </c>
      <c r="AH20" s="141">
        <f t="shared" si="20"/>
        <v>6</v>
      </c>
      <c r="AI20" s="141">
        <f t="shared" si="20"/>
        <v>6</v>
      </c>
      <c r="AJ20" s="141">
        <f t="shared" si="20"/>
        <v>6</v>
      </c>
      <c r="AK20" s="141">
        <f t="shared" si="20"/>
        <v>6</v>
      </c>
      <c r="AL20" s="141">
        <f t="shared" si="20"/>
        <v>6</v>
      </c>
    </row>
    <row r="21" spans="1:38" ht="16.5" x14ac:dyDescent="0.3">
      <c r="A21" s="22" t="s">
        <v>49</v>
      </c>
      <c r="B21" s="22" t="s">
        <v>33</v>
      </c>
      <c r="C21" s="22" t="s">
        <v>1902</v>
      </c>
      <c r="D21" s="2"/>
      <c r="E21" s="2"/>
      <c r="F21" s="23" t="s">
        <v>3023</v>
      </c>
      <c r="G21" s="22">
        <v>18</v>
      </c>
      <c r="H21" s="2"/>
      <c r="I21" s="2"/>
      <c r="J21" s="22" t="str">
        <f t="shared" si="6"/>
        <v>3#3#85|3#4#170|3#5#85|3#6#170|3#7#85|3#8#170</v>
      </c>
      <c r="K21" s="22" t="str">
        <f t="shared" si="9"/>
        <v>伤害减免7%</v>
      </c>
      <c r="L21" s="33" t="str">
        <f t="shared" si="15"/>
        <v>仙品升星石24/元宝98000</v>
      </c>
      <c r="M21" s="22">
        <v>40</v>
      </c>
      <c r="N21" s="10">
        <v>18</v>
      </c>
      <c r="O21" s="15">
        <f>材料产出!C21</f>
        <v>4.3</v>
      </c>
      <c r="P21" s="15">
        <f t="shared" si="1"/>
        <v>1000</v>
      </c>
      <c r="Q21" s="10">
        <f t="shared" si="2"/>
        <v>200</v>
      </c>
      <c r="R21" s="15">
        <f>参数调整!AT20</f>
        <v>0.85</v>
      </c>
      <c r="S21" s="10">
        <f t="shared" si="7"/>
        <v>170</v>
      </c>
      <c r="T21" s="10">
        <f>P21*(属性价值参考!C$7+属性价值参考!C$8)</f>
        <v>86400</v>
      </c>
      <c r="U21" s="10">
        <f>AB22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1" s="10">
        <f t="shared" si="3"/>
        <v>2001.4153846153847</v>
      </c>
      <c r="W21" s="10">
        <f t="shared" si="4"/>
        <v>4002830.7692307695</v>
      </c>
      <c r="X21" s="10">
        <f t="shared" si="8"/>
        <v>46</v>
      </c>
      <c r="Y21" s="10">
        <f t="shared" si="5"/>
        <v>92000</v>
      </c>
      <c r="AA21" s="141">
        <v>17</v>
      </c>
      <c r="AB21" s="141">
        <f>7*1/18*AB40</f>
        <v>7</v>
      </c>
      <c r="AC21" s="141">
        <f t="shared" ref="AC21:AL21" si="21">7*1/18*AC40</f>
        <v>7</v>
      </c>
      <c r="AD21" s="141">
        <f t="shared" si="21"/>
        <v>7</v>
      </c>
      <c r="AE21" s="141">
        <f t="shared" si="21"/>
        <v>7</v>
      </c>
      <c r="AF21" s="141">
        <f t="shared" si="21"/>
        <v>7</v>
      </c>
      <c r="AG21" s="141">
        <f t="shared" si="21"/>
        <v>7</v>
      </c>
      <c r="AH21" s="141">
        <f t="shared" si="21"/>
        <v>7</v>
      </c>
      <c r="AI21" s="141">
        <f t="shared" si="21"/>
        <v>7</v>
      </c>
      <c r="AJ21" s="141">
        <f t="shared" si="21"/>
        <v>7</v>
      </c>
      <c r="AK21" s="141">
        <f t="shared" si="21"/>
        <v>7</v>
      </c>
      <c r="AL21" s="141">
        <f t="shared" si="21"/>
        <v>7</v>
      </c>
    </row>
    <row r="22" spans="1:38" ht="16.5" x14ac:dyDescent="0.3">
      <c r="A22" s="22" t="s">
        <v>49</v>
      </c>
      <c r="B22" s="22" t="s">
        <v>33</v>
      </c>
      <c r="C22" s="22" t="s">
        <v>1902</v>
      </c>
      <c r="D22" s="2"/>
      <c r="E22" s="2"/>
      <c r="F22" s="23" t="s">
        <v>3024</v>
      </c>
      <c r="G22" s="22">
        <v>19</v>
      </c>
      <c r="H22" s="2"/>
      <c r="I22" s="2"/>
      <c r="J22" s="22" t="str">
        <f t="shared" si="6"/>
        <v>3#3#89|3#4#179|3#5#89|3#6#179|3#7#89|3#8#179</v>
      </c>
      <c r="K22" s="22" t="str">
        <f t="shared" si="9"/>
        <v>伤害减免8%</v>
      </c>
      <c r="L22" s="33" t="str">
        <f t="shared" si="15"/>
        <v>仙品升星石24/元宝98000</v>
      </c>
      <c r="M22" s="22">
        <v>30</v>
      </c>
      <c r="N22" s="10">
        <v>19</v>
      </c>
      <c r="O22" s="15">
        <f>材料产出!C22</f>
        <v>4.5999999999999996</v>
      </c>
      <c r="P22" s="15">
        <f t="shared" si="1"/>
        <v>1055</v>
      </c>
      <c r="Q22" s="10">
        <f t="shared" si="2"/>
        <v>211</v>
      </c>
      <c r="R22" s="15">
        <f>参数调整!AT21</f>
        <v>0.85</v>
      </c>
      <c r="S22" s="10">
        <f t="shared" si="7"/>
        <v>179</v>
      </c>
      <c r="T22" s="10">
        <f>P22*(属性价值参考!C$7+属性价值参考!C$8)</f>
        <v>91152</v>
      </c>
      <c r="U22" s="10">
        <f>AB23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2" s="10">
        <f t="shared" si="3"/>
        <v>2141.353846153846</v>
      </c>
      <c r="W22" s="10">
        <f t="shared" si="4"/>
        <v>4282707.692307692</v>
      </c>
      <c r="X22" s="10">
        <f t="shared" si="8"/>
        <v>49</v>
      </c>
      <c r="Y22" s="10">
        <f t="shared" si="5"/>
        <v>98000</v>
      </c>
      <c r="AA22" s="141">
        <v>18</v>
      </c>
      <c r="AB22" s="141">
        <f>7*1/18*AB40</f>
        <v>7</v>
      </c>
      <c r="AC22" s="141">
        <f t="shared" ref="AC22:AL22" si="22">7*1/18*AC40</f>
        <v>7</v>
      </c>
      <c r="AD22" s="141">
        <f t="shared" si="22"/>
        <v>7</v>
      </c>
      <c r="AE22" s="141">
        <f t="shared" si="22"/>
        <v>7</v>
      </c>
      <c r="AF22" s="141">
        <f t="shared" si="22"/>
        <v>7</v>
      </c>
      <c r="AG22" s="141">
        <f t="shared" si="22"/>
        <v>7</v>
      </c>
      <c r="AH22" s="141">
        <f t="shared" si="22"/>
        <v>7</v>
      </c>
      <c r="AI22" s="141">
        <f t="shared" si="22"/>
        <v>7</v>
      </c>
      <c r="AJ22" s="141">
        <f t="shared" si="22"/>
        <v>7</v>
      </c>
      <c r="AK22" s="141">
        <f t="shared" si="22"/>
        <v>7</v>
      </c>
      <c r="AL22" s="141">
        <f t="shared" si="22"/>
        <v>7</v>
      </c>
    </row>
    <row r="23" spans="1:38" ht="16.5" x14ac:dyDescent="0.3">
      <c r="A23" s="22" t="s">
        <v>49</v>
      </c>
      <c r="B23" s="22" t="s">
        <v>33</v>
      </c>
      <c r="C23" s="22" t="s">
        <v>1902</v>
      </c>
      <c r="D23" s="2"/>
      <c r="E23" s="2"/>
      <c r="F23" s="23" t="s">
        <v>3025</v>
      </c>
      <c r="G23" s="22">
        <v>20</v>
      </c>
      <c r="H23" s="2"/>
      <c r="I23" s="2"/>
      <c r="J23" s="22" t="str">
        <f t="shared" si="6"/>
        <v>3#3#94|3#4#188|3#5#94|3#6#188|3#7#94|3#8#188</v>
      </c>
      <c r="K23" s="22" t="str">
        <f t="shared" si="9"/>
        <v>伤害减免8%</v>
      </c>
      <c r="L23" s="33" t="str">
        <f t="shared" si="15"/>
        <v>仙品升星石26/元宝104000</v>
      </c>
      <c r="M23" s="22">
        <v>25</v>
      </c>
      <c r="N23" s="10">
        <v>20</v>
      </c>
      <c r="O23" s="15">
        <f>材料产出!C22</f>
        <v>4.5999999999999996</v>
      </c>
      <c r="P23" s="15">
        <f t="shared" si="1"/>
        <v>1111</v>
      </c>
      <c r="Q23" s="10">
        <f t="shared" si="2"/>
        <v>222</v>
      </c>
      <c r="R23" s="15">
        <f>参数调整!AT22</f>
        <v>0.85</v>
      </c>
      <c r="S23" s="10">
        <f t="shared" si="7"/>
        <v>188</v>
      </c>
      <c r="T23" s="10">
        <f>P23*(属性价值参考!C$7+属性价值参考!C$8)</f>
        <v>95990.400000000009</v>
      </c>
      <c r="U23" s="10">
        <f>AB24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3" s="10">
        <f t="shared" si="3"/>
        <v>2234.4000000000005</v>
      </c>
      <c r="W23" s="10">
        <f t="shared" si="4"/>
        <v>4468800.0000000009</v>
      </c>
      <c r="X23" s="10">
        <f t="shared" si="8"/>
        <v>49</v>
      </c>
      <c r="Y23" s="10">
        <f t="shared" si="5"/>
        <v>98000</v>
      </c>
      <c r="AA23" s="141">
        <v>19</v>
      </c>
      <c r="AB23" s="141">
        <f>8*1/18*AB40</f>
        <v>8</v>
      </c>
      <c r="AC23" s="141">
        <f t="shared" ref="AC23:AL23" si="23">8*1/18*AC40</f>
        <v>8</v>
      </c>
      <c r="AD23" s="141">
        <f t="shared" si="23"/>
        <v>8</v>
      </c>
      <c r="AE23" s="141">
        <f t="shared" si="23"/>
        <v>8</v>
      </c>
      <c r="AF23" s="141">
        <f t="shared" si="23"/>
        <v>8</v>
      </c>
      <c r="AG23" s="141">
        <f t="shared" si="23"/>
        <v>8</v>
      </c>
      <c r="AH23" s="141">
        <f t="shared" si="23"/>
        <v>8</v>
      </c>
      <c r="AI23" s="141">
        <f t="shared" si="23"/>
        <v>8</v>
      </c>
      <c r="AJ23" s="141">
        <f t="shared" si="23"/>
        <v>8</v>
      </c>
      <c r="AK23" s="141">
        <f t="shared" si="23"/>
        <v>8</v>
      </c>
      <c r="AL23" s="141">
        <f t="shared" si="23"/>
        <v>8</v>
      </c>
    </row>
    <row r="24" spans="1:38" ht="16.5" x14ac:dyDescent="0.3">
      <c r="A24" s="22" t="s">
        <v>49</v>
      </c>
      <c r="B24" s="22" t="s">
        <v>33</v>
      </c>
      <c r="C24" s="22" t="s">
        <v>1902</v>
      </c>
      <c r="D24" s="2"/>
      <c r="E24" s="2"/>
      <c r="F24" s="23" t="s">
        <v>3026</v>
      </c>
      <c r="G24" s="22">
        <v>21</v>
      </c>
      <c r="H24" s="2"/>
      <c r="I24" s="2"/>
      <c r="J24" s="22" t="str">
        <f t="shared" si="6"/>
        <v>3#3#110|3#4#221|3#5#110|3#6#221|3#7#110|3#8#221</v>
      </c>
      <c r="K24" s="22" t="str">
        <f t="shared" si="9"/>
        <v>伤害减免9%</v>
      </c>
      <c r="L24" s="33" t="str">
        <f t="shared" si="15"/>
        <v>仙品升星石26/元宝104000</v>
      </c>
      <c r="M24" s="22">
        <v>20</v>
      </c>
      <c r="N24" s="10">
        <v>21</v>
      </c>
      <c r="O24" s="15">
        <f>材料产出!C23</f>
        <v>4.9000000000000004</v>
      </c>
      <c r="P24" s="15">
        <f t="shared" si="1"/>
        <v>1166</v>
      </c>
      <c r="Q24" s="10">
        <f t="shared" si="2"/>
        <v>233</v>
      </c>
      <c r="R24" s="15">
        <f>参数调整!AT23</f>
        <v>0.95</v>
      </c>
      <c r="S24" s="10">
        <f t="shared" si="7"/>
        <v>221</v>
      </c>
      <c r="T24" s="10">
        <f>P24*(属性价值参考!C$7+属性价值参考!C$8)</f>
        <v>100742.40000000001</v>
      </c>
      <c r="U24" s="10">
        <f>AB25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4" s="10">
        <f t="shared" si="3"/>
        <v>2374.3384615384616</v>
      </c>
      <c r="W24" s="10">
        <f t="shared" si="4"/>
        <v>4748676.923076923</v>
      </c>
      <c r="X24" s="10">
        <f t="shared" si="8"/>
        <v>52</v>
      </c>
      <c r="Y24" s="10">
        <f t="shared" si="5"/>
        <v>104000</v>
      </c>
      <c r="AA24" s="141">
        <v>20</v>
      </c>
      <c r="AB24" s="141">
        <f>8*1/18*AB40</f>
        <v>8</v>
      </c>
      <c r="AC24" s="141">
        <f t="shared" ref="AC24:AL24" si="24">8*1/18*AC40</f>
        <v>8</v>
      </c>
      <c r="AD24" s="141">
        <f t="shared" si="24"/>
        <v>8</v>
      </c>
      <c r="AE24" s="141">
        <f t="shared" si="24"/>
        <v>8</v>
      </c>
      <c r="AF24" s="141">
        <f t="shared" si="24"/>
        <v>8</v>
      </c>
      <c r="AG24" s="141">
        <f t="shared" si="24"/>
        <v>8</v>
      </c>
      <c r="AH24" s="141">
        <f t="shared" si="24"/>
        <v>8</v>
      </c>
      <c r="AI24" s="141">
        <f t="shared" si="24"/>
        <v>8</v>
      </c>
      <c r="AJ24" s="141">
        <f t="shared" si="24"/>
        <v>8</v>
      </c>
      <c r="AK24" s="141">
        <f t="shared" si="24"/>
        <v>8</v>
      </c>
      <c r="AL24" s="141">
        <f t="shared" si="24"/>
        <v>8</v>
      </c>
    </row>
    <row r="25" spans="1:38" ht="16.5" x14ac:dyDescent="0.3">
      <c r="A25" s="22" t="s">
        <v>49</v>
      </c>
      <c r="B25" s="22" t="s">
        <v>33</v>
      </c>
      <c r="C25" s="22" t="s">
        <v>1902</v>
      </c>
      <c r="D25" s="2"/>
      <c r="E25" s="2"/>
      <c r="F25" s="23" t="s">
        <v>3027</v>
      </c>
      <c r="G25" s="22">
        <v>22</v>
      </c>
      <c r="H25" s="2"/>
      <c r="I25" s="2"/>
      <c r="J25" s="22" t="str">
        <f t="shared" si="6"/>
        <v>3#3#115|3#4#231|3#5#115|3#6#231|3#7#115|3#8#231</v>
      </c>
      <c r="K25" s="22" t="str">
        <f t="shared" si="9"/>
        <v>伤害减免9%</v>
      </c>
      <c r="L25" s="33" t="str">
        <f t="shared" si="15"/>
        <v>仙品升星石27/元宝110000</v>
      </c>
      <c r="M25" s="22">
        <v>15</v>
      </c>
      <c r="N25" s="10">
        <v>22</v>
      </c>
      <c r="O25" s="15">
        <f>材料产出!C23</f>
        <v>4.9000000000000004</v>
      </c>
      <c r="P25" s="15">
        <f t="shared" si="1"/>
        <v>1222</v>
      </c>
      <c r="Q25" s="10">
        <f t="shared" si="2"/>
        <v>244</v>
      </c>
      <c r="R25" s="15">
        <f>参数调整!AT24</f>
        <v>0.95</v>
      </c>
      <c r="S25" s="10">
        <f t="shared" si="7"/>
        <v>231</v>
      </c>
      <c r="T25" s="10">
        <f>P25*(属性价值参考!C$7+属性价值参考!C$8)</f>
        <v>105580.8</v>
      </c>
      <c r="U25" s="10">
        <f>AB26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5" s="10">
        <f t="shared" si="3"/>
        <v>2467.3846153846152</v>
      </c>
      <c r="W25" s="10">
        <f t="shared" si="4"/>
        <v>4934769.2307692301</v>
      </c>
      <c r="X25" s="10">
        <f t="shared" si="8"/>
        <v>52</v>
      </c>
      <c r="Y25" s="10">
        <f t="shared" si="5"/>
        <v>104000</v>
      </c>
      <c r="AA25" s="141">
        <v>21</v>
      </c>
      <c r="AB25" s="141">
        <f>9*1/18*AB40</f>
        <v>9</v>
      </c>
      <c r="AC25" s="141">
        <f t="shared" ref="AC25:AL25" si="25">9*1/18*AC40</f>
        <v>9</v>
      </c>
      <c r="AD25" s="141">
        <f t="shared" si="25"/>
        <v>9</v>
      </c>
      <c r="AE25" s="141">
        <f t="shared" si="25"/>
        <v>9</v>
      </c>
      <c r="AF25" s="141">
        <f t="shared" si="25"/>
        <v>9</v>
      </c>
      <c r="AG25" s="141">
        <f t="shared" si="25"/>
        <v>9</v>
      </c>
      <c r="AH25" s="141">
        <f t="shared" si="25"/>
        <v>9</v>
      </c>
      <c r="AI25" s="141">
        <f t="shared" si="25"/>
        <v>9</v>
      </c>
      <c r="AJ25" s="141">
        <f t="shared" si="25"/>
        <v>9</v>
      </c>
      <c r="AK25" s="141">
        <f t="shared" si="25"/>
        <v>9</v>
      </c>
      <c r="AL25" s="141">
        <f t="shared" si="25"/>
        <v>9</v>
      </c>
    </row>
    <row r="26" spans="1:38" ht="16.5" x14ac:dyDescent="0.3">
      <c r="A26" s="22" t="s">
        <v>49</v>
      </c>
      <c r="B26" s="22" t="s">
        <v>33</v>
      </c>
      <c r="C26" s="22" t="s">
        <v>1902</v>
      </c>
      <c r="D26" s="2"/>
      <c r="E26" s="2"/>
      <c r="F26" s="23" t="s">
        <v>3028</v>
      </c>
      <c r="G26" s="22">
        <v>23</v>
      </c>
      <c r="H26" s="2"/>
      <c r="I26" s="2"/>
      <c r="J26" s="22" t="str">
        <f t="shared" si="6"/>
        <v>3#3#121|3#4#242|3#5#121|3#6#242|3#7#121|3#8#242</v>
      </c>
      <c r="K26" s="22" t="str">
        <f t="shared" si="9"/>
        <v>伤害减免10%</v>
      </c>
      <c r="L26" s="33" t="str">
        <f t="shared" si="15"/>
        <v>仙品升星石27/元宝110000</v>
      </c>
      <c r="M26" s="22">
        <v>10</v>
      </c>
      <c r="N26" s="10">
        <v>23</v>
      </c>
      <c r="O26" s="15">
        <f>材料产出!C24</f>
        <v>5.2</v>
      </c>
      <c r="P26" s="15">
        <f t="shared" si="1"/>
        <v>1277</v>
      </c>
      <c r="Q26" s="10">
        <f t="shared" si="2"/>
        <v>255</v>
      </c>
      <c r="R26" s="15">
        <f>参数调整!AT25</f>
        <v>0.95</v>
      </c>
      <c r="S26" s="10">
        <f t="shared" si="7"/>
        <v>242</v>
      </c>
      <c r="T26" s="10">
        <f>P26*(属性价值参考!C$7+属性价值参考!C$8)</f>
        <v>110332.8</v>
      </c>
      <c r="U26" s="10">
        <f>AB27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6" s="10">
        <f t="shared" si="3"/>
        <v>2607.3230769230768</v>
      </c>
      <c r="W26" s="10">
        <f t="shared" si="4"/>
        <v>5214646.153846154</v>
      </c>
      <c r="X26" s="10">
        <f t="shared" si="8"/>
        <v>55</v>
      </c>
      <c r="Y26" s="10">
        <f t="shared" si="5"/>
        <v>110000</v>
      </c>
      <c r="AA26" s="141">
        <v>22</v>
      </c>
      <c r="AB26" s="141">
        <f>9*1/18*AB40</f>
        <v>9</v>
      </c>
      <c r="AC26" s="141">
        <f t="shared" ref="AC26:AL26" si="26">9*1/18*AC40</f>
        <v>9</v>
      </c>
      <c r="AD26" s="141">
        <f t="shared" si="26"/>
        <v>9</v>
      </c>
      <c r="AE26" s="141">
        <f t="shared" si="26"/>
        <v>9</v>
      </c>
      <c r="AF26" s="141">
        <f t="shared" si="26"/>
        <v>9</v>
      </c>
      <c r="AG26" s="141">
        <f t="shared" si="26"/>
        <v>9</v>
      </c>
      <c r="AH26" s="141">
        <f t="shared" si="26"/>
        <v>9</v>
      </c>
      <c r="AI26" s="141">
        <f t="shared" si="26"/>
        <v>9</v>
      </c>
      <c r="AJ26" s="141">
        <f t="shared" si="26"/>
        <v>9</v>
      </c>
      <c r="AK26" s="141">
        <f t="shared" si="26"/>
        <v>9</v>
      </c>
      <c r="AL26" s="141">
        <f t="shared" si="26"/>
        <v>9</v>
      </c>
    </row>
    <row r="27" spans="1:38" ht="16.5" x14ac:dyDescent="0.3">
      <c r="A27" s="22" t="s">
        <v>49</v>
      </c>
      <c r="B27" s="22" t="s">
        <v>33</v>
      </c>
      <c r="C27" s="22" t="s">
        <v>1902</v>
      </c>
      <c r="D27" s="2"/>
      <c r="E27" s="2"/>
      <c r="F27" s="23" t="s">
        <v>3029</v>
      </c>
      <c r="G27" s="22">
        <v>24</v>
      </c>
      <c r="H27" s="2"/>
      <c r="I27" s="2"/>
      <c r="J27" s="22" t="str">
        <f t="shared" si="6"/>
        <v>3#3#126|3#4#252|3#5#126|3#6#252|3#7#126|3#8#252</v>
      </c>
      <c r="K27" s="22" t="str">
        <f t="shared" si="9"/>
        <v>伤害减免10%</v>
      </c>
      <c r="L27" s="33" t="str">
        <f>"神品升星石"&amp;INT(X28/10)&amp;"/元宝"&amp;Y28</f>
        <v>神品升星石5/元宝116000</v>
      </c>
      <c r="M27" s="22">
        <v>100</v>
      </c>
      <c r="N27" s="10">
        <v>24</v>
      </c>
      <c r="O27" s="15">
        <f>材料产出!C24</f>
        <v>5.2</v>
      </c>
      <c r="P27" s="15">
        <f t="shared" si="1"/>
        <v>1333</v>
      </c>
      <c r="Q27" s="10">
        <f t="shared" si="2"/>
        <v>266</v>
      </c>
      <c r="R27" s="15">
        <f>参数调整!AT26</f>
        <v>0.95</v>
      </c>
      <c r="S27" s="10">
        <f t="shared" si="7"/>
        <v>252</v>
      </c>
      <c r="T27" s="10">
        <f>P27*(属性价值参考!C$7+属性价值参考!C$8)</f>
        <v>115171.20000000001</v>
      </c>
      <c r="U27" s="10">
        <f>AB28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7" s="10">
        <f t="shared" si="3"/>
        <v>2700.3692307692309</v>
      </c>
      <c r="W27" s="10">
        <f t="shared" si="4"/>
        <v>5400738.461538462</v>
      </c>
      <c r="X27" s="10">
        <f t="shared" si="8"/>
        <v>55</v>
      </c>
      <c r="Y27" s="10">
        <f t="shared" si="5"/>
        <v>110000</v>
      </c>
      <c r="AA27" s="141">
        <v>23</v>
      </c>
      <c r="AB27" s="141">
        <f>10*1/18*AB40</f>
        <v>10</v>
      </c>
      <c r="AC27" s="141">
        <f t="shared" ref="AC27:AL27" si="27">10*1/18*AC40</f>
        <v>10</v>
      </c>
      <c r="AD27" s="141">
        <f t="shared" si="27"/>
        <v>10</v>
      </c>
      <c r="AE27" s="141">
        <f t="shared" si="27"/>
        <v>10</v>
      </c>
      <c r="AF27" s="141">
        <f t="shared" si="27"/>
        <v>10</v>
      </c>
      <c r="AG27" s="141">
        <f t="shared" si="27"/>
        <v>10</v>
      </c>
      <c r="AH27" s="141">
        <f t="shared" si="27"/>
        <v>10</v>
      </c>
      <c r="AI27" s="141">
        <f t="shared" si="27"/>
        <v>10</v>
      </c>
      <c r="AJ27" s="141">
        <f t="shared" si="27"/>
        <v>10</v>
      </c>
      <c r="AK27" s="141">
        <f t="shared" si="27"/>
        <v>10</v>
      </c>
      <c r="AL27" s="141">
        <f t="shared" si="27"/>
        <v>10</v>
      </c>
    </row>
    <row r="28" spans="1:38" ht="16.5" x14ac:dyDescent="0.3">
      <c r="A28" s="22" t="s">
        <v>49</v>
      </c>
      <c r="B28" s="22" t="s">
        <v>33</v>
      </c>
      <c r="C28" s="22" t="s">
        <v>1902</v>
      </c>
      <c r="D28" s="2"/>
      <c r="E28" s="2"/>
      <c r="F28" s="23" t="s">
        <v>3030</v>
      </c>
      <c r="G28" s="22">
        <v>25</v>
      </c>
      <c r="H28" s="2"/>
      <c r="I28" s="2"/>
      <c r="J28" s="22" t="str">
        <f t="shared" si="6"/>
        <v>3#3#138|3#4#277|3#5#138|3#6#277|3#7#138|3#8#277</v>
      </c>
      <c r="K28" s="22" t="str">
        <f t="shared" si="9"/>
        <v>伤害减免11%</v>
      </c>
      <c r="L28" s="33" t="str">
        <f t="shared" ref="L28:L38" si="28">"神品升星石"&amp;INT(X29/10)&amp;"/元宝"&amp;Y29</f>
        <v>神品升星石5/元宝116000</v>
      </c>
      <c r="M28" s="22">
        <v>100</v>
      </c>
      <c r="N28" s="10">
        <v>25</v>
      </c>
      <c r="O28" s="15">
        <f>材料产出!C25</f>
        <v>5.5</v>
      </c>
      <c r="P28" s="15">
        <f t="shared" si="1"/>
        <v>1388</v>
      </c>
      <c r="Q28" s="10">
        <f t="shared" si="2"/>
        <v>277</v>
      </c>
      <c r="R28" s="15">
        <f>参数调整!AT27</f>
        <v>1</v>
      </c>
      <c r="S28" s="10">
        <f t="shared" si="7"/>
        <v>277</v>
      </c>
      <c r="T28" s="10">
        <f>P28*(属性价值参考!C$7+属性价值参考!C$8)</f>
        <v>119923.20000000001</v>
      </c>
      <c r="U28" s="10">
        <f>AB29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8" s="10">
        <f t="shared" si="3"/>
        <v>2840.3076923076924</v>
      </c>
      <c r="W28" s="10">
        <f t="shared" si="4"/>
        <v>5680615.384615385</v>
      </c>
      <c r="X28" s="10">
        <f t="shared" si="8"/>
        <v>58</v>
      </c>
      <c r="Y28" s="10">
        <f t="shared" si="5"/>
        <v>116000</v>
      </c>
      <c r="AA28" s="141">
        <v>24</v>
      </c>
      <c r="AB28" s="141">
        <f>10*1/18*AB40</f>
        <v>10</v>
      </c>
      <c r="AC28" s="141">
        <f t="shared" ref="AC28:AL28" si="29">10*1/18*AC40</f>
        <v>10</v>
      </c>
      <c r="AD28" s="141">
        <f t="shared" si="29"/>
        <v>10</v>
      </c>
      <c r="AE28" s="141">
        <f t="shared" si="29"/>
        <v>10</v>
      </c>
      <c r="AF28" s="141">
        <f t="shared" si="29"/>
        <v>10</v>
      </c>
      <c r="AG28" s="141">
        <f t="shared" si="29"/>
        <v>10</v>
      </c>
      <c r="AH28" s="141">
        <f t="shared" si="29"/>
        <v>10</v>
      </c>
      <c r="AI28" s="141">
        <f t="shared" si="29"/>
        <v>10</v>
      </c>
      <c r="AJ28" s="141">
        <f t="shared" si="29"/>
        <v>10</v>
      </c>
      <c r="AK28" s="141">
        <f t="shared" si="29"/>
        <v>10</v>
      </c>
      <c r="AL28" s="141">
        <f t="shared" si="29"/>
        <v>10</v>
      </c>
    </row>
    <row r="29" spans="1:38" ht="16.5" x14ac:dyDescent="0.3">
      <c r="A29" s="22" t="s">
        <v>49</v>
      </c>
      <c r="B29" s="22" t="s">
        <v>33</v>
      </c>
      <c r="C29" s="22" t="s">
        <v>1902</v>
      </c>
      <c r="D29" s="2"/>
      <c r="E29" s="2"/>
      <c r="F29" s="23" t="s">
        <v>3031</v>
      </c>
      <c r="G29" s="22">
        <v>26</v>
      </c>
      <c r="H29" s="2"/>
      <c r="I29" s="2"/>
      <c r="J29" s="22" t="str">
        <f t="shared" si="6"/>
        <v>3#3#144|3#4#288|3#5#144|3#6#288|3#7#144|3#8#288</v>
      </c>
      <c r="K29" s="22" t="str">
        <f t="shared" si="9"/>
        <v>伤害减免11%</v>
      </c>
      <c r="L29" s="33" t="str">
        <f t="shared" si="28"/>
        <v>神品升星石6/元宝122000</v>
      </c>
      <c r="M29" s="22">
        <v>100</v>
      </c>
      <c r="N29" s="10">
        <v>26</v>
      </c>
      <c r="O29" s="15">
        <f>材料产出!C25</f>
        <v>5.5</v>
      </c>
      <c r="P29" s="15">
        <f t="shared" si="1"/>
        <v>1444</v>
      </c>
      <c r="Q29" s="10">
        <f t="shared" si="2"/>
        <v>288</v>
      </c>
      <c r="R29" s="15">
        <f>参数调整!AT28</f>
        <v>1</v>
      </c>
      <c r="S29" s="10">
        <f t="shared" si="7"/>
        <v>288</v>
      </c>
      <c r="T29" s="10">
        <f>P29*(属性价值参考!C$7+属性价值参考!C$8)</f>
        <v>124761.60000000001</v>
      </c>
      <c r="U29" s="10">
        <f>AB30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9" s="10">
        <f t="shared" si="3"/>
        <v>2933.3538461538465</v>
      </c>
      <c r="W29" s="10">
        <f t="shared" si="4"/>
        <v>5866707.692307693</v>
      </c>
      <c r="X29" s="10">
        <f t="shared" si="8"/>
        <v>58</v>
      </c>
      <c r="Y29" s="10">
        <f t="shared" si="5"/>
        <v>116000</v>
      </c>
      <c r="AA29" s="141">
        <v>25</v>
      </c>
      <c r="AB29" s="141">
        <f>11*1/18*AB40</f>
        <v>11</v>
      </c>
      <c r="AC29" s="141">
        <f t="shared" ref="AC29:AL29" si="30">11*1/18*AC40</f>
        <v>11</v>
      </c>
      <c r="AD29" s="141">
        <f t="shared" si="30"/>
        <v>11</v>
      </c>
      <c r="AE29" s="141">
        <f t="shared" si="30"/>
        <v>11</v>
      </c>
      <c r="AF29" s="141">
        <f t="shared" si="30"/>
        <v>11</v>
      </c>
      <c r="AG29" s="141">
        <f t="shared" si="30"/>
        <v>11</v>
      </c>
      <c r="AH29" s="141">
        <f t="shared" si="30"/>
        <v>11</v>
      </c>
      <c r="AI29" s="141">
        <f t="shared" si="30"/>
        <v>11</v>
      </c>
      <c r="AJ29" s="141">
        <f t="shared" si="30"/>
        <v>11</v>
      </c>
      <c r="AK29" s="141">
        <f t="shared" si="30"/>
        <v>11</v>
      </c>
      <c r="AL29" s="141">
        <f t="shared" si="30"/>
        <v>11</v>
      </c>
    </row>
    <row r="30" spans="1:38" ht="16.5" x14ac:dyDescent="0.3">
      <c r="A30" s="22" t="s">
        <v>49</v>
      </c>
      <c r="B30" s="22" t="s">
        <v>33</v>
      </c>
      <c r="C30" s="22" t="s">
        <v>1902</v>
      </c>
      <c r="D30" s="2"/>
      <c r="E30" s="2"/>
      <c r="F30" s="23" t="s">
        <v>3032</v>
      </c>
      <c r="G30" s="22">
        <v>27</v>
      </c>
      <c r="H30" s="2"/>
      <c r="I30" s="2"/>
      <c r="J30" s="22" t="str">
        <f t="shared" si="6"/>
        <v>3#3#150|3#4#300|3#5#150|3#6#300|3#7#150|3#8#300</v>
      </c>
      <c r="K30" s="22" t="str">
        <f t="shared" si="9"/>
        <v>伤害减免12%</v>
      </c>
      <c r="L30" s="33" t="str">
        <f t="shared" si="28"/>
        <v>神品升星石6/元宝122000</v>
      </c>
      <c r="M30" s="22">
        <v>70</v>
      </c>
      <c r="N30" s="10">
        <v>27</v>
      </c>
      <c r="O30" s="15">
        <f>材料产出!C26</f>
        <v>5.8</v>
      </c>
      <c r="P30" s="15">
        <f t="shared" si="1"/>
        <v>1500</v>
      </c>
      <c r="Q30" s="10">
        <f t="shared" si="2"/>
        <v>300</v>
      </c>
      <c r="R30" s="15">
        <f>参数调整!AT29</f>
        <v>1</v>
      </c>
      <c r="S30" s="10">
        <f t="shared" si="7"/>
        <v>300</v>
      </c>
      <c r="T30" s="10">
        <f>P30*(属性价值参考!C$7+属性价值参考!C$8)</f>
        <v>129600.00000000001</v>
      </c>
      <c r="U30" s="10">
        <f>AB31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0" s="10">
        <f t="shared" si="3"/>
        <v>3074.9538461538464</v>
      </c>
      <c r="W30" s="10">
        <f t="shared" si="4"/>
        <v>6149907.692307693</v>
      </c>
      <c r="X30" s="10">
        <f t="shared" si="8"/>
        <v>61</v>
      </c>
      <c r="Y30" s="10">
        <f t="shared" si="5"/>
        <v>122000</v>
      </c>
      <c r="AA30" s="141">
        <v>26</v>
      </c>
      <c r="AB30" s="141">
        <f>11*1/18*AB40</f>
        <v>11</v>
      </c>
      <c r="AC30" s="141">
        <f t="shared" ref="AC30:AL30" si="31">11*1/18*AC40</f>
        <v>11</v>
      </c>
      <c r="AD30" s="141">
        <f t="shared" si="31"/>
        <v>11</v>
      </c>
      <c r="AE30" s="141">
        <f t="shared" si="31"/>
        <v>11</v>
      </c>
      <c r="AF30" s="141">
        <f t="shared" si="31"/>
        <v>11</v>
      </c>
      <c r="AG30" s="141">
        <f t="shared" si="31"/>
        <v>11</v>
      </c>
      <c r="AH30" s="141">
        <f t="shared" si="31"/>
        <v>11</v>
      </c>
      <c r="AI30" s="141">
        <f t="shared" si="31"/>
        <v>11</v>
      </c>
      <c r="AJ30" s="141">
        <f t="shared" si="31"/>
        <v>11</v>
      </c>
      <c r="AK30" s="141">
        <f t="shared" si="31"/>
        <v>11</v>
      </c>
      <c r="AL30" s="141">
        <f t="shared" si="31"/>
        <v>11</v>
      </c>
    </row>
    <row r="31" spans="1:38" ht="16.5" x14ac:dyDescent="0.3">
      <c r="A31" s="22" t="s">
        <v>49</v>
      </c>
      <c r="B31" s="22" t="s">
        <v>33</v>
      </c>
      <c r="C31" s="22" t="s">
        <v>1902</v>
      </c>
      <c r="D31" s="2"/>
      <c r="E31" s="2"/>
      <c r="F31" s="23" t="s">
        <v>3033</v>
      </c>
      <c r="G31" s="22">
        <v>28</v>
      </c>
      <c r="H31" s="2"/>
      <c r="I31" s="2"/>
      <c r="J31" s="22" t="str">
        <f t="shared" si="6"/>
        <v>3#3#155|3#4#311|3#5#155|3#6#311|3#7#155|3#8#311</v>
      </c>
      <c r="K31" s="22" t="str">
        <f t="shared" si="9"/>
        <v>伤害减免12%</v>
      </c>
      <c r="L31" s="33" t="str">
        <f t="shared" si="28"/>
        <v>神品升星石6/元宝130000</v>
      </c>
      <c r="M31" s="22">
        <v>60</v>
      </c>
      <c r="N31" s="10">
        <v>28</v>
      </c>
      <c r="O31" s="15">
        <f>材料产出!C26</f>
        <v>5.8</v>
      </c>
      <c r="P31" s="15">
        <f t="shared" si="1"/>
        <v>1555</v>
      </c>
      <c r="Q31" s="10">
        <f t="shared" si="2"/>
        <v>311</v>
      </c>
      <c r="R31" s="15">
        <f>参数调整!AT30</f>
        <v>1</v>
      </c>
      <c r="S31" s="10">
        <f t="shared" si="7"/>
        <v>311</v>
      </c>
      <c r="T31" s="10">
        <f>P31*(属性价值参考!C$7+属性价值参考!C$8)</f>
        <v>134352</v>
      </c>
      <c r="U31" s="10">
        <f>AB32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1" s="10">
        <f t="shared" si="3"/>
        <v>3166.3384615384616</v>
      </c>
      <c r="W31" s="10">
        <f t="shared" si="4"/>
        <v>6332676.923076923</v>
      </c>
      <c r="X31" s="10">
        <f t="shared" si="8"/>
        <v>61</v>
      </c>
      <c r="Y31" s="10">
        <f t="shared" si="5"/>
        <v>122000</v>
      </c>
      <c r="AA31" s="141">
        <v>27</v>
      </c>
      <c r="AB31" s="141">
        <f>12*1/18*AB40</f>
        <v>12</v>
      </c>
      <c r="AC31" s="141">
        <f t="shared" ref="AC31:AL31" si="32">12*1/18*AC40</f>
        <v>12</v>
      </c>
      <c r="AD31" s="141">
        <f t="shared" si="32"/>
        <v>12</v>
      </c>
      <c r="AE31" s="141">
        <f t="shared" si="32"/>
        <v>12</v>
      </c>
      <c r="AF31" s="141">
        <f t="shared" si="32"/>
        <v>12</v>
      </c>
      <c r="AG31" s="141">
        <f t="shared" si="32"/>
        <v>12</v>
      </c>
      <c r="AH31" s="141">
        <f t="shared" si="32"/>
        <v>12</v>
      </c>
      <c r="AI31" s="141">
        <f t="shared" si="32"/>
        <v>12</v>
      </c>
      <c r="AJ31" s="141">
        <f t="shared" si="32"/>
        <v>12</v>
      </c>
      <c r="AK31" s="141">
        <f t="shared" si="32"/>
        <v>12</v>
      </c>
      <c r="AL31" s="141">
        <f t="shared" si="32"/>
        <v>12</v>
      </c>
    </row>
    <row r="32" spans="1:38" ht="16.5" x14ac:dyDescent="0.3">
      <c r="A32" s="22" t="s">
        <v>49</v>
      </c>
      <c r="B32" s="22" t="s">
        <v>33</v>
      </c>
      <c r="C32" s="22" t="s">
        <v>1902</v>
      </c>
      <c r="D32" s="2"/>
      <c r="E32" s="2"/>
      <c r="F32" s="23" t="s">
        <v>3034</v>
      </c>
      <c r="G32" s="22">
        <v>29</v>
      </c>
      <c r="H32" s="2"/>
      <c r="I32" s="2"/>
      <c r="J32" s="22" t="str">
        <f t="shared" si="6"/>
        <v>3#3#161|3#4#322|3#5#161|3#6#322|3#7#161|3#8#322</v>
      </c>
      <c r="K32" s="22" t="str">
        <f t="shared" si="9"/>
        <v>伤害减免13%</v>
      </c>
      <c r="L32" s="33" t="str">
        <f t="shared" si="28"/>
        <v>神品升星石6/元宝130000</v>
      </c>
      <c r="M32" s="22">
        <v>50</v>
      </c>
      <c r="N32" s="10">
        <v>29</v>
      </c>
      <c r="O32" s="15">
        <f>材料产出!C27</f>
        <v>6.1</v>
      </c>
      <c r="P32" s="15">
        <f t="shared" si="1"/>
        <v>1611</v>
      </c>
      <c r="Q32" s="10">
        <f t="shared" si="2"/>
        <v>322</v>
      </c>
      <c r="R32" s="15">
        <f>参数调整!AT31</f>
        <v>1</v>
      </c>
      <c r="S32" s="10">
        <f t="shared" si="7"/>
        <v>322</v>
      </c>
      <c r="T32" s="10">
        <f>P32*(属性价值参考!C$7+属性价值参考!C$8)</f>
        <v>139190.40000000002</v>
      </c>
      <c r="U32" s="10">
        <f>AB33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2" s="10">
        <f t="shared" si="3"/>
        <v>3307.938461538462</v>
      </c>
      <c r="W32" s="10">
        <f t="shared" si="4"/>
        <v>6615876.9230769239</v>
      </c>
      <c r="X32" s="10">
        <f t="shared" si="8"/>
        <v>65</v>
      </c>
      <c r="Y32" s="10">
        <f t="shared" si="5"/>
        <v>130000</v>
      </c>
      <c r="AA32" s="141">
        <v>28</v>
      </c>
      <c r="AB32" s="141">
        <f>12*1/18*AB40</f>
        <v>12</v>
      </c>
      <c r="AC32" s="141">
        <f t="shared" ref="AC32:AL32" si="33">12*1/18*AC40</f>
        <v>12</v>
      </c>
      <c r="AD32" s="141">
        <f t="shared" si="33"/>
        <v>12</v>
      </c>
      <c r="AE32" s="141">
        <f t="shared" si="33"/>
        <v>12</v>
      </c>
      <c r="AF32" s="141">
        <f t="shared" si="33"/>
        <v>12</v>
      </c>
      <c r="AG32" s="141">
        <f t="shared" si="33"/>
        <v>12</v>
      </c>
      <c r="AH32" s="141">
        <f t="shared" si="33"/>
        <v>12</v>
      </c>
      <c r="AI32" s="141">
        <f t="shared" si="33"/>
        <v>12</v>
      </c>
      <c r="AJ32" s="141">
        <f t="shared" si="33"/>
        <v>12</v>
      </c>
      <c r="AK32" s="141">
        <f t="shared" si="33"/>
        <v>12</v>
      </c>
      <c r="AL32" s="141">
        <f t="shared" si="33"/>
        <v>12</v>
      </c>
    </row>
    <row r="33" spans="1:38" ht="16.5" x14ac:dyDescent="0.3">
      <c r="A33" s="22" t="s">
        <v>49</v>
      </c>
      <c r="B33" s="22" t="s">
        <v>33</v>
      </c>
      <c r="C33" s="22" t="s">
        <v>1902</v>
      </c>
      <c r="D33" s="2"/>
      <c r="E33" s="2"/>
      <c r="F33" s="23" t="s">
        <v>3035</v>
      </c>
      <c r="G33" s="22">
        <v>30</v>
      </c>
      <c r="H33" s="2"/>
      <c r="I33" s="2"/>
      <c r="J33" s="22" t="str">
        <f t="shared" si="6"/>
        <v>3#3#166|3#4#333|3#5#166|3#6#333|3#7#166|3#8#333</v>
      </c>
      <c r="K33" s="22" t="str">
        <f t="shared" si="9"/>
        <v>伤害减免13%</v>
      </c>
      <c r="L33" s="33" t="str">
        <f t="shared" si="28"/>
        <v>神品升星石6/元宝136000</v>
      </c>
      <c r="M33" s="22">
        <v>40</v>
      </c>
      <c r="N33" s="10">
        <v>30</v>
      </c>
      <c r="O33" s="15">
        <f>材料产出!C27</f>
        <v>6.1</v>
      </c>
      <c r="P33" s="15">
        <f t="shared" si="1"/>
        <v>1666</v>
      </c>
      <c r="Q33" s="10">
        <f t="shared" si="2"/>
        <v>333</v>
      </c>
      <c r="R33" s="15">
        <f>参数调整!AT32</f>
        <v>1</v>
      </c>
      <c r="S33" s="10">
        <f t="shared" si="7"/>
        <v>333</v>
      </c>
      <c r="T33" s="10">
        <f>P33*(属性价值参考!C$7+属性价值参考!C$8)</f>
        <v>143942.40000000002</v>
      </c>
      <c r="U33" s="10">
        <f>AB34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3" s="10">
        <f t="shared" si="3"/>
        <v>3399.3230769230772</v>
      </c>
      <c r="W33" s="10">
        <f t="shared" si="4"/>
        <v>6798646.153846154</v>
      </c>
      <c r="X33" s="10">
        <f t="shared" si="8"/>
        <v>65</v>
      </c>
      <c r="Y33" s="10">
        <f t="shared" si="5"/>
        <v>130000</v>
      </c>
      <c r="AA33" s="141">
        <v>29</v>
      </c>
      <c r="AB33" s="141">
        <f>13*1/18*AB40</f>
        <v>13</v>
      </c>
      <c r="AC33" s="141">
        <f t="shared" ref="AC33:AL33" si="34">13*1/18*AC40</f>
        <v>13</v>
      </c>
      <c r="AD33" s="141">
        <f t="shared" si="34"/>
        <v>13</v>
      </c>
      <c r="AE33" s="141">
        <f t="shared" si="34"/>
        <v>13</v>
      </c>
      <c r="AF33" s="141">
        <f t="shared" si="34"/>
        <v>13</v>
      </c>
      <c r="AG33" s="141">
        <f t="shared" si="34"/>
        <v>13</v>
      </c>
      <c r="AH33" s="141">
        <f t="shared" si="34"/>
        <v>13</v>
      </c>
      <c r="AI33" s="141">
        <f t="shared" si="34"/>
        <v>13</v>
      </c>
      <c r="AJ33" s="141">
        <f t="shared" si="34"/>
        <v>13</v>
      </c>
      <c r="AK33" s="141">
        <f t="shared" si="34"/>
        <v>13</v>
      </c>
      <c r="AL33" s="141">
        <f t="shared" si="34"/>
        <v>13</v>
      </c>
    </row>
    <row r="34" spans="1:38" ht="16.5" x14ac:dyDescent="0.3">
      <c r="A34" s="22" t="s">
        <v>49</v>
      </c>
      <c r="B34" s="22" t="s">
        <v>33</v>
      </c>
      <c r="C34" s="22" t="s">
        <v>1902</v>
      </c>
      <c r="D34" s="2"/>
      <c r="E34" s="2"/>
      <c r="F34" s="23" t="s">
        <v>3036</v>
      </c>
      <c r="G34" s="22">
        <v>31</v>
      </c>
      <c r="H34" s="2"/>
      <c r="I34" s="2"/>
      <c r="J34" s="22" t="str">
        <f t="shared" si="6"/>
        <v>3#3#172|3#4#344|3#5#172|3#6#344|3#7#172|3#8#344</v>
      </c>
      <c r="K34" s="22" t="str">
        <f t="shared" si="9"/>
        <v>伤害减免14%</v>
      </c>
      <c r="L34" s="33" t="str">
        <f t="shared" si="28"/>
        <v>神品升星石6/元宝136000</v>
      </c>
      <c r="M34" s="22">
        <v>30</v>
      </c>
      <c r="N34" s="10">
        <v>31</v>
      </c>
      <c r="O34" s="15">
        <f>材料产出!C28</f>
        <v>6.4</v>
      </c>
      <c r="P34" s="15">
        <f t="shared" si="1"/>
        <v>1722</v>
      </c>
      <c r="Q34" s="10">
        <f t="shared" si="2"/>
        <v>344</v>
      </c>
      <c r="R34" s="15">
        <f>参数调整!AT33</f>
        <v>1</v>
      </c>
      <c r="S34" s="10">
        <f t="shared" si="7"/>
        <v>344</v>
      </c>
      <c r="T34" s="10">
        <f>P34*(属性价值参考!C$7+属性价值参考!C$8)</f>
        <v>148780.80000000002</v>
      </c>
      <c r="U34" s="10">
        <f>AB35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4" s="10">
        <f t="shared" si="3"/>
        <v>3540.9230769230776</v>
      </c>
      <c r="W34" s="10">
        <f t="shared" si="4"/>
        <v>7081846.1538461549</v>
      </c>
      <c r="X34" s="10">
        <f t="shared" si="8"/>
        <v>68</v>
      </c>
      <c r="Y34" s="10">
        <f t="shared" si="5"/>
        <v>136000</v>
      </c>
      <c r="AA34" s="141">
        <v>30</v>
      </c>
      <c r="AB34" s="141">
        <f>13*1/18*AB40</f>
        <v>13</v>
      </c>
      <c r="AC34" s="141">
        <f t="shared" ref="AC34:AL34" si="35">13*1/18*AC40</f>
        <v>13</v>
      </c>
      <c r="AD34" s="141">
        <f t="shared" si="35"/>
        <v>13</v>
      </c>
      <c r="AE34" s="141">
        <f t="shared" si="35"/>
        <v>13</v>
      </c>
      <c r="AF34" s="141">
        <f t="shared" si="35"/>
        <v>13</v>
      </c>
      <c r="AG34" s="141">
        <f t="shared" si="35"/>
        <v>13</v>
      </c>
      <c r="AH34" s="141">
        <f t="shared" si="35"/>
        <v>13</v>
      </c>
      <c r="AI34" s="141">
        <f t="shared" si="35"/>
        <v>13</v>
      </c>
      <c r="AJ34" s="141">
        <f t="shared" si="35"/>
        <v>13</v>
      </c>
      <c r="AK34" s="141">
        <f t="shared" si="35"/>
        <v>13</v>
      </c>
      <c r="AL34" s="141">
        <f t="shared" si="35"/>
        <v>13</v>
      </c>
    </row>
    <row r="35" spans="1:38" ht="16.5" x14ac:dyDescent="0.3">
      <c r="A35" s="22" t="s">
        <v>49</v>
      </c>
      <c r="B35" s="22" t="s">
        <v>33</v>
      </c>
      <c r="C35" s="22" t="s">
        <v>1902</v>
      </c>
      <c r="D35" s="2"/>
      <c r="E35" s="2"/>
      <c r="F35" s="23" t="s">
        <v>3037</v>
      </c>
      <c r="G35" s="22">
        <v>32</v>
      </c>
      <c r="H35" s="2"/>
      <c r="I35" s="2"/>
      <c r="J35" s="22" t="str">
        <f t="shared" si="6"/>
        <v>3#3#177|3#4#355|3#5#177|3#6#355|3#7#177|3#8#355</v>
      </c>
      <c r="K35" s="22" t="str">
        <f t="shared" si="9"/>
        <v>伤害减免14%</v>
      </c>
      <c r="L35" s="33" t="str">
        <f t="shared" si="28"/>
        <v>神品升星石7/元宝142000</v>
      </c>
      <c r="M35" s="22">
        <v>25</v>
      </c>
      <c r="N35" s="10">
        <v>32</v>
      </c>
      <c r="O35" s="15">
        <f>材料产出!C28</f>
        <v>6.4</v>
      </c>
      <c r="P35" s="15">
        <f t="shared" si="1"/>
        <v>1777</v>
      </c>
      <c r="Q35" s="10">
        <f t="shared" si="2"/>
        <v>355</v>
      </c>
      <c r="R35" s="15">
        <f>参数调整!AT34</f>
        <v>1</v>
      </c>
      <c r="S35" s="10">
        <f t="shared" si="7"/>
        <v>355</v>
      </c>
      <c r="T35" s="10">
        <f>P35*(属性价值参考!C$7+属性价值参考!C$8)</f>
        <v>153532.80000000002</v>
      </c>
      <c r="U35" s="10">
        <f>AB36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5" s="10">
        <f t="shared" si="3"/>
        <v>3632.3076923076928</v>
      </c>
      <c r="W35" s="10">
        <f t="shared" si="4"/>
        <v>7264615.3846153859</v>
      </c>
      <c r="X35" s="10">
        <f t="shared" si="8"/>
        <v>68</v>
      </c>
      <c r="Y35" s="10">
        <f t="shared" si="5"/>
        <v>136000</v>
      </c>
      <c r="AA35" s="141">
        <v>31</v>
      </c>
      <c r="AB35" s="141">
        <f>14*1/18*AB40</f>
        <v>14</v>
      </c>
      <c r="AC35" s="141">
        <f t="shared" ref="AC35:AL35" si="36">14*1/18*AC40</f>
        <v>14</v>
      </c>
      <c r="AD35" s="141">
        <f t="shared" si="36"/>
        <v>14</v>
      </c>
      <c r="AE35" s="141">
        <f t="shared" si="36"/>
        <v>14</v>
      </c>
      <c r="AF35" s="141">
        <f t="shared" si="36"/>
        <v>14</v>
      </c>
      <c r="AG35" s="141">
        <f t="shared" si="36"/>
        <v>14</v>
      </c>
      <c r="AH35" s="141">
        <f t="shared" si="36"/>
        <v>14</v>
      </c>
      <c r="AI35" s="141">
        <f t="shared" si="36"/>
        <v>14</v>
      </c>
      <c r="AJ35" s="141">
        <f t="shared" si="36"/>
        <v>14</v>
      </c>
      <c r="AK35" s="141">
        <f t="shared" si="36"/>
        <v>14</v>
      </c>
      <c r="AL35" s="141">
        <f t="shared" si="36"/>
        <v>14</v>
      </c>
    </row>
    <row r="36" spans="1:38" ht="16.5" x14ac:dyDescent="0.3">
      <c r="A36" s="22" t="s">
        <v>49</v>
      </c>
      <c r="B36" s="22" t="s">
        <v>33</v>
      </c>
      <c r="C36" s="22" t="s">
        <v>1902</v>
      </c>
      <c r="D36" s="2"/>
      <c r="E36" s="2"/>
      <c r="F36" s="23" t="s">
        <v>3038</v>
      </c>
      <c r="G36" s="22">
        <v>33</v>
      </c>
      <c r="H36" s="2"/>
      <c r="I36" s="2"/>
      <c r="J36" s="22" t="str">
        <f t="shared" si="6"/>
        <v>3#3#183|3#4#366|3#5#183|3#6#366|3#7#183|3#8#366</v>
      </c>
      <c r="K36" s="22" t="str">
        <f t="shared" si="9"/>
        <v>伤害减免15%</v>
      </c>
      <c r="L36" s="33" t="str">
        <f t="shared" si="28"/>
        <v>神品升星石7/元宝142000</v>
      </c>
      <c r="M36" s="22">
        <v>20</v>
      </c>
      <c r="N36" s="10">
        <v>33</v>
      </c>
      <c r="O36" s="15">
        <f>材料产出!C29</f>
        <v>6.7</v>
      </c>
      <c r="P36" s="15">
        <f t="shared" si="1"/>
        <v>1833</v>
      </c>
      <c r="Q36" s="10">
        <f t="shared" si="2"/>
        <v>366</v>
      </c>
      <c r="R36" s="15">
        <f>参数调整!AT35</f>
        <v>1</v>
      </c>
      <c r="S36" s="10">
        <f t="shared" si="7"/>
        <v>366</v>
      </c>
      <c r="T36" s="10">
        <f>P36*(属性价值参考!C$7+属性价值参考!C$8)</f>
        <v>158371.20000000001</v>
      </c>
      <c r="U36" s="10">
        <f>AB37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37872</v>
      </c>
      <c r="V36" s="10">
        <f t="shared" si="3"/>
        <v>3773.9076923076927</v>
      </c>
      <c r="W36" s="10">
        <f t="shared" si="4"/>
        <v>7547815.3846153859</v>
      </c>
      <c r="X36" s="10">
        <f t="shared" si="8"/>
        <v>71</v>
      </c>
      <c r="Y36" s="10">
        <f t="shared" si="5"/>
        <v>142000</v>
      </c>
      <c r="AA36" s="141">
        <v>32</v>
      </c>
      <c r="AB36" s="141">
        <f>14*1/18*AB40</f>
        <v>14</v>
      </c>
      <c r="AC36" s="141">
        <f t="shared" ref="AC36:AL36" si="37">14*1/18*AC40</f>
        <v>14</v>
      </c>
      <c r="AD36" s="141">
        <f t="shared" si="37"/>
        <v>14</v>
      </c>
      <c r="AE36" s="141">
        <f t="shared" si="37"/>
        <v>14</v>
      </c>
      <c r="AF36" s="141">
        <f t="shared" si="37"/>
        <v>14</v>
      </c>
      <c r="AG36" s="141">
        <f t="shared" si="37"/>
        <v>14</v>
      </c>
      <c r="AH36" s="141">
        <f t="shared" si="37"/>
        <v>14</v>
      </c>
      <c r="AI36" s="141">
        <f t="shared" si="37"/>
        <v>14</v>
      </c>
      <c r="AJ36" s="141">
        <f t="shared" si="37"/>
        <v>14</v>
      </c>
      <c r="AK36" s="141">
        <f t="shared" si="37"/>
        <v>14</v>
      </c>
      <c r="AL36" s="141">
        <f t="shared" si="37"/>
        <v>14</v>
      </c>
    </row>
    <row r="37" spans="1:38" ht="16.5" x14ac:dyDescent="0.3">
      <c r="A37" s="22" t="s">
        <v>49</v>
      </c>
      <c r="B37" s="22" t="s">
        <v>33</v>
      </c>
      <c r="C37" s="22" t="s">
        <v>1902</v>
      </c>
      <c r="D37" s="2"/>
      <c r="E37" s="2"/>
      <c r="F37" s="23" t="s">
        <v>3039</v>
      </c>
      <c r="G37" s="22">
        <v>34</v>
      </c>
      <c r="H37" s="2"/>
      <c r="I37" s="2"/>
      <c r="J37" s="22" t="str">
        <f t="shared" si="6"/>
        <v>3#3#188|3#4#377|3#5#188|3#6#377|3#7#188|3#8#377</v>
      </c>
      <c r="K37" s="22" t="str">
        <f t="shared" si="9"/>
        <v>伤害减免16%</v>
      </c>
      <c r="L37" s="33" t="str">
        <f t="shared" si="28"/>
        <v>神品升星石7/元宝148000</v>
      </c>
      <c r="M37" s="22">
        <v>15</v>
      </c>
      <c r="N37" s="10">
        <v>34</v>
      </c>
      <c r="O37" s="15">
        <f>材料产出!C29</f>
        <v>6.7</v>
      </c>
      <c r="P37" s="15">
        <f t="shared" si="1"/>
        <v>1888</v>
      </c>
      <c r="Q37" s="10">
        <f t="shared" si="2"/>
        <v>377</v>
      </c>
      <c r="R37" s="15">
        <f>参数调整!AT36</f>
        <v>1</v>
      </c>
      <c r="S37" s="10">
        <f t="shared" si="7"/>
        <v>377</v>
      </c>
      <c r="T37" s="10">
        <f>P37*(属性价值参考!C$7+属性价值参考!C$8)</f>
        <v>163123.20000000001</v>
      </c>
      <c r="U37" s="10">
        <f>AB38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40396.800000000003</v>
      </c>
      <c r="V37" s="10">
        <f t="shared" si="3"/>
        <v>3913.8461538461538</v>
      </c>
      <c r="W37" s="10">
        <f t="shared" si="4"/>
        <v>7827692.307692308</v>
      </c>
      <c r="X37" s="10">
        <f t="shared" si="8"/>
        <v>71</v>
      </c>
      <c r="Y37" s="10">
        <f t="shared" si="5"/>
        <v>142000</v>
      </c>
      <c r="AA37" s="141">
        <v>33</v>
      </c>
      <c r="AB37" s="141">
        <f>15*1/18*AB40</f>
        <v>15</v>
      </c>
      <c r="AC37" s="141">
        <f t="shared" ref="AC37:AL37" si="38">15*1/18*AC40</f>
        <v>15</v>
      </c>
      <c r="AD37" s="141">
        <f t="shared" si="38"/>
        <v>15</v>
      </c>
      <c r="AE37" s="141">
        <f t="shared" si="38"/>
        <v>15</v>
      </c>
      <c r="AF37" s="141">
        <f t="shared" si="38"/>
        <v>15</v>
      </c>
      <c r="AG37" s="141">
        <f t="shared" si="38"/>
        <v>15</v>
      </c>
      <c r="AH37" s="141">
        <f t="shared" si="38"/>
        <v>15</v>
      </c>
      <c r="AI37" s="141">
        <f t="shared" si="38"/>
        <v>15</v>
      </c>
      <c r="AJ37" s="141">
        <f t="shared" si="38"/>
        <v>15</v>
      </c>
      <c r="AK37" s="141">
        <f t="shared" si="38"/>
        <v>15</v>
      </c>
      <c r="AL37" s="141">
        <f t="shared" si="38"/>
        <v>15</v>
      </c>
    </row>
    <row r="38" spans="1:38" ht="16.5" x14ac:dyDescent="0.3">
      <c r="A38" s="22" t="s">
        <v>49</v>
      </c>
      <c r="B38" s="22" t="s">
        <v>33</v>
      </c>
      <c r="C38" s="22" t="s">
        <v>1902</v>
      </c>
      <c r="D38" s="2"/>
      <c r="E38" s="2"/>
      <c r="F38" s="23" t="s">
        <v>3040</v>
      </c>
      <c r="G38" s="22">
        <v>35</v>
      </c>
      <c r="H38" s="2"/>
      <c r="I38" s="2"/>
      <c r="J38" s="22" t="str">
        <f t="shared" si="6"/>
        <v>3#3#194|3#4#388|3#5#194|3#6#388|3#7#194|3#8#388</v>
      </c>
      <c r="K38" s="22" t="str">
        <f t="shared" si="9"/>
        <v>伤害减免17%</v>
      </c>
      <c r="L38" s="33" t="str">
        <f t="shared" si="28"/>
        <v>神品升星石7/元宝148000</v>
      </c>
      <c r="M38" s="22">
        <v>10</v>
      </c>
      <c r="N38" s="10">
        <v>35</v>
      </c>
      <c r="O38" s="15">
        <f>材料产出!C30</f>
        <v>7</v>
      </c>
      <c r="P38" s="15">
        <f>INT(N38/N$39*P$39)</f>
        <v>1944</v>
      </c>
      <c r="Q38" s="10">
        <f>INT(P38*1/5)</f>
        <v>388</v>
      </c>
      <c r="R38" s="15">
        <f>参数调整!AT37</f>
        <v>1</v>
      </c>
      <c r="S38" s="10">
        <f t="shared" si="7"/>
        <v>388</v>
      </c>
      <c r="T38" s="10">
        <f>P38*(属性价值参考!C$7+属性价值参考!C$8)</f>
        <v>167961.60000000001</v>
      </c>
      <c r="U38" s="10">
        <f>AB39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42921.600000000006</v>
      </c>
      <c r="V38" s="10">
        <f t="shared" si="3"/>
        <v>4055.4461538461542</v>
      </c>
      <c r="W38" s="10">
        <f t="shared" si="4"/>
        <v>8110892.307692308</v>
      </c>
      <c r="X38" s="10">
        <f t="shared" si="8"/>
        <v>74</v>
      </c>
      <c r="Y38" s="10">
        <f t="shared" si="5"/>
        <v>148000</v>
      </c>
      <c r="AA38" s="141">
        <v>34</v>
      </c>
      <c r="AB38" s="141">
        <f>16*1/18*AB40</f>
        <v>16</v>
      </c>
      <c r="AC38" s="141">
        <f>16*1/18*AC40</f>
        <v>16</v>
      </c>
      <c r="AD38" s="141">
        <f t="shared" ref="AD38:AL38" si="39">16*1/18*AD40</f>
        <v>16</v>
      </c>
      <c r="AE38" s="141">
        <f t="shared" si="39"/>
        <v>16</v>
      </c>
      <c r="AF38" s="141">
        <f t="shared" si="39"/>
        <v>16</v>
      </c>
      <c r="AG38" s="141">
        <f t="shared" si="39"/>
        <v>16</v>
      </c>
      <c r="AH38" s="141">
        <f t="shared" si="39"/>
        <v>16</v>
      </c>
      <c r="AI38" s="141">
        <f t="shared" si="39"/>
        <v>16</v>
      </c>
      <c r="AJ38" s="141">
        <f t="shared" si="39"/>
        <v>16</v>
      </c>
      <c r="AK38" s="141">
        <f t="shared" si="39"/>
        <v>16</v>
      </c>
      <c r="AL38" s="141">
        <f t="shared" si="39"/>
        <v>16</v>
      </c>
    </row>
    <row r="39" spans="1:38" ht="16.5" x14ac:dyDescent="0.3">
      <c r="A39" s="22" t="s">
        <v>49</v>
      </c>
      <c r="B39" s="22" t="s">
        <v>33</v>
      </c>
      <c r="C39" s="22" t="s">
        <v>1902</v>
      </c>
      <c r="D39" s="2"/>
      <c r="E39" s="2"/>
      <c r="F39" s="23" t="s">
        <v>3041</v>
      </c>
      <c r="G39" s="22">
        <v>36</v>
      </c>
      <c r="H39" s="2"/>
      <c r="I39" s="2"/>
      <c r="J39" s="22" t="str">
        <f t="shared" si="6"/>
        <v>3#3#200|3#4#400|3#5#200|3#6#400|3#7#200|3#8#400</v>
      </c>
      <c r="K39" s="22" t="str">
        <f t="shared" si="9"/>
        <v>伤害减免18%</v>
      </c>
      <c r="L39" s="2"/>
      <c r="M39" s="22"/>
      <c r="N39" s="10">
        <v>36</v>
      </c>
      <c r="O39" s="15">
        <f>材料产出!C30</f>
        <v>7</v>
      </c>
      <c r="P39" s="15">
        <f>养成属性分配!AK31</f>
        <v>2000</v>
      </c>
      <c r="Q39" s="10">
        <f t="shared" ref="Q39" si="40">P39*1/5</f>
        <v>400</v>
      </c>
      <c r="R39" s="15">
        <f>参数调整!AT38</f>
        <v>1</v>
      </c>
      <c r="S39" s="10">
        <f t="shared" si="7"/>
        <v>400</v>
      </c>
      <c r="T39" s="10">
        <f>P39*(属性价值参考!C$7+属性价值参考!C$8)</f>
        <v>172800</v>
      </c>
      <c r="U39" s="10">
        <f>AB40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45446.400000000001</v>
      </c>
      <c r="V39" s="10">
        <f>(T39+U39)/52*1</f>
        <v>4197.0461538461541</v>
      </c>
      <c r="W39" s="10">
        <f>(T39+U39)/52*2000</f>
        <v>8394092.307692308</v>
      </c>
      <c r="X39" s="10">
        <f t="shared" si="8"/>
        <v>74</v>
      </c>
      <c r="Y39" s="10">
        <f>X39*2000</f>
        <v>148000</v>
      </c>
      <c r="AA39" s="141">
        <v>35</v>
      </c>
      <c r="AB39" s="141">
        <f>17*1/18*AB40</f>
        <v>17</v>
      </c>
      <c r="AC39" s="141">
        <f t="shared" ref="AC39:AL39" si="41">17*1/18*AC40</f>
        <v>17</v>
      </c>
      <c r="AD39" s="141">
        <f t="shared" si="41"/>
        <v>17</v>
      </c>
      <c r="AE39" s="141">
        <f t="shared" si="41"/>
        <v>17</v>
      </c>
      <c r="AF39" s="141">
        <f t="shared" si="41"/>
        <v>17</v>
      </c>
      <c r="AG39" s="141">
        <f t="shared" si="41"/>
        <v>17</v>
      </c>
      <c r="AH39" s="141">
        <f t="shared" si="41"/>
        <v>17</v>
      </c>
      <c r="AI39" s="141">
        <f t="shared" si="41"/>
        <v>17</v>
      </c>
      <c r="AJ39" s="141">
        <f t="shared" si="41"/>
        <v>17</v>
      </c>
      <c r="AK39" s="141">
        <f t="shared" si="41"/>
        <v>17</v>
      </c>
      <c r="AL39" s="141">
        <f t="shared" si="41"/>
        <v>17</v>
      </c>
    </row>
    <row r="40" spans="1:38" ht="15.75" x14ac:dyDescent="0.3">
      <c r="A40" s="22" t="s">
        <v>49</v>
      </c>
      <c r="B40" s="22" t="s">
        <v>33</v>
      </c>
      <c r="C40" s="22" t="s">
        <v>1902</v>
      </c>
      <c r="D40" s="2"/>
      <c r="E40" s="2"/>
      <c r="F40" s="23" t="s">
        <v>3042</v>
      </c>
      <c r="G40" s="22">
        <v>37</v>
      </c>
      <c r="H40" s="2"/>
      <c r="I40" s="2"/>
      <c r="J40" s="22"/>
      <c r="K40" s="22"/>
      <c r="L40" s="2"/>
      <c r="M40" s="22"/>
      <c r="AA40" s="141">
        <v>36</v>
      </c>
      <c r="AB40" s="141">
        <f>参数调整!AC12</f>
        <v>18</v>
      </c>
      <c r="AC40" s="141">
        <f>参数调整!AB12</f>
        <v>18</v>
      </c>
      <c r="AD40" s="141">
        <f>参数调整!AP12</f>
        <v>18</v>
      </c>
      <c r="AE40" s="141">
        <f>参数调整!W12</f>
        <v>18</v>
      </c>
      <c r="AF40" s="141">
        <f>参数调整!AG12</f>
        <v>18</v>
      </c>
      <c r="AG40" s="141">
        <f>1/4*参数调整!V12</f>
        <v>18</v>
      </c>
      <c r="AH40" s="141">
        <f>1/4*参数调整!V12</f>
        <v>18</v>
      </c>
      <c r="AI40" s="141">
        <f>1/4*参数调整!V12</f>
        <v>18</v>
      </c>
      <c r="AJ40" s="141">
        <f>1/4*参数调整!V12</f>
        <v>18</v>
      </c>
      <c r="AK40" s="141">
        <f>1/2*参数调整!AE12</f>
        <v>18</v>
      </c>
      <c r="AL40" s="141">
        <f>1/2*参数调整!AE12</f>
        <v>18</v>
      </c>
    </row>
    <row r="41" spans="1:38" ht="15.75" x14ac:dyDescent="0.3">
      <c r="A41" s="22" t="s">
        <v>49</v>
      </c>
      <c r="B41" s="22" t="s">
        <v>33</v>
      </c>
      <c r="C41" s="22" t="s">
        <v>1902</v>
      </c>
      <c r="D41" s="2"/>
      <c r="E41" s="2"/>
      <c r="F41" s="23" t="s">
        <v>3043</v>
      </c>
      <c r="G41" s="22">
        <v>38</v>
      </c>
      <c r="H41" s="2"/>
      <c r="I41" s="2"/>
      <c r="J41" s="22"/>
      <c r="K41" s="22"/>
      <c r="L41" s="2"/>
      <c r="M41" s="22"/>
    </row>
    <row r="42" spans="1:38" ht="15.75" x14ac:dyDescent="0.3">
      <c r="A42" s="22" t="s">
        <v>49</v>
      </c>
      <c r="B42" s="22" t="s">
        <v>33</v>
      </c>
      <c r="C42" s="22" t="s">
        <v>1902</v>
      </c>
      <c r="D42" s="2"/>
      <c r="E42" s="2"/>
      <c r="F42" s="23" t="s">
        <v>3044</v>
      </c>
      <c r="G42" s="22">
        <v>39</v>
      </c>
      <c r="H42" s="2"/>
      <c r="I42" s="2"/>
      <c r="J42" s="22"/>
      <c r="K42" s="22"/>
      <c r="L42" s="2"/>
      <c r="M42" s="22"/>
    </row>
    <row r="43" spans="1:38" ht="15.75" x14ac:dyDescent="0.3">
      <c r="A43" s="22" t="s">
        <v>49</v>
      </c>
      <c r="B43" s="22" t="s">
        <v>33</v>
      </c>
      <c r="C43" s="22" t="s">
        <v>1900</v>
      </c>
      <c r="D43" s="22"/>
      <c r="E43" s="22"/>
      <c r="F43" s="23" t="s">
        <v>3005</v>
      </c>
      <c r="G43" s="22">
        <v>0</v>
      </c>
      <c r="H43" s="32"/>
      <c r="I43" s="22"/>
      <c r="J43" s="22"/>
      <c r="K43" s="22"/>
      <c r="L43" s="33" t="str">
        <f>"凡品升星石"&amp;X4&amp;"/元宝"&amp;Y4</f>
        <v>凡品升星石16/元宝32000</v>
      </c>
      <c r="M43" s="22">
        <v>100</v>
      </c>
    </row>
    <row r="44" spans="1:38" ht="15.75" x14ac:dyDescent="0.3">
      <c r="A44" s="22" t="s">
        <v>49</v>
      </c>
      <c r="B44" s="22" t="s">
        <v>33</v>
      </c>
      <c r="C44" s="22" t="s">
        <v>1900</v>
      </c>
      <c r="D44" s="22"/>
      <c r="E44" s="22"/>
      <c r="F44" s="23" t="s">
        <v>3006</v>
      </c>
      <c r="G44" s="22">
        <v>1</v>
      </c>
      <c r="H44" s="32"/>
      <c r="I44" s="22"/>
      <c r="J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4" s="22"/>
      <c r="L44" s="33" t="str">
        <f t="shared" ref="L44:L54" si="42">"凡品升星石"&amp;X5&amp;"/元宝"&amp;Y5</f>
        <v>凡品升星石16/元宝32000</v>
      </c>
      <c r="M44" s="22">
        <v>100</v>
      </c>
    </row>
    <row r="45" spans="1:38" ht="15.75" x14ac:dyDescent="0.3">
      <c r="A45" s="22" t="s">
        <v>49</v>
      </c>
      <c r="B45" s="22" t="s">
        <v>33</v>
      </c>
      <c r="C45" s="22" t="s">
        <v>1900</v>
      </c>
      <c r="D45" s="2"/>
      <c r="E45" s="2"/>
      <c r="F45" s="23" t="s">
        <v>3007</v>
      </c>
      <c r="G45" s="22">
        <v>2</v>
      </c>
      <c r="H45" s="2"/>
      <c r="I45" s="2"/>
      <c r="J45" s="22" t="str">
        <f t="shared" ref="J45:J79" si="43">"3#3#"&amp;INT(0.5*S5)&amp;"|"&amp;"3#4#"&amp;S5&amp;"|"&amp;"3#5#"&amp;INT(0.5*S5)&amp;"|"&amp;"3#6#"&amp;S5&amp;"|"&amp;"3#7#"&amp;INT(0.5*S5)&amp;"|"&amp;"3#8#"&amp;S5</f>
        <v>3#3#5|3#4#11|3#5#5|3#6#11|3#7#5|3#8#11</v>
      </c>
      <c r="K45" s="22"/>
      <c r="L45" s="33" t="str">
        <f t="shared" si="42"/>
        <v>凡品升星石19/元宝38000</v>
      </c>
      <c r="M45" s="22">
        <v>100</v>
      </c>
    </row>
    <row r="46" spans="1:38" ht="15.75" x14ac:dyDescent="0.3">
      <c r="A46" s="22" t="s">
        <v>49</v>
      </c>
      <c r="B46" s="22" t="s">
        <v>33</v>
      </c>
      <c r="C46" s="22" t="s">
        <v>1900</v>
      </c>
      <c r="D46" s="2"/>
      <c r="E46" s="2"/>
      <c r="F46" s="23" t="s">
        <v>3008</v>
      </c>
      <c r="G46" s="22">
        <v>3</v>
      </c>
      <c r="H46" s="2"/>
      <c r="I46" s="2"/>
      <c r="J46" s="22" t="str">
        <f t="shared" si="43"/>
        <v>3#3#8|3#4#16|3#5#8|3#6#16|3#7#8|3#8#16</v>
      </c>
      <c r="K46" s="22"/>
      <c r="L46" s="33" t="str">
        <f t="shared" si="42"/>
        <v>凡品升星石19/元宝38000</v>
      </c>
      <c r="M46" s="22">
        <v>90</v>
      </c>
    </row>
    <row r="47" spans="1:38" ht="15.75" x14ac:dyDescent="0.3">
      <c r="A47" s="22" t="s">
        <v>49</v>
      </c>
      <c r="B47" s="22" t="s">
        <v>33</v>
      </c>
      <c r="C47" s="22" t="s">
        <v>1900</v>
      </c>
      <c r="D47" s="2"/>
      <c r="E47" s="2"/>
      <c r="F47" s="23" t="s">
        <v>3009</v>
      </c>
      <c r="G47" s="22">
        <v>4</v>
      </c>
      <c r="H47" s="2"/>
      <c r="I47" s="2"/>
      <c r="J47" s="22" t="str">
        <f t="shared" si="43"/>
        <v>3#3#11|3#4#22|3#5#11|3#6#22|3#7#11|3#8#22</v>
      </c>
      <c r="K47" s="22"/>
      <c r="L47" s="33" t="str">
        <f t="shared" si="42"/>
        <v>凡品升星石22/元宝44000</v>
      </c>
      <c r="M47" s="22">
        <v>80</v>
      </c>
    </row>
    <row r="48" spans="1:38" ht="15.75" x14ac:dyDescent="0.3">
      <c r="A48" s="22" t="s">
        <v>49</v>
      </c>
      <c r="B48" s="22" t="s">
        <v>33</v>
      </c>
      <c r="C48" s="22" t="s">
        <v>1900</v>
      </c>
      <c r="D48" s="2"/>
      <c r="E48" s="2"/>
      <c r="F48" s="23" t="s">
        <v>3010</v>
      </c>
      <c r="G48" s="22">
        <v>5</v>
      </c>
      <c r="H48" s="2"/>
      <c r="I48" s="2"/>
      <c r="J48" s="22" t="str">
        <f t="shared" si="43"/>
        <v>3#3#16|3#4#33|3#5#16|3#6#33|3#7#16|3#8#33</v>
      </c>
      <c r="K48" s="22"/>
      <c r="L48" s="33" t="str">
        <f t="shared" si="42"/>
        <v>凡品升星石22/元宝44000</v>
      </c>
      <c r="M48" s="22">
        <v>70</v>
      </c>
    </row>
    <row r="49" spans="1:13" ht="15.75" x14ac:dyDescent="0.3">
      <c r="A49" s="22" t="s">
        <v>49</v>
      </c>
      <c r="B49" s="22" t="s">
        <v>33</v>
      </c>
      <c r="C49" s="22" t="s">
        <v>1900</v>
      </c>
      <c r="D49" s="2"/>
      <c r="E49" s="2"/>
      <c r="F49" s="23" t="s">
        <v>3011</v>
      </c>
      <c r="G49" s="22">
        <v>6</v>
      </c>
      <c r="H49" s="2"/>
      <c r="I49" s="2"/>
      <c r="J49" s="22" t="str">
        <f t="shared" si="43"/>
        <v>3#3#19|3#4#39|3#5#19|3#6#39|3#7#19|3#8#39</v>
      </c>
      <c r="K49" s="22"/>
      <c r="L49" s="33" t="str">
        <f t="shared" si="42"/>
        <v>凡品升星石26/元宝52000</v>
      </c>
      <c r="M49" s="22">
        <v>60</v>
      </c>
    </row>
    <row r="50" spans="1:13" ht="15.75" x14ac:dyDescent="0.3">
      <c r="A50" s="22" t="s">
        <v>49</v>
      </c>
      <c r="B50" s="22" t="s">
        <v>33</v>
      </c>
      <c r="C50" s="22" t="s">
        <v>1900</v>
      </c>
      <c r="D50" s="2"/>
      <c r="E50" s="2"/>
      <c r="F50" s="23" t="s">
        <v>3012</v>
      </c>
      <c r="G50" s="22">
        <v>7</v>
      </c>
      <c r="H50" s="2"/>
      <c r="I50" s="2"/>
      <c r="J50" s="22" t="str">
        <f t="shared" si="43"/>
        <v>3#3#23|3#4#46|3#5#23|3#6#46|3#7#23|3#8#46</v>
      </c>
      <c r="K50" s="22" t="str">
        <f>$AC$4&amp;AC11&amp;"%"</f>
        <v>伤害加成1%</v>
      </c>
      <c r="L50" s="33" t="str">
        <f t="shared" si="42"/>
        <v>凡品升星石26/元宝52000</v>
      </c>
      <c r="M50" s="22">
        <v>50</v>
      </c>
    </row>
    <row r="51" spans="1:13" ht="15.75" x14ac:dyDescent="0.3">
      <c r="A51" s="22" t="s">
        <v>49</v>
      </c>
      <c r="B51" s="22" t="s">
        <v>33</v>
      </c>
      <c r="C51" s="22" t="s">
        <v>1900</v>
      </c>
      <c r="D51" s="2"/>
      <c r="E51" s="2"/>
      <c r="F51" s="23" t="s">
        <v>3013</v>
      </c>
      <c r="G51" s="22">
        <v>8</v>
      </c>
      <c r="H51" s="2"/>
      <c r="I51" s="2"/>
      <c r="J51" s="22" t="str">
        <f t="shared" si="43"/>
        <v>3#3#26|3#4#52|3#5#26|3#6#52|3#7#26|3#8#52</v>
      </c>
      <c r="K51" s="22" t="str">
        <f t="shared" ref="K51:K79" si="44">$AC$4&amp;AC12&amp;"%"</f>
        <v>伤害加成2%</v>
      </c>
      <c r="L51" s="33" t="str">
        <f t="shared" si="42"/>
        <v>凡品升星石32/元宝64000</v>
      </c>
      <c r="M51" s="22">
        <v>40</v>
      </c>
    </row>
    <row r="52" spans="1:13" ht="15.75" x14ac:dyDescent="0.3">
      <c r="A52" s="22" t="s">
        <v>49</v>
      </c>
      <c r="B52" s="22" t="s">
        <v>33</v>
      </c>
      <c r="C52" s="22" t="s">
        <v>1900</v>
      </c>
      <c r="D52" s="2"/>
      <c r="E52" s="2"/>
      <c r="F52" s="23" t="s">
        <v>3014</v>
      </c>
      <c r="G52" s="22">
        <v>9</v>
      </c>
      <c r="H52" s="2"/>
      <c r="I52" s="2"/>
      <c r="J52" s="22" t="str">
        <f t="shared" si="43"/>
        <v>3#3#35|3#4#70|3#5#35|3#6#70|3#7#35|3#8#70</v>
      </c>
      <c r="K52" s="22" t="str">
        <f t="shared" si="44"/>
        <v>伤害加成3%</v>
      </c>
      <c r="L52" s="33" t="str">
        <f t="shared" si="42"/>
        <v>凡品升星石32/元宝64000</v>
      </c>
      <c r="M52" s="22">
        <v>30</v>
      </c>
    </row>
    <row r="53" spans="1:13" ht="15.75" x14ac:dyDescent="0.3">
      <c r="A53" s="22" t="s">
        <v>49</v>
      </c>
      <c r="B53" s="22" t="s">
        <v>33</v>
      </c>
      <c r="C53" s="22" t="s">
        <v>1900</v>
      </c>
      <c r="D53" s="2"/>
      <c r="E53" s="2"/>
      <c r="F53" s="23" t="s">
        <v>3015</v>
      </c>
      <c r="G53" s="22">
        <v>10</v>
      </c>
      <c r="H53" s="2"/>
      <c r="I53" s="2"/>
      <c r="J53" s="22" t="str">
        <f t="shared" si="43"/>
        <v>3#3#38|3#4#77|3#5#38|3#6#77|3#7#38|3#8#77</v>
      </c>
      <c r="K53" s="22" t="str">
        <f t="shared" si="44"/>
        <v>伤害加成3%</v>
      </c>
      <c r="L53" s="33" t="str">
        <f t="shared" si="42"/>
        <v>凡品升星石37/元宝74000</v>
      </c>
      <c r="M53" s="22">
        <v>20</v>
      </c>
    </row>
    <row r="54" spans="1:13" ht="15.75" x14ac:dyDescent="0.3">
      <c r="A54" s="22" t="s">
        <v>49</v>
      </c>
      <c r="B54" s="22" t="s">
        <v>33</v>
      </c>
      <c r="C54" s="22" t="s">
        <v>1900</v>
      </c>
      <c r="D54" s="2"/>
      <c r="E54" s="2"/>
      <c r="F54" s="23" t="s">
        <v>3016</v>
      </c>
      <c r="G54" s="22">
        <v>11</v>
      </c>
      <c r="H54" s="2"/>
      <c r="I54" s="2"/>
      <c r="J54" s="22" t="str">
        <f t="shared" si="43"/>
        <v>3#3#42|3#4#85|3#5#42|3#6#85|3#7#42|3#8#85</v>
      </c>
      <c r="K54" s="22" t="str">
        <f t="shared" si="44"/>
        <v>伤害加成4%</v>
      </c>
      <c r="L54" s="33" t="str">
        <f t="shared" si="42"/>
        <v>凡品升星石37/元宝74000</v>
      </c>
      <c r="M54" s="22">
        <v>15</v>
      </c>
    </row>
    <row r="55" spans="1:13" ht="15.75" x14ac:dyDescent="0.3">
      <c r="A55" s="22" t="s">
        <v>49</v>
      </c>
      <c r="B55" s="22" t="s">
        <v>33</v>
      </c>
      <c r="C55" s="22" t="s">
        <v>1900</v>
      </c>
      <c r="D55" s="2"/>
      <c r="E55" s="2"/>
      <c r="F55" s="23" t="s">
        <v>3017</v>
      </c>
      <c r="G55" s="22">
        <v>12</v>
      </c>
      <c r="H55" s="2"/>
      <c r="I55" s="2"/>
      <c r="J55" s="22" t="str">
        <f t="shared" si="43"/>
        <v>3#3#46|3#4#93|3#5#46|3#6#93|3#7#46|3#8#93</v>
      </c>
      <c r="K55" s="22" t="str">
        <f t="shared" si="44"/>
        <v>伤害加成4%</v>
      </c>
      <c r="L55" s="33" t="str">
        <f>"仙品升星石"&amp;INT(X16/2)&amp;"/元宝"&amp;Y16</f>
        <v>仙品升星石19/元宝78000</v>
      </c>
      <c r="M55" s="22">
        <v>100</v>
      </c>
    </row>
    <row r="56" spans="1:13" ht="15.75" x14ac:dyDescent="0.3">
      <c r="A56" s="22" t="s">
        <v>49</v>
      </c>
      <c r="B56" s="22" t="s">
        <v>33</v>
      </c>
      <c r="C56" s="22" t="s">
        <v>1900</v>
      </c>
      <c r="D56" s="2"/>
      <c r="E56" s="2"/>
      <c r="F56" s="23" t="s">
        <v>3018</v>
      </c>
      <c r="G56" s="22">
        <v>13</v>
      </c>
      <c r="H56" s="2"/>
      <c r="I56" s="2"/>
      <c r="J56" s="22" t="str">
        <f t="shared" si="43"/>
        <v>3#3#54|3#4#108|3#5#54|3#6#108|3#7#54|3#8#108</v>
      </c>
      <c r="K56" s="22" t="str">
        <f t="shared" si="44"/>
        <v>伤害加成5%</v>
      </c>
      <c r="L56" s="33" t="str">
        <f t="shared" ref="L56:L66" si="45">"仙品升星石"&amp;INT(X17/2)&amp;"/元宝"&amp;Y17</f>
        <v>仙品升星石19/元宝78000</v>
      </c>
      <c r="M56" s="22">
        <v>100</v>
      </c>
    </row>
    <row r="57" spans="1:13" ht="15.75" x14ac:dyDescent="0.3">
      <c r="A57" s="22" t="s">
        <v>49</v>
      </c>
      <c r="B57" s="22" t="s">
        <v>33</v>
      </c>
      <c r="C57" s="22" t="s">
        <v>1900</v>
      </c>
      <c r="D57" s="2"/>
      <c r="E57" s="2"/>
      <c r="F57" s="23" t="s">
        <v>3019</v>
      </c>
      <c r="G57" s="22">
        <v>14</v>
      </c>
      <c r="H57" s="2"/>
      <c r="I57" s="2"/>
      <c r="J57" s="22" t="str">
        <f t="shared" si="43"/>
        <v>3#3#58|3#4#116|3#5#58|3#6#116|3#7#58|3#8#116</v>
      </c>
      <c r="K57" s="22" t="str">
        <f t="shared" si="44"/>
        <v>伤害加成5%</v>
      </c>
      <c r="L57" s="33" t="str">
        <f t="shared" si="45"/>
        <v>仙品升星石21/元宝84000</v>
      </c>
      <c r="M57" s="22">
        <v>100</v>
      </c>
    </row>
    <row r="58" spans="1:13" ht="15.75" x14ac:dyDescent="0.3">
      <c r="A58" s="22" t="s">
        <v>49</v>
      </c>
      <c r="B58" s="22" t="s">
        <v>33</v>
      </c>
      <c r="C58" s="22" t="s">
        <v>1900</v>
      </c>
      <c r="D58" s="2"/>
      <c r="E58" s="2"/>
      <c r="F58" s="23" t="s">
        <v>3020</v>
      </c>
      <c r="G58" s="22">
        <v>15</v>
      </c>
      <c r="H58" s="2"/>
      <c r="I58" s="2"/>
      <c r="J58" s="22" t="str">
        <f t="shared" si="43"/>
        <v>3#3#62|3#4#124|3#5#62|3#6#124|3#7#62|3#8#124</v>
      </c>
      <c r="K58" s="22" t="str">
        <f t="shared" si="44"/>
        <v>伤害加成6%</v>
      </c>
      <c r="L58" s="33" t="str">
        <f t="shared" si="45"/>
        <v>仙品升星石21/元宝84000</v>
      </c>
      <c r="M58" s="22">
        <v>70</v>
      </c>
    </row>
    <row r="59" spans="1:13" ht="15.75" x14ac:dyDescent="0.3">
      <c r="A59" s="22" t="s">
        <v>49</v>
      </c>
      <c r="B59" s="22" t="s">
        <v>33</v>
      </c>
      <c r="C59" s="22" t="s">
        <v>1900</v>
      </c>
      <c r="D59" s="2"/>
      <c r="E59" s="2"/>
      <c r="F59" s="23" t="s">
        <v>3021</v>
      </c>
      <c r="G59" s="22">
        <v>16</v>
      </c>
      <c r="H59" s="2"/>
      <c r="I59" s="2"/>
      <c r="J59" s="22" t="str">
        <f t="shared" si="43"/>
        <v>3#3#66|3#4#132|3#5#66|3#6#132|3#7#66|3#8#132</v>
      </c>
      <c r="K59" s="22" t="str">
        <f t="shared" si="44"/>
        <v>伤害加成6%</v>
      </c>
      <c r="L59" s="33" t="str">
        <f t="shared" si="45"/>
        <v>仙品升星石23/元宝92000</v>
      </c>
      <c r="M59" s="22">
        <v>60</v>
      </c>
    </row>
    <row r="60" spans="1:13" ht="15.75" x14ac:dyDescent="0.3">
      <c r="A60" s="22" t="s">
        <v>49</v>
      </c>
      <c r="B60" s="22" t="s">
        <v>33</v>
      </c>
      <c r="C60" s="22" t="s">
        <v>1900</v>
      </c>
      <c r="D60" s="2"/>
      <c r="E60" s="2"/>
      <c r="F60" s="23" t="s">
        <v>3022</v>
      </c>
      <c r="G60" s="22">
        <v>17</v>
      </c>
      <c r="H60" s="2"/>
      <c r="I60" s="2"/>
      <c r="J60" s="22" t="str">
        <f t="shared" si="43"/>
        <v>3#3#79|3#4#159|3#5#79|3#6#159|3#7#79|3#8#159</v>
      </c>
      <c r="K60" s="22" t="str">
        <f t="shared" si="44"/>
        <v>伤害加成7%</v>
      </c>
      <c r="L60" s="33" t="str">
        <f t="shared" si="45"/>
        <v>仙品升星石23/元宝92000</v>
      </c>
      <c r="M60" s="22">
        <v>50</v>
      </c>
    </row>
    <row r="61" spans="1:13" ht="15.75" x14ac:dyDescent="0.3">
      <c r="A61" s="22" t="s">
        <v>49</v>
      </c>
      <c r="B61" s="22" t="s">
        <v>33</v>
      </c>
      <c r="C61" s="22" t="s">
        <v>1900</v>
      </c>
      <c r="D61" s="2"/>
      <c r="E61" s="2"/>
      <c r="F61" s="23" t="s">
        <v>3023</v>
      </c>
      <c r="G61" s="22">
        <v>18</v>
      </c>
      <c r="H61" s="2"/>
      <c r="I61" s="2"/>
      <c r="J61" s="22" t="str">
        <f t="shared" si="43"/>
        <v>3#3#85|3#4#170|3#5#85|3#6#170|3#7#85|3#8#170</v>
      </c>
      <c r="K61" s="22" t="str">
        <f t="shared" si="44"/>
        <v>伤害加成7%</v>
      </c>
      <c r="L61" s="33" t="str">
        <f t="shared" si="45"/>
        <v>仙品升星石24/元宝98000</v>
      </c>
      <c r="M61" s="22">
        <v>40</v>
      </c>
    </row>
    <row r="62" spans="1:13" ht="15.75" x14ac:dyDescent="0.3">
      <c r="A62" s="22" t="s">
        <v>49</v>
      </c>
      <c r="B62" s="22" t="s">
        <v>33</v>
      </c>
      <c r="C62" s="22" t="s">
        <v>1900</v>
      </c>
      <c r="D62" s="2"/>
      <c r="E62" s="2"/>
      <c r="F62" s="23" t="s">
        <v>3024</v>
      </c>
      <c r="G62" s="22">
        <v>19</v>
      </c>
      <c r="H62" s="2"/>
      <c r="I62" s="2"/>
      <c r="J62" s="22" t="str">
        <f t="shared" si="43"/>
        <v>3#3#89|3#4#179|3#5#89|3#6#179|3#7#89|3#8#179</v>
      </c>
      <c r="K62" s="22" t="str">
        <f t="shared" si="44"/>
        <v>伤害加成8%</v>
      </c>
      <c r="L62" s="33" t="str">
        <f t="shared" si="45"/>
        <v>仙品升星石24/元宝98000</v>
      </c>
      <c r="M62" s="22">
        <v>30</v>
      </c>
    </row>
    <row r="63" spans="1:13" ht="15.75" x14ac:dyDescent="0.3">
      <c r="A63" s="22" t="s">
        <v>49</v>
      </c>
      <c r="B63" s="22" t="s">
        <v>33</v>
      </c>
      <c r="C63" s="22" t="s">
        <v>1900</v>
      </c>
      <c r="D63" s="2"/>
      <c r="E63" s="2"/>
      <c r="F63" s="23" t="s">
        <v>3025</v>
      </c>
      <c r="G63" s="22">
        <v>20</v>
      </c>
      <c r="H63" s="2"/>
      <c r="I63" s="2"/>
      <c r="J63" s="22" t="str">
        <f t="shared" si="43"/>
        <v>3#3#94|3#4#188|3#5#94|3#6#188|3#7#94|3#8#188</v>
      </c>
      <c r="K63" s="22" t="str">
        <f t="shared" si="44"/>
        <v>伤害加成8%</v>
      </c>
      <c r="L63" s="33" t="str">
        <f t="shared" si="45"/>
        <v>仙品升星石26/元宝104000</v>
      </c>
      <c r="M63" s="22">
        <v>25</v>
      </c>
    </row>
    <row r="64" spans="1:13" ht="15.75" x14ac:dyDescent="0.3">
      <c r="A64" s="22" t="s">
        <v>49</v>
      </c>
      <c r="B64" s="22" t="s">
        <v>33</v>
      </c>
      <c r="C64" s="22" t="s">
        <v>1900</v>
      </c>
      <c r="D64" s="2"/>
      <c r="E64" s="2"/>
      <c r="F64" s="23" t="s">
        <v>3026</v>
      </c>
      <c r="G64" s="22">
        <v>21</v>
      </c>
      <c r="H64" s="2"/>
      <c r="I64" s="2"/>
      <c r="J64" s="22" t="str">
        <f t="shared" si="43"/>
        <v>3#3#110|3#4#221|3#5#110|3#6#221|3#7#110|3#8#221</v>
      </c>
      <c r="K64" s="22" t="str">
        <f t="shared" si="44"/>
        <v>伤害加成9%</v>
      </c>
      <c r="L64" s="33" t="str">
        <f t="shared" si="45"/>
        <v>仙品升星石26/元宝104000</v>
      </c>
      <c r="M64" s="22">
        <v>20</v>
      </c>
    </row>
    <row r="65" spans="1:13" ht="15.75" x14ac:dyDescent="0.3">
      <c r="A65" s="22" t="s">
        <v>49</v>
      </c>
      <c r="B65" s="22" t="s">
        <v>33</v>
      </c>
      <c r="C65" s="22" t="s">
        <v>1900</v>
      </c>
      <c r="D65" s="2"/>
      <c r="E65" s="2"/>
      <c r="F65" s="23" t="s">
        <v>3027</v>
      </c>
      <c r="G65" s="22">
        <v>22</v>
      </c>
      <c r="H65" s="2"/>
      <c r="I65" s="2"/>
      <c r="J65" s="22" t="str">
        <f t="shared" si="43"/>
        <v>3#3#115|3#4#231|3#5#115|3#6#231|3#7#115|3#8#231</v>
      </c>
      <c r="K65" s="22" t="str">
        <f t="shared" si="44"/>
        <v>伤害加成9%</v>
      </c>
      <c r="L65" s="33" t="str">
        <f t="shared" si="45"/>
        <v>仙品升星石27/元宝110000</v>
      </c>
      <c r="M65" s="22">
        <v>15</v>
      </c>
    </row>
    <row r="66" spans="1:13" ht="15.75" x14ac:dyDescent="0.3">
      <c r="A66" s="22" t="s">
        <v>49</v>
      </c>
      <c r="B66" s="22" t="s">
        <v>33</v>
      </c>
      <c r="C66" s="22" t="s">
        <v>1900</v>
      </c>
      <c r="D66" s="2"/>
      <c r="E66" s="2"/>
      <c r="F66" s="23" t="s">
        <v>3028</v>
      </c>
      <c r="G66" s="22">
        <v>23</v>
      </c>
      <c r="H66" s="2"/>
      <c r="I66" s="2"/>
      <c r="J66" s="22" t="str">
        <f t="shared" si="43"/>
        <v>3#3#121|3#4#242|3#5#121|3#6#242|3#7#121|3#8#242</v>
      </c>
      <c r="K66" s="22" t="str">
        <f t="shared" si="44"/>
        <v>伤害加成10%</v>
      </c>
      <c r="L66" s="33" t="str">
        <f t="shared" si="45"/>
        <v>仙品升星石27/元宝110000</v>
      </c>
      <c r="M66" s="22">
        <v>10</v>
      </c>
    </row>
    <row r="67" spans="1:13" ht="15.75" x14ac:dyDescent="0.3">
      <c r="A67" s="22" t="s">
        <v>49</v>
      </c>
      <c r="B67" s="22" t="s">
        <v>33</v>
      </c>
      <c r="C67" s="22" t="s">
        <v>1900</v>
      </c>
      <c r="D67" s="2"/>
      <c r="E67" s="2"/>
      <c r="F67" s="23" t="s">
        <v>3029</v>
      </c>
      <c r="G67" s="22">
        <v>24</v>
      </c>
      <c r="H67" s="2"/>
      <c r="I67" s="2"/>
      <c r="J67" s="22" t="str">
        <f t="shared" si="43"/>
        <v>3#3#126|3#4#252|3#5#126|3#6#252|3#7#126|3#8#252</v>
      </c>
      <c r="K67" s="22" t="str">
        <f t="shared" si="44"/>
        <v>伤害加成10%</v>
      </c>
      <c r="L67" s="33" t="str">
        <f>"神品升星石"&amp;INT(X28/10)&amp;"/元宝"&amp;Y28</f>
        <v>神品升星石5/元宝116000</v>
      </c>
      <c r="M67" s="22">
        <v>100</v>
      </c>
    </row>
    <row r="68" spans="1:13" ht="15.75" x14ac:dyDescent="0.3">
      <c r="A68" s="22" t="s">
        <v>49</v>
      </c>
      <c r="B68" s="22" t="s">
        <v>33</v>
      </c>
      <c r="C68" s="22" t="s">
        <v>1900</v>
      </c>
      <c r="D68" s="2"/>
      <c r="E68" s="2"/>
      <c r="F68" s="23" t="s">
        <v>3030</v>
      </c>
      <c r="G68" s="22">
        <v>25</v>
      </c>
      <c r="H68" s="2"/>
      <c r="I68" s="2"/>
      <c r="J68" s="22" t="str">
        <f t="shared" si="43"/>
        <v>3#3#138|3#4#277|3#5#138|3#6#277|3#7#138|3#8#277</v>
      </c>
      <c r="K68" s="22" t="str">
        <f t="shared" si="44"/>
        <v>伤害加成11%</v>
      </c>
      <c r="L68" s="33" t="str">
        <f t="shared" ref="L68:L78" si="46">"神品升星石"&amp;INT(X29/10)&amp;"/元宝"&amp;Y29</f>
        <v>神品升星石5/元宝116000</v>
      </c>
      <c r="M68" s="22">
        <v>100</v>
      </c>
    </row>
    <row r="69" spans="1:13" ht="15.75" x14ac:dyDescent="0.3">
      <c r="A69" s="22" t="s">
        <v>49</v>
      </c>
      <c r="B69" s="22" t="s">
        <v>33</v>
      </c>
      <c r="C69" s="22" t="s">
        <v>1900</v>
      </c>
      <c r="D69" s="2"/>
      <c r="E69" s="2"/>
      <c r="F69" s="23" t="s">
        <v>3031</v>
      </c>
      <c r="G69" s="22">
        <v>26</v>
      </c>
      <c r="H69" s="2"/>
      <c r="I69" s="2"/>
      <c r="J69" s="22" t="str">
        <f t="shared" si="43"/>
        <v>3#3#144|3#4#288|3#5#144|3#6#288|3#7#144|3#8#288</v>
      </c>
      <c r="K69" s="22" t="str">
        <f t="shared" si="44"/>
        <v>伤害加成11%</v>
      </c>
      <c r="L69" s="33" t="str">
        <f t="shared" si="46"/>
        <v>神品升星石6/元宝122000</v>
      </c>
      <c r="M69" s="22">
        <v>100</v>
      </c>
    </row>
    <row r="70" spans="1:13" ht="15.75" x14ac:dyDescent="0.3">
      <c r="A70" s="22" t="s">
        <v>49</v>
      </c>
      <c r="B70" s="22" t="s">
        <v>33</v>
      </c>
      <c r="C70" s="22" t="s">
        <v>1900</v>
      </c>
      <c r="D70" s="2"/>
      <c r="E70" s="2"/>
      <c r="F70" s="23" t="s">
        <v>3032</v>
      </c>
      <c r="G70" s="22">
        <v>27</v>
      </c>
      <c r="H70" s="2"/>
      <c r="I70" s="2"/>
      <c r="J70" s="22" t="str">
        <f t="shared" si="43"/>
        <v>3#3#150|3#4#300|3#5#150|3#6#300|3#7#150|3#8#300</v>
      </c>
      <c r="K70" s="22" t="str">
        <f t="shared" si="44"/>
        <v>伤害加成12%</v>
      </c>
      <c r="L70" s="33" t="str">
        <f t="shared" si="46"/>
        <v>神品升星石6/元宝122000</v>
      </c>
      <c r="M70" s="22">
        <v>70</v>
      </c>
    </row>
    <row r="71" spans="1:13" ht="15.75" x14ac:dyDescent="0.3">
      <c r="A71" s="22" t="s">
        <v>49</v>
      </c>
      <c r="B71" s="22" t="s">
        <v>33</v>
      </c>
      <c r="C71" s="22" t="s">
        <v>1900</v>
      </c>
      <c r="D71" s="2"/>
      <c r="E71" s="2"/>
      <c r="F71" s="23" t="s">
        <v>3033</v>
      </c>
      <c r="G71" s="22">
        <v>28</v>
      </c>
      <c r="H71" s="2"/>
      <c r="I71" s="2"/>
      <c r="J71" s="22" t="str">
        <f t="shared" si="43"/>
        <v>3#3#155|3#4#311|3#5#155|3#6#311|3#7#155|3#8#311</v>
      </c>
      <c r="K71" s="22" t="str">
        <f t="shared" si="44"/>
        <v>伤害加成12%</v>
      </c>
      <c r="L71" s="33" t="str">
        <f t="shared" si="46"/>
        <v>神品升星石6/元宝130000</v>
      </c>
      <c r="M71" s="22">
        <v>60</v>
      </c>
    </row>
    <row r="72" spans="1:13" ht="15.75" x14ac:dyDescent="0.3">
      <c r="A72" s="22" t="s">
        <v>49</v>
      </c>
      <c r="B72" s="22" t="s">
        <v>33</v>
      </c>
      <c r="C72" s="22" t="s">
        <v>1900</v>
      </c>
      <c r="D72" s="2"/>
      <c r="E72" s="2"/>
      <c r="F72" s="23" t="s">
        <v>3034</v>
      </c>
      <c r="G72" s="22">
        <v>29</v>
      </c>
      <c r="H72" s="2"/>
      <c r="I72" s="2"/>
      <c r="J72" s="22" t="str">
        <f t="shared" si="43"/>
        <v>3#3#161|3#4#322|3#5#161|3#6#322|3#7#161|3#8#322</v>
      </c>
      <c r="K72" s="22" t="str">
        <f t="shared" si="44"/>
        <v>伤害加成13%</v>
      </c>
      <c r="L72" s="33" t="str">
        <f t="shared" si="46"/>
        <v>神品升星石6/元宝130000</v>
      </c>
      <c r="M72" s="22">
        <v>50</v>
      </c>
    </row>
    <row r="73" spans="1:13" ht="15.75" x14ac:dyDescent="0.3">
      <c r="A73" s="22" t="s">
        <v>49</v>
      </c>
      <c r="B73" s="22" t="s">
        <v>33</v>
      </c>
      <c r="C73" s="22" t="s">
        <v>1900</v>
      </c>
      <c r="D73" s="2"/>
      <c r="E73" s="2"/>
      <c r="F73" s="23" t="s">
        <v>3035</v>
      </c>
      <c r="G73" s="22">
        <v>30</v>
      </c>
      <c r="H73" s="2"/>
      <c r="I73" s="2"/>
      <c r="J73" s="22" t="str">
        <f t="shared" si="43"/>
        <v>3#3#166|3#4#333|3#5#166|3#6#333|3#7#166|3#8#333</v>
      </c>
      <c r="K73" s="22" t="str">
        <f t="shared" si="44"/>
        <v>伤害加成13%</v>
      </c>
      <c r="L73" s="33" t="str">
        <f t="shared" si="46"/>
        <v>神品升星石6/元宝136000</v>
      </c>
      <c r="M73" s="22">
        <v>40</v>
      </c>
    </row>
    <row r="74" spans="1:13" ht="15.75" x14ac:dyDescent="0.3">
      <c r="A74" s="22" t="s">
        <v>49</v>
      </c>
      <c r="B74" s="22" t="s">
        <v>33</v>
      </c>
      <c r="C74" s="22" t="s">
        <v>1900</v>
      </c>
      <c r="D74" s="2"/>
      <c r="E74" s="2"/>
      <c r="F74" s="23" t="s">
        <v>3036</v>
      </c>
      <c r="G74" s="22">
        <v>31</v>
      </c>
      <c r="H74" s="2"/>
      <c r="I74" s="2"/>
      <c r="J74" s="22" t="str">
        <f t="shared" si="43"/>
        <v>3#3#172|3#4#344|3#5#172|3#6#344|3#7#172|3#8#344</v>
      </c>
      <c r="K74" s="22" t="str">
        <f t="shared" si="44"/>
        <v>伤害加成14%</v>
      </c>
      <c r="L74" s="33" t="str">
        <f t="shared" si="46"/>
        <v>神品升星石6/元宝136000</v>
      </c>
      <c r="M74" s="22">
        <v>30</v>
      </c>
    </row>
    <row r="75" spans="1:13" ht="15.75" x14ac:dyDescent="0.3">
      <c r="A75" s="22" t="s">
        <v>49</v>
      </c>
      <c r="B75" s="22" t="s">
        <v>33</v>
      </c>
      <c r="C75" s="22" t="s">
        <v>1900</v>
      </c>
      <c r="D75" s="2"/>
      <c r="E75" s="2"/>
      <c r="F75" s="23" t="s">
        <v>3037</v>
      </c>
      <c r="G75" s="22">
        <v>32</v>
      </c>
      <c r="H75" s="2"/>
      <c r="I75" s="2"/>
      <c r="J75" s="22" t="str">
        <f t="shared" si="43"/>
        <v>3#3#177|3#4#355|3#5#177|3#6#355|3#7#177|3#8#355</v>
      </c>
      <c r="K75" s="22" t="str">
        <f t="shared" si="44"/>
        <v>伤害加成14%</v>
      </c>
      <c r="L75" s="33" t="str">
        <f t="shared" si="46"/>
        <v>神品升星石7/元宝142000</v>
      </c>
      <c r="M75" s="22">
        <v>25</v>
      </c>
    </row>
    <row r="76" spans="1:13" ht="15.75" x14ac:dyDescent="0.3">
      <c r="A76" s="22" t="s">
        <v>49</v>
      </c>
      <c r="B76" s="22" t="s">
        <v>33</v>
      </c>
      <c r="C76" s="22" t="s">
        <v>1900</v>
      </c>
      <c r="D76" s="2"/>
      <c r="E76" s="2"/>
      <c r="F76" s="23" t="s">
        <v>3038</v>
      </c>
      <c r="G76" s="22">
        <v>33</v>
      </c>
      <c r="H76" s="2"/>
      <c r="I76" s="2"/>
      <c r="J76" s="22" t="str">
        <f t="shared" si="43"/>
        <v>3#3#183|3#4#366|3#5#183|3#6#366|3#7#183|3#8#366</v>
      </c>
      <c r="K76" s="22" t="str">
        <f t="shared" si="44"/>
        <v>伤害加成15%</v>
      </c>
      <c r="L76" s="33" t="str">
        <f t="shared" si="46"/>
        <v>神品升星石7/元宝142000</v>
      </c>
      <c r="M76" s="22">
        <v>20</v>
      </c>
    </row>
    <row r="77" spans="1:13" ht="15.75" x14ac:dyDescent="0.3">
      <c r="A77" s="22" t="s">
        <v>49</v>
      </c>
      <c r="B77" s="22" t="s">
        <v>33</v>
      </c>
      <c r="C77" s="22" t="s">
        <v>1900</v>
      </c>
      <c r="D77" s="2"/>
      <c r="E77" s="2"/>
      <c r="F77" s="23" t="s">
        <v>3039</v>
      </c>
      <c r="G77" s="22">
        <v>34</v>
      </c>
      <c r="H77" s="2"/>
      <c r="I77" s="2"/>
      <c r="J77" s="22" t="str">
        <f t="shared" si="43"/>
        <v>3#3#188|3#4#377|3#5#188|3#6#377|3#7#188|3#8#377</v>
      </c>
      <c r="K77" s="22" t="str">
        <f t="shared" si="44"/>
        <v>伤害加成16%</v>
      </c>
      <c r="L77" s="33" t="str">
        <f t="shared" si="46"/>
        <v>神品升星石7/元宝148000</v>
      </c>
      <c r="M77" s="22">
        <v>15</v>
      </c>
    </row>
    <row r="78" spans="1:13" ht="15.75" x14ac:dyDescent="0.3">
      <c r="A78" s="22" t="s">
        <v>49</v>
      </c>
      <c r="B78" s="22" t="s">
        <v>33</v>
      </c>
      <c r="C78" s="22" t="s">
        <v>1900</v>
      </c>
      <c r="D78" s="2"/>
      <c r="E78" s="2"/>
      <c r="F78" s="23" t="s">
        <v>3040</v>
      </c>
      <c r="G78" s="22">
        <v>35</v>
      </c>
      <c r="H78" s="2"/>
      <c r="I78" s="2"/>
      <c r="J78" s="22" t="str">
        <f t="shared" si="43"/>
        <v>3#3#194|3#4#388|3#5#194|3#6#388|3#7#194|3#8#388</v>
      </c>
      <c r="K78" s="22" t="str">
        <f t="shared" si="44"/>
        <v>伤害加成17%</v>
      </c>
      <c r="L78" s="33" t="str">
        <f t="shared" si="46"/>
        <v>神品升星石7/元宝148000</v>
      </c>
      <c r="M78" s="22">
        <v>10</v>
      </c>
    </row>
    <row r="79" spans="1:13" ht="15.75" x14ac:dyDescent="0.3">
      <c r="A79" s="22" t="s">
        <v>49</v>
      </c>
      <c r="B79" s="22" t="s">
        <v>33</v>
      </c>
      <c r="C79" s="22" t="s">
        <v>1900</v>
      </c>
      <c r="D79" s="2"/>
      <c r="E79" s="2"/>
      <c r="F79" s="23" t="s">
        <v>3041</v>
      </c>
      <c r="G79" s="22">
        <v>36</v>
      </c>
      <c r="H79" s="2"/>
      <c r="I79" s="2"/>
      <c r="J79" s="22" t="str">
        <f t="shared" si="43"/>
        <v>3#3#200|3#4#400|3#5#200|3#6#400|3#7#200|3#8#400</v>
      </c>
      <c r="K79" s="22" t="str">
        <f t="shared" si="44"/>
        <v>伤害加成18%</v>
      </c>
      <c r="L79" s="2"/>
      <c r="M79" s="22"/>
    </row>
    <row r="80" spans="1:13" ht="15.75" x14ac:dyDescent="0.3">
      <c r="A80" s="22" t="s">
        <v>49</v>
      </c>
      <c r="B80" s="22" t="s">
        <v>33</v>
      </c>
      <c r="C80" s="22" t="s">
        <v>1900</v>
      </c>
      <c r="D80" s="2"/>
      <c r="E80" s="2"/>
      <c r="F80" s="23" t="s">
        <v>3042</v>
      </c>
      <c r="G80" s="22">
        <v>37</v>
      </c>
      <c r="H80" s="2"/>
      <c r="I80" s="2"/>
      <c r="J80" s="22"/>
      <c r="K80" s="22"/>
      <c r="L80" s="2"/>
      <c r="M80" s="22"/>
    </row>
    <row r="81" spans="1:13" ht="15.75" x14ac:dyDescent="0.3">
      <c r="A81" s="22" t="s">
        <v>49</v>
      </c>
      <c r="B81" s="22" t="s">
        <v>33</v>
      </c>
      <c r="C81" s="22" t="s">
        <v>1900</v>
      </c>
      <c r="D81" s="2"/>
      <c r="E81" s="2"/>
      <c r="F81" s="23" t="s">
        <v>3043</v>
      </c>
      <c r="G81" s="22">
        <v>38</v>
      </c>
      <c r="H81" s="2"/>
      <c r="I81" s="2"/>
      <c r="J81" s="22"/>
      <c r="K81" s="22"/>
      <c r="L81" s="2"/>
      <c r="M81" s="22"/>
    </row>
    <row r="82" spans="1:13" ht="15.75" x14ac:dyDescent="0.3">
      <c r="A82" s="22" t="s">
        <v>49</v>
      </c>
      <c r="B82" s="22" t="s">
        <v>33</v>
      </c>
      <c r="C82" s="22" t="s">
        <v>1900</v>
      </c>
      <c r="D82" s="2"/>
      <c r="E82" s="2"/>
      <c r="F82" s="23" t="s">
        <v>3044</v>
      </c>
      <c r="G82" s="22">
        <v>39</v>
      </c>
      <c r="H82" s="2"/>
      <c r="I82" s="2"/>
      <c r="J82" s="22"/>
      <c r="K82" s="22"/>
      <c r="L82" s="2"/>
      <c r="M82" s="22"/>
    </row>
    <row r="83" spans="1:13" ht="15.75" x14ac:dyDescent="0.3">
      <c r="A83" s="22" t="s">
        <v>49</v>
      </c>
      <c r="B83" s="22" t="s">
        <v>33</v>
      </c>
      <c r="C83" s="22" t="s">
        <v>1904</v>
      </c>
      <c r="D83" s="22"/>
      <c r="E83" s="22"/>
      <c r="F83" s="23" t="s">
        <v>3005</v>
      </c>
      <c r="G83" s="22">
        <v>0</v>
      </c>
      <c r="H83" s="32"/>
      <c r="I83" s="22"/>
      <c r="J83" s="22"/>
      <c r="K83" s="22"/>
      <c r="L83" s="33" t="str">
        <f>"凡品升星石"&amp;X4&amp;"/元宝"&amp;Y4</f>
        <v>凡品升星石16/元宝32000</v>
      </c>
      <c r="M83" s="22">
        <v>100</v>
      </c>
    </row>
    <row r="84" spans="1:13" ht="15.75" x14ac:dyDescent="0.3">
      <c r="A84" s="22" t="s">
        <v>49</v>
      </c>
      <c r="B84" s="22" t="s">
        <v>33</v>
      </c>
      <c r="C84" s="22" t="s">
        <v>1904</v>
      </c>
      <c r="D84" s="22"/>
      <c r="E84" s="22"/>
      <c r="F84" s="23" t="s">
        <v>3006</v>
      </c>
      <c r="G84" s="22">
        <v>1</v>
      </c>
      <c r="H84" s="32"/>
      <c r="I84" s="22"/>
      <c r="J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84" s="22"/>
      <c r="L84" s="33" t="str">
        <f t="shared" ref="L84:L94" si="47">"凡品升星石"&amp;X5&amp;"/元宝"&amp;Y5</f>
        <v>凡品升星石16/元宝32000</v>
      </c>
      <c r="M84" s="22">
        <v>100</v>
      </c>
    </row>
    <row r="85" spans="1:13" ht="15.75" x14ac:dyDescent="0.3">
      <c r="A85" s="22" t="s">
        <v>49</v>
      </c>
      <c r="B85" s="22" t="s">
        <v>33</v>
      </c>
      <c r="C85" s="22" t="s">
        <v>1904</v>
      </c>
      <c r="D85" s="2"/>
      <c r="E85" s="2"/>
      <c r="F85" s="23" t="s">
        <v>3007</v>
      </c>
      <c r="G85" s="22">
        <v>2</v>
      </c>
      <c r="H85" s="2"/>
      <c r="I85" s="2"/>
      <c r="J85" s="22" t="str">
        <f t="shared" ref="J85:J119" si="48">"3#3#"&amp;INT(0.5*S5)&amp;"|"&amp;"3#4#"&amp;S5&amp;"|"&amp;"3#5#"&amp;INT(0.5*S5)&amp;"|"&amp;"3#6#"&amp;S5&amp;"|"&amp;"3#7#"&amp;INT(0.5*S5)&amp;"|"&amp;"3#8#"&amp;S5</f>
        <v>3#3#5|3#4#11|3#5#5|3#6#11|3#7#5|3#8#11</v>
      </c>
      <c r="K85" s="22"/>
      <c r="L85" s="33" t="str">
        <f t="shared" si="47"/>
        <v>凡品升星石19/元宝38000</v>
      </c>
      <c r="M85" s="22">
        <v>100</v>
      </c>
    </row>
    <row r="86" spans="1:13" ht="15.75" x14ac:dyDescent="0.3">
      <c r="A86" s="22" t="s">
        <v>49</v>
      </c>
      <c r="B86" s="22" t="s">
        <v>33</v>
      </c>
      <c r="C86" s="22" t="s">
        <v>1904</v>
      </c>
      <c r="D86" s="2"/>
      <c r="E86" s="2"/>
      <c r="F86" s="23" t="s">
        <v>3008</v>
      </c>
      <c r="G86" s="22">
        <v>3</v>
      </c>
      <c r="H86" s="2"/>
      <c r="I86" s="2"/>
      <c r="J86" s="22" t="str">
        <f t="shared" si="48"/>
        <v>3#3#8|3#4#16|3#5#8|3#6#16|3#7#8|3#8#16</v>
      </c>
      <c r="K86" s="22"/>
      <c r="L86" s="33" t="str">
        <f t="shared" si="47"/>
        <v>凡品升星石19/元宝38000</v>
      </c>
      <c r="M86" s="22">
        <v>90</v>
      </c>
    </row>
    <row r="87" spans="1:13" ht="15.75" x14ac:dyDescent="0.3">
      <c r="A87" s="22" t="s">
        <v>49</v>
      </c>
      <c r="B87" s="22" t="s">
        <v>33</v>
      </c>
      <c r="C87" s="22" t="s">
        <v>1904</v>
      </c>
      <c r="D87" s="2"/>
      <c r="E87" s="2"/>
      <c r="F87" s="23" t="s">
        <v>3009</v>
      </c>
      <c r="G87" s="22">
        <v>4</v>
      </c>
      <c r="H87" s="2"/>
      <c r="I87" s="2"/>
      <c r="J87" s="22" t="str">
        <f t="shared" si="48"/>
        <v>3#3#11|3#4#22|3#5#11|3#6#22|3#7#11|3#8#22</v>
      </c>
      <c r="K87" s="22"/>
      <c r="L87" s="33" t="str">
        <f t="shared" si="47"/>
        <v>凡品升星石22/元宝44000</v>
      </c>
      <c r="M87" s="22">
        <v>80</v>
      </c>
    </row>
    <row r="88" spans="1:13" ht="15.75" x14ac:dyDescent="0.3">
      <c r="A88" s="22" t="s">
        <v>49</v>
      </c>
      <c r="B88" s="22" t="s">
        <v>33</v>
      </c>
      <c r="C88" s="22" t="s">
        <v>1904</v>
      </c>
      <c r="D88" s="2"/>
      <c r="E88" s="2"/>
      <c r="F88" s="23" t="s">
        <v>3010</v>
      </c>
      <c r="G88" s="22">
        <v>5</v>
      </c>
      <c r="H88" s="2"/>
      <c r="I88" s="2"/>
      <c r="J88" s="22" t="str">
        <f t="shared" si="48"/>
        <v>3#3#16|3#4#33|3#5#16|3#6#33|3#7#16|3#8#33</v>
      </c>
      <c r="K88" s="22"/>
      <c r="L88" s="33" t="str">
        <f t="shared" si="47"/>
        <v>凡品升星石22/元宝44000</v>
      </c>
      <c r="M88" s="22">
        <v>70</v>
      </c>
    </row>
    <row r="89" spans="1:13" ht="15.75" x14ac:dyDescent="0.3">
      <c r="A89" s="22" t="s">
        <v>49</v>
      </c>
      <c r="B89" s="22" t="s">
        <v>33</v>
      </c>
      <c r="C89" s="22" t="s">
        <v>1904</v>
      </c>
      <c r="D89" s="2"/>
      <c r="E89" s="2"/>
      <c r="F89" s="23" t="s">
        <v>3011</v>
      </c>
      <c r="G89" s="22">
        <v>6</v>
      </c>
      <c r="H89" s="2"/>
      <c r="I89" s="2"/>
      <c r="J89" s="22" t="str">
        <f t="shared" si="48"/>
        <v>3#3#19|3#4#39|3#5#19|3#6#39|3#7#19|3#8#39</v>
      </c>
      <c r="K89" s="22"/>
      <c r="L89" s="33" t="str">
        <f t="shared" si="47"/>
        <v>凡品升星石26/元宝52000</v>
      </c>
      <c r="M89" s="22">
        <v>60</v>
      </c>
    </row>
    <row r="90" spans="1:13" ht="15.75" x14ac:dyDescent="0.3">
      <c r="A90" s="22" t="s">
        <v>49</v>
      </c>
      <c r="B90" s="22" t="s">
        <v>33</v>
      </c>
      <c r="C90" s="22" t="s">
        <v>1904</v>
      </c>
      <c r="D90" s="2"/>
      <c r="E90" s="2"/>
      <c r="F90" s="23" t="s">
        <v>3012</v>
      </c>
      <c r="G90" s="22">
        <v>7</v>
      </c>
      <c r="H90" s="2"/>
      <c r="I90" s="2"/>
      <c r="J90" s="22" t="str">
        <f t="shared" si="48"/>
        <v>3#3#23|3#4#46|3#5#23|3#6#46|3#7#23|3#8#46</v>
      </c>
      <c r="K90" s="22" t="str">
        <f>$AD$4&amp;AD11&amp;"%"</f>
        <v>伤害反弹1%</v>
      </c>
      <c r="L90" s="33" t="str">
        <f t="shared" si="47"/>
        <v>凡品升星石26/元宝52000</v>
      </c>
      <c r="M90" s="22">
        <v>50</v>
      </c>
    </row>
    <row r="91" spans="1:13" ht="15.75" x14ac:dyDescent="0.3">
      <c r="A91" s="22" t="s">
        <v>49</v>
      </c>
      <c r="B91" s="22" t="s">
        <v>33</v>
      </c>
      <c r="C91" s="22" t="s">
        <v>1904</v>
      </c>
      <c r="D91" s="2"/>
      <c r="E91" s="2"/>
      <c r="F91" s="23" t="s">
        <v>3013</v>
      </c>
      <c r="G91" s="22">
        <v>8</v>
      </c>
      <c r="H91" s="2"/>
      <c r="I91" s="2"/>
      <c r="J91" s="22" t="str">
        <f t="shared" si="48"/>
        <v>3#3#26|3#4#52|3#5#26|3#6#52|3#7#26|3#8#52</v>
      </c>
      <c r="K91" s="22" t="str">
        <f t="shared" ref="K91:K119" si="49">$AD$4&amp;AD12&amp;"%"</f>
        <v>伤害反弹2%</v>
      </c>
      <c r="L91" s="33" t="str">
        <f t="shared" si="47"/>
        <v>凡品升星石32/元宝64000</v>
      </c>
      <c r="M91" s="22">
        <v>40</v>
      </c>
    </row>
    <row r="92" spans="1:13" ht="15.75" x14ac:dyDescent="0.3">
      <c r="A92" s="22" t="s">
        <v>49</v>
      </c>
      <c r="B92" s="22" t="s">
        <v>33</v>
      </c>
      <c r="C92" s="22" t="s">
        <v>1904</v>
      </c>
      <c r="D92" s="2"/>
      <c r="E92" s="2"/>
      <c r="F92" s="23" t="s">
        <v>3014</v>
      </c>
      <c r="G92" s="22">
        <v>9</v>
      </c>
      <c r="H92" s="2"/>
      <c r="I92" s="2"/>
      <c r="J92" s="22" t="str">
        <f t="shared" si="48"/>
        <v>3#3#35|3#4#70|3#5#35|3#6#70|3#7#35|3#8#70</v>
      </c>
      <c r="K92" s="22" t="str">
        <f t="shared" si="49"/>
        <v>伤害反弹3%</v>
      </c>
      <c r="L92" s="33" t="str">
        <f t="shared" si="47"/>
        <v>凡品升星石32/元宝64000</v>
      </c>
      <c r="M92" s="22">
        <v>30</v>
      </c>
    </row>
    <row r="93" spans="1:13" ht="15.75" x14ac:dyDescent="0.3">
      <c r="A93" s="22" t="s">
        <v>49</v>
      </c>
      <c r="B93" s="22" t="s">
        <v>33</v>
      </c>
      <c r="C93" s="22" t="s">
        <v>1904</v>
      </c>
      <c r="D93" s="2"/>
      <c r="E93" s="2"/>
      <c r="F93" s="23" t="s">
        <v>3015</v>
      </c>
      <c r="G93" s="22">
        <v>10</v>
      </c>
      <c r="H93" s="2"/>
      <c r="I93" s="2"/>
      <c r="J93" s="22" t="str">
        <f t="shared" si="48"/>
        <v>3#3#38|3#4#77|3#5#38|3#6#77|3#7#38|3#8#77</v>
      </c>
      <c r="K93" s="22" t="str">
        <f t="shared" si="49"/>
        <v>伤害反弹3%</v>
      </c>
      <c r="L93" s="33" t="str">
        <f t="shared" si="47"/>
        <v>凡品升星石37/元宝74000</v>
      </c>
      <c r="M93" s="22">
        <v>20</v>
      </c>
    </row>
    <row r="94" spans="1:13" ht="15.75" x14ac:dyDescent="0.3">
      <c r="A94" s="22" t="s">
        <v>49</v>
      </c>
      <c r="B94" s="22" t="s">
        <v>33</v>
      </c>
      <c r="C94" s="22" t="s">
        <v>1904</v>
      </c>
      <c r="D94" s="2"/>
      <c r="E94" s="2"/>
      <c r="F94" s="23" t="s">
        <v>3016</v>
      </c>
      <c r="G94" s="22">
        <v>11</v>
      </c>
      <c r="H94" s="2"/>
      <c r="I94" s="2"/>
      <c r="J94" s="22" t="str">
        <f t="shared" si="48"/>
        <v>3#3#42|3#4#85|3#5#42|3#6#85|3#7#42|3#8#85</v>
      </c>
      <c r="K94" s="22" t="str">
        <f t="shared" si="49"/>
        <v>伤害反弹4%</v>
      </c>
      <c r="L94" s="33" t="str">
        <f t="shared" si="47"/>
        <v>凡品升星石37/元宝74000</v>
      </c>
      <c r="M94" s="22">
        <v>15</v>
      </c>
    </row>
    <row r="95" spans="1:13" ht="15.75" x14ac:dyDescent="0.3">
      <c r="A95" s="22" t="s">
        <v>49</v>
      </c>
      <c r="B95" s="22" t="s">
        <v>33</v>
      </c>
      <c r="C95" s="22" t="s">
        <v>1904</v>
      </c>
      <c r="D95" s="2"/>
      <c r="E95" s="2"/>
      <c r="F95" s="23" t="s">
        <v>3017</v>
      </c>
      <c r="G95" s="22">
        <v>12</v>
      </c>
      <c r="H95" s="2"/>
      <c r="I95" s="2"/>
      <c r="J95" s="22" t="str">
        <f t="shared" si="48"/>
        <v>3#3#46|3#4#93|3#5#46|3#6#93|3#7#46|3#8#93</v>
      </c>
      <c r="K95" s="22" t="str">
        <f t="shared" si="49"/>
        <v>伤害反弹4%</v>
      </c>
      <c r="L95" s="33" t="str">
        <f>"仙品升星石"&amp;INT(X16/2)&amp;"/元宝"&amp;Y16</f>
        <v>仙品升星石19/元宝78000</v>
      </c>
      <c r="M95" s="22">
        <v>100</v>
      </c>
    </row>
    <row r="96" spans="1:13" ht="15.75" x14ac:dyDescent="0.3">
      <c r="A96" s="22" t="s">
        <v>49</v>
      </c>
      <c r="B96" s="22" t="s">
        <v>33</v>
      </c>
      <c r="C96" s="22" t="s">
        <v>1904</v>
      </c>
      <c r="D96" s="2"/>
      <c r="E96" s="2"/>
      <c r="F96" s="23" t="s">
        <v>3018</v>
      </c>
      <c r="G96" s="22">
        <v>13</v>
      </c>
      <c r="H96" s="2"/>
      <c r="I96" s="2"/>
      <c r="J96" s="22" t="str">
        <f t="shared" si="48"/>
        <v>3#3#54|3#4#108|3#5#54|3#6#108|3#7#54|3#8#108</v>
      </c>
      <c r="K96" s="22" t="str">
        <f t="shared" si="49"/>
        <v>伤害反弹5%</v>
      </c>
      <c r="L96" s="33" t="str">
        <f t="shared" ref="L96:L106" si="50">"仙品升星石"&amp;INT(X17/2)&amp;"/元宝"&amp;Y17</f>
        <v>仙品升星石19/元宝78000</v>
      </c>
      <c r="M96" s="22">
        <v>100</v>
      </c>
    </row>
    <row r="97" spans="1:13" ht="15.75" x14ac:dyDescent="0.3">
      <c r="A97" s="22" t="s">
        <v>49</v>
      </c>
      <c r="B97" s="22" t="s">
        <v>33</v>
      </c>
      <c r="C97" s="22" t="s">
        <v>1904</v>
      </c>
      <c r="D97" s="2"/>
      <c r="E97" s="2"/>
      <c r="F97" s="23" t="s">
        <v>3019</v>
      </c>
      <c r="G97" s="22">
        <v>14</v>
      </c>
      <c r="H97" s="2"/>
      <c r="I97" s="2"/>
      <c r="J97" s="22" t="str">
        <f t="shared" si="48"/>
        <v>3#3#58|3#4#116|3#5#58|3#6#116|3#7#58|3#8#116</v>
      </c>
      <c r="K97" s="22" t="str">
        <f t="shared" si="49"/>
        <v>伤害反弹5%</v>
      </c>
      <c r="L97" s="33" t="str">
        <f t="shared" si="50"/>
        <v>仙品升星石21/元宝84000</v>
      </c>
      <c r="M97" s="22">
        <v>100</v>
      </c>
    </row>
    <row r="98" spans="1:13" ht="15.75" x14ac:dyDescent="0.3">
      <c r="A98" s="22" t="s">
        <v>49</v>
      </c>
      <c r="B98" s="22" t="s">
        <v>33</v>
      </c>
      <c r="C98" s="22" t="s">
        <v>1904</v>
      </c>
      <c r="D98" s="2"/>
      <c r="E98" s="2"/>
      <c r="F98" s="23" t="s">
        <v>3020</v>
      </c>
      <c r="G98" s="22">
        <v>15</v>
      </c>
      <c r="H98" s="2"/>
      <c r="I98" s="2"/>
      <c r="J98" s="22" t="str">
        <f t="shared" si="48"/>
        <v>3#3#62|3#4#124|3#5#62|3#6#124|3#7#62|3#8#124</v>
      </c>
      <c r="K98" s="22" t="str">
        <f t="shared" si="49"/>
        <v>伤害反弹6%</v>
      </c>
      <c r="L98" s="33" t="str">
        <f t="shared" si="50"/>
        <v>仙品升星石21/元宝84000</v>
      </c>
      <c r="M98" s="22">
        <v>70</v>
      </c>
    </row>
    <row r="99" spans="1:13" ht="15.75" x14ac:dyDescent="0.3">
      <c r="A99" s="22" t="s">
        <v>49</v>
      </c>
      <c r="B99" s="22" t="s">
        <v>33</v>
      </c>
      <c r="C99" s="22" t="s">
        <v>1904</v>
      </c>
      <c r="D99" s="2"/>
      <c r="E99" s="2"/>
      <c r="F99" s="23" t="s">
        <v>3021</v>
      </c>
      <c r="G99" s="22">
        <v>16</v>
      </c>
      <c r="H99" s="2"/>
      <c r="I99" s="2"/>
      <c r="J99" s="22" t="str">
        <f t="shared" si="48"/>
        <v>3#3#66|3#4#132|3#5#66|3#6#132|3#7#66|3#8#132</v>
      </c>
      <c r="K99" s="22" t="str">
        <f t="shared" si="49"/>
        <v>伤害反弹6%</v>
      </c>
      <c r="L99" s="33" t="str">
        <f t="shared" si="50"/>
        <v>仙品升星石23/元宝92000</v>
      </c>
      <c r="M99" s="22">
        <v>60</v>
      </c>
    </row>
    <row r="100" spans="1:13" ht="15.75" x14ac:dyDescent="0.3">
      <c r="A100" s="22" t="s">
        <v>49</v>
      </c>
      <c r="B100" s="22" t="s">
        <v>33</v>
      </c>
      <c r="C100" s="22" t="s">
        <v>1904</v>
      </c>
      <c r="D100" s="2"/>
      <c r="E100" s="2"/>
      <c r="F100" s="23" t="s">
        <v>3022</v>
      </c>
      <c r="G100" s="22">
        <v>17</v>
      </c>
      <c r="H100" s="2"/>
      <c r="I100" s="2"/>
      <c r="J100" s="22" t="str">
        <f t="shared" si="48"/>
        <v>3#3#79|3#4#159|3#5#79|3#6#159|3#7#79|3#8#159</v>
      </c>
      <c r="K100" s="22" t="str">
        <f t="shared" si="49"/>
        <v>伤害反弹7%</v>
      </c>
      <c r="L100" s="33" t="str">
        <f t="shared" si="50"/>
        <v>仙品升星石23/元宝92000</v>
      </c>
      <c r="M100" s="22">
        <v>50</v>
      </c>
    </row>
    <row r="101" spans="1:13" ht="15.75" x14ac:dyDescent="0.3">
      <c r="A101" s="22" t="s">
        <v>49</v>
      </c>
      <c r="B101" s="22" t="s">
        <v>33</v>
      </c>
      <c r="C101" s="22" t="s">
        <v>1904</v>
      </c>
      <c r="D101" s="2"/>
      <c r="E101" s="2"/>
      <c r="F101" s="23" t="s">
        <v>3023</v>
      </c>
      <c r="G101" s="22">
        <v>18</v>
      </c>
      <c r="H101" s="2"/>
      <c r="I101" s="2"/>
      <c r="J101" s="22" t="str">
        <f t="shared" si="48"/>
        <v>3#3#85|3#4#170|3#5#85|3#6#170|3#7#85|3#8#170</v>
      </c>
      <c r="K101" s="22" t="str">
        <f t="shared" si="49"/>
        <v>伤害反弹7%</v>
      </c>
      <c r="L101" s="33" t="str">
        <f t="shared" si="50"/>
        <v>仙品升星石24/元宝98000</v>
      </c>
      <c r="M101" s="22">
        <v>40</v>
      </c>
    </row>
    <row r="102" spans="1:13" ht="15.75" x14ac:dyDescent="0.3">
      <c r="A102" s="22" t="s">
        <v>49</v>
      </c>
      <c r="B102" s="22" t="s">
        <v>33</v>
      </c>
      <c r="C102" s="22" t="s">
        <v>1904</v>
      </c>
      <c r="D102" s="2"/>
      <c r="E102" s="2"/>
      <c r="F102" s="23" t="s">
        <v>3024</v>
      </c>
      <c r="G102" s="22">
        <v>19</v>
      </c>
      <c r="H102" s="2"/>
      <c r="I102" s="2"/>
      <c r="J102" s="22" t="str">
        <f t="shared" si="48"/>
        <v>3#3#89|3#4#179|3#5#89|3#6#179|3#7#89|3#8#179</v>
      </c>
      <c r="K102" s="22" t="str">
        <f t="shared" si="49"/>
        <v>伤害反弹8%</v>
      </c>
      <c r="L102" s="33" t="str">
        <f t="shared" si="50"/>
        <v>仙品升星石24/元宝98000</v>
      </c>
      <c r="M102" s="22">
        <v>30</v>
      </c>
    </row>
    <row r="103" spans="1:13" ht="15.75" x14ac:dyDescent="0.3">
      <c r="A103" s="22" t="s">
        <v>49</v>
      </c>
      <c r="B103" s="22" t="s">
        <v>33</v>
      </c>
      <c r="C103" s="22" t="s">
        <v>1904</v>
      </c>
      <c r="D103" s="2"/>
      <c r="E103" s="2"/>
      <c r="F103" s="23" t="s">
        <v>3025</v>
      </c>
      <c r="G103" s="22">
        <v>20</v>
      </c>
      <c r="H103" s="2"/>
      <c r="I103" s="2"/>
      <c r="J103" s="22" t="str">
        <f t="shared" si="48"/>
        <v>3#3#94|3#4#188|3#5#94|3#6#188|3#7#94|3#8#188</v>
      </c>
      <c r="K103" s="22" t="str">
        <f t="shared" si="49"/>
        <v>伤害反弹8%</v>
      </c>
      <c r="L103" s="33" t="str">
        <f t="shared" si="50"/>
        <v>仙品升星石26/元宝104000</v>
      </c>
      <c r="M103" s="22">
        <v>25</v>
      </c>
    </row>
    <row r="104" spans="1:13" ht="15.75" x14ac:dyDescent="0.3">
      <c r="A104" s="22" t="s">
        <v>49</v>
      </c>
      <c r="B104" s="22" t="s">
        <v>33</v>
      </c>
      <c r="C104" s="22" t="s">
        <v>1904</v>
      </c>
      <c r="D104" s="2"/>
      <c r="E104" s="2"/>
      <c r="F104" s="23" t="s">
        <v>3026</v>
      </c>
      <c r="G104" s="22">
        <v>21</v>
      </c>
      <c r="H104" s="2"/>
      <c r="I104" s="2"/>
      <c r="J104" s="22" t="str">
        <f t="shared" si="48"/>
        <v>3#3#110|3#4#221|3#5#110|3#6#221|3#7#110|3#8#221</v>
      </c>
      <c r="K104" s="22" t="str">
        <f t="shared" si="49"/>
        <v>伤害反弹9%</v>
      </c>
      <c r="L104" s="33" t="str">
        <f t="shared" si="50"/>
        <v>仙品升星石26/元宝104000</v>
      </c>
      <c r="M104" s="22">
        <v>20</v>
      </c>
    </row>
    <row r="105" spans="1:13" ht="15.75" x14ac:dyDescent="0.3">
      <c r="A105" s="22" t="s">
        <v>49</v>
      </c>
      <c r="B105" s="22" t="s">
        <v>33</v>
      </c>
      <c r="C105" s="22" t="s">
        <v>1904</v>
      </c>
      <c r="D105" s="2"/>
      <c r="E105" s="2"/>
      <c r="F105" s="23" t="s">
        <v>3027</v>
      </c>
      <c r="G105" s="22">
        <v>22</v>
      </c>
      <c r="H105" s="2"/>
      <c r="I105" s="2"/>
      <c r="J105" s="22" t="str">
        <f t="shared" si="48"/>
        <v>3#3#115|3#4#231|3#5#115|3#6#231|3#7#115|3#8#231</v>
      </c>
      <c r="K105" s="22" t="str">
        <f t="shared" si="49"/>
        <v>伤害反弹9%</v>
      </c>
      <c r="L105" s="33" t="str">
        <f t="shared" si="50"/>
        <v>仙品升星石27/元宝110000</v>
      </c>
      <c r="M105" s="22">
        <v>15</v>
      </c>
    </row>
    <row r="106" spans="1:13" ht="15.75" x14ac:dyDescent="0.3">
      <c r="A106" s="22" t="s">
        <v>49</v>
      </c>
      <c r="B106" s="22" t="s">
        <v>33</v>
      </c>
      <c r="C106" s="22" t="s">
        <v>1904</v>
      </c>
      <c r="D106" s="2"/>
      <c r="E106" s="2"/>
      <c r="F106" s="23" t="s">
        <v>3028</v>
      </c>
      <c r="G106" s="22">
        <v>23</v>
      </c>
      <c r="H106" s="2"/>
      <c r="I106" s="2"/>
      <c r="J106" s="22" t="str">
        <f t="shared" si="48"/>
        <v>3#3#121|3#4#242|3#5#121|3#6#242|3#7#121|3#8#242</v>
      </c>
      <c r="K106" s="22" t="str">
        <f t="shared" si="49"/>
        <v>伤害反弹10%</v>
      </c>
      <c r="L106" s="33" t="str">
        <f t="shared" si="50"/>
        <v>仙品升星石27/元宝110000</v>
      </c>
      <c r="M106" s="22">
        <v>10</v>
      </c>
    </row>
    <row r="107" spans="1:13" ht="15.75" x14ac:dyDescent="0.3">
      <c r="A107" s="22" t="s">
        <v>49</v>
      </c>
      <c r="B107" s="22" t="s">
        <v>33</v>
      </c>
      <c r="C107" s="22" t="s">
        <v>1904</v>
      </c>
      <c r="D107" s="2"/>
      <c r="E107" s="2"/>
      <c r="F107" s="23" t="s">
        <v>3029</v>
      </c>
      <c r="G107" s="22">
        <v>24</v>
      </c>
      <c r="H107" s="2"/>
      <c r="I107" s="2"/>
      <c r="J107" s="22" t="str">
        <f t="shared" si="48"/>
        <v>3#3#126|3#4#252|3#5#126|3#6#252|3#7#126|3#8#252</v>
      </c>
      <c r="K107" s="22" t="str">
        <f t="shared" si="49"/>
        <v>伤害反弹10%</v>
      </c>
      <c r="L107" s="33" t="str">
        <f>"神品升星石"&amp;INT(X28/10)&amp;"/元宝"&amp;Y28</f>
        <v>神品升星石5/元宝116000</v>
      </c>
      <c r="M107" s="22">
        <v>100</v>
      </c>
    </row>
    <row r="108" spans="1:13" ht="15.75" x14ac:dyDescent="0.3">
      <c r="A108" s="22" t="s">
        <v>49</v>
      </c>
      <c r="B108" s="22" t="s">
        <v>33</v>
      </c>
      <c r="C108" s="22" t="s">
        <v>1904</v>
      </c>
      <c r="D108" s="2"/>
      <c r="E108" s="2"/>
      <c r="F108" s="23" t="s">
        <v>3030</v>
      </c>
      <c r="G108" s="22">
        <v>25</v>
      </c>
      <c r="H108" s="2"/>
      <c r="I108" s="2"/>
      <c r="J108" s="22" t="str">
        <f t="shared" si="48"/>
        <v>3#3#138|3#4#277|3#5#138|3#6#277|3#7#138|3#8#277</v>
      </c>
      <c r="K108" s="22" t="str">
        <f t="shared" si="49"/>
        <v>伤害反弹11%</v>
      </c>
      <c r="L108" s="33" t="str">
        <f t="shared" ref="L108:L118" si="51">"神品升星石"&amp;INT(X29/10)&amp;"/元宝"&amp;Y29</f>
        <v>神品升星石5/元宝116000</v>
      </c>
      <c r="M108" s="22">
        <v>100</v>
      </c>
    </row>
    <row r="109" spans="1:13" ht="15.75" x14ac:dyDescent="0.3">
      <c r="A109" s="22" t="s">
        <v>49</v>
      </c>
      <c r="B109" s="22" t="s">
        <v>33</v>
      </c>
      <c r="C109" s="22" t="s">
        <v>1904</v>
      </c>
      <c r="D109" s="2"/>
      <c r="E109" s="2"/>
      <c r="F109" s="23" t="s">
        <v>3031</v>
      </c>
      <c r="G109" s="22">
        <v>26</v>
      </c>
      <c r="H109" s="2"/>
      <c r="I109" s="2"/>
      <c r="J109" s="22" t="str">
        <f t="shared" si="48"/>
        <v>3#3#144|3#4#288|3#5#144|3#6#288|3#7#144|3#8#288</v>
      </c>
      <c r="K109" s="22" t="str">
        <f t="shared" si="49"/>
        <v>伤害反弹11%</v>
      </c>
      <c r="L109" s="33" t="str">
        <f t="shared" si="51"/>
        <v>神品升星石6/元宝122000</v>
      </c>
      <c r="M109" s="22">
        <v>100</v>
      </c>
    </row>
    <row r="110" spans="1:13" ht="15.75" x14ac:dyDescent="0.3">
      <c r="A110" s="22" t="s">
        <v>49</v>
      </c>
      <c r="B110" s="22" t="s">
        <v>33</v>
      </c>
      <c r="C110" s="22" t="s">
        <v>1904</v>
      </c>
      <c r="D110" s="2"/>
      <c r="E110" s="2"/>
      <c r="F110" s="23" t="s">
        <v>3032</v>
      </c>
      <c r="G110" s="22">
        <v>27</v>
      </c>
      <c r="H110" s="2"/>
      <c r="I110" s="2"/>
      <c r="J110" s="22" t="str">
        <f t="shared" si="48"/>
        <v>3#3#150|3#4#300|3#5#150|3#6#300|3#7#150|3#8#300</v>
      </c>
      <c r="K110" s="22" t="str">
        <f t="shared" si="49"/>
        <v>伤害反弹12%</v>
      </c>
      <c r="L110" s="33" t="str">
        <f t="shared" si="51"/>
        <v>神品升星石6/元宝122000</v>
      </c>
      <c r="M110" s="22">
        <v>70</v>
      </c>
    </row>
    <row r="111" spans="1:13" ht="15.75" x14ac:dyDescent="0.3">
      <c r="A111" s="22" t="s">
        <v>49</v>
      </c>
      <c r="B111" s="22" t="s">
        <v>33</v>
      </c>
      <c r="C111" s="22" t="s">
        <v>1904</v>
      </c>
      <c r="D111" s="2"/>
      <c r="E111" s="2"/>
      <c r="F111" s="23" t="s">
        <v>3033</v>
      </c>
      <c r="G111" s="22">
        <v>28</v>
      </c>
      <c r="H111" s="2"/>
      <c r="I111" s="2"/>
      <c r="J111" s="22" t="str">
        <f t="shared" si="48"/>
        <v>3#3#155|3#4#311|3#5#155|3#6#311|3#7#155|3#8#311</v>
      </c>
      <c r="K111" s="22" t="str">
        <f t="shared" si="49"/>
        <v>伤害反弹12%</v>
      </c>
      <c r="L111" s="33" t="str">
        <f t="shared" si="51"/>
        <v>神品升星石6/元宝130000</v>
      </c>
      <c r="M111" s="22">
        <v>60</v>
      </c>
    </row>
    <row r="112" spans="1:13" ht="15.75" x14ac:dyDescent="0.3">
      <c r="A112" s="22" t="s">
        <v>49</v>
      </c>
      <c r="B112" s="22" t="s">
        <v>33</v>
      </c>
      <c r="C112" s="22" t="s">
        <v>1904</v>
      </c>
      <c r="D112" s="2"/>
      <c r="E112" s="2"/>
      <c r="F112" s="23" t="s">
        <v>3034</v>
      </c>
      <c r="G112" s="22">
        <v>29</v>
      </c>
      <c r="H112" s="2"/>
      <c r="I112" s="2"/>
      <c r="J112" s="22" t="str">
        <f t="shared" si="48"/>
        <v>3#3#161|3#4#322|3#5#161|3#6#322|3#7#161|3#8#322</v>
      </c>
      <c r="K112" s="22" t="str">
        <f t="shared" si="49"/>
        <v>伤害反弹13%</v>
      </c>
      <c r="L112" s="33" t="str">
        <f t="shared" si="51"/>
        <v>神品升星石6/元宝130000</v>
      </c>
      <c r="M112" s="22">
        <v>50</v>
      </c>
    </row>
    <row r="113" spans="1:13" ht="15.75" x14ac:dyDescent="0.3">
      <c r="A113" s="22" t="s">
        <v>49</v>
      </c>
      <c r="B113" s="22" t="s">
        <v>33</v>
      </c>
      <c r="C113" s="22" t="s">
        <v>1904</v>
      </c>
      <c r="D113" s="2"/>
      <c r="E113" s="2"/>
      <c r="F113" s="23" t="s">
        <v>3035</v>
      </c>
      <c r="G113" s="22">
        <v>30</v>
      </c>
      <c r="H113" s="2"/>
      <c r="I113" s="2"/>
      <c r="J113" s="22" t="str">
        <f t="shared" si="48"/>
        <v>3#3#166|3#4#333|3#5#166|3#6#333|3#7#166|3#8#333</v>
      </c>
      <c r="K113" s="22" t="str">
        <f t="shared" si="49"/>
        <v>伤害反弹13%</v>
      </c>
      <c r="L113" s="33" t="str">
        <f t="shared" si="51"/>
        <v>神品升星石6/元宝136000</v>
      </c>
      <c r="M113" s="22">
        <v>40</v>
      </c>
    </row>
    <row r="114" spans="1:13" ht="15.75" x14ac:dyDescent="0.3">
      <c r="A114" s="22" t="s">
        <v>49</v>
      </c>
      <c r="B114" s="22" t="s">
        <v>33</v>
      </c>
      <c r="C114" s="22" t="s">
        <v>1904</v>
      </c>
      <c r="D114" s="2"/>
      <c r="E114" s="2"/>
      <c r="F114" s="23" t="s">
        <v>3036</v>
      </c>
      <c r="G114" s="22">
        <v>31</v>
      </c>
      <c r="H114" s="2"/>
      <c r="I114" s="2"/>
      <c r="J114" s="22" t="str">
        <f t="shared" si="48"/>
        <v>3#3#172|3#4#344|3#5#172|3#6#344|3#7#172|3#8#344</v>
      </c>
      <c r="K114" s="22" t="str">
        <f t="shared" si="49"/>
        <v>伤害反弹14%</v>
      </c>
      <c r="L114" s="33" t="str">
        <f t="shared" si="51"/>
        <v>神品升星石6/元宝136000</v>
      </c>
      <c r="M114" s="22">
        <v>30</v>
      </c>
    </row>
    <row r="115" spans="1:13" ht="15.75" x14ac:dyDescent="0.3">
      <c r="A115" s="22" t="s">
        <v>49</v>
      </c>
      <c r="B115" s="22" t="s">
        <v>33</v>
      </c>
      <c r="C115" s="22" t="s">
        <v>1904</v>
      </c>
      <c r="D115" s="2"/>
      <c r="E115" s="2"/>
      <c r="F115" s="23" t="s">
        <v>3037</v>
      </c>
      <c r="G115" s="22">
        <v>32</v>
      </c>
      <c r="H115" s="2"/>
      <c r="I115" s="2"/>
      <c r="J115" s="22" t="str">
        <f t="shared" si="48"/>
        <v>3#3#177|3#4#355|3#5#177|3#6#355|3#7#177|3#8#355</v>
      </c>
      <c r="K115" s="22" t="str">
        <f t="shared" si="49"/>
        <v>伤害反弹14%</v>
      </c>
      <c r="L115" s="33" t="str">
        <f t="shared" si="51"/>
        <v>神品升星石7/元宝142000</v>
      </c>
      <c r="M115" s="22">
        <v>25</v>
      </c>
    </row>
    <row r="116" spans="1:13" ht="15.75" x14ac:dyDescent="0.3">
      <c r="A116" s="22" t="s">
        <v>49</v>
      </c>
      <c r="B116" s="22" t="s">
        <v>33</v>
      </c>
      <c r="C116" s="22" t="s">
        <v>1904</v>
      </c>
      <c r="D116" s="2"/>
      <c r="E116" s="2"/>
      <c r="F116" s="23" t="s">
        <v>3038</v>
      </c>
      <c r="G116" s="22">
        <v>33</v>
      </c>
      <c r="H116" s="2"/>
      <c r="I116" s="2"/>
      <c r="J116" s="22" t="str">
        <f t="shared" si="48"/>
        <v>3#3#183|3#4#366|3#5#183|3#6#366|3#7#183|3#8#366</v>
      </c>
      <c r="K116" s="22" t="str">
        <f t="shared" si="49"/>
        <v>伤害反弹15%</v>
      </c>
      <c r="L116" s="33" t="str">
        <f t="shared" si="51"/>
        <v>神品升星石7/元宝142000</v>
      </c>
      <c r="M116" s="22">
        <v>20</v>
      </c>
    </row>
    <row r="117" spans="1:13" ht="15.75" x14ac:dyDescent="0.3">
      <c r="A117" s="22" t="s">
        <v>49</v>
      </c>
      <c r="B117" s="22" t="s">
        <v>33</v>
      </c>
      <c r="C117" s="22" t="s">
        <v>1904</v>
      </c>
      <c r="D117" s="2"/>
      <c r="E117" s="2"/>
      <c r="F117" s="23" t="s">
        <v>3039</v>
      </c>
      <c r="G117" s="22">
        <v>34</v>
      </c>
      <c r="H117" s="2"/>
      <c r="I117" s="2"/>
      <c r="J117" s="22" t="str">
        <f t="shared" si="48"/>
        <v>3#3#188|3#4#377|3#5#188|3#6#377|3#7#188|3#8#377</v>
      </c>
      <c r="K117" s="22" t="str">
        <f t="shared" si="49"/>
        <v>伤害反弹16%</v>
      </c>
      <c r="L117" s="33" t="str">
        <f t="shared" si="51"/>
        <v>神品升星石7/元宝148000</v>
      </c>
      <c r="M117" s="22">
        <v>15</v>
      </c>
    </row>
    <row r="118" spans="1:13" ht="15.75" x14ac:dyDescent="0.3">
      <c r="A118" s="22" t="s">
        <v>49</v>
      </c>
      <c r="B118" s="22" t="s">
        <v>33</v>
      </c>
      <c r="C118" s="22" t="s">
        <v>1904</v>
      </c>
      <c r="D118" s="2"/>
      <c r="E118" s="2"/>
      <c r="F118" s="23" t="s">
        <v>3040</v>
      </c>
      <c r="G118" s="22">
        <v>35</v>
      </c>
      <c r="H118" s="2"/>
      <c r="I118" s="2"/>
      <c r="J118" s="22" t="str">
        <f t="shared" si="48"/>
        <v>3#3#194|3#4#388|3#5#194|3#6#388|3#7#194|3#8#388</v>
      </c>
      <c r="K118" s="22" t="str">
        <f t="shared" si="49"/>
        <v>伤害反弹17%</v>
      </c>
      <c r="L118" s="33" t="str">
        <f t="shared" si="51"/>
        <v>神品升星石7/元宝148000</v>
      </c>
      <c r="M118" s="22">
        <v>10</v>
      </c>
    </row>
    <row r="119" spans="1:13" ht="15.75" x14ac:dyDescent="0.3">
      <c r="A119" s="22" t="s">
        <v>49</v>
      </c>
      <c r="B119" s="22" t="s">
        <v>33</v>
      </c>
      <c r="C119" s="22" t="s">
        <v>1904</v>
      </c>
      <c r="D119" s="2"/>
      <c r="E119" s="2"/>
      <c r="F119" s="23" t="s">
        <v>3041</v>
      </c>
      <c r="G119" s="22">
        <v>36</v>
      </c>
      <c r="H119" s="2"/>
      <c r="I119" s="2"/>
      <c r="J119" s="22" t="str">
        <f t="shared" si="48"/>
        <v>3#3#200|3#4#400|3#5#200|3#6#400|3#7#200|3#8#400</v>
      </c>
      <c r="K119" s="22" t="str">
        <f t="shared" si="49"/>
        <v>伤害反弹18%</v>
      </c>
      <c r="L119" s="2"/>
      <c r="M119" s="22"/>
    </row>
    <row r="120" spans="1:13" ht="15.75" x14ac:dyDescent="0.3">
      <c r="A120" s="22" t="s">
        <v>49</v>
      </c>
      <c r="B120" s="22" t="s">
        <v>33</v>
      </c>
      <c r="C120" s="22" t="s">
        <v>1904</v>
      </c>
      <c r="D120" s="2"/>
      <c r="E120" s="2"/>
      <c r="F120" s="23" t="s">
        <v>3042</v>
      </c>
      <c r="G120" s="22">
        <v>37</v>
      </c>
      <c r="H120" s="2"/>
      <c r="I120" s="2"/>
      <c r="J120" s="22"/>
      <c r="K120" s="22"/>
      <c r="L120" s="2"/>
      <c r="M120" s="22"/>
    </row>
    <row r="121" spans="1:13" ht="15.75" x14ac:dyDescent="0.3">
      <c r="A121" s="22" t="s">
        <v>49</v>
      </c>
      <c r="B121" s="22" t="s">
        <v>33</v>
      </c>
      <c r="C121" s="22" t="s">
        <v>1904</v>
      </c>
      <c r="D121" s="2"/>
      <c r="E121" s="2"/>
      <c r="F121" s="23" t="s">
        <v>3043</v>
      </c>
      <c r="G121" s="22">
        <v>38</v>
      </c>
      <c r="H121" s="2"/>
      <c r="I121" s="2"/>
      <c r="J121" s="22"/>
      <c r="K121" s="22"/>
      <c r="L121" s="2"/>
      <c r="M121" s="22"/>
    </row>
    <row r="122" spans="1:13" ht="15.75" x14ac:dyDescent="0.3">
      <c r="A122" s="22" t="s">
        <v>49</v>
      </c>
      <c r="B122" s="22" t="s">
        <v>33</v>
      </c>
      <c r="C122" s="22" t="s">
        <v>1904</v>
      </c>
      <c r="D122" s="2"/>
      <c r="E122" s="2"/>
      <c r="F122" s="23" t="s">
        <v>3044</v>
      </c>
      <c r="G122" s="22">
        <v>39</v>
      </c>
      <c r="H122" s="2"/>
      <c r="I122" s="2"/>
      <c r="J122" s="22"/>
      <c r="K122" s="22"/>
      <c r="L122" s="2"/>
      <c r="M122" s="22"/>
    </row>
    <row r="123" spans="1:13" ht="15.75" x14ac:dyDescent="0.3">
      <c r="A123" s="22" t="s">
        <v>49</v>
      </c>
      <c r="B123" s="22" t="s">
        <v>33</v>
      </c>
      <c r="C123" s="22" t="s">
        <v>1907</v>
      </c>
      <c r="D123" s="22"/>
      <c r="E123" s="22"/>
      <c r="F123" s="23" t="s">
        <v>3005</v>
      </c>
      <c r="G123" s="22">
        <v>0</v>
      </c>
      <c r="H123" s="32"/>
      <c r="I123" s="22"/>
      <c r="J123" s="22"/>
      <c r="K123" s="22"/>
      <c r="L123" s="33" t="str">
        <f>"凡品升星石"&amp;X4&amp;"/元宝"&amp;Y4</f>
        <v>凡品升星石16/元宝32000</v>
      </c>
      <c r="M123" s="22">
        <v>100</v>
      </c>
    </row>
    <row r="124" spans="1:13" ht="15.75" x14ac:dyDescent="0.3">
      <c r="A124" s="22" t="s">
        <v>49</v>
      </c>
      <c r="B124" s="22" t="s">
        <v>33</v>
      </c>
      <c r="C124" s="22" t="s">
        <v>1907</v>
      </c>
      <c r="D124" s="22"/>
      <c r="E124" s="22"/>
      <c r="F124" s="23" t="s">
        <v>3006</v>
      </c>
      <c r="G124" s="22">
        <v>1</v>
      </c>
      <c r="H124" s="32"/>
      <c r="I124" s="22"/>
      <c r="J1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24" s="22"/>
      <c r="L124" s="33" t="str">
        <f t="shared" ref="L124:L134" si="52">"凡品升星石"&amp;X5&amp;"/元宝"&amp;Y5</f>
        <v>凡品升星石16/元宝32000</v>
      </c>
      <c r="M124" s="22">
        <v>100</v>
      </c>
    </row>
    <row r="125" spans="1:13" ht="15.75" x14ac:dyDescent="0.3">
      <c r="A125" s="22" t="s">
        <v>49</v>
      </c>
      <c r="B125" s="22" t="s">
        <v>33</v>
      </c>
      <c r="C125" s="22" t="s">
        <v>1907</v>
      </c>
      <c r="D125" s="2"/>
      <c r="E125" s="2"/>
      <c r="F125" s="23" t="s">
        <v>3007</v>
      </c>
      <c r="G125" s="22">
        <v>2</v>
      </c>
      <c r="H125" s="2"/>
      <c r="I125" s="2"/>
      <c r="J125" s="22" t="str">
        <f t="shared" ref="J125:J159" si="53">"3#3#"&amp;INT(0.5*S5)&amp;"|"&amp;"3#4#"&amp;S5&amp;"|"&amp;"3#5#"&amp;INT(0.5*S5)&amp;"|"&amp;"3#6#"&amp;S5&amp;"|"&amp;"3#7#"&amp;INT(0.5*S5)&amp;"|"&amp;"3#8#"&amp;S5</f>
        <v>3#3#5|3#4#11|3#5#5|3#6#11|3#7#5|3#8#11</v>
      </c>
      <c r="K125" s="22"/>
      <c r="L125" s="33" t="str">
        <f t="shared" si="52"/>
        <v>凡品升星石19/元宝38000</v>
      </c>
      <c r="M125" s="22">
        <v>100</v>
      </c>
    </row>
    <row r="126" spans="1:13" ht="15.75" x14ac:dyDescent="0.3">
      <c r="A126" s="22" t="s">
        <v>49</v>
      </c>
      <c r="B126" s="22" t="s">
        <v>33</v>
      </c>
      <c r="C126" s="22" t="s">
        <v>1907</v>
      </c>
      <c r="D126" s="2"/>
      <c r="E126" s="2"/>
      <c r="F126" s="23" t="s">
        <v>3008</v>
      </c>
      <c r="G126" s="22">
        <v>3</v>
      </c>
      <c r="H126" s="2"/>
      <c r="I126" s="2"/>
      <c r="J126" s="22" t="str">
        <f t="shared" si="53"/>
        <v>3#3#8|3#4#16|3#5#8|3#6#16|3#7#8|3#8#16</v>
      </c>
      <c r="K126" s="22"/>
      <c r="L126" s="33" t="str">
        <f t="shared" si="52"/>
        <v>凡品升星石19/元宝38000</v>
      </c>
      <c r="M126" s="22">
        <v>90</v>
      </c>
    </row>
    <row r="127" spans="1:13" ht="15.75" x14ac:dyDescent="0.3">
      <c r="A127" s="22" t="s">
        <v>49</v>
      </c>
      <c r="B127" s="22" t="s">
        <v>33</v>
      </c>
      <c r="C127" s="22" t="s">
        <v>1907</v>
      </c>
      <c r="D127" s="2"/>
      <c r="E127" s="2"/>
      <c r="F127" s="23" t="s">
        <v>3009</v>
      </c>
      <c r="G127" s="22">
        <v>4</v>
      </c>
      <c r="H127" s="2"/>
      <c r="I127" s="2"/>
      <c r="J127" s="22" t="str">
        <f t="shared" si="53"/>
        <v>3#3#11|3#4#22|3#5#11|3#6#22|3#7#11|3#8#22</v>
      </c>
      <c r="K127" s="22"/>
      <c r="L127" s="33" t="str">
        <f t="shared" si="52"/>
        <v>凡品升星石22/元宝44000</v>
      </c>
      <c r="M127" s="22">
        <v>80</v>
      </c>
    </row>
    <row r="128" spans="1:13" ht="15.75" x14ac:dyDescent="0.3">
      <c r="A128" s="22" t="s">
        <v>49</v>
      </c>
      <c r="B128" s="22" t="s">
        <v>33</v>
      </c>
      <c r="C128" s="22" t="s">
        <v>1907</v>
      </c>
      <c r="D128" s="2"/>
      <c r="E128" s="2"/>
      <c r="F128" s="23" t="s">
        <v>3010</v>
      </c>
      <c r="G128" s="22">
        <v>5</v>
      </c>
      <c r="H128" s="2"/>
      <c r="I128" s="2"/>
      <c r="J128" s="22" t="str">
        <f t="shared" si="53"/>
        <v>3#3#16|3#4#33|3#5#16|3#6#33|3#7#16|3#8#33</v>
      </c>
      <c r="K128" s="22"/>
      <c r="L128" s="33" t="str">
        <f t="shared" si="52"/>
        <v>凡品升星石22/元宝44000</v>
      </c>
      <c r="M128" s="22">
        <v>70</v>
      </c>
    </row>
    <row r="129" spans="1:13" ht="15.75" x14ac:dyDescent="0.3">
      <c r="A129" s="22" t="s">
        <v>49</v>
      </c>
      <c r="B129" s="22" t="s">
        <v>33</v>
      </c>
      <c r="C129" s="22" t="s">
        <v>1907</v>
      </c>
      <c r="D129" s="2"/>
      <c r="E129" s="2"/>
      <c r="F129" s="23" t="s">
        <v>3011</v>
      </c>
      <c r="G129" s="22">
        <v>6</v>
      </c>
      <c r="H129" s="2"/>
      <c r="I129" s="2"/>
      <c r="J129" s="22" t="str">
        <f t="shared" si="53"/>
        <v>3#3#19|3#4#39|3#5#19|3#6#39|3#7#19|3#8#39</v>
      </c>
      <c r="K129" s="22"/>
      <c r="L129" s="33" t="str">
        <f t="shared" si="52"/>
        <v>凡品升星石26/元宝52000</v>
      </c>
      <c r="M129" s="22">
        <v>60</v>
      </c>
    </row>
    <row r="130" spans="1:13" ht="15.75" x14ac:dyDescent="0.3">
      <c r="A130" s="22" t="s">
        <v>49</v>
      </c>
      <c r="B130" s="22" t="s">
        <v>33</v>
      </c>
      <c r="C130" s="22" t="s">
        <v>1907</v>
      </c>
      <c r="D130" s="2"/>
      <c r="E130" s="2"/>
      <c r="F130" s="23" t="s">
        <v>3012</v>
      </c>
      <c r="G130" s="22">
        <v>7</v>
      </c>
      <c r="H130" s="2"/>
      <c r="I130" s="2"/>
      <c r="J130" s="22" t="str">
        <f t="shared" si="53"/>
        <v>3#3#23|3#4#46|3#5#23|3#6#46|3#7#23|3#8#46</v>
      </c>
      <c r="K130" s="22" t="str">
        <f>$AE$4&amp;AE11&amp;"%"</f>
        <v>暴击几率1%</v>
      </c>
      <c r="L130" s="33" t="str">
        <f t="shared" si="52"/>
        <v>凡品升星石26/元宝52000</v>
      </c>
      <c r="M130" s="22">
        <v>50</v>
      </c>
    </row>
    <row r="131" spans="1:13" ht="15.75" x14ac:dyDescent="0.3">
      <c r="A131" s="22" t="s">
        <v>49</v>
      </c>
      <c r="B131" s="22" t="s">
        <v>33</v>
      </c>
      <c r="C131" s="22" t="s">
        <v>1907</v>
      </c>
      <c r="D131" s="2"/>
      <c r="E131" s="2"/>
      <c r="F131" s="23" t="s">
        <v>3013</v>
      </c>
      <c r="G131" s="22">
        <v>8</v>
      </c>
      <c r="H131" s="2"/>
      <c r="I131" s="2"/>
      <c r="J131" s="22" t="str">
        <f t="shared" si="53"/>
        <v>3#3#26|3#4#52|3#5#26|3#6#52|3#7#26|3#8#52</v>
      </c>
      <c r="K131" s="22" t="str">
        <f t="shared" ref="K131:K159" si="54">$AE$4&amp;AE12&amp;"%"</f>
        <v>暴击几率2%</v>
      </c>
      <c r="L131" s="33" t="str">
        <f t="shared" si="52"/>
        <v>凡品升星石32/元宝64000</v>
      </c>
      <c r="M131" s="22">
        <v>40</v>
      </c>
    </row>
    <row r="132" spans="1:13" ht="15.75" x14ac:dyDescent="0.3">
      <c r="A132" s="22" t="s">
        <v>49</v>
      </c>
      <c r="B132" s="22" t="s">
        <v>33</v>
      </c>
      <c r="C132" s="22" t="s">
        <v>1907</v>
      </c>
      <c r="D132" s="2"/>
      <c r="E132" s="2"/>
      <c r="F132" s="23" t="s">
        <v>3014</v>
      </c>
      <c r="G132" s="22">
        <v>9</v>
      </c>
      <c r="H132" s="2"/>
      <c r="I132" s="2"/>
      <c r="J132" s="22" t="str">
        <f t="shared" si="53"/>
        <v>3#3#35|3#4#70|3#5#35|3#6#70|3#7#35|3#8#70</v>
      </c>
      <c r="K132" s="22" t="str">
        <f t="shared" si="54"/>
        <v>暴击几率3%</v>
      </c>
      <c r="L132" s="33" t="str">
        <f t="shared" si="52"/>
        <v>凡品升星石32/元宝64000</v>
      </c>
      <c r="M132" s="22">
        <v>30</v>
      </c>
    </row>
    <row r="133" spans="1:13" ht="15.75" x14ac:dyDescent="0.3">
      <c r="A133" s="22" t="s">
        <v>49</v>
      </c>
      <c r="B133" s="22" t="s">
        <v>33</v>
      </c>
      <c r="C133" s="22" t="s">
        <v>1907</v>
      </c>
      <c r="D133" s="2"/>
      <c r="E133" s="2"/>
      <c r="F133" s="23" t="s">
        <v>3015</v>
      </c>
      <c r="G133" s="22">
        <v>10</v>
      </c>
      <c r="H133" s="2"/>
      <c r="I133" s="2"/>
      <c r="J133" s="22" t="str">
        <f t="shared" si="53"/>
        <v>3#3#38|3#4#77|3#5#38|3#6#77|3#7#38|3#8#77</v>
      </c>
      <c r="K133" s="22" t="str">
        <f t="shared" si="54"/>
        <v>暴击几率3%</v>
      </c>
      <c r="L133" s="33" t="str">
        <f t="shared" si="52"/>
        <v>凡品升星石37/元宝74000</v>
      </c>
      <c r="M133" s="22">
        <v>20</v>
      </c>
    </row>
    <row r="134" spans="1:13" ht="15.75" x14ac:dyDescent="0.3">
      <c r="A134" s="22" t="s">
        <v>49</v>
      </c>
      <c r="B134" s="22" t="s">
        <v>33</v>
      </c>
      <c r="C134" s="22" t="s">
        <v>1907</v>
      </c>
      <c r="D134" s="2"/>
      <c r="E134" s="2"/>
      <c r="F134" s="23" t="s">
        <v>3016</v>
      </c>
      <c r="G134" s="22">
        <v>11</v>
      </c>
      <c r="H134" s="2"/>
      <c r="I134" s="2"/>
      <c r="J134" s="22" t="str">
        <f t="shared" si="53"/>
        <v>3#3#42|3#4#85|3#5#42|3#6#85|3#7#42|3#8#85</v>
      </c>
      <c r="K134" s="22" t="str">
        <f t="shared" si="54"/>
        <v>暴击几率4%</v>
      </c>
      <c r="L134" s="33" t="str">
        <f t="shared" si="52"/>
        <v>凡品升星石37/元宝74000</v>
      </c>
      <c r="M134" s="22">
        <v>15</v>
      </c>
    </row>
    <row r="135" spans="1:13" ht="15.75" x14ac:dyDescent="0.3">
      <c r="A135" s="22" t="s">
        <v>49</v>
      </c>
      <c r="B135" s="22" t="s">
        <v>33</v>
      </c>
      <c r="C135" s="22" t="s">
        <v>1907</v>
      </c>
      <c r="D135" s="2"/>
      <c r="E135" s="2"/>
      <c r="F135" s="23" t="s">
        <v>3017</v>
      </c>
      <c r="G135" s="22">
        <v>12</v>
      </c>
      <c r="H135" s="2"/>
      <c r="I135" s="2"/>
      <c r="J135" s="22" t="str">
        <f t="shared" si="53"/>
        <v>3#3#46|3#4#93|3#5#46|3#6#93|3#7#46|3#8#93</v>
      </c>
      <c r="K135" s="22" t="str">
        <f t="shared" si="54"/>
        <v>暴击几率4%</v>
      </c>
      <c r="L135" s="33" t="str">
        <f>"仙品升星石"&amp;INT(X16/2)&amp;"/元宝"&amp;Y16</f>
        <v>仙品升星石19/元宝78000</v>
      </c>
      <c r="M135" s="22">
        <v>100</v>
      </c>
    </row>
    <row r="136" spans="1:13" ht="15.75" x14ac:dyDescent="0.3">
      <c r="A136" s="22" t="s">
        <v>49</v>
      </c>
      <c r="B136" s="22" t="s">
        <v>33</v>
      </c>
      <c r="C136" s="22" t="s">
        <v>1907</v>
      </c>
      <c r="D136" s="2"/>
      <c r="E136" s="2"/>
      <c r="F136" s="23" t="s">
        <v>3018</v>
      </c>
      <c r="G136" s="22">
        <v>13</v>
      </c>
      <c r="H136" s="2"/>
      <c r="I136" s="2"/>
      <c r="J136" s="22" t="str">
        <f t="shared" si="53"/>
        <v>3#3#54|3#4#108|3#5#54|3#6#108|3#7#54|3#8#108</v>
      </c>
      <c r="K136" s="22" t="str">
        <f t="shared" si="54"/>
        <v>暴击几率5%</v>
      </c>
      <c r="L136" s="33" t="str">
        <f t="shared" ref="L136:L146" si="55">"仙品升星石"&amp;INT(X17/2)&amp;"/元宝"&amp;Y17</f>
        <v>仙品升星石19/元宝78000</v>
      </c>
      <c r="M136" s="22">
        <v>100</v>
      </c>
    </row>
    <row r="137" spans="1:13" ht="15.75" x14ac:dyDescent="0.3">
      <c r="A137" s="22" t="s">
        <v>49</v>
      </c>
      <c r="B137" s="22" t="s">
        <v>33</v>
      </c>
      <c r="C137" s="22" t="s">
        <v>1907</v>
      </c>
      <c r="D137" s="2"/>
      <c r="E137" s="2"/>
      <c r="F137" s="23" t="s">
        <v>3019</v>
      </c>
      <c r="G137" s="22">
        <v>14</v>
      </c>
      <c r="H137" s="2"/>
      <c r="I137" s="2"/>
      <c r="J137" s="22" t="str">
        <f t="shared" si="53"/>
        <v>3#3#58|3#4#116|3#5#58|3#6#116|3#7#58|3#8#116</v>
      </c>
      <c r="K137" s="22" t="str">
        <f t="shared" si="54"/>
        <v>暴击几率5%</v>
      </c>
      <c r="L137" s="33" t="str">
        <f t="shared" si="55"/>
        <v>仙品升星石21/元宝84000</v>
      </c>
      <c r="M137" s="22">
        <v>100</v>
      </c>
    </row>
    <row r="138" spans="1:13" ht="15.75" x14ac:dyDescent="0.3">
      <c r="A138" s="22" t="s">
        <v>49</v>
      </c>
      <c r="B138" s="22" t="s">
        <v>33</v>
      </c>
      <c r="C138" s="22" t="s">
        <v>1907</v>
      </c>
      <c r="D138" s="2"/>
      <c r="E138" s="2"/>
      <c r="F138" s="23" t="s">
        <v>3020</v>
      </c>
      <c r="G138" s="22">
        <v>15</v>
      </c>
      <c r="H138" s="2"/>
      <c r="I138" s="2"/>
      <c r="J138" s="22" t="str">
        <f t="shared" si="53"/>
        <v>3#3#62|3#4#124|3#5#62|3#6#124|3#7#62|3#8#124</v>
      </c>
      <c r="K138" s="22" t="str">
        <f t="shared" si="54"/>
        <v>暴击几率6%</v>
      </c>
      <c r="L138" s="33" t="str">
        <f t="shared" si="55"/>
        <v>仙品升星石21/元宝84000</v>
      </c>
      <c r="M138" s="22">
        <v>70</v>
      </c>
    </row>
    <row r="139" spans="1:13" ht="15.75" x14ac:dyDescent="0.3">
      <c r="A139" s="22" t="s">
        <v>49</v>
      </c>
      <c r="B139" s="22" t="s">
        <v>33</v>
      </c>
      <c r="C139" s="22" t="s">
        <v>1907</v>
      </c>
      <c r="D139" s="2"/>
      <c r="E139" s="2"/>
      <c r="F139" s="23" t="s">
        <v>3021</v>
      </c>
      <c r="G139" s="22">
        <v>16</v>
      </c>
      <c r="H139" s="2"/>
      <c r="I139" s="2"/>
      <c r="J139" s="22" t="str">
        <f t="shared" si="53"/>
        <v>3#3#66|3#4#132|3#5#66|3#6#132|3#7#66|3#8#132</v>
      </c>
      <c r="K139" s="22" t="str">
        <f t="shared" si="54"/>
        <v>暴击几率6%</v>
      </c>
      <c r="L139" s="33" t="str">
        <f t="shared" si="55"/>
        <v>仙品升星石23/元宝92000</v>
      </c>
      <c r="M139" s="22">
        <v>60</v>
      </c>
    </row>
    <row r="140" spans="1:13" ht="15.75" x14ac:dyDescent="0.3">
      <c r="A140" s="22" t="s">
        <v>49</v>
      </c>
      <c r="B140" s="22" t="s">
        <v>33</v>
      </c>
      <c r="C140" s="22" t="s">
        <v>1907</v>
      </c>
      <c r="D140" s="2"/>
      <c r="E140" s="2"/>
      <c r="F140" s="23" t="s">
        <v>3022</v>
      </c>
      <c r="G140" s="22">
        <v>17</v>
      </c>
      <c r="H140" s="2"/>
      <c r="I140" s="2"/>
      <c r="J140" s="22" t="str">
        <f t="shared" si="53"/>
        <v>3#3#79|3#4#159|3#5#79|3#6#159|3#7#79|3#8#159</v>
      </c>
      <c r="K140" s="22" t="str">
        <f t="shared" si="54"/>
        <v>暴击几率7%</v>
      </c>
      <c r="L140" s="33" t="str">
        <f t="shared" si="55"/>
        <v>仙品升星石23/元宝92000</v>
      </c>
      <c r="M140" s="22">
        <v>50</v>
      </c>
    </row>
    <row r="141" spans="1:13" ht="15.75" x14ac:dyDescent="0.3">
      <c r="A141" s="22" t="s">
        <v>49</v>
      </c>
      <c r="B141" s="22" t="s">
        <v>33</v>
      </c>
      <c r="C141" s="22" t="s">
        <v>1907</v>
      </c>
      <c r="D141" s="2"/>
      <c r="E141" s="2"/>
      <c r="F141" s="23" t="s">
        <v>3023</v>
      </c>
      <c r="G141" s="22">
        <v>18</v>
      </c>
      <c r="H141" s="2"/>
      <c r="I141" s="2"/>
      <c r="J141" s="22" t="str">
        <f t="shared" si="53"/>
        <v>3#3#85|3#4#170|3#5#85|3#6#170|3#7#85|3#8#170</v>
      </c>
      <c r="K141" s="22" t="str">
        <f t="shared" si="54"/>
        <v>暴击几率7%</v>
      </c>
      <c r="L141" s="33" t="str">
        <f t="shared" si="55"/>
        <v>仙品升星石24/元宝98000</v>
      </c>
      <c r="M141" s="22">
        <v>40</v>
      </c>
    </row>
    <row r="142" spans="1:13" ht="15.75" x14ac:dyDescent="0.3">
      <c r="A142" s="22" t="s">
        <v>49</v>
      </c>
      <c r="B142" s="22" t="s">
        <v>33</v>
      </c>
      <c r="C142" s="22" t="s">
        <v>1907</v>
      </c>
      <c r="D142" s="2"/>
      <c r="E142" s="2"/>
      <c r="F142" s="23" t="s">
        <v>3024</v>
      </c>
      <c r="G142" s="22">
        <v>19</v>
      </c>
      <c r="H142" s="2"/>
      <c r="I142" s="2"/>
      <c r="J142" s="22" t="str">
        <f t="shared" si="53"/>
        <v>3#3#89|3#4#179|3#5#89|3#6#179|3#7#89|3#8#179</v>
      </c>
      <c r="K142" s="22" t="str">
        <f t="shared" si="54"/>
        <v>暴击几率8%</v>
      </c>
      <c r="L142" s="33" t="str">
        <f t="shared" si="55"/>
        <v>仙品升星石24/元宝98000</v>
      </c>
      <c r="M142" s="22">
        <v>30</v>
      </c>
    </row>
    <row r="143" spans="1:13" ht="15.75" x14ac:dyDescent="0.3">
      <c r="A143" s="22" t="s">
        <v>49</v>
      </c>
      <c r="B143" s="22" t="s">
        <v>33</v>
      </c>
      <c r="C143" s="22" t="s">
        <v>1907</v>
      </c>
      <c r="D143" s="2"/>
      <c r="E143" s="2"/>
      <c r="F143" s="23" t="s">
        <v>3025</v>
      </c>
      <c r="G143" s="22">
        <v>20</v>
      </c>
      <c r="H143" s="2"/>
      <c r="I143" s="2"/>
      <c r="J143" s="22" t="str">
        <f t="shared" si="53"/>
        <v>3#3#94|3#4#188|3#5#94|3#6#188|3#7#94|3#8#188</v>
      </c>
      <c r="K143" s="22" t="str">
        <f t="shared" si="54"/>
        <v>暴击几率8%</v>
      </c>
      <c r="L143" s="33" t="str">
        <f t="shared" si="55"/>
        <v>仙品升星石26/元宝104000</v>
      </c>
      <c r="M143" s="22">
        <v>25</v>
      </c>
    </row>
    <row r="144" spans="1:13" ht="15.75" x14ac:dyDescent="0.3">
      <c r="A144" s="22" t="s">
        <v>49</v>
      </c>
      <c r="B144" s="22" t="s">
        <v>33</v>
      </c>
      <c r="C144" s="22" t="s">
        <v>1907</v>
      </c>
      <c r="D144" s="2"/>
      <c r="E144" s="2"/>
      <c r="F144" s="23" t="s">
        <v>3026</v>
      </c>
      <c r="G144" s="22">
        <v>21</v>
      </c>
      <c r="H144" s="2"/>
      <c r="I144" s="2"/>
      <c r="J144" s="22" t="str">
        <f t="shared" si="53"/>
        <v>3#3#110|3#4#221|3#5#110|3#6#221|3#7#110|3#8#221</v>
      </c>
      <c r="K144" s="22" t="str">
        <f t="shared" si="54"/>
        <v>暴击几率9%</v>
      </c>
      <c r="L144" s="33" t="str">
        <f t="shared" si="55"/>
        <v>仙品升星石26/元宝104000</v>
      </c>
      <c r="M144" s="22">
        <v>20</v>
      </c>
    </row>
    <row r="145" spans="1:13" ht="15.75" x14ac:dyDescent="0.3">
      <c r="A145" s="22" t="s">
        <v>49</v>
      </c>
      <c r="B145" s="22" t="s">
        <v>33</v>
      </c>
      <c r="C145" s="22" t="s">
        <v>1907</v>
      </c>
      <c r="D145" s="2"/>
      <c r="E145" s="2"/>
      <c r="F145" s="23" t="s">
        <v>3027</v>
      </c>
      <c r="G145" s="22">
        <v>22</v>
      </c>
      <c r="H145" s="2"/>
      <c r="I145" s="2"/>
      <c r="J145" s="22" t="str">
        <f t="shared" si="53"/>
        <v>3#3#115|3#4#231|3#5#115|3#6#231|3#7#115|3#8#231</v>
      </c>
      <c r="K145" s="22" t="str">
        <f t="shared" si="54"/>
        <v>暴击几率9%</v>
      </c>
      <c r="L145" s="33" t="str">
        <f t="shared" si="55"/>
        <v>仙品升星石27/元宝110000</v>
      </c>
      <c r="M145" s="22">
        <v>15</v>
      </c>
    </row>
    <row r="146" spans="1:13" ht="15.75" x14ac:dyDescent="0.3">
      <c r="A146" s="22" t="s">
        <v>49</v>
      </c>
      <c r="B146" s="22" t="s">
        <v>33</v>
      </c>
      <c r="C146" s="22" t="s">
        <v>1907</v>
      </c>
      <c r="D146" s="2"/>
      <c r="E146" s="2"/>
      <c r="F146" s="23" t="s">
        <v>3028</v>
      </c>
      <c r="G146" s="22">
        <v>23</v>
      </c>
      <c r="H146" s="2"/>
      <c r="I146" s="2"/>
      <c r="J146" s="22" t="str">
        <f t="shared" si="53"/>
        <v>3#3#121|3#4#242|3#5#121|3#6#242|3#7#121|3#8#242</v>
      </c>
      <c r="K146" s="22" t="str">
        <f t="shared" si="54"/>
        <v>暴击几率10%</v>
      </c>
      <c r="L146" s="33" t="str">
        <f t="shared" si="55"/>
        <v>仙品升星石27/元宝110000</v>
      </c>
      <c r="M146" s="22">
        <v>10</v>
      </c>
    </row>
    <row r="147" spans="1:13" ht="15.75" x14ac:dyDescent="0.3">
      <c r="A147" s="22" t="s">
        <v>49</v>
      </c>
      <c r="B147" s="22" t="s">
        <v>33</v>
      </c>
      <c r="C147" s="22" t="s">
        <v>1907</v>
      </c>
      <c r="D147" s="2"/>
      <c r="E147" s="2"/>
      <c r="F147" s="23" t="s">
        <v>3029</v>
      </c>
      <c r="G147" s="22">
        <v>24</v>
      </c>
      <c r="H147" s="2"/>
      <c r="I147" s="2"/>
      <c r="J147" s="22" t="str">
        <f t="shared" si="53"/>
        <v>3#3#126|3#4#252|3#5#126|3#6#252|3#7#126|3#8#252</v>
      </c>
      <c r="K147" s="22" t="str">
        <f t="shared" si="54"/>
        <v>暴击几率10%</v>
      </c>
      <c r="L147" s="33" t="str">
        <f>"神品升星石"&amp;INT(X28/10)&amp;"/元宝"&amp;Y28</f>
        <v>神品升星石5/元宝116000</v>
      </c>
      <c r="M147" s="22">
        <v>100</v>
      </c>
    </row>
    <row r="148" spans="1:13" ht="15.75" x14ac:dyDescent="0.3">
      <c r="A148" s="22" t="s">
        <v>49</v>
      </c>
      <c r="B148" s="22" t="s">
        <v>33</v>
      </c>
      <c r="C148" s="22" t="s">
        <v>1907</v>
      </c>
      <c r="D148" s="2"/>
      <c r="E148" s="2"/>
      <c r="F148" s="23" t="s">
        <v>3030</v>
      </c>
      <c r="G148" s="22">
        <v>25</v>
      </c>
      <c r="H148" s="2"/>
      <c r="I148" s="2"/>
      <c r="J148" s="22" t="str">
        <f t="shared" si="53"/>
        <v>3#3#138|3#4#277|3#5#138|3#6#277|3#7#138|3#8#277</v>
      </c>
      <c r="K148" s="22" t="str">
        <f t="shared" si="54"/>
        <v>暴击几率11%</v>
      </c>
      <c r="L148" s="33" t="str">
        <f t="shared" ref="L148:L158" si="56">"神品升星石"&amp;INT(X29/10)&amp;"/元宝"&amp;Y29</f>
        <v>神品升星石5/元宝116000</v>
      </c>
      <c r="M148" s="22">
        <v>100</v>
      </c>
    </row>
    <row r="149" spans="1:13" ht="15.75" x14ac:dyDescent="0.3">
      <c r="A149" s="22" t="s">
        <v>49</v>
      </c>
      <c r="B149" s="22" t="s">
        <v>33</v>
      </c>
      <c r="C149" s="22" t="s">
        <v>1907</v>
      </c>
      <c r="D149" s="2"/>
      <c r="E149" s="2"/>
      <c r="F149" s="23" t="s">
        <v>3031</v>
      </c>
      <c r="G149" s="22">
        <v>26</v>
      </c>
      <c r="H149" s="2"/>
      <c r="I149" s="2"/>
      <c r="J149" s="22" t="str">
        <f t="shared" si="53"/>
        <v>3#3#144|3#4#288|3#5#144|3#6#288|3#7#144|3#8#288</v>
      </c>
      <c r="K149" s="22" t="str">
        <f t="shared" si="54"/>
        <v>暴击几率11%</v>
      </c>
      <c r="L149" s="33" t="str">
        <f t="shared" si="56"/>
        <v>神品升星石6/元宝122000</v>
      </c>
      <c r="M149" s="22">
        <v>100</v>
      </c>
    </row>
    <row r="150" spans="1:13" ht="15.75" x14ac:dyDescent="0.3">
      <c r="A150" s="22" t="s">
        <v>49</v>
      </c>
      <c r="B150" s="22" t="s">
        <v>33</v>
      </c>
      <c r="C150" s="22" t="s">
        <v>1907</v>
      </c>
      <c r="D150" s="2"/>
      <c r="E150" s="2"/>
      <c r="F150" s="23" t="s">
        <v>3032</v>
      </c>
      <c r="G150" s="22">
        <v>27</v>
      </c>
      <c r="H150" s="2"/>
      <c r="I150" s="2"/>
      <c r="J150" s="22" t="str">
        <f t="shared" si="53"/>
        <v>3#3#150|3#4#300|3#5#150|3#6#300|3#7#150|3#8#300</v>
      </c>
      <c r="K150" s="22" t="str">
        <f t="shared" si="54"/>
        <v>暴击几率12%</v>
      </c>
      <c r="L150" s="33" t="str">
        <f t="shared" si="56"/>
        <v>神品升星石6/元宝122000</v>
      </c>
      <c r="M150" s="22">
        <v>70</v>
      </c>
    </row>
    <row r="151" spans="1:13" ht="15.75" x14ac:dyDescent="0.3">
      <c r="A151" s="22" t="s">
        <v>49</v>
      </c>
      <c r="B151" s="22" t="s">
        <v>33</v>
      </c>
      <c r="C151" s="22" t="s">
        <v>1907</v>
      </c>
      <c r="D151" s="2"/>
      <c r="E151" s="2"/>
      <c r="F151" s="23" t="s">
        <v>3033</v>
      </c>
      <c r="G151" s="22">
        <v>28</v>
      </c>
      <c r="H151" s="2"/>
      <c r="I151" s="2"/>
      <c r="J151" s="22" t="str">
        <f t="shared" si="53"/>
        <v>3#3#155|3#4#311|3#5#155|3#6#311|3#7#155|3#8#311</v>
      </c>
      <c r="K151" s="22" t="str">
        <f t="shared" si="54"/>
        <v>暴击几率12%</v>
      </c>
      <c r="L151" s="33" t="str">
        <f t="shared" si="56"/>
        <v>神品升星石6/元宝130000</v>
      </c>
      <c r="M151" s="22">
        <v>60</v>
      </c>
    </row>
    <row r="152" spans="1:13" ht="15.75" x14ac:dyDescent="0.3">
      <c r="A152" s="22" t="s">
        <v>49</v>
      </c>
      <c r="B152" s="22" t="s">
        <v>33</v>
      </c>
      <c r="C152" s="22" t="s">
        <v>1907</v>
      </c>
      <c r="D152" s="2"/>
      <c r="E152" s="2"/>
      <c r="F152" s="23" t="s">
        <v>3034</v>
      </c>
      <c r="G152" s="22">
        <v>29</v>
      </c>
      <c r="H152" s="2"/>
      <c r="I152" s="2"/>
      <c r="J152" s="22" t="str">
        <f t="shared" si="53"/>
        <v>3#3#161|3#4#322|3#5#161|3#6#322|3#7#161|3#8#322</v>
      </c>
      <c r="K152" s="22" t="str">
        <f t="shared" si="54"/>
        <v>暴击几率13%</v>
      </c>
      <c r="L152" s="33" t="str">
        <f t="shared" si="56"/>
        <v>神品升星石6/元宝130000</v>
      </c>
      <c r="M152" s="22">
        <v>50</v>
      </c>
    </row>
    <row r="153" spans="1:13" ht="15.75" x14ac:dyDescent="0.3">
      <c r="A153" s="22" t="s">
        <v>49</v>
      </c>
      <c r="B153" s="22" t="s">
        <v>33</v>
      </c>
      <c r="C153" s="22" t="s">
        <v>1907</v>
      </c>
      <c r="D153" s="2"/>
      <c r="E153" s="2"/>
      <c r="F153" s="23" t="s">
        <v>3035</v>
      </c>
      <c r="G153" s="22">
        <v>30</v>
      </c>
      <c r="H153" s="2"/>
      <c r="I153" s="2"/>
      <c r="J153" s="22" t="str">
        <f t="shared" si="53"/>
        <v>3#3#166|3#4#333|3#5#166|3#6#333|3#7#166|3#8#333</v>
      </c>
      <c r="K153" s="22" t="str">
        <f t="shared" si="54"/>
        <v>暴击几率13%</v>
      </c>
      <c r="L153" s="33" t="str">
        <f t="shared" si="56"/>
        <v>神品升星石6/元宝136000</v>
      </c>
      <c r="M153" s="22">
        <v>40</v>
      </c>
    </row>
    <row r="154" spans="1:13" ht="15.75" x14ac:dyDescent="0.3">
      <c r="A154" s="22" t="s">
        <v>49</v>
      </c>
      <c r="B154" s="22" t="s">
        <v>33</v>
      </c>
      <c r="C154" s="22" t="s">
        <v>1907</v>
      </c>
      <c r="D154" s="2"/>
      <c r="E154" s="2"/>
      <c r="F154" s="23" t="s">
        <v>3036</v>
      </c>
      <c r="G154" s="22">
        <v>31</v>
      </c>
      <c r="H154" s="2"/>
      <c r="I154" s="2"/>
      <c r="J154" s="22" t="str">
        <f t="shared" si="53"/>
        <v>3#3#172|3#4#344|3#5#172|3#6#344|3#7#172|3#8#344</v>
      </c>
      <c r="K154" s="22" t="str">
        <f t="shared" si="54"/>
        <v>暴击几率14%</v>
      </c>
      <c r="L154" s="33" t="str">
        <f t="shared" si="56"/>
        <v>神品升星石6/元宝136000</v>
      </c>
      <c r="M154" s="22">
        <v>30</v>
      </c>
    </row>
    <row r="155" spans="1:13" ht="15.75" x14ac:dyDescent="0.3">
      <c r="A155" s="22" t="s">
        <v>49</v>
      </c>
      <c r="B155" s="22" t="s">
        <v>33</v>
      </c>
      <c r="C155" s="22" t="s">
        <v>1907</v>
      </c>
      <c r="D155" s="2"/>
      <c r="E155" s="2"/>
      <c r="F155" s="23" t="s">
        <v>3037</v>
      </c>
      <c r="G155" s="22">
        <v>32</v>
      </c>
      <c r="H155" s="2"/>
      <c r="I155" s="2"/>
      <c r="J155" s="22" t="str">
        <f t="shared" si="53"/>
        <v>3#3#177|3#4#355|3#5#177|3#6#355|3#7#177|3#8#355</v>
      </c>
      <c r="K155" s="22" t="str">
        <f t="shared" si="54"/>
        <v>暴击几率14%</v>
      </c>
      <c r="L155" s="33" t="str">
        <f t="shared" si="56"/>
        <v>神品升星石7/元宝142000</v>
      </c>
      <c r="M155" s="22">
        <v>25</v>
      </c>
    </row>
    <row r="156" spans="1:13" ht="15.75" x14ac:dyDescent="0.3">
      <c r="A156" s="22" t="s">
        <v>49</v>
      </c>
      <c r="B156" s="22" t="s">
        <v>33</v>
      </c>
      <c r="C156" s="22" t="s">
        <v>1907</v>
      </c>
      <c r="D156" s="2"/>
      <c r="E156" s="2"/>
      <c r="F156" s="23" t="s">
        <v>3038</v>
      </c>
      <c r="G156" s="22">
        <v>33</v>
      </c>
      <c r="H156" s="2"/>
      <c r="I156" s="2"/>
      <c r="J156" s="22" t="str">
        <f t="shared" si="53"/>
        <v>3#3#183|3#4#366|3#5#183|3#6#366|3#7#183|3#8#366</v>
      </c>
      <c r="K156" s="22" t="str">
        <f t="shared" si="54"/>
        <v>暴击几率15%</v>
      </c>
      <c r="L156" s="33" t="str">
        <f t="shared" si="56"/>
        <v>神品升星石7/元宝142000</v>
      </c>
      <c r="M156" s="22">
        <v>20</v>
      </c>
    </row>
    <row r="157" spans="1:13" ht="15.75" x14ac:dyDescent="0.3">
      <c r="A157" s="22" t="s">
        <v>49</v>
      </c>
      <c r="B157" s="22" t="s">
        <v>33</v>
      </c>
      <c r="C157" s="22" t="s">
        <v>1907</v>
      </c>
      <c r="D157" s="2"/>
      <c r="E157" s="2"/>
      <c r="F157" s="23" t="s">
        <v>3039</v>
      </c>
      <c r="G157" s="22">
        <v>34</v>
      </c>
      <c r="H157" s="2"/>
      <c r="I157" s="2"/>
      <c r="J157" s="22" t="str">
        <f t="shared" si="53"/>
        <v>3#3#188|3#4#377|3#5#188|3#6#377|3#7#188|3#8#377</v>
      </c>
      <c r="K157" s="22" t="str">
        <f t="shared" si="54"/>
        <v>暴击几率16%</v>
      </c>
      <c r="L157" s="33" t="str">
        <f t="shared" si="56"/>
        <v>神品升星石7/元宝148000</v>
      </c>
      <c r="M157" s="22">
        <v>15</v>
      </c>
    </row>
    <row r="158" spans="1:13" ht="15.75" x14ac:dyDescent="0.3">
      <c r="A158" s="22" t="s">
        <v>49</v>
      </c>
      <c r="B158" s="22" t="s">
        <v>33</v>
      </c>
      <c r="C158" s="22" t="s">
        <v>1907</v>
      </c>
      <c r="D158" s="2"/>
      <c r="E158" s="2"/>
      <c r="F158" s="23" t="s">
        <v>3040</v>
      </c>
      <c r="G158" s="22">
        <v>35</v>
      </c>
      <c r="H158" s="2"/>
      <c r="I158" s="2"/>
      <c r="J158" s="22" t="str">
        <f t="shared" si="53"/>
        <v>3#3#194|3#4#388|3#5#194|3#6#388|3#7#194|3#8#388</v>
      </c>
      <c r="K158" s="22" t="str">
        <f t="shared" si="54"/>
        <v>暴击几率17%</v>
      </c>
      <c r="L158" s="33" t="str">
        <f t="shared" si="56"/>
        <v>神品升星石7/元宝148000</v>
      </c>
      <c r="M158" s="22">
        <v>10</v>
      </c>
    </row>
    <row r="159" spans="1:13" ht="15.75" x14ac:dyDescent="0.3">
      <c r="A159" s="22" t="s">
        <v>49</v>
      </c>
      <c r="B159" s="22" t="s">
        <v>33</v>
      </c>
      <c r="C159" s="22" t="s">
        <v>1907</v>
      </c>
      <c r="D159" s="2"/>
      <c r="E159" s="2"/>
      <c r="F159" s="23" t="s">
        <v>3041</v>
      </c>
      <c r="G159" s="22">
        <v>36</v>
      </c>
      <c r="H159" s="2"/>
      <c r="I159" s="2"/>
      <c r="J159" s="22" t="str">
        <f t="shared" si="53"/>
        <v>3#3#200|3#4#400|3#5#200|3#6#400|3#7#200|3#8#400</v>
      </c>
      <c r="K159" s="22" t="str">
        <f t="shared" si="54"/>
        <v>暴击几率18%</v>
      </c>
      <c r="L159" s="2"/>
      <c r="M159" s="22"/>
    </row>
    <row r="160" spans="1:13" ht="15.75" x14ac:dyDescent="0.3">
      <c r="A160" s="22" t="s">
        <v>49</v>
      </c>
      <c r="B160" s="22" t="s">
        <v>33</v>
      </c>
      <c r="C160" s="22" t="s">
        <v>1907</v>
      </c>
      <c r="D160" s="2"/>
      <c r="E160" s="2"/>
      <c r="F160" s="23" t="s">
        <v>3042</v>
      </c>
      <c r="G160" s="22">
        <v>37</v>
      </c>
      <c r="H160" s="2"/>
      <c r="I160" s="2"/>
      <c r="J160" s="22"/>
      <c r="K160" s="22"/>
      <c r="L160" s="2"/>
      <c r="M160" s="22"/>
    </row>
    <row r="161" spans="1:13" ht="15.75" x14ac:dyDescent="0.3">
      <c r="A161" s="22" t="s">
        <v>49</v>
      </c>
      <c r="B161" s="22" t="s">
        <v>33</v>
      </c>
      <c r="C161" s="22" t="s">
        <v>1907</v>
      </c>
      <c r="D161" s="2"/>
      <c r="E161" s="2"/>
      <c r="F161" s="23" t="s">
        <v>3043</v>
      </c>
      <c r="G161" s="22">
        <v>38</v>
      </c>
      <c r="H161" s="2"/>
      <c r="I161" s="2"/>
      <c r="J161" s="22"/>
      <c r="K161" s="22"/>
      <c r="L161" s="2"/>
      <c r="M161" s="22"/>
    </row>
    <row r="162" spans="1:13" ht="15.75" x14ac:dyDescent="0.3">
      <c r="A162" s="22" t="s">
        <v>49</v>
      </c>
      <c r="B162" s="22" t="s">
        <v>33</v>
      </c>
      <c r="C162" s="22" t="s">
        <v>1907</v>
      </c>
      <c r="D162" s="2"/>
      <c r="E162" s="2"/>
      <c r="F162" s="23" t="s">
        <v>3044</v>
      </c>
      <c r="G162" s="22">
        <v>39</v>
      </c>
      <c r="H162" s="2"/>
      <c r="I162" s="2"/>
      <c r="J162" s="22"/>
      <c r="K162" s="22"/>
      <c r="L162" s="2"/>
      <c r="M162" s="22"/>
    </row>
    <row r="163" spans="1:13" ht="15.75" x14ac:dyDescent="0.3">
      <c r="A163" s="22" t="s">
        <v>49</v>
      </c>
      <c r="B163" s="22" t="s">
        <v>33</v>
      </c>
      <c r="C163" s="22" t="s">
        <v>1906</v>
      </c>
      <c r="D163" s="22"/>
      <c r="E163" s="22"/>
      <c r="F163" s="23" t="s">
        <v>3005</v>
      </c>
      <c r="G163" s="22">
        <v>0</v>
      </c>
      <c r="H163" s="32"/>
      <c r="I163" s="22"/>
      <c r="J163" s="22"/>
      <c r="K163" s="22"/>
      <c r="L163" s="33" t="str">
        <f>"凡品升星石"&amp;X4&amp;"/元宝"&amp;Y4</f>
        <v>凡品升星石16/元宝32000</v>
      </c>
      <c r="M163" s="22">
        <v>100</v>
      </c>
    </row>
    <row r="164" spans="1:13" ht="15.75" x14ac:dyDescent="0.3">
      <c r="A164" s="22" t="s">
        <v>49</v>
      </c>
      <c r="B164" s="22" t="s">
        <v>33</v>
      </c>
      <c r="C164" s="22" t="s">
        <v>1906</v>
      </c>
      <c r="D164" s="22"/>
      <c r="E164" s="22"/>
      <c r="F164" s="23" t="s">
        <v>3006</v>
      </c>
      <c r="G164" s="22">
        <v>1</v>
      </c>
      <c r="H164" s="32"/>
      <c r="I164" s="22"/>
      <c r="J16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64" s="22"/>
      <c r="L164" s="33" t="str">
        <f t="shared" ref="L164:L174" si="57">"凡品升星石"&amp;X5&amp;"/元宝"&amp;Y5</f>
        <v>凡品升星石16/元宝32000</v>
      </c>
      <c r="M164" s="22">
        <v>100</v>
      </c>
    </row>
    <row r="165" spans="1:13" ht="15.75" x14ac:dyDescent="0.3">
      <c r="A165" s="22" t="s">
        <v>49</v>
      </c>
      <c r="B165" s="22" t="s">
        <v>33</v>
      </c>
      <c r="C165" s="22" t="s">
        <v>1906</v>
      </c>
      <c r="D165" s="2"/>
      <c r="E165" s="2"/>
      <c r="F165" s="23" t="s">
        <v>3007</v>
      </c>
      <c r="G165" s="22">
        <v>2</v>
      </c>
      <c r="H165" s="2"/>
      <c r="I165" s="2"/>
      <c r="J165" s="22" t="str">
        <f t="shared" ref="J165:J199" si="58">"3#3#"&amp;INT(0.5*S5)&amp;"|"&amp;"3#4#"&amp;S5&amp;"|"&amp;"3#5#"&amp;INT(0.5*S5)&amp;"|"&amp;"3#6#"&amp;S5&amp;"|"&amp;"3#7#"&amp;INT(0.5*S5)&amp;"|"&amp;"3#8#"&amp;S5</f>
        <v>3#3#5|3#4#11|3#5#5|3#6#11|3#7#5|3#8#11</v>
      </c>
      <c r="K165" s="22"/>
      <c r="L165" s="33" t="str">
        <f t="shared" si="57"/>
        <v>凡品升星石19/元宝38000</v>
      </c>
      <c r="M165" s="22">
        <v>100</v>
      </c>
    </row>
    <row r="166" spans="1:13" ht="15.75" x14ac:dyDescent="0.3">
      <c r="A166" s="22" t="s">
        <v>49</v>
      </c>
      <c r="B166" s="22" t="s">
        <v>33</v>
      </c>
      <c r="C166" s="22" t="s">
        <v>1906</v>
      </c>
      <c r="D166" s="2"/>
      <c r="E166" s="2"/>
      <c r="F166" s="23" t="s">
        <v>3008</v>
      </c>
      <c r="G166" s="22">
        <v>3</v>
      </c>
      <c r="H166" s="2"/>
      <c r="I166" s="2"/>
      <c r="J166" s="22" t="str">
        <f t="shared" si="58"/>
        <v>3#3#8|3#4#16|3#5#8|3#6#16|3#7#8|3#8#16</v>
      </c>
      <c r="K166" s="22"/>
      <c r="L166" s="33" t="str">
        <f t="shared" si="57"/>
        <v>凡品升星石19/元宝38000</v>
      </c>
      <c r="M166" s="22">
        <v>90</v>
      </c>
    </row>
    <row r="167" spans="1:13" ht="15.75" x14ac:dyDescent="0.3">
      <c r="A167" s="22" t="s">
        <v>49</v>
      </c>
      <c r="B167" s="22" t="s">
        <v>33</v>
      </c>
      <c r="C167" s="22" t="s">
        <v>1906</v>
      </c>
      <c r="D167" s="2"/>
      <c r="E167" s="2"/>
      <c r="F167" s="23" t="s">
        <v>3009</v>
      </c>
      <c r="G167" s="22">
        <v>4</v>
      </c>
      <c r="H167" s="2"/>
      <c r="I167" s="2"/>
      <c r="J167" s="22" t="str">
        <f t="shared" si="58"/>
        <v>3#3#11|3#4#22|3#5#11|3#6#22|3#7#11|3#8#22</v>
      </c>
      <c r="K167" s="22"/>
      <c r="L167" s="33" t="str">
        <f t="shared" si="57"/>
        <v>凡品升星石22/元宝44000</v>
      </c>
      <c r="M167" s="22">
        <v>80</v>
      </c>
    </row>
    <row r="168" spans="1:13" ht="15.75" x14ac:dyDescent="0.3">
      <c r="A168" s="22" t="s">
        <v>49</v>
      </c>
      <c r="B168" s="22" t="s">
        <v>33</v>
      </c>
      <c r="C168" s="22" t="s">
        <v>1906</v>
      </c>
      <c r="D168" s="2"/>
      <c r="E168" s="2"/>
      <c r="F168" s="23" t="s">
        <v>3010</v>
      </c>
      <c r="G168" s="22">
        <v>5</v>
      </c>
      <c r="H168" s="2"/>
      <c r="I168" s="2"/>
      <c r="J168" s="22" t="str">
        <f t="shared" si="58"/>
        <v>3#3#16|3#4#33|3#5#16|3#6#33|3#7#16|3#8#33</v>
      </c>
      <c r="K168" s="22"/>
      <c r="L168" s="33" t="str">
        <f t="shared" si="57"/>
        <v>凡品升星石22/元宝44000</v>
      </c>
      <c r="M168" s="22">
        <v>70</v>
      </c>
    </row>
    <row r="169" spans="1:13" ht="15.75" x14ac:dyDescent="0.3">
      <c r="A169" s="22" t="s">
        <v>49</v>
      </c>
      <c r="B169" s="22" t="s">
        <v>33</v>
      </c>
      <c r="C169" s="22" t="s">
        <v>1906</v>
      </c>
      <c r="D169" s="2"/>
      <c r="E169" s="2"/>
      <c r="F169" s="23" t="s">
        <v>3011</v>
      </c>
      <c r="G169" s="22">
        <v>6</v>
      </c>
      <c r="H169" s="2"/>
      <c r="I169" s="2"/>
      <c r="J169" s="22" t="str">
        <f t="shared" si="58"/>
        <v>3#3#19|3#4#39|3#5#19|3#6#39|3#7#19|3#8#39</v>
      </c>
      <c r="K169" s="22"/>
      <c r="L169" s="33" t="str">
        <f t="shared" si="57"/>
        <v>凡品升星石26/元宝52000</v>
      </c>
      <c r="M169" s="22">
        <v>60</v>
      </c>
    </row>
    <row r="170" spans="1:13" ht="15.75" x14ac:dyDescent="0.3">
      <c r="A170" s="22" t="s">
        <v>49</v>
      </c>
      <c r="B170" s="22" t="s">
        <v>33</v>
      </c>
      <c r="C170" s="22" t="s">
        <v>1906</v>
      </c>
      <c r="D170" s="2"/>
      <c r="E170" s="2"/>
      <c r="F170" s="23" t="s">
        <v>3012</v>
      </c>
      <c r="G170" s="22">
        <v>7</v>
      </c>
      <c r="H170" s="2"/>
      <c r="I170" s="2"/>
      <c r="J170" s="22" t="str">
        <f t="shared" si="58"/>
        <v>3#3#23|3#4#46|3#5#23|3#6#46|3#7#23|3#8#46</v>
      </c>
      <c r="K170" s="22" t="str">
        <f>$AF$4&amp;AF11&amp;"%"</f>
        <v>防御加成%1%</v>
      </c>
      <c r="L170" s="33" t="str">
        <f t="shared" si="57"/>
        <v>凡品升星石26/元宝52000</v>
      </c>
      <c r="M170" s="22">
        <v>50</v>
      </c>
    </row>
    <row r="171" spans="1:13" ht="15.75" x14ac:dyDescent="0.3">
      <c r="A171" s="22" t="s">
        <v>49</v>
      </c>
      <c r="B171" s="22" t="s">
        <v>33</v>
      </c>
      <c r="C171" s="22" t="s">
        <v>1906</v>
      </c>
      <c r="D171" s="2"/>
      <c r="E171" s="2"/>
      <c r="F171" s="23" t="s">
        <v>3013</v>
      </c>
      <c r="G171" s="22">
        <v>8</v>
      </c>
      <c r="H171" s="2"/>
      <c r="I171" s="2"/>
      <c r="J171" s="22" t="str">
        <f t="shared" si="58"/>
        <v>3#3#26|3#4#52|3#5#26|3#6#52|3#7#26|3#8#52</v>
      </c>
      <c r="K171" s="22" t="str">
        <f t="shared" ref="K171:K199" si="59">$AF$4&amp;AF12&amp;"%"</f>
        <v>防御加成%2%</v>
      </c>
      <c r="L171" s="33" t="str">
        <f t="shared" si="57"/>
        <v>凡品升星石32/元宝64000</v>
      </c>
      <c r="M171" s="22">
        <v>40</v>
      </c>
    </row>
    <row r="172" spans="1:13" ht="15.75" x14ac:dyDescent="0.3">
      <c r="A172" s="22" t="s">
        <v>49</v>
      </c>
      <c r="B172" s="22" t="s">
        <v>33</v>
      </c>
      <c r="C172" s="22" t="s">
        <v>1906</v>
      </c>
      <c r="D172" s="2"/>
      <c r="E172" s="2"/>
      <c r="F172" s="23" t="s">
        <v>3014</v>
      </c>
      <c r="G172" s="22">
        <v>9</v>
      </c>
      <c r="H172" s="2"/>
      <c r="I172" s="2"/>
      <c r="J172" s="22" t="str">
        <f t="shared" si="58"/>
        <v>3#3#35|3#4#70|3#5#35|3#6#70|3#7#35|3#8#70</v>
      </c>
      <c r="K172" s="22" t="str">
        <f t="shared" si="59"/>
        <v>防御加成%3%</v>
      </c>
      <c r="L172" s="33" t="str">
        <f t="shared" si="57"/>
        <v>凡品升星石32/元宝64000</v>
      </c>
      <c r="M172" s="22">
        <v>30</v>
      </c>
    </row>
    <row r="173" spans="1:13" ht="15.75" x14ac:dyDescent="0.3">
      <c r="A173" s="22" t="s">
        <v>49</v>
      </c>
      <c r="B173" s="22" t="s">
        <v>33</v>
      </c>
      <c r="C173" s="22" t="s">
        <v>1906</v>
      </c>
      <c r="D173" s="2"/>
      <c r="E173" s="2"/>
      <c r="F173" s="23" t="s">
        <v>3015</v>
      </c>
      <c r="G173" s="22">
        <v>10</v>
      </c>
      <c r="H173" s="2"/>
      <c r="I173" s="2"/>
      <c r="J173" s="22" t="str">
        <f t="shared" si="58"/>
        <v>3#3#38|3#4#77|3#5#38|3#6#77|3#7#38|3#8#77</v>
      </c>
      <c r="K173" s="22" t="str">
        <f t="shared" si="59"/>
        <v>防御加成%3%</v>
      </c>
      <c r="L173" s="33" t="str">
        <f t="shared" si="57"/>
        <v>凡品升星石37/元宝74000</v>
      </c>
      <c r="M173" s="22">
        <v>20</v>
      </c>
    </row>
    <row r="174" spans="1:13" ht="15.75" x14ac:dyDescent="0.3">
      <c r="A174" s="22" t="s">
        <v>49</v>
      </c>
      <c r="B174" s="22" t="s">
        <v>33</v>
      </c>
      <c r="C174" s="22" t="s">
        <v>1906</v>
      </c>
      <c r="D174" s="2"/>
      <c r="E174" s="2"/>
      <c r="F174" s="23" t="s">
        <v>3016</v>
      </c>
      <c r="G174" s="22">
        <v>11</v>
      </c>
      <c r="H174" s="2"/>
      <c r="I174" s="2"/>
      <c r="J174" s="22" t="str">
        <f t="shared" si="58"/>
        <v>3#3#42|3#4#85|3#5#42|3#6#85|3#7#42|3#8#85</v>
      </c>
      <c r="K174" s="22" t="str">
        <f t="shared" si="59"/>
        <v>防御加成%4%</v>
      </c>
      <c r="L174" s="33" t="str">
        <f t="shared" si="57"/>
        <v>凡品升星石37/元宝74000</v>
      </c>
      <c r="M174" s="22">
        <v>15</v>
      </c>
    </row>
    <row r="175" spans="1:13" ht="15.75" x14ac:dyDescent="0.3">
      <c r="A175" s="22" t="s">
        <v>49</v>
      </c>
      <c r="B175" s="22" t="s">
        <v>33</v>
      </c>
      <c r="C175" s="22" t="s">
        <v>1906</v>
      </c>
      <c r="D175" s="2"/>
      <c r="E175" s="2"/>
      <c r="F175" s="23" t="s">
        <v>3017</v>
      </c>
      <c r="G175" s="22">
        <v>12</v>
      </c>
      <c r="H175" s="2"/>
      <c r="I175" s="2"/>
      <c r="J175" s="22" t="str">
        <f t="shared" si="58"/>
        <v>3#3#46|3#4#93|3#5#46|3#6#93|3#7#46|3#8#93</v>
      </c>
      <c r="K175" s="22" t="str">
        <f t="shared" si="59"/>
        <v>防御加成%4%</v>
      </c>
      <c r="L175" s="33" t="str">
        <f>"仙品升星石"&amp;INT(X16/2)&amp;"/元宝"&amp;Y16</f>
        <v>仙品升星石19/元宝78000</v>
      </c>
      <c r="M175" s="22">
        <v>100</v>
      </c>
    </row>
    <row r="176" spans="1:13" ht="15.75" x14ac:dyDescent="0.3">
      <c r="A176" s="22" t="s">
        <v>49</v>
      </c>
      <c r="B176" s="22" t="s">
        <v>33</v>
      </c>
      <c r="C176" s="22" t="s">
        <v>1906</v>
      </c>
      <c r="D176" s="2"/>
      <c r="E176" s="2"/>
      <c r="F176" s="23" t="s">
        <v>3018</v>
      </c>
      <c r="G176" s="22">
        <v>13</v>
      </c>
      <c r="H176" s="2"/>
      <c r="I176" s="2"/>
      <c r="J176" s="22" t="str">
        <f t="shared" si="58"/>
        <v>3#3#54|3#4#108|3#5#54|3#6#108|3#7#54|3#8#108</v>
      </c>
      <c r="K176" s="22" t="str">
        <f t="shared" si="59"/>
        <v>防御加成%5%</v>
      </c>
      <c r="L176" s="33" t="str">
        <f t="shared" ref="L176:L186" si="60">"仙品升星石"&amp;INT(X17/2)&amp;"/元宝"&amp;Y17</f>
        <v>仙品升星石19/元宝78000</v>
      </c>
      <c r="M176" s="22">
        <v>100</v>
      </c>
    </row>
    <row r="177" spans="1:13" ht="15.75" x14ac:dyDescent="0.3">
      <c r="A177" s="22" t="s">
        <v>49</v>
      </c>
      <c r="B177" s="22" t="s">
        <v>33</v>
      </c>
      <c r="C177" s="22" t="s">
        <v>1906</v>
      </c>
      <c r="D177" s="2"/>
      <c r="E177" s="2"/>
      <c r="F177" s="23" t="s">
        <v>3019</v>
      </c>
      <c r="G177" s="22">
        <v>14</v>
      </c>
      <c r="H177" s="2"/>
      <c r="I177" s="2"/>
      <c r="J177" s="22" t="str">
        <f t="shared" si="58"/>
        <v>3#3#58|3#4#116|3#5#58|3#6#116|3#7#58|3#8#116</v>
      </c>
      <c r="K177" s="22" t="str">
        <f t="shared" si="59"/>
        <v>防御加成%5%</v>
      </c>
      <c r="L177" s="33" t="str">
        <f t="shared" si="60"/>
        <v>仙品升星石21/元宝84000</v>
      </c>
      <c r="M177" s="22">
        <v>100</v>
      </c>
    </row>
    <row r="178" spans="1:13" ht="15.75" x14ac:dyDescent="0.3">
      <c r="A178" s="22" t="s">
        <v>49</v>
      </c>
      <c r="B178" s="22" t="s">
        <v>33</v>
      </c>
      <c r="C178" s="22" t="s">
        <v>1906</v>
      </c>
      <c r="D178" s="2"/>
      <c r="E178" s="2"/>
      <c r="F178" s="23" t="s">
        <v>3020</v>
      </c>
      <c r="G178" s="22">
        <v>15</v>
      </c>
      <c r="H178" s="2"/>
      <c r="I178" s="2"/>
      <c r="J178" s="22" t="str">
        <f t="shared" si="58"/>
        <v>3#3#62|3#4#124|3#5#62|3#6#124|3#7#62|3#8#124</v>
      </c>
      <c r="K178" s="22" t="str">
        <f t="shared" si="59"/>
        <v>防御加成%6%</v>
      </c>
      <c r="L178" s="33" t="str">
        <f t="shared" si="60"/>
        <v>仙品升星石21/元宝84000</v>
      </c>
      <c r="M178" s="22">
        <v>70</v>
      </c>
    </row>
    <row r="179" spans="1:13" ht="15.75" x14ac:dyDescent="0.3">
      <c r="A179" s="22" t="s">
        <v>49</v>
      </c>
      <c r="B179" s="22" t="s">
        <v>33</v>
      </c>
      <c r="C179" s="22" t="s">
        <v>1906</v>
      </c>
      <c r="D179" s="2"/>
      <c r="E179" s="2"/>
      <c r="F179" s="23" t="s">
        <v>3021</v>
      </c>
      <c r="G179" s="22">
        <v>16</v>
      </c>
      <c r="H179" s="2"/>
      <c r="I179" s="2"/>
      <c r="J179" s="22" t="str">
        <f t="shared" si="58"/>
        <v>3#3#66|3#4#132|3#5#66|3#6#132|3#7#66|3#8#132</v>
      </c>
      <c r="K179" s="22" t="str">
        <f t="shared" si="59"/>
        <v>防御加成%6%</v>
      </c>
      <c r="L179" s="33" t="str">
        <f t="shared" si="60"/>
        <v>仙品升星石23/元宝92000</v>
      </c>
      <c r="M179" s="22">
        <v>60</v>
      </c>
    </row>
    <row r="180" spans="1:13" ht="15.75" x14ac:dyDescent="0.3">
      <c r="A180" s="22" t="s">
        <v>49</v>
      </c>
      <c r="B180" s="22" t="s">
        <v>33</v>
      </c>
      <c r="C180" s="22" t="s">
        <v>1906</v>
      </c>
      <c r="D180" s="2"/>
      <c r="E180" s="2"/>
      <c r="F180" s="23" t="s">
        <v>3022</v>
      </c>
      <c r="G180" s="22">
        <v>17</v>
      </c>
      <c r="H180" s="2"/>
      <c r="I180" s="2"/>
      <c r="J180" s="22" t="str">
        <f t="shared" si="58"/>
        <v>3#3#79|3#4#159|3#5#79|3#6#159|3#7#79|3#8#159</v>
      </c>
      <c r="K180" s="22" t="str">
        <f t="shared" si="59"/>
        <v>防御加成%7%</v>
      </c>
      <c r="L180" s="33" t="str">
        <f t="shared" si="60"/>
        <v>仙品升星石23/元宝92000</v>
      </c>
      <c r="M180" s="22">
        <v>50</v>
      </c>
    </row>
    <row r="181" spans="1:13" ht="15.75" x14ac:dyDescent="0.3">
      <c r="A181" s="22" t="s">
        <v>49</v>
      </c>
      <c r="B181" s="22" t="s">
        <v>33</v>
      </c>
      <c r="C181" s="22" t="s">
        <v>1906</v>
      </c>
      <c r="D181" s="2"/>
      <c r="E181" s="2"/>
      <c r="F181" s="23" t="s">
        <v>3023</v>
      </c>
      <c r="G181" s="22">
        <v>18</v>
      </c>
      <c r="H181" s="2"/>
      <c r="I181" s="2"/>
      <c r="J181" s="22" t="str">
        <f t="shared" si="58"/>
        <v>3#3#85|3#4#170|3#5#85|3#6#170|3#7#85|3#8#170</v>
      </c>
      <c r="K181" s="22" t="str">
        <f t="shared" si="59"/>
        <v>防御加成%7%</v>
      </c>
      <c r="L181" s="33" t="str">
        <f t="shared" si="60"/>
        <v>仙品升星石24/元宝98000</v>
      </c>
      <c r="M181" s="22">
        <v>40</v>
      </c>
    </row>
    <row r="182" spans="1:13" ht="15.75" x14ac:dyDescent="0.3">
      <c r="A182" s="22" t="s">
        <v>49</v>
      </c>
      <c r="B182" s="22" t="s">
        <v>33</v>
      </c>
      <c r="C182" s="22" t="s">
        <v>1906</v>
      </c>
      <c r="D182" s="2"/>
      <c r="E182" s="2"/>
      <c r="F182" s="23" t="s">
        <v>3024</v>
      </c>
      <c r="G182" s="22">
        <v>19</v>
      </c>
      <c r="H182" s="2"/>
      <c r="I182" s="2"/>
      <c r="J182" s="22" t="str">
        <f t="shared" si="58"/>
        <v>3#3#89|3#4#179|3#5#89|3#6#179|3#7#89|3#8#179</v>
      </c>
      <c r="K182" s="22" t="str">
        <f t="shared" si="59"/>
        <v>防御加成%8%</v>
      </c>
      <c r="L182" s="33" t="str">
        <f t="shared" si="60"/>
        <v>仙品升星石24/元宝98000</v>
      </c>
      <c r="M182" s="22">
        <v>30</v>
      </c>
    </row>
    <row r="183" spans="1:13" ht="15.75" x14ac:dyDescent="0.3">
      <c r="A183" s="22" t="s">
        <v>49</v>
      </c>
      <c r="B183" s="22" t="s">
        <v>33</v>
      </c>
      <c r="C183" s="22" t="s">
        <v>1906</v>
      </c>
      <c r="D183" s="2"/>
      <c r="E183" s="2"/>
      <c r="F183" s="23" t="s">
        <v>3025</v>
      </c>
      <c r="G183" s="22">
        <v>20</v>
      </c>
      <c r="H183" s="2"/>
      <c r="I183" s="2"/>
      <c r="J183" s="22" t="str">
        <f t="shared" si="58"/>
        <v>3#3#94|3#4#188|3#5#94|3#6#188|3#7#94|3#8#188</v>
      </c>
      <c r="K183" s="22" t="str">
        <f t="shared" si="59"/>
        <v>防御加成%8%</v>
      </c>
      <c r="L183" s="33" t="str">
        <f t="shared" si="60"/>
        <v>仙品升星石26/元宝104000</v>
      </c>
      <c r="M183" s="22">
        <v>25</v>
      </c>
    </row>
    <row r="184" spans="1:13" ht="15.75" x14ac:dyDescent="0.3">
      <c r="A184" s="22" t="s">
        <v>49</v>
      </c>
      <c r="B184" s="22" t="s">
        <v>33</v>
      </c>
      <c r="C184" s="22" t="s">
        <v>1906</v>
      </c>
      <c r="D184" s="2"/>
      <c r="E184" s="2"/>
      <c r="F184" s="23" t="s">
        <v>3026</v>
      </c>
      <c r="G184" s="22">
        <v>21</v>
      </c>
      <c r="H184" s="2"/>
      <c r="I184" s="2"/>
      <c r="J184" s="22" t="str">
        <f t="shared" si="58"/>
        <v>3#3#110|3#4#221|3#5#110|3#6#221|3#7#110|3#8#221</v>
      </c>
      <c r="K184" s="22" t="str">
        <f t="shared" si="59"/>
        <v>防御加成%9%</v>
      </c>
      <c r="L184" s="33" t="str">
        <f t="shared" si="60"/>
        <v>仙品升星石26/元宝104000</v>
      </c>
      <c r="M184" s="22">
        <v>20</v>
      </c>
    </row>
    <row r="185" spans="1:13" ht="15.75" x14ac:dyDescent="0.3">
      <c r="A185" s="22" t="s">
        <v>49</v>
      </c>
      <c r="B185" s="22" t="s">
        <v>33</v>
      </c>
      <c r="C185" s="22" t="s">
        <v>1906</v>
      </c>
      <c r="D185" s="2"/>
      <c r="E185" s="2"/>
      <c r="F185" s="23" t="s">
        <v>3027</v>
      </c>
      <c r="G185" s="22">
        <v>22</v>
      </c>
      <c r="H185" s="2"/>
      <c r="I185" s="2"/>
      <c r="J185" s="22" t="str">
        <f t="shared" si="58"/>
        <v>3#3#115|3#4#231|3#5#115|3#6#231|3#7#115|3#8#231</v>
      </c>
      <c r="K185" s="22" t="str">
        <f t="shared" si="59"/>
        <v>防御加成%9%</v>
      </c>
      <c r="L185" s="33" t="str">
        <f t="shared" si="60"/>
        <v>仙品升星石27/元宝110000</v>
      </c>
      <c r="M185" s="22">
        <v>15</v>
      </c>
    </row>
    <row r="186" spans="1:13" ht="15.75" x14ac:dyDescent="0.3">
      <c r="A186" s="22" t="s">
        <v>49</v>
      </c>
      <c r="B186" s="22" t="s">
        <v>33</v>
      </c>
      <c r="C186" s="22" t="s">
        <v>1906</v>
      </c>
      <c r="D186" s="2"/>
      <c r="E186" s="2"/>
      <c r="F186" s="23" t="s">
        <v>3028</v>
      </c>
      <c r="G186" s="22">
        <v>23</v>
      </c>
      <c r="H186" s="2"/>
      <c r="I186" s="2"/>
      <c r="J186" s="22" t="str">
        <f t="shared" si="58"/>
        <v>3#3#121|3#4#242|3#5#121|3#6#242|3#7#121|3#8#242</v>
      </c>
      <c r="K186" s="22" t="str">
        <f t="shared" si="59"/>
        <v>防御加成%10%</v>
      </c>
      <c r="L186" s="33" t="str">
        <f t="shared" si="60"/>
        <v>仙品升星石27/元宝110000</v>
      </c>
      <c r="M186" s="22">
        <v>10</v>
      </c>
    </row>
    <row r="187" spans="1:13" ht="15.75" x14ac:dyDescent="0.3">
      <c r="A187" s="22" t="s">
        <v>49</v>
      </c>
      <c r="B187" s="22" t="s">
        <v>33</v>
      </c>
      <c r="C187" s="22" t="s">
        <v>1906</v>
      </c>
      <c r="D187" s="2"/>
      <c r="E187" s="2"/>
      <c r="F187" s="23" t="s">
        <v>3029</v>
      </c>
      <c r="G187" s="22">
        <v>24</v>
      </c>
      <c r="H187" s="2"/>
      <c r="I187" s="2"/>
      <c r="J187" s="22" t="str">
        <f t="shared" si="58"/>
        <v>3#3#126|3#4#252|3#5#126|3#6#252|3#7#126|3#8#252</v>
      </c>
      <c r="K187" s="22" t="str">
        <f t="shared" si="59"/>
        <v>防御加成%10%</v>
      </c>
      <c r="L187" s="33" t="str">
        <f>"神品升星石"&amp;INT(X28/10)&amp;"/元宝"&amp;Y28</f>
        <v>神品升星石5/元宝116000</v>
      </c>
      <c r="M187" s="22">
        <v>100</v>
      </c>
    </row>
    <row r="188" spans="1:13" ht="15.75" x14ac:dyDescent="0.3">
      <c r="A188" s="22" t="s">
        <v>49</v>
      </c>
      <c r="B188" s="22" t="s">
        <v>33</v>
      </c>
      <c r="C188" s="22" t="s">
        <v>1906</v>
      </c>
      <c r="D188" s="2"/>
      <c r="E188" s="2"/>
      <c r="F188" s="23" t="s">
        <v>3030</v>
      </c>
      <c r="G188" s="22">
        <v>25</v>
      </c>
      <c r="H188" s="2"/>
      <c r="I188" s="2"/>
      <c r="J188" s="22" t="str">
        <f t="shared" si="58"/>
        <v>3#3#138|3#4#277|3#5#138|3#6#277|3#7#138|3#8#277</v>
      </c>
      <c r="K188" s="22" t="str">
        <f t="shared" si="59"/>
        <v>防御加成%11%</v>
      </c>
      <c r="L188" s="33" t="str">
        <f t="shared" ref="L188:L198" si="61">"神品升星石"&amp;INT(X29/10)&amp;"/元宝"&amp;Y29</f>
        <v>神品升星石5/元宝116000</v>
      </c>
      <c r="M188" s="22">
        <v>100</v>
      </c>
    </row>
    <row r="189" spans="1:13" ht="15.75" x14ac:dyDescent="0.3">
      <c r="A189" s="22" t="s">
        <v>49</v>
      </c>
      <c r="B189" s="22" t="s">
        <v>33</v>
      </c>
      <c r="C189" s="22" t="s">
        <v>1906</v>
      </c>
      <c r="D189" s="2"/>
      <c r="E189" s="2"/>
      <c r="F189" s="23" t="s">
        <v>3031</v>
      </c>
      <c r="G189" s="22">
        <v>26</v>
      </c>
      <c r="H189" s="2"/>
      <c r="I189" s="2"/>
      <c r="J189" s="22" t="str">
        <f t="shared" si="58"/>
        <v>3#3#144|3#4#288|3#5#144|3#6#288|3#7#144|3#8#288</v>
      </c>
      <c r="K189" s="22" t="str">
        <f t="shared" si="59"/>
        <v>防御加成%11%</v>
      </c>
      <c r="L189" s="33" t="str">
        <f t="shared" si="61"/>
        <v>神品升星石6/元宝122000</v>
      </c>
      <c r="M189" s="22">
        <v>100</v>
      </c>
    </row>
    <row r="190" spans="1:13" ht="15.75" x14ac:dyDescent="0.3">
      <c r="A190" s="22" t="s">
        <v>49</v>
      </c>
      <c r="B190" s="22" t="s">
        <v>33</v>
      </c>
      <c r="C190" s="22" t="s">
        <v>1906</v>
      </c>
      <c r="D190" s="2"/>
      <c r="E190" s="2"/>
      <c r="F190" s="23" t="s">
        <v>3032</v>
      </c>
      <c r="G190" s="22">
        <v>27</v>
      </c>
      <c r="H190" s="2"/>
      <c r="I190" s="2"/>
      <c r="J190" s="22" t="str">
        <f t="shared" si="58"/>
        <v>3#3#150|3#4#300|3#5#150|3#6#300|3#7#150|3#8#300</v>
      </c>
      <c r="K190" s="22" t="str">
        <f t="shared" si="59"/>
        <v>防御加成%12%</v>
      </c>
      <c r="L190" s="33" t="str">
        <f t="shared" si="61"/>
        <v>神品升星石6/元宝122000</v>
      </c>
      <c r="M190" s="22">
        <v>70</v>
      </c>
    </row>
    <row r="191" spans="1:13" ht="15.75" x14ac:dyDescent="0.3">
      <c r="A191" s="22" t="s">
        <v>49</v>
      </c>
      <c r="B191" s="22" t="s">
        <v>33</v>
      </c>
      <c r="C191" s="22" t="s">
        <v>1906</v>
      </c>
      <c r="D191" s="2"/>
      <c r="E191" s="2"/>
      <c r="F191" s="23" t="s">
        <v>3033</v>
      </c>
      <c r="G191" s="22">
        <v>28</v>
      </c>
      <c r="H191" s="2"/>
      <c r="I191" s="2"/>
      <c r="J191" s="22" t="str">
        <f t="shared" si="58"/>
        <v>3#3#155|3#4#311|3#5#155|3#6#311|3#7#155|3#8#311</v>
      </c>
      <c r="K191" s="22" t="str">
        <f t="shared" si="59"/>
        <v>防御加成%12%</v>
      </c>
      <c r="L191" s="33" t="str">
        <f t="shared" si="61"/>
        <v>神品升星石6/元宝130000</v>
      </c>
      <c r="M191" s="22">
        <v>60</v>
      </c>
    </row>
    <row r="192" spans="1:13" ht="15.75" x14ac:dyDescent="0.3">
      <c r="A192" s="22" t="s">
        <v>49</v>
      </c>
      <c r="B192" s="22" t="s">
        <v>33</v>
      </c>
      <c r="C192" s="22" t="s">
        <v>1906</v>
      </c>
      <c r="D192" s="2"/>
      <c r="E192" s="2"/>
      <c r="F192" s="23" t="s">
        <v>3034</v>
      </c>
      <c r="G192" s="22">
        <v>29</v>
      </c>
      <c r="H192" s="2"/>
      <c r="I192" s="2"/>
      <c r="J192" s="22" t="str">
        <f t="shared" si="58"/>
        <v>3#3#161|3#4#322|3#5#161|3#6#322|3#7#161|3#8#322</v>
      </c>
      <c r="K192" s="22" t="str">
        <f t="shared" si="59"/>
        <v>防御加成%13%</v>
      </c>
      <c r="L192" s="33" t="str">
        <f t="shared" si="61"/>
        <v>神品升星石6/元宝130000</v>
      </c>
      <c r="M192" s="22">
        <v>50</v>
      </c>
    </row>
    <row r="193" spans="1:13" ht="15.75" x14ac:dyDescent="0.3">
      <c r="A193" s="22" t="s">
        <v>49</v>
      </c>
      <c r="B193" s="22" t="s">
        <v>33</v>
      </c>
      <c r="C193" s="22" t="s">
        <v>1906</v>
      </c>
      <c r="D193" s="2"/>
      <c r="E193" s="2"/>
      <c r="F193" s="23" t="s">
        <v>3035</v>
      </c>
      <c r="G193" s="22">
        <v>30</v>
      </c>
      <c r="H193" s="2"/>
      <c r="I193" s="2"/>
      <c r="J193" s="22" t="str">
        <f t="shared" si="58"/>
        <v>3#3#166|3#4#333|3#5#166|3#6#333|3#7#166|3#8#333</v>
      </c>
      <c r="K193" s="22" t="str">
        <f t="shared" si="59"/>
        <v>防御加成%13%</v>
      </c>
      <c r="L193" s="33" t="str">
        <f t="shared" si="61"/>
        <v>神品升星石6/元宝136000</v>
      </c>
      <c r="M193" s="22">
        <v>40</v>
      </c>
    </row>
    <row r="194" spans="1:13" ht="15.75" x14ac:dyDescent="0.3">
      <c r="A194" s="22" t="s">
        <v>49</v>
      </c>
      <c r="B194" s="22" t="s">
        <v>33</v>
      </c>
      <c r="C194" s="22" t="s">
        <v>1906</v>
      </c>
      <c r="D194" s="2"/>
      <c r="E194" s="2"/>
      <c r="F194" s="23" t="s">
        <v>3036</v>
      </c>
      <c r="G194" s="22">
        <v>31</v>
      </c>
      <c r="H194" s="2"/>
      <c r="I194" s="2"/>
      <c r="J194" s="22" t="str">
        <f t="shared" si="58"/>
        <v>3#3#172|3#4#344|3#5#172|3#6#344|3#7#172|3#8#344</v>
      </c>
      <c r="K194" s="22" t="str">
        <f t="shared" si="59"/>
        <v>防御加成%14%</v>
      </c>
      <c r="L194" s="33" t="str">
        <f t="shared" si="61"/>
        <v>神品升星石6/元宝136000</v>
      </c>
      <c r="M194" s="22">
        <v>30</v>
      </c>
    </row>
    <row r="195" spans="1:13" ht="15.75" x14ac:dyDescent="0.3">
      <c r="A195" s="22" t="s">
        <v>49</v>
      </c>
      <c r="B195" s="22" t="s">
        <v>33</v>
      </c>
      <c r="C195" s="22" t="s">
        <v>1906</v>
      </c>
      <c r="D195" s="2"/>
      <c r="E195" s="2"/>
      <c r="F195" s="23" t="s">
        <v>3037</v>
      </c>
      <c r="G195" s="22">
        <v>32</v>
      </c>
      <c r="H195" s="2"/>
      <c r="I195" s="2"/>
      <c r="J195" s="22" t="str">
        <f t="shared" si="58"/>
        <v>3#3#177|3#4#355|3#5#177|3#6#355|3#7#177|3#8#355</v>
      </c>
      <c r="K195" s="22" t="str">
        <f t="shared" si="59"/>
        <v>防御加成%14%</v>
      </c>
      <c r="L195" s="33" t="str">
        <f t="shared" si="61"/>
        <v>神品升星石7/元宝142000</v>
      </c>
      <c r="M195" s="22">
        <v>25</v>
      </c>
    </row>
    <row r="196" spans="1:13" ht="15.75" x14ac:dyDescent="0.3">
      <c r="A196" s="22" t="s">
        <v>49</v>
      </c>
      <c r="B196" s="22" t="s">
        <v>33</v>
      </c>
      <c r="C196" s="22" t="s">
        <v>1906</v>
      </c>
      <c r="D196" s="2"/>
      <c r="E196" s="2"/>
      <c r="F196" s="23" t="s">
        <v>3038</v>
      </c>
      <c r="G196" s="22">
        <v>33</v>
      </c>
      <c r="H196" s="2"/>
      <c r="I196" s="2"/>
      <c r="J196" s="22" t="str">
        <f t="shared" si="58"/>
        <v>3#3#183|3#4#366|3#5#183|3#6#366|3#7#183|3#8#366</v>
      </c>
      <c r="K196" s="22" t="str">
        <f t="shared" si="59"/>
        <v>防御加成%15%</v>
      </c>
      <c r="L196" s="33" t="str">
        <f t="shared" si="61"/>
        <v>神品升星石7/元宝142000</v>
      </c>
      <c r="M196" s="22">
        <v>20</v>
      </c>
    </row>
    <row r="197" spans="1:13" ht="15.75" x14ac:dyDescent="0.3">
      <c r="A197" s="22" t="s">
        <v>49</v>
      </c>
      <c r="B197" s="22" t="s">
        <v>33</v>
      </c>
      <c r="C197" s="22" t="s">
        <v>1906</v>
      </c>
      <c r="D197" s="2"/>
      <c r="E197" s="2"/>
      <c r="F197" s="23" t="s">
        <v>3039</v>
      </c>
      <c r="G197" s="22">
        <v>34</v>
      </c>
      <c r="H197" s="2"/>
      <c r="I197" s="2"/>
      <c r="J197" s="22" t="str">
        <f t="shared" si="58"/>
        <v>3#3#188|3#4#377|3#5#188|3#6#377|3#7#188|3#8#377</v>
      </c>
      <c r="K197" s="22" t="str">
        <f t="shared" si="59"/>
        <v>防御加成%16%</v>
      </c>
      <c r="L197" s="33" t="str">
        <f t="shared" si="61"/>
        <v>神品升星石7/元宝148000</v>
      </c>
      <c r="M197" s="22">
        <v>15</v>
      </c>
    </row>
    <row r="198" spans="1:13" ht="15.75" x14ac:dyDescent="0.3">
      <c r="A198" s="22" t="s">
        <v>49</v>
      </c>
      <c r="B198" s="22" t="s">
        <v>33</v>
      </c>
      <c r="C198" s="22" t="s">
        <v>1906</v>
      </c>
      <c r="D198" s="2"/>
      <c r="E198" s="2"/>
      <c r="F198" s="23" t="s">
        <v>3040</v>
      </c>
      <c r="G198" s="22">
        <v>35</v>
      </c>
      <c r="H198" s="2"/>
      <c r="I198" s="2"/>
      <c r="J198" s="22" t="str">
        <f t="shared" si="58"/>
        <v>3#3#194|3#4#388|3#5#194|3#6#388|3#7#194|3#8#388</v>
      </c>
      <c r="K198" s="22" t="str">
        <f t="shared" si="59"/>
        <v>防御加成%17%</v>
      </c>
      <c r="L198" s="33" t="str">
        <f t="shared" si="61"/>
        <v>神品升星石7/元宝148000</v>
      </c>
      <c r="M198" s="22">
        <v>10</v>
      </c>
    </row>
    <row r="199" spans="1:13" ht="15.75" x14ac:dyDescent="0.3">
      <c r="A199" s="22" t="s">
        <v>49</v>
      </c>
      <c r="B199" s="22" t="s">
        <v>33</v>
      </c>
      <c r="C199" s="22" t="s">
        <v>1906</v>
      </c>
      <c r="D199" s="2"/>
      <c r="E199" s="2"/>
      <c r="F199" s="23" t="s">
        <v>3041</v>
      </c>
      <c r="G199" s="22">
        <v>36</v>
      </c>
      <c r="H199" s="2"/>
      <c r="I199" s="2"/>
      <c r="J199" s="22" t="str">
        <f t="shared" si="58"/>
        <v>3#3#200|3#4#400|3#5#200|3#6#400|3#7#200|3#8#400</v>
      </c>
      <c r="K199" s="22" t="str">
        <f t="shared" si="59"/>
        <v>防御加成%18%</v>
      </c>
      <c r="L199" s="2"/>
      <c r="M199" s="22"/>
    </row>
    <row r="200" spans="1:13" ht="15.75" x14ac:dyDescent="0.3">
      <c r="A200" s="22" t="s">
        <v>49</v>
      </c>
      <c r="B200" s="22" t="s">
        <v>33</v>
      </c>
      <c r="C200" s="22" t="s">
        <v>1906</v>
      </c>
      <c r="D200" s="2"/>
      <c r="E200" s="2"/>
      <c r="F200" s="23" t="s">
        <v>3042</v>
      </c>
      <c r="G200" s="22">
        <v>37</v>
      </c>
      <c r="H200" s="2"/>
      <c r="I200" s="2"/>
      <c r="J200" s="22"/>
      <c r="K200" s="22"/>
      <c r="L200" s="2"/>
      <c r="M200" s="22"/>
    </row>
    <row r="201" spans="1:13" ht="15.75" x14ac:dyDescent="0.3">
      <c r="A201" s="22" t="s">
        <v>49</v>
      </c>
      <c r="B201" s="22" t="s">
        <v>33</v>
      </c>
      <c r="C201" s="22" t="s">
        <v>1906</v>
      </c>
      <c r="D201" s="2"/>
      <c r="E201" s="2"/>
      <c r="F201" s="23" t="s">
        <v>3043</v>
      </c>
      <c r="G201" s="22">
        <v>38</v>
      </c>
      <c r="H201" s="2"/>
      <c r="I201" s="2"/>
      <c r="J201" s="22"/>
      <c r="K201" s="22"/>
      <c r="L201" s="2"/>
      <c r="M201" s="22"/>
    </row>
    <row r="202" spans="1:13" ht="15.75" x14ac:dyDescent="0.3">
      <c r="A202" s="22" t="s">
        <v>49</v>
      </c>
      <c r="B202" s="22" t="s">
        <v>33</v>
      </c>
      <c r="C202" s="22" t="s">
        <v>1906</v>
      </c>
      <c r="D202" s="2"/>
      <c r="E202" s="2"/>
      <c r="F202" s="23" t="s">
        <v>3044</v>
      </c>
      <c r="G202" s="22">
        <v>39</v>
      </c>
      <c r="H202" s="2"/>
      <c r="I202" s="2"/>
      <c r="J202" s="22"/>
      <c r="K202" s="22"/>
      <c r="L202" s="2"/>
      <c r="M202" s="22"/>
    </row>
    <row r="203" spans="1:13" ht="15.75" x14ac:dyDescent="0.3">
      <c r="A203" s="22" t="s">
        <v>49</v>
      </c>
      <c r="B203" s="22" t="s">
        <v>33</v>
      </c>
      <c r="C203" s="22" t="s">
        <v>1908</v>
      </c>
      <c r="D203" s="22"/>
      <c r="E203" s="22"/>
      <c r="F203" s="23" t="s">
        <v>3005</v>
      </c>
      <c r="G203" s="22">
        <v>0</v>
      </c>
      <c r="H203" s="32"/>
      <c r="I203" s="22"/>
      <c r="J203" s="22"/>
      <c r="K203" s="22"/>
      <c r="L203" s="33" t="str">
        <f>"凡品升星石"&amp;X4&amp;"/元宝"&amp;Y4</f>
        <v>凡品升星石16/元宝32000</v>
      </c>
      <c r="M203" s="22">
        <v>100</v>
      </c>
    </row>
    <row r="204" spans="1:13" ht="15.75" x14ac:dyDescent="0.3">
      <c r="A204" s="22" t="s">
        <v>49</v>
      </c>
      <c r="B204" s="22" t="s">
        <v>33</v>
      </c>
      <c r="C204" s="22" t="s">
        <v>1908</v>
      </c>
      <c r="D204" s="22"/>
      <c r="E204" s="22"/>
      <c r="F204" s="23" t="s">
        <v>3006</v>
      </c>
      <c r="G204" s="22">
        <v>1</v>
      </c>
      <c r="H204" s="32"/>
      <c r="I204" s="22"/>
      <c r="J20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04" s="22"/>
      <c r="L204" s="33" t="str">
        <f t="shared" ref="L204:L214" si="62">"凡品升星石"&amp;X5&amp;"/元宝"&amp;Y5</f>
        <v>凡品升星石16/元宝32000</v>
      </c>
      <c r="M204" s="22">
        <v>100</v>
      </c>
    </row>
    <row r="205" spans="1:13" ht="15.75" x14ac:dyDescent="0.3">
      <c r="A205" s="22" t="s">
        <v>49</v>
      </c>
      <c r="B205" s="22" t="s">
        <v>33</v>
      </c>
      <c r="C205" s="22" t="s">
        <v>1908</v>
      </c>
      <c r="D205" s="2"/>
      <c r="E205" s="2"/>
      <c r="F205" s="23" t="s">
        <v>3007</v>
      </c>
      <c r="G205" s="22">
        <v>2</v>
      </c>
      <c r="H205" s="2"/>
      <c r="I205" s="2"/>
      <c r="J205" s="22" t="str">
        <f t="shared" ref="J205:J239" si="63">"3#3#"&amp;INT(0.5*S5)&amp;"|"&amp;"3#4#"&amp;S5&amp;"|"&amp;"3#5#"&amp;INT(0.5*S5)&amp;"|"&amp;"3#6#"&amp;S5&amp;"|"&amp;"3#7#"&amp;INT(0.5*S5)&amp;"|"&amp;"3#8#"&amp;S5</f>
        <v>3#3#5|3#4#11|3#5#5|3#6#11|3#7#5|3#8#11</v>
      </c>
      <c r="K205" s="22"/>
      <c r="L205" s="33" t="str">
        <f t="shared" si="62"/>
        <v>凡品升星石19/元宝38000</v>
      </c>
      <c r="M205" s="22">
        <v>100</v>
      </c>
    </row>
    <row r="206" spans="1:13" ht="15.75" x14ac:dyDescent="0.3">
      <c r="A206" s="22" t="s">
        <v>49</v>
      </c>
      <c r="B206" s="22" t="s">
        <v>33</v>
      </c>
      <c r="C206" s="22" t="s">
        <v>1908</v>
      </c>
      <c r="D206" s="2"/>
      <c r="E206" s="2"/>
      <c r="F206" s="23" t="s">
        <v>3008</v>
      </c>
      <c r="G206" s="22">
        <v>3</v>
      </c>
      <c r="H206" s="2"/>
      <c r="I206" s="2"/>
      <c r="J206" s="22" t="str">
        <f t="shared" si="63"/>
        <v>3#3#8|3#4#16|3#5#8|3#6#16|3#7#8|3#8#16</v>
      </c>
      <c r="K206" s="22"/>
      <c r="L206" s="33" t="str">
        <f t="shared" si="62"/>
        <v>凡品升星石19/元宝38000</v>
      </c>
      <c r="M206" s="22">
        <v>90</v>
      </c>
    </row>
    <row r="207" spans="1:13" ht="15.75" x14ac:dyDescent="0.3">
      <c r="A207" s="22" t="s">
        <v>49</v>
      </c>
      <c r="B207" s="22" t="s">
        <v>33</v>
      </c>
      <c r="C207" s="22" t="s">
        <v>1908</v>
      </c>
      <c r="D207" s="2"/>
      <c r="E207" s="2"/>
      <c r="F207" s="23" t="s">
        <v>3009</v>
      </c>
      <c r="G207" s="22">
        <v>4</v>
      </c>
      <c r="H207" s="2"/>
      <c r="I207" s="2"/>
      <c r="J207" s="22" t="str">
        <f t="shared" si="63"/>
        <v>3#3#11|3#4#22|3#5#11|3#6#22|3#7#11|3#8#22</v>
      </c>
      <c r="K207" s="22"/>
      <c r="L207" s="33" t="str">
        <f t="shared" si="62"/>
        <v>凡品升星石22/元宝44000</v>
      </c>
      <c r="M207" s="22">
        <v>80</v>
      </c>
    </row>
    <row r="208" spans="1:13" ht="15.75" x14ac:dyDescent="0.3">
      <c r="A208" s="22" t="s">
        <v>49</v>
      </c>
      <c r="B208" s="22" t="s">
        <v>33</v>
      </c>
      <c r="C208" s="22" t="s">
        <v>1908</v>
      </c>
      <c r="D208" s="2"/>
      <c r="E208" s="2"/>
      <c r="F208" s="23" t="s">
        <v>3010</v>
      </c>
      <c r="G208" s="22">
        <v>5</v>
      </c>
      <c r="H208" s="2"/>
      <c r="I208" s="2"/>
      <c r="J208" s="22" t="str">
        <f t="shared" si="63"/>
        <v>3#3#16|3#4#33|3#5#16|3#6#33|3#7#16|3#8#33</v>
      </c>
      <c r="K208" s="22"/>
      <c r="L208" s="33" t="str">
        <f t="shared" si="62"/>
        <v>凡品升星石22/元宝44000</v>
      </c>
      <c r="M208" s="22">
        <v>70</v>
      </c>
    </row>
    <row r="209" spans="1:13" ht="15.75" x14ac:dyDescent="0.3">
      <c r="A209" s="22" t="s">
        <v>49</v>
      </c>
      <c r="B209" s="22" t="s">
        <v>33</v>
      </c>
      <c r="C209" s="22" t="s">
        <v>1908</v>
      </c>
      <c r="D209" s="2"/>
      <c r="E209" s="2"/>
      <c r="F209" s="23" t="s">
        <v>3011</v>
      </c>
      <c r="G209" s="22">
        <v>6</v>
      </c>
      <c r="H209" s="2"/>
      <c r="I209" s="2"/>
      <c r="J209" s="22" t="str">
        <f t="shared" si="63"/>
        <v>3#3#19|3#4#39|3#5#19|3#6#39|3#7#19|3#8#39</v>
      </c>
      <c r="K209" s="22"/>
      <c r="L209" s="33" t="str">
        <f t="shared" si="62"/>
        <v>凡品升星石26/元宝52000</v>
      </c>
      <c r="M209" s="22">
        <v>60</v>
      </c>
    </row>
    <row r="210" spans="1:13" ht="15.75" x14ac:dyDescent="0.3">
      <c r="A210" s="22" t="s">
        <v>49</v>
      </c>
      <c r="B210" s="22" t="s">
        <v>33</v>
      </c>
      <c r="C210" s="22" t="s">
        <v>1908</v>
      </c>
      <c r="D210" s="2"/>
      <c r="E210" s="2"/>
      <c r="F210" s="23" t="s">
        <v>3012</v>
      </c>
      <c r="G210" s="22">
        <v>7</v>
      </c>
      <c r="H210" s="2"/>
      <c r="I210" s="2"/>
      <c r="J210" s="22" t="str">
        <f t="shared" si="63"/>
        <v>3#3#23|3#4#46|3#5#23|3#6#46|3#7#23|3#8#46</v>
      </c>
      <c r="K210" s="22" t="str">
        <f>$AG$4&amp;AG11&amp;"%"</f>
        <v>攻魔道%1%</v>
      </c>
      <c r="L210" s="33" t="str">
        <f t="shared" si="62"/>
        <v>凡品升星石26/元宝52000</v>
      </c>
      <c r="M210" s="22">
        <v>50</v>
      </c>
    </row>
    <row r="211" spans="1:13" ht="15.75" x14ac:dyDescent="0.3">
      <c r="A211" s="22" t="s">
        <v>49</v>
      </c>
      <c r="B211" s="22" t="s">
        <v>33</v>
      </c>
      <c r="C211" s="22" t="s">
        <v>1908</v>
      </c>
      <c r="D211" s="2"/>
      <c r="E211" s="2"/>
      <c r="F211" s="23" t="s">
        <v>3013</v>
      </c>
      <c r="G211" s="22">
        <v>8</v>
      </c>
      <c r="H211" s="2"/>
      <c r="I211" s="2"/>
      <c r="J211" s="22" t="str">
        <f t="shared" si="63"/>
        <v>3#3#26|3#4#52|3#5#26|3#6#52|3#7#26|3#8#52</v>
      </c>
      <c r="K211" s="22" t="str">
        <f t="shared" ref="K211:K239" si="64">$AG$4&amp;AG12&amp;"%"</f>
        <v>攻魔道%2%</v>
      </c>
      <c r="L211" s="33" t="str">
        <f t="shared" si="62"/>
        <v>凡品升星石32/元宝64000</v>
      </c>
      <c r="M211" s="22">
        <v>40</v>
      </c>
    </row>
    <row r="212" spans="1:13" ht="15.75" x14ac:dyDescent="0.3">
      <c r="A212" s="22" t="s">
        <v>49</v>
      </c>
      <c r="B212" s="22" t="s">
        <v>33</v>
      </c>
      <c r="C212" s="22" t="s">
        <v>1908</v>
      </c>
      <c r="D212" s="2"/>
      <c r="E212" s="2"/>
      <c r="F212" s="23" t="s">
        <v>3014</v>
      </c>
      <c r="G212" s="22">
        <v>9</v>
      </c>
      <c r="H212" s="2"/>
      <c r="I212" s="2"/>
      <c r="J212" s="22" t="str">
        <f t="shared" si="63"/>
        <v>3#3#35|3#4#70|3#5#35|3#6#70|3#7#35|3#8#70</v>
      </c>
      <c r="K212" s="22" t="str">
        <f t="shared" si="64"/>
        <v>攻魔道%3%</v>
      </c>
      <c r="L212" s="33" t="str">
        <f t="shared" si="62"/>
        <v>凡品升星石32/元宝64000</v>
      </c>
      <c r="M212" s="22">
        <v>30</v>
      </c>
    </row>
    <row r="213" spans="1:13" ht="15.75" x14ac:dyDescent="0.3">
      <c r="A213" s="22" t="s">
        <v>49</v>
      </c>
      <c r="B213" s="22" t="s">
        <v>33</v>
      </c>
      <c r="C213" s="22" t="s">
        <v>1908</v>
      </c>
      <c r="D213" s="2"/>
      <c r="E213" s="2"/>
      <c r="F213" s="23" t="s">
        <v>3015</v>
      </c>
      <c r="G213" s="22">
        <v>10</v>
      </c>
      <c r="H213" s="2"/>
      <c r="I213" s="2"/>
      <c r="J213" s="22" t="str">
        <f t="shared" si="63"/>
        <v>3#3#38|3#4#77|3#5#38|3#6#77|3#7#38|3#8#77</v>
      </c>
      <c r="K213" s="22" t="str">
        <f t="shared" si="64"/>
        <v>攻魔道%3%</v>
      </c>
      <c r="L213" s="33" t="str">
        <f t="shared" si="62"/>
        <v>凡品升星石37/元宝74000</v>
      </c>
      <c r="M213" s="22">
        <v>20</v>
      </c>
    </row>
    <row r="214" spans="1:13" ht="15.75" x14ac:dyDescent="0.3">
      <c r="A214" s="22" t="s">
        <v>49</v>
      </c>
      <c r="B214" s="22" t="s">
        <v>33</v>
      </c>
      <c r="C214" s="22" t="s">
        <v>1908</v>
      </c>
      <c r="D214" s="2"/>
      <c r="E214" s="2"/>
      <c r="F214" s="23" t="s">
        <v>3016</v>
      </c>
      <c r="G214" s="22">
        <v>11</v>
      </c>
      <c r="H214" s="2"/>
      <c r="I214" s="2"/>
      <c r="J214" s="22" t="str">
        <f t="shared" si="63"/>
        <v>3#3#42|3#4#85|3#5#42|3#6#85|3#7#42|3#8#85</v>
      </c>
      <c r="K214" s="22" t="str">
        <f t="shared" si="64"/>
        <v>攻魔道%4%</v>
      </c>
      <c r="L214" s="33" t="str">
        <f t="shared" si="62"/>
        <v>凡品升星石37/元宝74000</v>
      </c>
      <c r="M214" s="22">
        <v>15</v>
      </c>
    </row>
    <row r="215" spans="1:13" ht="15.75" x14ac:dyDescent="0.3">
      <c r="A215" s="22" t="s">
        <v>49</v>
      </c>
      <c r="B215" s="22" t="s">
        <v>33</v>
      </c>
      <c r="C215" s="22" t="s">
        <v>1908</v>
      </c>
      <c r="D215" s="2"/>
      <c r="E215" s="2"/>
      <c r="F215" s="23" t="s">
        <v>3017</v>
      </c>
      <c r="G215" s="22">
        <v>12</v>
      </c>
      <c r="H215" s="2"/>
      <c r="I215" s="2"/>
      <c r="J215" s="22" t="str">
        <f t="shared" si="63"/>
        <v>3#3#46|3#4#93|3#5#46|3#6#93|3#7#46|3#8#93</v>
      </c>
      <c r="K215" s="22" t="str">
        <f t="shared" si="64"/>
        <v>攻魔道%4%</v>
      </c>
      <c r="L215" s="33" t="str">
        <f>"仙品升星石"&amp;INT(X16/2)&amp;"/元宝"&amp;Y16</f>
        <v>仙品升星石19/元宝78000</v>
      </c>
      <c r="M215" s="22">
        <v>100</v>
      </c>
    </row>
    <row r="216" spans="1:13" ht="15.75" x14ac:dyDescent="0.3">
      <c r="A216" s="22" t="s">
        <v>49</v>
      </c>
      <c r="B216" s="22" t="s">
        <v>33</v>
      </c>
      <c r="C216" s="22" t="s">
        <v>1908</v>
      </c>
      <c r="D216" s="2"/>
      <c r="E216" s="2"/>
      <c r="F216" s="23" t="s">
        <v>3018</v>
      </c>
      <c r="G216" s="22">
        <v>13</v>
      </c>
      <c r="H216" s="2"/>
      <c r="I216" s="2"/>
      <c r="J216" s="22" t="str">
        <f t="shared" si="63"/>
        <v>3#3#54|3#4#108|3#5#54|3#6#108|3#7#54|3#8#108</v>
      </c>
      <c r="K216" s="22" t="str">
        <f t="shared" si="64"/>
        <v>攻魔道%5%</v>
      </c>
      <c r="L216" s="33" t="str">
        <f t="shared" ref="L216:L226" si="65">"仙品升星石"&amp;INT(X17/2)&amp;"/元宝"&amp;Y17</f>
        <v>仙品升星石19/元宝78000</v>
      </c>
      <c r="M216" s="22">
        <v>100</v>
      </c>
    </row>
    <row r="217" spans="1:13" ht="15.75" x14ac:dyDescent="0.3">
      <c r="A217" s="22" t="s">
        <v>49</v>
      </c>
      <c r="B217" s="22" t="s">
        <v>33</v>
      </c>
      <c r="C217" s="22" t="s">
        <v>1908</v>
      </c>
      <c r="D217" s="2"/>
      <c r="E217" s="2"/>
      <c r="F217" s="23" t="s">
        <v>3019</v>
      </c>
      <c r="G217" s="22">
        <v>14</v>
      </c>
      <c r="H217" s="2"/>
      <c r="I217" s="2"/>
      <c r="J217" s="22" t="str">
        <f t="shared" si="63"/>
        <v>3#3#58|3#4#116|3#5#58|3#6#116|3#7#58|3#8#116</v>
      </c>
      <c r="K217" s="22" t="str">
        <f t="shared" si="64"/>
        <v>攻魔道%5%</v>
      </c>
      <c r="L217" s="33" t="str">
        <f t="shared" si="65"/>
        <v>仙品升星石21/元宝84000</v>
      </c>
      <c r="M217" s="22">
        <v>100</v>
      </c>
    </row>
    <row r="218" spans="1:13" ht="15.75" x14ac:dyDescent="0.3">
      <c r="A218" s="22" t="s">
        <v>49</v>
      </c>
      <c r="B218" s="22" t="s">
        <v>33</v>
      </c>
      <c r="C218" s="22" t="s">
        <v>1908</v>
      </c>
      <c r="D218" s="2"/>
      <c r="E218" s="2"/>
      <c r="F218" s="23" t="s">
        <v>3020</v>
      </c>
      <c r="G218" s="22">
        <v>15</v>
      </c>
      <c r="H218" s="2"/>
      <c r="I218" s="2"/>
      <c r="J218" s="22" t="str">
        <f t="shared" si="63"/>
        <v>3#3#62|3#4#124|3#5#62|3#6#124|3#7#62|3#8#124</v>
      </c>
      <c r="K218" s="22" t="str">
        <f t="shared" si="64"/>
        <v>攻魔道%6%</v>
      </c>
      <c r="L218" s="33" t="str">
        <f t="shared" si="65"/>
        <v>仙品升星石21/元宝84000</v>
      </c>
      <c r="M218" s="22">
        <v>70</v>
      </c>
    </row>
    <row r="219" spans="1:13" ht="15.75" x14ac:dyDescent="0.3">
      <c r="A219" s="22" t="s">
        <v>49</v>
      </c>
      <c r="B219" s="22" t="s">
        <v>33</v>
      </c>
      <c r="C219" s="22" t="s">
        <v>1908</v>
      </c>
      <c r="D219" s="2"/>
      <c r="E219" s="2"/>
      <c r="F219" s="23" t="s">
        <v>3021</v>
      </c>
      <c r="G219" s="22">
        <v>16</v>
      </c>
      <c r="H219" s="2"/>
      <c r="I219" s="2"/>
      <c r="J219" s="22" t="str">
        <f t="shared" si="63"/>
        <v>3#3#66|3#4#132|3#5#66|3#6#132|3#7#66|3#8#132</v>
      </c>
      <c r="K219" s="22" t="str">
        <f t="shared" si="64"/>
        <v>攻魔道%6%</v>
      </c>
      <c r="L219" s="33" t="str">
        <f t="shared" si="65"/>
        <v>仙品升星石23/元宝92000</v>
      </c>
      <c r="M219" s="22">
        <v>60</v>
      </c>
    </row>
    <row r="220" spans="1:13" ht="15.75" x14ac:dyDescent="0.3">
      <c r="A220" s="22" t="s">
        <v>49</v>
      </c>
      <c r="B220" s="22" t="s">
        <v>33</v>
      </c>
      <c r="C220" s="22" t="s">
        <v>1908</v>
      </c>
      <c r="D220" s="2"/>
      <c r="E220" s="2"/>
      <c r="F220" s="23" t="s">
        <v>3022</v>
      </c>
      <c r="G220" s="22">
        <v>17</v>
      </c>
      <c r="H220" s="2"/>
      <c r="I220" s="2"/>
      <c r="J220" s="22" t="str">
        <f t="shared" si="63"/>
        <v>3#3#79|3#4#159|3#5#79|3#6#159|3#7#79|3#8#159</v>
      </c>
      <c r="K220" s="22" t="str">
        <f t="shared" si="64"/>
        <v>攻魔道%7%</v>
      </c>
      <c r="L220" s="33" t="str">
        <f t="shared" si="65"/>
        <v>仙品升星石23/元宝92000</v>
      </c>
      <c r="M220" s="22">
        <v>50</v>
      </c>
    </row>
    <row r="221" spans="1:13" ht="15.75" x14ac:dyDescent="0.3">
      <c r="A221" s="22" t="s">
        <v>49</v>
      </c>
      <c r="B221" s="22" t="s">
        <v>33</v>
      </c>
      <c r="C221" s="22" t="s">
        <v>1908</v>
      </c>
      <c r="D221" s="2"/>
      <c r="E221" s="2"/>
      <c r="F221" s="23" t="s">
        <v>3023</v>
      </c>
      <c r="G221" s="22">
        <v>18</v>
      </c>
      <c r="H221" s="2"/>
      <c r="I221" s="2"/>
      <c r="J221" s="22" t="str">
        <f t="shared" si="63"/>
        <v>3#3#85|3#4#170|3#5#85|3#6#170|3#7#85|3#8#170</v>
      </c>
      <c r="K221" s="22" t="str">
        <f t="shared" si="64"/>
        <v>攻魔道%7%</v>
      </c>
      <c r="L221" s="33" t="str">
        <f t="shared" si="65"/>
        <v>仙品升星石24/元宝98000</v>
      </c>
      <c r="M221" s="22">
        <v>40</v>
      </c>
    </row>
    <row r="222" spans="1:13" ht="15.75" x14ac:dyDescent="0.3">
      <c r="A222" s="22" t="s">
        <v>49</v>
      </c>
      <c r="B222" s="22" t="s">
        <v>33</v>
      </c>
      <c r="C222" s="22" t="s">
        <v>1908</v>
      </c>
      <c r="D222" s="2"/>
      <c r="E222" s="2"/>
      <c r="F222" s="23" t="s">
        <v>3024</v>
      </c>
      <c r="G222" s="22">
        <v>19</v>
      </c>
      <c r="H222" s="2"/>
      <c r="I222" s="2"/>
      <c r="J222" s="22" t="str">
        <f t="shared" si="63"/>
        <v>3#3#89|3#4#179|3#5#89|3#6#179|3#7#89|3#8#179</v>
      </c>
      <c r="K222" s="22" t="str">
        <f t="shared" si="64"/>
        <v>攻魔道%8%</v>
      </c>
      <c r="L222" s="33" t="str">
        <f t="shared" si="65"/>
        <v>仙品升星石24/元宝98000</v>
      </c>
      <c r="M222" s="22">
        <v>30</v>
      </c>
    </row>
    <row r="223" spans="1:13" ht="15.75" x14ac:dyDescent="0.3">
      <c r="A223" s="22" t="s">
        <v>49</v>
      </c>
      <c r="B223" s="22" t="s">
        <v>33</v>
      </c>
      <c r="C223" s="22" t="s">
        <v>1908</v>
      </c>
      <c r="D223" s="2"/>
      <c r="E223" s="2"/>
      <c r="F223" s="23" t="s">
        <v>3025</v>
      </c>
      <c r="G223" s="22">
        <v>20</v>
      </c>
      <c r="H223" s="2"/>
      <c r="I223" s="2"/>
      <c r="J223" s="22" t="str">
        <f t="shared" si="63"/>
        <v>3#3#94|3#4#188|3#5#94|3#6#188|3#7#94|3#8#188</v>
      </c>
      <c r="K223" s="22" t="str">
        <f t="shared" si="64"/>
        <v>攻魔道%8%</v>
      </c>
      <c r="L223" s="33" t="str">
        <f t="shared" si="65"/>
        <v>仙品升星石26/元宝104000</v>
      </c>
      <c r="M223" s="22">
        <v>25</v>
      </c>
    </row>
    <row r="224" spans="1:13" ht="15.75" x14ac:dyDescent="0.3">
      <c r="A224" s="22" t="s">
        <v>49</v>
      </c>
      <c r="B224" s="22" t="s">
        <v>33</v>
      </c>
      <c r="C224" s="22" t="s">
        <v>1908</v>
      </c>
      <c r="D224" s="2"/>
      <c r="E224" s="2"/>
      <c r="F224" s="23" t="s">
        <v>3026</v>
      </c>
      <c r="G224" s="22">
        <v>21</v>
      </c>
      <c r="H224" s="2"/>
      <c r="I224" s="2"/>
      <c r="J224" s="22" t="str">
        <f t="shared" si="63"/>
        <v>3#3#110|3#4#221|3#5#110|3#6#221|3#7#110|3#8#221</v>
      </c>
      <c r="K224" s="22" t="str">
        <f t="shared" si="64"/>
        <v>攻魔道%9%</v>
      </c>
      <c r="L224" s="33" t="str">
        <f t="shared" si="65"/>
        <v>仙品升星石26/元宝104000</v>
      </c>
      <c r="M224" s="22">
        <v>20</v>
      </c>
    </row>
    <row r="225" spans="1:13" ht="15.75" x14ac:dyDescent="0.3">
      <c r="A225" s="22" t="s">
        <v>49</v>
      </c>
      <c r="B225" s="22" t="s">
        <v>33</v>
      </c>
      <c r="C225" s="22" t="s">
        <v>1908</v>
      </c>
      <c r="D225" s="2"/>
      <c r="E225" s="2"/>
      <c r="F225" s="23" t="s">
        <v>3027</v>
      </c>
      <c r="G225" s="22">
        <v>22</v>
      </c>
      <c r="H225" s="2"/>
      <c r="I225" s="2"/>
      <c r="J225" s="22" t="str">
        <f t="shared" si="63"/>
        <v>3#3#115|3#4#231|3#5#115|3#6#231|3#7#115|3#8#231</v>
      </c>
      <c r="K225" s="22" t="str">
        <f t="shared" si="64"/>
        <v>攻魔道%9%</v>
      </c>
      <c r="L225" s="33" t="str">
        <f t="shared" si="65"/>
        <v>仙品升星石27/元宝110000</v>
      </c>
      <c r="M225" s="22">
        <v>15</v>
      </c>
    </row>
    <row r="226" spans="1:13" ht="15.75" x14ac:dyDescent="0.3">
      <c r="A226" s="22" t="s">
        <v>49</v>
      </c>
      <c r="B226" s="22" t="s">
        <v>33</v>
      </c>
      <c r="C226" s="22" t="s">
        <v>1908</v>
      </c>
      <c r="D226" s="2"/>
      <c r="E226" s="2"/>
      <c r="F226" s="23" t="s">
        <v>3028</v>
      </c>
      <c r="G226" s="22">
        <v>23</v>
      </c>
      <c r="H226" s="2"/>
      <c r="I226" s="2"/>
      <c r="J226" s="22" t="str">
        <f t="shared" si="63"/>
        <v>3#3#121|3#4#242|3#5#121|3#6#242|3#7#121|3#8#242</v>
      </c>
      <c r="K226" s="22" t="str">
        <f t="shared" si="64"/>
        <v>攻魔道%10%</v>
      </c>
      <c r="L226" s="33" t="str">
        <f t="shared" si="65"/>
        <v>仙品升星石27/元宝110000</v>
      </c>
      <c r="M226" s="22">
        <v>10</v>
      </c>
    </row>
    <row r="227" spans="1:13" ht="15.75" x14ac:dyDescent="0.3">
      <c r="A227" s="22" t="s">
        <v>49</v>
      </c>
      <c r="B227" s="22" t="s">
        <v>33</v>
      </c>
      <c r="C227" s="22" t="s">
        <v>1908</v>
      </c>
      <c r="D227" s="2"/>
      <c r="E227" s="2"/>
      <c r="F227" s="23" t="s">
        <v>3029</v>
      </c>
      <c r="G227" s="22">
        <v>24</v>
      </c>
      <c r="H227" s="2"/>
      <c r="I227" s="2"/>
      <c r="J227" s="22" t="str">
        <f t="shared" si="63"/>
        <v>3#3#126|3#4#252|3#5#126|3#6#252|3#7#126|3#8#252</v>
      </c>
      <c r="K227" s="22" t="str">
        <f t="shared" si="64"/>
        <v>攻魔道%10%</v>
      </c>
      <c r="L227" s="33" t="str">
        <f>"神品升星石"&amp;INT(X28/10)&amp;"/元宝"&amp;Y28</f>
        <v>神品升星石5/元宝116000</v>
      </c>
      <c r="M227" s="22">
        <v>100</v>
      </c>
    </row>
    <row r="228" spans="1:13" ht="15.75" x14ac:dyDescent="0.3">
      <c r="A228" s="22" t="s">
        <v>49</v>
      </c>
      <c r="B228" s="22" t="s">
        <v>33</v>
      </c>
      <c r="C228" s="22" t="s">
        <v>1908</v>
      </c>
      <c r="D228" s="2"/>
      <c r="E228" s="2"/>
      <c r="F228" s="23" t="s">
        <v>3030</v>
      </c>
      <c r="G228" s="22">
        <v>25</v>
      </c>
      <c r="H228" s="2"/>
      <c r="I228" s="2"/>
      <c r="J228" s="22" t="str">
        <f t="shared" si="63"/>
        <v>3#3#138|3#4#277|3#5#138|3#6#277|3#7#138|3#8#277</v>
      </c>
      <c r="K228" s="22" t="str">
        <f t="shared" si="64"/>
        <v>攻魔道%11%</v>
      </c>
      <c r="L228" s="33" t="str">
        <f t="shared" ref="L228:L238" si="66">"神品升星石"&amp;INT(X29/10)&amp;"/元宝"&amp;Y29</f>
        <v>神品升星石5/元宝116000</v>
      </c>
      <c r="M228" s="22">
        <v>100</v>
      </c>
    </row>
    <row r="229" spans="1:13" ht="15.75" x14ac:dyDescent="0.3">
      <c r="A229" s="22" t="s">
        <v>49</v>
      </c>
      <c r="B229" s="22" t="s">
        <v>33</v>
      </c>
      <c r="C229" s="22" t="s">
        <v>1908</v>
      </c>
      <c r="D229" s="2"/>
      <c r="E229" s="2"/>
      <c r="F229" s="23" t="s">
        <v>3031</v>
      </c>
      <c r="G229" s="22">
        <v>26</v>
      </c>
      <c r="H229" s="2"/>
      <c r="I229" s="2"/>
      <c r="J229" s="22" t="str">
        <f t="shared" si="63"/>
        <v>3#3#144|3#4#288|3#5#144|3#6#288|3#7#144|3#8#288</v>
      </c>
      <c r="K229" s="22" t="str">
        <f t="shared" si="64"/>
        <v>攻魔道%11%</v>
      </c>
      <c r="L229" s="33" t="str">
        <f t="shared" si="66"/>
        <v>神品升星石6/元宝122000</v>
      </c>
      <c r="M229" s="22">
        <v>100</v>
      </c>
    </row>
    <row r="230" spans="1:13" ht="15.75" x14ac:dyDescent="0.3">
      <c r="A230" s="22" t="s">
        <v>49</v>
      </c>
      <c r="B230" s="22" t="s">
        <v>33</v>
      </c>
      <c r="C230" s="22" t="s">
        <v>1908</v>
      </c>
      <c r="D230" s="2"/>
      <c r="E230" s="2"/>
      <c r="F230" s="23" t="s">
        <v>3032</v>
      </c>
      <c r="G230" s="22">
        <v>27</v>
      </c>
      <c r="H230" s="2"/>
      <c r="I230" s="2"/>
      <c r="J230" s="22" t="str">
        <f t="shared" si="63"/>
        <v>3#3#150|3#4#300|3#5#150|3#6#300|3#7#150|3#8#300</v>
      </c>
      <c r="K230" s="22" t="str">
        <f t="shared" si="64"/>
        <v>攻魔道%12%</v>
      </c>
      <c r="L230" s="33" t="str">
        <f t="shared" si="66"/>
        <v>神品升星石6/元宝122000</v>
      </c>
      <c r="M230" s="22">
        <v>70</v>
      </c>
    </row>
    <row r="231" spans="1:13" ht="15.75" x14ac:dyDescent="0.3">
      <c r="A231" s="22" t="s">
        <v>49</v>
      </c>
      <c r="B231" s="22" t="s">
        <v>33</v>
      </c>
      <c r="C231" s="22" t="s">
        <v>1908</v>
      </c>
      <c r="D231" s="2"/>
      <c r="E231" s="2"/>
      <c r="F231" s="23" t="s">
        <v>3033</v>
      </c>
      <c r="G231" s="22">
        <v>28</v>
      </c>
      <c r="H231" s="2"/>
      <c r="I231" s="2"/>
      <c r="J231" s="22" t="str">
        <f t="shared" si="63"/>
        <v>3#3#155|3#4#311|3#5#155|3#6#311|3#7#155|3#8#311</v>
      </c>
      <c r="K231" s="22" t="str">
        <f t="shared" si="64"/>
        <v>攻魔道%12%</v>
      </c>
      <c r="L231" s="33" t="str">
        <f t="shared" si="66"/>
        <v>神品升星石6/元宝130000</v>
      </c>
      <c r="M231" s="22">
        <v>60</v>
      </c>
    </row>
    <row r="232" spans="1:13" ht="15.75" x14ac:dyDescent="0.3">
      <c r="A232" s="22" t="s">
        <v>49</v>
      </c>
      <c r="B232" s="22" t="s">
        <v>33</v>
      </c>
      <c r="C232" s="22" t="s">
        <v>1908</v>
      </c>
      <c r="D232" s="2"/>
      <c r="E232" s="2"/>
      <c r="F232" s="23" t="s">
        <v>3034</v>
      </c>
      <c r="G232" s="22">
        <v>29</v>
      </c>
      <c r="H232" s="2"/>
      <c r="I232" s="2"/>
      <c r="J232" s="22" t="str">
        <f t="shared" si="63"/>
        <v>3#3#161|3#4#322|3#5#161|3#6#322|3#7#161|3#8#322</v>
      </c>
      <c r="K232" s="22" t="str">
        <f t="shared" si="64"/>
        <v>攻魔道%13%</v>
      </c>
      <c r="L232" s="33" t="str">
        <f t="shared" si="66"/>
        <v>神品升星石6/元宝130000</v>
      </c>
      <c r="M232" s="22">
        <v>50</v>
      </c>
    </row>
    <row r="233" spans="1:13" ht="15.75" x14ac:dyDescent="0.3">
      <c r="A233" s="22" t="s">
        <v>49</v>
      </c>
      <c r="B233" s="22" t="s">
        <v>33</v>
      </c>
      <c r="C233" s="22" t="s">
        <v>1908</v>
      </c>
      <c r="D233" s="2"/>
      <c r="E233" s="2"/>
      <c r="F233" s="23" t="s">
        <v>3035</v>
      </c>
      <c r="G233" s="22">
        <v>30</v>
      </c>
      <c r="H233" s="2"/>
      <c r="I233" s="2"/>
      <c r="J233" s="22" t="str">
        <f t="shared" si="63"/>
        <v>3#3#166|3#4#333|3#5#166|3#6#333|3#7#166|3#8#333</v>
      </c>
      <c r="K233" s="22" t="str">
        <f t="shared" si="64"/>
        <v>攻魔道%13%</v>
      </c>
      <c r="L233" s="33" t="str">
        <f t="shared" si="66"/>
        <v>神品升星石6/元宝136000</v>
      </c>
      <c r="M233" s="22">
        <v>40</v>
      </c>
    </row>
    <row r="234" spans="1:13" ht="15.75" x14ac:dyDescent="0.3">
      <c r="A234" s="22" t="s">
        <v>49</v>
      </c>
      <c r="B234" s="22" t="s">
        <v>33</v>
      </c>
      <c r="C234" s="22" t="s">
        <v>1908</v>
      </c>
      <c r="D234" s="2"/>
      <c r="E234" s="2"/>
      <c r="F234" s="23" t="s">
        <v>3036</v>
      </c>
      <c r="G234" s="22">
        <v>31</v>
      </c>
      <c r="H234" s="2"/>
      <c r="I234" s="2"/>
      <c r="J234" s="22" t="str">
        <f t="shared" si="63"/>
        <v>3#3#172|3#4#344|3#5#172|3#6#344|3#7#172|3#8#344</v>
      </c>
      <c r="K234" s="22" t="str">
        <f t="shared" si="64"/>
        <v>攻魔道%14%</v>
      </c>
      <c r="L234" s="33" t="str">
        <f t="shared" si="66"/>
        <v>神品升星石6/元宝136000</v>
      </c>
      <c r="M234" s="22">
        <v>30</v>
      </c>
    </row>
    <row r="235" spans="1:13" ht="15.75" x14ac:dyDescent="0.3">
      <c r="A235" s="22" t="s">
        <v>49</v>
      </c>
      <c r="B235" s="22" t="s">
        <v>33</v>
      </c>
      <c r="C235" s="22" t="s">
        <v>1908</v>
      </c>
      <c r="D235" s="2"/>
      <c r="E235" s="2"/>
      <c r="F235" s="23" t="s">
        <v>3037</v>
      </c>
      <c r="G235" s="22">
        <v>32</v>
      </c>
      <c r="H235" s="2"/>
      <c r="I235" s="2"/>
      <c r="J235" s="22" t="str">
        <f t="shared" si="63"/>
        <v>3#3#177|3#4#355|3#5#177|3#6#355|3#7#177|3#8#355</v>
      </c>
      <c r="K235" s="22" t="str">
        <f t="shared" si="64"/>
        <v>攻魔道%14%</v>
      </c>
      <c r="L235" s="33" t="str">
        <f t="shared" si="66"/>
        <v>神品升星石7/元宝142000</v>
      </c>
      <c r="M235" s="22">
        <v>25</v>
      </c>
    </row>
    <row r="236" spans="1:13" ht="15.75" x14ac:dyDescent="0.3">
      <c r="A236" s="22" t="s">
        <v>49</v>
      </c>
      <c r="B236" s="22" t="s">
        <v>33</v>
      </c>
      <c r="C236" s="22" t="s">
        <v>1908</v>
      </c>
      <c r="D236" s="2"/>
      <c r="E236" s="2"/>
      <c r="F236" s="23" t="s">
        <v>3038</v>
      </c>
      <c r="G236" s="22">
        <v>33</v>
      </c>
      <c r="H236" s="2"/>
      <c r="I236" s="2"/>
      <c r="J236" s="22" t="str">
        <f t="shared" si="63"/>
        <v>3#3#183|3#4#366|3#5#183|3#6#366|3#7#183|3#8#366</v>
      </c>
      <c r="K236" s="22" t="str">
        <f t="shared" si="64"/>
        <v>攻魔道%15%</v>
      </c>
      <c r="L236" s="33" t="str">
        <f t="shared" si="66"/>
        <v>神品升星石7/元宝142000</v>
      </c>
      <c r="M236" s="22">
        <v>20</v>
      </c>
    </row>
    <row r="237" spans="1:13" ht="15.75" x14ac:dyDescent="0.3">
      <c r="A237" s="22" t="s">
        <v>49</v>
      </c>
      <c r="B237" s="22" t="s">
        <v>33</v>
      </c>
      <c r="C237" s="22" t="s">
        <v>1908</v>
      </c>
      <c r="D237" s="2"/>
      <c r="E237" s="2"/>
      <c r="F237" s="23" t="s">
        <v>3039</v>
      </c>
      <c r="G237" s="22">
        <v>34</v>
      </c>
      <c r="H237" s="2"/>
      <c r="I237" s="2"/>
      <c r="J237" s="22" t="str">
        <f t="shared" si="63"/>
        <v>3#3#188|3#4#377|3#5#188|3#6#377|3#7#188|3#8#377</v>
      </c>
      <c r="K237" s="22" t="str">
        <f t="shared" si="64"/>
        <v>攻魔道%16%</v>
      </c>
      <c r="L237" s="33" t="str">
        <f t="shared" si="66"/>
        <v>神品升星石7/元宝148000</v>
      </c>
      <c r="M237" s="22">
        <v>15</v>
      </c>
    </row>
    <row r="238" spans="1:13" ht="15.75" x14ac:dyDescent="0.3">
      <c r="A238" s="22" t="s">
        <v>49</v>
      </c>
      <c r="B238" s="22" t="s">
        <v>33</v>
      </c>
      <c r="C238" s="22" t="s">
        <v>1908</v>
      </c>
      <c r="D238" s="2"/>
      <c r="E238" s="2"/>
      <c r="F238" s="23" t="s">
        <v>3040</v>
      </c>
      <c r="G238" s="22">
        <v>35</v>
      </c>
      <c r="H238" s="2"/>
      <c r="I238" s="2"/>
      <c r="J238" s="22" t="str">
        <f t="shared" si="63"/>
        <v>3#3#194|3#4#388|3#5#194|3#6#388|3#7#194|3#8#388</v>
      </c>
      <c r="K238" s="22" t="str">
        <f t="shared" si="64"/>
        <v>攻魔道%17%</v>
      </c>
      <c r="L238" s="33" t="str">
        <f t="shared" si="66"/>
        <v>神品升星石7/元宝148000</v>
      </c>
      <c r="M238" s="22">
        <v>10</v>
      </c>
    </row>
    <row r="239" spans="1:13" ht="15.75" x14ac:dyDescent="0.3">
      <c r="A239" s="22" t="s">
        <v>49</v>
      </c>
      <c r="B239" s="22" t="s">
        <v>33</v>
      </c>
      <c r="C239" s="22" t="s">
        <v>1908</v>
      </c>
      <c r="D239" s="2"/>
      <c r="E239" s="2"/>
      <c r="F239" s="23" t="s">
        <v>3041</v>
      </c>
      <c r="G239" s="22">
        <v>36</v>
      </c>
      <c r="H239" s="2"/>
      <c r="I239" s="2"/>
      <c r="J239" s="22" t="str">
        <f t="shared" si="63"/>
        <v>3#3#200|3#4#400|3#5#200|3#6#400|3#7#200|3#8#400</v>
      </c>
      <c r="K239" s="22" t="str">
        <f t="shared" si="64"/>
        <v>攻魔道%18%</v>
      </c>
      <c r="L239" s="2"/>
      <c r="M239" s="22"/>
    </row>
    <row r="240" spans="1:13" ht="15.75" x14ac:dyDescent="0.3">
      <c r="A240" s="22" t="s">
        <v>49</v>
      </c>
      <c r="B240" s="22" t="s">
        <v>33</v>
      </c>
      <c r="C240" s="22" t="s">
        <v>1908</v>
      </c>
      <c r="D240" s="2"/>
      <c r="E240" s="2"/>
      <c r="F240" s="23" t="s">
        <v>3042</v>
      </c>
      <c r="G240" s="22">
        <v>37</v>
      </c>
      <c r="H240" s="2"/>
      <c r="I240" s="2"/>
      <c r="J240" s="22"/>
      <c r="K240" s="22"/>
      <c r="L240" s="2"/>
      <c r="M240" s="22"/>
    </row>
    <row r="241" spans="1:13" ht="15.75" x14ac:dyDescent="0.3">
      <c r="A241" s="22" t="s">
        <v>49</v>
      </c>
      <c r="B241" s="22" t="s">
        <v>33</v>
      </c>
      <c r="C241" s="22" t="s">
        <v>1908</v>
      </c>
      <c r="D241" s="2"/>
      <c r="E241" s="2"/>
      <c r="F241" s="23" t="s">
        <v>3043</v>
      </c>
      <c r="G241" s="22">
        <v>38</v>
      </c>
      <c r="H241" s="2"/>
      <c r="I241" s="2"/>
      <c r="J241" s="22"/>
      <c r="K241" s="22"/>
      <c r="L241" s="2"/>
      <c r="M241" s="22"/>
    </row>
    <row r="242" spans="1:13" ht="15.75" x14ac:dyDescent="0.3">
      <c r="A242" s="22" t="s">
        <v>49</v>
      </c>
      <c r="B242" s="22" t="s">
        <v>33</v>
      </c>
      <c r="C242" s="22" t="s">
        <v>1908</v>
      </c>
      <c r="D242" s="2"/>
      <c r="E242" s="2"/>
      <c r="F242" s="23" t="s">
        <v>3044</v>
      </c>
      <c r="G242" s="22">
        <v>39</v>
      </c>
      <c r="H242" s="2"/>
      <c r="I242" s="2"/>
      <c r="J242" s="22"/>
      <c r="K242" s="22"/>
      <c r="L242" s="2"/>
      <c r="M242" s="22"/>
    </row>
    <row r="243" spans="1:13" ht="15.75" x14ac:dyDescent="0.3">
      <c r="A243" s="22" t="s">
        <v>49</v>
      </c>
      <c r="B243" s="22" t="s">
        <v>33</v>
      </c>
      <c r="C243" s="22" t="s">
        <v>1909</v>
      </c>
      <c r="D243" s="22"/>
      <c r="E243" s="22"/>
      <c r="F243" s="23" t="s">
        <v>3005</v>
      </c>
      <c r="G243" s="22">
        <v>0</v>
      </c>
      <c r="H243" s="32"/>
      <c r="I243" s="22"/>
      <c r="J243" s="22"/>
      <c r="K243" s="22"/>
      <c r="L243" s="33" t="str">
        <f>"凡品升星石"&amp;X4&amp;"/元宝"&amp;Y4</f>
        <v>凡品升星石16/元宝32000</v>
      </c>
      <c r="M243" s="22">
        <v>100</v>
      </c>
    </row>
    <row r="244" spans="1:13" ht="15.75" x14ac:dyDescent="0.3">
      <c r="A244" s="22" t="s">
        <v>49</v>
      </c>
      <c r="B244" s="22" t="s">
        <v>33</v>
      </c>
      <c r="C244" s="22" t="s">
        <v>1909</v>
      </c>
      <c r="D244" s="22"/>
      <c r="E244" s="22"/>
      <c r="F244" s="23" t="s">
        <v>3006</v>
      </c>
      <c r="G244" s="22">
        <v>1</v>
      </c>
      <c r="H244" s="32"/>
      <c r="I244" s="22"/>
      <c r="J2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44" s="22"/>
      <c r="L244" s="33" t="str">
        <f t="shared" ref="L244:L254" si="67">"凡品升星石"&amp;X5&amp;"/元宝"&amp;Y5</f>
        <v>凡品升星石16/元宝32000</v>
      </c>
      <c r="M244" s="22">
        <v>100</v>
      </c>
    </row>
    <row r="245" spans="1:13" ht="15.75" x14ac:dyDescent="0.3">
      <c r="A245" s="22" t="s">
        <v>49</v>
      </c>
      <c r="B245" s="22" t="s">
        <v>33</v>
      </c>
      <c r="C245" s="22" t="s">
        <v>1909</v>
      </c>
      <c r="D245" s="2"/>
      <c r="E245" s="2"/>
      <c r="F245" s="23" t="s">
        <v>3007</v>
      </c>
      <c r="G245" s="22">
        <v>2</v>
      </c>
      <c r="H245" s="2"/>
      <c r="I245" s="2"/>
      <c r="J245" s="22" t="str">
        <f t="shared" ref="J245:J279" si="68">"3#3#"&amp;INT(0.5*S5)&amp;"|"&amp;"3#4#"&amp;S5&amp;"|"&amp;"3#5#"&amp;INT(0.5*S5)&amp;"|"&amp;"3#6#"&amp;S5&amp;"|"&amp;"3#7#"&amp;INT(0.5*S5)&amp;"|"&amp;"3#8#"&amp;S5</f>
        <v>3#3#5|3#4#11|3#5#5|3#6#11|3#7#5|3#8#11</v>
      </c>
      <c r="K245" s="22"/>
      <c r="L245" s="33" t="str">
        <f t="shared" si="67"/>
        <v>凡品升星石19/元宝38000</v>
      </c>
      <c r="M245" s="22">
        <v>100</v>
      </c>
    </row>
    <row r="246" spans="1:13" ht="15.75" x14ac:dyDescent="0.3">
      <c r="A246" s="22" t="s">
        <v>49</v>
      </c>
      <c r="B246" s="22" t="s">
        <v>33</v>
      </c>
      <c r="C246" s="22" t="s">
        <v>1909</v>
      </c>
      <c r="D246" s="2"/>
      <c r="E246" s="2"/>
      <c r="F246" s="23" t="s">
        <v>3008</v>
      </c>
      <c r="G246" s="22">
        <v>3</v>
      </c>
      <c r="H246" s="2"/>
      <c r="I246" s="2"/>
      <c r="J246" s="22" t="str">
        <f t="shared" si="68"/>
        <v>3#3#8|3#4#16|3#5#8|3#6#16|3#7#8|3#8#16</v>
      </c>
      <c r="K246" s="22"/>
      <c r="L246" s="33" t="str">
        <f t="shared" si="67"/>
        <v>凡品升星石19/元宝38000</v>
      </c>
      <c r="M246" s="22">
        <v>90</v>
      </c>
    </row>
    <row r="247" spans="1:13" ht="15.75" x14ac:dyDescent="0.3">
      <c r="A247" s="22" t="s">
        <v>49</v>
      </c>
      <c r="B247" s="22" t="s">
        <v>33</v>
      </c>
      <c r="C247" s="22" t="s">
        <v>1909</v>
      </c>
      <c r="D247" s="2"/>
      <c r="E247" s="2"/>
      <c r="F247" s="23" t="s">
        <v>3009</v>
      </c>
      <c r="G247" s="22">
        <v>4</v>
      </c>
      <c r="H247" s="2"/>
      <c r="I247" s="2"/>
      <c r="J247" s="22" t="str">
        <f t="shared" si="68"/>
        <v>3#3#11|3#4#22|3#5#11|3#6#22|3#7#11|3#8#22</v>
      </c>
      <c r="K247" s="22"/>
      <c r="L247" s="33" t="str">
        <f t="shared" si="67"/>
        <v>凡品升星石22/元宝44000</v>
      </c>
      <c r="M247" s="22">
        <v>80</v>
      </c>
    </row>
    <row r="248" spans="1:13" ht="15.75" x14ac:dyDescent="0.3">
      <c r="A248" s="22" t="s">
        <v>49</v>
      </c>
      <c r="B248" s="22" t="s">
        <v>33</v>
      </c>
      <c r="C248" s="22" t="s">
        <v>1909</v>
      </c>
      <c r="D248" s="2"/>
      <c r="E248" s="2"/>
      <c r="F248" s="23" t="s">
        <v>3010</v>
      </c>
      <c r="G248" s="22">
        <v>5</v>
      </c>
      <c r="H248" s="2"/>
      <c r="I248" s="2"/>
      <c r="J248" s="22" t="str">
        <f t="shared" si="68"/>
        <v>3#3#16|3#4#33|3#5#16|3#6#33|3#7#16|3#8#33</v>
      </c>
      <c r="K248" s="22"/>
      <c r="L248" s="33" t="str">
        <f t="shared" si="67"/>
        <v>凡品升星石22/元宝44000</v>
      </c>
      <c r="M248" s="22">
        <v>70</v>
      </c>
    </row>
    <row r="249" spans="1:13" ht="15.75" x14ac:dyDescent="0.3">
      <c r="A249" s="22" t="s">
        <v>49</v>
      </c>
      <c r="B249" s="22" t="s">
        <v>33</v>
      </c>
      <c r="C249" s="22" t="s">
        <v>1909</v>
      </c>
      <c r="D249" s="2"/>
      <c r="E249" s="2"/>
      <c r="F249" s="23" t="s">
        <v>3011</v>
      </c>
      <c r="G249" s="22">
        <v>6</v>
      </c>
      <c r="H249" s="2"/>
      <c r="I249" s="2"/>
      <c r="J249" s="22" t="str">
        <f t="shared" si="68"/>
        <v>3#3#19|3#4#39|3#5#19|3#6#39|3#7#19|3#8#39</v>
      </c>
      <c r="K249" s="22"/>
      <c r="L249" s="33" t="str">
        <f t="shared" si="67"/>
        <v>凡品升星石26/元宝52000</v>
      </c>
      <c r="M249" s="22">
        <v>60</v>
      </c>
    </row>
    <row r="250" spans="1:13" ht="15.75" x14ac:dyDescent="0.3">
      <c r="A250" s="22" t="s">
        <v>49</v>
      </c>
      <c r="B250" s="22" t="s">
        <v>33</v>
      </c>
      <c r="C250" s="22" t="s">
        <v>1909</v>
      </c>
      <c r="D250" s="2"/>
      <c r="E250" s="2"/>
      <c r="F250" s="23" t="s">
        <v>3012</v>
      </c>
      <c r="G250" s="22">
        <v>7</v>
      </c>
      <c r="H250" s="2"/>
      <c r="I250" s="2"/>
      <c r="J250" s="22" t="str">
        <f t="shared" si="68"/>
        <v>3#3#23|3#4#46|3#5#23|3#6#46|3#7#23|3#8#46</v>
      </c>
      <c r="K250" s="22" t="str">
        <f>$AI$4&amp;AI11&amp;"%"</f>
        <v>攻魔道%1%</v>
      </c>
      <c r="L250" s="33" t="str">
        <f t="shared" si="67"/>
        <v>凡品升星石26/元宝52000</v>
      </c>
      <c r="M250" s="22">
        <v>50</v>
      </c>
    </row>
    <row r="251" spans="1:13" ht="15.75" x14ac:dyDescent="0.3">
      <c r="A251" s="22" t="s">
        <v>49</v>
      </c>
      <c r="B251" s="22" t="s">
        <v>33</v>
      </c>
      <c r="C251" s="22" t="s">
        <v>1909</v>
      </c>
      <c r="D251" s="2"/>
      <c r="E251" s="2"/>
      <c r="F251" s="23" t="s">
        <v>3013</v>
      </c>
      <c r="G251" s="22">
        <v>8</v>
      </c>
      <c r="H251" s="2"/>
      <c r="I251" s="2"/>
      <c r="J251" s="22" t="str">
        <f t="shared" si="68"/>
        <v>3#3#26|3#4#52|3#5#26|3#6#52|3#7#26|3#8#52</v>
      </c>
      <c r="K251" s="22" t="str">
        <f t="shared" ref="K251:K279" si="69">$AI$4&amp;AI12&amp;"%"</f>
        <v>攻魔道%2%</v>
      </c>
      <c r="L251" s="33" t="str">
        <f t="shared" si="67"/>
        <v>凡品升星石32/元宝64000</v>
      </c>
      <c r="M251" s="22">
        <v>40</v>
      </c>
    </row>
    <row r="252" spans="1:13" ht="15.75" x14ac:dyDescent="0.3">
      <c r="A252" s="22" t="s">
        <v>49</v>
      </c>
      <c r="B252" s="22" t="s">
        <v>33</v>
      </c>
      <c r="C252" s="22" t="s">
        <v>1909</v>
      </c>
      <c r="D252" s="2"/>
      <c r="E252" s="2"/>
      <c r="F252" s="23" t="s">
        <v>3014</v>
      </c>
      <c r="G252" s="22">
        <v>9</v>
      </c>
      <c r="H252" s="2"/>
      <c r="I252" s="2"/>
      <c r="J252" s="22" t="str">
        <f t="shared" si="68"/>
        <v>3#3#35|3#4#70|3#5#35|3#6#70|3#7#35|3#8#70</v>
      </c>
      <c r="K252" s="22" t="str">
        <f t="shared" si="69"/>
        <v>攻魔道%3%</v>
      </c>
      <c r="L252" s="33" t="str">
        <f t="shared" si="67"/>
        <v>凡品升星石32/元宝64000</v>
      </c>
      <c r="M252" s="22">
        <v>30</v>
      </c>
    </row>
    <row r="253" spans="1:13" ht="15.75" x14ac:dyDescent="0.3">
      <c r="A253" s="22" t="s">
        <v>49</v>
      </c>
      <c r="B253" s="22" t="s">
        <v>33</v>
      </c>
      <c r="C253" s="22" t="s">
        <v>1909</v>
      </c>
      <c r="D253" s="2"/>
      <c r="E253" s="2"/>
      <c r="F253" s="23" t="s">
        <v>3015</v>
      </c>
      <c r="G253" s="22">
        <v>10</v>
      </c>
      <c r="H253" s="2"/>
      <c r="I253" s="2"/>
      <c r="J253" s="22" t="str">
        <f t="shared" si="68"/>
        <v>3#3#38|3#4#77|3#5#38|3#6#77|3#7#38|3#8#77</v>
      </c>
      <c r="K253" s="22" t="str">
        <f t="shared" si="69"/>
        <v>攻魔道%3%</v>
      </c>
      <c r="L253" s="33" t="str">
        <f t="shared" si="67"/>
        <v>凡品升星石37/元宝74000</v>
      </c>
      <c r="M253" s="22">
        <v>20</v>
      </c>
    </row>
    <row r="254" spans="1:13" ht="15.75" x14ac:dyDescent="0.3">
      <c r="A254" s="22" t="s">
        <v>49</v>
      </c>
      <c r="B254" s="22" t="s">
        <v>33</v>
      </c>
      <c r="C254" s="22" t="s">
        <v>1909</v>
      </c>
      <c r="D254" s="2"/>
      <c r="E254" s="2"/>
      <c r="F254" s="23" t="s">
        <v>3016</v>
      </c>
      <c r="G254" s="22">
        <v>11</v>
      </c>
      <c r="H254" s="2"/>
      <c r="I254" s="2"/>
      <c r="J254" s="22" t="str">
        <f t="shared" si="68"/>
        <v>3#3#42|3#4#85|3#5#42|3#6#85|3#7#42|3#8#85</v>
      </c>
      <c r="K254" s="22" t="str">
        <f t="shared" si="69"/>
        <v>攻魔道%4%</v>
      </c>
      <c r="L254" s="33" t="str">
        <f t="shared" si="67"/>
        <v>凡品升星石37/元宝74000</v>
      </c>
      <c r="M254" s="22">
        <v>15</v>
      </c>
    </row>
    <row r="255" spans="1:13" ht="15.75" x14ac:dyDescent="0.3">
      <c r="A255" s="22" t="s">
        <v>49</v>
      </c>
      <c r="B255" s="22" t="s">
        <v>33</v>
      </c>
      <c r="C255" s="22" t="s">
        <v>1909</v>
      </c>
      <c r="D255" s="2"/>
      <c r="E255" s="2"/>
      <c r="F255" s="23" t="s">
        <v>3017</v>
      </c>
      <c r="G255" s="22">
        <v>12</v>
      </c>
      <c r="H255" s="2"/>
      <c r="I255" s="2"/>
      <c r="J255" s="22" t="str">
        <f t="shared" si="68"/>
        <v>3#3#46|3#4#93|3#5#46|3#6#93|3#7#46|3#8#93</v>
      </c>
      <c r="K255" s="22" t="str">
        <f t="shared" si="69"/>
        <v>攻魔道%4%</v>
      </c>
      <c r="L255" s="33" t="str">
        <f>"仙品升星石"&amp;INT(X16/2)&amp;"/元宝"&amp;Y16</f>
        <v>仙品升星石19/元宝78000</v>
      </c>
      <c r="M255" s="22">
        <v>100</v>
      </c>
    </row>
    <row r="256" spans="1:13" ht="15.75" x14ac:dyDescent="0.3">
      <c r="A256" s="22" t="s">
        <v>49</v>
      </c>
      <c r="B256" s="22" t="s">
        <v>33</v>
      </c>
      <c r="C256" s="22" t="s">
        <v>1909</v>
      </c>
      <c r="D256" s="2"/>
      <c r="E256" s="2"/>
      <c r="F256" s="23" t="s">
        <v>3018</v>
      </c>
      <c r="G256" s="22">
        <v>13</v>
      </c>
      <c r="H256" s="2"/>
      <c r="I256" s="2"/>
      <c r="J256" s="22" t="str">
        <f t="shared" si="68"/>
        <v>3#3#54|3#4#108|3#5#54|3#6#108|3#7#54|3#8#108</v>
      </c>
      <c r="K256" s="22" t="str">
        <f t="shared" si="69"/>
        <v>攻魔道%5%</v>
      </c>
      <c r="L256" s="33" t="str">
        <f t="shared" ref="L256:L266" si="70">"仙品升星石"&amp;INT(X17/2)&amp;"/元宝"&amp;Y17</f>
        <v>仙品升星石19/元宝78000</v>
      </c>
      <c r="M256" s="22">
        <v>100</v>
      </c>
    </row>
    <row r="257" spans="1:13" ht="15.75" x14ac:dyDescent="0.3">
      <c r="A257" s="22" t="s">
        <v>49</v>
      </c>
      <c r="B257" s="22" t="s">
        <v>33</v>
      </c>
      <c r="C257" s="22" t="s">
        <v>1909</v>
      </c>
      <c r="D257" s="2"/>
      <c r="E257" s="2"/>
      <c r="F257" s="23" t="s">
        <v>3019</v>
      </c>
      <c r="G257" s="22">
        <v>14</v>
      </c>
      <c r="H257" s="2"/>
      <c r="I257" s="2"/>
      <c r="J257" s="22" t="str">
        <f t="shared" si="68"/>
        <v>3#3#58|3#4#116|3#5#58|3#6#116|3#7#58|3#8#116</v>
      </c>
      <c r="K257" s="22" t="str">
        <f t="shared" si="69"/>
        <v>攻魔道%5%</v>
      </c>
      <c r="L257" s="33" t="str">
        <f t="shared" si="70"/>
        <v>仙品升星石21/元宝84000</v>
      </c>
      <c r="M257" s="22">
        <v>100</v>
      </c>
    </row>
    <row r="258" spans="1:13" ht="15.75" x14ac:dyDescent="0.3">
      <c r="A258" s="22" t="s">
        <v>49</v>
      </c>
      <c r="B258" s="22" t="s">
        <v>33</v>
      </c>
      <c r="C258" s="22" t="s">
        <v>1909</v>
      </c>
      <c r="D258" s="2"/>
      <c r="E258" s="2"/>
      <c r="F258" s="23" t="s">
        <v>3020</v>
      </c>
      <c r="G258" s="22">
        <v>15</v>
      </c>
      <c r="H258" s="2"/>
      <c r="I258" s="2"/>
      <c r="J258" s="22" t="str">
        <f t="shared" si="68"/>
        <v>3#3#62|3#4#124|3#5#62|3#6#124|3#7#62|3#8#124</v>
      </c>
      <c r="K258" s="22" t="str">
        <f t="shared" si="69"/>
        <v>攻魔道%6%</v>
      </c>
      <c r="L258" s="33" t="str">
        <f t="shared" si="70"/>
        <v>仙品升星石21/元宝84000</v>
      </c>
      <c r="M258" s="22">
        <v>70</v>
      </c>
    </row>
    <row r="259" spans="1:13" ht="15.75" x14ac:dyDescent="0.3">
      <c r="A259" s="22" t="s">
        <v>49</v>
      </c>
      <c r="B259" s="22" t="s">
        <v>33</v>
      </c>
      <c r="C259" s="22" t="s">
        <v>1909</v>
      </c>
      <c r="D259" s="2"/>
      <c r="E259" s="2"/>
      <c r="F259" s="23" t="s">
        <v>3021</v>
      </c>
      <c r="G259" s="22">
        <v>16</v>
      </c>
      <c r="H259" s="2"/>
      <c r="I259" s="2"/>
      <c r="J259" s="22" t="str">
        <f t="shared" si="68"/>
        <v>3#3#66|3#4#132|3#5#66|3#6#132|3#7#66|3#8#132</v>
      </c>
      <c r="K259" s="22" t="str">
        <f t="shared" si="69"/>
        <v>攻魔道%6%</v>
      </c>
      <c r="L259" s="33" t="str">
        <f t="shared" si="70"/>
        <v>仙品升星石23/元宝92000</v>
      </c>
      <c r="M259" s="22">
        <v>60</v>
      </c>
    </row>
    <row r="260" spans="1:13" ht="15.75" x14ac:dyDescent="0.3">
      <c r="A260" s="22" t="s">
        <v>49</v>
      </c>
      <c r="B260" s="22" t="s">
        <v>33</v>
      </c>
      <c r="C260" s="22" t="s">
        <v>1909</v>
      </c>
      <c r="D260" s="2"/>
      <c r="E260" s="2"/>
      <c r="F260" s="23" t="s">
        <v>3022</v>
      </c>
      <c r="G260" s="22">
        <v>17</v>
      </c>
      <c r="H260" s="2"/>
      <c r="I260" s="2"/>
      <c r="J260" s="22" t="str">
        <f t="shared" si="68"/>
        <v>3#3#79|3#4#159|3#5#79|3#6#159|3#7#79|3#8#159</v>
      </c>
      <c r="K260" s="22" t="str">
        <f t="shared" si="69"/>
        <v>攻魔道%7%</v>
      </c>
      <c r="L260" s="33" t="str">
        <f t="shared" si="70"/>
        <v>仙品升星石23/元宝92000</v>
      </c>
      <c r="M260" s="22">
        <v>50</v>
      </c>
    </row>
    <row r="261" spans="1:13" ht="15.75" x14ac:dyDescent="0.3">
      <c r="A261" s="22" t="s">
        <v>49</v>
      </c>
      <c r="B261" s="22" t="s">
        <v>33</v>
      </c>
      <c r="C261" s="22" t="s">
        <v>1909</v>
      </c>
      <c r="D261" s="2"/>
      <c r="E261" s="2"/>
      <c r="F261" s="23" t="s">
        <v>3023</v>
      </c>
      <c r="G261" s="22">
        <v>18</v>
      </c>
      <c r="H261" s="2"/>
      <c r="I261" s="2"/>
      <c r="J261" s="22" t="str">
        <f t="shared" si="68"/>
        <v>3#3#85|3#4#170|3#5#85|3#6#170|3#7#85|3#8#170</v>
      </c>
      <c r="K261" s="22" t="str">
        <f t="shared" si="69"/>
        <v>攻魔道%7%</v>
      </c>
      <c r="L261" s="33" t="str">
        <f t="shared" si="70"/>
        <v>仙品升星石24/元宝98000</v>
      </c>
      <c r="M261" s="22">
        <v>40</v>
      </c>
    </row>
    <row r="262" spans="1:13" ht="15.75" x14ac:dyDescent="0.3">
      <c r="A262" s="22" t="s">
        <v>49</v>
      </c>
      <c r="B262" s="22" t="s">
        <v>33</v>
      </c>
      <c r="C262" s="22" t="s">
        <v>1909</v>
      </c>
      <c r="D262" s="2"/>
      <c r="E262" s="2"/>
      <c r="F262" s="23" t="s">
        <v>3024</v>
      </c>
      <c r="G262" s="22">
        <v>19</v>
      </c>
      <c r="H262" s="2"/>
      <c r="I262" s="2"/>
      <c r="J262" s="22" t="str">
        <f t="shared" si="68"/>
        <v>3#3#89|3#4#179|3#5#89|3#6#179|3#7#89|3#8#179</v>
      </c>
      <c r="K262" s="22" t="str">
        <f t="shared" si="69"/>
        <v>攻魔道%8%</v>
      </c>
      <c r="L262" s="33" t="str">
        <f t="shared" si="70"/>
        <v>仙品升星石24/元宝98000</v>
      </c>
      <c r="M262" s="22">
        <v>30</v>
      </c>
    </row>
    <row r="263" spans="1:13" ht="15.75" x14ac:dyDescent="0.3">
      <c r="A263" s="22" t="s">
        <v>49</v>
      </c>
      <c r="B263" s="22" t="s">
        <v>33</v>
      </c>
      <c r="C263" s="22" t="s">
        <v>1909</v>
      </c>
      <c r="D263" s="2"/>
      <c r="E263" s="2"/>
      <c r="F263" s="23" t="s">
        <v>3025</v>
      </c>
      <c r="G263" s="22">
        <v>20</v>
      </c>
      <c r="H263" s="2"/>
      <c r="I263" s="2"/>
      <c r="J263" s="22" t="str">
        <f t="shared" si="68"/>
        <v>3#3#94|3#4#188|3#5#94|3#6#188|3#7#94|3#8#188</v>
      </c>
      <c r="K263" s="22" t="str">
        <f t="shared" si="69"/>
        <v>攻魔道%8%</v>
      </c>
      <c r="L263" s="33" t="str">
        <f t="shared" si="70"/>
        <v>仙品升星石26/元宝104000</v>
      </c>
      <c r="M263" s="22">
        <v>25</v>
      </c>
    </row>
    <row r="264" spans="1:13" ht="15.75" x14ac:dyDescent="0.3">
      <c r="A264" s="22" t="s">
        <v>49</v>
      </c>
      <c r="B264" s="22" t="s">
        <v>33</v>
      </c>
      <c r="C264" s="22" t="s">
        <v>1909</v>
      </c>
      <c r="D264" s="2"/>
      <c r="E264" s="2"/>
      <c r="F264" s="23" t="s">
        <v>3026</v>
      </c>
      <c r="G264" s="22">
        <v>21</v>
      </c>
      <c r="H264" s="2"/>
      <c r="I264" s="2"/>
      <c r="J264" s="22" t="str">
        <f t="shared" si="68"/>
        <v>3#3#110|3#4#221|3#5#110|3#6#221|3#7#110|3#8#221</v>
      </c>
      <c r="K264" s="22" t="str">
        <f t="shared" si="69"/>
        <v>攻魔道%9%</v>
      </c>
      <c r="L264" s="33" t="str">
        <f t="shared" si="70"/>
        <v>仙品升星石26/元宝104000</v>
      </c>
      <c r="M264" s="22">
        <v>20</v>
      </c>
    </row>
    <row r="265" spans="1:13" ht="15.75" x14ac:dyDescent="0.3">
      <c r="A265" s="22" t="s">
        <v>49</v>
      </c>
      <c r="B265" s="22" t="s">
        <v>33</v>
      </c>
      <c r="C265" s="22" t="s">
        <v>1909</v>
      </c>
      <c r="D265" s="2"/>
      <c r="E265" s="2"/>
      <c r="F265" s="23" t="s">
        <v>3027</v>
      </c>
      <c r="G265" s="22">
        <v>22</v>
      </c>
      <c r="H265" s="2"/>
      <c r="I265" s="2"/>
      <c r="J265" s="22" t="str">
        <f t="shared" si="68"/>
        <v>3#3#115|3#4#231|3#5#115|3#6#231|3#7#115|3#8#231</v>
      </c>
      <c r="K265" s="22" t="str">
        <f t="shared" si="69"/>
        <v>攻魔道%9%</v>
      </c>
      <c r="L265" s="33" t="str">
        <f t="shared" si="70"/>
        <v>仙品升星石27/元宝110000</v>
      </c>
      <c r="M265" s="22">
        <v>15</v>
      </c>
    </row>
    <row r="266" spans="1:13" ht="15.75" x14ac:dyDescent="0.3">
      <c r="A266" s="22" t="s">
        <v>49</v>
      </c>
      <c r="B266" s="22" t="s">
        <v>33</v>
      </c>
      <c r="C266" s="22" t="s">
        <v>1909</v>
      </c>
      <c r="D266" s="2"/>
      <c r="E266" s="2"/>
      <c r="F266" s="23" t="s">
        <v>3028</v>
      </c>
      <c r="G266" s="22">
        <v>23</v>
      </c>
      <c r="H266" s="2"/>
      <c r="I266" s="2"/>
      <c r="J266" s="22" t="str">
        <f t="shared" si="68"/>
        <v>3#3#121|3#4#242|3#5#121|3#6#242|3#7#121|3#8#242</v>
      </c>
      <c r="K266" s="22" t="str">
        <f t="shared" si="69"/>
        <v>攻魔道%10%</v>
      </c>
      <c r="L266" s="33" t="str">
        <f t="shared" si="70"/>
        <v>仙品升星石27/元宝110000</v>
      </c>
      <c r="M266" s="22">
        <v>10</v>
      </c>
    </row>
    <row r="267" spans="1:13" ht="15.75" x14ac:dyDescent="0.3">
      <c r="A267" s="22" t="s">
        <v>49</v>
      </c>
      <c r="B267" s="22" t="s">
        <v>33</v>
      </c>
      <c r="C267" s="22" t="s">
        <v>1909</v>
      </c>
      <c r="D267" s="2"/>
      <c r="E267" s="2"/>
      <c r="F267" s="23" t="s">
        <v>3029</v>
      </c>
      <c r="G267" s="22">
        <v>24</v>
      </c>
      <c r="H267" s="2"/>
      <c r="I267" s="2"/>
      <c r="J267" s="22" t="str">
        <f t="shared" si="68"/>
        <v>3#3#126|3#4#252|3#5#126|3#6#252|3#7#126|3#8#252</v>
      </c>
      <c r="K267" s="22" t="str">
        <f t="shared" si="69"/>
        <v>攻魔道%10%</v>
      </c>
      <c r="L267" s="33" t="str">
        <f>"神品升星石"&amp;INT(X28/10)&amp;"/元宝"&amp;Y28</f>
        <v>神品升星石5/元宝116000</v>
      </c>
      <c r="M267" s="22">
        <v>100</v>
      </c>
    </row>
    <row r="268" spans="1:13" ht="15.75" x14ac:dyDescent="0.3">
      <c r="A268" s="22" t="s">
        <v>49</v>
      </c>
      <c r="B268" s="22" t="s">
        <v>33</v>
      </c>
      <c r="C268" s="22" t="s">
        <v>1909</v>
      </c>
      <c r="D268" s="2"/>
      <c r="E268" s="2"/>
      <c r="F268" s="23" t="s">
        <v>3030</v>
      </c>
      <c r="G268" s="22">
        <v>25</v>
      </c>
      <c r="H268" s="2"/>
      <c r="I268" s="2"/>
      <c r="J268" s="22" t="str">
        <f t="shared" si="68"/>
        <v>3#3#138|3#4#277|3#5#138|3#6#277|3#7#138|3#8#277</v>
      </c>
      <c r="K268" s="22" t="str">
        <f t="shared" si="69"/>
        <v>攻魔道%11%</v>
      </c>
      <c r="L268" s="33" t="str">
        <f t="shared" ref="L268:L278" si="71">"神品升星石"&amp;INT(X29/10)&amp;"/元宝"&amp;Y29</f>
        <v>神品升星石5/元宝116000</v>
      </c>
      <c r="M268" s="22">
        <v>100</v>
      </c>
    </row>
    <row r="269" spans="1:13" ht="15.75" x14ac:dyDescent="0.3">
      <c r="A269" s="22" t="s">
        <v>49</v>
      </c>
      <c r="B269" s="22" t="s">
        <v>33</v>
      </c>
      <c r="C269" s="22" t="s">
        <v>1909</v>
      </c>
      <c r="D269" s="2"/>
      <c r="E269" s="2"/>
      <c r="F269" s="23" t="s">
        <v>3031</v>
      </c>
      <c r="G269" s="22">
        <v>26</v>
      </c>
      <c r="H269" s="2"/>
      <c r="I269" s="2"/>
      <c r="J269" s="22" t="str">
        <f t="shared" si="68"/>
        <v>3#3#144|3#4#288|3#5#144|3#6#288|3#7#144|3#8#288</v>
      </c>
      <c r="K269" s="22" t="str">
        <f t="shared" si="69"/>
        <v>攻魔道%11%</v>
      </c>
      <c r="L269" s="33" t="str">
        <f t="shared" si="71"/>
        <v>神品升星石6/元宝122000</v>
      </c>
      <c r="M269" s="22">
        <v>100</v>
      </c>
    </row>
    <row r="270" spans="1:13" ht="15.75" x14ac:dyDescent="0.3">
      <c r="A270" s="22" t="s">
        <v>49</v>
      </c>
      <c r="B270" s="22" t="s">
        <v>33</v>
      </c>
      <c r="C270" s="22" t="s">
        <v>1909</v>
      </c>
      <c r="D270" s="2"/>
      <c r="E270" s="2"/>
      <c r="F270" s="23" t="s">
        <v>3032</v>
      </c>
      <c r="G270" s="22">
        <v>27</v>
      </c>
      <c r="H270" s="2"/>
      <c r="I270" s="2"/>
      <c r="J270" s="22" t="str">
        <f t="shared" si="68"/>
        <v>3#3#150|3#4#300|3#5#150|3#6#300|3#7#150|3#8#300</v>
      </c>
      <c r="K270" s="22" t="str">
        <f t="shared" si="69"/>
        <v>攻魔道%12%</v>
      </c>
      <c r="L270" s="33" t="str">
        <f t="shared" si="71"/>
        <v>神品升星石6/元宝122000</v>
      </c>
      <c r="M270" s="22">
        <v>70</v>
      </c>
    </row>
    <row r="271" spans="1:13" ht="15.75" x14ac:dyDescent="0.3">
      <c r="A271" s="22" t="s">
        <v>49</v>
      </c>
      <c r="B271" s="22" t="s">
        <v>33</v>
      </c>
      <c r="C271" s="22" t="s">
        <v>1909</v>
      </c>
      <c r="D271" s="2"/>
      <c r="E271" s="2"/>
      <c r="F271" s="23" t="s">
        <v>3033</v>
      </c>
      <c r="G271" s="22">
        <v>28</v>
      </c>
      <c r="H271" s="2"/>
      <c r="I271" s="2"/>
      <c r="J271" s="22" t="str">
        <f t="shared" si="68"/>
        <v>3#3#155|3#4#311|3#5#155|3#6#311|3#7#155|3#8#311</v>
      </c>
      <c r="K271" s="22" t="str">
        <f t="shared" si="69"/>
        <v>攻魔道%12%</v>
      </c>
      <c r="L271" s="33" t="str">
        <f t="shared" si="71"/>
        <v>神品升星石6/元宝130000</v>
      </c>
      <c r="M271" s="22">
        <v>60</v>
      </c>
    </row>
    <row r="272" spans="1:13" ht="15.75" x14ac:dyDescent="0.3">
      <c r="A272" s="22" t="s">
        <v>49</v>
      </c>
      <c r="B272" s="22" t="s">
        <v>33</v>
      </c>
      <c r="C272" s="22" t="s">
        <v>1909</v>
      </c>
      <c r="D272" s="2"/>
      <c r="E272" s="2"/>
      <c r="F272" s="23" t="s">
        <v>3034</v>
      </c>
      <c r="G272" s="22">
        <v>29</v>
      </c>
      <c r="H272" s="2"/>
      <c r="I272" s="2"/>
      <c r="J272" s="22" t="str">
        <f t="shared" si="68"/>
        <v>3#3#161|3#4#322|3#5#161|3#6#322|3#7#161|3#8#322</v>
      </c>
      <c r="K272" s="22" t="str">
        <f t="shared" si="69"/>
        <v>攻魔道%13%</v>
      </c>
      <c r="L272" s="33" t="str">
        <f t="shared" si="71"/>
        <v>神品升星石6/元宝130000</v>
      </c>
      <c r="M272" s="22">
        <v>50</v>
      </c>
    </row>
    <row r="273" spans="1:13" ht="15.75" x14ac:dyDescent="0.3">
      <c r="A273" s="22" t="s">
        <v>49</v>
      </c>
      <c r="B273" s="22" t="s">
        <v>33</v>
      </c>
      <c r="C273" s="22" t="s">
        <v>1909</v>
      </c>
      <c r="D273" s="2"/>
      <c r="E273" s="2"/>
      <c r="F273" s="23" t="s">
        <v>3035</v>
      </c>
      <c r="G273" s="22">
        <v>30</v>
      </c>
      <c r="H273" s="2"/>
      <c r="I273" s="2"/>
      <c r="J273" s="22" t="str">
        <f t="shared" si="68"/>
        <v>3#3#166|3#4#333|3#5#166|3#6#333|3#7#166|3#8#333</v>
      </c>
      <c r="K273" s="22" t="str">
        <f t="shared" si="69"/>
        <v>攻魔道%13%</v>
      </c>
      <c r="L273" s="33" t="str">
        <f t="shared" si="71"/>
        <v>神品升星石6/元宝136000</v>
      </c>
      <c r="M273" s="22">
        <v>40</v>
      </c>
    </row>
    <row r="274" spans="1:13" ht="15.75" x14ac:dyDescent="0.3">
      <c r="A274" s="22" t="s">
        <v>49</v>
      </c>
      <c r="B274" s="22" t="s">
        <v>33</v>
      </c>
      <c r="C274" s="22" t="s">
        <v>1909</v>
      </c>
      <c r="D274" s="2"/>
      <c r="E274" s="2"/>
      <c r="F274" s="23" t="s">
        <v>3036</v>
      </c>
      <c r="G274" s="22">
        <v>31</v>
      </c>
      <c r="H274" s="2"/>
      <c r="I274" s="2"/>
      <c r="J274" s="22" t="str">
        <f t="shared" si="68"/>
        <v>3#3#172|3#4#344|3#5#172|3#6#344|3#7#172|3#8#344</v>
      </c>
      <c r="K274" s="22" t="str">
        <f t="shared" si="69"/>
        <v>攻魔道%14%</v>
      </c>
      <c r="L274" s="33" t="str">
        <f t="shared" si="71"/>
        <v>神品升星石6/元宝136000</v>
      </c>
      <c r="M274" s="22">
        <v>30</v>
      </c>
    </row>
    <row r="275" spans="1:13" ht="15.75" x14ac:dyDescent="0.3">
      <c r="A275" s="22" t="s">
        <v>49</v>
      </c>
      <c r="B275" s="22" t="s">
        <v>33</v>
      </c>
      <c r="C275" s="22" t="s">
        <v>1909</v>
      </c>
      <c r="D275" s="2"/>
      <c r="E275" s="2"/>
      <c r="F275" s="23" t="s">
        <v>3037</v>
      </c>
      <c r="G275" s="22">
        <v>32</v>
      </c>
      <c r="H275" s="2"/>
      <c r="I275" s="2"/>
      <c r="J275" s="22" t="str">
        <f t="shared" si="68"/>
        <v>3#3#177|3#4#355|3#5#177|3#6#355|3#7#177|3#8#355</v>
      </c>
      <c r="K275" s="22" t="str">
        <f t="shared" si="69"/>
        <v>攻魔道%14%</v>
      </c>
      <c r="L275" s="33" t="str">
        <f t="shared" si="71"/>
        <v>神品升星石7/元宝142000</v>
      </c>
      <c r="M275" s="22">
        <v>25</v>
      </c>
    </row>
    <row r="276" spans="1:13" ht="15.75" x14ac:dyDescent="0.3">
      <c r="A276" s="22" t="s">
        <v>49</v>
      </c>
      <c r="B276" s="22" t="s">
        <v>33</v>
      </c>
      <c r="C276" s="22" t="s">
        <v>1909</v>
      </c>
      <c r="D276" s="2"/>
      <c r="E276" s="2"/>
      <c r="F276" s="23" t="s">
        <v>3038</v>
      </c>
      <c r="G276" s="22">
        <v>33</v>
      </c>
      <c r="H276" s="2"/>
      <c r="I276" s="2"/>
      <c r="J276" s="22" t="str">
        <f t="shared" si="68"/>
        <v>3#3#183|3#4#366|3#5#183|3#6#366|3#7#183|3#8#366</v>
      </c>
      <c r="K276" s="22" t="str">
        <f t="shared" si="69"/>
        <v>攻魔道%15%</v>
      </c>
      <c r="L276" s="33" t="str">
        <f t="shared" si="71"/>
        <v>神品升星石7/元宝142000</v>
      </c>
      <c r="M276" s="22">
        <v>20</v>
      </c>
    </row>
    <row r="277" spans="1:13" ht="15.75" x14ac:dyDescent="0.3">
      <c r="A277" s="22" t="s">
        <v>49</v>
      </c>
      <c r="B277" s="22" t="s">
        <v>33</v>
      </c>
      <c r="C277" s="22" t="s">
        <v>1909</v>
      </c>
      <c r="D277" s="2"/>
      <c r="E277" s="2"/>
      <c r="F277" s="23" t="s">
        <v>3039</v>
      </c>
      <c r="G277" s="22">
        <v>34</v>
      </c>
      <c r="H277" s="2"/>
      <c r="I277" s="2"/>
      <c r="J277" s="22" t="str">
        <f t="shared" si="68"/>
        <v>3#3#188|3#4#377|3#5#188|3#6#377|3#7#188|3#8#377</v>
      </c>
      <c r="K277" s="22" t="str">
        <f t="shared" si="69"/>
        <v>攻魔道%16%</v>
      </c>
      <c r="L277" s="33" t="str">
        <f t="shared" si="71"/>
        <v>神品升星石7/元宝148000</v>
      </c>
      <c r="M277" s="22">
        <v>15</v>
      </c>
    </row>
    <row r="278" spans="1:13" ht="15.75" x14ac:dyDescent="0.3">
      <c r="A278" s="22" t="s">
        <v>49</v>
      </c>
      <c r="B278" s="22" t="s">
        <v>33</v>
      </c>
      <c r="C278" s="22" t="s">
        <v>1909</v>
      </c>
      <c r="D278" s="2"/>
      <c r="E278" s="2"/>
      <c r="F278" s="23" t="s">
        <v>3040</v>
      </c>
      <c r="G278" s="22">
        <v>35</v>
      </c>
      <c r="H278" s="2"/>
      <c r="I278" s="2"/>
      <c r="J278" s="22" t="str">
        <f t="shared" si="68"/>
        <v>3#3#194|3#4#388|3#5#194|3#6#388|3#7#194|3#8#388</v>
      </c>
      <c r="K278" s="22" t="str">
        <f t="shared" si="69"/>
        <v>攻魔道%17%</v>
      </c>
      <c r="L278" s="33" t="str">
        <f t="shared" si="71"/>
        <v>神品升星石7/元宝148000</v>
      </c>
      <c r="M278" s="22">
        <v>10</v>
      </c>
    </row>
    <row r="279" spans="1:13" ht="15.75" x14ac:dyDescent="0.3">
      <c r="A279" s="22" t="s">
        <v>49</v>
      </c>
      <c r="B279" s="22" t="s">
        <v>33</v>
      </c>
      <c r="C279" s="22" t="s">
        <v>1909</v>
      </c>
      <c r="D279" s="2"/>
      <c r="E279" s="2"/>
      <c r="F279" s="23" t="s">
        <v>3041</v>
      </c>
      <c r="G279" s="22">
        <v>36</v>
      </c>
      <c r="H279" s="2"/>
      <c r="I279" s="2"/>
      <c r="J279" s="22" t="str">
        <f t="shared" si="68"/>
        <v>3#3#200|3#4#400|3#5#200|3#6#400|3#7#200|3#8#400</v>
      </c>
      <c r="K279" s="22" t="str">
        <f t="shared" si="69"/>
        <v>攻魔道%18%</v>
      </c>
      <c r="L279" s="2"/>
      <c r="M279" s="22"/>
    </row>
    <row r="280" spans="1:13" ht="15.75" x14ac:dyDescent="0.3">
      <c r="A280" s="22" t="s">
        <v>49</v>
      </c>
      <c r="B280" s="22" t="s">
        <v>33</v>
      </c>
      <c r="C280" s="22" t="s">
        <v>1909</v>
      </c>
      <c r="D280" s="2"/>
      <c r="E280" s="2"/>
      <c r="F280" s="23" t="s">
        <v>3042</v>
      </c>
      <c r="G280" s="22">
        <v>37</v>
      </c>
      <c r="H280" s="2"/>
      <c r="I280" s="2"/>
      <c r="J280" s="22"/>
      <c r="K280" s="22"/>
      <c r="L280" s="2"/>
      <c r="M280" s="22"/>
    </row>
    <row r="281" spans="1:13" ht="15.75" x14ac:dyDescent="0.3">
      <c r="A281" s="22" t="s">
        <v>49</v>
      </c>
      <c r="B281" s="22" t="s">
        <v>33</v>
      </c>
      <c r="C281" s="22" t="s">
        <v>1909</v>
      </c>
      <c r="D281" s="2"/>
      <c r="E281" s="2"/>
      <c r="F281" s="23" t="s">
        <v>3043</v>
      </c>
      <c r="G281" s="22">
        <v>38</v>
      </c>
      <c r="H281" s="2"/>
      <c r="I281" s="2"/>
      <c r="J281" s="22"/>
      <c r="K281" s="22"/>
      <c r="L281" s="2"/>
      <c r="M281" s="22"/>
    </row>
    <row r="282" spans="1:13" ht="15.75" x14ac:dyDescent="0.3">
      <c r="A282" s="22" t="s">
        <v>49</v>
      </c>
      <c r="B282" s="22" t="s">
        <v>33</v>
      </c>
      <c r="C282" s="22" t="s">
        <v>1909</v>
      </c>
      <c r="D282" s="2"/>
      <c r="E282" s="2"/>
      <c r="F282" s="23" t="s">
        <v>3044</v>
      </c>
      <c r="G282" s="22">
        <v>39</v>
      </c>
      <c r="H282" s="2"/>
      <c r="I282" s="2"/>
      <c r="J282" s="22"/>
      <c r="K282" s="22"/>
      <c r="L282" s="2"/>
      <c r="M282" s="22"/>
    </row>
    <row r="283" spans="1:13" ht="15.75" x14ac:dyDescent="0.3">
      <c r="A283" s="22" t="s">
        <v>49</v>
      </c>
      <c r="B283" s="22" t="s">
        <v>33</v>
      </c>
      <c r="C283" s="22" t="s">
        <v>1910</v>
      </c>
      <c r="D283" s="22"/>
      <c r="E283" s="22"/>
      <c r="F283" s="23" t="s">
        <v>3005</v>
      </c>
      <c r="G283" s="22">
        <v>0</v>
      </c>
      <c r="H283" s="32"/>
      <c r="I283" s="22"/>
      <c r="J283" s="22"/>
      <c r="K283" s="22"/>
      <c r="L283" s="33" t="str">
        <f>"凡品升星石"&amp;X4&amp;"/元宝"&amp;Y4</f>
        <v>凡品升星石16/元宝32000</v>
      </c>
      <c r="M283" s="22">
        <v>100</v>
      </c>
    </row>
    <row r="284" spans="1:13" ht="15.75" x14ac:dyDescent="0.3">
      <c r="A284" s="22" t="s">
        <v>49</v>
      </c>
      <c r="B284" s="22" t="s">
        <v>33</v>
      </c>
      <c r="C284" s="22" t="s">
        <v>1910</v>
      </c>
      <c r="D284" s="22"/>
      <c r="E284" s="22"/>
      <c r="F284" s="23" t="s">
        <v>3006</v>
      </c>
      <c r="G284" s="22">
        <v>1</v>
      </c>
      <c r="H284" s="32"/>
      <c r="I284" s="22"/>
      <c r="J2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84" s="22"/>
      <c r="L284" s="33" t="str">
        <f t="shared" ref="L284:L294" si="72">"凡品升星石"&amp;X5&amp;"/元宝"&amp;Y5</f>
        <v>凡品升星石16/元宝32000</v>
      </c>
      <c r="M284" s="22">
        <v>100</v>
      </c>
    </row>
    <row r="285" spans="1:13" ht="15.75" x14ac:dyDescent="0.3">
      <c r="A285" s="22" t="s">
        <v>49</v>
      </c>
      <c r="B285" s="22" t="s">
        <v>33</v>
      </c>
      <c r="C285" s="22" t="s">
        <v>1910</v>
      </c>
      <c r="D285" s="2"/>
      <c r="E285" s="2"/>
      <c r="F285" s="23" t="s">
        <v>3007</v>
      </c>
      <c r="G285" s="22">
        <v>2</v>
      </c>
      <c r="H285" s="2"/>
      <c r="I285" s="2"/>
      <c r="J285" s="22" t="str">
        <f t="shared" ref="J285:J319" si="73">"3#3#"&amp;INT(0.5*S5)&amp;"|"&amp;"3#4#"&amp;S5&amp;"|"&amp;"3#5#"&amp;INT(0.5*S5)&amp;"|"&amp;"3#6#"&amp;S5&amp;"|"&amp;"3#7#"&amp;INT(0.5*S5)&amp;"|"&amp;"3#8#"&amp;S5</f>
        <v>3#3#5|3#4#11|3#5#5|3#6#11|3#7#5|3#8#11</v>
      </c>
      <c r="K285" s="22"/>
      <c r="L285" s="33" t="str">
        <f t="shared" si="72"/>
        <v>凡品升星石19/元宝38000</v>
      </c>
      <c r="M285" s="22">
        <v>100</v>
      </c>
    </row>
    <row r="286" spans="1:13" ht="15.75" x14ac:dyDescent="0.3">
      <c r="A286" s="22" t="s">
        <v>49</v>
      </c>
      <c r="B286" s="22" t="s">
        <v>33</v>
      </c>
      <c r="C286" s="22" t="s">
        <v>1910</v>
      </c>
      <c r="D286" s="2"/>
      <c r="E286" s="2"/>
      <c r="F286" s="23" t="s">
        <v>3008</v>
      </c>
      <c r="G286" s="22">
        <v>3</v>
      </c>
      <c r="H286" s="2"/>
      <c r="I286" s="2"/>
      <c r="J286" s="22" t="str">
        <f t="shared" si="73"/>
        <v>3#3#8|3#4#16|3#5#8|3#6#16|3#7#8|3#8#16</v>
      </c>
      <c r="K286" s="22"/>
      <c r="L286" s="33" t="str">
        <f t="shared" si="72"/>
        <v>凡品升星石19/元宝38000</v>
      </c>
      <c r="M286" s="22">
        <v>90</v>
      </c>
    </row>
    <row r="287" spans="1:13" ht="15.75" x14ac:dyDescent="0.3">
      <c r="A287" s="22" t="s">
        <v>49</v>
      </c>
      <c r="B287" s="22" t="s">
        <v>33</v>
      </c>
      <c r="C287" s="22" t="s">
        <v>1910</v>
      </c>
      <c r="D287" s="2"/>
      <c r="E287" s="2"/>
      <c r="F287" s="23" t="s">
        <v>3009</v>
      </c>
      <c r="G287" s="22">
        <v>4</v>
      </c>
      <c r="H287" s="2"/>
      <c r="I287" s="2"/>
      <c r="J287" s="22" t="str">
        <f t="shared" si="73"/>
        <v>3#3#11|3#4#22|3#5#11|3#6#22|3#7#11|3#8#22</v>
      </c>
      <c r="K287" s="22"/>
      <c r="L287" s="33" t="str">
        <f t="shared" si="72"/>
        <v>凡品升星石22/元宝44000</v>
      </c>
      <c r="M287" s="22">
        <v>80</v>
      </c>
    </row>
    <row r="288" spans="1:13" ht="15.75" x14ac:dyDescent="0.3">
      <c r="A288" s="22" t="s">
        <v>49</v>
      </c>
      <c r="B288" s="22" t="s">
        <v>33</v>
      </c>
      <c r="C288" s="22" t="s">
        <v>1910</v>
      </c>
      <c r="D288" s="2"/>
      <c r="E288" s="2"/>
      <c r="F288" s="23" t="s">
        <v>3010</v>
      </c>
      <c r="G288" s="22">
        <v>5</v>
      </c>
      <c r="H288" s="2"/>
      <c r="I288" s="2"/>
      <c r="J288" s="22" t="str">
        <f t="shared" si="73"/>
        <v>3#3#16|3#4#33|3#5#16|3#6#33|3#7#16|3#8#33</v>
      </c>
      <c r="K288" s="22"/>
      <c r="L288" s="33" t="str">
        <f t="shared" si="72"/>
        <v>凡品升星石22/元宝44000</v>
      </c>
      <c r="M288" s="22">
        <v>70</v>
      </c>
    </row>
    <row r="289" spans="1:13" ht="15.75" x14ac:dyDescent="0.3">
      <c r="A289" s="22" t="s">
        <v>49</v>
      </c>
      <c r="B289" s="22" t="s">
        <v>33</v>
      </c>
      <c r="C289" s="22" t="s">
        <v>1910</v>
      </c>
      <c r="D289" s="2"/>
      <c r="E289" s="2"/>
      <c r="F289" s="23" t="s">
        <v>3011</v>
      </c>
      <c r="G289" s="22">
        <v>6</v>
      </c>
      <c r="H289" s="2"/>
      <c r="I289" s="2"/>
      <c r="J289" s="22" t="str">
        <f t="shared" si="73"/>
        <v>3#3#19|3#4#39|3#5#19|3#6#39|3#7#19|3#8#39</v>
      </c>
      <c r="K289" s="22"/>
      <c r="L289" s="33" t="str">
        <f t="shared" si="72"/>
        <v>凡品升星石26/元宝52000</v>
      </c>
      <c r="M289" s="22">
        <v>60</v>
      </c>
    </row>
    <row r="290" spans="1:13" ht="15.75" x14ac:dyDescent="0.3">
      <c r="A290" s="22" t="s">
        <v>49</v>
      </c>
      <c r="B290" s="22" t="s">
        <v>33</v>
      </c>
      <c r="C290" s="22" t="s">
        <v>1910</v>
      </c>
      <c r="D290" s="2"/>
      <c r="E290" s="2"/>
      <c r="F290" s="23" t="s">
        <v>3012</v>
      </c>
      <c r="G290" s="22">
        <v>7</v>
      </c>
      <c r="H290" s="2"/>
      <c r="I290" s="2"/>
      <c r="J290" s="22" t="str">
        <f t="shared" si="73"/>
        <v>3#3#23|3#4#46|3#5#23|3#6#46|3#7#23|3#8#46</v>
      </c>
      <c r="K290" s="22" t="str">
        <f>$AK$4&amp;AK11&amp;"%"</f>
        <v>HPMP%1%</v>
      </c>
      <c r="L290" s="33" t="str">
        <f t="shared" si="72"/>
        <v>凡品升星石26/元宝52000</v>
      </c>
      <c r="M290" s="22">
        <v>50</v>
      </c>
    </row>
    <row r="291" spans="1:13" ht="15.75" x14ac:dyDescent="0.3">
      <c r="A291" s="22" t="s">
        <v>49</v>
      </c>
      <c r="B291" s="22" t="s">
        <v>33</v>
      </c>
      <c r="C291" s="22" t="s">
        <v>1910</v>
      </c>
      <c r="D291" s="2"/>
      <c r="E291" s="2"/>
      <c r="F291" s="23" t="s">
        <v>3013</v>
      </c>
      <c r="G291" s="22">
        <v>8</v>
      </c>
      <c r="H291" s="2"/>
      <c r="I291" s="2"/>
      <c r="J291" s="22" t="str">
        <f t="shared" si="73"/>
        <v>3#3#26|3#4#52|3#5#26|3#6#52|3#7#26|3#8#52</v>
      </c>
      <c r="K291" s="22" t="str">
        <f t="shared" ref="K291:K319" si="74">$AK$4&amp;AK12&amp;"%"</f>
        <v>HPMP%2%</v>
      </c>
      <c r="L291" s="33" t="str">
        <f t="shared" si="72"/>
        <v>凡品升星石32/元宝64000</v>
      </c>
      <c r="M291" s="22">
        <v>40</v>
      </c>
    </row>
    <row r="292" spans="1:13" ht="15.75" x14ac:dyDescent="0.3">
      <c r="A292" s="22" t="s">
        <v>49</v>
      </c>
      <c r="B292" s="22" t="s">
        <v>33</v>
      </c>
      <c r="C292" s="22" t="s">
        <v>1910</v>
      </c>
      <c r="D292" s="2"/>
      <c r="E292" s="2"/>
      <c r="F292" s="23" t="s">
        <v>3014</v>
      </c>
      <c r="G292" s="22">
        <v>9</v>
      </c>
      <c r="H292" s="2"/>
      <c r="I292" s="2"/>
      <c r="J292" s="22" t="str">
        <f t="shared" si="73"/>
        <v>3#3#35|3#4#70|3#5#35|3#6#70|3#7#35|3#8#70</v>
      </c>
      <c r="K292" s="22" t="str">
        <f t="shared" si="74"/>
        <v>HPMP%3%</v>
      </c>
      <c r="L292" s="33" t="str">
        <f t="shared" si="72"/>
        <v>凡品升星石32/元宝64000</v>
      </c>
      <c r="M292" s="22">
        <v>30</v>
      </c>
    </row>
    <row r="293" spans="1:13" ht="15.75" x14ac:dyDescent="0.3">
      <c r="A293" s="22" t="s">
        <v>49</v>
      </c>
      <c r="B293" s="22" t="s">
        <v>33</v>
      </c>
      <c r="C293" s="22" t="s">
        <v>1910</v>
      </c>
      <c r="D293" s="2"/>
      <c r="E293" s="2"/>
      <c r="F293" s="23" t="s">
        <v>3015</v>
      </c>
      <c r="G293" s="22">
        <v>10</v>
      </c>
      <c r="H293" s="2"/>
      <c r="I293" s="2"/>
      <c r="J293" s="22" t="str">
        <f t="shared" si="73"/>
        <v>3#3#38|3#4#77|3#5#38|3#6#77|3#7#38|3#8#77</v>
      </c>
      <c r="K293" s="22" t="str">
        <f t="shared" si="74"/>
        <v>HPMP%3%</v>
      </c>
      <c r="L293" s="33" t="str">
        <f t="shared" si="72"/>
        <v>凡品升星石37/元宝74000</v>
      </c>
      <c r="M293" s="22">
        <v>20</v>
      </c>
    </row>
    <row r="294" spans="1:13" ht="15.75" x14ac:dyDescent="0.3">
      <c r="A294" s="22" t="s">
        <v>49</v>
      </c>
      <c r="B294" s="22" t="s">
        <v>33</v>
      </c>
      <c r="C294" s="22" t="s">
        <v>1910</v>
      </c>
      <c r="D294" s="2"/>
      <c r="E294" s="2"/>
      <c r="F294" s="23" t="s">
        <v>3016</v>
      </c>
      <c r="G294" s="22">
        <v>11</v>
      </c>
      <c r="H294" s="2"/>
      <c r="I294" s="2"/>
      <c r="J294" s="22" t="str">
        <f t="shared" si="73"/>
        <v>3#3#42|3#4#85|3#5#42|3#6#85|3#7#42|3#8#85</v>
      </c>
      <c r="K294" s="22" t="str">
        <f t="shared" si="74"/>
        <v>HPMP%4%</v>
      </c>
      <c r="L294" s="33" t="str">
        <f t="shared" si="72"/>
        <v>凡品升星石37/元宝74000</v>
      </c>
      <c r="M294" s="22">
        <v>15</v>
      </c>
    </row>
    <row r="295" spans="1:13" ht="15.75" x14ac:dyDescent="0.3">
      <c r="A295" s="22" t="s">
        <v>49</v>
      </c>
      <c r="B295" s="22" t="s">
        <v>33</v>
      </c>
      <c r="C295" s="22" t="s">
        <v>1910</v>
      </c>
      <c r="D295" s="2"/>
      <c r="E295" s="2"/>
      <c r="F295" s="23" t="s">
        <v>3017</v>
      </c>
      <c r="G295" s="22">
        <v>12</v>
      </c>
      <c r="H295" s="2"/>
      <c r="I295" s="2"/>
      <c r="J295" s="22" t="str">
        <f t="shared" si="73"/>
        <v>3#3#46|3#4#93|3#5#46|3#6#93|3#7#46|3#8#93</v>
      </c>
      <c r="K295" s="22" t="str">
        <f t="shared" si="74"/>
        <v>HPMP%4%</v>
      </c>
      <c r="L295" s="33" t="str">
        <f>"仙品升星石"&amp;INT(X16/2)&amp;"/元宝"&amp;Y16</f>
        <v>仙品升星石19/元宝78000</v>
      </c>
      <c r="M295" s="22">
        <v>100</v>
      </c>
    </row>
    <row r="296" spans="1:13" ht="15.75" x14ac:dyDescent="0.3">
      <c r="A296" s="22" t="s">
        <v>49</v>
      </c>
      <c r="B296" s="22" t="s">
        <v>33</v>
      </c>
      <c r="C296" s="22" t="s">
        <v>1910</v>
      </c>
      <c r="D296" s="2"/>
      <c r="E296" s="2"/>
      <c r="F296" s="23" t="s">
        <v>3018</v>
      </c>
      <c r="G296" s="22">
        <v>13</v>
      </c>
      <c r="H296" s="2"/>
      <c r="I296" s="2"/>
      <c r="J296" s="22" t="str">
        <f t="shared" si="73"/>
        <v>3#3#54|3#4#108|3#5#54|3#6#108|3#7#54|3#8#108</v>
      </c>
      <c r="K296" s="22" t="str">
        <f t="shared" si="74"/>
        <v>HPMP%5%</v>
      </c>
      <c r="L296" s="33" t="str">
        <f t="shared" ref="L296:L306" si="75">"仙品升星石"&amp;INT(X17/2)&amp;"/元宝"&amp;Y17</f>
        <v>仙品升星石19/元宝78000</v>
      </c>
      <c r="M296" s="22">
        <v>100</v>
      </c>
    </row>
    <row r="297" spans="1:13" ht="15.75" x14ac:dyDescent="0.3">
      <c r="A297" s="22" t="s">
        <v>49</v>
      </c>
      <c r="B297" s="22" t="s">
        <v>33</v>
      </c>
      <c r="C297" s="22" t="s">
        <v>1910</v>
      </c>
      <c r="D297" s="2"/>
      <c r="E297" s="2"/>
      <c r="F297" s="23" t="s">
        <v>3019</v>
      </c>
      <c r="G297" s="22">
        <v>14</v>
      </c>
      <c r="H297" s="2"/>
      <c r="I297" s="2"/>
      <c r="J297" s="22" t="str">
        <f t="shared" si="73"/>
        <v>3#3#58|3#4#116|3#5#58|3#6#116|3#7#58|3#8#116</v>
      </c>
      <c r="K297" s="22" t="str">
        <f t="shared" si="74"/>
        <v>HPMP%5%</v>
      </c>
      <c r="L297" s="33" t="str">
        <f t="shared" si="75"/>
        <v>仙品升星石21/元宝84000</v>
      </c>
      <c r="M297" s="22">
        <v>100</v>
      </c>
    </row>
    <row r="298" spans="1:13" ht="15.75" x14ac:dyDescent="0.3">
      <c r="A298" s="22" t="s">
        <v>49</v>
      </c>
      <c r="B298" s="22" t="s">
        <v>33</v>
      </c>
      <c r="C298" s="22" t="s">
        <v>1910</v>
      </c>
      <c r="D298" s="2"/>
      <c r="E298" s="2"/>
      <c r="F298" s="23" t="s">
        <v>3020</v>
      </c>
      <c r="G298" s="22">
        <v>15</v>
      </c>
      <c r="H298" s="2"/>
      <c r="I298" s="2"/>
      <c r="J298" s="22" t="str">
        <f t="shared" si="73"/>
        <v>3#3#62|3#4#124|3#5#62|3#6#124|3#7#62|3#8#124</v>
      </c>
      <c r="K298" s="22" t="str">
        <f t="shared" si="74"/>
        <v>HPMP%6%</v>
      </c>
      <c r="L298" s="33" t="str">
        <f t="shared" si="75"/>
        <v>仙品升星石21/元宝84000</v>
      </c>
      <c r="M298" s="22">
        <v>70</v>
      </c>
    </row>
    <row r="299" spans="1:13" ht="15.75" x14ac:dyDescent="0.3">
      <c r="A299" s="22" t="s">
        <v>49</v>
      </c>
      <c r="B299" s="22" t="s">
        <v>33</v>
      </c>
      <c r="C299" s="22" t="s">
        <v>1910</v>
      </c>
      <c r="D299" s="2"/>
      <c r="E299" s="2"/>
      <c r="F299" s="23" t="s">
        <v>3021</v>
      </c>
      <c r="G299" s="22">
        <v>16</v>
      </c>
      <c r="H299" s="2"/>
      <c r="I299" s="2"/>
      <c r="J299" s="22" t="str">
        <f t="shared" si="73"/>
        <v>3#3#66|3#4#132|3#5#66|3#6#132|3#7#66|3#8#132</v>
      </c>
      <c r="K299" s="22" t="str">
        <f t="shared" si="74"/>
        <v>HPMP%6%</v>
      </c>
      <c r="L299" s="33" t="str">
        <f t="shared" si="75"/>
        <v>仙品升星石23/元宝92000</v>
      </c>
      <c r="M299" s="22">
        <v>60</v>
      </c>
    </row>
    <row r="300" spans="1:13" ht="15.75" x14ac:dyDescent="0.3">
      <c r="A300" s="22" t="s">
        <v>49</v>
      </c>
      <c r="B300" s="22" t="s">
        <v>33</v>
      </c>
      <c r="C300" s="22" t="s">
        <v>1910</v>
      </c>
      <c r="D300" s="2"/>
      <c r="E300" s="2"/>
      <c r="F300" s="23" t="s">
        <v>3022</v>
      </c>
      <c r="G300" s="22">
        <v>17</v>
      </c>
      <c r="H300" s="2"/>
      <c r="I300" s="2"/>
      <c r="J300" s="22" t="str">
        <f t="shared" si="73"/>
        <v>3#3#79|3#4#159|3#5#79|3#6#159|3#7#79|3#8#159</v>
      </c>
      <c r="K300" s="22" t="str">
        <f t="shared" si="74"/>
        <v>HPMP%7%</v>
      </c>
      <c r="L300" s="33" t="str">
        <f t="shared" si="75"/>
        <v>仙品升星石23/元宝92000</v>
      </c>
      <c r="M300" s="22">
        <v>50</v>
      </c>
    </row>
    <row r="301" spans="1:13" ht="15.75" x14ac:dyDescent="0.3">
      <c r="A301" s="22" t="s">
        <v>49</v>
      </c>
      <c r="B301" s="22" t="s">
        <v>33</v>
      </c>
      <c r="C301" s="22" t="s">
        <v>1910</v>
      </c>
      <c r="D301" s="2"/>
      <c r="E301" s="2"/>
      <c r="F301" s="23" t="s">
        <v>3023</v>
      </c>
      <c r="G301" s="22">
        <v>18</v>
      </c>
      <c r="H301" s="2"/>
      <c r="I301" s="2"/>
      <c r="J301" s="22" t="str">
        <f t="shared" si="73"/>
        <v>3#3#85|3#4#170|3#5#85|3#6#170|3#7#85|3#8#170</v>
      </c>
      <c r="K301" s="22" t="str">
        <f t="shared" si="74"/>
        <v>HPMP%7%</v>
      </c>
      <c r="L301" s="33" t="str">
        <f t="shared" si="75"/>
        <v>仙品升星石24/元宝98000</v>
      </c>
      <c r="M301" s="22">
        <v>40</v>
      </c>
    </row>
    <row r="302" spans="1:13" ht="15.75" x14ac:dyDescent="0.3">
      <c r="A302" s="22" t="s">
        <v>49</v>
      </c>
      <c r="B302" s="22" t="s">
        <v>33</v>
      </c>
      <c r="C302" s="22" t="s">
        <v>1910</v>
      </c>
      <c r="D302" s="2"/>
      <c r="E302" s="2"/>
      <c r="F302" s="23" t="s">
        <v>3024</v>
      </c>
      <c r="G302" s="22">
        <v>19</v>
      </c>
      <c r="H302" s="2"/>
      <c r="I302" s="2"/>
      <c r="J302" s="22" t="str">
        <f t="shared" si="73"/>
        <v>3#3#89|3#4#179|3#5#89|3#6#179|3#7#89|3#8#179</v>
      </c>
      <c r="K302" s="22" t="str">
        <f t="shared" si="74"/>
        <v>HPMP%8%</v>
      </c>
      <c r="L302" s="33" t="str">
        <f t="shared" si="75"/>
        <v>仙品升星石24/元宝98000</v>
      </c>
      <c r="M302" s="22">
        <v>30</v>
      </c>
    </row>
    <row r="303" spans="1:13" ht="15.75" x14ac:dyDescent="0.3">
      <c r="A303" s="22" t="s">
        <v>49</v>
      </c>
      <c r="B303" s="22" t="s">
        <v>33</v>
      </c>
      <c r="C303" s="22" t="s">
        <v>1910</v>
      </c>
      <c r="D303" s="2"/>
      <c r="E303" s="2"/>
      <c r="F303" s="23" t="s">
        <v>3025</v>
      </c>
      <c r="G303" s="22">
        <v>20</v>
      </c>
      <c r="H303" s="2"/>
      <c r="I303" s="2"/>
      <c r="J303" s="22" t="str">
        <f t="shared" si="73"/>
        <v>3#3#94|3#4#188|3#5#94|3#6#188|3#7#94|3#8#188</v>
      </c>
      <c r="K303" s="22" t="str">
        <f t="shared" si="74"/>
        <v>HPMP%8%</v>
      </c>
      <c r="L303" s="33" t="str">
        <f t="shared" si="75"/>
        <v>仙品升星石26/元宝104000</v>
      </c>
      <c r="M303" s="22">
        <v>25</v>
      </c>
    </row>
    <row r="304" spans="1:13" ht="15.75" x14ac:dyDescent="0.3">
      <c r="A304" s="22" t="s">
        <v>49</v>
      </c>
      <c r="B304" s="22" t="s">
        <v>33</v>
      </c>
      <c r="C304" s="22" t="s">
        <v>1910</v>
      </c>
      <c r="D304" s="2"/>
      <c r="E304" s="2"/>
      <c r="F304" s="23" t="s">
        <v>3026</v>
      </c>
      <c r="G304" s="22">
        <v>21</v>
      </c>
      <c r="H304" s="2"/>
      <c r="I304" s="2"/>
      <c r="J304" s="22" t="str">
        <f t="shared" si="73"/>
        <v>3#3#110|3#4#221|3#5#110|3#6#221|3#7#110|3#8#221</v>
      </c>
      <c r="K304" s="22" t="str">
        <f t="shared" si="74"/>
        <v>HPMP%9%</v>
      </c>
      <c r="L304" s="33" t="str">
        <f t="shared" si="75"/>
        <v>仙品升星石26/元宝104000</v>
      </c>
      <c r="M304" s="22">
        <v>20</v>
      </c>
    </row>
    <row r="305" spans="1:13" ht="15.75" x14ac:dyDescent="0.3">
      <c r="A305" s="22" t="s">
        <v>49</v>
      </c>
      <c r="B305" s="22" t="s">
        <v>33</v>
      </c>
      <c r="C305" s="22" t="s">
        <v>1910</v>
      </c>
      <c r="D305" s="2"/>
      <c r="E305" s="2"/>
      <c r="F305" s="23" t="s">
        <v>3027</v>
      </c>
      <c r="G305" s="22">
        <v>22</v>
      </c>
      <c r="H305" s="2"/>
      <c r="I305" s="2"/>
      <c r="J305" s="22" t="str">
        <f t="shared" si="73"/>
        <v>3#3#115|3#4#231|3#5#115|3#6#231|3#7#115|3#8#231</v>
      </c>
      <c r="K305" s="22" t="str">
        <f t="shared" si="74"/>
        <v>HPMP%9%</v>
      </c>
      <c r="L305" s="33" t="str">
        <f t="shared" si="75"/>
        <v>仙品升星石27/元宝110000</v>
      </c>
      <c r="M305" s="22">
        <v>15</v>
      </c>
    </row>
    <row r="306" spans="1:13" ht="15.75" x14ac:dyDescent="0.3">
      <c r="A306" s="22" t="s">
        <v>49</v>
      </c>
      <c r="B306" s="22" t="s">
        <v>33</v>
      </c>
      <c r="C306" s="22" t="s">
        <v>1910</v>
      </c>
      <c r="D306" s="2"/>
      <c r="E306" s="2"/>
      <c r="F306" s="23" t="s">
        <v>3028</v>
      </c>
      <c r="G306" s="22">
        <v>23</v>
      </c>
      <c r="H306" s="2"/>
      <c r="I306" s="2"/>
      <c r="J306" s="22" t="str">
        <f t="shared" si="73"/>
        <v>3#3#121|3#4#242|3#5#121|3#6#242|3#7#121|3#8#242</v>
      </c>
      <c r="K306" s="22" t="str">
        <f t="shared" si="74"/>
        <v>HPMP%10%</v>
      </c>
      <c r="L306" s="33" t="str">
        <f t="shared" si="75"/>
        <v>仙品升星石27/元宝110000</v>
      </c>
      <c r="M306" s="22">
        <v>10</v>
      </c>
    </row>
    <row r="307" spans="1:13" ht="15.75" x14ac:dyDescent="0.3">
      <c r="A307" s="22" t="s">
        <v>49</v>
      </c>
      <c r="B307" s="22" t="s">
        <v>33</v>
      </c>
      <c r="C307" s="22" t="s">
        <v>1910</v>
      </c>
      <c r="D307" s="2"/>
      <c r="E307" s="2"/>
      <c r="F307" s="23" t="s">
        <v>3029</v>
      </c>
      <c r="G307" s="22">
        <v>24</v>
      </c>
      <c r="H307" s="2"/>
      <c r="I307" s="2"/>
      <c r="J307" s="22" t="str">
        <f t="shared" si="73"/>
        <v>3#3#126|3#4#252|3#5#126|3#6#252|3#7#126|3#8#252</v>
      </c>
      <c r="K307" s="22" t="str">
        <f t="shared" si="74"/>
        <v>HPMP%10%</v>
      </c>
      <c r="L307" s="33" t="str">
        <f>"神品升星石"&amp;INT(X28/10)&amp;"/元宝"&amp;Y28</f>
        <v>神品升星石5/元宝116000</v>
      </c>
      <c r="M307" s="22">
        <v>100</v>
      </c>
    </row>
    <row r="308" spans="1:13" ht="15.75" x14ac:dyDescent="0.3">
      <c r="A308" s="22" t="s">
        <v>49</v>
      </c>
      <c r="B308" s="22" t="s">
        <v>33</v>
      </c>
      <c r="C308" s="22" t="s">
        <v>1910</v>
      </c>
      <c r="D308" s="2"/>
      <c r="E308" s="2"/>
      <c r="F308" s="23" t="s">
        <v>3030</v>
      </c>
      <c r="G308" s="22">
        <v>25</v>
      </c>
      <c r="H308" s="2"/>
      <c r="I308" s="2"/>
      <c r="J308" s="22" t="str">
        <f t="shared" si="73"/>
        <v>3#3#138|3#4#277|3#5#138|3#6#277|3#7#138|3#8#277</v>
      </c>
      <c r="K308" s="22" t="str">
        <f t="shared" si="74"/>
        <v>HPMP%11%</v>
      </c>
      <c r="L308" s="33" t="str">
        <f t="shared" ref="L308:L318" si="76">"神品升星石"&amp;INT(X29/10)&amp;"/元宝"&amp;Y29</f>
        <v>神品升星石5/元宝116000</v>
      </c>
      <c r="M308" s="22">
        <v>100</v>
      </c>
    </row>
    <row r="309" spans="1:13" ht="15.75" x14ac:dyDescent="0.3">
      <c r="A309" s="22" t="s">
        <v>49</v>
      </c>
      <c r="B309" s="22" t="s">
        <v>33</v>
      </c>
      <c r="C309" s="22" t="s">
        <v>1910</v>
      </c>
      <c r="D309" s="2"/>
      <c r="E309" s="2"/>
      <c r="F309" s="23" t="s">
        <v>3031</v>
      </c>
      <c r="G309" s="22">
        <v>26</v>
      </c>
      <c r="H309" s="2"/>
      <c r="I309" s="2"/>
      <c r="J309" s="22" t="str">
        <f t="shared" si="73"/>
        <v>3#3#144|3#4#288|3#5#144|3#6#288|3#7#144|3#8#288</v>
      </c>
      <c r="K309" s="22" t="str">
        <f t="shared" si="74"/>
        <v>HPMP%11%</v>
      </c>
      <c r="L309" s="33" t="str">
        <f t="shared" si="76"/>
        <v>神品升星石6/元宝122000</v>
      </c>
      <c r="M309" s="22">
        <v>100</v>
      </c>
    </row>
    <row r="310" spans="1:13" ht="15.75" x14ac:dyDescent="0.3">
      <c r="A310" s="22" t="s">
        <v>49</v>
      </c>
      <c r="B310" s="22" t="s">
        <v>33</v>
      </c>
      <c r="C310" s="22" t="s">
        <v>1910</v>
      </c>
      <c r="D310" s="2"/>
      <c r="E310" s="2"/>
      <c r="F310" s="23" t="s">
        <v>3032</v>
      </c>
      <c r="G310" s="22">
        <v>27</v>
      </c>
      <c r="H310" s="2"/>
      <c r="I310" s="2"/>
      <c r="J310" s="22" t="str">
        <f t="shared" si="73"/>
        <v>3#3#150|3#4#300|3#5#150|3#6#300|3#7#150|3#8#300</v>
      </c>
      <c r="K310" s="22" t="str">
        <f t="shared" si="74"/>
        <v>HPMP%12%</v>
      </c>
      <c r="L310" s="33" t="str">
        <f t="shared" si="76"/>
        <v>神品升星石6/元宝122000</v>
      </c>
      <c r="M310" s="22">
        <v>70</v>
      </c>
    </row>
    <row r="311" spans="1:13" ht="15.75" x14ac:dyDescent="0.3">
      <c r="A311" s="22" t="s">
        <v>49</v>
      </c>
      <c r="B311" s="22" t="s">
        <v>33</v>
      </c>
      <c r="C311" s="22" t="s">
        <v>1910</v>
      </c>
      <c r="D311" s="2"/>
      <c r="E311" s="2"/>
      <c r="F311" s="23" t="s">
        <v>3033</v>
      </c>
      <c r="G311" s="22">
        <v>28</v>
      </c>
      <c r="H311" s="2"/>
      <c r="I311" s="2"/>
      <c r="J311" s="22" t="str">
        <f t="shared" si="73"/>
        <v>3#3#155|3#4#311|3#5#155|3#6#311|3#7#155|3#8#311</v>
      </c>
      <c r="K311" s="22" t="str">
        <f t="shared" si="74"/>
        <v>HPMP%12%</v>
      </c>
      <c r="L311" s="33" t="str">
        <f t="shared" si="76"/>
        <v>神品升星石6/元宝130000</v>
      </c>
      <c r="M311" s="22">
        <v>60</v>
      </c>
    </row>
    <row r="312" spans="1:13" ht="15.75" x14ac:dyDescent="0.3">
      <c r="A312" s="22" t="s">
        <v>49</v>
      </c>
      <c r="B312" s="22" t="s">
        <v>33</v>
      </c>
      <c r="C312" s="22" t="s">
        <v>1910</v>
      </c>
      <c r="D312" s="2"/>
      <c r="E312" s="2"/>
      <c r="F312" s="23" t="s">
        <v>3034</v>
      </c>
      <c r="G312" s="22">
        <v>29</v>
      </c>
      <c r="H312" s="2"/>
      <c r="I312" s="2"/>
      <c r="J312" s="22" t="str">
        <f t="shared" si="73"/>
        <v>3#3#161|3#4#322|3#5#161|3#6#322|3#7#161|3#8#322</v>
      </c>
      <c r="K312" s="22" t="str">
        <f t="shared" si="74"/>
        <v>HPMP%13%</v>
      </c>
      <c r="L312" s="33" t="str">
        <f t="shared" si="76"/>
        <v>神品升星石6/元宝130000</v>
      </c>
      <c r="M312" s="22">
        <v>50</v>
      </c>
    </row>
    <row r="313" spans="1:13" ht="15.75" x14ac:dyDescent="0.3">
      <c r="A313" s="22" t="s">
        <v>49</v>
      </c>
      <c r="B313" s="22" t="s">
        <v>33</v>
      </c>
      <c r="C313" s="22" t="s">
        <v>1910</v>
      </c>
      <c r="D313" s="2"/>
      <c r="E313" s="2"/>
      <c r="F313" s="23" t="s">
        <v>3035</v>
      </c>
      <c r="G313" s="22">
        <v>30</v>
      </c>
      <c r="H313" s="2"/>
      <c r="I313" s="2"/>
      <c r="J313" s="22" t="str">
        <f t="shared" si="73"/>
        <v>3#3#166|3#4#333|3#5#166|3#6#333|3#7#166|3#8#333</v>
      </c>
      <c r="K313" s="22" t="str">
        <f t="shared" si="74"/>
        <v>HPMP%13%</v>
      </c>
      <c r="L313" s="33" t="str">
        <f t="shared" si="76"/>
        <v>神品升星石6/元宝136000</v>
      </c>
      <c r="M313" s="22">
        <v>40</v>
      </c>
    </row>
    <row r="314" spans="1:13" ht="15.75" x14ac:dyDescent="0.3">
      <c r="A314" s="22" t="s">
        <v>49</v>
      </c>
      <c r="B314" s="22" t="s">
        <v>33</v>
      </c>
      <c r="C314" s="22" t="s">
        <v>1910</v>
      </c>
      <c r="D314" s="2"/>
      <c r="E314" s="2"/>
      <c r="F314" s="23" t="s">
        <v>3036</v>
      </c>
      <c r="G314" s="22">
        <v>31</v>
      </c>
      <c r="H314" s="2"/>
      <c r="I314" s="2"/>
      <c r="J314" s="22" t="str">
        <f t="shared" si="73"/>
        <v>3#3#172|3#4#344|3#5#172|3#6#344|3#7#172|3#8#344</v>
      </c>
      <c r="K314" s="22" t="str">
        <f t="shared" si="74"/>
        <v>HPMP%14%</v>
      </c>
      <c r="L314" s="33" t="str">
        <f t="shared" si="76"/>
        <v>神品升星石6/元宝136000</v>
      </c>
      <c r="M314" s="22">
        <v>30</v>
      </c>
    </row>
    <row r="315" spans="1:13" ht="15.75" x14ac:dyDescent="0.3">
      <c r="A315" s="22" t="s">
        <v>49</v>
      </c>
      <c r="B315" s="22" t="s">
        <v>33</v>
      </c>
      <c r="C315" s="22" t="s">
        <v>1910</v>
      </c>
      <c r="D315" s="2"/>
      <c r="E315" s="2"/>
      <c r="F315" s="23" t="s">
        <v>3037</v>
      </c>
      <c r="G315" s="22">
        <v>32</v>
      </c>
      <c r="H315" s="2"/>
      <c r="I315" s="2"/>
      <c r="J315" s="22" t="str">
        <f t="shared" si="73"/>
        <v>3#3#177|3#4#355|3#5#177|3#6#355|3#7#177|3#8#355</v>
      </c>
      <c r="K315" s="22" t="str">
        <f t="shared" si="74"/>
        <v>HPMP%14%</v>
      </c>
      <c r="L315" s="33" t="str">
        <f t="shared" si="76"/>
        <v>神品升星石7/元宝142000</v>
      </c>
      <c r="M315" s="22">
        <v>25</v>
      </c>
    </row>
    <row r="316" spans="1:13" ht="15.75" x14ac:dyDescent="0.3">
      <c r="A316" s="22" t="s">
        <v>49</v>
      </c>
      <c r="B316" s="22" t="s">
        <v>33</v>
      </c>
      <c r="C316" s="22" t="s">
        <v>1910</v>
      </c>
      <c r="D316" s="2"/>
      <c r="E316" s="2"/>
      <c r="F316" s="23" t="s">
        <v>3038</v>
      </c>
      <c r="G316" s="22">
        <v>33</v>
      </c>
      <c r="H316" s="2"/>
      <c r="I316" s="2"/>
      <c r="J316" s="22" t="str">
        <f t="shared" si="73"/>
        <v>3#3#183|3#4#366|3#5#183|3#6#366|3#7#183|3#8#366</v>
      </c>
      <c r="K316" s="22" t="str">
        <f t="shared" si="74"/>
        <v>HPMP%15%</v>
      </c>
      <c r="L316" s="33" t="str">
        <f t="shared" si="76"/>
        <v>神品升星石7/元宝142000</v>
      </c>
      <c r="M316" s="22">
        <v>20</v>
      </c>
    </row>
    <row r="317" spans="1:13" ht="15.75" x14ac:dyDescent="0.3">
      <c r="A317" s="22" t="s">
        <v>49</v>
      </c>
      <c r="B317" s="22" t="s">
        <v>33</v>
      </c>
      <c r="C317" s="22" t="s">
        <v>1910</v>
      </c>
      <c r="D317" s="2"/>
      <c r="E317" s="2"/>
      <c r="F317" s="23" t="s">
        <v>3039</v>
      </c>
      <c r="G317" s="22">
        <v>34</v>
      </c>
      <c r="H317" s="2"/>
      <c r="I317" s="2"/>
      <c r="J317" s="22" t="str">
        <f t="shared" si="73"/>
        <v>3#3#188|3#4#377|3#5#188|3#6#377|3#7#188|3#8#377</v>
      </c>
      <c r="K317" s="22" t="str">
        <f t="shared" si="74"/>
        <v>HPMP%16%</v>
      </c>
      <c r="L317" s="33" t="str">
        <f t="shared" si="76"/>
        <v>神品升星石7/元宝148000</v>
      </c>
      <c r="M317" s="22">
        <v>15</v>
      </c>
    </row>
    <row r="318" spans="1:13" ht="15.75" x14ac:dyDescent="0.3">
      <c r="A318" s="22" t="s">
        <v>49</v>
      </c>
      <c r="B318" s="22" t="s">
        <v>33</v>
      </c>
      <c r="C318" s="22" t="s">
        <v>1910</v>
      </c>
      <c r="D318" s="2"/>
      <c r="E318" s="2"/>
      <c r="F318" s="23" t="s">
        <v>3040</v>
      </c>
      <c r="G318" s="22">
        <v>35</v>
      </c>
      <c r="H318" s="2"/>
      <c r="I318" s="2"/>
      <c r="J318" s="22" t="str">
        <f t="shared" si="73"/>
        <v>3#3#194|3#4#388|3#5#194|3#6#388|3#7#194|3#8#388</v>
      </c>
      <c r="K318" s="22" t="str">
        <f t="shared" si="74"/>
        <v>HPMP%17%</v>
      </c>
      <c r="L318" s="33" t="str">
        <f t="shared" si="76"/>
        <v>神品升星石7/元宝148000</v>
      </c>
      <c r="M318" s="22">
        <v>10</v>
      </c>
    </row>
    <row r="319" spans="1:13" ht="15.75" x14ac:dyDescent="0.3">
      <c r="A319" s="22" t="s">
        <v>49</v>
      </c>
      <c r="B319" s="22" t="s">
        <v>33</v>
      </c>
      <c r="C319" s="22" t="s">
        <v>1910</v>
      </c>
      <c r="D319" s="2"/>
      <c r="E319" s="2"/>
      <c r="F319" s="23" t="s">
        <v>3041</v>
      </c>
      <c r="G319" s="22">
        <v>36</v>
      </c>
      <c r="H319" s="2"/>
      <c r="I319" s="2"/>
      <c r="J319" s="22" t="str">
        <f t="shared" si="73"/>
        <v>3#3#200|3#4#400|3#5#200|3#6#400|3#7#200|3#8#400</v>
      </c>
      <c r="K319" s="22" t="str">
        <f t="shared" si="74"/>
        <v>HPMP%18%</v>
      </c>
      <c r="L319" s="2"/>
      <c r="M319" s="22"/>
    </row>
    <row r="320" spans="1:13" ht="15.75" x14ac:dyDescent="0.3">
      <c r="A320" s="22" t="s">
        <v>49</v>
      </c>
      <c r="B320" s="22" t="s">
        <v>33</v>
      </c>
      <c r="C320" s="22" t="s">
        <v>1910</v>
      </c>
      <c r="D320" s="2"/>
      <c r="E320" s="2"/>
      <c r="F320" s="23" t="s">
        <v>3042</v>
      </c>
      <c r="G320" s="22">
        <v>37</v>
      </c>
      <c r="H320" s="2"/>
      <c r="I320" s="2"/>
      <c r="J320" s="22"/>
      <c r="K320" s="22"/>
      <c r="L320" s="2"/>
      <c r="M320" s="22"/>
    </row>
    <row r="321" spans="1:13" ht="15.75" x14ac:dyDescent="0.3">
      <c r="A321" s="22" t="s">
        <v>49</v>
      </c>
      <c r="B321" s="22" t="s">
        <v>33</v>
      </c>
      <c r="C321" s="22" t="s">
        <v>1910</v>
      </c>
      <c r="D321" s="2"/>
      <c r="E321" s="2"/>
      <c r="F321" s="23" t="s">
        <v>3043</v>
      </c>
      <c r="G321" s="22">
        <v>38</v>
      </c>
      <c r="H321" s="2"/>
      <c r="I321" s="2"/>
      <c r="J321" s="22"/>
      <c r="K321" s="22"/>
      <c r="L321" s="2"/>
      <c r="M321" s="22"/>
    </row>
    <row r="322" spans="1:13" ht="15.75" x14ac:dyDescent="0.3">
      <c r="A322" s="22" t="s">
        <v>49</v>
      </c>
      <c r="B322" s="22" t="s">
        <v>33</v>
      </c>
      <c r="C322" s="22" t="s">
        <v>1910</v>
      </c>
      <c r="D322" s="2"/>
      <c r="E322" s="2"/>
      <c r="F322" s="23" t="s">
        <v>3044</v>
      </c>
      <c r="G322" s="22">
        <v>39</v>
      </c>
      <c r="H322" s="2"/>
      <c r="I322" s="2"/>
      <c r="J322" s="22"/>
      <c r="K322" s="22"/>
      <c r="L322" s="2"/>
      <c r="M322" s="22"/>
    </row>
    <row r="323" spans="1:13" ht="15.75" x14ac:dyDescent="0.3">
      <c r="A323" s="22" t="s">
        <v>49</v>
      </c>
      <c r="B323" s="22" t="s">
        <v>33</v>
      </c>
      <c r="C323" s="22" t="s">
        <v>1911</v>
      </c>
      <c r="D323" s="22"/>
      <c r="E323" s="22"/>
      <c r="F323" s="23" t="s">
        <v>3005</v>
      </c>
      <c r="G323" s="22">
        <v>0</v>
      </c>
      <c r="H323" s="32"/>
      <c r="I323" s="22"/>
      <c r="J323" s="22"/>
      <c r="K323" s="22"/>
      <c r="L323" s="33" t="str">
        <f>"凡品升星石"&amp;X4&amp;"/元宝"&amp;Y4</f>
        <v>凡品升星石16/元宝32000</v>
      </c>
      <c r="M323" s="22">
        <v>100</v>
      </c>
    </row>
    <row r="324" spans="1:13" ht="15.75" x14ac:dyDescent="0.3">
      <c r="A324" s="22" t="s">
        <v>49</v>
      </c>
      <c r="B324" s="22" t="s">
        <v>33</v>
      </c>
      <c r="C324" s="22" t="s">
        <v>1911</v>
      </c>
      <c r="D324" s="22"/>
      <c r="E324" s="22"/>
      <c r="F324" s="23" t="s">
        <v>3006</v>
      </c>
      <c r="G324" s="22">
        <v>1</v>
      </c>
      <c r="H324" s="32"/>
      <c r="I324" s="22"/>
      <c r="J3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324" s="22"/>
      <c r="L324" s="33" t="str">
        <f t="shared" ref="L324:L334" si="77">"凡品升星石"&amp;X5&amp;"/元宝"&amp;Y5</f>
        <v>凡品升星石16/元宝32000</v>
      </c>
      <c r="M324" s="22">
        <v>100</v>
      </c>
    </row>
    <row r="325" spans="1:13" ht="15.75" x14ac:dyDescent="0.3">
      <c r="A325" s="22" t="s">
        <v>49</v>
      </c>
      <c r="B325" s="22" t="s">
        <v>33</v>
      </c>
      <c r="C325" s="22" t="s">
        <v>1911</v>
      </c>
      <c r="D325" s="2"/>
      <c r="E325" s="2"/>
      <c r="F325" s="23" t="s">
        <v>3007</v>
      </c>
      <c r="G325" s="22">
        <v>2</v>
      </c>
      <c r="H325" s="2"/>
      <c r="I325" s="2"/>
      <c r="J325" s="22" t="str">
        <f t="shared" ref="J325:J359" si="78">"3#3#"&amp;INT(0.5*S5)&amp;"|"&amp;"3#4#"&amp;S5&amp;"|"&amp;"3#5#"&amp;INT(0.5*S5)&amp;"|"&amp;"3#6#"&amp;S5&amp;"|"&amp;"3#7#"&amp;INT(0.5*S5)&amp;"|"&amp;"3#8#"&amp;S5</f>
        <v>3#3#5|3#4#11|3#5#5|3#6#11|3#7#5|3#8#11</v>
      </c>
      <c r="K325" s="22"/>
      <c r="L325" s="33" t="str">
        <f t="shared" si="77"/>
        <v>凡品升星石19/元宝38000</v>
      </c>
      <c r="M325" s="22">
        <v>100</v>
      </c>
    </row>
    <row r="326" spans="1:13" ht="15.75" x14ac:dyDescent="0.3">
      <c r="A326" s="22" t="s">
        <v>49</v>
      </c>
      <c r="B326" s="22" t="s">
        <v>33</v>
      </c>
      <c r="C326" s="22" t="s">
        <v>1911</v>
      </c>
      <c r="D326" s="2"/>
      <c r="E326" s="2"/>
      <c r="F326" s="23" t="s">
        <v>3008</v>
      </c>
      <c r="G326" s="22">
        <v>3</v>
      </c>
      <c r="H326" s="2"/>
      <c r="I326" s="2"/>
      <c r="J326" s="22" t="str">
        <f t="shared" si="78"/>
        <v>3#3#8|3#4#16|3#5#8|3#6#16|3#7#8|3#8#16</v>
      </c>
      <c r="K326" s="22"/>
      <c r="L326" s="33" t="str">
        <f t="shared" si="77"/>
        <v>凡品升星石19/元宝38000</v>
      </c>
      <c r="M326" s="22">
        <v>90</v>
      </c>
    </row>
    <row r="327" spans="1:13" ht="15.75" x14ac:dyDescent="0.3">
      <c r="A327" s="22" t="s">
        <v>49</v>
      </c>
      <c r="B327" s="22" t="s">
        <v>33</v>
      </c>
      <c r="C327" s="22" t="s">
        <v>1911</v>
      </c>
      <c r="D327" s="2"/>
      <c r="E327" s="2"/>
      <c r="F327" s="23" t="s">
        <v>3009</v>
      </c>
      <c r="G327" s="22">
        <v>4</v>
      </c>
      <c r="H327" s="2"/>
      <c r="I327" s="2"/>
      <c r="J327" s="22" t="str">
        <f t="shared" si="78"/>
        <v>3#3#11|3#4#22|3#5#11|3#6#22|3#7#11|3#8#22</v>
      </c>
      <c r="K327" s="22"/>
      <c r="L327" s="33" t="str">
        <f t="shared" si="77"/>
        <v>凡品升星石22/元宝44000</v>
      </c>
      <c r="M327" s="22">
        <v>80</v>
      </c>
    </row>
    <row r="328" spans="1:13" ht="15.75" x14ac:dyDescent="0.3">
      <c r="A328" s="22" t="s">
        <v>49</v>
      </c>
      <c r="B328" s="22" t="s">
        <v>33</v>
      </c>
      <c r="C328" s="22" t="s">
        <v>1911</v>
      </c>
      <c r="D328" s="2"/>
      <c r="E328" s="2"/>
      <c r="F328" s="23" t="s">
        <v>3010</v>
      </c>
      <c r="G328" s="22">
        <v>5</v>
      </c>
      <c r="H328" s="2"/>
      <c r="I328" s="2"/>
      <c r="J328" s="22" t="str">
        <f t="shared" si="78"/>
        <v>3#3#16|3#4#33|3#5#16|3#6#33|3#7#16|3#8#33</v>
      </c>
      <c r="K328" s="22"/>
      <c r="L328" s="33" t="str">
        <f t="shared" si="77"/>
        <v>凡品升星石22/元宝44000</v>
      </c>
      <c r="M328" s="22">
        <v>70</v>
      </c>
    </row>
    <row r="329" spans="1:13" ht="15.75" x14ac:dyDescent="0.3">
      <c r="A329" s="22" t="s">
        <v>49</v>
      </c>
      <c r="B329" s="22" t="s">
        <v>33</v>
      </c>
      <c r="C329" s="22" t="s">
        <v>1911</v>
      </c>
      <c r="D329" s="2"/>
      <c r="E329" s="2"/>
      <c r="F329" s="23" t="s">
        <v>3011</v>
      </c>
      <c r="G329" s="22">
        <v>6</v>
      </c>
      <c r="H329" s="2"/>
      <c r="I329" s="2"/>
      <c r="J329" s="22" t="str">
        <f t="shared" si="78"/>
        <v>3#3#19|3#4#39|3#5#19|3#6#39|3#7#19|3#8#39</v>
      </c>
      <c r="K329" s="22"/>
      <c r="L329" s="33" t="str">
        <f t="shared" si="77"/>
        <v>凡品升星石26/元宝52000</v>
      </c>
      <c r="M329" s="22">
        <v>60</v>
      </c>
    </row>
    <row r="330" spans="1:13" ht="15.75" x14ac:dyDescent="0.3">
      <c r="A330" s="22" t="s">
        <v>49</v>
      </c>
      <c r="B330" s="22" t="s">
        <v>33</v>
      </c>
      <c r="C330" s="22" t="s">
        <v>1911</v>
      </c>
      <c r="D330" s="2"/>
      <c r="E330" s="2"/>
      <c r="F330" s="23" t="s">
        <v>3012</v>
      </c>
      <c r="G330" s="22">
        <v>7</v>
      </c>
      <c r="H330" s="2"/>
      <c r="I330" s="2"/>
      <c r="J330" s="22" t="str">
        <f t="shared" si="78"/>
        <v>3#3#23|3#4#46|3#5#23|3#6#46|3#7#23|3#8#46</v>
      </c>
      <c r="K330" s="22" t="str">
        <f>$AL$4&amp;AL11&amp;"%"</f>
        <v>HPMP%1%</v>
      </c>
      <c r="L330" s="33" t="str">
        <f t="shared" si="77"/>
        <v>凡品升星石26/元宝52000</v>
      </c>
      <c r="M330" s="22">
        <v>50</v>
      </c>
    </row>
    <row r="331" spans="1:13" ht="15.75" x14ac:dyDescent="0.3">
      <c r="A331" s="22" t="s">
        <v>49</v>
      </c>
      <c r="B331" s="22" t="s">
        <v>33</v>
      </c>
      <c r="C331" s="22" t="s">
        <v>1911</v>
      </c>
      <c r="D331" s="2"/>
      <c r="E331" s="2"/>
      <c r="F331" s="23" t="s">
        <v>3013</v>
      </c>
      <c r="G331" s="22">
        <v>8</v>
      </c>
      <c r="H331" s="2"/>
      <c r="I331" s="2"/>
      <c r="J331" s="22" t="str">
        <f t="shared" si="78"/>
        <v>3#3#26|3#4#52|3#5#26|3#6#52|3#7#26|3#8#52</v>
      </c>
      <c r="K331" s="22" t="str">
        <f t="shared" ref="K331:K359" si="79">$AL$4&amp;AL12&amp;"%"</f>
        <v>HPMP%2%</v>
      </c>
      <c r="L331" s="33" t="str">
        <f t="shared" si="77"/>
        <v>凡品升星石32/元宝64000</v>
      </c>
      <c r="M331" s="22">
        <v>40</v>
      </c>
    </row>
    <row r="332" spans="1:13" ht="15.75" x14ac:dyDescent="0.3">
      <c r="A332" s="22" t="s">
        <v>49</v>
      </c>
      <c r="B332" s="22" t="s">
        <v>33</v>
      </c>
      <c r="C332" s="22" t="s">
        <v>1911</v>
      </c>
      <c r="D332" s="2"/>
      <c r="E332" s="2"/>
      <c r="F332" s="23" t="s">
        <v>3014</v>
      </c>
      <c r="G332" s="22">
        <v>9</v>
      </c>
      <c r="H332" s="2"/>
      <c r="I332" s="2"/>
      <c r="J332" s="22" t="str">
        <f t="shared" si="78"/>
        <v>3#3#35|3#4#70|3#5#35|3#6#70|3#7#35|3#8#70</v>
      </c>
      <c r="K332" s="22" t="str">
        <f t="shared" si="79"/>
        <v>HPMP%3%</v>
      </c>
      <c r="L332" s="33" t="str">
        <f t="shared" si="77"/>
        <v>凡品升星石32/元宝64000</v>
      </c>
      <c r="M332" s="22">
        <v>30</v>
      </c>
    </row>
    <row r="333" spans="1:13" ht="15.75" x14ac:dyDescent="0.3">
      <c r="A333" s="22" t="s">
        <v>49</v>
      </c>
      <c r="B333" s="22" t="s">
        <v>33</v>
      </c>
      <c r="C333" s="22" t="s">
        <v>1911</v>
      </c>
      <c r="D333" s="2"/>
      <c r="E333" s="2"/>
      <c r="F333" s="23" t="s">
        <v>3015</v>
      </c>
      <c r="G333" s="22">
        <v>10</v>
      </c>
      <c r="H333" s="2"/>
      <c r="I333" s="2"/>
      <c r="J333" s="22" t="str">
        <f t="shared" si="78"/>
        <v>3#3#38|3#4#77|3#5#38|3#6#77|3#7#38|3#8#77</v>
      </c>
      <c r="K333" s="22" t="str">
        <f t="shared" si="79"/>
        <v>HPMP%3%</v>
      </c>
      <c r="L333" s="33" t="str">
        <f t="shared" si="77"/>
        <v>凡品升星石37/元宝74000</v>
      </c>
      <c r="M333" s="22">
        <v>20</v>
      </c>
    </row>
    <row r="334" spans="1:13" ht="15.75" x14ac:dyDescent="0.3">
      <c r="A334" s="22" t="s">
        <v>49</v>
      </c>
      <c r="B334" s="22" t="s">
        <v>33</v>
      </c>
      <c r="C334" s="22" t="s">
        <v>1911</v>
      </c>
      <c r="D334" s="2"/>
      <c r="E334" s="2"/>
      <c r="F334" s="23" t="s">
        <v>3016</v>
      </c>
      <c r="G334" s="22">
        <v>11</v>
      </c>
      <c r="H334" s="2"/>
      <c r="I334" s="2"/>
      <c r="J334" s="22" t="str">
        <f t="shared" si="78"/>
        <v>3#3#42|3#4#85|3#5#42|3#6#85|3#7#42|3#8#85</v>
      </c>
      <c r="K334" s="22" t="str">
        <f t="shared" si="79"/>
        <v>HPMP%4%</v>
      </c>
      <c r="L334" s="33" t="str">
        <f t="shared" si="77"/>
        <v>凡品升星石37/元宝74000</v>
      </c>
      <c r="M334" s="22">
        <v>15</v>
      </c>
    </row>
    <row r="335" spans="1:13" ht="15.75" x14ac:dyDescent="0.3">
      <c r="A335" s="22" t="s">
        <v>49</v>
      </c>
      <c r="B335" s="22" t="s">
        <v>33</v>
      </c>
      <c r="C335" s="22" t="s">
        <v>1911</v>
      </c>
      <c r="D335" s="2"/>
      <c r="E335" s="2"/>
      <c r="F335" s="23" t="s">
        <v>3017</v>
      </c>
      <c r="G335" s="22">
        <v>12</v>
      </c>
      <c r="H335" s="2"/>
      <c r="I335" s="2"/>
      <c r="J335" s="22" t="str">
        <f t="shared" si="78"/>
        <v>3#3#46|3#4#93|3#5#46|3#6#93|3#7#46|3#8#93</v>
      </c>
      <c r="K335" s="22" t="str">
        <f t="shared" si="79"/>
        <v>HPMP%4%</v>
      </c>
      <c r="L335" s="33" t="str">
        <f>"仙品升星石"&amp;INT(X16/2)&amp;"/元宝"&amp;Y16</f>
        <v>仙品升星石19/元宝78000</v>
      </c>
      <c r="M335" s="22">
        <v>100</v>
      </c>
    </row>
    <row r="336" spans="1:13" ht="15.75" x14ac:dyDescent="0.3">
      <c r="A336" s="22" t="s">
        <v>49</v>
      </c>
      <c r="B336" s="22" t="s">
        <v>33</v>
      </c>
      <c r="C336" s="22" t="s">
        <v>1911</v>
      </c>
      <c r="D336" s="2"/>
      <c r="E336" s="2"/>
      <c r="F336" s="23" t="s">
        <v>3018</v>
      </c>
      <c r="G336" s="22">
        <v>13</v>
      </c>
      <c r="H336" s="2"/>
      <c r="I336" s="2"/>
      <c r="J336" s="22" t="str">
        <f t="shared" si="78"/>
        <v>3#3#54|3#4#108|3#5#54|3#6#108|3#7#54|3#8#108</v>
      </c>
      <c r="K336" s="22" t="str">
        <f t="shared" si="79"/>
        <v>HPMP%5%</v>
      </c>
      <c r="L336" s="33" t="str">
        <f t="shared" ref="L336:L346" si="80">"仙品升星石"&amp;INT(X17/2)&amp;"/元宝"&amp;Y17</f>
        <v>仙品升星石19/元宝78000</v>
      </c>
      <c r="M336" s="22">
        <v>100</v>
      </c>
    </row>
    <row r="337" spans="1:13" ht="15.75" x14ac:dyDescent="0.3">
      <c r="A337" s="22" t="s">
        <v>49</v>
      </c>
      <c r="B337" s="22" t="s">
        <v>33</v>
      </c>
      <c r="C337" s="22" t="s">
        <v>1911</v>
      </c>
      <c r="D337" s="2"/>
      <c r="E337" s="2"/>
      <c r="F337" s="23" t="s">
        <v>3019</v>
      </c>
      <c r="G337" s="22">
        <v>14</v>
      </c>
      <c r="H337" s="2"/>
      <c r="I337" s="2"/>
      <c r="J337" s="22" t="str">
        <f t="shared" si="78"/>
        <v>3#3#58|3#4#116|3#5#58|3#6#116|3#7#58|3#8#116</v>
      </c>
      <c r="K337" s="22" t="str">
        <f t="shared" si="79"/>
        <v>HPMP%5%</v>
      </c>
      <c r="L337" s="33" t="str">
        <f t="shared" si="80"/>
        <v>仙品升星石21/元宝84000</v>
      </c>
      <c r="M337" s="22">
        <v>100</v>
      </c>
    </row>
    <row r="338" spans="1:13" ht="15.75" x14ac:dyDescent="0.3">
      <c r="A338" s="22" t="s">
        <v>49</v>
      </c>
      <c r="B338" s="22" t="s">
        <v>33</v>
      </c>
      <c r="C338" s="22" t="s">
        <v>1911</v>
      </c>
      <c r="D338" s="2"/>
      <c r="E338" s="2"/>
      <c r="F338" s="23" t="s">
        <v>3020</v>
      </c>
      <c r="G338" s="22">
        <v>15</v>
      </c>
      <c r="H338" s="2"/>
      <c r="I338" s="2"/>
      <c r="J338" s="22" t="str">
        <f t="shared" si="78"/>
        <v>3#3#62|3#4#124|3#5#62|3#6#124|3#7#62|3#8#124</v>
      </c>
      <c r="K338" s="22" t="str">
        <f t="shared" si="79"/>
        <v>HPMP%6%</v>
      </c>
      <c r="L338" s="33" t="str">
        <f t="shared" si="80"/>
        <v>仙品升星石21/元宝84000</v>
      </c>
      <c r="M338" s="22">
        <v>70</v>
      </c>
    </row>
    <row r="339" spans="1:13" ht="15.75" x14ac:dyDescent="0.3">
      <c r="A339" s="22" t="s">
        <v>49</v>
      </c>
      <c r="B339" s="22" t="s">
        <v>33</v>
      </c>
      <c r="C339" s="22" t="s">
        <v>1911</v>
      </c>
      <c r="D339" s="2"/>
      <c r="E339" s="2"/>
      <c r="F339" s="23" t="s">
        <v>3021</v>
      </c>
      <c r="G339" s="22">
        <v>16</v>
      </c>
      <c r="H339" s="2"/>
      <c r="I339" s="2"/>
      <c r="J339" s="22" t="str">
        <f t="shared" si="78"/>
        <v>3#3#66|3#4#132|3#5#66|3#6#132|3#7#66|3#8#132</v>
      </c>
      <c r="K339" s="22" t="str">
        <f t="shared" si="79"/>
        <v>HPMP%6%</v>
      </c>
      <c r="L339" s="33" t="str">
        <f t="shared" si="80"/>
        <v>仙品升星石23/元宝92000</v>
      </c>
      <c r="M339" s="22">
        <v>60</v>
      </c>
    </row>
    <row r="340" spans="1:13" ht="15.75" x14ac:dyDescent="0.3">
      <c r="A340" s="22" t="s">
        <v>49</v>
      </c>
      <c r="B340" s="22" t="s">
        <v>33</v>
      </c>
      <c r="C340" s="22" t="s">
        <v>1911</v>
      </c>
      <c r="D340" s="2"/>
      <c r="E340" s="2"/>
      <c r="F340" s="23" t="s">
        <v>3022</v>
      </c>
      <c r="G340" s="22">
        <v>17</v>
      </c>
      <c r="H340" s="2"/>
      <c r="I340" s="2"/>
      <c r="J340" s="22" t="str">
        <f t="shared" si="78"/>
        <v>3#3#79|3#4#159|3#5#79|3#6#159|3#7#79|3#8#159</v>
      </c>
      <c r="K340" s="22" t="str">
        <f t="shared" si="79"/>
        <v>HPMP%7%</v>
      </c>
      <c r="L340" s="33" t="str">
        <f t="shared" si="80"/>
        <v>仙品升星石23/元宝92000</v>
      </c>
      <c r="M340" s="22">
        <v>50</v>
      </c>
    </row>
    <row r="341" spans="1:13" ht="15.75" x14ac:dyDescent="0.3">
      <c r="A341" s="22" t="s">
        <v>49</v>
      </c>
      <c r="B341" s="22" t="s">
        <v>33</v>
      </c>
      <c r="C341" s="22" t="s">
        <v>1911</v>
      </c>
      <c r="D341" s="2"/>
      <c r="E341" s="2"/>
      <c r="F341" s="23" t="s">
        <v>3023</v>
      </c>
      <c r="G341" s="22">
        <v>18</v>
      </c>
      <c r="H341" s="2"/>
      <c r="I341" s="2"/>
      <c r="J341" s="22" t="str">
        <f t="shared" si="78"/>
        <v>3#3#85|3#4#170|3#5#85|3#6#170|3#7#85|3#8#170</v>
      </c>
      <c r="K341" s="22" t="str">
        <f t="shared" si="79"/>
        <v>HPMP%7%</v>
      </c>
      <c r="L341" s="33" t="str">
        <f t="shared" si="80"/>
        <v>仙品升星石24/元宝98000</v>
      </c>
      <c r="M341" s="22">
        <v>40</v>
      </c>
    </row>
    <row r="342" spans="1:13" ht="15.75" x14ac:dyDescent="0.3">
      <c r="A342" s="22" t="s">
        <v>49</v>
      </c>
      <c r="B342" s="22" t="s">
        <v>33</v>
      </c>
      <c r="C342" s="22" t="s">
        <v>1911</v>
      </c>
      <c r="D342" s="2"/>
      <c r="E342" s="2"/>
      <c r="F342" s="23" t="s">
        <v>3024</v>
      </c>
      <c r="G342" s="22">
        <v>19</v>
      </c>
      <c r="H342" s="2"/>
      <c r="I342" s="2"/>
      <c r="J342" s="22" t="str">
        <f t="shared" si="78"/>
        <v>3#3#89|3#4#179|3#5#89|3#6#179|3#7#89|3#8#179</v>
      </c>
      <c r="K342" s="22" t="str">
        <f t="shared" si="79"/>
        <v>HPMP%8%</v>
      </c>
      <c r="L342" s="33" t="str">
        <f t="shared" si="80"/>
        <v>仙品升星石24/元宝98000</v>
      </c>
      <c r="M342" s="22">
        <v>30</v>
      </c>
    </row>
    <row r="343" spans="1:13" ht="15.75" x14ac:dyDescent="0.3">
      <c r="A343" s="22" t="s">
        <v>49</v>
      </c>
      <c r="B343" s="22" t="s">
        <v>33</v>
      </c>
      <c r="C343" s="22" t="s">
        <v>1911</v>
      </c>
      <c r="D343" s="2"/>
      <c r="E343" s="2"/>
      <c r="F343" s="23" t="s">
        <v>3025</v>
      </c>
      <c r="G343" s="22">
        <v>20</v>
      </c>
      <c r="H343" s="2"/>
      <c r="I343" s="2"/>
      <c r="J343" s="22" t="str">
        <f t="shared" si="78"/>
        <v>3#3#94|3#4#188|3#5#94|3#6#188|3#7#94|3#8#188</v>
      </c>
      <c r="K343" s="22" t="str">
        <f t="shared" si="79"/>
        <v>HPMP%8%</v>
      </c>
      <c r="L343" s="33" t="str">
        <f t="shared" si="80"/>
        <v>仙品升星石26/元宝104000</v>
      </c>
      <c r="M343" s="22">
        <v>25</v>
      </c>
    </row>
    <row r="344" spans="1:13" ht="15.75" x14ac:dyDescent="0.3">
      <c r="A344" s="22" t="s">
        <v>49</v>
      </c>
      <c r="B344" s="22" t="s">
        <v>33</v>
      </c>
      <c r="C344" s="22" t="s">
        <v>1911</v>
      </c>
      <c r="D344" s="2"/>
      <c r="E344" s="2"/>
      <c r="F344" s="23" t="s">
        <v>3026</v>
      </c>
      <c r="G344" s="22">
        <v>21</v>
      </c>
      <c r="H344" s="2"/>
      <c r="I344" s="2"/>
      <c r="J344" s="22" t="str">
        <f t="shared" si="78"/>
        <v>3#3#110|3#4#221|3#5#110|3#6#221|3#7#110|3#8#221</v>
      </c>
      <c r="K344" s="22" t="str">
        <f t="shared" si="79"/>
        <v>HPMP%9%</v>
      </c>
      <c r="L344" s="33" t="str">
        <f t="shared" si="80"/>
        <v>仙品升星石26/元宝104000</v>
      </c>
      <c r="M344" s="22">
        <v>20</v>
      </c>
    </row>
    <row r="345" spans="1:13" ht="15.75" x14ac:dyDescent="0.3">
      <c r="A345" s="22" t="s">
        <v>49</v>
      </c>
      <c r="B345" s="22" t="s">
        <v>33</v>
      </c>
      <c r="C345" s="22" t="s">
        <v>1911</v>
      </c>
      <c r="D345" s="2"/>
      <c r="E345" s="2"/>
      <c r="F345" s="23" t="s">
        <v>3027</v>
      </c>
      <c r="G345" s="22">
        <v>22</v>
      </c>
      <c r="H345" s="2"/>
      <c r="I345" s="2"/>
      <c r="J345" s="22" t="str">
        <f t="shared" si="78"/>
        <v>3#3#115|3#4#231|3#5#115|3#6#231|3#7#115|3#8#231</v>
      </c>
      <c r="K345" s="22" t="str">
        <f t="shared" si="79"/>
        <v>HPMP%9%</v>
      </c>
      <c r="L345" s="33" t="str">
        <f t="shared" si="80"/>
        <v>仙品升星石27/元宝110000</v>
      </c>
      <c r="M345" s="22">
        <v>15</v>
      </c>
    </row>
    <row r="346" spans="1:13" ht="15.75" x14ac:dyDescent="0.3">
      <c r="A346" s="22" t="s">
        <v>49</v>
      </c>
      <c r="B346" s="22" t="s">
        <v>33</v>
      </c>
      <c r="C346" s="22" t="s">
        <v>1911</v>
      </c>
      <c r="D346" s="2"/>
      <c r="E346" s="2"/>
      <c r="F346" s="23" t="s">
        <v>3028</v>
      </c>
      <c r="G346" s="22">
        <v>23</v>
      </c>
      <c r="H346" s="2"/>
      <c r="I346" s="2"/>
      <c r="J346" s="22" t="str">
        <f t="shared" si="78"/>
        <v>3#3#121|3#4#242|3#5#121|3#6#242|3#7#121|3#8#242</v>
      </c>
      <c r="K346" s="22" t="str">
        <f t="shared" si="79"/>
        <v>HPMP%10%</v>
      </c>
      <c r="L346" s="33" t="str">
        <f t="shared" si="80"/>
        <v>仙品升星石27/元宝110000</v>
      </c>
      <c r="M346" s="22">
        <v>10</v>
      </c>
    </row>
    <row r="347" spans="1:13" ht="15.75" x14ac:dyDescent="0.3">
      <c r="A347" s="22" t="s">
        <v>49</v>
      </c>
      <c r="B347" s="22" t="s">
        <v>33</v>
      </c>
      <c r="C347" s="22" t="s">
        <v>1911</v>
      </c>
      <c r="D347" s="2"/>
      <c r="E347" s="2"/>
      <c r="F347" s="23" t="s">
        <v>3029</v>
      </c>
      <c r="G347" s="22">
        <v>24</v>
      </c>
      <c r="H347" s="2"/>
      <c r="I347" s="2"/>
      <c r="J347" s="22" t="str">
        <f t="shared" si="78"/>
        <v>3#3#126|3#4#252|3#5#126|3#6#252|3#7#126|3#8#252</v>
      </c>
      <c r="K347" s="22" t="str">
        <f t="shared" si="79"/>
        <v>HPMP%10%</v>
      </c>
      <c r="L347" s="33" t="str">
        <f>"神品升星石"&amp;INT(X28/10)&amp;"/元宝"&amp;Y28</f>
        <v>神品升星石5/元宝116000</v>
      </c>
      <c r="M347" s="22">
        <v>100</v>
      </c>
    </row>
    <row r="348" spans="1:13" ht="15.75" x14ac:dyDescent="0.3">
      <c r="A348" s="22" t="s">
        <v>49</v>
      </c>
      <c r="B348" s="22" t="s">
        <v>33</v>
      </c>
      <c r="C348" s="22" t="s">
        <v>1911</v>
      </c>
      <c r="D348" s="2"/>
      <c r="E348" s="2"/>
      <c r="F348" s="23" t="s">
        <v>3030</v>
      </c>
      <c r="G348" s="22">
        <v>25</v>
      </c>
      <c r="H348" s="2"/>
      <c r="I348" s="2"/>
      <c r="J348" s="22" t="str">
        <f t="shared" si="78"/>
        <v>3#3#138|3#4#277|3#5#138|3#6#277|3#7#138|3#8#277</v>
      </c>
      <c r="K348" s="22" t="str">
        <f t="shared" si="79"/>
        <v>HPMP%11%</v>
      </c>
      <c r="L348" s="33" t="str">
        <f t="shared" ref="L348:L358" si="81">"神品升星石"&amp;INT(X29/10)&amp;"/元宝"&amp;Y29</f>
        <v>神品升星石5/元宝116000</v>
      </c>
      <c r="M348" s="22">
        <v>100</v>
      </c>
    </row>
    <row r="349" spans="1:13" ht="15.75" x14ac:dyDescent="0.3">
      <c r="A349" s="22" t="s">
        <v>49</v>
      </c>
      <c r="B349" s="22" t="s">
        <v>33</v>
      </c>
      <c r="C349" s="22" t="s">
        <v>1911</v>
      </c>
      <c r="D349" s="2"/>
      <c r="E349" s="2"/>
      <c r="F349" s="23" t="s">
        <v>3031</v>
      </c>
      <c r="G349" s="22">
        <v>26</v>
      </c>
      <c r="H349" s="2"/>
      <c r="I349" s="2"/>
      <c r="J349" s="22" t="str">
        <f t="shared" si="78"/>
        <v>3#3#144|3#4#288|3#5#144|3#6#288|3#7#144|3#8#288</v>
      </c>
      <c r="K349" s="22" t="str">
        <f t="shared" si="79"/>
        <v>HPMP%11%</v>
      </c>
      <c r="L349" s="33" t="str">
        <f t="shared" si="81"/>
        <v>神品升星石6/元宝122000</v>
      </c>
      <c r="M349" s="22">
        <v>100</v>
      </c>
    </row>
    <row r="350" spans="1:13" ht="15.75" x14ac:dyDescent="0.3">
      <c r="A350" s="22" t="s">
        <v>49</v>
      </c>
      <c r="B350" s="22" t="s">
        <v>33</v>
      </c>
      <c r="C350" s="22" t="s">
        <v>1911</v>
      </c>
      <c r="D350" s="2"/>
      <c r="E350" s="2"/>
      <c r="F350" s="23" t="s">
        <v>3032</v>
      </c>
      <c r="G350" s="22">
        <v>27</v>
      </c>
      <c r="H350" s="2"/>
      <c r="I350" s="2"/>
      <c r="J350" s="22" t="str">
        <f t="shared" si="78"/>
        <v>3#3#150|3#4#300|3#5#150|3#6#300|3#7#150|3#8#300</v>
      </c>
      <c r="K350" s="22" t="str">
        <f t="shared" si="79"/>
        <v>HPMP%12%</v>
      </c>
      <c r="L350" s="33" t="str">
        <f t="shared" si="81"/>
        <v>神品升星石6/元宝122000</v>
      </c>
      <c r="M350" s="22">
        <v>70</v>
      </c>
    </row>
    <row r="351" spans="1:13" ht="15.75" x14ac:dyDescent="0.3">
      <c r="A351" s="22" t="s">
        <v>49</v>
      </c>
      <c r="B351" s="22" t="s">
        <v>33</v>
      </c>
      <c r="C351" s="22" t="s">
        <v>1911</v>
      </c>
      <c r="D351" s="2"/>
      <c r="E351" s="2"/>
      <c r="F351" s="23" t="s">
        <v>3033</v>
      </c>
      <c r="G351" s="22">
        <v>28</v>
      </c>
      <c r="H351" s="2"/>
      <c r="I351" s="2"/>
      <c r="J351" s="22" t="str">
        <f t="shared" si="78"/>
        <v>3#3#155|3#4#311|3#5#155|3#6#311|3#7#155|3#8#311</v>
      </c>
      <c r="K351" s="22" t="str">
        <f t="shared" si="79"/>
        <v>HPMP%12%</v>
      </c>
      <c r="L351" s="33" t="str">
        <f t="shared" si="81"/>
        <v>神品升星石6/元宝130000</v>
      </c>
      <c r="M351" s="22">
        <v>60</v>
      </c>
    </row>
    <row r="352" spans="1:13" ht="15.75" x14ac:dyDescent="0.3">
      <c r="A352" s="22" t="s">
        <v>49</v>
      </c>
      <c r="B352" s="22" t="s">
        <v>33</v>
      </c>
      <c r="C352" s="22" t="s">
        <v>1911</v>
      </c>
      <c r="D352" s="2"/>
      <c r="E352" s="2"/>
      <c r="F352" s="23" t="s">
        <v>3034</v>
      </c>
      <c r="G352" s="22">
        <v>29</v>
      </c>
      <c r="H352" s="2"/>
      <c r="I352" s="2"/>
      <c r="J352" s="22" t="str">
        <f t="shared" si="78"/>
        <v>3#3#161|3#4#322|3#5#161|3#6#322|3#7#161|3#8#322</v>
      </c>
      <c r="K352" s="22" t="str">
        <f t="shared" si="79"/>
        <v>HPMP%13%</v>
      </c>
      <c r="L352" s="33" t="str">
        <f t="shared" si="81"/>
        <v>神品升星石6/元宝130000</v>
      </c>
      <c r="M352" s="22">
        <v>50</v>
      </c>
    </row>
    <row r="353" spans="1:13" ht="15.75" x14ac:dyDescent="0.3">
      <c r="A353" s="22" t="s">
        <v>49</v>
      </c>
      <c r="B353" s="22" t="s">
        <v>33</v>
      </c>
      <c r="C353" s="22" t="s">
        <v>1911</v>
      </c>
      <c r="D353" s="2"/>
      <c r="E353" s="2"/>
      <c r="F353" s="23" t="s">
        <v>3035</v>
      </c>
      <c r="G353" s="22">
        <v>30</v>
      </c>
      <c r="H353" s="2"/>
      <c r="I353" s="2"/>
      <c r="J353" s="22" t="str">
        <f t="shared" si="78"/>
        <v>3#3#166|3#4#333|3#5#166|3#6#333|3#7#166|3#8#333</v>
      </c>
      <c r="K353" s="22" t="str">
        <f t="shared" si="79"/>
        <v>HPMP%13%</v>
      </c>
      <c r="L353" s="33" t="str">
        <f t="shared" si="81"/>
        <v>神品升星石6/元宝136000</v>
      </c>
      <c r="M353" s="22">
        <v>40</v>
      </c>
    </row>
    <row r="354" spans="1:13" ht="15.75" x14ac:dyDescent="0.3">
      <c r="A354" s="22" t="s">
        <v>49</v>
      </c>
      <c r="B354" s="22" t="s">
        <v>33</v>
      </c>
      <c r="C354" s="22" t="s">
        <v>1911</v>
      </c>
      <c r="D354" s="2"/>
      <c r="E354" s="2"/>
      <c r="F354" s="23" t="s">
        <v>3036</v>
      </c>
      <c r="G354" s="22">
        <v>31</v>
      </c>
      <c r="H354" s="2"/>
      <c r="I354" s="2"/>
      <c r="J354" s="22" t="str">
        <f t="shared" si="78"/>
        <v>3#3#172|3#4#344|3#5#172|3#6#344|3#7#172|3#8#344</v>
      </c>
      <c r="K354" s="22" t="str">
        <f t="shared" si="79"/>
        <v>HPMP%14%</v>
      </c>
      <c r="L354" s="33" t="str">
        <f t="shared" si="81"/>
        <v>神品升星石6/元宝136000</v>
      </c>
      <c r="M354" s="22">
        <v>30</v>
      </c>
    </row>
    <row r="355" spans="1:13" ht="15.75" x14ac:dyDescent="0.3">
      <c r="A355" s="22" t="s">
        <v>49</v>
      </c>
      <c r="B355" s="22" t="s">
        <v>33</v>
      </c>
      <c r="C355" s="22" t="s">
        <v>1911</v>
      </c>
      <c r="D355" s="2"/>
      <c r="E355" s="2"/>
      <c r="F355" s="23" t="s">
        <v>3037</v>
      </c>
      <c r="G355" s="22">
        <v>32</v>
      </c>
      <c r="H355" s="2"/>
      <c r="I355" s="2"/>
      <c r="J355" s="22" t="str">
        <f t="shared" si="78"/>
        <v>3#3#177|3#4#355|3#5#177|3#6#355|3#7#177|3#8#355</v>
      </c>
      <c r="K355" s="22" t="str">
        <f t="shared" si="79"/>
        <v>HPMP%14%</v>
      </c>
      <c r="L355" s="33" t="str">
        <f t="shared" si="81"/>
        <v>神品升星石7/元宝142000</v>
      </c>
      <c r="M355" s="22">
        <v>25</v>
      </c>
    </row>
    <row r="356" spans="1:13" ht="15.75" x14ac:dyDescent="0.3">
      <c r="A356" s="22" t="s">
        <v>49</v>
      </c>
      <c r="B356" s="22" t="s">
        <v>33</v>
      </c>
      <c r="C356" s="22" t="s">
        <v>1911</v>
      </c>
      <c r="D356" s="2"/>
      <c r="E356" s="2"/>
      <c r="F356" s="23" t="s">
        <v>3038</v>
      </c>
      <c r="G356" s="22">
        <v>33</v>
      </c>
      <c r="H356" s="2"/>
      <c r="I356" s="2"/>
      <c r="J356" s="22" t="str">
        <f t="shared" si="78"/>
        <v>3#3#183|3#4#366|3#5#183|3#6#366|3#7#183|3#8#366</v>
      </c>
      <c r="K356" s="22" t="str">
        <f t="shared" si="79"/>
        <v>HPMP%15%</v>
      </c>
      <c r="L356" s="33" t="str">
        <f t="shared" si="81"/>
        <v>神品升星石7/元宝142000</v>
      </c>
      <c r="M356" s="22">
        <v>20</v>
      </c>
    </row>
    <row r="357" spans="1:13" ht="15.75" x14ac:dyDescent="0.3">
      <c r="A357" s="22" t="s">
        <v>49</v>
      </c>
      <c r="B357" s="22" t="s">
        <v>33</v>
      </c>
      <c r="C357" s="22" t="s">
        <v>1911</v>
      </c>
      <c r="D357" s="2"/>
      <c r="E357" s="2"/>
      <c r="F357" s="23" t="s">
        <v>3039</v>
      </c>
      <c r="G357" s="22">
        <v>34</v>
      </c>
      <c r="H357" s="2"/>
      <c r="I357" s="2"/>
      <c r="J357" s="22" t="str">
        <f t="shared" si="78"/>
        <v>3#3#188|3#4#377|3#5#188|3#6#377|3#7#188|3#8#377</v>
      </c>
      <c r="K357" s="22" t="str">
        <f t="shared" si="79"/>
        <v>HPMP%16%</v>
      </c>
      <c r="L357" s="33" t="str">
        <f t="shared" si="81"/>
        <v>神品升星石7/元宝148000</v>
      </c>
      <c r="M357" s="22">
        <v>15</v>
      </c>
    </row>
    <row r="358" spans="1:13" ht="15.75" x14ac:dyDescent="0.3">
      <c r="A358" s="22" t="s">
        <v>49</v>
      </c>
      <c r="B358" s="22" t="s">
        <v>33</v>
      </c>
      <c r="C358" s="22" t="s">
        <v>1911</v>
      </c>
      <c r="D358" s="2"/>
      <c r="E358" s="2"/>
      <c r="F358" s="23" t="s">
        <v>3040</v>
      </c>
      <c r="G358" s="22">
        <v>35</v>
      </c>
      <c r="H358" s="2"/>
      <c r="I358" s="2"/>
      <c r="J358" s="22" t="str">
        <f t="shared" si="78"/>
        <v>3#3#194|3#4#388|3#5#194|3#6#388|3#7#194|3#8#388</v>
      </c>
      <c r="K358" s="22" t="str">
        <f t="shared" si="79"/>
        <v>HPMP%17%</v>
      </c>
      <c r="L358" s="33" t="str">
        <f t="shared" si="81"/>
        <v>神品升星石7/元宝148000</v>
      </c>
      <c r="M358" s="22">
        <v>10</v>
      </c>
    </row>
    <row r="359" spans="1:13" ht="15.75" x14ac:dyDescent="0.3">
      <c r="A359" s="22" t="s">
        <v>49</v>
      </c>
      <c r="B359" s="22" t="s">
        <v>33</v>
      </c>
      <c r="C359" s="22" t="s">
        <v>1911</v>
      </c>
      <c r="D359" s="2"/>
      <c r="E359" s="2"/>
      <c r="F359" s="23" t="s">
        <v>3041</v>
      </c>
      <c r="G359" s="22">
        <v>36</v>
      </c>
      <c r="H359" s="2"/>
      <c r="I359" s="2"/>
      <c r="J359" s="22" t="str">
        <f t="shared" si="78"/>
        <v>3#3#200|3#4#400|3#5#200|3#6#400|3#7#200|3#8#400</v>
      </c>
      <c r="K359" s="22" t="str">
        <f t="shared" si="79"/>
        <v>HPMP%18%</v>
      </c>
      <c r="L359" s="2"/>
      <c r="M359" s="22"/>
    </row>
    <row r="360" spans="1:13" ht="15.75" x14ac:dyDescent="0.3">
      <c r="A360" s="22" t="s">
        <v>49</v>
      </c>
      <c r="B360" s="22" t="s">
        <v>33</v>
      </c>
      <c r="C360" s="22" t="s">
        <v>1911</v>
      </c>
      <c r="D360" s="2"/>
      <c r="E360" s="2"/>
      <c r="F360" s="23" t="s">
        <v>3042</v>
      </c>
      <c r="G360" s="22">
        <v>37</v>
      </c>
      <c r="H360" s="2"/>
      <c r="I360" s="2"/>
      <c r="J360" s="22"/>
      <c r="K360" s="22"/>
      <c r="L360" s="2"/>
      <c r="M360" s="22"/>
    </row>
    <row r="361" spans="1:13" ht="15.75" x14ac:dyDescent="0.3">
      <c r="A361" s="22" t="s">
        <v>49</v>
      </c>
      <c r="B361" s="22" t="s">
        <v>33</v>
      </c>
      <c r="C361" s="22" t="s">
        <v>1911</v>
      </c>
      <c r="D361" s="2"/>
      <c r="E361" s="2"/>
      <c r="F361" s="23" t="s">
        <v>3043</v>
      </c>
      <c r="G361" s="22">
        <v>38</v>
      </c>
      <c r="H361" s="2"/>
      <c r="I361" s="2"/>
      <c r="J361" s="22"/>
      <c r="K361" s="22"/>
      <c r="L361" s="2"/>
      <c r="M361" s="22"/>
    </row>
    <row r="362" spans="1:13" ht="15.75" x14ac:dyDescent="0.3">
      <c r="A362" s="22" t="s">
        <v>49</v>
      </c>
      <c r="B362" s="22" t="s">
        <v>33</v>
      </c>
      <c r="C362" s="22" t="s">
        <v>1911</v>
      </c>
      <c r="D362" s="2"/>
      <c r="E362" s="2"/>
      <c r="F362" s="23" t="s">
        <v>3044</v>
      </c>
      <c r="G362" s="22">
        <v>39</v>
      </c>
      <c r="H362" s="2"/>
      <c r="I362" s="2"/>
      <c r="J362" s="22"/>
      <c r="K362" s="22"/>
      <c r="L362" s="2"/>
      <c r="M362" s="22"/>
    </row>
  </sheetData>
  <mergeCells count="6">
    <mergeCell ref="N2:Q2"/>
    <mergeCell ref="R2:S2"/>
    <mergeCell ref="AA2:AL2"/>
    <mergeCell ref="T2:U2"/>
    <mergeCell ref="V2:W2"/>
    <mergeCell ref="X2:Y2"/>
  </mergeCells>
  <phoneticPr fontId="1" type="noConversion"/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091EB18-81F5-4CE2-A82E-1C3652B3A3F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装备强化!S4:S39</xm:f>
              <xm:sqref>S40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90EA-3837-48E6-81C1-D6ABA71F00C5}">
  <dimension ref="A2:AH508"/>
  <sheetViews>
    <sheetView workbookViewId="0">
      <selection activeCell="J17" sqref="J17"/>
    </sheetView>
  </sheetViews>
  <sheetFormatPr defaultRowHeight="14.25" x14ac:dyDescent="0.2"/>
  <cols>
    <col min="2" max="2" width="13.375" customWidth="1"/>
    <col min="5" max="5" width="39.25" bestFit="1" customWidth="1"/>
    <col min="6" max="6" width="37.625" customWidth="1"/>
    <col min="7" max="7" width="12.625" customWidth="1"/>
    <col min="8" max="8" width="12.625" style="139" customWidth="1"/>
    <col min="11" max="12" width="19.375" customWidth="1"/>
    <col min="14" max="14" width="52.625" customWidth="1"/>
    <col min="17" max="19" width="9" style="159"/>
    <col min="21" max="22" width="12.25" style="159" customWidth="1"/>
    <col min="23" max="24" width="9.625" style="159" customWidth="1"/>
    <col min="25" max="26" width="9" style="159"/>
    <col min="27" max="29" width="9.75" customWidth="1"/>
    <col min="30" max="30" width="11.875" bestFit="1" customWidth="1"/>
    <col min="31" max="31" width="40.5" bestFit="1" customWidth="1"/>
    <col min="32" max="32" width="11.625" bestFit="1" customWidth="1"/>
    <col min="33" max="33" width="40.5" bestFit="1" customWidth="1"/>
  </cols>
  <sheetData>
    <row r="2" spans="1:34" ht="18" x14ac:dyDescent="0.2">
      <c r="A2" s="21" t="s">
        <v>49</v>
      </c>
      <c r="B2" s="21" t="s">
        <v>50</v>
      </c>
      <c r="C2" s="21" t="s">
        <v>54</v>
      </c>
      <c r="D2" s="21" t="s">
        <v>55</v>
      </c>
      <c r="E2" s="21" t="s">
        <v>77</v>
      </c>
      <c r="F2" s="21" t="s">
        <v>62</v>
      </c>
      <c r="G2" s="21" t="s">
        <v>3004</v>
      </c>
      <c r="H2" s="110"/>
      <c r="I2" s="21" t="s">
        <v>49</v>
      </c>
      <c r="J2" s="21" t="s">
        <v>50</v>
      </c>
      <c r="K2" s="21" t="s">
        <v>54</v>
      </c>
      <c r="L2" s="21" t="s">
        <v>55</v>
      </c>
      <c r="M2" s="21" t="s">
        <v>3051</v>
      </c>
      <c r="N2" s="103" t="s">
        <v>77</v>
      </c>
      <c r="O2" s="280" t="s">
        <v>40</v>
      </c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  <c r="AD2" s="21" t="s">
        <v>3443</v>
      </c>
      <c r="AE2" s="280" t="s">
        <v>3452</v>
      </c>
      <c r="AF2" s="280"/>
      <c r="AG2" s="280" t="s">
        <v>3475</v>
      </c>
      <c r="AH2" s="280"/>
    </row>
    <row r="3" spans="1:34" ht="18" x14ac:dyDescent="0.3">
      <c r="A3" s="35" t="s">
        <v>40</v>
      </c>
      <c r="B3" s="35" t="s">
        <v>3052</v>
      </c>
      <c r="C3" s="41" t="s">
        <v>78</v>
      </c>
      <c r="D3" s="35">
        <v>0</v>
      </c>
      <c r="E3" s="36"/>
      <c r="F3" s="190" t="str">
        <f>"中品注灵石"&amp;AG4&amp;"/元宝"&amp;AH4</f>
        <v>中品注灵石5/元宝20000</v>
      </c>
      <c r="G3" s="35">
        <v>100</v>
      </c>
      <c r="H3" s="112"/>
      <c r="I3" s="41" t="s">
        <v>40</v>
      </c>
      <c r="J3" s="41" t="s">
        <v>3053</v>
      </c>
      <c r="K3" s="41" t="s">
        <v>3054</v>
      </c>
      <c r="L3" s="41">
        <v>1</v>
      </c>
      <c r="M3" s="41">
        <v>5</v>
      </c>
      <c r="N3" s="140" t="str">
        <f>"3#1#"&amp;AA8&amp;"|"&amp;"3#3#"&amp;AB8&amp;"|"&amp;"3#4#"&amp;AB8&amp;"|"&amp;"3#5#"&amp;AB8&amp;"|"&amp;"3#6#"&amp;AB8&amp;"|"&amp;"3#7#"&amp;AB8&amp;"|"&amp;"3#8#"&amp;AB8&amp;"|"&amp;"3#9#"&amp;AC8&amp;"|"&amp;"3#10#"&amp;AC8&amp;"|"&amp;"3#11#"&amp;AC8&amp;"|"&amp;"3#12#"&amp;AC8</f>
        <v>3#1#100|3#3#5|3#4#5|3#5#5|3#6#5|3#7#5|3#8#5|3#9#5|3#10#5|3#11#5|3#12#5</v>
      </c>
      <c r="O3" s="21" t="s">
        <v>55</v>
      </c>
      <c r="P3" s="21" t="s">
        <v>3468</v>
      </c>
      <c r="Q3" s="205" t="s">
        <v>3150</v>
      </c>
      <c r="R3" s="205" t="s">
        <v>3151</v>
      </c>
      <c r="S3" s="205" t="s">
        <v>3152</v>
      </c>
      <c r="T3" s="63" t="s">
        <v>3047</v>
      </c>
      <c r="U3" s="205" t="s">
        <v>3144</v>
      </c>
      <c r="V3" s="205" t="s">
        <v>3153</v>
      </c>
      <c r="W3" s="205" t="s">
        <v>3145</v>
      </c>
      <c r="X3" s="205" t="s">
        <v>3153</v>
      </c>
      <c r="Y3" s="205" t="s">
        <v>3146</v>
      </c>
      <c r="Z3" s="205" t="s">
        <v>3153</v>
      </c>
      <c r="AA3" s="21" t="s">
        <v>3147</v>
      </c>
      <c r="AB3" s="21" t="s">
        <v>3148</v>
      </c>
      <c r="AC3" s="21" t="s">
        <v>3149</v>
      </c>
      <c r="AD3" s="21" t="s">
        <v>3428</v>
      </c>
      <c r="AE3" s="21" t="s">
        <v>3456</v>
      </c>
      <c r="AF3" s="21" t="s">
        <v>3447</v>
      </c>
      <c r="AG3" s="21" t="s">
        <v>3456</v>
      </c>
      <c r="AH3" s="21" t="s">
        <v>3447</v>
      </c>
    </row>
    <row r="4" spans="1:34" ht="16.5" x14ac:dyDescent="0.3">
      <c r="A4" s="35" t="s">
        <v>40</v>
      </c>
      <c r="B4" s="35" t="s">
        <v>3052</v>
      </c>
      <c r="C4" s="41" t="s">
        <v>3055</v>
      </c>
      <c r="D4" s="35">
        <v>1</v>
      </c>
      <c r="E4" s="36" t="str">
        <f t="shared" ref="E4:E47" si="0">"3#3#"&amp;INT(1/3*X4)&amp;"|"&amp;"3#4#"&amp;INT(1/3*X4)&amp;"|"&amp;"3#5#"&amp;INT(1/3*X4)&amp;"|"&amp;"3#6#"&amp;INT(1/3*X4)&amp;"|"&amp;"3#7#"&amp;INT(1/3*X4)&amp;"|"&amp;"3#8#"&amp;INT(1/3*X4)</f>
        <v>3#3#1|3#4#1|3#5#1|3#6#1|3#7#1|3#8#1</v>
      </c>
      <c r="F4" s="190" t="str">
        <f t="shared" ref="F4:F17" si="1">"中品注灵石"&amp;AG5&amp;"/元宝"&amp;AH5</f>
        <v>中品注灵石6/元宝24000</v>
      </c>
      <c r="G4" s="35">
        <v>100</v>
      </c>
      <c r="H4" s="112"/>
      <c r="I4" s="41" t="s">
        <v>40</v>
      </c>
      <c r="J4" s="41" t="s">
        <v>3053</v>
      </c>
      <c r="K4" s="41" t="s">
        <v>3056</v>
      </c>
      <c r="L4" s="41">
        <v>2</v>
      </c>
      <c r="M4" s="41">
        <v>10</v>
      </c>
      <c r="N4" s="140" t="str">
        <f>"3#1#"&amp;AA13&amp;"|"&amp;"3#3#"&amp;AB13&amp;"|"&amp;"3#4#"&amp;AB13&amp;"|"&amp;"3#5#"&amp;AB13&amp;"|"&amp;"3#6#"&amp;AB13&amp;"|"&amp;"3#7#"&amp;AB13&amp;"|"&amp;"3#8#"&amp;AB13&amp;"|"&amp;"3#9#"&amp;AC13&amp;"|"&amp;"3#10#"&amp;AC13&amp;"|"&amp;"3#11#"&amp;AC13&amp;"|"&amp;"3#12#"&amp;AC13</f>
        <v>3#1#300|3#3#15|3#4#15|3#5#15|3#6#15|3#7#15|3#8#15|3#9#15|3#10#15|3#11#15|3#12#15</v>
      </c>
      <c r="O4" s="8">
        <v>1</v>
      </c>
      <c r="P4" s="8">
        <f>材料产出!C4</f>
        <v>0.5</v>
      </c>
      <c r="Q4" s="158"/>
      <c r="R4" s="158"/>
      <c r="S4" s="158"/>
      <c r="T4" s="97">
        <v>0.6</v>
      </c>
      <c r="U4" s="158">
        <f t="shared" ref="U4:U46" si="2">INT(O4/O$48*U$48)</f>
        <v>200</v>
      </c>
      <c r="V4" s="158">
        <f t="shared" ref="V4:V47" si="3">U4*T4</f>
        <v>120</v>
      </c>
      <c r="W4" s="158">
        <f t="shared" ref="W4:W45" si="4">INT(O4/O$48*W$48)</f>
        <v>6</v>
      </c>
      <c r="X4" s="158">
        <f t="shared" ref="X4:X47" si="5">INT(W4*T4)</f>
        <v>3</v>
      </c>
      <c r="Y4" s="158">
        <f t="shared" ref="Y4:Y46" si="6">INT(O4/O$48*Y$48)</f>
        <v>6</v>
      </c>
      <c r="Z4" s="158">
        <f t="shared" ref="Z4:Z47" si="7">INT(Y4*T4)</f>
        <v>3</v>
      </c>
      <c r="AA4" s="8"/>
      <c r="AB4" s="8"/>
      <c r="AC4" s="8"/>
      <c r="AD4" s="8"/>
      <c r="AE4" s="8"/>
      <c r="AF4" s="8"/>
      <c r="AG4" s="8">
        <f>ROUND(AE$48*1/45*P4/11,0)</f>
        <v>5</v>
      </c>
      <c r="AH4" s="8">
        <f t="shared" ref="AH4:AH46" si="8">AG4*4000</f>
        <v>20000</v>
      </c>
    </row>
    <row r="5" spans="1:34" ht="16.5" x14ac:dyDescent="0.3">
      <c r="A5" s="35" t="s">
        <v>40</v>
      </c>
      <c r="B5" s="35" t="s">
        <v>3052</v>
      </c>
      <c r="C5" s="41" t="s">
        <v>3057</v>
      </c>
      <c r="D5" s="35">
        <v>2</v>
      </c>
      <c r="E5" s="36" t="str">
        <f t="shared" si="0"/>
        <v>3#3#2|3#4#2|3#5#2|3#6#2|3#7#2|3#8#2</v>
      </c>
      <c r="F5" s="190" t="str">
        <f t="shared" si="1"/>
        <v>中品注灵石6/元宝24000</v>
      </c>
      <c r="G5" s="35">
        <v>100</v>
      </c>
      <c r="H5" s="112"/>
      <c r="I5" s="41" t="s">
        <v>40</v>
      </c>
      <c r="J5" s="41" t="s">
        <v>3053</v>
      </c>
      <c r="K5" s="41" t="s">
        <v>3058</v>
      </c>
      <c r="L5" s="41">
        <v>3</v>
      </c>
      <c r="M5" s="41">
        <v>15</v>
      </c>
      <c r="N5" s="140" t="str">
        <f>"3#1#"&amp;AA18&amp;"|"&amp;"3#3#"&amp;AB18&amp;"|"&amp;"3#4#"&amp;AB18&amp;"|"&amp;"3#5#"&amp;AB18&amp;"|"&amp;"3#6#"&amp;AB18&amp;"|"&amp;"3#7#"&amp;AB18&amp;"|"&amp;"3#8#"&amp;AB18&amp;"|"&amp;"3#9#"&amp;AC18&amp;"|"&amp;"3#10#"&amp;AC18&amp;"|"&amp;"3#11#"&amp;AC18&amp;"|"&amp;"3#12#"&amp;AC18</f>
        <v>3#1#600|3#3#30|3#4#30|3#5#30|3#6#30|3#7#30|3#8#30|3#9#30|3#10#30|3#11#30|3#12#30</v>
      </c>
      <c r="O5" s="8">
        <v>2</v>
      </c>
      <c r="P5" s="8">
        <f>(P$8-P$4)*1/4+P$4</f>
        <v>0.57499999999999996</v>
      </c>
      <c r="Q5" s="158"/>
      <c r="R5" s="158"/>
      <c r="S5" s="158"/>
      <c r="T5" s="97">
        <v>0.6</v>
      </c>
      <c r="U5" s="158">
        <f t="shared" si="2"/>
        <v>400</v>
      </c>
      <c r="V5" s="158">
        <f t="shared" si="3"/>
        <v>240</v>
      </c>
      <c r="W5" s="158">
        <f t="shared" si="4"/>
        <v>13</v>
      </c>
      <c r="X5" s="158">
        <f t="shared" si="5"/>
        <v>7</v>
      </c>
      <c r="Y5" s="158">
        <f t="shared" si="6"/>
        <v>13</v>
      </c>
      <c r="Z5" s="158">
        <f t="shared" si="7"/>
        <v>7</v>
      </c>
      <c r="AA5" s="8"/>
      <c r="AB5" s="8"/>
      <c r="AC5" s="8"/>
      <c r="AD5" s="8"/>
      <c r="AE5" s="8"/>
      <c r="AF5" s="8"/>
      <c r="AG5" s="8">
        <f t="shared" ref="AG5:AG46" si="9">ROUND(AE$48*1/45*P5/11,0)</f>
        <v>6</v>
      </c>
      <c r="AH5" s="8">
        <f t="shared" si="8"/>
        <v>24000</v>
      </c>
    </row>
    <row r="6" spans="1:34" ht="16.5" x14ac:dyDescent="0.3">
      <c r="A6" s="35" t="s">
        <v>40</v>
      </c>
      <c r="B6" s="35" t="s">
        <v>3052</v>
      </c>
      <c r="C6" s="41" t="s">
        <v>3059</v>
      </c>
      <c r="D6" s="35">
        <v>3</v>
      </c>
      <c r="E6" s="36" t="str">
        <f t="shared" si="0"/>
        <v>3#3#4|3#4#4|3#5#4|3#6#4|3#7#4|3#8#4</v>
      </c>
      <c r="F6" s="190" t="str">
        <f t="shared" si="1"/>
        <v>中品注灵石7/元宝28000</v>
      </c>
      <c r="G6" s="35">
        <v>100</v>
      </c>
      <c r="H6" s="112"/>
      <c r="I6" s="41" t="s">
        <v>40</v>
      </c>
      <c r="J6" s="41" t="s">
        <v>3053</v>
      </c>
      <c r="K6" s="41" t="s">
        <v>3060</v>
      </c>
      <c r="L6" s="41">
        <v>4</v>
      </c>
      <c r="M6" s="41">
        <v>20</v>
      </c>
      <c r="N6" s="140" t="str">
        <f>"3#1#"&amp;AA23&amp;"|"&amp;"3#3#"&amp;AB23&amp;"|"&amp;"3#4#"&amp;AB23&amp;"|"&amp;"3#5#"&amp;AB23&amp;"|"&amp;"3#6#"&amp;AB23&amp;"|"&amp;"3#7#"&amp;AB23&amp;"|"&amp;"3#8#"&amp;AB23&amp;"|"&amp;"3#9#"&amp;AC23&amp;"|"&amp;"3#10#"&amp;AC23&amp;"|"&amp;"3#11#"&amp;AC23&amp;"|"&amp;"3#12#"&amp;AC23</f>
        <v>3#1#1000|3#3#50|3#4#50|3#5#50|3#6#50|3#7#50|3#8#50|3#9#50|3#10#50|3#11#50|3#12#50</v>
      </c>
      <c r="O6" s="8">
        <v>3</v>
      </c>
      <c r="P6" s="8">
        <f>(P$8-P$4)*2/4+P$4</f>
        <v>0.65</v>
      </c>
      <c r="Q6" s="158"/>
      <c r="R6" s="158"/>
      <c r="S6" s="158"/>
      <c r="T6" s="97">
        <v>0.6</v>
      </c>
      <c r="U6" s="158">
        <f t="shared" si="2"/>
        <v>600</v>
      </c>
      <c r="V6" s="158">
        <f t="shared" si="3"/>
        <v>360</v>
      </c>
      <c r="W6" s="158">
        <f t="shared" si="4"/>
        <v>20</v>
      </c>
      <c r="X6" s="158">
        <f t="shared" si="5"/>
        <v>12</v>
      </c>
      <c r="Y6" s="158">
        <f t="shared" si="6"/>
        <v>20</v>
      </c>
      <c r="Z6" s="158">
        <f t="shared" si="7"/>
        <v>12</v>
      </c>
      <c r="AA6" s="8"/>
      <c r="AB6" s="8"/>
      <c r="AC6" s="8"/>
      <c r="AD6" s="8"/>
      <c r="AE6" s="8"/>
      <c r="AF6" s="8"/>
      <c r="AG6" s="8">
        <f t="shared" si="9"/>
        <v>6</v>
      </c>
      <c r="AH6" s="8">
        <f t="shared" si="8"/>
        <v>24000</v>
      </c>
    </row>
    <row r="7" spans="1:34" ht="16.5" x14ac:dyDescent="0.3">
      <c r="A7" s="35" t="s">
        <v>40</v>
      </c>
      <c r="B7" s="35" t="s">
        <v>3052</v>
      </c>
      <c r="C7" s="41" t="s">
        <v>3061</v>
      </c>
      <c r="D7" s="35">
        <v>4</v>
      </c>
      <c r="E7" s="36" t="str">
        <f t="shared" si="0"/>
        <v>3#3#5|3#4#5|3#5#5|3#6#5|3#7#5|3#8#5</v>
      </c>
      <c r="F7" s="190" t="str">
        <f t="shared" si="1"/>
        <v>中品注灵石8/元宝32000</v>
      </c>
      <c r="G7" s="35">
        <v>100</v>
      </c>
      <c r="H7" s="112"/>
      <c r="I7" s="41" t="s">
        <v>40</v>
      </c>
      <c r="J7" s="41" t="s">
        <v>3053</v>
      </c>
      <c r="K7" s="41" t="s">
        <v>3062</v>
      </c>
      <c r="L7" s="41">
        <v>5</v>
      </c>
      <c r="M7" s="41">
        <v>25</v>
      </c>
      <c r="N7" s="140" t="str">
        <f>"3#1#"&amp;AA28&amp;"|"&amp;"3#3#"&amp;AB28&amp;"|"&amp;"3#4#"&amp;AB28&amp;"|"&amp;"3#5#"&amp;AB28&amp;"|"&amp;"3#6#"&amp;AB28&amp;"|"&amp;"3#7#"&amp;AB28&amp;"|"&amp;"3#8#"&amp;AB28&amp;"|"&amp;"3#9#"&amp;AC28&amp;"|"&amp;"3#10#"&amp;AC28&amp;"|"&amp;"3#11#"&amp;AC28&amp;"|"&amp;"3#12#"&amp;AC28</f>
        <v>3#1#1500|3#3#75|3#4#75|3#5#75|3#6#75|3#7#75|3#8#75|3#9#75|3#10#75|3#11#75|3#12#75</v>
      </c>
      <c r="O7" s="8">
        <v>4</v>
      </c>
      <c r="P7" s="8">
        <f>(P$8-P$4)*3/4+P$4</f>
        <v>0.72500000000000009</v>
      </c>
      <c r="Q7" s="158"/>
      <c r="R7" s="158"/>
      <c r="S7" s="158"/>
      <c r="T7" s="97">
        <v>0.6</v>
      </c>
      <c r="U7" s="158">
        <f t="shared" si="2"/>
        <v>800</v>
      </c>
      <c r="V7" s="158">
        <f t="shared" si="3"/>
        <v>480</v>
      </c>
      <c r="W7" s="158">
        <f t="shared" si="4"/>
        <v>26</v>
      </c>
      <c r="X7" s="158">
        <f t="shared" si="5"/>
        <v>15</v>
      </c>
      <c r="Y7" s="158">
        <f t="shared" si="6"/>
        <v>26</v>
      </c>
      <c r="Z7" s="158">
        <f t="shared" si="7"/>
        <v>15</v>
      </c>
      <c r="AA7" s="8"/>
      <c r="AB7" s="8"/>
      <c r="AC7" s="8"/>
      <c r="AD7" s="8"/>
      <c r="AE7" s="8"/>
      <c r="AF7" s="8"/>
      <c r="AG7" s="8">
        <f t="shared" si="9"/>
        <v>7</v>
      </c>
      <c r="AH7" s="8">
        <f t="shared" si="8"/>
        <v>28000</v>
      </c>
    </row>
    <row r="8" spans="1:34" ht="16.5" x14ac:dyDescent="0.3">
      <c r="A8" s="35" t="s">
        <v>40</v>
      </c>
      <c r="B8" s="35" t="s">
        <v>3052</v>
      </c>
      <c r="C8" s="41" t="s">
        <v>3063</v>
      </c>
      <c r="D8" s="35">
        <v>5</v>
      </c>
      <c r="E8" s="36" t="str">
        <f t="shared" si="0"/>
        <v>3#3#6|3#4#6|3#5#6|3#6#6|3#7#6|3#8#6</v>
      </c>
      <c r="F8" s="190" t="str">
        <f t="shared" si="1"/>
        <v>中品注灵石8/元宝32000</v>
      </c>
      <c r="G8" s="35">
        <v>100</v>
      </c>
      <c r="H8" s="112"/>
      <c r="I8" s="41" t="s">
        <v>40</v>
      </c>
      <c r="J8" s="41" t="s">
        <v>3053</v>
      </c>
      <c r="K8" s="41" t="s">
        <v>3064</v>
      </c>
      <c r="L8" s="41">
        <v>6</v>
      </c>
      <c r="M8" s="41">
        <v>30</v>
      </c>
      <c r="N8" s="140" t="str">
        <f>"3#1#"&amp;AA33&amp;"|"&amp;"3#3#"&amp;AB33&amp;"|"&amp;"3#4#"&amp;AB33&amp;"|"&amp;"3#5#"&amp;AB33&amp;"|"&amp;"3#6#"&amp;AB33&amp;"|"&amp;"3#7#"&amp;AB33&amp;"|"&amp;"3#8#"&amp;AB33&amp;"|"&amp;"3#9#"&amp;AC33&amp;"|"&amp;"3#10#"&amp;AC33&amp;"|"&amp;"3#11#"&amp;AC33&amp;"|"&amp;"3#12#"&amp;AC33</f>
        <v>3#1#2300|3#3#115|3#4#115|3#5#115|3#6#115|3#7#115|3#8#115|3#9#115|3#10#115|3#11#115|3#12#115</v>
      </c>
      <c r="O8" s="8">
        <v>5</v>
      </c>
      <c r="P8" s="8">
        <f>材料产出!C7</f>
        <v>0.8</v>
      </c>
      <c r="Q8" s="158"/>
      <c r="R8" s="158"/>
      <c r="S8" s="158"/>
      <c r="T8" s="97">
        <v>0.6</v>
      </c>
      <c r="U8" s="158">
        <f t="shared" si="2"/>
        <v>1000</v>
      </c>
      <c r="V8" s="158">
        <f t="shared" si="3"/>
        <v>600</v>
      </c>
      <c r="W8" s="158">
        <f t="shared" si="4"/>
        <v>33</v>
      </c>
      <c r="X8" s="158">
        <f t="shared" si="5"/>
        <v>19</v>
      </c>
      <c r="Y8" s="158">
        <f t="shared" si="6"/>
        <v>33</v>
      </c>
      <c r="Z8" s="158">
        <f t="shared" si="7"/>
        <v>19</v>
      </c>
      <c r="AA8" s="8">
        <f>INT(1/60*AA48)</f>
        <v>100</v>
      </c>
      <c r="AB8" s="8">
        <f>INT(1/60*AB48)</f>
        <v>5</v>
      </c>
      <c r="AC8" s="8">
        <f>INT(1/60*AC48)</f>
        <v>5</v>
      </c>
      <c r="AD8" s="8"/>
      <c r="AE8" s="8"/>
      <c r="AF8" s="8"/>
      <c r="AG8" s="8">
        <f t="shared" si="9"/>
        <v>8</v>
      </c>
      <c r="AH8" s="8">
        <f t="shared" si="8"/>
        <v>32000</v>
      </c>
    </row>
    <row r="9" spans="1:34" ht="16.5" x14ac:dyDescent="0.3">
      <c r="A9" s="35" t="s">
        <v>40</v>
      </c>
      <c r="B9" s="35" t="s">
        <v>3052</v>
      </c>
      <c r="C9" s="41" t="s">
        <v>3065</v>
      </c>
      <c r="D9" s="35">
        <v>6</v>
      </c>
      <c r="E9" s="36" t="str">
        <f t="shared" si="0"/>
        <v>3#3#8|3#4#8|3#5#8|3#6#8|3#7#8|3#8#8</v>
      </c>
      <c r="F9" s="190" t="str">
        <f t="shared" si="1"/>
        <v>中品注灵石9/元宝36000</v>
      </c>
      <c r="G9" s="35">
        <v>100</v>
      </c>
      <c r="H9" s="112"/>
      <c r="I9" s="41" t="s">
        <v>40</v>
      </c>
      <c r="J9" s="41" t="s">
        <v>3053</v>
      </c>
      <c r="K9" s="41" t="s">
        <v>3066</v>
      </c>
      <c r="L9" s="41">
        <v>7</v>
      </c>
      <c r="M9" s="41">
        <v>35</v>
      </c>
      <c r="N9" s="140" t="str">
        <f>"3#1#"&amp;AA38&amp;"|"&amp;"3#3#"&amp;AB38&amp;"|"&amp;"3#4#"&amp;AB38&amp;"|"&amp;"3#5#"&amp;AB38&amp;"|"&amp;"3#6#"&amp;AB38&amp;"|"&amp;"3#7#"&amp;AB38&amp;"|"&amp;"3#8#"&amp;AB38&amp;"|"&amp;"3#9#"&amp;AC38&amp;"|"&amp;"3#10#"&amp;AC38&amp;"|"&amp;"3#11#"&amp;AC38&amp;"|"&amp;"3#12#"&amp;AC38</f>
        <v>3#1#3300|3#3#165|3#4#165|3#5#165|3#6#165|3#7#165|3#8#165|3#9#165|3#10#165|3#11#165|3#12#165</v>
      </c>
      <c r="O9" s="8">
        <v>6</v>
      </c>
      <c r="P9" s="8">
        <f>(P$13-P$8)*1/5+P$8</f>
        <v>0.8600000000000001</v>
      </c>
      <c r="Q9" s="158"/>
      <c r="R9" s="158"/>
      <c r="S9" s="158"/>
      <c r="T9" s="97">
        <v>0.65</v>
      </c>
      <c r="U9" s="158">
        <f t="shared" si="2"/>
        <v>1200</v>
      </c>
      <c r="V9" s="158">
        <f t="shared" si="3"/>
        <v>780</v>
      </c>
      <c r="W9" s="158">
        <f t="shared" si="4"/>
        <v>40</v>
      </c>
      <c r="X9" s="158">
        <f t="shared" si="5"/>
        <v>26</v>
      </c>
      <c r="Y9" s="158">
        <f t="shared" si="6"/>
        <v>40</v>
      </c>
      <c r="Z9" s="158">
        <f t="shared" si="7"/>
        <v>26</v>
      </c>
      <c r="AA9" s="8"/>
      <c r="AB9" s="8"/>
      <c r="AC9" s="8"/>
      <c r="AD9" s="8"/>
      <c r="AE9" s="8"/>
      <c r="AF9" s="8"/>
      <c r="AG9" s="8">
        <f t="shared" si="9"/>
        <v>8</v>
      </c>
      <c r="AH9" s="8">
        <f t="shared" si="8"/>
        <v>32000</v>
      </c>
    </row>
    <row r="10" spans="1:34" ht="16.5" x14ac:dyDescent="0.3">
      <c r="A10" s="35" t="s">
        <v>40</v>
      </c>
      <c r="B10" s="35" t="s">
        <v>3052</v>
      </c>
      <c r="C10" s="41" t="s">
        <v>3067</v>
      </c>
      <c r="D10" s="35">
        <v>7</v>
      </c>
      <c r="E10" s="36" t="str">
        <f t="shared" si="0"/>
        <v>3#3#9|3#4#9|3#5#9|3#6#9|3#7#9|3#8#9</v>
      </c>
      <c r="F10" s="190" t="str">
        <f t="shared" si="1"/>
        <v>中品注灵石9/元宝36000</v>
      </c>
      <c r="G10" s="35">
        <v>100</v>
      </c>
      <c r="H10" s="112"/>
      <c r="I10" s="41" t="s">
        <v>40</v>
      </c>
      <c r="J10" s="41" t="s">
        <v>3053</v>
      </c>
      <c r="K10" s="41" t="s">
        <v>3068</v>
      </c>
      <c r="L10" s="41">
        <v>8</v>
      </c>
      <c r="M10" s="41">
        <v>40</v>
      </c>
      <c r="N10" s="140" t="str">
        <f>"3#1#"&amp;AA43&amp;"|"&amp;"3#3#"&amp;AB43&amp;"|"&amp;"3#4#"&amp;AB43&amp;"|"&amp;"3#5#"&amp;AB43&amp;"|"&amp;"3#6#"&amp;AB43&amp;"|"&amp;"3#7#"&amp;AB43&amp;"|"&amp;"3#8#"&amp;AB43&amp;"|"&amp;"3#9#"&amp;AC43&amp;"|"&amp;"3#10#"&amp;AC43&amp;"|"&amp;"3#11#"&amp;AC43&amp;"|"&amp;"3#12#"&amp;AC43</f>
        <v>3#1#4500|3#3#225|3#4#225|3#5#225|3#6#225|3#7#225|3#8#225|3#9#225|3#10#225|3#11#225|3#12#225</v>
      </c>
      <c r="O10" s="8">
        <v>7</v>
      </c>
      <c r="P10" s="8">
        <f>(P$13-P$8)*2/5+P$8</f>
        <v>0.92</v>
      </c>
      <c r="Q10" s="158"/>
      <c r="R10" s="158"/>
      <c r="S10" s="158"/>
      <c r="T10" s="97">
        <v>0.65</v>
      </c>
      <c r="U10" s="158">
        <f t="shared" si="2"/>
        <v>1400</v>
      </c>
      <c r="V10" s="158">
        <f t="shared" si="3"/>
        <v>910</v>
      </c>
      <c r="W10" s="158">
        <f t="shared" si="4"/>
        <v>46</v>
      </c>
      <c r="X10" s="158">
        <f t="shared" si="5"/>
        <v>29</v>
      </c>
      <c r="Y10" s="158">
        <f t="shared" si="6"/>
        <v>46</v>
      </c>
      <c r="Z10" s="158">
        <f t="shared" si="7"/>
        <v>29</v>
      </c>
      <c r="AA10" s="8"/>
      <c r="AB10" s="8"/>
      <c r="AC10" s="8"/>
      <c r="AD10" s="8"/>
      <c r="AE10" s="8"/>
      <c r="AF10" s="8"/>
      <c r="AG10" s="8">
        <f t="shared" si="9"/>
        <v>9</v>
      </c>
      <c r="AH10" s="8">
        <f t="shared" si="8"/>
        <v>36000</v>
      </c>
    </row>
    <row r="11" spans="1:34" ht="16.5" x14ac:dyDescent="0.3">
      <c r="A11" s="35" t="s">
        <v>40</v>
      </c>
      <c r="B11" s="35" t="s">
        <v>3052</v>
      </c>
      <c r="C11" s="41" t="s">
        <v>3069</v>
      </c>
      <c r="D11" s="35">
        <v>8</v>
      </c>
      <c r="E11" s="36" t="str">
        <f t="shared" si="0"/>
        <v>3#3#11|3#4#11|3#5#11|3#6#11|3#7#11|3#8#11</v>
      </c>
      <c r="F11" s="190" t="str">
        <f t="shared" si="1"/>
        <v>中品注灵石10/元宝40000</v>
      </c>
      <c r="G11" s="35">
        <v>100</v>
      </c>
      <c r="H11" s="112"/>
      <c r="I11" s="41" t="s">
        <v>40</v>
      </c>
      <c r="J11" s="41" t="s">
        <v>3053</v>
      </c>
      <c r="K11" s="41" t="s">
        <v>3070</v>
      </c>
      <c r="L11" s="41">
        <v>9</v>
      </c>
      <c r="M11" s="41">
        <v>45</v>
      </c>
      <c r="N11" s="140" t="str">
        <f>"3#1#"&amp;AA48&amp;"|"&amp;"3#3#"&amp;AB48&amp;"|"&amp;"3#4#"&amp;AB48&amp;"|"&amp;"3#5#"&amp;AB48&amp;"|"&amp;"3#6#"&amp;AB48&amp;"|"&amp;"3#7#"&amp;AB48&amp;"|"&amp;"3#8#"&amp;AB48&amp;"|"&amp;"3#9#"&amp;AC48&amp;"|"&amp;"3#10#"&amp;AC48&amp;"|"&amp;"3#11#"&amp;AC48&amp;"|"&amp;"3#12#"&amp;AC48</f>
        <v>3#1#6000|3#3#300|3#4#300|3#5#300|3#6#300|3#7#300|3#8#300|3#9#300|3#10#300|3#11#300|3#12#300</v>
      </c>
      <c r="O11" s="8">
        <v>8</v>
      </c>
      <c r="P11" s="8">
        <f>(P$13-P$8)*3/5+P$8</f>
        <v>0.98000000000000009</v>
      </c>
      <c r="Q11" s="158"/>
      <c r="R11" s="158"/>
      <c r="S11" s="158"/>
      <c r="T11" s="97">
        <v>0.65</v>
      </c>
      <c r="U11" s="158">
        <f t="shared" si="2"/>
        <v>1600</v>
      </c>
      <c r="V11" s="158">
        <f t="shared" si="3"/>
        <v>1040</v>
      </c>
      <c r="W11" s="158">
        <f t="shared" si="4"/>
        <v>53</v>
      </c>
      <c r="X11" s="158">
        <f t="shared" si="5"/>
        <v>34</v>
      </c>
      <c r="Y11" s="158">
        <f t="shared" si="6"/>
        <v>53</v>
      </c>
      <c r="Z11" s="158">
        <f t="shared" si="7"/>
        <v>34</v>
      </c>
      <c r="AA11" s="8"/>
      <c r="AB11" s="8"/>
      <c r="AC11" s="8"/>
      <c r="AD11" s="8"/>
      <c r="AE11" s="8"/>
      <c r="AF11" s="8"/>
      <c r="AG11" s="8">
        <f t="shared" si="9"/>
        <v>9</v>
      </c>
      <c r="AH11" s="8">
        <f t="shared" si="8"/>
        <v>36000</v>
      </c>
    </row>
    <row r="12" spans="1:34" ht="16.5" x14ac:dyDescent="0.3">
      <c r="A12" s="35" t="s">
        <v>40</v>
      </c>
      <c r="B12" s="35" t="s">
        <v>3052</v>
      </c>
      <c r="C12" s="41" t="s">
        <v>3071</v>
      </c>
      <c r="D12" s="35">
        <v>9</v>
      </c>
      <c r="E12" s="36" t="str">
        <f t="shared" si="0"/>
        <v>3#3#13|3#4#13|3#5#13|3#6#13|3#7#13|3#8#13</v>
      </c>
      <c r="F12" s="190" t="str">
        <f t="shared" si="1"/>
        <v>中品注灵石11/元宝44000</v>
      </c>
      <c r="G12" s="35">
        <v>100</v>
      </c>
      <c r="H12" s="112"/>
      <c r="O12" s="8">
        <v>9</v>
      </c>
      <c r="P12" s="8">
        <f>(P$13-P$8)*4/5+P$8</f>
        <v>1.04</v>
      </c>
      <c r="Q12" s="158"/>
      <c r="R12" s="158"/>
      <c r="S12" s="158"/>
      <c r="T12" s="97">
        <v>0.65</v>
      </c>
      <c r="U12" s="158">
        <f t="shared" si="2"/>
        <v>1800</v>
      </c>
      <c r="V12" s="158">
        <f t="shared" si="3"/>
        <v>1170</v>
      </c>
      <c r="W12" s="158">
        <f t="shared" si="4"/>
        <v>60</v>
      </c>
      <c r="X12" s="158">
        <f t="shared" si="5"/>
        <v>39</v>
      </c>
      <c r="Y12" s="158">
        <f t="shared" si="6"/>
        <v>60</v>
      </c>
      <c r="Z12" s="158">
        <f t="shared" si="7"/>
        <v>39</v>
      </c>
      <c r="AA12" s="8"/>
      <c r="AB12" s="8"/>
      <c r="AC12" s="8"/>
      <c r="AD12" s="8"/>
      <c r="AE12" s="8"/>
      <c r="AF12" s="8"/>
      <c r="AG12" s="8">
        <f t="shared" si="9"/>
        <v>10</v>
      </c>
      <c r="AH12" s="8">
        <f t="shared" si="8"/>
        <v>40000</v>
      </c>
    </row>
    <row r="13" spans="1:34" ht="16.5" x14ac:dyDescent="0.3">
      <c r="A13" s="35" t="s">
        <v>40</v>
      </c>
      <c r="B13" s="35" t="s">
        <v>3052</v>
      </c>
      <c r="C13" s="41" t="s">
        <v>3072</v>
      </c>
      <c r="D13" s="35">
        <v>10</v>
      </c>
      <c r="E13" s="36" t="str">
        <f t="shared" si="0"/>
        <v>3#3#14|3#4#14|3#5#14|3#6#14|3#7#14|3#8#14</v>
      </c>
      <c r="F13" s="190" t="str">
        <f t="shared" si="1"/>
        <v>中品注灵石11/元宝44000</v>
      </c>
      <c r="G13" s="35">
        <v>100</v>
      </c>
      <c r="H13" s="112"/>
      <c r="O13" s="8">
        <v>10</v>
      </c>
      <c r="P13" s="8">
        <f>材料产出!C10</f>
        <v>1.1000000000000001</v>
      </c>
      <c r="Q13" s="158"/>
      <c r="R13" s="158"/>
      <c r="S13" s="158"/>
      <c r="T13" s="97">
        <v>0.65</v>
      </c>
      <c r="U13" s="158">
        <f t="shared" si="2"/>
        <v>2000</v>
      </c>
      <c r="V13" s="158">
        <f t="shared" si="3"/>
        <v>1300</v>
      </c>
      <c r="W13" s="158">
        <f t="shared" si="4"/>
        <v>66</v>
      </c>
      <c r="X13" s="158">
        <f t="shared" si="5"/>
        <v>42</v>
      </c>
      <c r="Y13" s="158">
        <f t="shared" si="6"/>
        <v>66</v>
      </c>
      <c r="Z13" s="158">
        <f t="shared" si="7"/>
        <v>42</v>
      </c>
      <c r="AA13" s="8">
        <f>INT(1/20*AA48)</f>
        <v>300</v>
      </c>
      <c r="AB13" s="8">
        <f>INT(1/20*AB48)</f>
        <v>15</v>
      </c>
      <c r="AC13" s="8">
        <f>INT(1/20*AC48)</f>
        <v>15</v>
      </c>
      <c r="AD13" s="8"/>
      <c r="AE13" s="8"/>
      <c r="AF13" s="8"/>
      <c r="AG13" s="8">
        <f t="shared" si="9"/>
        <v>11</v>
      </c>
      <c r="AH13" s="8">
        <f t="shared" si="8"/>
        <v>44000</v>
      </c>
    </row>
    <row r="14" spans="1:34" ht="16.5" x14ac:dyDescent="0.3">
      <c r="A14" s="35" t="s">
        <v>40</v>
      </c>
      <c r="B14" s="35" t="s">
        <v>3052</v>
      </c>
      <c r="C14" s="41" t="s">
        <v>3073</v>
      </c>
      <c r="D14" s="35">
        <v>11</v>
      </c>
      <c r="E14" s="36" t="str">
        <f t="shared" si="0"/>
        <v>3#3#17|3#4#17|3#5#17|3#6#17|3#7#17|3#8#17</v>
      </c>
      <c r="F14" s="190" t="str">
        <f t="shared" si="1"/>
        <v>中品注灵石12/元宝48000</v>
      </c>
      <c r="G14" s="35">
        <v>100</v>
      </c>
      <c r="H14" s="112"/>
      <c r="O14" s="8">
        <v>11</v>
      </c>
      <c r="P14" s="8">
        <f>(P$18-P$13)*1/5+P$13</f>
        <v>1.1800000000000002</v>
      </c>
      <c r="Q14" s="158"/>
      <c r="R14" s="158"/>
      <c r="S14" s="158"/>
      <c r="T14" s="97">
        <v>0.7</v>
      </c>
      <c r="U14" s="158">
        <f t="shared" si="2"/>
        <v>2200</v>
      </c>
      <c r="V14" s="158">
        <f t="shared" si="3"/>
        <v>1540</v>
      </c>
      <c r="W14" s="158">
        <f t="shared" si="4"/>
        <v>73</v>
      </c>
      <c r="X14" s="158">
        <f t="shared" si="5"/>
        <v>51</v>
      </c>
      <c r="Y14" s="158">
        <f t="shared" si="6"/>
        <v>73</v>
      </c>
      <c r="Z14" s="158">
        <f t="shared" si="7"/>
        <v>51</v>
      </c>
      <c r="AA14" s="8"/>
      <c r="AB14" s="8"/>
      <c r="AC14" s="8"/>
      <c r="AD14" s="8"/>
      <c r="AE14" s="8"/>
      <c r="AF14" s="8"/>
      <c r="AG14" s="8">
        <f t="shared" si="9"/>
        <v>11</v>
      </c>
      <c r="AH14" s="8">
        <f t="shared" si="8"/>
        <v>44000</v>
      </c>
    </row>
    <row r="15" spans="1:34" ht="16.5" x14ac:dyDescent="0.3">
      <c r="A15" s="35" t="s">
        <v>40</v>
      </c>
      <c r="B15" s="35" t="s">
        <v>3052</v>
      </c>
      <c r="C15" s="41" t="s">
        <v>3074</v>
      </c>
      <c r="D15" s="35">
        <v>12</v>
      </c>
      <c r="E15" s="36" t="str">
        <f t="shared" si="0"/>
        <v>3#3#18|3#4#18|3#5#18|3#6#18|3#7#18|3#8#18</v>
      </c>
      <c r="F15" s="190" t="str">
        <f t="shared" si="1"/>
        <v>中品注灵石13/元宝52000</v>
      </c>
      <c r="G15" s="35">
        <v>100</v>
      </c>
      <c r="H15" s="112"/>
      <c r="O15" s="8">
        <v>12</v>
      </c>
      <c r="P15" s="8">
        <f>(P$18-P$13)*2/5+P$13</f>
        <v>1.26</v>
      </c>
      <c r="Q15" s="158"/>
      <c r="R15" s="158"/>
      <c r="S15" s="158"/>
      <c r="T15" s="97">
        <v>0.7</v>
      </c>
      <c r="U15" s="158">
        <f t="shared" si="2"/>
        <v>2400</v>
      </c>
      <c r="V15" s="158">
        <f t="shared" si="3"/>
        <v>1680</v>
      </c>
      <c r="W15" s="158">
        <f t="shared" si="4"/>
        <v>80</v>
      </c>
      <c r="X15" s="158">
        <f t="shared" si="5"/>
        <v>56</v>
      </c>
      <c r="Y15" s="158">
        <f t="shared" si="6"/>
        <v>80</v>
      </c>
      <c r="Z15" s="158">
        <f t="shared" si="7"/>
        <v>56</v>
      </c>
      <c r="AA15" s="8"/>
      <c r="AB15" s="8"/>
      <c r="AC15" s="8"/>
      <c r="AD15" s="8"/>
      <c r="AE15" s="8"/>
      <c r="AF15" s="8"/>
      <c r="AG15" s="8">
        <f t="shared" si="9"/>
        <v>12</v>
      </c>
      <c r="AH15" s="8">
        <f t="shared" si="8"/>
        <v>48000</v>
      </c>
    </row>
    <row r="16" spans="1:34" ht="16.5" x14ac:dyDescent="0.3">
      <c r="A16" s="35" t="s">
        <v>40</v>
      </c>
      <c r="B16" s="35" t="s">
        <v>3052</v>
      </c>
      <c r="C16" s="41" t="s">
        <v>3075</v>
      </c>
      <c r="D16" s="35">
        <v>13</v>
      </c>
      <c r="E16" s="36" t="str">
        <f t="shared" si="0"/>
        <v>3#3#20|3#4#20|3#5#20|3#6#20|3#7#20|3#8#20</v>
      </c>
      <c r="F16" s="190" t="str">
        <f t="shared" si="1"/>
        <v>中品注灵石14/元宝56000</v>
      </c>
      <c r="G16" s="35">
        <v>100</v>
      </c>
      <c r="H16" s="112"/>
      <c r="O16" s="8">
        <v>13</v>
      </c>
      <c r="P16" s="8">
        <f>(P$18-P$13)*3/5+P$13</f>
        <v>1.34</v>
      </c>
      <c r="Q16" s="158"/>
      <c r="R16" s="158"/>
      <c r="S16" s="158"/>
      <c r="T16" s="97">
        <v>0.7</v>
      </c>
      <c r="U16" s="158">
        <f t="shared" si="2"/>
        <v>2600</v>
      </c>
      <c r="V16" s="158">
        <f t="shared" si="3"/>
        <v>1819.9999999999998</v>
      </c>
      <c r="W16" s="158">
        <f t="shared" si="4"/>
        <v>86</v>
      </c>
      <c r="X16" s="158">
        <f t="shared" si="5"/>
        <v>60</v>
      </c>
      <c r="Y16" s="158">
        <f t="shared" si="6"/>
        <v>86</v>
      </c>
      <c r="Z16" s="158">
        <f t="shared" si="7"/>
        <v>60</v>
      </c>
      <c r="AA16" s="8"/>
      <c r="AB16" s="8"/>
      <c r="AC16" s="8"/>
      <c r="AD16" s="8"/>
      <c r="AE16" s="8"/>
      <c r="AF16" s="8"/>
      <c r="AG16" s="8">
        <f t="shared" si="9"/>
        <v>13</v>
      </c>
      <c r="AH16" s="8">
        <f t="shared" si="8"/>
        <v>52000</v>
      </c>
    </row>
    <row r="17" spans="1:34" ht="16.5" x14ac:dyDescent="0.3">
      <c r="A17" s="35" t="s">
        <v>40</v>
      </c>
      <c r="B17" s="35" t="s">
        <v>3052</v>
      </c>
      <c r="C17" s="41" t="s">
        <v>3076</v>
      </c>
      <c r="D17" s="35">
        <v>14</v>
      </c>
      <c r="E17" s="36" t="str">
        <f t="shared" si="0"/>
        <v>3#3#21|3#4#21|3#5#21|3#6#21|3#7#21|3#8#21</v>
      </c>
      <c r="F17" s="190" t="str">
        <f t="shared" si="1"/>
        <v>中品注灵石15/元宝60000</v>
      </c>
      <c r="G17" s="35">
        <v>100</v>
      </c>
      <c r="H17" s="112"/>
      <c r="O17" s="8">
        <v>14</v>
      </c>
      <c r="P17" s="8">
        <f>(P$18-P$13)*4/5+P$13</f>
        <v>1.42</v>
      </c>
      <c r="Q17" s="158"/>
      <c r="R17" s="158"/>
      <c r="S17" s="158"/>
      <c r="T17" s="97">
        <v>0.7</v>
      </c>
      <c r="U17" s="158">
        <f t="shared" si="2"/>
        <v>2800</v>
      </c>
      <c r="V17" s="158">
        <f t="shared" si="3"/>
        <v>1959.9999999999998</v>
      </c>
      <c r="W17" s="158">
        <f t="shared" si="4"/>
        <v>93</v>
      </c>
      <c r="X17" s="158">
        <f t="shared" si="5"/>
        <v>65</v>
      </c>
      <c r="Y17" s="158">
        <f t="shared" si="6"/>
        <v>93</v>
      </c>
      <c r="Z17" s="158">
        <f t="shared" si="7"/>
        <v>65</v>
      </c>
      <c r="AA17" s="8"/>
      <c r="AB17" s="8"/>
      <c r="AC17" s="8"/>
      <c r="AD17" s="8"/>
      <c r="AE17" s="8"/>
      <c r="AF17" s="8"/>
      <c r="AG17" s="8">
        <f t="shared" si="9"/>
        <v>14</v>
      </c>
      <c r="AH17" s="8">
        <f t="shared" si="8"/>
        <v>56000</v>
      </c>
    </row>
    <row r="18" spans="1:34" ht="16.5" x14ac:dyDescent="0.3">
      <c r="A18" s="35" t="s">
        <v>40</v>
      </c>
      <c r="B18" s="35" t="s">
        <v>3052</v>
      </c>
      <c r="C18" s="41" t="s">
        <v>3077</v>
      </c>
      <c r="D18" s="35">
        <v>15</v>
      </c>
      <c r="E18" s="36" t="str">
        <f t="shared" si="0"/>
        <v>3#3#23|3#4#23|3#5#23|3#6#23|3#7#23|3#8#23</v>
      </c>
      <c r="F18" s="190" t="str">
        <f>"上品注灵石"&amp;ROUND(AG19/2,0)&amp;"/元宝"&amp;AH18</f>
        <v>上品注灵石8/元宝60000</v>
      </c>
      <c r="G18" s="35">
        <v>30</v>
      </c>
      <c r="H18" s="112"/>
      <c r="O18" s="8">
        <v>15</v>
      </c>
      <c r="P18" s="8">
        <f>材料产出!C13</f>
        <v>1.5</v>
      </c>
      <c r="Q18" s="158"/>
      <c r="R18" s="158"/>
      <c r="S18" s="158"/>
      <c r="T18" s="97">
        <v>0.7</v>
      </c>
      <c r="U18" s="158">
        <f t="shared" si="2"/>
        <v>3000</v>
      </c>
      <c r="V18" s="158">
        <f t="shared" si="3"/>
        <v>2100</v>
      </c>
      <c r="W18" s="158">
        <f t="shared" si="4"/>
        <v>100</v>
      </c>
      <c r="X18" s="158">
        <f t="shared" si="5"/>
        <v>70</v>
      </c>
      <c r="Y18" s="158">
        <f t="shared" si="6"/>
        <v>100</v>
      </c>
      <c r="Z18" s="158">
        <f t="shared" si="7"/>
        <v>70</v>
      </c>
      <c r="AA18" s="8">
        <f>INT(1/10*AA48)</f>
        <v>600</v>
      </c>
      <c r="AB18" s="8">
        <f>INT(1/10*AB48)</f>
        <v>30</v>
      </c>
      <c r="AC18" s="8">
        <f>INT(1/10*AC48)</f>
        <v>30</v>
      </c>
      <c r="AD18" s="8"/>
      <c r="AE18" s="8"/>
      <c r="AF18" s="8"/>
      <c r="AG18" s="8">
        <f t="shared" si="9"/>
        <v>15</v>
      </c>
      <c r="AH18" s="8">
        <f t="shared" si="8"/>
        <v>60000</v>
      </c>
    </row>
    <row r="19" spans="1:34" ht="16.5" x14ac:dyDescent="0.3">
      <c r="A19" s="35" t="s">
        <v>40</v>
      </c>
      <c r="B19" s="35" t="s">
        <v>3078</v>
      </c>
      <c r="C19" s="41" t="s">
        <v>3079</v>
      </c>
      <c r="D19" s="35">
        <v>16</v>
      </c>
      <c r="E19" s="36" t="str">
        <f t="shared" si="0"/>
        <v>3#3#26|3#4#26|3#5#26|3#6#26|3#7#26|3#8#26</v>
      </c>
      <c r="F19" s="190" t="str">
        <f t="shared" ref="F19:F32" si="10">"上品注灵石"&amp;ROUND(AG20/2,0)&amp;"/元宝"&amp;AH19</f>
        <v>上品注灵石9/元宝64000</v>
      </c>
      <c r="G19" s="35">
        <v>30</v>
      </c>
      <c r="H19" s="112"/>
      <c r="O19" s="8">
        <v>16</v>
      </c>
      <c r="P19" s="8">
        <f>(P$23-P$18)*1/5+P$18</f>
        <v>1.7</v>
      </c>
      <c r="Q19" s="158"/>
      <c r="R19" s="158"/>
      <c r="S19" s="158"/>
      <c r="T19" s="97">
        <v>0.75</v>
      </c>
      <c r="U19" s="158">
        <f t="shared" si="2"/>
        <v>3200</v>
      </c>
      <c r="V19" s="158">
        <f t="shared" si="3"/>
        <v>2400</v>
      </c>
      <c r="W19" s="158">
        <f t="shared" si="4"/>
        <v>106</v>
      </c>
      <c r="X19" s="158">
        <f t="shared" si="5"/>
        <v>79</v>
      </c>
      <c r="Y19" s="158">
        <f t="shared" si="6"/>
        <v>106</v>
      </c>
      <c r="Z19" s="158">
        <f t="shared" si="7"/>
        <v>79</v>
      </c>
      <c r="AA19" s="8"/>
      <c r="AB19" s="8"/>
      <c r="AC19" s="8"/>
      <c r="AD19" s="8"/>
      <c r="AE19" s="8"/>
      <c r="AF19" s="8"/>
      <c r="AG19" s="8">
        <f t="shared" si="9"/>
        <v>16</v>
      </c>
      <c r="AH19" s="8">
        <f t="shared" si="8"/>
        <v>64000</v>
      </c>
    </row>
    <row r="20" spans="1:34" ht="16.5" x14ac:dyDescent="0.3">
      <c r="A20" s="35" t="s">
        <v>40</v>
      </c>
      <c r="B20" s="35" t="s">
        <v>3078</v>
      </c>
      <c r="C20" s="41" t="s">
        <v>3080</v>
      </c>
      <c r="D20" s="35">
        <v>17</v>
      </c>
      <c r="E20" s="36" t="str">
        <f t="shared" si="0"/>
        <v>3#3#28|3#4#28|3#5#28|3#6#28|3#7#28|3#8#28</v>
      </c>
      <c r="F20" s="190" t="str">
        <f t="shared" si="10"/>
        <v>上品注灵石10/元宝72000</v>
      </c>
      <c r="G20" s="35">
        <v>30</v>
      </c>
      <c r="H20" s="112"/>
      <c r="O20" s="8">
        <v>17</v>
      </c>
      <c r="P20" s="8">
        <f>(P$23-P$18)*2/5+P$18</f>
        <v>1.9</v>
      </c>
      <c r="Q20" s="158"/>
      <c r="R20" s="158"/>
      <c r="S20" s="158"/>
      <c r="T20" s="97">
        <v>0.75</v>
      </c>
      <c r="U20" s="158">
        <f t="shared" si="2"/>
        <v>3400</v>
      </c>
      <c r="V20" s="158">
        <f t="shared" si="3"/>
        <v>2550</v>
      </c>
      <c r="W20" s="158">
        <f t="shared" si="4"/>
        <v>113</v>
      </c>
      <c r="X20" s="158">
        <f t="shared" si="5"/>
        <v>84</v>
      </c>
      <c r="Y20" s="158">
        <f t="shared" si="6"/>
        <v>113</v>
      </c>
      <c r="Z20" s="158">
        <f t="shared" si="7"/>
        <v>84</v>
      </c>
      <c r="AA20" s="8"/>
      <c r="AB20" s="8"/>
      <c r="AC20" s="8"/>
      <c r="AD20" s="8"/>
      <c r="AE20" s="8"/>
      <c r="AF20" s="8"/>
      <c r="AG20" s="8">
        <f t="shared" si="9"/>
        <v>18</v>
      </c>
      <c r="AH20" s="8">
        <f t="shared" si="8"/>
        <v>72000</v>
      </c>
    </row>
    <row r="21" spans="1:34" ht="16.5" x14ac:dyDescent="0.3">
      <c r="A21" s="35" t="s">
        <v>40</v>
      </c>
      <c r="B21" s="35" t="s">
        <v>3078</v>
      </c>
      <c r="C21" s="41" t="s">
        <v>3081</v>
      </c>
      <c r="D21" s="35">
        <v>18</v>
      </c>
      <c r="E21" s="36" t="str">
        <f t="shared" si="0"/>
        <v>3#3#30|3#4#30|3#5#30|3#6#30|3#7#30|3#8#30</v>
      </c>
      <c r="F21" s="190" t="str">
        <f t="shared" si="10"/>
        <v>上品注灵石11/元宝80000</v>
      </c>
      <c r="G21" s="35">
        <v>30</v>
      </c>
      <c r="H21" s="112"/>
      <c r="O21" s="8">
        <v>18</v>
      </c>
      <c r="P21" s="8">
        <f>(P$23-P$18)*3/5+P$18</f>
        <v>2.1</v>
      </c>
      <c r="Q21" s="158"/>
      <c r="R21" s="158"/>
      <c r="S21" s="158"/>
      <c r="T21" s="97">
        <v>0.75</v>
      </c>
      <c r="U21" s="158">
        <f t="shared" si="2"/>
        <v>3600</v>
      </c>
      <c r="V21" s="158">
        <f t="shared" si="3"/>
        <v>2700</v>
      </c>
      <c r="W21" s="158">
        <f t="shared" si="4"/>
        <v>120</v>
      </c>
      <c r="X21" s="158">
        <f t="shared" si="5"/>
        <v>90</v>
      </c>
      <c r="Y21" s="158">
        <f t="shared" si="6"/>
        <v>120</v>
      </c>
      <c r="Z21" s="158">
        <f t="shared" si="7"/>
        <v>90</v>
      </c>
      <c r="AA21" s="8"/>
      <c r="AB21" s="8"/>
      <c r="AC21" s="8"/>
      <c r="AD21" s="8"/>
      <c r="AE21" s="8"/>
      <c r="AF21" s="8"/>
      <c r="AG21" s="8">
        <f t="shared" si="9"/>
        <v>20</v>
      </c>
      <c r="AH21" s="8">
        <f t="shared" si="8"/>
        <v>80000</v>
      </c>
    </row>
    <row r="22" spans="1:34" ht="16.5" x14ac:dyDescent="0.3">
      <c r="A22" s="35" t="s">
        <v>40</v>
      </c>
      <c r="B22" s="35" t="s">
        <v>3078</v>
      </c>
      <c r="C22" s="41" t="s">
        <v>3082</v>
      </c>
      <c r="D22" s="35">
        <v>19</v>
      </c>
      <c r="E22" s="36" t="str">
        <f t="shared" si="0"/>
        <v>3#3#31|3#4#31|3#5#31|3#6#31|3#7#31|3#8#31</v>
      </c>
      <c r="F22" s="190" t="str">
        <f t="shared" si="10"/>
        <v>上品注灵石12/元宝88000</v>
      </c>
      <c r="G22" s="35">
        <v>30</v>
      </c>
      <c r="H22" s="112"/>
      <c r="O22" s="8">
        <v>19</v>
      </c>
      <c r="P22" s="8">
        <f>(P$23-P$18)*4/5+P$18</f>
        <v>2.2999999999999998</v>
      </c>
      <c r="Q22" s="158"/>
      <c r="R22" s="158"/>
      <c r="S22" s="158"/>
      <c r="T22" s="97">
        <v>0.75</v>
      </c>
      <c r="U22" s="158">
        <f t="shared" si="2"/>
        <v>3800</v>
      </c>
      <c r="V22" s="158">
        <f t="shared" si="3"/>
        <v>2850</v>
      </c>
      <c r="W22" s="158">
        <f t="shared" si="4"/>
        <v>126</v>
      </c>
      <c r="X22" s="158">
        <f t="shared" si="5"/>
        <v>94</v>
      </c>
      <c r="Y22" s="158">
        <f t="shared" si="6"/>
        <v>126</v>
      </c>
      <c r="Z22" s="158">
        <f t="shared" si="7"/>
        <v>94</v>
      </c>
      <c r="AA22" s="8"/>
      <c r="AB22" s="8"/>
      <c r="AC22" s="8"/>
      <c r="AD22" s="8"/>
      <c r="AE22" s="8"/>
      <c r="AF22" s="8"/>
      <c r="AG22" s="8">
        <f t="shared" si="9"/>
        <v>22</v>
      </c>
      <c r="AH22" s="8">
        <f t="shared" si="8"/>
        <v>88000</v>
      </c>
    </row>
    <row r="23" spans="1:34" ht="16.5" x14ac:dyDescent="0.3">
      <c r="A23" s="35" t="s">
        <v>40</v>
      </c>
      <c r="B23" s="35" t="s">
        <v>3078</v>
      </c>
      <c r="C23" s="41" t="s">
        <v>3083</v>
      </c>
      <c r="D23" s="35">
        <v>20</v>
      </c>
      <c r="E23" s="36" t="str">
        <f t="shared" si="0"/>
        <v>3#3#33|3#4#33|3#5#33|3#6#33|3#7#33|3#8#33</v>
      </c>
      <c r="F23" s="190" t="str">
        <f t="shared" si="10"/>
        <v>上品注灵石14/元宝96000</v>
      </c>
      <c r="G23" s="35">
        <v>25</v>
      </c>
      <c r="H23" s="112"/>
      <c r="O23" s="8">
        <v>20</v>
      </c>
      <c r="P23" s="8">
        <f>材料产出!C16</f>
        <v>2.5</v>
      </c>
      <c r="Q23" s="158"/>
      <c r="R23" s="158"/>
      <c r="S23" s="158"/>
      <c r="T23" s="97">
        <v>0.75</v>
      </c>
      <c r="U23" s="158">
        <f t="shared" si="2"/>
        <v>4000</v>
      </c>
      <c r="V23" s="158">
        <f t="shared" si="3"/>
        <v>3000</v>
      </c>
      <c r="W23" s="158">
        <f t="shared" si="4"/>
        <v>133</v>
      </c>
      <c r="X23" s="158">
        <f t="shared" si="5"/>
        <v>99</v>
      </c>
      <c r="Y23" s="158">
        <f t="shared" si="6"/>
        <v>133</v>
      </c>
      <c r="Z23" s="158">
        <f t="shared" si="7"/>
        <v>99</v>
      </c>
      <c r="AA23" s="8">
        <f>INT(1/6*AA48)</f>
        <v>1000</v>
      </c>
      <c r="AB23" s="8">
        <f>INT(1/6*AB48)</f>
        <v>50</v>
      </c>
      <c r="AC23" s="8">
        <f>INT(1/6*AC48)</f>
        <v>50</v>
      </c>
      <c r="AD23" s="8"/>
      <c r="AE23" s="8"/>
      <c r="AF23" s="8"/>
      <c r="AG23" s="8">
        <f t="shared" si="9"/>
        <v>24</v>
      </c>
      <c r="AH23" s="8">
        <f t="shared" si="8"/>
        <v>96000</v>
      </c>
    </row>
    <row r="24" spans="1:34" ht="16.5" x14ac:dyDescent="0.3">
      <c r="A24" s="35" t="s">
        <v>40</v>
      </c>
      <c r="B24" s="35" t="s">
        <v>3078</v>
      </c>
      <c r="C24" s="41" t="s">
        <v>3084</v>
      </c>
      <c r="D24" s="35">
        <v>21</v>
      </c>
      <c r="E24" s="36" t="str">
        <f t="shared" si="0"/>
        <v>3#3#37|3#4#37|3#5#37|3#6#37|3#7#37|3#8#37</v>
      </c>
      <c r="F24" s="190" t="str">
        <f t="shared" si="10"/>
        <v>上品注灵石15/元宝108000</v>
      </c>
      <c r="G24" s="35">
        <v>25</v>
      </c>
      <c r="H24" s="112"/>
      <c r="O24" s="8">
        <v>21</v>
      </c>
      <c r="P24" s="8">
        <f>(P$28-P$23)*1/5+P$23</f>
        <v>2.74</v>
      </c>
      <c r="Q24" s="158"/>
      <c r="R24" s="158"/>
      <c r="S24" s="158"/>
      <c r="T24" s="97">
        <v>0.8</v>
      </c>
      <c r="U24" s="158">
        <f t="shared" si="2"/>
        <v>4200</v>
      </c>
      <c r="V24" s="158">
        <f t="shared" si="3"/>
        <v>3360</v>
      </c>
      <c r="W24" s="158">
        <f t="shared" si="4"/>
        <v>140</v>
      </c>
      <c r="X24" s="158">
        <f t="shared" si="5"/>
        <v>112</v>
      </c>
      <c r="Y24" s="158">
        <f t="shared" si="6"/>
        <v>140</v>
      </c>
      <c r="Z24" s="158">
        <f t="shared" si="7"/>
        <v>112</v>
      </c>
      <c r="AA24" s="8"/>
      <c r="AB24" s="8"/>
      <c r="AC24" s="8"/>
      <c r="AD24" s="8"/>
      <c r="AE24" s="8"/>
      <c r="AF24" s="8"/>
      <c r="AG24" s="8">
        <f t="shared" si="9"/>
        <v>27</v>
      </c>
      <c r="AH24" s="8">
        <f t="shared" si="8"/>
        <v>108000</v>
      </c>
    </row>
    <row r="25" spans="1:34" ht="16.5" x14ac:dyDescent="0.3">
      <c r="A25" s="35" t="s">
        <v>40</v>
      </c>
      <c r="B25" s="35" t="s">
        <v>3078</v>
      </c>
      <c r="C25" s="41" t="s">
        <v>3085</v>
      </c>
      <c r="D25" s="35">
        <v>22</v>
      </c>
      <c r="E25" s="36" t="str">
        <f t="shared" si="0"/>
        <v>3#3#38|3#4#38|3#5#38|3#6#38|3#7#38|3#8#38</v>
      </c>
      <c r="F25" s="190" t="str">
        <f t="shared" si="10"/>
        <v>上品注灵石16/元宝116000</v>
      </c>
      <c r="G25" s="35">
        <v>25</v>
      </c>
      <c r="H25" s="112"/>
      <c r="O25" s="8">
        <v>22</v>
      </c>
      <c r="P25" s="8">
        <f>(P$28-P$23)*2/5+P$23</f>
        <v>2.98</v>
      </c>
      <c r="Q25" s="158"/>
      <c r="R25" s="158"/>
      <c r="S25" s="158"/>
      <c r="T25" s="97">
        <v>0.8</v>
      </c>
      <c r="U25" s="158">
        <f t="shared" si="2"/>
        <v>4400</v>
      </c>
      <c r="V25" s="158">
        <f t="shared" si="3"/>
        <v>3520</v>
      </c>
      <c r="W25" s="158">
        <f t="shared" si="4"/>
        <v>146</v>
      </c>
      <c r="X25" s="158">
        <f t="shared" si="5"/>
        <v>116</v>
      </c>
      <c r="Y25" s="158">
        <f t="shared" si="6"/>
        <v>146</v>
      </c>
      <c r="Z25" s="158">
        <f t="shared" si="7"/>
        <v>116</v>
      </c>
      <c r="AA25" s="8"/>
      <c r="AB25" s="8"/>
      <c r="AC25" s="8"/>
      <c r="AD25" s="8"/>
      <c r="AE25" s="8"/>
      <c r="AF25" s="8"/>
      <c r="AG25" s="8">
        <f t="shared" si="9"/>
        <v>29</v>
      </c>
      <c r="AH25" s="8">
        <f t="shared" si="8"/>
        <v>116000</v>
      </c>
    </row>
    <row r="26" spans="1:34" ht="16.5" x14ac:dyDescent="0.3">
      <c r="A26" s="35" t="s">
        <v>40</v>
      </c>
      <c r="B26" s="35" t="s">
        <v>3078</v>
      </c>
      <c r="C26" s="41" t="s">
        <v>3086</v>
      </c>
      <c r="D26" s="35">
        <v>23</v>
      </c>
      <c r="E26" s="36" t="str">
        <f t="shared" si="0"/>
        <v>3#3#40|3#4#40|3#5#40|3#6#40|3#7#40|3#8#40</v>
      </c>
      <c r="F26" s="190" t="str">
        <f t="shared" si="10"/>
        <v>上品注灵石17/元宝124000</v>
      </c>
      <c r="G26" s="35">
        <v>25</v>
      </c>
      <c r="H26" s="112"/>
      <c r="O26" s="8">
        <v>23</v>
      </c>
      <c r="P26" s="8">
        <f>(P$28-P$23)*3/5+P$23</f>
        <v>3.22</v>
      </c>
      <c r="Q26" s="158"/>
      <c r="R26" s="158"/>
      <c r="S26" s="158"/>
      <c r="T26" s="97">
        <v>0.8</v>
      </c>
      <c r="U26" s="158">
        <f t="shared" si="2"/>
        <v>4600</v>
      </c>
      <c r="V26" s="158">
        <f t="shared" si="3"/>
        <v>3680</v>
      </c>
      <c r="W26" s="158">
        <f t="shared" si="4"/>
        <v>153</v>
      </c>
      <c r="X26" s="158">
        <f t="shared" si="5"/>
        <v>122</v>
      </c>
      <c r="Y26" s="158">
        <f t="shared" si="6"/>
        <v>153</v>
      </c>
      <c r="Z26" s="158">
        <f t="shared" si="7"/>
        <v>122</v>
      </c>
      <c r="AA26" s="8"/>
      <c r="AB26" s="8"/>
      <c r="AC26" s="8"/>
      <c r="AD26" s="8"/>
      <c r="AE26" s="8"/>
      <c r="AF26" s="8"/>
      <c r="AG26" s="8">
        <f t="shared" si="9"/>
        <v>31</v>
      </c>
      <c r="AH26" s="8">
        <f t="shared" si="8"/>
        <v>124000</v>
      </c>
    </row>
    <row r="27" spans="1:34" ht="16.5" x14ac:dyDescent="0.3">
      <c r="A27" s="35" t="s">
        <v>40</v>
      </c>
      <c r="B27" s="35" t="s">
        <v>3078</v>
      </c>
      <c r="C27" s="41" t="s">
        <v>3087</v>
      </c>
      <c r="D27" s="35">
        <v>24</v>
      </c>
      <c r="E27" s="36" t="str">
        <f t="shared" si="0"/>
        <v>3#3#42|3#4#42|3#5#42|3#6#42|3#7#42|3#8#42</v>
      </c>
      <c r="F27" s="190" t="str">
        <f t="shared" si="10"/>
        <v>上品注灵石18/元宝136000</v>
      </c>
      <c r="G27" s="35">
        <v>25</v>
      </c>
      <c r="H27" s="112"/>
      <c r="O27" s="8">
        <v>24</v>
      </c>
      <c r="P27" s="8">
        <f>(P$28-P$23)*4/5+P$23</f>
        <v>3.46</v>
      </c>
      <c r="Q27" s="158"/>
      <c r="R27" s="158"/>
      <c r="S27" s="158"/>
      <c r="T27" s="97">
        <v>0.8</v>
      </c>
      <c r="U27" s="158">
        <f t="shared" si="2"/>
        <v>4800</v>
      </c>
      <c r="V27" s="158">
        <f t="shared" si="3"/>
        <v>3840</v>
      </c>
      <c r="W27" s="158">
        <f t="shared" si="4"/>
        <v>160</v>
      </c>
      <c r="X27" s="158">
        <f t="shared" si="5"/>
        <v>128</v>
      </c>
      <c r="Y27" s="158">
        <f t="shared" si="6"/>
        <v>160</v>
      </c>
      <c r="Z27" s="158">
        <f t="shared" si="7"/>
        <v>128</v>
      </c>
      <c r="AA27" s="8"/>
      <c r="AB27" s="8"/>
      <c r="AC27" s="8"/>
      <c r="AD27" s="8"/>
      <c r="AE27" s="8"/>
      <c r="AF27" s="8"/>
      <c r="AG27" s="8">
        <f t="shared" si="9"/>
        <v>34</v>
      </c>
      <c r="AH27" s="8">
        <f t="shared" si="8"/>
        <v>136000</v>
      </c>
    </row>
    <row r="28" spans="1:34" ht="16.5" x14ac:dyDescent="0.3">
      <c r="A28" s="35" t="s">
        <v>40</v>
      </c>
      <c r="B28" s="35" t="s">
        <v>3078</v>
      </c>
      <c r="C28" s="41" t="s">
        <v>3088</v>
      </c>
      <c r="D28" s="35">
        <v>25</v>
      </c>
      <c r="E28" s="36" t="str">
        <f t="shared" si="0"/>
        <v>3#3#44|3#4#44|3#5#44|3#6#44|3#7#44|3#8#44</v>
      </c>
      <c r="F28" s="190" t="str">
        <f t="shared" si="10"/>
        <v>上品注灵石19/元宝144000</v>
      </c>
      <c r="G28" s="35">
        <v>20</v>
      </c>
      <c r="H28" s="112"/>
      <c r="O28" s="8">
        <v>25</v>
      </c>
      <c r="P28" s="8">
        <f>材料产出!C19</f>
        <v>3.7</v>
      </c>
      <c r="Q28" s="158"/>
      <c r="R28" s="158"/>
      <c r="S28" s="158"/>
      <c r="T28" s="97">
        <v>0.8</v>
      </c>
      <c r="U28" s="158">
        <f t="shared" si="2"/>
        <v>5000</v>
      </c>
      <c r="V28" s="158">
        <f t="shared" si="3"/>
        <v>4000</v>
      </c>
      <c r="W28" s="158">
        <f t="shared" si="4"/>
        <v>166</v>
      </c>
      <c r="X28" s="158">
        <f t="shared" si="5"/>
        <v>132</v>
      </c>
      <c r="Y28" s="158">
        <f t="shared" si="6"/>
        <v>166</v>
      </c>
      <c r="Z28" s="158">
        <f t="shared" si="7"/>
        <v>132</v>
      </c>
      <c r="AA28" s="8">
        <f>INT(1/4*AA48)</f>
        <v>1500</v>
      </c>
      <c r="AB28" s="8">
        <f>INT(1/4*AB48)</f>
        <v>75</v>
      </c>
      <c r="AC28" s="8">
        <f>INT(1/4*AC48)</f>
        <v>75</v>
      </c>
      <c r="AD28" s="8"/>
      <c r="AE28" s="8"/>
      <c r="AF28" s="8"/>
      <c r="AG28" s="8">
        <f t="shared" si="9"/>
        <v>36</v>
      </c>
      <c r="AH28" s="8">
        <f t="shared" si="8"/>
        <v>144000</v>
      </c>
    </row>
    <row r="29" spans="1:34" ht="16.5" x14ac:dyDescent="0.3">
      <c r="A29" s="35" t="s">
        <v>40</v>
      </c>
      <c r="B29" s="35" t="s">
        <v>3078</v>
      </c>
      <c r="C29" s="41" t="s">
        <v>3089</v>
      </c>
      <c r="D29" s="35">
        <v>26</v>
      </c>
      <c r="E29" s="36" t="str">
        <f t="shared" si="0"/>
        <v>3#3#49|3#4#49|3#5#49|3#6#49|3#7#49|3#8#49</v>
      </c>
      <c r="F29" s="190" t="str">
        <f t="shared" si="10"/>
        <v>上品注灵石20/元宝152000</v>
      </c>
      <c r="G29" s="35">
        <v>20</v>
      </c>
      <c r="H29" s="112"/>
      <c r="O29" s="8">
        <v>26</v>
      </c>
      <c r="P29" s="8">
        <f>(P$33-P$28)*1/5+P$28</f>
        <v>3.88</v>
      </c>
      <c r="Q29" s="158"/>
      <c r="R29" s="158"/>
      <c r="S29" s="158"/>
      <c r="T29" s="97">
        <v>0.85</v>
      </c>
      <c r="U29" s="158">
        <f t="shared" si="2"/>
        <v>5200</v>
      </c>
      <c r="V29" s="158">
        <f t="shared" si="3"/>
        <v>4420</v>
      </c>
      <c r="W29" s="158">
        <f t="shared" si="4"/>
        <v>173</v>
      </c>
      <c r="X29" s="158">
        <f t="shared" si="5"/>
        <v>147</v>
      </c>
      <c r="Y29" s="158">
        <f t="shared" si="6"/>
        <v>173</v>
      </c>
      <c r="Z29" s="158">
        <f t="shared" si="7"/>
        <v>147</v>
      </c>
      <c r="AA29" s="8"/>
      <c r="AB29" s="8"/>
      <c r="AC29" s="8"/>
      <c r="AD29" s="8"/>
      <c r="AE29" s="8"/>
      <c r="AF29" s="8"/>
      <c r="AG29" s="8">
        <f t="shared" si="9"/>
        <v>38</v>
      </c>
      <c r="AH29" s="8">
        <f t="shared" si="8"/>
        <v>152000</v>
      </c>
    </row>
    <row r="30" spans="1:34" ht="16.5" x14ac:dyDescent="0.3">
      <c r="A30" s="35" t="s">
        <v>40</v>
      </c>
      <c r="B30" s="35" t="s">
        <v>3078</v>
      </c>
      <c r="C30" s="41" t="s">
        <v>3090</v>
      </c>
      <c r="D30" s="35">
        <v>27</v>
      </c>
      <c r="E30" s="36" t="str">
        <f t="shared" si="0"/>
        <v>3#3#51|3#4#51|3#5#51|3#6#51|3#7#51|3#8#51</v>
      </c>
      <c r="F30" s="190" t="str">
        <f t="shared" si="10"/>
        <v>上品注灵石21/元宝156000</v>
      </c>
      <c r="G30" s="35">
        <v>20</v>
      </c>
      <c r="H30" s="112"/>
      <c r="O30" s="8">
        <v>27</v>
      </c>
      <c r="P30" s="8">
        <f>(P$33-P$28)*2/5+P$28</f>
        <v>4.0599999999999996</v>
      </c>
      <c r="Q30" s="158"/>
      <c r="R30" s="158"/>
      <c r="S30" s="158"/>
      <c r="T30" s="97">
        <v>0.85</v>
      </c>
      <c r="U30" s="158">
        <f t="shared" si="2"/>
        <v>5400</v>
      </c>
      <c r="V30" s="158">
        <f t="shared" si="3"/>
        <v>4590</v>
      </c>
      <c r="W30" s="158">
        <f t="shared" si="4"/>
        <v>180</v>
      </c>
      <c r="X30" s="158">
        <f t="shared" si="5"/>
        <v>153</v>
      </c>
      <c r="Y30" s="158">
        <f t="shared" si="6"/>
        <v>180</v>
      </c>
      <c r="Z30" s="158">
        <f t="shared" si="7"/>
        <v>153</v>
      </c>
      <c r="AA30" s="8"/>
      <c r="AB30" s="8"/>
      <c r="AC30" s="8"/>
      <c r="AD30" s="8"/>
      <c r="AE30" s="8"/>
      <c r="AF30" s="8"/>
      <c r="AG30" s="8">
        <f t="shared" si="9"/>
        <v>39</v>
      </c>
      <c r="AH30" s="8">
        <f t="shared" si="8"/>
        <v>156000</v>
      </c>
    </row>
    <row r="31" spans="1:34" ht="16.5" x14ac:dyDescent="0.3">
      <c r="A31" s="35" t="s">
        <v>40</v>
      </c>
      <c r="B31" s="35" t="s">
        <v>3078</v>
      </c>
      <c r="C31" s="41" t="s">
        <v>3091</v>
      </c>
      <c r="D31" s="35">
        <v>28</v>
      </c>
      <c r="E31" s="36" t="str">
        <f t="shared" si="0"/>
        <v>3#3#52|3#4#52|3#5#52|3#6#52|3#7#52|3#8#52</v>
      </c>
      <c r="F31" s="190" t="str">
        <f t="shared" si="10"/>
        <v>上品注灵石22/元宝164000</v>
      </c>
      <c r="G31" s="35">
        <v>20</v>
      </c>
      <c r="H31" s="112"/>
      <c r="O31" s="8">
        <v>28</v>
      </c>
      <c r="P31" s="8">
        <f>(P$33-P$28)*3/5+P$28</f>
        <v>4.24</v>
      </c>
      <c r="Q31" s="158"/>
      <c r="R31" s="158"/>
      <c r="S31" s="158"/>
      <c r="T31" s="97">
        <v>0.85</v>
      </c>
      <c r="U31" s="158">
        <f t="shared" si="2"/>
        <v>5600</v>
      </c>
      <c r="V31" s="158">
        <f t="shared" si="3"/>
        <v>4760</v>
      </c>
      <c r="W31" s="158">
        <f t="shared" si="4"/>
        <v>186</v>
      </c>
      <c r="X31" s="158">
        <f t="shared" si="5"/>
        <v>158</v>
      </c>
      <c r="Y31" s="158">
        <f t="shared" si="6"/>
        <v>186</v>
      </c>
      <c r="Z31" s="158">
        <f t="shared" si="7"/>
        <v>158</v>
      </c>
      <c r="AA31" s="8"/>
      <c r="AB31" s="8"/>
      <c r="AC31" s="8"/>
      <c r="AD31" s="8"/>
      <c r="AE31" s="8"/>
      <c r="AF31" s="8"/>
      <c r="AG31" s="8">
        <f t="shared" si="9"/>
        <v>41</v>
      </c>
      <c r="AH31" s="8">
        <f t="shared" si="8"/>
        <v>164000</v>
      </c>
    </row>
    <row r="32" spans="1:34" ht="16.5" x14ac:dyDescent="0.3">
      <c r="A32" s="35" t="s">
        <v>40</v>
      </c>
      <c r="B32" s="35" t="s">
        <v>3078</v>
      </c>
      <c r="C32" s="41" t="s">
        <v>3092</v>
      </c>
      <c r="D32" s="35">
        <v>29</v>
      </c>
      <c r="E32" s="36" t="str">
        <f t="shared" si="0"/>
        <v>3#3#54|3#4#54|3#5#54|3#6#54|3#7#54|3#8#54</v>
      </c>
      <c r="F32" s="190" t="str">
        <f t="shared" si="10"/>
        <v>上品注灵石23/元宝172000</v>
      </c>
      <c r="G32" s="35">
        <v>20</v>
      </c>
      <c r="H32" s="112"/>
      <c r="O32" s="8">
        <v>29</v>
      </c>
      <c r="P32" s="8">
        <f>(P$33-P$28)*4/5+P$28</f>
        <v>4.42</v>
      </c>
      <c r="Q32" s="158"/>
      <c r="R32" s="158"/>
      <c r="S32" s="158"/>
      <c r="T32" s="97">
        <v>0.85</v>
      </c>
      <c r="U32" s="158">
        <f t="shared" si="2"/>
        <v>5800</v>
      </c>
      <c r="V32" s="158">
        <f t="shared" si="3"/>
        <v>4930</v>
      </c>
      <c r="W32" s="158">
        <f t="shared" si="4"/>
        <v>193</v>
      </c>
      <c r="X32" s="158">
        <f t="shared" si="5"/>
        <v>164</v>
      </c>
      <c r="Y32" s="158">
        <f t="shared" si="6"/>
        <v>193</v>
      </c>
      <c r="Z32" s="158">
        <f t="shared" si="7"/>
        <v>164</v>
      </c>
      <c r="AA32" s="8"/>
      <c r="AB32" s="8"/>
      <c r="AC32" s="8"/>
      <c r="AD32" s="8"/>
      <c r="AE32" s="8"/>
      <c r="AF32" s="8"/>
      <c r="AG32" s="8">
        <f t="shared" si="9"/>
        <v>43</v>
      </c>
      <c r="AH32" s="8">
        <f t="shared" si="8"/>
        <v>172000</v>
      </c>
    </row>
    <row r="33" spans="1:34" ht="16.5" x14ac:dyDescent="0.3">
      <c r="A33" s="35" t="s">
        <v>40</v>
      </c>
      <c r="B33" s="35" t="s">
        <v>3078</v>
      </c>
      <c r="C33" s="41" t="s">
        <v>3093</v>
      </c>
      <c r="D33" s="35">
        <v>30</v>
      </c>
      <c r="E33" s="36" t="str">
        <f t="shared" si="0"/>
        <v>3#3#56|3#4#56|3#5#56|3#6#56|3#7#56|3#8#56</v>
      </c>
      <c r="F33" s="190" t="str">
        <f>"极品注灵石"&amp;ROUND(AG34/10,0)&amp;"/元宝"&amp;AH32</f>
        <v>极品注灵石5/元宝172000</v>
      </c>
      <c r="G33" s="35">
        <v>30</v>
      </c>
      <c r="H33" s="112"/>
      <c r="O33" s="8">
        <v>30</v>
      </c>
      <c r="P33" s="8">
        <f>材料产出!C22</f>
        <v>4.5999999999999996</v>
      </c>
      <c r="Q33" s="158"/>
      <c r="R33" s="158"/>
      <c r="S33" s="158"/>
      <c r="T33" s="97">
        <v>0.85</v>
      </c>
      <c r="U33" s="158">
        <f t="shared" si="2"/>
        <v>6000</v>
      </c>
      <c r="V33" s="158">
        <f t="shared" si="3"/>
        <v>5100</v>
      </c>
      <c r="W33" s="158">
        <f t="shared" si="4"/>
        <v>200</v>
      </c>
      <c r="X33" s="158">
        <f t="shared" si="5"/>
        <v>170</v>
      </c>
      <c r="Y33" s="158">
        <f t="shared" si="6"/>
        <v>200</v>
      </c>
      <c r="Z33" s="158">
        <f t="shared" si="7"/>
        <v>170</v>
      </c>
      <c r="AA33" s="8">
        <f>INT(23/60*AA48)</f>
        <v>2300</v>
      </c>
      <c r="AB33" s="8">
        <f>INT(23/60*AB48)</f>
        <v>115</v>
      </c>
      <c r="AC33" s="8">
        <f>INT(23/60*AC48)</f>
        <v>115</v>
      </c>
      <c r="AD33" s="8"/>
      <c r="AE33" s="8"/>
      <c r="AF33" s="8"/>
      <c r="AG33" s="8">
        <f t="shared" si="9"/>
        <v>45</v>
      </c>
      <c r="AH33" s="8">
        <f t="shared" si="8"/>
        <v>180000</v>
      </c>
    </row>
    <row r="34" spans="1:34" ht="16.5" x14ac:dyDescent="0.3">
      <c r="A34" s="35" t="s">
        <v>40</v>
      </c>
      <c r="B34" s="35" t="s">
        <v>3078</v>
      </c>
      <c r="C34" s="41" t="s">
        <v>3094</v>
      </c>
      <c r="D34" s="35">
        <v>31</v>
      </c>
      <c r="E34" s="36" t="str">
        <f t="shared" si="0"/>
        <v>3#3#61|3#4#61|3#5#61|3#6#61|3#7#61|3#8#61</v>
      </c>
      <c r="F34" s="190" t="str">
        <f t="shared" ref="F34:F47" si="11">"极品注灵石"&amp;ROUND(AG35/10,0)&amp;"/元宝"&amp;AH33</f>
        <v>极品注灵石5/元宝180000</v>
      </c>
      <c r="G34" s="35">
        <v>30</v>
      </c>
      <c r="H34" s="112"/>
      <c r="O34" s="8">
        <v>31</v>
      </c>
      <c r="P34" s="8">
        <f>(P$38-P$33)*1/5+P$33</f>
        <v>4.7799999999999994</v>
      </c>
      <c r="Q34" s="158"/>
      <c r="R34" s="158"/>
      <c r="S34" s="158"/>
      <c r="T34" s="97">
        <v>0.9</v>
      </c>
      <c r="U34" s="158">
        <f t="shared" si="2"/>
        <v>6200</v>
      </c>
      <c r="V34" s="158">
        <f t="shared" si="3"/>
        <v>5580</v>
      </c>
      <c r="W34" s="158">
        <f t="shared" si="4"/>
        <v>206</v>
      </c>
      <c r="X34" s="158">
        <f t="shared" si="5"/>
        <v>185</v>
      </c>
      <c r="Y34" s="158">
        <f t="shared" si="6"/>
        <v>206</v>
      </c>
      <c r="Z34" s="158">
        <f t="shared" si="7"/>
        <v>185</v>
      </c>
      <c r="AA34" s="8"/>
      <c r="AB34" s="8"/>
      <c r="AC34" s="8"/>
      <c r="AD34" s="8"/>
      <c r="AE34" s="8"/>
      <c r="AF34" s="8"/>
      <c r="AG34" s="8">
        <f t="shared" si="9"/>
        <v>46</v>
      </c>
      <c r="AH34" s="8">
        <f t="shared" si="8"/>
        <v>184000</v>
      </c>
    </row>
    <row r="35" spans="1:34" ht="16.5" x14ac:dyDescent="0.3">
      <c r="A35" s="35" t="s">
        <v>40</v>
      </c>
      <c r="B35" s="35" t="s">
        <v>3078</v>
      </c>
      <c r="C35" s="41" t="s">
        <v>3095</v>
      </c>
      <c r="D35" s="35">
        <v>32</v>
      </c>
      <c r="E35" s="36" t="str">
        <f t="shared" si="0"/>
        <v>3#3#63|3#4#63|3#5#63|3#6#63|3#7#63|3#8#63</v>
      </c>
      <c r="F35" s="190" t="str">
        <f t="shared" si="11"/>
        <v>极品注灵石5/元宝184000</v>
      </c>
      <c r="G35" s="35">
        <v>30</v>
      </c>
      <c r="H35" s="112"/>
      <c r="O35" s="8">
        <v>32</v>
      </c>
      <c r="P35" s="8">
        <f>(P$38-P$33)*2/5+P$33</f>
        <v>4.96</v>
      </c>
      <c r="Q35" s="158"/>
      <c r="R35" s="158"/>
      <c r="S35" s="158"/>
      <c r="T35" s="97">
        <v>0.9</v>
      </c>
      <c r="U35" s="158">
        <f t="shared" si="2"/>
        <v>6400</v>
      </c>
      <c r="V35" s="158">
        <f t="shared" si="3"/>
        <v>5760</v>
      </c>
      <c r="W35" s="158">
        <f t="shared" si="4"/>
        <v>213</v>
      </c>
      <c r="X35" s="158">
        <f t="shared" si="5"/>
        <v>191</v>
      </c>
      <c r="Y35" s="158">
        <f t="shared" si="6"/>
        <v>213</v>
      </c>
      <c r="Z35" s="158">
        <f t="shared" si="7"/>
        <v>191</v>
      </c>
      <c r="AA35" s="8"/>
      <c r="AB35" s="8"/>
      <c r="AC35" s="8"/>
      <c r="AD35" s="8"/>
      <c r="AE35" s="8"/>
      <c r="AF35" s="8"/>
      <c r="AG35" s="8">
        <f t="shared" si="9"/>
        <v>48</v>
      </c>
      <c r="AH35" s="8">
        <f t="shared" si="8"/>
        <v>192000</v>
      </c>
    </row>
    <row r="36" spans="1:34" ht="16.5" x14ac:dyDescent="0.3">
      <c r="A36" s="35" t="s">
        <v>40</v>
      </c>
      <c r="B36" s="35" t="s">
        <v>3078</v>
      </c>
      <c r="C36" s="41" t="s">
        <v>3096</v>
      </c>
      <c r="D36" s="35">
        <v>33</v>
      </c>
      <c r="E36" s="36" t="str">
        <f t="shared" si="0"/>
        <v>3#3#66|3#4#66|3#5#66|3#6#66|3#7#66|3#8#66</v>
      </c>
      <c r="F36" s="190" t="str">
        <f t="shared" si="11"/>
        <v>极品注灵石5/元宝192000</v>
      </c>
      <c r="G36" s="35">
        <v>30</v>
      </c>
      <c r="H36" s="112"/>
      <c r="O36" s="8">
        <v>33</v>
      </c>
      <c r="P36" s="8">
        <f>(P$38-P$33)*3/5+P$33</f>
        <v>5.14</v>
      </c>
      <c r="Q36" s="158"/>
      <c r="R36" s="158"/>
      <c r="S36" s="158"/>
      <c r="T36" s="97">
        <v>0.9</v>
      </c>
      <c r="U36" s="158">
        <f t="shared" si="2"/>
        <v>6600</v>
      </c>
      <c r="V36" s="158">
        <f t="shared" si="3"/>
        <v>5940</v>
      </c>
      <c r="W36" s="158">
        <f t="shared" si="4"/>
        <v>220</v>
      </c>
      <c r="X36" s="158">
        <f t="shared" si="5"/>
        <v>198</v>
      </c>
      <c r="Y36" s="158">
        <f t="shared" si="6"/>
        <v>220</v>
      </c>
      <c r="Z36" s="158">
        <f t="shared" si="7"/>
        <v>198</v>
      </c>
      <c r="AA36" s="8"/>
      <c r="AB36" s="8"/>
      <c r="AC36" s="8"/>
      <c r="AD36" s="8"/>
      <c r="AE36" s="8"/>
      <c r="AF36" s="8"/>
      <c r="AG36" s="8">
        <f t="shared" si="9"/>
        <v>50</v>
      </c>
      <c r="AH36" s="8">
        <f t="shared" si="8"/>
        <v>200000</v>
      </c>
    </row>
    <row r="37" spans="1:34" ht="16.5" x14ac:dyDescent="0.3">
      <c r="A37" s="35" t="s">
        <v>40</v>
      </c>
      <c r="B37" s="35" t="s">
        <v>3078</v>
      </c>
      <c r="C37" s="41" t="s">
        <v>3097</v>
      </c>
      <c r="D37" s="35">
        <v>34</v>
      </c>
      <c r="E37" s="36" t="str">
        <f t="shared" si="0"/>
        <v>3#3#67|3#4#67|3#5#67|3#6#67|3#7#67|3#8#67</v>
      </c>
      <c r="F37" s="190" t="str">
        <f t="shared" si="11"/>
        <v>极品注灵石5/元宝200000</v>
      </c>
      <c r="G37" s="35">
        <v>30</v>
      </c>
      <c r="H37" s="112"/>
      <c r="O37" s="8">
        <v>34</v>
      </c>
      <c r="P37" s="8">
        <f>(P$38-P$33)*4/5+P$33</f>
        <v>5.32</v>
      </c>
      <c r="Q37" s="158"/>
      <c r="R37" s="158"/>
      <c r="S37" s="158"/>
      <c r="T37" s="97">
        <v>0.9</v>
      </c>
      <c r="U37" s="158">
        <f t="shared" si="2"/>
        <v>6800</v>
      </c>
      <c r="V37" s="158">
        <f t="shared" si="3"/>
        <v>6120</v>
      </c>
      <c r="W37" s="158">
        <f t="shared" si="4"/>
        <v>226</v>
      </c>
      <c r="X37" s="158">
        <f t="shared" si="5"/>
        <v>203</v>
      </c>
      <c r="Y37" s="158">
        <f t="shared" si="6"/>
        <v>226</v>
      </c>
      <c r="Z37" s="158">
        <f t="shared" si="7"/>
        <v>203</v>
      </c>
      <c r="AA37" s="8"/>
      <c r="AB37" s="8"/>
      <c r="AC37" s="8"/>
      <c r="AD37" s="8"/>
      <c r="AE37" s="8"/>
      <c r="AF37" s="8"/>
      <c r="AG37" s="8">
        <f t="shared" si="9"/>
        <v>52</v>
      </c>
      <c r="AH37" s="8">
        <f t="shared" si="8"/>
        <v>208000</v>
      </c>
    </row>
    <row r="38" spans="1:34" ht="16.5" x14ac:dyDescent="0.3">
      <c r="A38" s="35" t="s">
        <v>40</v>
      </c>
      <c r="B38" s="35" t="s">
        <v>3078</v>
      </c>
      <c r="C38" s="41" t="s">
        <v>3098</v>
      </c>
      <c r="D38" s="35">
        <v>35</v>
      </c>
      <c r="E38" s="36" t="str">
        <f t="shared" si="0"/>
        <v>3#3#69|3#4#69|3#5#69|3#6#69|3#7#69|3#8#69</v>
      </c>
      <c r="F38" s="190" t="str">
        <f t="shared" si="11"/>
        <v>极品注灵石6/元宝208000</v>
      </c>
      <c r="G38" s="35">
        <v>25</v>
      </c>
      <c r="H38" s="112"/>
      <c r="O38" s="8">
        <v>35</v>
      </c>
      <c r="P38" s="8">
        <f>材料产出!C25</f>
        <v>5.5</v>
      </c>
      <c r="Q38" s="158"/>
      <c r="R38" s="158"/>
      <c r="S38" s="158"/>
      <c r="T38" s="97">
        <v>0.9</v>
      </c>
      <c r="U38" s="158">
        <f t="shared" si="2"/>
        <v>7000</v>
      </c>
      <c r="V38" s="158">
        <f t="shared" si="3"/>
        <v>6300</v>
      </c>
      <c r="W38" s="158">
        <f t="shared" si="4"/>
        <v>233</v>
      </c>
      <c r="X38" s="158">
        <f t="shared" si="5"/>
        <v>209</v>
      </c>
      <c r="Y38" s="158">
        <f t="shared" si="6"/>
        <v>233</v>
      </c>
      <c r="Z38" s="158">
        <f t="shared" si="7"/>
        <v>209</v>
      </c>
      <c r="AA38" s="8">
        <f>INT(33/60*AA48)</f>
        <v>3300</v>
      </c>
      <c r="AB38" s="8">
        <f>INT(33/60*AB48)</f>
        <v>165</v>
      </c>
      <c r="AC38" s="8">
        <f>INT(33/60*AC48)</f>
        <v>165</v>
      </c>
      <c r="AD38" s="8"/>
      <c r="AE38" s="8"/>
      <c r="AF38" s="8"/>
      <c r="AG38" s="8">
        <f t="shared" si="9"/>
        <v>53</v>
      </c>
      <c r="AH38" s="8">
        <f t="shared" si="8"/>
        <v>212000</v>
      </c>
    </row>
    <row r="39" spans="1:34" ht="16.5" x14ac:dyDescent="0.3">
      <c r="A39" s="35" t="s">
        <v>40</v>
      </c>
      <c r="B39" s="35" t="s">
        <v>3078</v>
      </c>
      <c r="C39" s="41" t="s">
        <v>3099</v>
      </c>
      <c r="D39" s="35">
        <v>36</v>
      </c>
      <c r="E39" s="36" t="str">
        <f t="shared" si="0"/>
        <v>3#3#76|3#4#76|3#5#76|3#6#76|3#7#76|3#8#76</v>
      </c>
      <c r="F39" s="190" t="str">
        <f t="shared" si="11"/>
        <v>极品注灵石6/元宝212000</v>
      </c>
      <c r="G39" s="35">
        <v>25</v>
      </c>
      <c r="H39" s="112"/>
      <c r="O39" s="8">
        <v>36</v>
      </c>
      <c r="P39" s="8">
        <f>(P$43-P$38)*1/5+P$38</f>
        <v>5.68</v>
      </c>
      <c r="Q39" s="158"/>
      <c r="R39" s="158"/>
      <c r="S39" s="158"/>
      <c r="T39" s="97">
        <v>0.95</v>
      </c>
      <c r="U39" s="158">
        <f t="shared" si="2"/>
        <v>7200</v>
      </c>
      <c r="V39" s="158">
        <f t="shared" si="3"/>
        <v>6840</v>
      </c>
      <c r="W39" s="158">
        <f t="shared" si="4"/>
        <v>240</v>
      </c>
      <c r="X39" s="158">
        <f t="shared" si="5"/>
        <v>228</v>
      </c>
      <c r="Y39" s="158">
        <f t="shared" si="6"/>
        <v>240</v>
      </c>
      <c r="Z39" s="158">
        <f t="shared" si="7"/>
        <v>228</v>
      </c>
      <c r="AA39" s="8"/>
      <c r="AB39" s="8"/>
      <c r="AC39" s="8"/>
      <c r="AD39" s="8"/>
      <c r="AE39" s="8"/>
      <c r="AF39" s="8"/>
      <c r="AG39" s="8">
        <f t="shared" si="9"/>
        <v>55</v>
      </c>
      <c r="AH39" s="8">
        <f t="shared" si="8"/>
        <v>220000</v>
      </c>
    </row>
    <row r="40" spans="1:34" ht="16.5" x14ac:dyDescent="0.3">
      <c r="A40" s="35" t="s">
        <v>40</v>
      </c>
      <c r="B40" s="35" t="s">
        <v>3078</v>
      </c>
      <c r="C40" s="41" t="s">
        <v>3100</v>
      </c>
      <c r="D40" s="35">
        <v>37</v>
      </c>
      <c r="E40" s="36" t="str">
        <f t="shared" si="0"/>
        <v>3#3#77|3#4#77|3#5#77|3#6#77|3#7#77|3#8#77</v>
      </c>
      <c r="F40" s="190" t="str">
        <f t="shared" si="11"/>
        <v>极品注灵石6/元宝220000</v>
      </c>
      <c r="G40" s="35">
        <v>25</v>
      </c>
      <c r="H40" s="112"/>
      <c r="O40" s="8">
        <v>37</v>
      </c>
      <c r="P40" s="8">
        <f>(P$43-P$38)*2/5+P$38</f>
        <v>5.86</v>
      </c>
      <c r="Q40" s="158"/>
      <c r="R40" s="158"/>
      <c r="S40" s="158"/>
      <c r="T40" s="97">
        <v>0.95</v>
      </c>
      <c r="U40" s="158">
        <f t="shared" si="2"/>
        <v>7400</v>
      </c>
      <c r="V40" s="158">
        <f t="shared" si="3"/>
        <v>7030</v>
      </c>
      <c r="W40" s="158">
        <f t="shared" si="4"/>
        <v>246</v>
      </c>
      <c r="X40" s="158">
        <f t="shared" si="5"/>
        <v>233</v>
      </c>
      <c r="Y40" s="158">
        <f t="shared" si="6"/>
        <v>246</v>
      </c>
      <c r="Z40" s="158">
        <f t="shared" si="7"/>
        <v>233</v>
      </c>
      <c r="AA40" s="8"/>
      <c r="AB40" s="8"/>
      <c r="AC40" s="8"/>
      <c r="AD40" s="8"/>
      <c r="AE40" s="8"/>
      <c r="AF40" s="8"/>
      <c r="AG40" s="8">
        <f t="shared" si="9"/>
        <v>57</v>
      </c>
      <c r="AH40" s="8">
        <f t="shared" si="8"/>
        <v>228000</v>
      </c>
    </row>
    <row r="41" spans="1:34" ht="16.5" x14ac:dyDescent="0.3">
      <c r="A41" s="35" t="s">
        <v>40</v>
      </c>
      <c r="B41" s="35" t="s">
        <v>3078</v>
      </c>
      <c r="C41" s="41" t="s">
        <v>3101</v>
      </c>
      <c r="D41" s="35">
        <v>38</v>
      </c>
      <c r="E41" s="36" t="str">
        <f t="shared" si="0"/>
        <v>3#3#80|3#4#80|3#5#80|3#6#80|3#7#80|3#8#80</v>
      </c>
      <c r="F41" s="190" t="str">
        <f t="shared" si="11"/>
        <v>极品注灵石6/元宝228000</v>
      </c>
      <c r="G41" s="35">
        <v>25</v>
      </c>
      <c r="H41" s="112"/>
      <c r="O41" s="8">
        <v>38</v>
      </c>
      <c r="P41" s="8">
        <f>(P$43-P$38)*3/5+P$38</f>
        <v>6.04</v>
      </c>
      <c r="Q41" s="158"/>
      <c r="R41" s="158"/>
      <c r="S41" s="158"/>
      <c r="T41" s="97">
        <v>0.95</v>
      </c>
      <c r="U41" s="158">
        <f t="shared" si="2"/>
        <v>7600</v>
      </c>
      <c r="V41" s="158">
        <f t="shared" si="3"/>
        <v>7220</v>
      </c>
      <c r="W41" s="158">
        <f t="shared" si="4"/>
        <v>253</v>
      </c>
      <c r="X41" s="158">
        <f t="shared" si="5"/>
        <v>240</v>
      </c>
      <c r="Y41" s="158">
        <f t="shared" si="6"/>
        <v>253</v>
      </c>
      <c r="Z41" s="158">
        <f t="shared" si="7"/>
        <v>240</v>
      </c>
      <c r="AA41" s="8"/>
      <c r="AB41" s="8"/>
      <c r="AC41" s="8"/>
      <c r="AD41" s="8"/>
      <c r="AE41" s="8"/>
      <c r="AF41" s="8"/>
      <c r="AG41" s="8">
        <f t="shared" si="9"/>
        <v>59</v>
      </c>
      <c r="AH41" s="8">
        <f t="shared" si="8"/>
        <v>236000</v>
      </c>
    </row>
    <row r="42" spans="1:34" ht="16.5" x14ac:dyDescent="0.3">
      <c r="A42" s="35" t="s">
        <v>40</v>
      </c>
      <c r="B42" s="35" t="s">
        <v>3078</v>
      </c>
      <c r="C42" s="41" t="s">
        <v>3102</v>
      </c>
      <c r="D42" s="35">
        <v>39</v>
      </c>
      <c r="E42" s="36" t="str">
        <f t="shared" si="0"/>
        <v>3#3#82|3#4#82|3#5#82|3#6#82|3#7#82|3#8#82</v>
      </c>
      <c r="F42" s="190" t="str">
        <f t="shared" si="11"/>
        <v>极品注灵石6/元宝236000</v>
      </c>
      <c r="G42" s="35">
        <v>25</v>
      </c>
      <c r="H42" s="112"/>
      <c r="O42" s="8">
        <v>39</v>
      </c>
      <c r="P42" s="8">
        <f>(P$43-P$38)*4/5+P$38</f>
        <v>6.2200000000000006</v>
      </c>
      <c r="Q42" s="158"/>
      <c r="R42" s="158"/>
      <c r="S42" s="158"/>
      <c r="T42" s="97">
        <v>0.95</v>
      </c>
      <c r="U42" s="158">
        <f t="shared" si="2"/>
        <v>7800</v>
      </c>
      <c r="V42" s="158">
        <f t="shared" si="3"/>
        <v>7410</v>
      </c>
      <c r="W42" s="158">
        <f t="shared" si="4"/>
        <v>260</v>
      </c>
      <c r="X42" s="158">
        <f t="shared" si="5"/>
        <v>247</v>
      </c>
      <c r="Y42" s="158">
        <f t="shared" si="6"/>
        <v>260</v>
      </c>
      <c r="Z42" s="158">
        <f t="shared" si="7"/>
        <v>247</v>
      </c>
      <c r="AA42" s="8"/>
      <c r="AB42" s="8"/>
      <c r="AC42" s="8"/>
      <c r="AD42" s="8"/>
      <c r="AE42" s="8"/>
      <c r="AF42" s="8"/>
      <c r="AG42" s="8">
        <f t="shared" si="9"/>
        <v>60</v>
      </c>
      <c r="AH42" s="8">
        <f t="shared" si="8"/>
        <v>240000</v>
      </c>
    </row>
    <row r="43" spans="1:34" ht="16.5" x14ac:dyDescent="0.3">
      <c r="A43" s="35" t="s">
        <v>40</v>
      </c>
      <c r="B43" s="35" t="s">
        <v>3078</v>
      </c>
      <c r="C43" s="41" t="s">
        <v>3103</v>
      </c>
      <c r="D43" s="35">
        <v>40</v>
      </c>
      <c r="E43" s="36" t="str">
        <f t="shared" si="0"/>
        <v>3#3#84|3#4#84|3#5#84|3#6#84|3#7#84|3#8#84</v>
      </c>
      <c r="F43" s="190" t="str">
        <f t="shared" si="11"/>
        <v>极品注灵石6/元宝240000</v>
      </c>
      <c r="G43" s="35">
        <v>20</v>
      </c>
      <c r="H43" s="112"/>
      <c r="O43" s="8">
        <v>40</v>
      </c>
      <c r="P43" s="8">
        <f>材料产出!C28</f>
        <v>6.4</v>
      </c>
      <c r="Q43" s="158"/>
      <c r="R43" s="158"/>
      <c r="S43" s="158"/>
      <c r="T43" s="97">
        <v>0.95</v>
      </c>
      <c r="U43" s="158">
        <f t="shared" si="2"/>
        <v>8000</v>
      </c>
      <c r="V43" s="158">
        <f t="shared" si="3"/>
        <v>7600</v>
      </c>
      <c r="W43" s="158">
        <f t="shared" si="4"/>
        <v>266</v>
      </c>
      <c r="X43" s="158">
        <f t="shared" si="5"/>
        <v>252</v>
      </c>
      <c r="Y43" s="158">
        <f t="shared" si="6"/>
        <v>266</v>
      </c>
      <c r="Z43" s="158">
        <f t="shared" si="7"/>
        <v>252</v>
      </c>
      <c r="AA43" s="8">
        <f>INT(3/4*AA48)</f>
        <v>4500</v>
      </c>
      <c r="AB43" s="8">
        <f>INT(3/4*AB48)</f>
        <v>225</v>
      </c>
      <c r="AC43" s="8">
        <f>INT(3/4*AC48)</f>
        <v>225</v>
      </c>
      <c r="AD43" s="8"/>
      <c r="AE43" s="8"/>
      <c r="AF43" s="8"/>
      <c r="AG43" s="8">
        <f t="shared" si="9"/>
        <v>62</v>
      </c>
      <c r="AH43" s="8">
        <f t="shared" si="8"/>
        <v>248000</v>
      </c>
    </row>
    <row r="44" spans="1:34" ht="16.5" x14ac:dyDescent="0.3">
      <c r="A44" s="35" t="s">
        <v>40</v>
      </c>
      <c r="B44" s="35" t="s">
        <v>3078</v>
      </c>
      <c r="C44" s="41" t="s">
        <v>3104</v>
      </c>
      <c r="D44" s="35">
        <v>41</v>
      </c>
      <c r="E44" s="36" t="str">
        <f t="shared" si="0"/>
        <v>3#3#91|3#4#91|3#5#91|3#6#91|3#7#91|3#8#91</v>
      </c>
      <c r="F44" s="190" t="str">
        <f t="shared" si="11"/>
        <v>极品注灵石6/元宝248000</v>
      </c>
      <c r="G44" s="35">
        <v>20</v>
      </c>
      <c r="H44" s="112"/>
      <c r="O44" s="8">
        <v>41</v>
      </c>
      <c r="P44" s="8">
        <f>(P$48-P$43)*1/5+P$43</f>
        <v>6.5200000000000005</v>
      </c>
      <c r="Q44" s="158"/>
      <c r="R44" s="158"/>
      <c r="S44" s="158"/>
      <c r="T44" s="97">
        <v>1</v>
      </c>
      <c r="U44" s="158">
        <f t="shared" si="2"/>
        <v>8200</v>
      </c>
      <c r="V44" s="158">
        <f t="shared" si="3"/>
        <v>8200</v>
      </c>
      <c r="W44" s="158">
        <f t="shared" si="4"/>
        <v>273</v>
      </c>
      <c r="X44" s="158">
        <f t="shared" si="5"/>
        <v>273</v>
      </c>
      <c r="Y44" s="158">
        <f t="shared" si="6"/>
        <v>273</v>
      </c>
      <c r="Z44" s="158">
        <f t="shared" si="7"/>
        <v>273</v>
      </c>
      <c r="AA44" s="8"/>
      <c r="AB44" s="8"/>
      <c r="AC44" s="8"/>
      <c r="AD44" s="8"/>
      <c r="AE44" s="8"/>
      <c r="AF44" s="8"/>
      <c r="AG44" s="8">
        <f t="shared" si="9"/>
        <v>63</v>
      </c>
      <c r="AH44" s="8">
        <f t="shared" si="8"/>
        <v>252000</v>
      </c>
    </row>
    <row r="45" spans="1:34" ht="16.5" x14ac:dyDescent="0.3">
      <c r="A45" s="35" t="s">
        <v>40</v>
      </c>
      <c r="B45" s="35" t="s">
        <v>3078</v>
      </c>
      <c r="C45" s="41" t="s">
        <v>3105</v>
      </c>
      <c r="D45" s="35">
        <v>42</v>
      </c>
      <c r="E45" s="36" t="str">
        <f t="shared" si="0"/>
        <v>3#3#93|3#4#93|3#5#93|3#6#93|3#7#93|3#8#93</v>
      </c>
      <c r="F45" s="190" t="str">
        <f t="shared" si="11"/>
        <v>极品注灵石7/元宝252000</v>
      </c>
      <c r="G45" s="35">
        <v>20</v>
      </c>
      <c r="H45" s="112"/>
      <c r="O45" s="8">
        <v>42</v>
      </c>
      <c r="P45" s="8">
        <f>(P$48-P$43)*2/5+P$43</f>
        <v>6.6400000000000006</v>
      </c>
      <c r="Q45" s="158"/>
      <c r="R45" s="158"/>
      <c r="S45" s="158"/>
      <c r="T45" s="97">
        <v>1</v>
      </c>
      <c r="U45" s="158">
        <f t="shared" si="2"/>
        <v>8400</v>
      </c>
      <c r="V45" s="158">
        <f t="shared" si="3"/>
        <v>8400</v>
      </c>
      <c r="W45" s="158">
        <f t="shared" si="4"/>
        <v>280</v>
      </c>
      <c r="X45" s="158">
        <f t="shared" si="5"/>
        <v>280</v>
      </c>
      <c r="Y45" s="158">
        <f t="shared" si="6"/>
        <v>280</v>
      </c>
      <c r="Z45" s="158">
        <f t="shared" si="7"/>
        <v>280</v>
      </c>
      <c r="AA45" s="8"/>
      <c r="AB45" s="8"/>
      <c r="AC45" s="8"/>
      <c r="AD45" s="8"/>
      <c r="AE45" s="8"/>
      <c r="AF45" s="8"/>
      <c r="AG45" s="8">
        <f t="shared" si="9"/>
        <v>64</v>
      </c>
      <c r="AH45" s="8">
        <f t="shared" si="8"/>
        <v>256000</v>
      </c>
    </row>
    <row r="46" spans="1:34" ht="16.5" x14ac:dyDescent="0.3">
      <c r="A46" s="35" t="s">
        <v>40</v>
      </c>
      <c r="B46" s="35" t="s">
        <v>3078</v>
      </c>
      <c r="C46" s="41" t="s">
        <v>3106</v>
      </c>
      <c r="D46" s="35">
        <v>43</v>
      </c>
      <c r="E46" s="36" t="str">
        <f t="shared" si="0"/>
        <v>3#3#95|3#4#95|3#5#95|3#6#95|3#7#95|3#8#95</v>
      </c>
      <c r="F46" s="190" t="str">
        <f t="shared" si="11"/>
        <v>极品注灵石7/元宝256000</v>
      </c>
      <c r="G46" s="35">
        <v>20</v>
      </c>
      <c r="H46" s="112"/>
      <c r="O46" s="8">
        <v>43</v>
      </c>
      <c r="P46" s="8">
        <f>(P$48-P$43)*3/5+P$43</f>
        <v>6.76</v>
      </c>
      <c r="Q46" s="158"/>
      <c r="R46" s="158"/>
      <c r="S46" s="158"/>
      <c r="T46" s="97">
        <v>1</v>
      </c>
      <c r="U46" s="158">
        <f t="shared" si="2"/>
        <v>8600</v>
      </c>
      <c r="V46" s="158">
        <f t="shared" si="3"/>
        <v>8600</v>
      </c>
      <c r="W46" s="158">
        <f>INT(O46/O$48*W$48)</f>
        <v>286</v>
      </c>
      <c r="X46" s="158">
        <f t="shared" si="5"/>
        <v>286</v>
      </c>
      <c r="Y46" s="158">
        <f t="shared" si="6"/>
        <v>286</v>
      </c>
      <c r="Z46" s="158">
        <f t="shared" si="7"/>
        <v>286</v>
      </c>
      <c r="AA46" s="8"/>
      <c r="AB46" s="8"/>
      <c r="AC46" s="8"/>
      <c r="AD46" s="8"/>
      <c r="AE46" s="8"/>
      <c r="AF46" s="8"/>
      <c r="AG46" s="8">
        <f t="shared" si="9"/>
        <v>66</v>
      </c>
      <c r="AH46" s="8">
        <f t="shared" si="8"/>
        <v>264000</v>
      </c>
    </row>
    <row r="47" spans="1:34" ht="16.5" x14ac:dyDescent="0.3">
      <c r="A47" s="35" t="s">
        <v>40</v>
      </c>
      <c r="B47" s="35" t="s">
        <v>3078</v>
      </c>
      <c r="C47" s="41" t="s">
        <v>3107</v>
      </c>
      <c r="D47" s="35">
        <v>44</v>
      </c>
      <c r="E47" s="36" t="str">
        <f t="shared" si="0"/>
        <v>3#3#97|3#4#97|3#5#97|3#6#97|3#7#97|3#8#97</v>
      </c>
      <c r="F47" s="190" t="str">
        <f t="shared" si="11"/>
        <v>极品注灵石7/元宝264000</v>
      </c>
      <c r="G47" s="35">
        <v>20</v>
      </c>
      <c r="H47" s="112"/>
      <c r="O47" s="8">
        <v>44</v>
      </c>
      <c r="P47" s="8">
        <f>(P$48-P$43)*4/5+P$43</f>
        <v>6.88</v>
      </c>
      <c r="Q47" s="158"/>
      <c r="R47" s="158"/>
      <c r="S47" s="158"/>
      <c r="T47" s="97">
        <v>1</v>
      </c>
      <c r="U47" s="158">
        <f>INT(O47/O$48*U$48)</f>
        <v>8800</v>
      </c>
      <c r="V47" s="158">
        <f t="shared" si="3"/>
        <v>8800</v>
      </c>
      <c r="W47" s="158">
        <f>INT(O47/O$48*W$48)</f>
        <v>293</v>
      </c>
      <c r="X47" s="158">
        <f t="shared" si="5"/>
        <v>293</v>
      </c>
      <c r="Y47" s="158">
        <f>INT(O47/O$48*Y$48)</f>
        <v>293</v>
      </c>
      <c r="Z47" s="158">
        <f t="shared" si="7"/>
        <v>293</v>
      </c>
      <c r="AA47" s="8"/>
      <c r="AB47" s="8"/>
      <c r="AC47" s="8"/>
      <c r="AD47" s="8"/>
      <c r="AE47" s="8"/>
      <c r="AF47" s="8"/>
      <c r="AG47" s="8">
        <f>ROUND(AE$48*1/45*P47/11,0)</f>
        <v>67</v>
      </c>
      <c r="AH47" s="8">
        <f>AG47*4000</f>
        <v>268000</v>
      </c>
    </row>
    <row r="48" spans="1:34" ht="16.5" x14ac:dyDescent="0.3">
      <c r="A48" s="35" t="s">
        <v>40</v>
      </c>
      <c r="B48" s="35" t="s">
        <v>3078</v>
      </c>
      <c r="C48" s="41" t="s">
        <v>3108</v>
      </c>
      <c r="D48" s="35">
        <v>45</v>
      </c>
      <c r="E48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8" s="190"/>
      <c r="G48" s="35"/>
      <c r="H48" s="112"/>
      <c r="O48" s="8">
        <v>45</v>
      </c>
      <c r="P48" s="8">
        <f>材料产出!C30</f>
        <v>7</v>
      </c>
      <c r="Q48" s="158">
        <f>养成属性分配!AL31</f>
        <v>15000</v>
      </c>
      <c r="R48" s="158">
        <f>养成属性分配!AM31</f>
        <v>600</v>
      </c>
      <c r="S48" s="158">
        <f>养成属性分配!AN31</f>
        <v>600</v>
      </c>
      <c r="T48" s="97">
        <v>1</v>
      </c>
      <c r="U48" s="158">
        <f>9/15*Q48</f>
        <v>9000</v>
      </c>
      <c r="V48" s="158">
        <f>U48*T48</f>
        <v>9000</v>
      </c>
      <c r="W48" s="158">
        <f>1/2*R48</f>
        <v>300</v>
      </c>
      <c r="X48" s="158">
        <f>INT(W48*T48)</f>
        <v>300</v>
      </c>
      <c r="Y48" s="158">
        <f>1/2*S48</f>
        <v>300</v>
      </c>
      <c r="Z48" s="158">
        <f>INT(Y48*T48)</f>
        <v>300</v>
      </c>
      <c r="AA48" s="8">
        <f>6/15*Q48</f>
        <v>6000</v>
      </c>
      <c r="AB48" s="8">
        <f>1/2*R48</f>
        <v>300</v>
      </c>
      <c r="AC48" s="8">
        <f>1/2*S48</f>
        <v>300</v>
      </c>
      <c r="AD48" s="8">
        <f>Q48*属性价值参考!C5+装备注灵!R48*(属性价值参考!C7+属性价值参考!C8)+装备注灵!S48*(属性价值参考!C9+属性价值参考!C10+属性价值参考!C11+属性价值参考!C12)</f>
        <v>163080</v>
      </c>
      <c r="AE48" s="8">
        <f>AD48/34*1</f>
        <v>4796.4705882352937</v>
      </c>
      <c r="AF48" s="8">
        <f>AD48/34*4000</f>
        <v>19185882.352941174</v>
      </c>
      <c r="AG48" s="8">
        <f>ROUND(AE$48*1/45*P48/11,0)</f>
        <v>68</v>
      </c>
      <c r="AH48" s="8">
        <f>AG48*4000</f>
        <v>272000</v>
      </c>
    </row>
    <row r="49" spans="1:8" ht="15.75" x14ac:dyDescent="0.3">
      <c r="A49" s="44" t="s">
        <v>40</v>
      </c>
      <c r="B49" s="44" t="s">
        <v>3109</v>
      </c>
      <c r="C49" s="45" t="s">
        <v>78</v>
      </c>
      <c r="D49" s="44">
        <v>0</v>
      </c>
      <c r="E49" s="115"/>
      <c r="F49" s="211" t="str">
        <f>"中品注灵石"&amp;AG4&amp;"/元宝"&amp;AH4</f>
        <v>中品注灵石5/元宝20000</v>
      </c>
      <c r="G49" s="44">
        <v>100</v>
      </c>
      <c r="H49" s="112"/>
    </row>
    <row r="50" spans="1:8" ht="15.75" x14ac:dyDescent="0.3">
      <c r="A50" s="44" t="s">
        <v>40</v>
      </c>
      <c r="B50" s="44" t="s">
        <v>3109</v>
      </c>
      <c r="C50" s="45" t="s">
        <v>3055</v>
      </c>
      <c r="D50" s="44">
        <v>1</v>
      </c>
      <c r="E50" s="115" t="str">
        <f t="shared" ref="E50:E93" si="12">"3#9#"&amp;INT(1/3*Z4)&amp;"|"&amp;"3#10#"&amp;INT(1/3*Z4)</f>
        <v>3#9#1|3#10#1</v>
      </c>
      <c r="F50" s="211" t="str">
        <f t="shared" ref="F50:F63" si="13">"中品注灵石"&amp;AG5&amp;"/元宝"&amp;AH5</f>
        <v>中品注灵石6/元宝24000</v>
      </c>
      <c r="G50" s="44">
        <v>100</v>
      </c>
      <c r="H50" s="112"/>
    </row>
    <row r="51" spans="1:8" ht="15.75" x14ac:dyDescent="0.3">
      <c r="A51" s="44" t="s">
        <v>40</v>
      </c>
      <c r="B51" s="44" t="s">
        <v>3109</v>
      </c>
      <c r="C51" s="45" t="s">
        <v>3057</v>
      </c>
      <c r="D51" s="44">
        <v>2</v>
      </c>
      <c r="E51" s="115" t="str">
        <f t="shared" si="12"/>
        <v>3#9#2|3#10#2</v>
      </c>
      <c r="F51" s="211" t="str">
        <f t="shared" si="13"/>
        <v>中品注灵石6/元宝24000</v>
      </c>
      <c r="G51" s="44">
        <v>100</v>
      </c>
      <c r="H51" s="112"/>
    </row>
    <row r="52" spans="1:8" ht="15.75" x14ac:dyDescent="0.3">
      <c r="A52" s="44" t="s">
        <v>40</v>
      </c>
      <c r="B52" s="44" t="s">
        <v>3109</v>
      </c>
      <c r="C52" s="45" t="s">
        <v>3059</v>
      </c>
      <c r="D52" s="44">
        <v>3</v>
      </c>
      <c r="E52" s="115" t="str">
        <f t="shared" si="12"/>
        <v>3#9#4|3#10#4</v>
      </c>
      <c r="F52" s="211" t="str">
        <f t="shared" si="13"/>
        <v>中品注灵石7/元宝28000</v>
      </c>
      <c r="G52" s="44">
        <v>100</v>
      </c>
      <c r="H52" s="112"/>
    </row>
    <row r="53" spans="1:8" ht="15.75" x14ac:dyDescent="0.3">
      <c r="A53" s="44" t="s">
        <v>40</v>
      </c>
      <c r="B53" s="44" t="s">
        <v>3109</v>
      </c>
      <c r="C53" s="45" t="s">
        <v>3061</v>
      </c>
      <c r="D53" s="44">
        <v>4</v>
      </c>
      <c r="E53" s="115" t="str">
        <f t="shared" si="12"/>
        <v>3#9#5|3#10#5</v>
      </c>
      <c r="F53" s="211" t="str">
        <f t="shared" si="13"/>
        <v>中品注灵石8/元宝32000</v>
      </c>
      <c r="G53" s="44">
        <v>100</v>
      </c>
      <c r="H53" s="112"/>
    </row>
    <row r="54" spans="1:8" ht="15.75" x14ac:dyDescent="0.3">
      <c r="A54" s="44" t="s">
        <v>40</v>
      </c>
      <c r="B54" s="44" t="s">
        <v>3109</v>
      </c>
      <c r="C54" s="45" t="s">
        <v>3063</v>
      </c>
      <c r="D54" s="44">
        <v>5</v>
      </c>
      <c r="E54" s="115" t="str">
        <f t="shared" si="12"/>
        <v>3#9#6|3#10#6</v>
      </c>
      <c r="F54" s="211" t="str">
        <f t="shared" si="13"/>
        <v>中品注灵石8/元宝32000</v>
      </c>
      <c r="G54" s="44">
        <v>100</v>
      </c>
      <c r="H54" s="112"/>
    </row>
    <row r="55" spans="1:8" ht="15.75" x14ac:dyDescent="0.3">
      <c r="A55" s="44" t="s">
        <v>40</v>
      </c>
      <c r="B55" s="44" t="s">
        <v>3109</v>
      </c>
      <c r="C55" s="45" t="s">
        <v>3065</v>
      </c>
      <c r="D55" s="44">
        <v>6</v>
      </c>
      <c r="E55" s="115" t="str">
        <f t="shared" si="12"/>
        <v>3#9#8|3#10#8</v>
      </c>
      <c r="F55" s="211" t="str">
        <f t="shared" si="13"/>
        <v>中品注灵石9/元宝36000</v>
      </c>
      <c r="G55" s="44">
        <v>100</v>
      </c>
      <c r="H55" s="112"/>
    </row>
    <row r="56" spans="1:8" ht="15.75" x14ac:dyDescent="0.3">
      <c r="A56" s="44" t="s">
        <v>40</v>
      </c>
      <c r="B56" s="44" t="s">
        <v>3109</v>
      </c>
      <c r="C56" s="45" t="s">
        <v>3067</v>
      </c>
      <c r="D56" s="44">
        <v>7</v>
      </c>
      <c r="E56" s="115" t="str">
        <f t="shared" si="12"/>
        <v>3#9#9|3#10#9</v>
      </c>
      <c r="F56" s="211" t="str">
        <f t="shared" si="13"/>
        <v>中品注灵石9/元宝36000</v>
      </c>
      <c r="G56" s="44">
        <v>100</v>
      </c>
      <c r="H56" s="112"/>
    </row>
    <row r="57" spans="1:8" ht="15.75" x14ac:dyDescent="0.3">
      <c r="A57" s="44" t="s">
        <v>40</v>
      </c>
      <c r="B57" s="44" t="s">
        <v>3109</v>
      </c>
      <c r="C57" s="45" t="s">
        <v>3069</v>
      </c>
      <c r="D57" s="44">
        <v>8</v>
      </c>
      <c r="E57" s="115" t="str">
        <f t="shared" si="12"/>
        <v>3#9#11|3#10#11</v>
      </c>
      <c r="F57" s="211" t="str">
        <f t="shared" si="13"/>
        <v>中品注灵石10/元宝40000</v>
      </c>
      <c r="G57" s="44">
        <v>100</v>
      </c>
      <c r="H57" s="112"/>
    </row>
    <row r="58" spans="1:8" ht="15.75" x14ac:dyDescent="0.3">
      <c r="A58" s="44" t="s">
        <v>40</v>
      </c>
      <c r="B58" s="44" t="s">
        <v>3109</v>
      </c>
      <c r="C58" s="45" t="s">
        <v>3071</v>
      </c>
      <c r="D58" s="44">
        <v>9</v>
      </c>
      <c r="E58" s="115" t="str">
        <f t="shared" si="12"/>
        <v>3#9#13|3#10#13</v>
      </c>
      <c r="F58" s="211" t="str">
        <f t="shared" si="13"/>
        <v>中品注灵石11/元宝44000</v>
      </c>
      <c r="G58" s="44">
        <v>100</v>
      </c>
      <c r="H58" s="112"/>
    </row>
    <row r="59" spans="1:8" ht="15.75" x14ac:dyDescent="0.3">
      <c r="A59" s="44" t="s">
        <v>40</v>
      </c>
      <c r="B59" s="44" t="s">
        <v>3109</v>
      </c>
      <c r="C59" s="45" t="s">
        <v>3072</v>
      </c>
      <c r="D59" s="44">
        <v>10</v>
      </c>
      <c r="E59" s="115" t="str">
        <f t="shared" si="12"/>
        <v>3#9#14|3#10#14</v>
      </c>
      <c r="F59" s="211" t="str">
        <f t="shared" si="13"/>
        <v>中品注灵石11/元宝44000</v>
      </c>
      <c r="G59" s="44">
        <v>100</v>
      </c>
      <c r="H59" s="112"/>
    </row>
    <row r="60" spans="1:8" ht="15.75" x14ac:dyDescent="0.3">
      <c r="A60" s="44" t="s">
        <v>40</v>
      </c>
      <c r="B60" s="44" t="s">
        <v>3109</v>
      </c>
      <c r="C60" s="45" t="s">
        <v>3073</v>
      </c>
      <c r="D60" s="44">
        <v>11</v>
      </c>
      <c r="E60" s="115" t="str">
        <f t="shared" si="12"/>
        <v>3#9#17|3#10#17</v>
      </c>
      <c r="F60" s="211" t="str">
        <f t="shared" si="13"/>
        <v>中品注灵石12/元宝48000</v>
      </c>
      <c r="G60" s="44">
        <v>100</v>
      </c>
      <c r="H60" s="112"/>
    </row>
    <row r="61" spans="1:8" ht="15.75" x14ac:dyDescent="0.3">
      <c r="A61" s="44" t="s">
        <v>40</v>
      </c>
      <c r="B61" s="44" t="s">
        <v>3109</v>
      </c>
      <c r="C61" s="45" t="s">
        <v>3074</v>
      </c>
      <c r="D61" s="44">
        <v>12</v>
      </c>
      <c r="E61" s="115" t="str">
        <f t="shared" si="12"/>
        <v>3#9#18|3#10#18</v>
      </c>
      <c r="F61" s="211" t="str">
        <f t="shared" si="13"/>
        <v>中品注灵石13/元宝52000</v>
      </c>
      <c r="G61" s="44">
        <v>100</v>
      </c>
      <c r="H61" s="112"/>
    </row>
    <row r="62" spans="1:8" ht="15.75" x14ac:dyDescent="0.3">
      <c r="A62" s="44" t="s">
        <v>40</v>
      </c>
      <c r="B62" s="44" t="s">
        <v>3109</v>
      </c>
      <c r="C62" s="45" t="s">
        <v>3075</v>
      </c>
      <c r="D62" s="44">
        <v>13</v>
      </c>
      <c r="E62" s="115" t="str">
        <f t="shared" si="12"/>
        <v>3#9#20|3#10#20</v>
      </c>
      <c r="F62" s="211" t="str">
        <f t="shared" si="13"/>
        <v>中品注灵石14/元宝56000</v>
      </c>
      <c r="G62" s="44">
        <v>100</v>
      </c>
      <c r="H62" s="112"/>
    </row>
    <row r="63" spans="1:8" ht="15.75" x14ac:dyDescent="0.3">
      <c r="A63" s="44" t="s">
        <v>40</v>
      </c>
      <c r="B63" s="44" t="s">
        <v>3109</v>
      </c>
      <c r="C63" s="45" t="s">
        <v>3076</v>
      </c>
      <c r="D63" s="44">
        <v>14</v>
      </c>
      <c r="E63" s="115" t="str">
        <f t="shared" si="12"/>
        <v>3#9#21|3#10#21</v>
      </c>
      <c r="F63" s="211" t="str">
        <f t="shared" si="13"/>
        <v>中品注灵石15/元宝60000</v>
      </c>
      <c r="G63" s="44">
        <v>100</v>
      </c>
      <c r="H63" s="112"/>
    </row>
    <row r="64" spans="1:8" ht="15.75" x14ac:dyDescent="0.3">
      <c r="A64" s="44" t="s">
        <v>40</v>
      </c>
      <c r="B64" s="44" t="s">
        <v>3109</v>
      </c>
      <c r="C64" s="45" t="s">
        <v>3077</v>
      </c>
      <c r="D64" s="44">
        <v>15</v>
      </c>
      <c r="E64" s="115" t="str">
        <f t="shared" si="12"/>
        <v>3#9#23|3#10#23</v>
      </c>
      <c r="F64" s="211" t="str">
        <f>"上品注灵石"&amp;ROUND(AG19/2,0)&amp;"/元宝"&amp;AH18</f>
        <v>上品注灵石8/元宝60000</v>
      </c>
      <c r="G64" s="44">
        <v>30</v>
      </c>
      <c r="H64" s="112"/>
    </row>
    <row r="65" spans="1:8" ht="15.75" x14ac:dyDescent="0.3">
      <c r="A65" s="44" t="s">
        <v>40</v>
      </c>
      <c r="B65" s="44" t="s">
        <v>3125</v>
      </c>
      <c r="C65" s="45" t="s">
        <v>3079</v>
      </c>
      <c r="D65" s="44">
        <v>16</v>
      </c>
      <c r="E65" s="115" t="str">
        <f t="shared" si="12"/>
        <v>3#9#26|3#10#26</v>
      </c>
      <c r="F65" s="211" t="str">
        <f t="shared" ref="F65:F78" si="14">"上品注灵石"&amp;ROUND(AG20/2,0)&amp;"/元宝"&amp;AH19</f>
        <v>上品注灵石9/元宝64000</v>
      </c>
      <c r="G65" s="44">
        <v>30</v>
      </c>
      <c r="H65" s="112"/>
    </row>
    <row r="66" spans="1:8" ht="15.75" x14ac:dyDescent="0.3">
      <c r="A66" s="44" t="s">
        <v>40</v>
      </c>
      <c r="B66" s="44" t="s">
        <v>3125</v>
      </c>
      <c r="C66" s="45" t="s">
        <v>3080</v>
      </c>
      <c r="D66" s="44">
        <v>17</v>
      </c>
      <c r="E66" s="115" t="str">
        <f t="shared" si="12"/>
        <v>3#9#28|3#10#28</v>
      </c>
      <c r="F66" s="211" t="str">
        <f t="shared" si="14"/>
        <v>上品注灵石10/元宝72000</v>
      </c>
      <c r="G66" s="44">
        <v>30</v>
      </c>
      <c r="H66" s="112"/>
    </row>
    <row r="67" spans="1:8" ht="15.75" x14ac:dyDescent="0.3">
      <c r="A67" s="44" t="s">
        <v>40</v>
      </c>
      <c r="B67" s="44" t="s">
        <v>3125</v>
      </c>
      <c r="C67" s="45" t="s">
        <v>3081</v>
      </c>
      <c r="D67" s="44">
        <v>18</v>
      </c>
      <c r="E67" s="115" t="str">
        <f t="shared" si="12"/>
        <v>3#9#30|3#10#30</v>
      </c>
      <c r="F67" s="211" t="str">
        <f t="shared" si="14"/>
        <v>上品注灵石11/元宝80000</v>
      </c>
      <c r="G67" s="44">
        <v>30</v>
      </c>
      <c r="H67" s="112"/>
    </row>
    <row r="68" spans="1:8" ht="15.75" x14ac:dyDescent="0.3">
      <c r="A68" s="44" t="s">
        <v>40</v>
      </c>
      <c r="B68" s="44" t="s">
        <v>3125</v>
      </c>
      <c r="C68" s="45" t="s">
        <v>3082</v>
      </c>
      <c r="D68" s="44">
        <v>19</v>
      </c>
      <c r="E68" s="115" t="str">
        <f t="shared" si="12"/>
        <v>3#9#31|3#10#31</v>
      </c>
      <c r="F68" s="211" t="str">
        <f t="shared" si="14"/>
        <v>上品注灵石12/元宝88000</v>
      </c>
      <c r="G68" s="44">
        <v>30</v>
      </c>
      <c r="H68" s="112"/>
    </row>
    <row r="69" spans="1:8" ht="15.75" x14ac:dyDescent="0.3">
      <c r="A69" s="44" t="s">
        <v>40</v>
      </c>
      <c r="B69" s="44" t="s">
        <v>3125</v>
      </c>
      <c r="C69" s="45" t="s">
        <v>3083</v>
      </c>
      <c r="D69" s="44">
        <v>20</v>
      </c>
      <c r="E69" s="115" t="str">
        <f t="shared" si="12"/>
        <v>3#9#33|3#10#33</v>
      </c>
      <c r="F69" s="211" t="str">
        <f t="shared" si="14"/>
        <v>上品注灵石14/元宝96000</v>
      </c>
      <c r="G69" s="44">
        <v>25</v>
      </c>
      <c r="H69" s="112"/>
    </row>
    <row r="70" spans="1:8" ht="15.75" x14ac:dyDescent="0.3">
      <c r="A70" s="44" t="s">
        <v>40</v>
      </c>
      <c r="B70" s="44" t="s">
        <v>3125</v>
      </c>
      <c r="C70" s="45" t="s">
        <v>3084</v>
      </c>
      <c r="D70" s="44">
        <v>21</v>
      </c>
      <c r="E70" s="115" t="str">
        <f t="shared" si="12"/>
        <v>3#9#37|3#10#37</v>
      </c>
      <c r="F70" s="211" t="str">
        <f t="shared" si="14"/>
        <v>上品注灵石15/元宝108000</v>
      </c>
      <c r="G70" s="44">
        <v>25</v>
      </c>
      <c r="H70" s="112"/>
    </row>
    <row r="71" spans="1:8" ht="15.75" x14ac:dyDescent="0.3">
      <c r="A71" s="44" t="s">
        <v>40</v>
      </c>
      <c r="B71" s="44" t="s">
        <v>3125</v>
      </c>
      <c r="C71" s="45" t="s">
        <v>3085</v>
      </c>
      <c r="D71" s="44">
        <v>22</v>
      </c>
      <c r="E71" s="115" t="str">
        <f t="shared" si="12"/>
        <v>3#9#38|3#10#38</v>
      </c>
      <c r="F71" s="211" t="str">
        <f t="shared" si="14"/>
        <v>上品注灵石16/元宝116000</v>
      </c>
      <c r="G71" s="44">
        <v>25</v>
      </c>
      <c r="H71" s="112"/>
    </row>
    <row r="72" spans="1:8" ht="15.75" x14ac:dyDescent="0.3">
      <c r="A72" s="44" t="s">
        <v>40</v>
      </c>
      <c r="B72" s="44" t="s">
        <v>3125</v>
      </c>
      <c r="C72" s="45" t="s">
        <v>3086</v>
      </c>
      <c r="D72" s="44">
        <v>23</v>
      </c>
      <c r="E72" s="115" t="str">
        <f t="shared" si="12"/>
        <v>3#9#40|3#10#40</v>
      </c>
      <c r="F72" s="211" t="str">
        <f t="shared" si="14"/>
        <v>上品注灵石17/元宝124000</v>
      </c>
      <c r="G72" s="44">
        <v>25</v>
      </c>
      <c r="H72" s="112"/>
    </row>
    <row r="73" spans="1:8" ht="15.75" x14ac:dyDescent="0.3">
      <c r="A73" s="44" t="s">
        <v>40</v>
      </c>
      <c r="B73" s="44" t="s">
        <v>3125</v>
      </c>
      <c r="C73" s="45" t="s">
        <v>3087</v>
      </c>
      <c r="D73" s="44">
        <v>24</v>
      </c>
      <c r="E73" s="115" t="str">
        <f t="shared" si="12"/>
        <v>3#9#42|3#10#42</v>
      </c>
      <c r="F73" s="211" t="str">
        <f t="shared" si="14"/>
        <v>上品注灵石18/元宝136000</v>
      </c>
      <c r="G73" s="44">
        <v>25</v>
      </c>
      <c r="H73" s="112"/>
    </row>
    <row r="74" spans="1:8" ht="15.75" x14ac:dyDescent="0.3">
      <c r="A74" s="44" t="s">
        <v>40</v>
      </c>
      <c r="B74" s="44" t="s">
        <v>3125</v>
      </c>
      <c r="C74" s="45" t="s">
        <v>3088</v>
      </c>
      <c r="D74" s="44">
        <v>25</v>
      </c>
      <c r="E74" s="115" t="str">
        <f t="shared" si="12"/>
        <v>3#9#44|3#10#44</v>
      </c>
      <c r="F74" s="211" t="str">
        <f t="shared" si="14"/>
        <v>上品注灵石19/元宝144000</v>
      </c>
      <c r="G74" s="44">
        <v>25</v>
      </c>
      <c r="H74" s="112"/>
    </row>
    <row r="75" spans="1:8" ht="15.75" x14ac:dyDescent="0.3">
      <c r="A75" s="44" t="s">
        <v>40</v>
      </c>
      <c r="B75" s="44" t="s">
        <v>3125</v>
      </c>
      <c r="C75" s="45" t="s">
        <v>3089</v>
      </c>
      <c r="D75" s="44">
        <v>26</v>
      </c>
      <c r="E75" s="115" t="str">
        <f t="shared" si="12"/>
        <v>3#9#49|3#10#49</v>
      </c>
      <c r="F75" s="211" t="str">
        <f t="shared" si="14"/>
        <v>上品注灵石20/元宝152000</v>
      </c>
      <c r="G75" s="44">
        <v>25</v>
      </c>
      <c r="H75" s="112"/>
    </row>
    <row r="76" spans="1:8" ht="15.75" x14ac:dyDescent="0.3">
      <c r="A76" s="44" t="s">
        <v>40</v>
      </c>
      <c r="B76" s="44" t="s">
        <v>3125</v>
      </c>
      <c r="C76" s="45" t="s">
        <v>3090</v>
      </c>
      <c r="D76" s="44">
        <v>27</v>
      </c>
      <c r="E76" s="115" t="str">
        <f t="shared" si="12"/>
        <v>3#9#51|3#10#51</v>
      </c>
      <c r="F76" s="211" t="str">
        <f t="shared" si="14"/>
        <v>上品注灵石21/元宝156000</v>
      </c>
      <c r="G76" s="44">
        <v>25</v>
      </c>
      <c r="H76" s="112"/>
    </row>
    <row r="77" spans="1:8" ht="15.75" x14ac:dyDescent="0.3">
      <c r="A77" s="44" t="s">
        <v>40</v>
      </c>
      <c r="B77" s="44" t="s">
        <v>3125</v>
      </c>
      <c r="C77" s="45" t="s">
        <v>3091</v>
      </c>
      <c r="D77" s="44">
        <v>28</v>
      </c>
      <c r="E77" s="115" t="str">
        <f t="shared" si="12"/>
        <v>3#9#52|3#10#52</v>
      </c>
      <c r="F77" s="211" t="str">
        <f t="shared" si="14"/>
        <v>上品注灵石22/元宝164000</v>
      </c>
      <c r="G77" s="44">
        <v>25</v>
      </c>
      <c r="H77" s="112"/>
    </row>
    <row r="78" spans="1:8" ht="15.75" x14ac:dyDescent="0.3">
      <c r="A78" s="44" t="s">
        <v>40</v>
      </c>
      <c r="B78" s="44" t="s">
        <v>3125</v>
      </c>
      <c r="C78" s="45" t="s">
        <v>3092</v>
      </c>
      <c r="D78" s="44">
        <v>29</v>
      </c>
      <c r="E78" s="115" t="str">
        <f t="shared" si="12"/>
        <v>3#9#54|3#10#54</v>
      </c>
      <c r="F78" s="211" t="str">
        <f t="shared" si="14"/>
        <v>上品注灵石23/元宝172000</v>
      </c>
      <c r="G78" s="44">
        <v>25</v>
      </c>
      <c r="H78" s="112"/>
    </row>
    <row r="79" spans="1:8" ht="15.75" x14ac:dyDescent="0.3">
      <c r="A79" s="44" t="s">
        <v>40</v>
      </c>
      <c r="B79" s="44" t="s">
        <v>3125</v>
      </c>
      <c r="C79" s="45" t="s">
        <v>3093</v>
      </c>
      <c r="D79" s="44">
        <v>30</v>
      </c>
      <c r="E79" s="115" t="str">
        <f t="shared" si="12"/>
        <v>3#9#56|3#10#56</v>
      </c>
      <c r="F79" s="211" t="str">
        <f>"极品注灵石"&amp;ROUND(AG34/10,0)&amp;"/元宝"&amp;AH32</f>
        <v>极品注灵石5/元宝172000</v>
      </c>
      <c r="G79" s="44">
        <v>30</v>
      </c>
      <c r="H79" s="112"/>
    </row>
    <row r="80" spans="1:8" ht="15.75" x14ac:dyDescent="0.3">
      <c r="A80" s="44" t="s">
        <v>40</v>
      </c>
      <c r="B80" s="44" t="s">
        <v>3125</v>
      </c>
      <c r="C80" s="45" t="s">
        <v>3094</v>
      </c>
      <c r="D80" s="44">
        <v>31</v>
      </c>
      <c r="E80" s="115" t="str">
        <f t="shared" si="12"/>
        <v>3#9#61|3#10#61</v>
      </c>
      <c r="F80" s="211" t="str">
        <f t="shared" ref="F80:F93" si="15">"极品注灵石"&amp;ROUND(AG35/10,0)&amp;"/元宝"&amp;AH33</f>
        <v>极品注灵石5/元宝180000</v>
      </c>
      <c r="G80" s="44">
        <v>30</v>
      </c>
      <c r="H80" s="112"/>
    </row>
    <row r="81" spans="1:8" ht="15.75" x14ac:dyDescent="0.3">
      <c r="A81" s="44" t="s">
        <v>40</v>
      </c>
      <c r="B81" s="44" t="s">
        <v>3125</v>
      </c>
      <c r="C81" s="45" t="s">
        <v>3095</v>
      </c>
      <c r="D81" s="44">
        <v>32</v>
      </c>
      <c r="E81" s="115" t="str">
        <f t="shared" si="12"/>
        <v>3#9#63|3#10#63</v>
      </c>
      <c r="F81" s="211" t="str">
        <f t="shared" si="15"/>
        <v>极品注灵石5/元宝184000</v>
      </c>
      <c r="G81" s="44">
        <v>30</v>
      </c>
      <c r="H81" s="112"/>
    </row>
    <row r="82" spans="1:8" ht="15.75" x14ac:dyDescent="0.3">
      <c r="A82" s="44" t="s">
        <v>40</v>
      </c>
      <c r="B82" s="44" t="s">
        <v>3125</v>
      </c>
      <c r="C82" s="45" t="s">
        <v>3096</v>
      </c>
      <c r="D82" s="44">
        <v>33</v>
      </c>
      <c r="E82" s="115" t="str">
        <f t="shared" si="12"/>
        <v>3#9#66|3#10#66</v>
      </c>
      <c r="F82" s="211" t="str">
        <f t="shared" si="15"/>
        <v>极品注灵石5/元宝192000</v>
      </c>
      <c r="G82" s="44">
        <v>30</v>
      </c>
      <c r="H82" s="112"/>
    </row>
    <row r="83" spans="1:8" ht="15.75" x14ac:dyDescent="0.3">
      <c r="A83" s="44" t="s">
        <v>40</v>
      </c>
      <c r="B83" s="44" t="s">
        <v>3125</v>
      </c>
      <c r="C83" s="45" t="s">
        <v>3097</v>
      </c>
      <c r="D83" s="44">
        <v>34</v>
      </c>
      <c r="E83" s="115" t="str">
        <f t="shared" si="12"/>
        <v>3#9#67|3#10#67</v>
      </c>
      <c r="F83" s="211" t="str">
        <f t="shared" si="15"/>
        <v>极品注灵石5/元宝200000</v>
      </c>
      <c r="G83" s="44">
        <v>30</v>
      </c>
      <c r="H83" s="112"/>
    </row>
    <row r="84" spans="1:8" ht="15.75" x14ac:dyDescent="0.3">
      <c r="A84" s="44" t="s">
        <v>40</v>
      </c>
      <c r="B84" s="44" t="s">
        <v>3125</v>
      </c>
      <c r="C84" s="45" t="s">
        <v>3098</v>
      </c>
      <c r="D84" s="44">
        <v>35</v>
      </c>
      <c r="E84" s="115" t="str">
        <f t="shared" si="12"/>
        <v>3#9#69|3#10#69</v>
      </c>
      <c r="F84" s="211" t="str">
        <f t="shared" si="15"/>
        <v>极品注灵石6/元宝208000</v>
      </c>
      <c r="G84" s="44">
        <v>25</v>
      </c>
      <c r="H84" s="112"/>
    </row>
    <row r="85" spans="1:8" ht="15.75" x14ac:dyDescent="0.3">
      <c r="A85" s="44" t="s">
        <v>40</v>
      </c>
      <c r="B85" s="44" t="s">
        <v>3125</v>
      </c>
      <c r="C85" s="45" t="s">
        <v>3099</v>
      </c>
      <c r="D85" s="44">
        <v>36</v>
      </c>
      <c r="E85" s="115" t="str">
        <f t="shared" si="12"/>
        <v>3#9#76|3#10#76</v>
      </c>
      <c r="F85" s="211" t="str">
        <f t="shared" si="15"/>
        <v>极品注灵石6/元宝212000</v>
      </c>
      <c r="G85" s="44">
        <v>25</v>
      </c>
      <c r="H85" s="112"/>
    </row>
    <row r="86" spans="1:8" ht="15.75" x14ac:dyDescent="0.3">
      <c r="A86" s="44" t="s">
        <v>40</v>
      </c>
      <c r="B86" s="44" t="s">
        <v>3125</v>
      </c>
      <c r="C86" s="45" t="s">
        <v>3100</v>
      </c>
      <c r="D86" s="44">
        <v>37</v>
      </c>
      <c r="E86" s="115" t="str">
        <f t="shared" si="12"/>
        <v>3#9#77|3#10#77</v>
      </c>
      <c r="F86" s="211" t="str">
        <f t="shared" si="15"/>
        <v>极品注灵石6/元宝220000</v>
      </c>
      <c r="G86" s="44">
        <v>25</v>
      </c>
      <c r="H86" s="112"/>
    </row>
    <row r="87" spans="1:8" ht="15.75" x14ac:dyDescent="0.3">
      <c r="A87" s="44" t="s">
        <v>40</v>
      </c>
      <c r="B87" s="44" t="s">
        <v>3125</v>
      </c>
      <c r="C87" s="45" t="s">
        <v>3101</v>
      </c>
      <c r="D87" s="44">
        <v>38</v>
      </c>
      <c r="E87" s="115" t="str">
        <f t="shared" si="12"/>
        <v>3#9#80|3#10#80</v>
      </c>
      <c r="F87" s="211" t="str">
        <f t="shared" si="15"/>
        <v>极品注灵石6/元宝228000</v>
      </c>
      <c r="G87" s="44">
        <v>25</v>
      </c>
      <c r="H87" s="112"/>
    </row>
    <row r="88" spans="1:8" ht="15.75" x14ac:dyDescent="0.3">
      <c r="A88" s="44" t="s">
        <v>40</v>
      </c>
      <c r="B88" s="44" t="s">
        <v>3125</v>
      </c>
      <c r="C88" s="45" t="s">
        <v>3102</v>
      </c>
      <c r="D88" s="44">
        <v>39</v>
      </c>
      <c r="E88" s="115" t="str">
        <f t="shared" si="12"/>
        <v>3#9#82|3#10#82</v>
      </c>
      <c r="F88" s="211" t="str">
        <f t="shared" si="15"/>
        <v>极品注灵石6/元宝236000</v>
      </c>
      <c r="G88" s="44">
        <v>25</v>
      </c>
      <c r="H88" s="112"/>
    </row>
    <row r="89" spans="1:8" ht="15.75" x14ac:dyDescent="0.3">
      <c r="A89" s="44" t="s">
        <v>40</v>
      </c>
      <c r="B89" s="44" t="s">
        <v>3125</v>
      </c>
      <c r="C89" s="45" t="s">
        <v>3103</v>
      </c>
      <c r="D89" s="44">
        <v>40</v>
      </c>
      <c r="E89" s="115" t="str">
        <f t="shared" si="12"/>
        <v>3#9#84|3#10#84</v>
      </c>
      <c r="F89" s="211" t="str">
        <f t="shared" si="15"/>
        <v>极品注灵石6/元宝240000</v>
      </c>
      <c r="G89" s="44">
        <v>20</v>
      </c>
      <c r="H89" s="112"/>
    </row>
    <row r="90" spans="1:8" ht="15.75" x14ac:dyDescent="0.3">
      <c r="A90" s="44" t="s">
        <v>40</v>
      </c>
      <c r="B90" s="44" t="s">
        <v>3125</v>
      </c>
      <c r="C90" s="45" t="s">
        <v>3104</v>
      </c>
      <c r="D90" s="44">
        <v>41</v>
      </c>
      <c r="E90" s="115" t="str">
        <f t="shared" si="12"/>
        <v>3#9#91|3#10#91</v>
      </c>
      <c r="F90" s="211" t="str">
        <f t="shared" si="15"/>
        <v>极品注灵石6/元宝248000</v>
      </c>
      <c r="G90" s="44">
        <v>20</v>
      </c>
      <c r="H90" s="112"/>
    </row>
    <row r="91" spans="1:8" ht="15.75" x14ac:dyDescent="0.3">
      <c r="A91" s="44" t="s">
        <v>40</v>
      </c>
      <c r="B91" s="44" t="s">
        <v>3125</v>
      </c>
      <c r="C91" s="45" t="s">
        <v>3105</v>
      </c>
      <c r="D91" s="44">
        <v>42</v>
      </c>
      <c r="E91" s="115" t="str">
        <f t="shared" si="12"/>
        <v>3#9#93|3#10#93</v>
      </c>
      <c r="F91" s="211" t="str">
        <f t="shared" si="15"/>
        <v>极品注灵石7/元宝252000</v>
      </c>
      <c r="G91" s="44">
        <v>20</v>
      </c>
      <c r="H91" s="112"/>
    </row>
    <row r="92" spans="1:8" ht="15.75" x14ac:dyDescent="0.3">
      <c r="A92" s="44" t="s">
        <v>40</v>
      </c>
      <c r="B92" s="44" t="s">
        <v>3125</v>
      </c>
      <c r="C92" s="45" t="s">
        <v>3106</v>
      </c>
      <c r="D92" s="44">
        <v>43</v>
      </c>
      <c r="E92" s="115" t="str">
        <f t="shared" si="12"/>
        <v>3#9#95|3#10#95</v>
      </c>
      <c r="F92" s="211" t="str">
        <f t="shared" si="15"/>
        <v>极品注灵石7/元宝256000</v>
      </c>
      <c r="G92" s="44">
        <v>20</v>
      </c>
      <c r="H92" s="112"/>
    </row>
    <row r="93" spans="1:8" ht="15.75" x14ac:dyDescent="0.3">
      <c r="A93" s="44" t="s">
        <v>40</v>
      </c>
      <c r="B93" s="44" t="s">
        <v>3125</v>
      </c>
      <c r="C93" s="45" t="s">
        <v>3107</v>
      </c>
      <c r="D93" s="44">
        <v>44</v>
      </c>
      <c r="E93" s="115" t="str">
        <f t="shared" si="12"/>
        <v>3#9#97|3#10#97</v>
      </c>
      <c r="F93" s="211" t="str">
        <f t="shared" si="15"/>
        <v>极品注灵石7/元宝264000</v>
      </c>
      <c r="G93" s="44">
        <v>20</v>
      </c>
      <c r="H93" s="112"/>
    </row>
    <row r="94" spans="1:8" ht="15.75" x14ac:dyDescent="0.3">
      <c r="A94" s="44" t="s">
        <v>40</v>
      </c>
      <c r="B94" s="44" t="s">
        <v>3125</v>
      </c>
      <c r="C94" s="45" t="s">
        <v>3108</v>
      </c>
      <c r="D94" s="44">
        <v>45</v>
      </c>
      <c r="E94" s="115" t="str">
        <f>"3#9#"&amp;INT(1/3*Z48)&amp;"|"&amp;"3#10#"&amp;INT(1/3*Z48)</f>
        <v>3#9#100|3#10#100</v>
      </c>
      <c r="F94" s="211"/>
      <c r="G94" s="44"/>
      <c r="H94" s="112"/>
    </row>
    <row r="95" spans="1:8" ht="15.75" x14ac:dyDescent="0.3">
      <c r="A95" s="47" t="s">
        <v>40</v>
      </c>
      <c r="B95" s="47" t="s">
        <v>3126</v>
      </c>
      <c r="C95" s="48" t="s">
        <v>78</v>
      </c>
      <c r="D95" s="47">
        <v>0</v>
      </c>
      <c r="E95" s="119"/>
      <c r="F95" s="212" t="str">
        <f>"中品注灵石"&amp;AG4&amp;"/元宝"&amp;AH4</f>
        <v>中品注灵石5/元宝20000</v>
      </c>
      <c r="G95" s="47">
        <v>100</v>
      </c>
      <c r="H95" s="112"/>
    </row>
    <row r="96" spans="1:8" ht="15.75" x14ac:dyDescent="0.3">
      <c r="A96" s="47" t="s">
        <v>40</v>
      </c>
      <c r="B96" s="47" t="s">
        <v>3126</v>
      </c>
      <c r="C96" s="48" t="s">
        <v>3055</v>
      </c>
      <c r="D96" s="47">
        <v>1</v>
      </c>
      <c r="E96" s="119" t="str">
        <f t="shared" ref="E96:E139" si="16">"3#11#"&amp;INT(1/3*Z4)&amp;"|"&amp;"3#12#"&amp;INT(1/3*Z4)</f>
        <v>3#11#1|3#12#1</v>
      </c>
      <c r="F96" s="212" t="str">
        <f t="shared" ref="F96:F109" si="17">"中品注灵石"&amp;AG5&amp;"/元宝"&amp;AH5</f>
        <v>中品注灵石6/元宝24000</v>
      </c>
      <c r="G96" s="47">
        <v>100</v>
      </c>
      <c r="H96" s="112"/>
    </row>
    <row r="97" spans="1:8" ht="15.75" x14ac:dyDescent="0.3">
      <c r="A97" s="47" t="s">
        <v>40</v>
      </c>
      <c r="B97" s="47" t="s">
        <v>3126</v>
      </c>
      <c r="C97" s="48" t="s">
        <v>3057</v>
      </c>
      <c r="D97" s="47">
        <v>2</v>
      </c>
      <c r="E97" s="119" t="str">
        <f t="shared" si="16"/>
        <v>3#11#2|3#12#2</v>
      </c>
      <c r="F97" s="212" t="str">
        <f t="shared" si="17"/>
        <v>中品注灵石6/元宝24000</v>
      </c>
      <c r="G97" s="47">
        <v>100</v>
      </c>
      <c r="H97" s="112"/>
    </row>
    <row r="98" spans="1:8" ht="15.75" x14ac:dyDescent="0.3">
      <c r="A98" s="47" t="s">
        <v>40</v>
      </c>
      <c r="B98" s="47" t="s">
        <v>3126</v>
      </c>
      <c r="C98" s="48" t="s">
        <v>3059</v>
      </c>
      <c r="D98" s="47">
        <v>3</v>
      </c>
      <c r="E98" s="119" t="str">
        <f t="shared" si="16"/>
        <v>3#11#4|3#12#4</v>
      </c>
      <c r="F98" s="212" t="str">
        <f t="shared" si="17"/>
        <v>中品注灵石7/元宝28000</v>
      </c>
      <c r="G98" s="47">
        <v>100</v>
      </c>
      <c r="H98" s="112"/>
    </row>
    <row r="99" spans="1:8" ht="15.75" x14ac:dyDescent="0.3">
      <c r="A99" s="47" t="s">
        <v>40</v>
      </c>
      <c r="B99" s="47" t="s">
        <v>3126</v>
      </c>
      <c r="C99" s="48" t="s">
        <v>3061</v>
      </c>
      <c r="D99" s="47">
        <v>4</v>
      </c>
      <c r="E99" s="119" t="str">
        <f t="shared" si="16"/>
        <v>3#11#5|3#12#5</v>
      </c>
      <c r="F99" s="212" t="str">
        <f t="shared" si="17"/>
        <v>中品注灵石8/元宝32000</v>
      </c>
      <c r="G99" s="47">
        <v>100</v>
      </c>
      <c r="H99" s="112"/>
    </row>
    <row r="100" spans="1:8" ht="15.75" x14ac:dyDescent="0.3">
      <c r="A100" s="47" t="s">
        <v>40</v>
      </c>
      <c r="B100" s="47" t="s">
        <v>3126</v>
      </c>
      <c r="C100" s="48" t="s">
        <v>3063</v>
      </c>
      <c r="D100" s="47">
        <v>5</v>
      </c>
      <c r="E100" s="119" t="str">
        <f t="shared" si="16"/>
        <v>3#11#6|3#12#6</v>
      </c>
      <c r="F100" s="212" t="str">
        <f t="shared" si="17"/>
        <v>中品注灵石8/元宝32000</v>
      </c>
      <c r="G100" s="47">
        <v>100</v>
      </c>
      <c r="H100" s="112"/>
    </row>
    <row r="101" spans="1:8" ht="15.75" x14ac:dyDescent="0.3">
      <c r="A101" s="47" t="s">
        <v>40</v>
      </c>
      <c r="B101" s="47" t="s">
        <v>3126</v>
      </c>
      <c r="C101" s="48" t="s">
        <v>3065</v>
      </c>
      <c r="D101" s="47">
        <v>6</v>
      </c>
      <c r="E101" s="119" t="str">
        <f t="shared" si="16"/>
        <v>3#11#8|3#12#8</v>
      </c>
      <c r="F101" s="212" t="str">
        <f t="shared" si="17"/>
        <v>中品注灵石9/元宝36000</v>
      </c>
      <c r="G101" s="47">
        <v>100</v>
      </c>
      <c r="H101" s="112"/>
    </row>
    <row r="102" spans="1:8" ht="15.75" x14ac:dyDescent="0.3">
      <c r="A102" s="47" t="s">
        <v>40</v>
      </c>
      <c r="B102" s="47" t="s">
        <v>3126</v>
      </c>
      <c r="C102" s="48" t="s">
        <v>3067</v>
      </c>
      <c r="D102" s="47">
        <v>7</v>
      </c>
      <c r="E102" s="119" t="str">
        <f t="shared" si="16"/>
        <v>3#11#9|3#12#9</v>
      </c>
      <c r="F102" s="212" t="str">
        <f t="shared" si="17"/>
        <v>中品注灵石9/元宝36000</v>
      </c>
      <c r="G102" s="47">
        <v>100</v>
      </c>
      <c r="H102" s="112"/>
    </row>
    <row r="103" spans="1:8" ht="15.75" x14ac:dyDescent="0.3">
      <c r="A103" s="47" t="s">
        <v>40</v>
      </c>
      <c r="B103" s="47" t="s">
        <v>3126</v>
      </c>
      <c r="C103" s="48" t="s">
        <v>3069</v>
      </c>
      <c r="D103" s="47">
        <v>8</v>
      </c>
      <c r="E103" s="119" t="str">
        <f t="shared" si="16"/>
        <v>3#11#11|3#12#11</v>
      </c>
      <c r="F103" s="212" t="str">
        <f t="shared" si="17"/>
        <v>中品注灵石10/元宝40000</v>
      </c>
      <c r="G103" s="47">
        <v>100</v>
      </c>
      <c r="H103" s="112"/>
    </row>
    <row r="104" spans="1:8" ht="15.75" x14ac:dyDescent="0.3">
      <c r="A104" s="47" t="s">
        <v>40</v>
      </c>
      <c r="B104" s="47" t="s">
        <v>3126</v>
      </c>
      <c r="C104" s="48" t="s">
        <v>3071</v>
      </c>
      <c r="D104" s="47">
        <v>9</v>
      </c>
      <c r="E104" s="119" t="str">
        <f t="shared" si="16"/>
        <v>3#11#13|3#12#13</v>
      </c>
      <c r="F104" s="212" t="str">
        <f t="shared" si="17"/>
        <v>中品注灵石11/元宝44000</v>
      </c>
      <c r="G104" s="47">
        <v>100</v>
      </c>
      <c r="H104" s="112"/>
    </row>
    <row r="105" spans="1:8" ht="15.75" x14ac:dyDescent="0.3">
      <c r="A105" s="47" t="s">
        <v>40</v>
      </c>
      <c r="B105" s="47" t="s">
        <v>3126</v>
      </c>
      <c r="C105" s="48" t="s">
        <v>3072</v>
      </c>
      <c r="D105" s="47">
        <v>10</v>
      </c>
      <c r="E105" s="119" t="str">
        <f t="shared" si="16"/>
        <v>3#11#14|3#12#14</v>
      </c>
      <c r="F105" s="212" t="str">
        <f t="shared" si="17"/>
        <v>中品注灵石11/元宝44000</v>
      </c>
      <c r="G105" s="47">
        <v>100</v>
      </c>
      <c r="H105" s="112"/>
    </row>
    <row r="106" spans="1:8" ht="15.75" x14ac:dyDescent="0.3">
      <c r="A106" s="47" t="s">
        <v>40</v>
      </c>
      <c r="B106" s="47" t="s">
        <v>3126</v>
      </c>
      <c r="C106" s="48" t="s">
        <v>3073</v>
      </c>
      <c r="D106" s="47">
        <v>11</v>
      </c>
      <c r="E106" s="119" t="str">
        <f t="shared" si="16"/>
        <v>3#11#17|3#12#17</v>
      </c>
      <c r="F106" s="212" t="str">
        <f t="shared" si="17"/>
        <v>中品注灵石12/元宝48000</v>
      </c>
      <c r="G106" s="47">
        <v>100</v>
      </c>
      <c r="H106" s="112"/>
    </row>
    <row r="107" spans="1:8" ht="15.75" x14ac:dyDescent="0.3">
      <c r="A107" s="47" t="s">
        <v>40</v>
      </c>
      <c r="B107" s="47" t="s">
        <v>3126</v>
      </c>
      <c r="C107" s="48" t="s">
        <v>3074</v>
      </c>
      <c r="D107" s="47">
        <v>12</v>
      </c>
      <c r="E107" s="119" t="str">
        <f t="shared" si="16"/>
        <v>3#11#18|3#12#18</v>
      </c>
      <c r="F107" s="212" t="str">
        <f t="shared" si="17"/>
        <v>中品注灵石13/元宝52000</v>
      </c>
      <c r="G107" s="47">
        <v>100</v>
      </c>
      <c r="H107" s="112"/>
    </row>
    <row r="108" spans="1:8" ht="15.75" x14ac:dyDescent="0.3">
      <c r="A108" s="47" t="s">
        <v>40</v>
      </c>
      <c r="B108" s="47" t="s">
        <v>3126</v>
      </c>
      <c r="C108" s="48" t="s">
        <v>3075</v>
      </c>
      <c r="D108" s="47">
        <v>13</v>
      </c>
      <c r="E108" s="119" t="str">
        <f t="shared" si="16"/>
        <v>3#11#20|3#12#20</v>
      </c>
      <c r="F108" s="212" t="str">
        <f t="shared" si="17"/>
        <v>中品注灵石14/元宝56000</v>
      </c>
      <c r="G108" s="47">
        <v>100</v>
      </c>
      <c r="H108" s="112"/>
    </row>
    <row r="109" spans="1:8" ht="15.75" x14ac:dyDescent="0.3">
      <c r="A109" s="47" t="s">
        <v>40</v>
      </c>
      <c r="B109" s="47" t="s">
        <v>3126</v>
      </c>
      <c r="C109" s="48" t="s">
        <v>3076</v>
      </c>
      <c r="D109" s="47">
        <v>14</v>
      </c>
      <c r="E109" s="119" t="str">
        <f t="shared" si="16"/>
        <v>3#11#21|3#12#21</v>
      </c>
      <c r="F109" s="212" t="str">
        <f t="shared" si="17"/>
        <v>中品注灵石15/元宝60000</v>
      </c>
      <c r="G109" s="47">
        <v>100</v>
      </c>
      <c r="H109" s="112"/>
    </row>
    <row r="110" spans="1:8" ht="15.75" x14ac:dyDescent="0.3">
      <c r="A110" s="47" t="s">
        <v>40</v>
      </c>
      <c r="B110" s="47" t="s">
        <v>3126</v>
      </c>
      <c r="C110" s="48" t="s">
        <v>3077</v>
      </c>
      <c r="D110" s="47">
        <v>15</v>
      </c>
      <c r="E110" s="119" t="str">
        <f t="shared" si="16"/>
        <v>3#11#23|3#12#23</v>
      </c>
      <c r="F110" s="212" t="str">
        <f>"上品注灵石"&amp;ROUND(AG19/2,0)&amp;"/元宝"&amp;AH18</f>
        <v>上品注灵石8/元宝60000</v>
      </c>
      <c r="G110" s="47">
        <v>30</v>
      </c>
      <c r="H110" s="112"/>
    </row>
    <row r="111" spans="1:8" ht="15.75" x14ac:dyDescent="0.3">
      <c r="A111" s="47" t="s">
        <v>40</v>
      </c>
      <c r="B111" s="47" t="s">
        <v>3127</v>
      </c>
      <c r="C111" s="48" t="s">
        <v>3079</v>
      </c>
      <c r="D111" s="47">
        <v>16</v>
      </c>
      <c r="E111" s="119" t="str">
        <f t="shared" si="16"/>
        <v>3#11#26|3#12#26</v>
      </c>
      <c r="F111" s="212" t="str">
        <f t="shared" ref="F111:F124" si="18">"上品注灵石"&amp;ROUND(AG20/2,0)&amp;"/元宝"&amp;AH19</f>
        <v>上品注灵石9/元宝64000</v>
      </c>
      <c r="G111" s="47">
        <v>30</v>
      </c>
      <c r="H111" s="112"/>
    </row>
    <row r="112" spans="1:8" ht="15.75" x14ac:dyDescent="0.3">
      <c r="A112" s="47" t="s">
        <v>40</v>
      </c>
      <c r="B112" s="47" t="s">
        <v>3127</v>
      </c>
      <c r="C112" s="48" t="s">
        <v>3080</v>
      </c>
      <c r="D112" s="47">
        <v>17</v>
      </c>
      <c r="E112" s="119" t="str">
        <f t="shared" si="16"/>
        <v>3#11#28|3#12#28</v>
      </c>
      <c r="F112" s="212" t="str">
        <f t="shared" si="18"/>
        <v>上品注灵石10/元宝72000</v>
      </c>
      <c r="G112" s="47">
        <v>30</v>
      </c>
      <c r="H112" s="112"/>
    </row>
    <row r="113" spans="1:8" ht="15.75" x14ac:dyDescent="0.3">
      <c r="A113" s="47" t="s">
        <v>40</v>
      </c>
      <c r="B113" s="47" t="s">
        <v>3127</v>
      </c>
      <c r="C113" s="48" t="s">
        <v>3081</v>
      </c>
      <c r="D113" s="47">
        <v>18</v>
      </c>
      <c r="E113" s="119" t="str">
        <f t="shared" si="16"/>
        <v>3#11#30|3#12#30</v>
      </c>
      <c r="F113" s="212" t="str">
        <f t="shared" si="18"/>
        <v>上品注灵石11/元宝80000</v>
      </c>
      <c r="G113" s="47">
        <v>30</v>
      </c>
      <c r="H113" s="112"/>
    </row>
    <row r="114" spans="1:8" ht="15.75" x14ac:dyDescent="0.3">
      <c r="A114" s="47" t="s">
        <v>40</v>
      </c>
      <c r="B114" s="47" t="s">
        <v>3127</v>
      </c>
      <c r="C114" s="48" t="s">
        <v>3082</v>
      </c>
      <c r="D114" s="47">
        <v>19</v>
      </c>
      <c r="E114" s="119" t="str">
        <f t="shared" si="16"/>
        <v>3#11#31|3#12#31</v>
      </c>
      <c r="F114" s="212" t="str">
        <f t="shared" si="18"/>
        <v>上品注灵石12/元宝88000</v>
      </c>
      <c r="G114" s="47">
        <v>30</v>
      </c>
      <c r="H114" s="112"/>
    </row>
    <row r="115" spans="1:8" ht="15.75" x14ac:dyDescent="0.3">
      <c r="A115" s="47" t="s">
        <v>40</v>
      </c>
      <c r="B115" s="47" t="s">
        <v>3127</v>
      </c>
      <c r="C115" s="48" t="s">
        <v>3083</v>
      </c>
      <c r="D115" s="47">
        <v>20</v>
      </c>
      <c r="E115" s="119" t="str">
        <f t="shared" si="16"/>
        <v>3#11#33|3#12#33</v>
      </c>
      <c r="F115" s="212" t="str">
        <f t="shared" si="18"/>
        <v>上品注灵石14/元宝96000</v>
      </c>
      <c r="G115" s="47">
        <v>25</v>
      </c>
      <c r="H115" s="112"/>
    </row>
    <row r="116" spans="1:8" ht="15.75" x14ac:dyDescent="0.3">
      <c r="A116" s="47" t="s">
        <v>40</v>
      </c>
      <c r="B116" s="47" t="s">
        <v>3127</v>
      </c>
      <c r="C116" s="48" t="s">
        <v>3084</v>
      </c>
      <c r="D116" s="47">
        <v>21</v>
      </c>
      <c r="E116" s="119" t="str">
        <f t="shared" si="16"/>
        <v>3#11#37|3#12#37</v>
      </c>
      <c r="F116" s="212" t="str">
        <f t="shared" si="18"/>
        <v>上品注灵石15/元宝108000</v>
      </c>
      <c r="G116" s="47">
        <v>25</v>
      </c>
      <c r="H116" s="112"/>
    </row>
    <row r="117" spans="1:8" ht="15.75" x14ac:dyDescent="0.3">
      <c r="A117" s="47" t="s">
        <v>40</v>
      </c>
      <c r="B117" s="47" t="s">
        <v>3127</v>
      </c>
      <c r="C117" s="48" t="s">
        <v>3085</v>
      </c>
      <c r="D117" s="47">
        <v>22</v>
      </c>
      <c r="E117" s="119" t="str">
        <f t="shared" si="16"/>
        <v>3#11#38|3#12#38</v>
      </c>
      <c r="F117" s="212" t="str">
        <f t="shared" si="18"/>
        <v>上品注灵石16/元宝116000</v>
      </c>
      <c r="G117" s="47">
        <v>25</v>
      </c>
      <c r="H117" s="112"/>
    </row>
    <row r="118" spans="1:8" ht="15.75" x14ac:dyDescent="0.3">
      <c r="A118" s="47" t="s">
        <v>40</v>
      </c>
      <c r="B118" s="47" t="s">
        <v>3127</v>
      </c>
      <c r="C118" s="48" t="s">
        <v>3086</v>
      </c>
      <c r="D118" s="47">
        <v>23</v>
      </c>
      <c r="E118" s="119" t="str">
        <f t="shared" si="16"/>
        <v>3#11#40|3#12#40</v>
      </c>
      <c r="F118" s="212" t="str">
        <f t="shared" si="18"/>
        <v>上品注灵石17/元宝124000</v>
      </c>
      <c r="G118" s="47">
        <v>25</v>
      </c>
      <c r="H118" s="112"/>
    </row>
    <row r="119" spans="1:8" ht="15.75" x14ac:dyDescent="0.3">
      <c r="A119" s="47" t="s">
        <v>40</v>
      </c>
      <c r="B119" s="47" t="s">
        <v>3127</v>
      </c>
      <c r="C119" s="48" t="s">
        <v>3087</v>
      </c>
      <c r="D119" s="47">
        <v>24</v>
      </c>
      <c r="E119" s="119" t="str">
        <f t="shared" si="16"/>
        <v>3#11#42|3#12#42</v>
      </c>
      <c r="F119" s="212" t="str">
        <f t="shared" si="18"/>
        <v>上品注灵石18/元宝136000</v>
      </c>
      <c r="G119" s="47">
        <v>25</v>
      </c>
      <c r="H119" s="112"/>
    </row>
    <row r="120" spans="1:8" ht="15.75" x14ac:dyDescent="0.3">
      <c r="A120" s="47" t="s">
        <v>40</v>
      </c>
      <c r="B120" s="47" t="s">
        <v>3127</v>
      </c>
      <c r="C120" s="48" t="s">
        <v>3088</v>
      </c>
      <c r="D120" s="47">
        <v>25</v>
      </c>
      <c r="E120" s="119" t="str">
        <f t="shared" si="16"/>
        <v>3#11#44|3#12#44</v>
      </c>
      <c r="F120" s="212" t="str">
        <f t="shared" si="18"/>
        <v>上品注灵石19/元宝144000</v>
      </c>
      <c r="G120" s="47">
        <v>25</v>
      </c>
      <c r="H120" s="112"/>
    </row>
    <row r="121" spans="1:8" ht="15.75" x14ac:dyDescent="0.3">
      <c r="A121" s="47" t="s">
        <v>40</v>
      </c>
      <c r="B121" s="47" t="s">
        <v>3127</v>
      </c>
      <c r="C121" s="48" t="s">
        <v>3089</v>
      </c>
      <c r="D121" s="47">
        <v>26</v>
      </c>
      <c r="E121" s="119" t="str">
        <f t="shared" si="16"/>
        <v>3#11#49|3#12#49</v>
      </c>
      <c r="F121" s="212" t="str">
        <f t="shared" si="18"/>
        <v>上品注灵石20/元宝152000</v>
      </c>
      <c r="G121" s="47">
        <v>25</v>
      </c>
      <c r="H121" s="112"/>
    </row>
    <row r="122" spans="1:8" ht="15.75" x14ac:dyDescent="0.3">
      <c r="A122" s="47" t="s">
        <v>40</v>
      </c>
      <c r="B122" s="47" t="s">
        <v>3127</v>
      </c>
      <c r="C122" s="48" t="s">
        <v>3090</v>
      </c>
      <c r="D122" s="47">
        <v>27</v>
      </c>
      <c r="E122" s="119" t="str">
        <f t="shared" si="16"/>
        <v>3#11#51|3#12#51</v>
      </c>
      <c r="F122" s="212" t="str">
        <f t="shared" si="18"/>
        <v>上品注灵石21/元宝156000</v>
      </c>
      <c r="G122" s="47">
        <v>25</v>
      </c>
      <c r="H122" s="112"/>
    </row>
    <row r="123" spans="1:8" ht="15.75" x14ac:dyDescent="0.3">
      <c r="A123" s="47" t="s">
        <v>40</v>
      </c>
      <c r="B123" s="47" t="s">
        <v>3127</v>
      </c>
      <c r="C123" s="48" t="s">
        <v>3091</v>
      </c>
      <c r="D123" s="47">
        <v>28</v>
      </c>
      <c r="E123" s="119" t="str">
        <f t="shared" si="16"/>
        <v>3#11#52|3#12#52</v>
      </c>
      <c r="F123" s="212" t="str">
        <f t="shared" si="18"/>
        <v>上品注灵石22/元宝164000</v>
      </c>
      <c r="G123" s="47">
        <v>25</v>
      </c>
      <c r="H123" s="112"/>
    </row>
    <row r="124" spans="1:8" ht="15.75" x14ac:dyDescent="0.3">
      <c r="A124" s="47" t="s">
        <v>40</v>
      </c>
      <c r="B124" s="47" t="s">
        <v>3127</v>
      </c>
      <c r="C124" s="48" t="s">
        <v>3092</v>
      </c>
      <c r="D124" s="47">
        <v>29</v>
      </c>
      <c r="E124" s="119" t="str">
        <f t="shared" si="16"/>
        <v>3#11#54|3#12#54</v>
      </c>
      <c r="F124" s="212" t="str">
        <f t="shared" si="18"/>
        <v>上品注灵石23/元宝172000</v>
      </c>
      <c r="G124" s="47">
        <v>25</v>
      </c>
      <c r="H124" s="112"/>
    </row>
    <row r="125" spans="1:8" ht="15.75" x14ac:dyDescent="0.3">
      <c r="A125" s="47" t="s">
        <v>40</v>
      </c>
      <c r="B125" s="47" t="s">
        <v>3127</v>
      </c>
      <c r="C125" s="48" t="s">
        <v>3093</v>
      </c>
      <c r="D125" s="47">
        <v>30</v>
      </c>
      <c r="E125" s="119" t="str">
        <f t="shared" si="16"/>
        <v>3#11#56|3#12#56</v>
      </c>
      <c r="F125" s="212" t="str">
        <f>"极品注灵石"&amp;ROUND(AG34/10,0)&amp;"/元宝"&amp;AH32</f>
        <v>极品注灵石5/元宝172000</v>
      </c>
      <c r="G125" s="47">
        <v>30</v>
      </c>
      <c r="H125" s="112"/>
    </row>
    <row r="126" spans="1:8" ht="15.75" x14ac:dyDescent="0.3">
      <c r="A126" s="47" t="s">
        <v>40</v>
      </c>
      <c r="B126" s="47" t="s">
        <v>3127</v>
      </c>
      <c r="C126" s="48" t="s">
        <v>3094</v>
      </c>
      <c r="D126" s="47">
        <v>31</v>
      </c>
      <c r="E126" s="119" t="str">
        <f t="shared" si="16"/>
        <v>3#11#61|3#12#61</v>
      </c>
      <c r="F126" s="212" t="str">
        <f t="shared" ref="F126:F139" si="19">"极品注灵石"&amp;ROUND(AG35/10,0)&amp;"/元宝"&amp;AH33</f>
        <v>极品注灵石5/元宝180000</v>
      </c>
      <c r="G126" s="47">
        <v>30</v>
      </c>
      <c r="H126" s="112"/>
    </row>
    <row r="127" spans="1:8" ht="15.75" x14ac:dyDescent="0.3">
      <c r="A127" s="47" t="s">
        <v>40</v>
      </c>
      <c r="B127" s="47" t="s">
        <v>3127</v>
      </c>
      <c r="C127" s="48" t="s">
        <v>3095</v>
      </c>
      <c r="D127" s="47">
        <v>32</v>
      </c>
      <c r="E127" s="119" t="str">
        <f t="shared" si="16"/>
        <v>3#11#63|3#12#63</v>
      </c>
      <c r="F127" s="212" t="str">
        <f t="shared" si="19"/>
        <v>极品注灵石5/元宝184000</v>
      </c>
      <c r="G127" s="47">
        <v>30</v>
      </c>
      <c r="H127" s="112"/>
    </row>
    <row r="128" spans="1:8" ht="15.75" x14ac:dyDescent="0.3">
      <c r="A128" s="47" t="s">
        <v>40</v>
      </c>
      <c r="B128" s="47" t="s">
        <v>3127</v>
      </c>
      <c r="C128" s="48" t="s">
        <v>3096</v>
      </c>
      <c r="D128" s="47">
        <v>33</v>
      </c>
      <c r="E128" s="119" t="str">
        <f t="shared" si="16"/>
        <v>3#11#66|3#12#66</v>
      </c>
      <c r="F128" s="212" t="str">
        <f t="shared" si="19"/>
        <v>极品注灵石5/元宝192000</v>
      </c>
      <c r="G128" s="47">
        <v>30</v>
      </c>
      <c r="H128" s="112"/>
    </row>
    <row r="129" spans="1:8" ht="15.75" x14ac:dyDescent="0.3">
      <c r="A129" s="47" t="s">
        <v>40</v>
      </c>
      <c r="B129" s="47" t="s">
        <v>3127</v>
      </c>
      <c r="C129" s="48" t="s">
        <v>3097</v>
      </c>
      <c r="D129" s="47">
        <v>34</v>
      </c>
      <c r="E129" s="119" t="str">
        <f t="shared" si="16"/>
        <v>3#11#67|3#12#67</v>
      </c>
      <c r="F129" s="212" t="str">
        <f t="shared" si="19"/>
        <v>极品注灵石5/元宝200000</v>
      </c>
      <c r="G129" s="47">
        <v>30</v>
      </c>
      <c r="H129" s="112"/>
    </row>
    <row r="130" spans="1:8" ht="15.75" x14ac:dyDescent="0.3">
      <c r="A130" s="47" t="s">
        <v>40</v>
      </c>
      <c r="B130" s="47" t="s">
        <v>3127</v>
      </c>
      <c r="C130" s="48" t="s">
        <v>3098</v>
      </c>
      <c r="D130" s="47">
        <v>35</v>
      </c>
      <c r="E130" s="119" t="str">
        <f t="shared" si="16"/>
        <v>3#11#69|3#12#69</v>
      </c>
      <c r="F130" s="212" t="str">
        <f t="shared" si="19"/>
        <v>极品注灵石6/元宝208000</v>
      </c>
      <c r="G130" s="47">
        <v>25</v>
      </c>
      <c r="H130" s="112"/>
    </row>
    <row r="131" spans="1:8" ht="15.75" x14ac:dyDescent="0.3">
      <c r="A131" s="47" t="s">
        <v>40</v>
      </c>
      <c r="B131" s="47" t="s">
        <v>3127</v>
      </c>
      <c r="C131" s="48" t="s">
        <v>3099</v>
      </c>
      <c r="D131" s="47">
        <v>36</v>
      </c>
      <c r="E131" s="119" t="str">
        <f t="shared" si="16"/>
        <v>3#11#76|3#12#76</v>
      </c>
      <c r="F131" s="212" t="str">
        <f t="shared" si="19"/>
        <v>极品注灵石6/元宝212000</v>
      </c>
      <c r="G131" s="47">
        <v>25</v>
      </c>
      <c r="H131" s="112"/>
    </row>
    <row r="132" spans="1:8" ht="15.75" x14ac:dyDescent="0.3">
      <c r="A132" s="47" t="s">
        <v>40</v>
      </c>
      <c r="B132" s="47" t="s">
        <v>3127</v>
      </c>
      <c r="C132" s="48" t="s">
        <v>3100</v>
      </c>
      <c r="D132" s="47">
        <v>37</v>
      </c>
      <c r="E132" s="119" t="str">
        <f t="shared" si="16"/>
        <v>3#11#77|3#12#77</v>
      </c>
      <c r="F132" s="212" t="str">
        <f t="shared" si="19"/>
        <v>极品注灵石6/元宝220000</v>
      </c>
      <c r="G132" s="47">
        <v>25</v>
      </c>
      <c r="H132" s="112"/>
    </row>
    <row r="133" spans="1:8" ht="15.75" x14ac:dyDescent="0.3">
      <c r="A133" s="47" t="s">
        <v>40</v>
      </c>
      <c r="B133" s="47" t="s">
        <v>3127</v>
      </c>
      <c r="C133" s="48" t="s">
        <v>3101</v>
      </c>
      <c r="D133" s="47">
        <v>38</v>
      </c>
      <c r="E133" s="119" t="str">
        <f t="shared" si="16"/>
        <v>3#11#80|3#12#80</v>
      </c>
      <c r="F133" s="212" t="str">
        <f t="shared" si="19"/>
        <v>极品注灵石6/元宝228000</v>
      </c>
      <c r="G133" s="47">
        <v>25</v>
      </c>
      <c r="H133" s="112"/>
    </row>
    <row r="134" spans="1:8" ht="15.75" x14ac:dyDescent="0.3">
      <c r="A134" s="47" t="s">
        <v>40</v>
      </c>
      <c r="B134" s="47" t="s">
        <v>3127</v>
      </c>
      <c r="C134" s="48" t="s">
        <v>3102</v>
      </c>
      <c r="D134" s="47">
        <v>39</v>
      </c>
      <c r="E134" s="119" t="str">
        <f t="shared" si="16"/>
        <v>3#11#82|3#12#82</v>
      </c>
      <c r="F134" s="212" t="str">
        <f t="shared" si="19"/>
        <v>极品注灵石6/元宝236000</v>
      </c>
      <c r="G134" s="47">
        <v>25</v>
      </c>
      <c r="H134" s="112"/>
    </row>
    <row r="135" spans="1:8" ht="15.75" x14ac:dyDescent="0.3">
      <c r="A135" s="47" t="s">
        <v>40</v>
      </c>
      <c r="B135" s="47" t="s">
        <v>3127</v>
      </c>
      <c r="C135" s="48" t="s">
        <v>3103</v>
      </c>
      <c r="D135" s="47">
        <v>40</v>
      </c>
      <c r="E135" s="119" t="str">
        <f t="shared" si="16"/>
        <v>3#11#84|3#12#84</v>
      </c>
      <c r="F135" s="212" t="str">
        <f t="shared" si="19"/>
        <v>极品注灵石6/元宝240000</v>
      </c>
      <c r="G135" s="47">
        <v>20</v>
      </c>
      <c r="H135" s="112"/>
    </row>
    <row r="136" spans="1:8" ht="15.75" x14ac:dyDescent="0.3">
      <c r="A136" s="47" t="s">
        <v>40</v>
      </c>
      <c r="B136" s="47" t="s">
        <v>3127</v>
      </c>
      <c r="C136" s="48" t="s">
        <v>3104</v>
      </c>
      <c r="D136" s="47">
        <v>41</v>
      </c>
      <c r="E136" s="119" t="str">
        <f t="shared" si="16"/>
        <v>3#11#91|3#12#91</v>
      </c>
      <c r="F136" s="212" t="str">
        <f t="shared" si="19"/>
        <v>极品注灵石6/元宝248000</v>
      </c>
      <c r="G136" s="47">
        <v>20</v>
      </c>
      <c r="H136" s="112"/>
    </row>
    <row r="137" spans="1:8" ht="15.75" x14ac:dyDescent="0.3">
      <c r="A137" s="47" t="s">
        <v>40</v>
      </c>
      <c r="B137" s="47" t="s">
        <v>3127</v>
      </c>
      <c r="C137" s="48" t="s">
        <v>3105</v>
      </c>
      <c r="D137" s="47">
        <v>42</v>
      </c>
      <c r="E137" s="119" t="str">
        <f t="shared" si="16"/>
        <v>3#11#93|3#12#93</v>
      </c>
      <c r="F137" s="212" t="str">
        <f t="shared" si="19"/>
        <v>极品注灵石7/元宝252000</v>
      </c>
      <c r="G137" s="47">
        <v>20</v>
      </c>
      <c r="H137" s="112"/>
    </row>
    <row r="138" spans="1:8" ht="15.75" x14ac:dyDescent="0.3">
      <c r="A138" s="47" t="s">
        <v>40</v>
      </c>
      <c r="B138" s="47" t="s">
        <v>3127</v>
      </c>
      <c r="C138" s="48" t="s">
        <v>3106</v>
      </c>
      <c r="D138" s="47">
        <v>43</v>
      </c>
      <c r="E138" s="119" t="str">
        <f t="shared" si="16"/>
        <v>3#11#95|3#12#95</v>
      </c>
      <c r="F138" s="212" t="str">
        <f t="shared" si="19"/>
        <v>极品注灵石7/元宝256000</v>
      </c>
      <c r="G138" s="47">
        <v>20</v>
      </c>
      <c r="H138" s="112"/>
    </row>
    <row r="139" spans="1:8" ht="15.75" x14ac:dyDescent="0.3">
      <c r="A139" s="47" t="s">
        <v>40</v>
      </c>
      <c r="B139" s="47" t="s">
        <v>3127</v>
      </c>
      <c r="C139" s="48" t="s">
        <v>3107</v>
      </c>
      <c r="D139" s="47">
        <v>44</v>
      </c>
      <c r="E139" s="119" t="str">
        <f t="shared" si="16"/>
        <v>3#11#97|3#12#97</v>
      </c>
      <c r="F139" s="212" t="str">
        <f t="shared" si="19"/>
        <v>极品注灵石7/元宝264000</v>
      </c>
      <c r="G139" s="47">
        <v>20</v>
      </c>
      <c r="H139" s="112"/>
    </row>
    <row r="140" spans="1:8" ht="15.75" x14ac:dyDescent="0.3">
      <c r="A140" s="47" t="s">
        <v>40</v>
      </c>
      <c r="B140" s="47" t="s">
        <v>3127</v>
      </c>
      <c r="C140" s="48" t="s">
        <v>3108</v>
      </c>
      <c r="D140" s="47">
        <v>45</v>
      </c>
      <c r="E140" s="119" t="str">
        <f>"3#11#"&amp;INT(1/3*Z48)&amp;"|"&amp;"3#12#"&amp;INT(1/3*Z48)</f>
        <v>3#11#100|3#12#100</v>
      </c>
      <c r="F140" s="212"/>
      <c r="G140" s="47"/>
      <c r="H140" s="112"/>
    </row>
    <row r="141" spans="1:8" ht="15.75" x14ac:dyDescent="0.3">
      <c r="A141" s="122" t="s">
        <v>40</v>
      </c>
      <c r="B141" s="122" t="s">
        <v>3128</v>
      </c>
      <c r="C141" s="123" t="s">
        <v>78</v>
      </c>
      <c r="D141" s="122">
        <v>0</v>
      </c>
      <c r="E141" s="125"/>
      <c r="F141" s="213" t="str">
        <f>"中品注灵石"&amp;AG4&amp;"/元宝"&amp;AH4</f>
        <v>中品注灵石5/元宝20000</v>
      </c>
      <c r="G141" s="122">
        <v>100</v>
      </c>
      <c r="H141" s="112"/>
    </row>
    <row r="142" spans="1:8" ht="15.75" x14ac:dyDescent="0.3">
      <c r="A142" s="122" t="s">
        <v>40</v>
      </c>
      <c r="B142" s="122" t="s">
        <v>3128</v>
      </c>
      <c r="C142" s="123" t="s">
        <v>3055</v>
      </c>
      <c r="D142" s="122">
        <v>1</v>
      </c>
      <c r="E142" s="125" t="str">
        <f t="shared" ref="E142:E185" si="20">"3#11#"&amp;INT(1/3*Z4)&amp;"|"&amp;"3#12#"&amp;INT(1/3*Z4)</f>
        <v>3#11#1|3#12#1</v>
      </c>
      <c r="F142" s="213" t="str">
        <f t="shared" ref="F142:F155" si="21">"中品注灵石"&amp;AG5&amp;"/元宝"&amp;AH5</f>
        <v>中品注灵石6/元宝24000</v>
      </c>
      <c r="G142" s="122">
        <v>100</v>
      </c>
      <c r="H142" s="112"/>
    </row>
    <row r="143" spans="1:8" ht="15.75" x14ac:dyDescent="0.3">
      <c r="A143" s="122" t="s">
        <v>40</v>
      </c>
      <c r="B143" s="122" t="s">
        <v>3128</v>
      </c>
      <c r="C143" s="123" t="s">
        <v>3057</v>
      </c>
      <c r="D143" s="122">
        <v>2</v>
      </c>
      <c r="E143" s="125" t="str">
        <f t="shared" si="20"/>
        <v>3#11#2|3#12#2</v>
      </c>
      <c r="F143" s="213" t="str">
        <f t="shared" si="21"/>
        <v>中品注灵石6/元宝24000</v>
      </c>
      <c r="G143" s="122">
        <v>100</v>
      </c>
      <c r="H143" s="112"/>
    </row>
    <row r="144" spans="1:8" ht="15.75" x14ac:dyDescent="0.3">
      <c r="A144" s="122" t="s">
        <v>40</v>
      </c>
      <c r="B144" s="122" t="s">
        <v>3128</v>
      </c>
      <c r="C144" s="123" t="s">
        <v>3059</v>
      </c>
      <c r="D144" s="122">
        <v>3</v>
      </c>
      <c r="E144" s="125" t="str">
        <f t="shared" si="20"/>
        <v>3#11#4|3#12#4</v>
      </c>
      <c r="F144" s="213" t="str">
        <f t="shared" si="21"/>
        <v>中品注灵石7/元宝28000</v>
      </c>
      <c r="G144" s="122">
        <v>100</v>
      </c>
      <c r="H144" s="112"/>
    </row>
    <row r="145" spans="1:8" ht="15.75" x14ac:dyDescent="0.3">
      <c r="A145" s="122" t="s">
        <v>40</v>
      </c>
      <c r="B145" s="122" t="s">
        <v>3128</v>
      </c>
      <c r="C145" s="123" t="s">
        <v>3061</v>
      </c>
      <c r="D145" s="122">
        <v>4</v>
      </c>
      <c r="E145" s="125" t="str">
        <f t="shared" si="20"/>
        <v>3#11#5|3#12#5</v>
      </c>
      <c r="F145" s="213" t="str">
        <f t="shared" si="21"/>
        <v>中品注灵石8/元宝32000</v>
      </c>
      <c r="G145" s="122">
        <v>100</v>
      </c>
      <c r="H145" s="112"/>
    </row>
    <row r="146" spans="1:8" ht="15.75" x14ac:dyDescent="0.3">
      <c r="A146" s="122" t="s">
        <v>40</v>
      </c>
      <c r="B146" s="122" t="s">
        <v>3128</v>
      </c>
      <c r="C146" s="123" t="s">
        <v>3063</v>
      </c>
      <c r="D146" s="122">
        <v>5</v>
      </c>
      <c r="E146" s="125" t="str">
        <f t="shared" si="20"/>
        <v>3#11#6|3#12#6</v>
      </c>
      <c r="F146" s="213" t="str">
        <f t="shared" si="21"/>
        <v>中品注灵石8/元宝32000</v>
      </c>
      <c r="G146" s="122">
        <v>100</v>
      </c>
      <c r="H146" s="112"/>
    </row>
    <row r="147" spans="1:8" ht="15.75" x14ac:dyDescent="0.3">
      <c r="A147" s="122" t="s">
        <v>40</v>
      </c>
      <c r="B147" s="122" t="s">
        <v>3128</v>
      </c>
      <c r="C147" s="123" t="s">
        <v>3065</v>
      </c>
      <c r="D147" s="122">
        <v>6</v>
      </c>
      <c r="E147" s="125" t="str">
        <f t="shared" si="20"/>
        <v>3#11#8|3#12#8</v>
      </c>
      <c r="F147" s="213" t="str">
        <f t="shared" si="21"/>
        <v>中品注灵石9/元宝36000</v>
      </c>
      <c r="G147" s="122">
        <v>100</v>
      </c>
      <c r="H147" s="112"/>
    </row>
    <row r="148" spans="1:8" ht="15.75" x14ac:dyDescent="0.3">
      <c r="A148" s="122" t="s">
        <v>40</v>
      </c>
      <c r="B148" s="122" t="s">
        <v>3128</v>
      </c>
      <c r="C148" s="123" t="s">
        <v>3067</v>
      </c>
      <c r="D148" s="122">
        <v>7</v>
      </c>
      <c r="E148" s="125" t="str">
        <f t="shared" si="20"/>
        <v>3#11#9|3#12#9</v>
      </c>
      <c r="F148" s="213" t="str">
        <f t="shared" si="21"/>
        <v>中品注灵石9/元宝36000</v>
      </c>
      <c r="G148" s="122">
        <v>100</v>
      </c>
      <c r="H148" s="112"/>
    </row>
    <row r="149" spans="1:8" ht="15.75" x14ac:dyDescent="0.3">
      <c r="A149" s="122" t="s">
        <v>40</v>
      </c>
      <c r="B149" s="122" t="s">
        <v>3128</v>
      </c>
      <c r="C149" s="123" t="s">
        <v>3069</v>
      </c>
      <c r="D149" s="122">
        <v>8</v>
      </c>
      <c r="E149" s="125" t="str">
        <f t="shared" si="20"/>
        <v>3#11#11|3#12#11</v>
      </c>
      <c r="F149" s="213" t="str">
        <f t="shared" si="21"/>
        <v>中品注灵石10/元宝40000</v>
      </c>
      <c r="G149" s="122">
        <v>100</v>
      </c>
      <c r="H149" s="112"/>
    </row>
    <row r="150" spans="1:8" ht="15.75" x14ac:dyDescent="0.3">
      <c r="A150" s="122" t="s">
        <v>40</v>
      </c>
      <c r="B150" s="122" t="s">
        <v>3128</v>
      </c>
      <c r="C150" s="123" t="s">
        <v>3071</v>
      </c>
      <c r="D150" s="122">
        <v>9</v>
      </c>
      <c r="E150" s="125" t="str">
        <f t="shared" si="20"/>
        <v>3#11#13|3#12#13</v>
      </c>
      <c r="F150" s="213" t="str">
        <f t="shared" si="21"/>
        <v>中品注灵石11/元宝44000</v>
      </c>
      <c r="G150" s="122">
        <v>100</v>
      </c>
      <c r="H150" s="112"/>
    </row>
    <row r="151" spans="1:8" ht="15.75" x14ac:dyDescent="0.3">
      <c r="A151" s="122" t="s">
        <v>40</v>
      </c>
      <c r="B151" s="122" t="s">
        <v>3128</v>
      </c>
      <c r="C151" s="123" t="s">
        <v>3072</v>
      </c>
      <c r="D151" s="122">
        <v>10</v>
      </c>
      <c r="E151" s="125" t="str">
        <f t="shared" si="20"/>
        <v>3#11#14|3#12#14</v>
      </c>
      <c r="F151" s="213" t="str">
        <f t="shared" si="21"/>
        <v>中品注灵石11/元宝44000</v>
      </c>
      <c r="G151" s="122">
        <v>100</v>
      </c>
      <c r="H151" s="112"/>
    </row>
    <row r="152" spans="1:8" ht="15.75" x14ac:dyDescent="0.3">
      <c r="A152" s="122" t="s">
        <v>40</v>
      </c>
      <c r="B152" s="122" t="s">
        <v>3128</v>
      </c>
      <c r="C152" s="123" t="s">
        <v>3073</v>
      </c>
      <c r="D152" s="122">
        <v>11</v>
      </c>
      <c r="E152" s="125" t="str">
        <f t="shared" si="20"/>
        <v>3#11#17|3#12#17</v>
      </c>
      <c r="F152" s="213" t="str">
        <f t="shared" si="21"/>
        <v>中品注灵石12/元宝48000</v>
      </c>
      <c r="G152" s="122">
        <v>100</v>
      </c>
      <c r="H152" s="112"/>
    </row>
    <row r="153" spans="1:8" ht="15.75" x14ac:dyDescent="0.3">
      <c r="A153" s="122" t="s">
        <v>40</v>
      </c>
      <c r="B153" s="122" t="s">
        <v>3128</v>
      </c>
      <c r="C153" s="123" t="s">
        <v>3074</v>
      </c>
      <c r="D153" s="122">
        <v>12</v>
      </c>
      <c r="E153" s="125" t="str">
        <f t="shared" si="20"/>
        <v>3#11#18|3#12#18</v>
      </c>
      <c r="F153" s="213" t="str">
        <f t="shared" si="21"/>
        <v>中品注灵石13/元宝52000</v>
      </c>
      <c r="G153" s="122">
        <v>100</v>
      </c>
      <c r="H153" s="112"/>
    </row>
    <row r="154" spans="1:8" ht="15.75" x14ac:dyDescent="0.3">
      <c r="A154" s="122" t="s">
        <v>40</v>
      </c>
      <c r="B154" s="122" t="s">
        <v>3128</v>
      </c>
      <c r="C154" s="123" t="s">
        <v>3075</v>
      </c>
      <c r="D154" s="122">
        <v>13</v>
      </c>
      <c r="E154" s="125" t="str">
        <f t="shared" si="20"/>
        <v>3#11#20|3#12#20</v>
      </c>
      <c r="F154" s="213" t="str">
        <f t="shared" si="21"/>
        <v>中品注灵石14/元宝56000</v>
      </c>
      <c r="G154" s="122">
        <v>100</v>
      </c>
      <c r="H154" s="112"/>
    </row>
    <row r="155" spans="1:8" ht="15.75" x14ac:dyDescent="0.3">
      <c r="A155" s="122" t="s">
        <v>40</v>
      </c>
      <c r="B155" s="122" t="s">
        <v>3128</v>
      </c>
      <c r="C155" s="123" t="s">
        <v>3076</v>
      </c>
      <c r="D155" s="122">
        <v>14</v>
      </c>
      <c r="E155" s="125" t="str">
        <f t="shared" si="20"/>
        <v>3#11#21|3#12#21</v>
      </c>
      <c r="F155" s="213" t="str">
        <f t="shared" si="21"/>
        <v>中品注灵石15/元宝60000</v>
      </c>
      <c r="G155" s="122">
        <v>100</v>
      </c>
      <c r="H155" s="112"/>
    </row>
    <row r="156" spans="1:8" ht="15.75" x14ac:dyDescent="0.3">
      <c r="A156" s="122" t="s">
        <v>40</v>
      </c>
      <c r="B156" s="122" t="s">
        <v>3128</v>
      </c>
      <c r="C156" s="123" t="s">
        <v>3077</v>
      </c>
      <c r="D156" s="122">
        <v>15</v>
      </c>
      <c r="E156" s="125" t="str">
        <f t="shared" si="20"/>
        <v>3#11#23|3#12#23</v>
      </c>
      <c r="F156" s="213" t="str">
        <f>"上品注灵石"&amp;ROUND(AG19/2,0)&amp;"/元宝"&amp;AH18</f>
        <v>上品注灵石8/元宝60000</v>
      </c>
      <c r="G156" s="122">
        <v>30</v>
      </c>
      <c r="H156" s="112"/>
    </row>
    <row r="157" spans="1:8" ht="15.75" x14ac:dyDescent="0.3">
      <c r="A157" s="122" t="s">
        <v>40</v>
      </c>
      <c r="B157" s="122" t="s">
        <v>3129</v>
      </c>
      <c r="C157" s="123" t="s">
        <v>3079</v>
      </c>
      <c r="D157" s="122">
        <v>16</v>
      </c>
      <c r="E157" s="125" t="str">
        <f t="shared" si="20"/>
        <v>3#11#26|3#12#26</v>
      </c>
      <c r="F157" s="213" t="str">
        <f t="shared" ref="F157:F170" si="22">"上品注灵石"&amp;ROUND(AG20/2,0)&amp;"/元宝"&amp;AH19</f>
        <v>上品注灵石9/元宝64000</v>
      </c>
      <c r="G157" s="122">
        <v>30</v>
      </c>
      <c r="H157" s="112"/>
    </row>
    <row r="158" spans="1:8" ht="15.75" x14ac:dyDescent="0.3">
      <c r="A158" s="122" t="s">
        <v>40</v>
      </c>
      <c r="B158" s="122" t="s">
        <v>3129</v>
      </c>
      <c r="C158" s="123" t="s">
        <v>3080</v>
      </c>
      <c r="D158" s="122">
        <v>17</v>
      </c>
      <c r="E158" s="125" t="str">
        <f t="shared" si="20"/>
        <v>3#11#28|3#12#28</v>
      </c>
      <c r="F158" s="213" t="str">
        <f t="shared" si="22"/>
        <v>上品注灵石10/元宝72000</v>
      </c>
      <c r="G158" s="122">
        <v>30</v>
      </c>
      <c r="H158" s="112"/>
    </row>
    <row r="159" spans="1:8" ht="15.75" x14ac:dyDescent="0.3">
      <c r="A159" s="122" t="s">
        <v>40</v>
      </c>
      <c r="B159" s="122" t="s">
        <v>3129</v>
      </c>
      <c r="C159" s="123" t="s">
        <v>3081</v>
      </c>
      <c r="D159" s="122">
        <v>18</v>
      </c>
      <c r="E159" s="125" t="str">
        <f t="shared" si="20"/>
        <v>3#11#30|3#12#30</v>
      </c>
      <c r="F159" s="213" t="str">
        <f t="shared" si="22"/>
        <v>上品注灵石11/元宝80000</v>
      </c>
      <c r="G159" s="122">
        <v>30</v>
      </c>
      <c r="H159" s="112"/>
    </row>
    <row r="160" spans="1:8" ht="15.75" x14ac:dyDescent="0.3">
      <c r="A160" s="122" t="s">
        <v>40</v>
      </c>
      <c r="B160" s="122" t="s">
        <v>3129</v>
      </c>
      <c r="C160" s="123" t="s">
        <v>3082</v>
      </c>
      <c r="D160" s="122">
        <v>19</v>
      </c>
      <c r="E160" s="125" t="str">
        <f t="shared" si="20"/>
        <v>3#11#31|3#12#31</v>
      </c>
      <c r="F160" s="213" t="str">
        <f t="shared" si="22"/>
        <v>上品注灵石12/元宝88000</v>
      </c>
      <c r="G160" s="122">
        <v>30</v>
      </c>
      <c r="H160" s="112"/>
    </row>
    <row r="161" spans="1:8" ht="15.75" x14ac:dyDescent="0.3">
      <c r="A161" s="122" t="s">
        <v>40</v>
      </c>
      <c r="B161" s="122" t="s">
        <v>3129</v>
      </c>
      <c r="C161" s="123" t="s">
        <v>3083</v>
      </c>
      <c r="D161" s="122">
        <v>20</v>
      </c>
      <c r="E161" s="125" t="str">
        <f t="shared" si="20"/>
        <v>3#11#33|3#12#33</v>
      </c>
      <c r="F161" s="213" t="str">
        <f t="shared" si="22"/>
        <v>上品注灵石14/元宝96000</v>
      </c>
      <c r="G161" s="122">
        <v>25</v>
      </c>
      <c r="H161" s="112"/>
    </row>
    <row r="162" spans="1:8" ht="15.75" x14ac:dyDescent="0.3">
      <c r="A162" s="122" t="s">
        <v>40</v>
      </c>
      <c r="B162" s="122" t="s">
        <v>3129</v>
      </c>
      <c r="C162" s="123" t="s">
        <v>3084</v>
      </c>
      <c r="D162" s="122">
        <v>21</v>
      </c>
      <c r="E162" s="125" t="str">
        <f t="shared" si="20"/>
        <v>3#11#37|3#12#37</v>
      </c>
      <c r="F162" s="213" t="str">
        <f t="shared" si="22"/>
        <v>上品注灵石15/元宝108000</v>
      </c>
      <c r="G162" s="122">
        <v>25</v>
      </c>
      <c r="H162" s="112"/>
    </row>
    <row r="163" spans="1:8" ht="15.75" x14ac:dyDescent="0.3">
      <c r="A163" s="122" t="s">
        <v>40</v>
      </c>
      <c r="B163" s="122" t="s">
        <v>3129</v>
      </c>
      <c r="C163" s="123" t="s">
        <v>3085</v>
      </c>
      <c r="D163" s="122">
        <v>22</v>
      </c>
      <c r="E163" s="125" t="str">
        <f t="shared" si="20"/>
        <v>3#11#38|3#12#38</v>
      </c>
      <c r="F163" s="213" t="str">
        <f t="shared" si="22"/>
        <v>上品注灵石16/元宝116000</v>
      </c>
      <c r="G163" s="122">
        <v>25</v>
      </c>
      <c r="H163" s="112"/>
    </row>
    <row r="164" spans="1:8" ht="15.75" x14ac:dyDescent="0.3">
      <c r="A164" s="122" t="s">
        <v>40</v>
      </c>
      <c r="B164" s="122" t="s">
        <v>3129</v>
      </c>
      <c r="C164" s="123" t="s">
        <v>3086</v>
      </c>
      <c r="D164" s="122">
        <v>23</v>
      </c>
      <c r="E164" s="125" t="str">
        <f t="shared" si="20"/>
        <v>3#11#40|3#12#40</v>
      </c>
      <c r="F164" s="213" t="str">
        <f t="shared" si="22"/>
        <v>上品注灵石17/元宝124000</v>
      </c>
      <c r="G164" s="122">
        <v>25</v>
      </c>
      <c r="H164" s="112"/>
    </row>
    <row r="165" spans="1:8" ht="15.75" x14ac:dyDescent="0.3">
      <c r="A165" s="122" t="s">
        <v>40</v>
      </c>
      <c r="B165" s="122" t="s">
        <v>3129</v>
      </c>
      <c r="C165" s="123" t="s">
        <v>3087</v>
      </c>
      <c r="D165" s="122">
        <v>24</v>
      </c>
      <c r="E165" s="125" t="str">
        <f t="shared" si="20"/>
        <v>3#11#42|3#12#42</v>
      </c>
      <c r="F165" s="213" t="str">
        <f t="shared" si="22"/>
        <v>上品注灵石18/元宝136000</v>
      </c>
      <c r="G165" s="122">
        <v>25</v>
      </c>
      <c r="H165" s="112"/>
    </row>
    <row r="166" spans="1:8" ht="15.75" x14ac:dyDescent="0.3">
      <c r="A166" s="122" t="s">
        <v>40</v>
      </c>
      <c r="B166" s="122" t="s">
        <v>3129</v>
      </c>
      <c r="C166" s="123" t="s">
        <v>3088</v>
      </c>
      <c r="D166" s="122">
        <v>25</v>
      </c>
      <c r="E166" s="125" t="str">
        <f t="shared" si="20"/>
        <v>3#11#44|3#12#44</v>
      </c>
      <c r="F166" s="213" t="str">
        <f t="shared" si="22"/>
        <v>上品注灵石19/元宝144000</v>
      </c>
      <c r="G166" s="122">
        <v>25</v>
      </c>
      <c r="H166" s="112"/>
    </row>
    <row r="167" spans="1:8" ht="15.75" x14ac:dyDescent="0.3">
      <c r="A167" s="122" t="s">
        <v>40</v>
      </c>
      <c r="B167" s="122" t="s">
        <v>3129</v>
      </c>
      <c r="C167" s="123" t="s">
        <v>3089</v>
      </c>
      <c r="D167" s="122">
        <v>26</v>
      </c>
      <c r="E167" s="125" t="str">
        <f t="shared" si="20"/>
        <v>3#11#49|3#12#49</v>
      </c>
      <c r="F167" s="213" t="str">
        <f t="shared" si="22"/>
        <v>上品注灵石20/元宝152000</v>
      </c>
      <c r="G167" s="122">
        <v>25</v>
      </c>
      <c r="H167" s="112"/>
    </row>
    <row r="168" spans="1:8" ht="15.75" x14ac:dyDescent="0.3">
      <c r="A168" s="122" t="s">
        <v>40</v>
      </c>
      <c r="B168" s="122" t="s">
        <v>3129</v>
      </c>
      <c r="C168" s="123" t="s">
        <v>3090</v>
      </c>
      <c r="D168" s="122">
        <v>27</v>
      </c>
      <c r="E168" s="125" t="str">
        <f t="shared" si="20"/>
        <v>3#11#51|3#12#51</v>
      </c>
      <c r="F168" s="213" t="str">
        <f t="shared" si="22"/>
        <v>上品注灵石21/元宝156000</v>
      </c>
      <c r="G168" s="122">
        <v>25</v>
      </c>
      <c r="H168" s="112"/>
    </row>
    <row r="169" spans="1:8" ht="15.75" x14ac:dyDescent="0.3">
      <c r="A169" s="122" t="s">
        <v>40</v>
      </c>
      <c r="B169" s="122" t="s">
        <v>3129</v>
      </c>
      <c r="C169" s="123" t="s">
        <v>3091</v>
      </c>
      <c r="D169" s="122">
        <v>28</v>
      </c>
      <c r="E169" s="125" t="str">
        <f t="shared" si="20"/>
        <v>3#11#52|3#12#52</v>
      </c>
      <c r="F169" s="213" t="str">
        <f t="shared" si="22"/>
        <v>上品注灵石22/元宝164000</v>
      </c>
      <c r="G169" s="122">
        <v>25</v>
      </c>
      <c r="H169" s="112"/>
    </row>
    <row r="170" spans="1:8" ht="15.75" x14ac:dyDescent="0.3">
      <c r="A170" s="122" t="s">
        <v>40</v>
      </c>
      <c r="B170" s="122" t="s">
        <v>3129</v>
      </c>
      <c r="C170" s="123" t="s">
        <v>3092</v>
      </c>
      <c r="D170" s="122">
        <v>29</v>
      </c>
      <c r="E170" s="125" t="str">
        <f t="shared" si="20"/>
        <v>3#11#54|3#12#54</v>
      </c>
      <c r="F170" s="213" t="str">
        <f t="shared" si="22"/>
        <v>上品注灵石23/元宝172000</v>
      </c>
      <c r="G170" s="122">
        <v>25</v>
      </c>
      <c r="H170" s="112"/>
    </row>
    <row r="171" spans="1:8" ht="15.75" x14ac:dyDescent="0.3">
      <c r="A171" s="122" t="s">
        <v>40</v>
      </c>
      <c r="B171" s="122" t="s">
        <v>3129</v>
      </c>
      <c r="C171" s="123" t="s">
        <v>3093</v>
      </c>
      <c r="D171" s="122">
        <v>30</v>
      </c>
      <c r="E171" s="125" t="str">
        <f t="shared" si="20"/>
        <v>3#11#56|3#12#56</v>
      </c>
      <c r="F171" s="213" t="str">
        <f>"极品注灵石"&amp;ROUND(AG34/10,0)&amp;"/元宝"&amp;AH32</f>
        <v>极品注灵石5/元宝172000</v>
      </c>
      <c r="G171" s="122">
        <v>30</v>
      </c>
      <c r="H171" s="112"/>
    </row>
    <row r="172" spans="1:8" ht="15.75" x14ac:dyDescent="0.3">
      <c r="A172" s="122" t="s">
        <v>40</v>
      </c>
      <c r="B172" s="122" t="s">
        <v>3129</v>
      </c>
      <c r="C172" s="123" t="s">
        <v>3094</v>
      </c>
      <c r="D172" s="122">
        <v>31</v>
      </c>
      <c r="E172" s="125" t="str">
        <f t="shared" si="20"/>
        <v>3#11#61|3#12#61</v>
      </c>
      <c r="F172" s="213" t="str">
        <f t="shared" ref="F172:F185" si="23">"极品注灵石"&amp;ROUND(AG35/10,0)&amp;"/元宝"&amp;AH33</f>
        <v>极品注灵石5/元宝180000</v>
      </c>
      <c r="G172" s="122">
        <v>30</v>
      </c>
      <c r="H172" s="112"/>
    </row>
    <row r="173" spans="1:8" ht="15.75" x14ac:dyDescent="0.3">
      <c r="A173" s="122" t="s">
        <v>40</v>
      </c>
      <c r="B173" s="122" t="s">
        <v>3129</v>
      </c>
      <c r="C173" s="123" t="s">
        <v>3095</v>
      </c>
      <c r="D173" s="122">
        <v>32</v>
      </c>
      <c r="E173" s="125" t="str">
        <f t="shared" si="20"/>
        <v>3#11#63|3#12#63</v>
      </c>
      <c r="F173" s="213" t="str">
        <f t="shared" si="23"/>
        <v>极品注灵石5/元宝184000</v>
      </c>
      <c r="G173" s="122">
        <v>30</v>
      </c>
      <c r="H173" s="112"/>
    </row>
    <row r="174" spans="1:8" ht="15.75" x14ac:dyDescent="0.3">
      <c r="A174" s="122" t="s">
        <v>40</v>
      </c>
      <c r="B174" s="122" t="s">
        <v>3129</v>
      </c>
      <c r="C174" s="123" t="s">
        <v>3096</v>
      </c>
      <c r="D174" s="122">
        <v>33</v>
      </c>
      <c r="E174" s="125" t="str">
        <f t="shared" si="20"/>
        <v>3#11#66|3#12#66</v>
      </c>
      <c r="F174" s="213" t="str">
        <f t="shared" si="23"/>
        <v>极品注灵石5/元宝192000</v>
      </c>
      <c r="G174" s="122">
        <v>30</v>
      </c>
      <c r="H174" s="112"/>
    </row>
    <row r="175" spans="1:8" ht="15.75" x14ac:dyDescent="0.3">
      <c r="A175" s="122" t="s">
        <v>40</v>
      </c>
      <c r="B175" s="122" t="s">
        <v>3129</v>
      </c>
      <c r="C175" s="123" t="s">
        <v>3097</v>
      </c>
      <c r="D175" s="122">
        <v>34</v>
      </c>
      <c r="E175" s="125" t="str">
        <f t="shared" si="20"/>
        <v>3#11#67|3#12#67</v>
      </c>
      <c r="F175" s="213" t="str">
        <f t="shared" si="23"/>
        <v>极品注灵石5/元宝200000</v>
      </c>
      <c r="G175" s="122">
        <v>30</v>
      </c>
      <c r="H175" s="112"/>
    </row>
    <row r="176" spans="1:8" ht="15.75" x14ac:dyDescent="0.3">
      <c r="A176" s="122" t="s">
        <v>40</v>
      </c>
      <c r="B176" s="122" t="s">
        <v>3129</v>
      </c>
      <c r="C176" s="123" t="s">
        <v>3098</v>
      </c>
      <c r="D176" s="122">
        <v>35</v>
      </c>
      <c r="E176" s="125" t="str">
        <f t="shared" si="20"/>
        <v>3#11#69|3#12#69</v>
      </c>
      <c r="F176" s="213" t="str">
        <f t="shared" si="23"/>
        <v>极品注灵石6/元宝208000</v>
      </c>
      <c r="G176" s="122">
        <v>25</v>
      </c>
      <c r="H176" s="112"/>
    </row>
    <row r="177" spans="1:8" ht="15.75" x14ac:dyDescent="0.3">
      <c r="A177" s="122" t="s">
        <v>40</v>
      </c>
      <c r="B177" s="122" t="s">
        <v>3129</v>
      </c>
      <c r="C177" s="123" t="s">
        <v>3099</v>
      </c>
      <c r="D177" s="122">
        <v>36</v>
      </c>
      <c r="E177" s="125" t="str">
        <f t="shared" si="20"/>
        <v>3#11#76|3#12#76</v>
      </c>
      <c r="F177" s="213" t="str">
        <f t="shared" si="23"/>
        <v>极品注灵石6/元宝212000</v>
      </c>
      <c r="G177" s="122">
        <v>25</v>
      </c>
      <c r="H177" s="112"/>
    </row>
    <row r="178" spans="1:8" ht="15.75" x14ac:dyDescent="0.3">
      <c r="A178" s="122" t="s">
        <v>40</v>
      </c>
      <c r="B178" s="122" t="s">
        <v>3129</v>
      </c>
      <c r="C178" s="123" t="s">
        <v>3100</v>
      </c>
      <c r="D178" s="122">
        <v>37</v>
      </c>
      <c r="E178" s="125" t="str">
        <f t="shared" si="20"/>
        <v>3#11#77|3#12#77</v>
      </c>
      <c r="F178" s="213" t="str">
        <f t="shared" si="23"/>
        <v>极品注灵石6/元宝220000</v>
      </c>
      <c r="G178" s="122">
        <v>25</v>
      </c>
      <c r="H178" s="112"/>
    </row>
    <row r="179" spans="1:8" ht="15.75" x14ac:dyDescent="0.3">
      <c r="A179" s="122" t="s">
        <v>40</v>
      </c>
      <c r="B179" s="122" t="s">
        <v>3129</v>
      </c>
      <c r="C179" s="123" t="s">
        <v>3101</v>
      </c>
      <c r="D179" s="122">
        <v>38</v>
      </c>
      <c r="E179" s="125" t="str">
        <f t="shared" si="20"/>
        <v>3#11#80|3#12#80</v>
      </c>
      <c r="F179" s="213" t="str">
        <f t="shared" si="23"/>
        <v>极品注灵石6/元宝228000</v>
      </c>
      <c r="G179" s="122">
        <v>25</v>
      </c>
      <c r="H179" s="112"/>
    </row>
    <row r="180" spans="1:8" ht="15.75" x14ac:dyDescent="0.3">
      <c r="A180" s="122" t="s">
        <v>40</v>
      </c>
      <c r="B180" s="122" t="s">
        <v>3129</v>
      </c>
      <c r="C180" s="123" t="s">
        <v>3102</v>
      </c>
      <c r="D180" s="122">
        <v>39</v>
      </c>
      <c r="E180" s="125" t="str">
        <f t="shared" si="20"/>
        <v>3#11#82|3#12#82</v>
      </c>
      <c r="F180" s="213" t="str">
        <f t="shared" si="23"/>
        <v>极品注灵石6/元宝236000</v>
      </c>
      <c r="G180" s="122">
        <v>25</v>
      </c>
      <c r="H180" s="112"/>
    </row>
    <row r="181" spans="1:8" ht="15.75" x14ac:dyDescent="0.3">
      <c r="A181" s="122" t="s">
        <v>40</v>
      </c>
      <c r="B181" s="122" t="s">
        <v>3129</v>
      </c>
      <c r="C181" s="123" t="s">
        <v>3103</v>
      </c>
      <c r="D181" s="122">
        <v>40</v>
      </c>
      <c r="E181" s="125" t="str">
        <f t="shared" si="20"/>
        <v>3#11#84|3#12#84</v>
      </c>
      <c r="F181" s="213" t="str">
        <f t="shared" si="23"/>
        <v>极品注灵石6/元宝240000</v>
      </c>
      <c r="G181" s="122">
        <v>20</v>
      </c>
      <c r="H181" s="112"/>
    </row>
    <row r="182" spans="1:8" ht="15.75" x14ac:dyDescent="0.3">
      <c r="A182" s="122" t="s">
        <v>40</v>
      </c>
      <c r="B182" s="122" t="s">
        <v>3129</v>
      </c>
      <c r="C182" s="123" t="s">
        <v>3104</v>
      </c>
      <c r="D182" s="122">
        <v>41</v>
      </c>
      <c r="E182" s="125" t="str">
        <f t="shared" si="20"/>
        <v>3#11#91|3#12#91</v>
      </c>
      <c r="F182" s="213" t="str">
        <f t="shared" si="23"/>
        <v>极品注灵石6/元宝248000</v>
      </c>
      <c r="G182" s="122">
        <v>20</v>
      </c>
      <c r="H182" s="112"/>
    </row>
    <row r="183" spans="1:8" ht="15.75" x14ac:dyDescent="0.3">
      <c r="A183" s="122" t="s">
        <v>40</v>
      </c>
      <c r="B183" s="122" t="s">
        <v>3129</v>
      </c>
      <c r="C183" s="123" t="s">
        <v>3105</v>
      </c>
      <c r="D183" s="122">
        <v>42</v>
      </c>
      <c r="E183" s="125" t="str">
        <f t="shared" si="20"/>
        <v>3#11#93|3#12#93</v>
      </c>
      <c r="F183" s="213" t="str">
        <f t="shared" si="23"/>
        <v>极品注灵石7/元宝252000</v>
      </c>
      <c r="G183" s="122">
        <v>20</v>
      </c>
      <c r="H183" s="112"/>
    </row>
    <row r="184" spans="1:8" ht="15.75" x14ac:dyDescent="0.3">
      <c r="A184" s="122" t="s">
        <v>40</v>
      </c>
      <c r="B184" s="122" t="s">
        <v>3129</v>
      </c>
      <c r="C184" s="123" t="s">
        <v>3106</v>
      </c>
      <c r="D184" s="122">
        <v>43</v>
      </c>
      <c r="E184" s="125" t="str">
        <f t="shared" si="20"/>
        <v>3#11#95|3#12#95</v>
      </c>
      <c r="F184" s="213" t="str">
        <f t="shared" si="23"/>
        <v>极品注灵石7/元宝256000</v>
      </c>
      <c r="G184" s="122">
        <v>20</v>
      </c>
      <c r="H184" s="112"/>
    </row>
    <row r="185" spans="1:8" ht="15.75" x14ac:dyDescent="0.3">
      <c r="A185" s="122" t="s">
        <v>40</v>
      </c>
      <c r="B185" s="122" t="s">
        <v>3129</v>
      </c>
      <c r="C185" s="123" t="s">
        <v>3107</v>
      </c>
      <c r="D185" s="122">
        <v>44</v>
      </c>
      <c r="E185" s="125" t="str">
        <f t="shared" si="20"/>
        <v>3#11#97|3#12#97</v>
      </c>
      <c r="F185" s="213" t="str">
        <f t="shared" si="23"/>
        <v>极品注灵石7/元宝264000</v>
      </c>
      <c r="G185" s="122">
        <v>20</v>
      </c>
      <c r="H185" s="112"/>
    </row>
    <row r="186" spans="1:8" ht="15.75" x14ac:dyDescent="0.3">
      <c r="A186" s="122" t="s">
        <v>40</v>
      </c>
      <c r="B186" s="122" t="s">
        <v>3129</v>
      </c>
      <c r="C186" s="123" t="s">
        <v>3108</v>
      </c>
      <c r="D186" s="122">
        <v>45</v>
      </c>
      <c r="E186" s="125" t="str">
        <f>"3#11#"&amp;INT(1/3*Z48)&amp;"|"&amp;"3#12#"&amp;INT(1/3*Z48)</f>
        <v>3#11#100|3#12#100</v>
      </c>
      <c r="F186" s="213"/>
      <c r="G186" s="122"/>
      <c r="H186" s="112"/>
    </row>
    <row r="187" spans="1:8" ht="15.75" x14ac:dyDescent="0.3">
      <c r="A187" s="50" t="s">
        <v>40</v>
      </c>
      <c r="B187" s="50" t="s">
        <v>3130</v>
      </c>
      <c r="C187" s="51" t="s">
        <v>78</v>
      </c>
      <c r="D187" s="50">
        <v>0</v>
      </c>
      <c r="E187" s="129"/>
      <c r="F187" s="214" t="str">
        <f>"中品注灵石"&amp;AG4&amp;"/元宝"&amp;AH4</f>
        <v>中品注灵石5/元宝20000</v>
      </c>
      <c r="G187" s="50">
        <v>100</v>
      </c>
      <c r="H187" s="112"/>
    </row>
    <row r="188" spans="1:8" ht="15.75" x14ac:dyDescent="0.3">
      <c r="A188" s="50" t="s">
        <v>40</v>
      </c>
      <c r="B188" s="50" t="s">
        <v>3130</v>
      </c>
      <c r="C188" s="51" t="s">
        <v>3055</v>
      </c>
      <c r="D188" s="50">
        <v>1</v>
      </c>
      <c r="E188" s="129" t="str">
        <f t="shared" ref="E188:E231" si="24">"3#9#"&amp;INT(1/3*Z4)&amp;"|"&amp;"3#10#"&amp;INT(1/3*Z4)</f>
        <v>3#9#1|3#10#1</v>
      </c>
      <c r="F188" s="214" t="str">
        <f t="shared" ref="F188:F201" si="25">"中品注灵石"&amp;AG5&amp;"/元宝"&amp;AH5</f>
        <v>中品注灵石6/元宝24000</v>
      </c>
      <c r="G188" s="50">
        <v>100</v>
      </c>
      <c r="H188" s="112"/>
    </row>
    <row r="189" spans="1:8" ht="15.75" x14ac:dyDescent="0.3">
      <c r="A189" s="50" t="s">
        <v>40</v>
      </c>
      <c r="B189" s="50" t="s">
        <v>3130</v>
      </c>
      <c r="C189" s="51" t="s">
        <v>3057</v>
      </c>
      <c r="D189" s="50">
        <v>2</v>
      </c>
      <c r="E189" s="129" t="str">
        <f t="shared" si="24"/>
        <v>3#9#2|3#10#2</v>
      </c>
      <c r="F189" s="214" t="str">
        <f t="shared" si="25"/>
        <v>中品注灵石6/元宝24000</v>
      </c>
      <c r="G189" s="50">
        <v>100</v>
      </c>
      <c r="H189" s="112"/>
    </row>
    <row r="190" spans="1:8" ht="15.75" x14ac:dyDescent="0.3">
      <c r="A190" s="50" t="s">
        <v>40</v>
      </c>
      <c r="B190" s="50" t="s">
        <v>3130</v>
      </c>
      <c r="C190" s="51" t="s">
        <v>3059</v>
      </c>
      <c r="D190" s="50">
        <v>3</v>
      </c>
      <c r="E190" s="129" t="str">
        <f t="shared" si="24"/>
        <v>3#9#4|3#10#4</v>
      </c>
      <c r="F190" s="214" t="str">
        <f t="shared" si="25"/>
        <v>中品注灵石7/元宝28000</v>
      </c>
      <c r="G190" s="50">
        <v>100</v>
      </c>
      <c r="H190" s="112"/>
    </row>
    <row r="191" spans="1:8" ht="15.75" x14ac:dyDescent="0.3">
      <c r="A191" s="50" t="s">
        <v>40</v>
      </c>
      <c r="B191" s="50" t="s">
        <v>3130</v>
      </c>
      <c r="C191" s="51" t="s">
        <v>3061</v>
      </c>
      <c r="D191" s="50">
        <v>4</v>
      </c>
      <c r="E191" s="129" t="str">
        <f t="shared" si="24"/>
        <v>3#9#5|3#10#5</v>
      </c>
      <c r="F191" s="214" t="str">
        <f t="shared" si="25"/>
        <v>中品注灵石8/元宝32000</v>
      </c>
      <c r="G191" s="50">
        <v>100</v>
      </c>
      <c r="H191" s="112"/>
    </row>
    <row r="192" spans="1:8" ht="15.75" x14ac:dyDescent="0.3">
      <c r="A192" s="50" t="s">
        <v>40</v>
      </c>
      <c r="B192" s="50" t="s">
        <v>3130</v>
      </c>
      <c r="C192" s="51" t="s">
        <v>3063</v>
      </c>
      <c r="D192" s="50">
        <v>5</v>
      </c>
      <c r="E192" s="129" t="str">
        <f t="shared" si="24"/>
        <v>3#9#6|3#10#6</v>
      </c>
      <c r="F192" s="214" t="str">
        <f t="shared" si="25"/>
        <v>中品注灵石8/元宝32000</v>
      </c>
      <c r="G192" s="50">
        <v>100</v>
      </c>
      <c r="H192" s="112"/>
    </row>
    <row r="193" spans="1:8" ht="15.75" x14ac:dyDescent="0.3">
      <c r="A193" s="50" t="s">
        <v>40</v>
      </c>
      <c r="B193" s="50" t="s">
        <v>3130</v>
      </c>
      <c r="C193" s="51" t="s">
        <v>3065</v>
      </c>
      <c r="D193" s="50">
        <v>6</v>
      </c>
      <c r="E193" s="129" t="str">
        <f t="shared" si="24"/>
        <v>3#9#8|3#10#8</v>
      </c>
      <c r="F193" s="214" t="str">
        <f t="shared" si="25"/>
        <v>中品注灵石9/元宝36000</v>
      </c>
      <c r="G193" s="50">
        <v>100</v>
      </c>
      <c r="H193" s="112"/>
    </row>
    <row r="194" spans="1:8" ht="15.75" x14ac:dyDescent="0.3">
      <c r="A194" s="50" t="s">
        <v>40</v>
      </c>
      <c r="B194" s="50" t="s">
        <v>3130</v>
      </c>
      <c r="C194" s="51" t="s">
        <v>3067</v>
      </c>
      <c r="D194" s="50">
        <v>7</v>
      </c>
      <c r="E194" s="129" t="str">
        <f t="shared" si="24"/>
        <v>3#9#9|3#10#9</v>
      </c>
      <c r="F194" s="214" t="str">
        <f t="shared" si="25"/>
        <v>中品注灵石9/元宝36000</v>
      </c>
      <c r="G194" s="50">
        <v>100</v>
      </c>
      <c r="H194" s="112"/>
    </row>
    <row r="195" spans="1:8" ht="15.75" x14ac:dyDescent="0.3">
      <c r="A195" s="50" t="s">
        <v>40</v>
      </c>
      <c r="B195" s="50" t="s">
        <v>3130</v>
      </c>
      <c r="C195" s="51" t="s">
        <v>3069</v>
      </c>
      <c r="D195" s="50">
        <v>8</v>
      </c>
      <c r="E195" s="129" t="str">
        <f t="shared" si="24"/>
        <v>3#9#11|3#10#11</v>
      </c>
      <c r="F195" s="214" t="str">
        <f t="shared" si="25"/>
        <v>中品注灵石10/元宝40000</v>
      </c>
      <c r="G195" s="50">
        <v>100</v>
      </c>
      <c r="H195" s="112"/>
    </row>
    <row r="196" spans="1:8" ht="15.75" x14ac:dyDescent="0.3">
      <c r="A196" s="50" t="s">
        <v>40</v>
      </c>
      <c r="B196" s="50" t="s">
        <v>3130</v>
      </c>
      <c r="C196" s="51" t="s">
        <v>3071</v>
      </c>
      <c r="D196" s="50">
        <v>9</v>
      </c>
      <c r="E196" s="129" t="str">
        <f t="shared" si="24"/>
        <v>3#9#13|3#10#13</v>
      </c>
      <c r="F196" s="214" t="str">
        <f t="shared" si="25"/>
        <v>中品注灵石11/元宝44000</v>
      </c>
      <c r="G196" s="50">
        <v>100</v>
      </c>
      <c r="H196" s="112"/>
    </row>
    <row r="197" spans="1:8" ht="15.75" x14ac:dyDescent="0.3">
      <c r="A197" s="50" t="s">
        <v>40</v>
      </c>
      <c r="B197" s="50" t="s">
        <v>3130</v>
      </c>
      <c r="C197" s="51" t="s">
        <v>3072</v>
      </c>
      <c r="D197" s="50">
        <v>10</v>
      </c>
      <c r="E197" s="129" t="str">
        <f t="shared" si="24"/>
        <v>3#9#14|3#10#14</v>
      </c>
      <c r="F197" s="214" t="str">
        <f t="shared" si="25"/>
        <v>中品注灵石11/元宝44000</v>
      </c>
      <c r="G197" s="50">
        <v>100</v>
      </c>
      <c r="H197" s="112"/>
    </row>
    <row r="198" spans="1:8" ht="15.75" x14ac:dyDescent="0.3">
      <c r="A198" s="50" t="s">
        <v>40</v>
      </c>
      <c r="B198" s="50" t="s">
        <v>3130</v>
      </c>
      <c r="C198" s="51" t="s">
        <v>3073</v>
      </c>
      <c r="D198" s="50">
        <v>11</v>
      </c>
      <c r="E198" s="129" t="str">
        <f t="shared" si="24"/>
        <v>3#9#17|3#10#17</v>
      </c>
      <c r="F198" s="214" t="str">
        <f t="shared" si="25"/>
        <v>中品注灵石12/元宝48000</v>
      </c>
      <c r="G198" s="50">
        <v>100</v>
      </c>
      <c r="H198" s="112"/>
    </row>
    <row r="199" spans="1:8" ht="15.75" x14ac:dyDescent="0.3">
      <c r="A199" s="50" t="s">
        <v>40</v>
      </c>
      <c r="B199" s="50" t="s">
        <v>3130</v>
      </c>
      <c r="C199" s="51" t="s">
        <v>3074</v>
      </c>
      <c r="D199" s="50">
        <v>12</v>
      </c>
      <c r="E199" s="129" t="str">
        <f t="shared" si="24"/>
        <v>3#9#18|3#10#18</v>
      </c>
      <c r="F199" s="214" t="str">
        <f t="shared" si="25"/>
        <v>中品注灵石13/元宝52000</v>
      </c>
      <c r="G199" s="50">
        <v>100</v>
      </c>
      <c r="H199" s="112"/>
    </row>
    <row r="200" spans="1:8" ht="15.75" x14ac:dyDescent="0.3">
      <c r="A200" s="50" t="s">
        <v>40</v>
      </c>
      <c r="B200" s="50" t="s">
        <v>3130</v>
      </c>
      <c r="C200" s="51" t="s">
        <v>3075</v>
      </c>
      <c r="D200" s="50">
        <v>13</v>
      </c>
      <c r="E200" s="129" t="str">
        <f t="shared" si="24"/>
        <v>3#9#20|3#10#20</v>
      </c>
      <c r="F200" s="214" t="str">
        <f t="shared" si="25"/>
        <v>中品注灵石14/元宝56000</v>
      </c>
      <c r="G200" s="50">
        <v>100</v>
      </c>
      <c r="H200" s="112"/>
    </row>
    <row r="201" spans="1:8" ht="15.75" x14ac:dyDescent="0.3">
      <c r="A201" s="50" t="s">
        <v>40</v>
      </c>
      <c r="B201" s="50" t="s">
        <v>3130</v>
      </c>
      <c r="C201" s="51" t="s">
        <v>3076</v>
      </c>
      <c r="D201" s="50">
        <v>14</v>
      </c>
      <c r="E201" s="129" t="str">
        <f t="shared" si="24"/>
        <v>3#9#21|3#10#21</v>
      </c>
      <c r="F201" s="214" t="str">
        <f t="shared" si="25"/>
        <v>中品注灵石15/元宝60000</v>
      </c>
      <c r="G201" s="50">
        <v>100</v>
      </c>
      <c r="H201" s="112"/>
    </row>
    <row r="202" spans="1:8" ht="15.75" x14ac:dyDescent="0.3">
      <c r="A202" s="50" t="s">
        <v>40</v>
      </c>
      <c r="B202" s="50" t="s">
        <v>3130</v>
      </c>
      <c r="C202" s="51" t="s">
        <v>3077</v>
      </c>
      <c r="D202" s="50">
        <v>15</v>
      </c>
      <c r="E202" s="129" t="str">
        <f t="shared" si="24"/>
        <v>3#9#23|3#10#23</v>
      </c>
      <c r="F202" s="214" t="str">
        <f>"上品注灵石"&amp;ROUND(AG19/2,0)&amp;"/元宝"&amp;AH18</f>
        <v>上品注灵石8/元宝60000</v>
      </c>
      <c r="G202" s="50">
        <v>30</v>
      </c>
      <c r="H202" s="112"/>
    </row>
    <row r="203" spans="1:8" ht="15.75" x14ac:dyDescent="0.3">
      <c r="A203" s="50" t="s">
        <v>40</v>
      </c>
      <c r="B203" s="50" t="s">
        <v>3131</v>
      </c>
      <c r="C203" s="51" t="s">
        <v>3079</v>
      </c>
      <c r="D203" s="50">
        <v>16</v>
      </c>
      <c r="E203" s="129" t="str">
        <f t="shared" si="24"/>
        <v>3#9#26|3#10#26</v>
      </c>
      <c r="F203" s="214" t="str">
        <f t="shared" ref="F203:F216" si="26">"上品注灵石"&amp;ROUND(AG20/2,0)&amp;"/元宝"&amp;AH19</f>
        <v>上品注灵石9/元宝64000</v>
      </c>
      <c r="G203" s="50">
        <v>30</v>
      </c>
      <c r="H203" s="112"/>
    </row>
    <row r="204" spans="1:8" ht="15.75" x14ac:dyDescent="0.3">
      <c r="A204" s="50" t="s">
        <v>40</v>
      </c>
      <c r="B204" s="50" t="s">
        <v>3131</v>
      </c>
      <c r="C204" s="51" t="s">
        <v>3080</v>
      </c>
      <c r="D204" s="50">
        <v>17</v>
      </c>
      <c r="E204" s="129" t="str">
        <f t="shared" si="24"/>
        <v>3#9#28|3#10#28</v>
      </c>
      <c r="F204" s="214" t="str">
        <f t="shared" si="26"/>
        <v>上品注灵石10/元宝72000</v>
      </c>
      <c r="G204" s="50">
        <v>30</v>
      </c>
      <c r="H204" s="112"/>
    </row>
    <row r="205" spans="1:8" ht="15.75" x14ac:dyDescent="0.3">
      <c r="A205" s="50" t="s">
        <v>40</v>
      </c>
      <c r="B205" s="50" t="s">
        <v>3131</v>
      </c>
      <c r="C205" s="51" t="s">
        <v>3081</v>
      </c>
      <c r="D205" s="50">
        <v>18</v>
      </c>
      <c r="E205" s="129" t="str">
        <f t="shared" si="24"/>
        <v>3#9#30|3#10#30</v>
      </c>
      <c r="F205" s="214" t="str">
        <f t="shared" si="26"/>
        <v>上品注灵石11/元宝80000</v>
      </c>
      <c r="G205" s="50">
        <v>30</v>
      </c>
      <c r="H205" s="112"/>
    </row>
    <row r="206" spans="1:8" ht="15.75" x14ac:dyDescent="0.3">
      <c r="A206" s="50" t="s">
        <v>40</v>
      </c>
      <c r="B206" s="50" t="s">
        <v>3131</v>
      </c>
      <c r="C206" s="51" t="s">
        <v>3082</v>
      </c>
      <c r="D206" s="50">
        <v>19</v>
      </c>
      <c r="E206" s="129" t="str">
        <f t="shared" si="24"/>
        <v>3#9#31|3#10#31</v>
      </c>
      <c r="F206" s="214" t="str">
        <f t="shared" si="26"/>
        <v>上品注灵石12/元宝88000</v>
      </c>
      <c r="G206" s="50">
        <v>30</v>
      </c>
      <c r="H206" s="112"/>
    </row>
    <row r="207" spans="1:8" ht="15.75" x14ac:dyDescent="0.3">
      <c r="A207" s="50" t="s">
        <v>40</v>
      </c>
      <c r="B207" s="50" t="s">
        <v>3131</v>
      </c>
      <c r="C207" s="51" t="s">
        <v>3083</v>
      </c>
      <c r="D207" s="50">
        <v>20</v>
      </c>
      <c r="E207" s="129" t="str">
        <f t="shared" si="24"/>
        <v>3#9#33|3#10#33</v>
      </c>
      <c r="F207" s="214" t="str">
        <f t="shared" si="26"/>
        <v>上品注灵石14/元宝96000</v>
      </c>
      <c r="G207" s="50">
        <v>25</v>
      </c>
      <c r="H207" s="112"/>
    </row>
    <row r="208" spans="1:8" ht="15.75" x14ac:dyDescent="0.3">
      <c r="A208" s="50" t="s">
        <v>40</v>
      </c>
      <c r="B208" s="50" t="s">
        <v>3131</v>
      </c>
      <c r="C208" s="51" t="s">
        <v>3084</v>
      </c>
      <c r="D208" s="50">
        <v>21</v>
      </c>
      <c r="E208" s="129" t="str">
        <f t="shared" si="24"/>
        <v>3#9#37|3#10#37</v>
      </c>
      <c r="F208" s="214" t="str">
        <f t="shared" si="26"/>
        <v>上品注灵石15/元宝108000</v>
      </c>
      <c r="G208" s="50">
        <v>25</v>
      </c>
      <c r="H208" s="112"/>
    </row>
    <row r="209" spans="1:8" ht="15.75" x14ac:dyDescent="0.3">
      <c r="A209" s="50" t="s">
        <v>40</v>
      </c>
      <c r="B209" s="50" t="s">
        <v>3131</v>
      </c>
      <c r="C209" s="51" t="s">
        <v>3085</v>
      </c>
      <c r="D209" s="50">
        <v>22</v>
      </c>
      <c r="E209" s="129" t="str">
        <f t="shared" si="24"/>
        <v>3#9#38|3#10#38</v>
      </c>
      <c r="F209" s="214" t="str">
        <f t="shared" si="26"/>
        <v>上品注灵石16/元宝116000</v>
      </c>
      <c r="G209" s="50">
        <v>25</v>
      </c>
      <c r="H209" s="112"/>
    </row>
    <row r="210" spans="1:8" ht="15.75" x14ac:dyDescent="0.3">
      <c r="A210" s="50" t="s">
        <v>40</v>
      </c>
      <c r="B210" s="50" t="s">
        <v>3131</v>
      </c>
      <c r="C210" s="51" t="s">
        <v>3086</v>
      </c>
      <c r="D210" s="50">
        <v>23</v>
      </c>
      <c r="E210" s="129" t="str">
        <f t="shared" si="24"/>
        <v>3#9#40|3#10#40</v>
      </c>
      <c r="F210" s="214" t="str">
        <f t="shared" si="26"/>
        <v>上品注灵石17/元宝124000</v>
      </c>
      <c r="G210" s="50">
        <v>25</v>
      </c>
      <c r="H210" s="112"/>
    </row>
    <row r="211" spans="1:8" ht="15.75" x14ac:dyDescent="0.3">
      <c r="A211" s="50" t="s">
        <v>40</v>
      </c>
      <c r="B211" s="50" t="s">
        <v>3131</v>
      </c>
      <c r="C211" s="51" t="s">
        <v>3087</v>
      </c>
      <c r="D211" s="50">
        <v>24</v>
      </c>
      <c r="E211" s="129" t="str">
        <f t="shared" si="24"/>
        <v>3#9#42|3#10#42</v>
      </c>
      <c r="F211" s="214" t="str">
        <f t="shared" si="26"/>
        <v>上品注灵石18/元宝136000</v>
      </c>
      <c r="G211" s="50">
        <v>25</v>
      </c>
      <c r="H211" s="112"/>
    </row>
    <row r="212" spans="1:8" ht="15.75" x14ac:dyDescent="0.3">
      <c r="A212" s="50" t="s">
        <v>40</v>
      </c>
      <c r="B212" s="50" t="s">
        <v>3131</v>
      </c>
      <c r="C212" s="51" t="s">
        <v>3088</v>
      </c>
      <c r="D212" s="50">
        <v>25</v>
      </c>
      <c r="E212" s="129" t="str">
        <f t="shared" si="24"/>
        <v>3#9#44|3#10#44</v>
      </c>
      <c r="F212" s="214" t="str">
        <f t="shared" si="26"/>
        <v>上品注灵石19/元宝144000</v>
      </c>
      <c r="G212" s="50">
        <v>25</v>
      </c>
      <c r="H212" s="112"/>
    </row>
    <row r="213" spans="1:8" ht="15.75" x14ac:dyDescent="0.3">
      <c r="A213" s="50" t="s">
        <v>40</v>
      </c>
      <c r="B213" s="50" t="s">
        <v>3131</v>
      </c>
      <c r="C213" s="51" t="s">
        <v>3089</v>
      </c>
      <c r="D213" s="50">
        <v>26</v>
      </c>
      <c r="E213" s="129" t="str">
        <f t="shared" si="24"/>
        <v>3#9#49|3#10#49</v>
      </c>
      <c r="F213" s="214" t="str">
        <f t="shared" si="26"/>
        <v>上品注灵石20/元宝152000</v>
      </c>
      <c r="G213" s="50">
        <v>25</v>
      </c>
      <c r="H213" s="112"/>
    </row>
    <row r="214" spans="1:8" ht="15.75" x14ac:dyDescent="0.3">
      <c r="A214" s="50" t="s">
        <v>40</v>
      </c>
      <c r="B214" s="50" t="s">
        <v>3131</v>
      </c>
      <c r="C214" s="51" t="s">
        <v>3090</v>
      </c>
      <c r="D214" s="50">
        <v>27</v>
      </c>
      <c r="E214" s="129" t="str">
        <f t="shared" si="24"/>
        <v>3#9#51|3#10#51</v>
      </c>
      <c r="F214" s="214" t="str">
        <f t="shared" si="26"/>
        <v>上品注灵石21/元宝156000</v>
      </c>
      <c r="G214" s="50">
        <v>25</v>
      </c>
      <c r="H214" s="112"/>
    </row>
    <row r="215" spans="1:8" ht="15.75" x14ac:dyDescent="0.3">
      <c r="A215" s="50" t="s">
        <v>40</v>
      </c>
      <c r="B215" s="50" t="s">
        <v>3131</v>
      </c>
      <c r="C215" s="51" t="s">
        <v>3091</v>
      </c>
      <c r="D215" s="50">
        <v>28</v>
      </c>
      <c r="E215" s="129" t="str">
        <f t="shared" si="24"/>
        <v>3#9#52|3#10#52</v>
      </c>
      <c r="F215" s="214" t="str">
        <f t="shared" si="26"/>
        <v>上品注灵石22/元宝164000</v>
      </c>
      <c r="G215" s="50">
        <v>25</v>
      </c>
      <c r="H215" s="112"/>
    </row>
    <row r="216" spans="1:8" ht="15.75" x14ac:dyDescent="0.3">
      <c r="A216" s="50" t="s">
        <v>40</v>
      </c>
      <c r="B216" s="50" t="s">
        <v>3131</v>
      </c>
      <c r="C216" s="51" t="s">
        <v>3092</v>
      </c>
      <c r="D216" s="50">
        <v>29</v>
      </c>
      <c r="E216" s="129" t="str">
        <f t="shared" si="24"/>
        <v>3#9#54|3#10#54</v>
      </c>
      <c r="F216" s="214" t="str">
        <f t="shared" si="26"/>
        <v>上品注灵石23/元宝172000</v>
      </c>
      <c r="G216" s="50">
        <v>25</v>
      </c>
      <c r="H216" s="112"/>
    </row>
    <row r="217" spans="1:8" ht="15.75" x14ac:dyDescent="0.3">
      <c r="A217" s="50" t="s">
        <v>40</v>
      </c>
      <c r="B217" s="50" t="s">
        <v>3131</v>
      </c>
      <c r="C217" s="51" t="s">
        <v>3093</v>
      </c>
      <c r="D217" s="50">
        <v>30</v>
      </c>
      <c r="E217" s="129" t="str">
        <f t="shared" si="24"/>
        <v>3#9#56|3#10#56</v>
      </c>
      <c r="F217" s="214" t="str">
        <f>"极品注灵石"&amp;ROUND(AG34/10,0)&amp;"/元宝"&amp;AH32</f>
        <v>极品注灵石5/元宝172000</v>
      </c>
      <c r="G217" s="50">
        <v>30</v>
      </c>
      <c r="H217" s="112"/>
    </row>
    <row r="218" spans="1:8" ht="15.75" x14ac:dyDescent="0.3">
      <c r="A218" s="50" t="s">
        <v>40</v>
      </c>
      <c r="B218" s="50" t="s">
        <v>3131</v>
      </c>
      <c r="C218" s="51" t="s">
        <v>3094</v>
      </c>
      <c r="D218" s="50">
        <v>31</v>
      </c>
      <c r="E218" s="129" t="str">
        <f t="shared" si="24"/>
        <v>3#9#61|3#10#61</v>
      </c>
      <c r="F218" s="214" t="str">
        <f t="shared" ref="F218:F231" si="27">"极品注灵石"&amp;ROUND(AG35/10,0)&amp;"/元宝"&amp;AH33</f>
        <v>极品注灵石5/元宝180000</v>
      </c>
      <c r="G218" s="50">
        <v>30</v>
      </c>
      <c r="H218" s="112"/>
    </row>
    <row r="219" spans="1:8" ht="15.75" x14ac:dyDescent="0.3">
      <c r="A219" s="50" t="s">
        <v>40</v>
      </c>
      <c r="B219" s="50" t="s">
        <v>3131</v>
      </c>
      <c r="C219" s="51" t="s">
        <v>3095</v>
      </c>
      <c r="D219" s="50">
        <v>32</v>
      </c>
      <c r="E219" s="129" t="str">
        <f t="shared" si="24"/>
        <v>3#9#63|3#10#63</v>
      </c>
      <c r="F219" s="214" t="str">
        <f t="shared" si="27"/>
        <v>极品注灵石5/元宝184000</v>
      </c>
      <c r="G219" s="50">
        <v>30</v>
      </c>
      <c r="H219" s="112"/>
    </row>
    <row r="220" spans="1:8" ht="15.75" x14ac:dyDescent="0.3">
      <c r="A220" s="50" t="s">
        <v>40</v>
      </c>
      <c r="B220" s="50" t="s">
        <v>3131</v>
      </c>
      <c r="C220" s="51" t="s">
        <v>3096</v>
      </c>
      <c r="D220" s="50">
        <v>33</v>
      </c>
      <c r="E220" s="129" t="str">
        <f t="shared" si="24"/>
        <v>3#9#66|3#10#66</v>
      </c>
      <c r="F220" s="214" t="str">
        <f t="shared" si="27"/>
        <v>极品注灵石5/元宝192000</v>
      </c>
      <c r="G220" s="50">
        <v>30</v>
      </c>
      <c r="H220" s="112"/>
    </row>
    <row r="221" spans="1:8" ht="15.75" x14ac:dyDescent="0.3">
      <c r="A221" s="50" t="s">
        <v>40</v>
      </c>
      <c r="B221" s="50" t="s">
        <v>3131</v>
      </c>
      <c r="C221" s="51" t="s">
        <v>3097</v>
      </c>
      <c r="D221" s="50">
        <v>34</v>
      </c>
      <c r="E221" s="129" t="str">
        <f t="shared" si="24"/>
        <v>3#9#67|3#10#67</v>
      </c>
      <c r="F221" s="214" t="str">
        <f t="shared" si="27"/>
        <v>极品注灵石5/元宝200000</v>
      </c>
      <c r="G221" s="50">
        <v>30</v>
      </c>
      <c r="H221" s="112"/>
    </row>
    <row r="222" spans="1:8" ht="15.75" x14ac:dyDescent="0.3">
      <c r="A222" s="50" t="s">
        <v>40</v>
      </c>
      <c r="B222" s="50" t="s">
        <v>3131</v>
      </c>
      <c r="C222" s="51" t="s">
        <v>3098</v>
      </c>
      <c r="D222" s="50">
        <v>35</v>
      </c>
      <c r="E222" s="129" t="str">
        <f t="shared" si="24"/>
        <v>3#9#69|3#10#69</v>
      </c>
      <c r="F222" s="214" t="str">
        <f t="shared" si="27"/>
        <v>极品注灵石6/元宝208000</v>
      </c>
      <c r="G222" s="50">
        <v>25</v>
      </c>
      <c r="H222" s="112"/>
    </row>
    <row r="223" spans="1:8" ht="15.75" x14ac:dyDescent="0.3">
      <c r="A223" s="50" t="s">
        <v>40</v>
      </c>
      <c r="B223" s="50" t="s">
        <v>3131</v>
      </c>
      <c r="C223" s="51" t="s">
        <v>3099</v>
      </c>
      <c r="D223" s="50">
        <v>36</v>
      </c>
      <c r="E223" s="129" t="str">
        <f t="shared" si="24"/>
        <v>3#9#76|3#10#76</v>
      </c>
      <c r="F223" s="214" t="str">
        <f t="shared" si="27"/>
        <v>极品注灵石6/元宝212000</v>
      </c>
      <c r="G223" s="50">
        <v>25</v>
      </c>
      <c r="H223" s="112"/>
    </row>
    <row r="224" spans="1:8" ht="15.75" x14ac:dyDescent="0.3">
      <c r="A224" s="50" t="s">
        <v>40</v>
      </c>
      <c r="B224" s="50" t="s">
        <v>3131</v>
      </c>
      <c r="C224" s="51" t="s">
        <v>3100</v>
      </c>
      <c r="D224" s="50">
        <v>37</v>
      </c>
      <c r="E224" s="129" t="str">
        <f t="shared" si="24"/>
        <v>3#9#77|3#10#77</v>
      </c>
      <c r="F224" s="214" t="str">
        <f t="shared" si="27"/>
        <v>极品注灵石6/元宝220000</v>
      </c>
      <c r="G224" s="50">
        <v>25</v>
      </c>
      <c r="H224" s="112"/>
    </row>
    <row r="225" spans="1:8" ht="15.75" x14ac:dyDescent="0.3">
      <c r="A225" s="50" t="s">
        <v>40</v>
      </c>
      <c r="B225" s="50" t="s">
        <v>3131</v>
      </c>
      <c r="C225" s="51" t="s">
        <v>3101</v>
      </c>
      <c r="D225" s="50">
        <v>38</v>
      </c>
      <c r="E225" s="129" t="str">
        <f t="shared" si="24"/>
        <v>3#9#80|3#10#80</v>
      </c>
      <c r="F225" s="214" t="str">
        <f t="shared" si="27"/>
        <v>极品注灵石6/元宝228000</v>
      </c>
      <c r="G225" s="50">
        <v>25</v>
      </c>
      <c r="H225" s="112"/>
    </row>
    <row r="226" spans="1:8" ht="15.75" x14ac:dyDescent="0.3">
      <c r="A226" s="50" t="s">
        <v>40</v>
      </c>
      <c r="B226" s="50" t="s">
        <v>3131</v>
      </c>
      <c r="C226" s="51" t="s">
        <v>3102</v>
      </c>
      <c r="D226" s="50">
        <v>39</v>
      </c>
      <c r="E226" s="129" t="str">
        <f t="shared" si="24"/>
        <v>3#9#82|3#10#82</v>
      </c>
      <c r="F226" s="214" t="str">
        <f t="shared" si="27"/>
        <v>极品注灵石6/元宝236000</v>
      </c>
      <c r="G226" s="50">
        <v>25</v>
      </c>
      <c r="H226" s="112"/>
    </row>
    <row r="227" spans="1:8" ht="15.75" x14ac:dyDescent="0.3">
      <c r="A227" s="50" t="s">
        <v>40</v>
      </c>
      <c r="B227" s="50" t="s">
        <v>3131</v>
      </c>
      <c r="C227" s="51" t="s">
        <v>3103</v>
      </c>
      <c r="D227" s="50">
        <v>40</v>
      </c>
      <c r="E227" s="129" t="str">
        <f t="shared" si="24"/>
        <v>3#9#84|3#10#84</v>
      </c>
      <c r="F227" s="214" t="str">
        <f t="shared" si="27"/>
        <v>极品注灵石6/元宝240000</v>
      </c>
      <c r="G227" s="50">
        <v>20</v>
      </c>
      <c r="H227" s="112"/>
    </row>
    <row r="228" spans="1:8" ht="15.75" x14ac:dyDescent="0.3">
      <c r="A228" s="50" t="s">
        <v>40</v>
      </c>
      <c r="B228" s="50" t="s">
        <v>3131</v>
      </c>
      <c r="C228" s="51" t="s">
        <v>3104</v>
      </c>
      <c r="D228" s="50">
        <v>41</v>
      </c>
      <c r="E228" s="129" t="str">
        <f t="shared" si="24"/>
        <v>3#9#91|3#10#91</v>
      </c>
      <c r="F228" s="214" t="str">
        <f t="shared" si="27"/>
        <v>极品注灵石6/元宝248000</v>
      </c>
      <c r="G228" s="50">
        <v>20</v>
      </c>
      <c r="H228" s="112"/>
    </row>
    <row r="229" spans="1:8" ht="15.75" x14ac:dyDescent="0.3">
      <c r="A229" s="50" t="s">
        <v>40</v>
      </c>
      <c r="B229" s="50" t="s">
        <v>3131</v>
      </c>
      <c r="C229" s="51" t="s">
        <v>3105</v>
      </c>
      <c r="D229" s="50">
        <v>42</v>
      </c>
      <c r="E229" s="129" t="str">
        <f t="shared" si="24"/>
        <v>3#9#93|3#10#93</v>
      </c>
      <c r="F229" s="214" t="str">
        <f t="shared" si="27"/>
        <v>极品注灵石7/元宝252000</v>
      </c>
      <c r="G229" s="50">
        <v>20</v>
      </c>
      <c r="H229" s="112"/>
    </row>
    <row r="230" spans="1:8" ht="15.75" x14ac:dyDescent="0.3">
      <c r="A230" s="50" t="s">
        <v>40</v>
      </c>
      <c r="B230" s="50" t="s">
        <v>3131</v>
      </c>
      <c r="C230" s="51" t="s">
        <v>3106</v>
      </c>
      <c r="D230" s="50">
        <v>43</v>
      </c>
      <c r="E230" s="129" t="str">
        <f t="shared" si="24"/>
        <v>3#9#95|3#10#95</v>
      </c>
      <c r="F230" s="214" t="str">
        <f t="shared" si="27"/>
        <v>极品注灵石7/元宝256000</v>
      </c>
      <c r="G230" s="50">
        <v>20</v>
      </c>
      <c r="H230" s="112"/>
    </row>
    <row r="231" spans="1:8" ht="15.75" x14ac:dyDescent="0.3">
      <c r="A231" s="50" t="s">
        <v>40</v>
      </c>
      <c r="B231" s="50" t="s">
        <v>3131</v>
      </c>
      <c r="C231" s="51" t="s">
        <v>3107</v>
      </c>
      <c r="D231" s="50">
        <v>44</v>
      </c>
      <c r="E231" s="129" t="str">
        <f t="shared" si="24"/>
        <v>3#9#97|3#10#97</v>
      </c>
      <c r="F231" s="214" t="str">
        <f t="shared" si="27"/>
        <v>极品注灵石7/元宝264000</v>
      </c>
      <c r="G231" s="50">
        <v>20</v>
      </c>
      <c r="H231" s="112"/>
    </row>
    <row r="232" spans="1:8" ht="15.75" x14ac:dyDescent="0.3">
      <c r="A232" s="50" t="s">
        <v>40</v>
      </c>
      <c r="B232" s="50" t="s">
        <v>3131</v>
      </c>
      <c r="C232" s="51" t="s">
        <v>3108</v>
      </c>
      <c r="D232" s="50">
        <v>45</v>
      </c>
      <c r="E232" s="129" t="str">
        <f>"3#9#"&amp;INT(1/3*Z48)&amp;"|"&amp;"3#10#"&amp;INT(1/3*Z48)</f>
        <v>3#9#100|3#10#100</v>
      </c>
      <c r="F232" s="214"/>
      <c r="G232" s="50"/>
      <c r="H232" s="112"/>
    </row>
    <row r="233" spans="1:8" ht="15.75" x14ac:dyDescent="0.3">
      <c r="A233" s="53" t="s">
        <v>40</v>
      </c>
      <c r="B233" s="53" t="s">
        <v>3132</v>
      </c>
      <c r="C233" s="54" t="s">
        <v>78</v>
      </c>
      <c r="D233" s="53">
        <v>0</v>
      </c>
      <c r="E233" s="133"/>
      <c r="F233" s="215" t="str">
        <f>"中品注灵石"&amp;AG4&amp;"/元宝"&amp;AH4</f>
        <v>中品注灵石5/元宝20000</v>
      </c>
      <c r="G233" s="53">
        <v>100</v>
      </c>
      <c r="H233" s="112"/>
    </row>
    <row r="234" spans="1:8" ht="15.75" x14ac:dyDescent="0.3">
      <c r="A234" s="53" t="s">
        <v>40</v>
      </c>
      <c r="B234" s="53" t="s">
        <v>3132</v>
      </c>
      <c r="C234" s="54" t="s">
        <v>3055</v>
      </c>
      <c r="D234" s="53">
        <v>1</v>
      </c>
      <c r="E234" s="133" t="str">
        <f t="shared" ref="E234:E277" si="28">"3#1#"&amp;INT(0.5*V4)</f>
        <v>3#1#60</v>
      </c>
      <c r="F234" s="215" t="str">
        <f t="shared" ref="F234:F247" si="29">"中品注灵石"&amp;AG5&amp;"/元宝"&amp;AH5</f>
        <v>中品注灵石6/元宝24000</v>
      </c>
      <c r="G234" s="53">
        <v>100</v>
      </c>
      <c r="H234" s="112"/>
    </row>
    <row r="235" spans="1:8" ht="15.75" x14ac:dyDescent="0.3">
      <c r="A235" s="53" t="s">
        <v>40</v>
      </c>
      <c r="B235" s="53" t="s">
        <v>3132</v>
      </c>
      <c r="C235" s="54" t="s">
        <v>3057</v>
      </c>
      <c r="D235" s="53">
        <v>2</v>
      </c>
      <c r="E235" s="133" t="str">
        <f t="shared" si="28"/>
        <v>3#1#120</v>
      </c>
      <c r="F235" s="215" t="str">
        <f t="shared" si="29"/>
        <v>中品注灵石6/元宝24000</v>
      </c>
      <c r="G235" s="53">
        <v>100</v>
      </c>
      <c r="H235" s="112"/>
    </row>
    <row r="236" spans="1:8" ht="15.75" x14ac:dyDescent="0.3">
      <c r="A236" s="53" t="s">
        <v>40</v>
      </c>
      <c r="B236" s="53" t="s">
        <v>3132</v>
      </c>
      <c r="C236" s="54" t="s">
        <v>3059</v>
      </c>
      <c r="D236" s="53">
        <v>3</v>
      </c>
      <c r="E236" s="133" t="str">
        <f t="shared" si="28"/>
        <v>3#1#180</v>
      </c>
      <c r="F236" s="215" t="str">
        <f t="shared" si="29"/>
        <v>中品注灵石7/元宝28000</v>
      </c>
      <c r="G236" s="53">
        <v>100</v>
      </c>
      <c r="H236" s="112"/>
    </row>
    <row r="237" spans="1:8" ht="15.75" x14ac:dyDescent="0.3">
      <c r="A237" s="53" t="s">
        <v>40</v>
      </c>
      <c r="B237" s="53" t="s">
        <v>3132</v>
      </c>
      <c r="C237" s="54" t="s">
        <v>3061</v>
      </c>
      <c r="D237" s="53">
        <v>4</v>
      </c>
      <c r="E237" s="133" t="str">
        <f t="shared" si="28"/>
        <v>3#1#240</v>
      </c>
      <c r="F237" s="215" t="str">
        <f t="shared" si="29"/>
        <v>中品注灵石8/元宝32000</v>
      </c>
      <c r="G237" s="53">
        <v>100</v>
      </c>
      <c r="H237" s="112"/>
    </row>
    <row r="238" spans="1:8" ht="15.75" x14ac:dyDescent="0.3">
      <c r="A238" s="53" t="s">
        <v>40</v>
      </c>
      <c r="B238" s="53" t="s">
        <v>3132</v>
      </c>
      <c r="C238" s="54" t="s">
        <v>3063</v>
      </c>
      <c r="D238" s="53">
        <v>5</v>
      </c>
      <c r="E238" s="133" t="str">
        <f t="shared" si="28"/>
        <v>3#1#300</v>
      </c>
      <c r="F238" s="215" t="str">
        <f t="shared" si="29"/>
        <v>中品注灵石8/元宝32000</v>
      </c>
      <c r="G238" s="53">
        <v>100</v>
      </c>
      <c r="H238" s="112"/>
    </row>
    <row r="239" spans="1:8" ht="15.75" x14ac:dyDescent="0.3">
      <c r="A239" s="53" t="s">
        <v>40</v>
      </c>
      <c r="B239" s="53" t="s">
        <v>3132</v>
      </c>
      <c r="C239" s="54" t="s">
        <v>3065</v>
      </c>
      <c r="D239" s="53">
        <v>6</v>
      </c>
      <c r="E239" s="133" t="str">
        <f t="shared" si="28"/>
        <v>3#1#390</v>
      </c>
      <c r="F239" s="215" t="str">
        <f t="shared" si="29"/>
        <v>中品注灵石9/元宝36000</v>
      </c>
      <c r="G239" s="53">
        <v>100</v>
      </c>
      <c r="H239" s="112"/>
    </row>
    <row r="240" spans="1:8" ht="15.75" x14ac:dyDescent="0.3">
      <c r="A240" s="53" t="s">
        <v>40</v>
      </c>
      <c r="B240" s="53" t="s">
        <v>3132</v>
      </c>
      <c r="C240" s="54" t="s">
        <v>3067</v>
      </c>
      <c r="D240" s="53">
        <v>7</v>
      </c>
      <c r="E240" s="133" t="str">
        <f t="shared" si="28"/>
        <v>3#1#455</v>
      </c>
      <c r="F240" s="215" t="str">
        <f t="shared" si="29"/>
        <v>中品注灵石9/元宝36000</v>
      </c>
      <c r="G240" s="53">
        <v>100</v>
      </c>
      <c r="H240" s="112"/>
    </row>
    <row r="241" spans="1:8" ht="15.75" x14ac:dyDescent="0.3">
      <c r="A241" s="53" t="s">
        <v>40</v>
      </c>
      <c r="B241" s="53" t="s">
        <v>3132</v>
      </c>
      <c r="C241" s="54" t="s">
        <v>3069</v>
      </c>
      <c r="D241" s="53">
        <v>8</v>
      </c>
      <c r="E241" s="133" t="str">
        <f t="shared" si="28"/>
        <v>3#1#520</v>
      </c>
      <c r="F241" s="215" t="str">
        <f t="shared" si="29"/>
        <v>中品注灵石10/元宝40000</v>
      </c>
      <c r="G241" s="53">
        <v>100</v>
      </c>
      <c r="H241" s="112"/>
    </row>
    <row r="242" spans="1:8" ht="15.75" x14ac:dyDescent="0.3">
      <c r="A242" s="53" t="s">
        <v>40</v>
      </c>
      <c r="B242" s="53" t="s">
        <v>3132</v>
      </c>
      <c r="C242" s="54" t="s">
        <v>3071</v>
      </c>
      <c r="D242" s="53">
        <v>9</v>
      </c>
      <c r="E242" s="133" t="str">
        <f t="shared" si="28"/>
        <v>3#1#585</v>
      </c>
      <c r="F242" s="215" t="str">
        <f t="shared" si="29"/>
        <v>中品注灵石11/元宝44000</v>
      </c>
      <c r="G242" s="53">
        <v>100</v>
      </c>
      <c r="H242" s="112"/>
    </row>
    <row r="243" spans="1:8" ht="15.75" x14ac:dyDescent="0.3">
      <c r="A243" s="53" t="s">
        <v>40</v>
      </c>
      <c r="B243" s="53" t="s">
        <v>3132</v>
      </c>
      <c r="C243" s="54" t="s">
        <v>3072</v>
      </c>
      <c r="D243" s="53">
        <v>10</v>
      </c>
      <c r="E243" s="133" t="str">
        <f t="shared" si="28"/>
        <v>3#1#650</v>
      </c>
      <c r="F243" s="215" t="str">
        <f t="shared" si="29"/>
        <v>中品注灵石11/元宝44000</v>
      </c>
      <c r="G243" s="53">
        <v>100</v>
      </c>
      <c r="H243" s="112"/>
    </row>
    <row r="244" spans="1:8" ht="15.75" x14ac:dyDescent="0.3">
      <c r="A244" s="53" t="s">
        <v>40</v>
      </c>
      <c r="B244" s="53" t="s">
        <v>3132</v>
      </c>
      <c r="C244" s="54" t="s">
        <v>3073</v>
      </c>
      <c r="D244" s="53">
        <v>11</v>
      </c>
      <c r="E244" s="133" t="str">
        <f t="shared" si="28"/>
        <v>3#1#770</v>
      </c>
      <c r="F244" s="215" t="str">
        <f t="shared" si="29"/>
        <v>中品注灵石12/元宝48000</v>
      </c>
      <c r="G244" s="53">
        <v>100</v>
      </c>
      <c r="H244" s="112"/>
    </row>
    <row r="245" spans="1:8" ht="15.75" x14ac:dyDescent="0.3">
      <c r="A245" s="53" t="s">
        <v>40</v>
      </c>
      <c r="B245" s="53" t="s">
        <v>3132</v>
      </c>
      <c r="C245" s="54" t="s">
        <v>3074</v>
      </c>
      <c r="D245" s="53">
        <v>12</v>
      </c>
      <c r="E245" s="133" t="str">
        <f t="shared" si="28"/>
        <v>3#1#840</v>
      </c>
      <c r="F245" s="215" t="str">
        <f t="shared" si="29"/>
        <v>中品注灵石13/元宝52000</v>
      </c>
      <c r="G245" s="53">
        <v>100</v>
      </c>
      <c r="H245" s="112"/>
    </row>
    <row r="246" spans="1:8" ht="15.75" x14ac:dyDescent="0.3">
      <c r="A246" s="53" t="s">
        <v>40</v>
      </c>
      <c r="B246" s="53" t="s">
        <v>3132</v>
      </c>
      <c r="C246" s="54" t="s">
        <v>3075</v>
      </c>
      <c r="D246" s="53">
        <v>13</v>
      </c>
      <c r="E246" s="133" t="str">
        <f t="shared" si="28"/>
        <v>3#1#910</v>
      </c>
      <c r="F246" s="215" t="str">
        <f t="shared" si="29"/>
        <v>中品注灵石14/元宝56000</v>
      </c>
      <c r="G246" s="53">
        <v>100</v>
      </c>
      <c r="H246" s="112"/>
    </row>
    <row r="247" spans="1:8" ht="15.75" x14ac:dyDescent="0.3">
      <c r="A247" s="53" t="s">
        <v>40</v>
      </c>
      <c r="B247" s="53" t="s">
        <v>3132</v>
      </c>
      <c r="C247" s="54" t="s">
        <v>3076</v>
      </c>
      <c r="D247" s="53">
        <v>14</v>
      </c>
      <c r="E247" s="133" t="str">
        <f t="shared" si="28"/>
        <v>3#1#980</v>
      </c>
      <c r="F247" s="215" t="str">
        <f t="shared" si="29"/>
        <v>中品注灵石15/元宝60000</v>
      </c>
      <c r="G247" s="53">
        <v>100</v>
      </c>
      <c r="H247" s="112"/>
    </row>
    <row r="248" spans="1:8" ht="15.75" x14ac:dyDescent="0.3">
      <c r="A248" s="53" t="s">
        <v>40</v>
      </c>
      <c r="B248" s="53" t="s">
        <v>3132</v>
      </c>
      <c r="C248" s="54" t="s">
        <v>3077</v>
      </c>
      <c r="D248" s="53">
        <v>15</v>
      </c>
      <c r="E248" s="133" t="str">
        <f t="shared" si="28"/>
        <v>3#1#1050</v>
      </c>
      <c r="F248" s="215" t="str">
        <f>"上品注灵石"&amp;ROUND(AG19/2,0)&amp;"/元宝"&amp;AH18</f>
        <v>上品注灵石8/元宝60000</v>
      </c>
      <c r="G248" s="53">
        <v>30</v>
      </c>
      <c r="H248" s="112"/>
    </row>
    <row r="249" spans="1:8" ht="15.75" x14ac:dyDescent="0.3">
      <c r="A249" s="53" t="s">
        <v>40</v>
      </c>
      <c r="B249" s="53" t="s">
        <v>3133</v>
      </c>
      <c r="C249" s="54" t="s">
        <v>3079</v>
      </c>
      <c r="D249" s="53">
        <v>16</v>
      </c>
      <c r="E249" s="133" t="str">
        <f t="shared" si="28"/>
        <v>3#1#1200</v>
      </c>
      <c r="F249" s="215" t="str">
        <f t="shared" ref="F249:F262" si="30">"上品注灵石"&amp;ROUND(AG20/2,0)&amp;"/元宝"&amp;AH19</f>
        <v>上品注灵石9/元宝64000</v>
      </c>
      <c r="G249" s="53">
        <v>30</v>
      </c>
      <c r="H249" s="112"/>
    </row>
    <row r="250" spans="1:8" ht="15.75" x14ac:dyDescent="0.3">
      <c r="A250" s="53" t="s">
        <v>40</v>
      </c>
      <c r="B250" s="53" t="s">
        <v>3133</v>
      </c>
      <c r="C250" s="54" t="s">
        <v>3080</v>
      </c>
      <c r="D250" s="53">
        <v>17</v>
      </c>
      <c r="E250" s="133" t="str">
        <f t="shared" si="28"/>
        <v>3#1#1275</v>
      </c>
      <c r="F250" s="215" t="str">
        <f t="shared" si="30"/>
        <v>上品注灵石10/元宝72000</v>
      </c>
      <c r="G250" s="53">
        <v>30</v>
      </c>
      <c r="H250" s="112"/>
    </row>
    <row r="251" spans="1:8" ht="15.75" x14ac:dyDescent="0.3">
      <c r="A251" s="53" t="s">
        <v>40</v>
      </c>
      <c r="B251" s="53" t="s">
        <v>3133</v>
      </c>
      <c r="C251" s="54" t="s">
        <v>3081</v>
      </c>
      <c r="D251" s="53">
        <v>18</v>
      </c>
      <c r="E251" s="133" t="str">
        <f t="shared" si="28"/>
        <v>3#1#1350</v>
      </c>
      <c r="F251" s="215" t="str">
        <f t="shared" si="30"/>
        <v>上品注灵石11/元宝80000</v>
      </c>
      <c r="G251" s="53">
        <v>30</v>
      </c>
      <c r="H251" s="112"/>
    </row>
    <row r="252" spans="1:8" ht="15.75" x14ac:dyDescent="0.3">
      <c r="A252" s="53" t="s">
        <v>40</v>
      </c>
      <c r="B252" s="53" t="s">
        <v>3133</v>
      </c>
      <c r="C252" s="54" t="s">
        <v>3082</v>
      </c>
      <c r="D252" s="53">
        <v>19</v>
      </c>
      <c r="E252" s="133" t="str">
        <f t="shared" si="28"/>
        <v>3#1#1425</v>
      </c>
      <c r="F252" s="215" t="str">
        <f t="shared" si="30"/>
        <v>上品注灵石12/元宝88000</v>
      </c>
      <c r="G252" s="53">
        <v>30</v>
      </c>
      <c r="H252" s="112"/>
    </row>
    <row r="253" spans="1:8" ht="15.75" x14ac:dyDescent="0.3">
      <c r="A253" s="53" t="s">
        <v>40</v>
      </c>
      <c r="B253" s="53" t="s">
        <v>3133</v>
      </c>
      <c r="C253" s="54" t="s">
        <v>3083</v>
      </c>
      <c r="D253" s="53">
        <v>20</v>
      </c>
      <c r="E253" s="133" t="str">
        <f t="shared" si="28"/>
        <v>3#1#1500</v>
      </c>
      <c r="F253" s="215" t="str">
        <f t="shared" si="30"/>
        <v>上品注灵石14/元宝96000</v>
      </c>
      <c r="G253" s="53">
        <v>25</v>
      </c>
      <c r="H253" s="112"/>
    </row>
    <row r="254" spans="1:8" ht="15.75" x14ac:dyDescent="0.3">
      <c r="A254" s="53" t="s">
        <v>40</v>
      </c>
      <c r="B254" s="53" t="s">
        <v>3133</v>
      </c>
      <c r="C254" s="54" t="s">
        <v>3084</v>
      </c>
      <c r="D254" s="53">
        <v>21</v>
      </c>
      <c r="E254" s="133" t="str">
        <f t="shared" si="28"/>
        <v>3#1#1680</v>
      </c>
      <c r="F254" s="215" t="str">
        <f t="shared" si="30"/>
        <v>上品注灵石15/元宝108000</v>
      </c>
      <c r="G254" s="53">
        <v>25</v>
      </c>
      <c r="H254" s="112"/>
    </row>
    <row r="255" spans="1:8" ht="15.75" x14ac:dyDescent="0.3">
      <c r="A255" s="53" t="s">
        <v>40</v>
      </c>
      <c r="B255" s="53" t="s">
        <v>3133</v>
      </c>
      <c r="C255" s="54" t="s">
        <v>3085</v>
      </c>
      <c r="D255" s="53">
        <v>22</v>
      </c>
      <c r="E255" s="133" t="str">
        <f t="shared" si="28"/>
        <v>3#1#1760</v>
      </c>
      <c r="F255" s="215" t="str">
        <f t="shared" si="30"/>
        <v>上品注灵石16/元宝116000</v>
      </c>
      <c r="G255" s="53">
        <v>25</v>
      </c>
      <c r="H255" s="112"/>
    </row>
    <row r="256" spans="1:8" ht="15.75" x14ac:dyDescent="0.3">
      <c r="A256" s="53" t="s">
        <v>40</v>
      </c>
      <c r="B256" s="53" t="s">
        <v>3133</v>
      </c>
      <c r="C256" s="54" t="s">
        <v>3086</v>
      </c>
      <c r="D256" s="53">
        <v>23</v>
      </c>
      <c r="E256" s="133" t="str">
        <f t="shared" si="28"/>
        <v>3#1#1840</v>
      </c>
      <c r="F256" s="215" t="str">
        <f t="shared" si="30"/>
        <v>上品注灵石17/元宝124000</v>
      </c>
      <c r="G256" s="53">
        <v>25</v>
      </c>
      <c r="H256" s="112"/>
    </row>
    <row r="257" spans="1:8" ht="15.75" x14ac:dyDescent="0.3">
      <c r="A257" s="53" t="s">
        <v>40</v>
      </c>
      <c r="B257" s="53" t="s">
        <v>3133</v>
      </c>
      <c r="C257" s="54" t="s">
        <v>3087</v>
      </c>
      <c r="D257" s="53">
        <v>24</v>
      </c>
      <c r="E257" s="133" t="str">
        <f t="shared" si="28"/>
        <v>3#1#1920</v>
      </c>
      <c r="F257" s="215" t="str">
        <f t="shared" si="30"/>
        <v>上品注灵石18/元宝136000</v>
      </c>
      <c r="G257" s="53">
        <v>25</v>
      </c>
      <c r="H257" s="112"/>
    </row>
    <row r="258" spans="1:8" ht="15.75" x14ac:dyDescent="0.3">
      <c r="A258" s="53" t="s">
        <v>40</v>
      </c>
      <c r="B258" s="53" t="s">
        <v>3133</v>
      </c>
      <c r="C258" s="54" t="s">
        <v>3088</v>
      </c>
      <c r="D258" s="53">
        <v>25</v>
      </c>
      <c r="E258" s="133" t="str">
        <f t="shared" si="28"/>
        <v>3#1#2000</v>
      </c>
      <c r="F258" s="215" t="str">
        <f t="shared" si="30"/>
        <v>上品注灵石19/元宝144000</v>
      </c>
      <c r="G258" s="53">
        <v>25</v>
      </c>
      <c r="H258" s="112"/>
    </row>
    <row r="259" spans="1:8" ht="15.75" x14ac:dyDescent="0.3">
      <c r="A259" s="53" t="s">
        <v>40</v>
      </c>
      <c r="B259" s="53" t="s">
        <v>3133</v>
      </c>
      <c r="C259" s="54" t="s">
        <v>3089</v>
      </c>
      <c r="D259" s="53">
        <v>26</v>
      </c>
      <c r="E259" s="133" t="str">
        <f t="shared" si="28"/>
        <v>3#1#2210</v>
      </c>
      <c r="F259" s="215" t="str">
        <f t="shared" si="30"/>
        <v>上品注灵石20/元宝152000</v>
      </c>
      <c r="G259" s="53">
        <v>25</v>
      </c>
      <c r="H259" s="112"/>
    </row>
    <row r="260" spans="1:8" ht="15.75" x14ac:dyDescent="0.3">
      <c r="A260" s="53" t="s">
        <v>40</v>
      </c>
      <c r="B260" s="53" t="s">
        <v>3133</v>
      </c>
      <c r="C260" s="54" t="s">
        <v>3090</v>
      </c>
      <c r="D260" s="53">
        <v>27</v>
      </c>
      <c r="E260" s="133" t="str">
        <f t="shared" si="28"/>
        <v>3#1#2295</v>
      </c>
      <c r="F260" s="215" t="str">
        <f t="shared" si="30"/>
        <v>上品注灵石21/元宝156000</v>
      </c>
      <c r="G260" s="53">
        <v>25</v>
      </c>
      <c r="H260" s="112"/>
    </row>
    <row r="261" spans="1:8" ht="15.75" x14ac:dyDescent="0.3">
      <c r="A261" s="53" t="s">
        <v>40</v>
      </c>
      <c r="B261" s="53" t="s">
        <v>3133</v>
      </c>
      <c r="C261" s="54" t="s">
        <v>3091</v>
      </c>
      <c r="D261" s="53">
        <v>28</v>
      </c>
      <c r="E261" s="133" t="str">
        <f t="shared" si="28"/>
        <v>3#1#2380</v>
      </c>
      <c r="F261" s="215" t="str">
        <f t="shared" si="30"/>
        <v>上品注灵石22/元宝164000</v>
      </c>
      <c r="G261" s="53">
        <v>25</v>
      </c>
      <c r="H261" s="112"/>
    </row>
    <row r="262" spans="1:8" ht="15.75" x14ac:dyDescent="0.3">
      <c r="A262" s="53" t="s">
        <v>40</v>
      </c>
      <c r="B262" s="53" t="s">
        <v>3133</v>
      </c>
      <c r="C262" s="54" t="s">
        <v>3092</v>
      </c>
      <c r="D262" s="53">
        <v>29</v>
      </c>
      <c r="E262" s="133" t="str">
        <f t="shared" si="28"/>
        <v>3#1#2465</v>
      </c>
      <c r="F262" s="215" t="str">
        <f t="shared" si="30"/>
        <v>上品注灵石23/元宝172000</v>
      </c>
      <c r="G262" s="53">
        <v>25</v>
      </c>
      <c r="H262" s="112"/>
    </row>
    <row r="263" spans="1:8" ht="15.75" x14ac:dyDescent="0.3">
      <c r="A263" s="53" t="s">
        <v>40</v>
      </c>
      <c r="B263" s="53" t="s">
        <v>3133</v>
      </c>
      <c r="C263" s="54" t="s">
        <v>3093</v>
      </c>
      <c r="D263" s="53">
        <v>30</v>
      </c>
      <c r="E263" s="133" t="str">
        <f t="shared" si="28"/>
        <v>3#1#2550</v>
      </c>
      <c r="F263" s="215" t="str">
        <f>"极品注灵石"&amp;ROUND(AG34/10,0)&amp;"/元宝"&amp;AH32</f>
        <v>极品注灵石5/元宝172000</v>
      </c>
      <c r="G263" s="53">
        <v>30</v>
      </c>
      <c r="H263" s="112"/>
    </row>
    <row r="264" spans="1:8" ht="15.75" x14ac:dyDescent="0.3">
      <c r="A264" s="53" t="s">
        <v>40</v>
      </c>
      <c r="B264" s="53" t="s">
        <v>3133</v>
      </c>
      <c r="C264" s="54" t="s">
        <v>3094</v>
      </c>
      <c r="D264" s="53">
        <v>31</v>
      </c>
      <c r="E264" s="133" t="str">
        <f t="shared" si="28"/>
        <v>3#1#2790</v>
      </c>
      <c r="F264" s="215" t="str">
        <f t="shared" ref="F264:F277" si="31">"极品注灵石"&amp;ROUND(AG35/10,0)&amp;"/元宝"&amp;AH33</f>
        <v>极品注灵石5/元宝180000</v>
      </c>
      <c r="G264" s="53">
        <v>30</v>
      </c>
      <c r="H264" s="112"/>
    </row>
    <row r="265" spans="1:8" ht="15.75" x14ac:dyDescent="0.3">
      <c r="A265" s="53" t="s">
        <v>40</v>
      </c>
      <c r="B265" s="53" t="s">
        <v>3133</v>
      </c>
      <c r="C265" s="54" t="s">
        <v>3095</v>
      </c>
      <c r="D265" s="53">
        <v>32</v>
      </c>
      <c r="E265" s="133" t="str">
        <f t="shared" si="28"/>
        <v>3#1#2880</v>
      </c>
      <c r="F265" s="215" t="str">
        <f t="shared" si="31"/>
        <v>极品注灵石5/元宝184000</v>
      </c>
      <c r="G265" s="53">
        <v>30</v>
      </c>
      <c r="H265" s="112"/>
    </row>
    <row r="266" spans="1:8" ht="15.75" x14ac:dyDescent="0.3">
      <c r="A266" s="53" t="s">
        <v>40</v>
      </c>
      <c r="B266" s="53" t="s">
        <v>3133</v>
      </c>
      <c r="C266" s="54" t="s">
        <v>3096</v>
      </c>
      <c r="D266" s="53">
        <v>33</v>
      </c>
      <c r="E266" s="133" t="str">
        <f t="shared" si="28"/>
        <v>3#1#2970</v>
      </c>
      <c r="F266" s="215" t="str">
        <f t="shared" si="31"/>
        <v>极品注灵石5/元宝192000</v>
      </c>
      <c r="G266" s="53">
        <v>30</v>
      </c>
      <c r="H266" s="112"/>
    </row>
    <row r="267" spans="1:8" ht="15.75" x14ac:dyDescent="0.3">
      <c r="A267" s="53" t="s">
        <v>40</v>
      </c>
      <c r="B267" s="53" t="s">
        <v>3133</v>
      </c>
      <c r="C267" s="54" t="s">
        <v>3097</v>
      </c>
      <c r="D267" s="53">
        <v>34</v>
      </c>
      <c r="E267" s="133" t="str">
        <f t="shared" si="28"/>
        <v>3#1#3060</v>
      </c>
      <c r="F267" s="215" t="str">
        <f t="shared" si="31"/>
        <v>极品注灵石5/元宝200000</v>
      </c>
      <c r="G267" s="53">
        <v>30</v>
      </c>
      <c r="H267" s="112"/>
    </row>
    <row r="268" spans="1:8" ht="15.75" x14ac:dyDescent="0.3">
      <c r="A268" s="53" t="s">
        <v>40</v>
      </c>
      <c r="B268" s="53" t="s">
        <v>3133</v>
      </c>
      <c r="C268" s="54" t="s">
        <v>3098</v>
      </c>
      <c r="D268" s="53">
        <v>35</v>
      </c>
      <c r="E268" s="133" t="str">
        <f t="shared" si="28"/>
        <v>3#1#3150</v>
      </c>
      <c r="F268" s="215" t="str">
        <f t="shared" si="31"/>
        <v>极品注灵石6/元宝208000</v>
      </c>
      <c r="G268" s="53">
        <v>25</v>
      </c>
      <c r="H268" s="112"/>
    </row>
    <row r="269" spans="1:8" ht="15.75" x14ac:dyDescent="0.3">
      <c r="A269" s="53" t="s">
        <v>40</v>
      </c>
      <c r="B269" s="53" t="s">
        <v>3133</v>
      </c>
      <c r="C269" s="54" t="s">
        <v>3099</v>
      </c>
      <c r="D269" s="53">
        <v>36</v>
      </c>
      <c r="E269" s="133" t="str">
        <f t="shared" si="28"/>
        <v>3#1#3420</v>
      </c>
      <c r="F269" s="215" t="str">
        <f t="shared" si="31"/>
        <v>极品注灵石6/元宝212000</v>
      </c>
      <c r="G269" s="53">
        <v>25</v>
      </c>
      <c r="H269" s="112"/>
    </row>
    <row r="270" spans="1:8" ht="15.75" x14ac:dyDescent="0.3">
      <c r="A270" s="53" t="s">
        <v>40</v>
      </c>
      <c r="B270" s="53" t="s">
        <v>3133</v>
      </c>
      <c r="C270" s="54" t="s">
        <v>3100</v>
      </c>
      <c r="D270" s="53">
        <v>37</v>
      </c>
      <c r="E270" s="133" t="str">
        <f t="shared" si="28"/>
        <v>3#1#3515</v>
      </c>
      <c r="F270" s="215" t="str">
        <f t="shared" si="31"/>
        <v>极品注灵石6/元宝220000</v>
      </c>
      <c r="G270" s="53">
        <v>25</v>
      </c>
      <c r="H270" s="112"/>
    </row>
    <row r="271" spans="1:8" ht="15.75" x14ac:dyDescent="0.3">
      <c r="A271" s="53" t="s">
        <v>40</v>
      </c>
      <c r="B271" s="53" t="s">
        <v>3133</v>
      </c>
      <c r="C271" s="54" t="s">
        <v>3101</v>
      </c>
      <c r="D271" s="53">
        <v>38</v>
      </c>
      <c r="E271" s="133" t="str">
        <f t="shared" si="28"/>
        <v>3#1#3610</v>
      </c>
      <c r="F271" s="215" t="str">
        <f t="shared" si="31"/>
        <v>极品注灵石6/元宝228000</v>
      </c>
      <c r="G271" s="53">
        <v>25</v>
      </c>
      <c r="H271" s="112"/>
    </row>
    <row r="272" spans="1:8" ht="15.75" x14ac:dyDescent="0.3">
      <c r="A272" s="53" t="s">
        <v>40</v>
      </c>
      <c r="B272" s="53" t="s">
        <v>3133</v>
      </c>
      <c r="C272" s="54" t="s">
        <v>3102</v>
      </c>
      <c r="D272" s="53">
        <v>39</v>
      </c>
      <c r="E272" s="133" t="str">
        <f t="shared" si="28"/>
        <v>3#1#3705</v>
      </c>
      <c r="F272" s="215" t="str">
        <f t="shared" si="31"/>
        <v>极品注灵石6/元宝236000</v>
      </c>
      <c r="G272" s="53">
        <v>25</v>
      </c>
      <c r="H272" s="112"/>
    </row>
    <row r="273" spans="1:8" ht="15.75" x14ac:dyDescent="0.3">
      <c r="A273" s="53" t="s">
        <v>40</v>
      </c>
      <c r="B273" s="53" t="s">
        <v>3133</v>
      </c>
      <c r="C273" s="54" t="s">
        <v>3103</v>
      </c>
      <c r="D273" s="53">
        <v>40</v>
      </c>
      <c r="E273" s="133" t="str">
        <f t="shared" si="28"/>
        <v>3#1#3800</v>
      </c>
      <c r="F273" s="215" t="str">
        <f t="shared" si="31"/>
        <v>极品注灵石6/元宝240000</v>
      </c>
      <c r="G273" s="53">
        <v>20</v>
      </c>
      <c r="H273" s="112"/>
    </row>
    <row r="274" spans="1:8" ht="15.75" x14ac:dyDescent="0.3">
      <c r="A274" s="53" t="s">
        <v>40</v>
      </c>
      <c r="B274" s="53" t="s">
        <v>3133</v>
      </c>
      <c r="C274" s="54" t="s">
        <v>3104</v>
      </c>
      <c r="D274" s="53">
        <v>41</v>
      </c>
      <c r="E274" s="133" t="str">
        <f t="shared" si="28"/>
        <v>3#1#4100</v>
      </c>
      <c r="F274" s="215" t="str">
        <f t="shared" si="31"/>
        <v>极品注灵石6/元宝248000</v>
      </c>
      <c r="G274" s="53">
        <v>20</v>
      </c>
      <c r="H274" s="112"/>
    </row>
    <row r="275" spans="1:8" ht="15.75" x14ac:dyDescent="0.3">
      <c r="A275" s="53" t="s">
        <v>40</v>
      </c>
      <c r="B275" s="53" t="s">
        <v>3133</v>
      </c>
      <c r="C275" s="54" t="s">
        <v>3105</v>
      </c>
      <c r="D275" s="53">
        <v>42</v>
      </c>
      <c r="E275" s="133" t="str">
        <f t="shared" si="28"/>
        <v>3#1#4200</v>
      </c>
      <c r="F275" s="215" t="str">
        <f t="shared" si="31"/>
        <v>极品注灵石7/元宝252000</v>
      </c>
      <c r="G275" s="53">
        <v>20</v>
      </c>
      <c r="H275" s="112"/>
    </row>
    <row r="276" spans="1:8" ht="15.75" x14ac:dyDescent="0.3">
      <c r="A276" s="53" t="s">
        <v>40</v>
      </c>
      <c r="B276" s="53" t="s">
        <v>3133</v>
      </c>
      <c r="C276" s="54" t="s">
        <v>3106</v>
      </c>
      <c r="D276" s="53">
        <v>43</v>
      </c>
      <c r="E276" s="133" t="str">
        <f t="shared" si="28"/>
        <v>3#1#4300</v>
      </c>
      <c r="F276" s="215" t="str">
        <f t="shared" si="31"/>
        <v>极品注灵石7/元宝256000</v>
      </c>
      <c r="G276" s="53">
        <v>20</v>
      </c>
      <c r="H276" s="112"/>
    </row>
    <row r="277" spans="1:8" ht="15.75" x14ac:dyDescent="0.3">
      <c r="A277" s="53" t="s">
        <v>40</v>
      </c>
      <c r="B277" s="53" t="s">
        <v>3133</v>
      </c>
      <c r="C277" s="54" t="s">
        <v>3107</v>
      </c>
      <c r="D277" s="53">
        <v>44</v>
      </c>
      <c r="E277" s="133" t="str">
        <f t="shared" si="28"/>
        <v>3#1#4400</v>
      </c>
      <c r="F277" s="215" t="str">
        <f t="shared" si="31"/>
        <v>极品注灵石7/元宝264000</v>
      </c>
      <c r="G277" s="53">
        <v>20</v>
      </c>
      <c r="H277" s="112"/>
    </row>
    <row r="278" spans="1:8" ht="15.75" x14ac:dyDescent="0.3">
      <c r="A278" s="53" t="s">
        <v>40</v>
      </c>
      <c r="B278" s="53" t="s">
        <v>3133</v>
      </c>
      <c r="C278" s="54" t="s">
        <v>3108</v>
      </c>
      <c r="D278" s="53">
        <v>45</v>
      </c>
      <c r="E278" s="133" t="str">
        <f>"3#1#"&amp;INT(0.5*V48)</f>
        <v>3#1#4500</v>
      </c>
      <c r="F278" s="215"/>
      <c r="G278" s="53"/>
      <c r="H278" s="112"/>
    </row>
    <row r="279" spans="1:8" ht="15.75" x14ac:dyDescent="0.3">
      <c r="A279" s="136" t="s">
        <v>40</v>
      </c>
      <c r="B279" s="136" t="s">
        <v>3134</v>
      </c>
      <c r="C279" s="137" t="s">
        <v>78</v>
      </c>
      <c r="D279" s="136">
        <v>0</v>
      </c>
      <c r="E279" s="138"/>
      <c r="F279" s="216" t="str">
        <f>"中品注灵石"&amp;AG4&amp;"/元宝"&amp;AH4</f>
        <v>中品注灵石5/元宝20000</v>
      </c>
      <c r="G279" s="136">
        <v>100</v>
      </c>
      <c r="H279" s="112"/>
    </row>
    <row r="280" spans="1:8" ht="15.75" x14ac:dyDescent="0.3">
      <c r="A280" s="136" t="s">
        <v>40</v>
      </c>
      <c r="B280" s="136" t="s">
        <v>3134</v>
      </c>
      <c r="C280" s="137" t="s">
        <v>3055</v>
      </c>
      <c r="D280" s="136">
        <v>1</v>
      </c>
      <c r="E280" s="138" t="str">
        <f t="shared" ref="E280:E323" si="32">"3#1#"&amp;INT(0.5*V4)</f>
        <v>3#1#60</v>
      </c>
      <c r="F280" s="216" t="str">
        <f t="shared" ref="F280:F293" si="33">"中品注灵石"&amp;AG5&amp;"/元宝"&amp;AH5</f>
        <v>中品注灵石6/元宝24000</v>
      </c>
      <c r="G280" s="136">
        <v>100</v>
      </c>
      <c r="H280" s="112"/>
    </row>
    <row r="281" spans="1:8" ht="15.75" x14ac:dyDescent="0.3">
      <c r="A281" s="136" t="s">
        <v>40</v>
      </c>
      <c r="B281" s="136" t="s">
        <v>3134</v>
      </c>
      <c r="C281" s="137" t="s">
        <v>3057</v>
      </c>
      <c r="D281" s="136">
        <v>2</v>
      </c>
      <c r="E281" s="138" t="str">
        <f t="shared" si="32"/>
        <v>3#1#120</v>
      </c>
      <c r="F281" s="216" t="str">
        <f t="shared" si="33"/>
        <v>中品注灵石6/元宝24000</v>
      </c>
      <c r="G281" s="136">
        <v>100</v>
      </c>
      <c r="H281" s="112"/>
    </row>
    <row r="282" spans="1:8" ht="15.75" x14ac:dyDescent="0.3">
      <c r="A282" s="136" t="s">
        <v>40</v>
      </c>
      <c r="B282" s="136" t="s">
        <v>3134</v>
      </c>
      <c r="C282" s="137" t="s">
        <v>3059</v>
      </c>
      <c r="D282" s="136">
        <v>3</v>
      </c>
      <c r="E282" s="138" t="str">
        <f t="shared" si="32"/>
        <v>3#1#180</v>
      </c>
      <c r="F282" s="216" t="str">
        <f t="shared" si="33"/>
        <v>中品注灵石7/元宝28000</v>
      </c>
      <c r="G282" s="136">
        <v>100</v>
      </c>
      <c r="H282" s="112"/>
    </row>
    <row r="283" spans="1:8" ht="15.75" x14ac:dyDescent="0.3">
      <c r="A283" s="136" t="s">
        <v>40</v>
      </c>
      <c r="B283" s="136" t="s">
        <v>3134</v>
      </c>
      <c r="C283" s="137" t="s">
        <v>3061</v>
      </c>
      <c r="D283" s="136">
        <v>4</v>
      </c>
      <c r="E283" s="138" t="str">
        <f t="shared" si="32"/>
        <v>3#1#240</v>
      </c>
      <c r="F283" s="216" t="str">
        <f t="shared" si="33"/>
        <v>中品注灵石8/元宝32000</v>
      </c>
      <c r="G283" s="136">
        <v>100</v>
      </c>
      <c r="H283" s="112"/>
    </row>
    <row r="284" spans="1:8" ht="15.75" x14ac:dyDescent="0.3">
      <c r="A284" s="136" t="s">
        <v>40</v>
      </c>
      <c r="B284" s="136" t="s">
        <v>3134</v>
      </c>
      <c r="C284" s="137" t="s">
        <v>3063</v>
      </c>
      <c r="D284" s="136">
        <v>5</v>
      </c>
      <c r="E284" s="138" t="str">
        <f t="shared" si="32"/>
        <v>3#1#300</v>
      </c>
      <c r="F284" s="216" t="str">
        <f t="shared" si="33"/>
        <v>中品注灵石8/元宝32000</v>
      </c>
      <c r="G284" s="136">
        <v>100</v>
      </c>
      <c r="H284" s="112"/>
    </row>
    <row r="285" spans="1:8" ht="15.75" x14ac:dyDescent="0.3">
      <c r="A285" s="136" t="s">
        <v>40</v>
      </c>
      <c r="B285" s="136" t="s">
        <v>3134</v>
      </c>
      <c r="C285" s="137" t="s">
        <v>3065</v>
      </c>
      <c r="D285" s="136">
        <v>6</v>
      </c>
      <c r="E285" s="138" t="str">
        <f t="shared" si="32"/>
        <v>3#1#390</v>
      </c>
      <c r="F285" s="216" t="str">
        <f t="shared" si="33"/>
        <v>中品注灵石9/元宝36000</v>
      </c>
      <c r="G285" s="136">
        <v>100</v>
      </c>
      <c r="H285" s="112"/>
    </row>
    <row r="286" spans="1:8" ht="15.75" x14ac:dyDescent="0.3">
      <c r="A286" s="136" t="s">
        <v>40</v>
      </c>
      <c r="B286" s="136" t="s">
        <v>3134</v>
      </c>
      <c r="C286" s="137" t="s">
        <v>3067</v>
      </c>
      <c r="D286" s="136">
        <v>7</v>
      </c>
      <c r="E286" s="138" t="str">
        <f t="shared" si="32"/>
        <v>3#1#455</v>
      </c>
      <c r="F286" s="216" t="str">
        <f t="shared" si="33"/>
        <v>中品注灵石9/元宝36000</v>
      </c>
      <c r="G286" s="136">
        <v>100</v>
      </c>
      <c r="H286" s="112"/>
    </row>
    <row r="287" spans="1:8" ht="15.75" x14ac:dyDescent="0.3">
      <c r="A287" s="136" t="s">
        <v>40</v>
      </c>
      <c r="B287" s="136" t="s">
        <v>3134</v>
      </c>
      <c r="C287" s="137" t="s">
        <v>3069</v>
      </c>
      <c r="D287" s="136">
        <v>8</v>
      </c>
      <c r="E287" s="138" t="str">
        <f t="shared" si="32"/>
        <v>3#1#520</v>
      </c>
      <c r="F287" s="216" t="str">
        <f t="shared" si="33"/>
        <v>中品注灵石10/元宝40000</v>
      </c>
      <c r="G287" s="136">
        <v>100</v>
      </c>
      <c r="H287" s="112"/>
    </row>
    <row r="288" spans="1:8" ht="15.75" x14ac:dyDescent="0.3">
      <c r="A288" s="136" t="s">
        <v>40</v>
      </c>
      <c r="B288" s="136" t="s">
        <v>3134</v>
      </c>
      <c r="C288" s="137" t="s">
        <v>3071</v>
      </c>
      <c r="D288" s="136">
        <v>9</v>
      </c>
      <c r="E288" s="138" t="str">
        <f t="shared" si="32"/>
        <v>3#1#585</v>
      </c>
      <c r="F288" s="216" t="str">
        <f t="shared" si="33"/>
        <v>中品注灵石11/元宝44000</v>
      </c>
      <c r="G288" s="136">
        <v>100</v>
      </c>
      <c r="H288" s="112"/>
    </row>
    <row r="289" spans="1:8" ht="15.75" x14ac:dyDescent="0.3">
      <c r="A289" s="136" t="s">
        <v>40</v>
      </c>
      <c r="B289" s="136" t="s">
        <v>3134</v>
      </c>
      <c r="C289" s="137" t="s">
        <v>3072</v>
      </c>
      <c r="D289" s="136">
        <v>10</v>
      </c>
      <c r="E289" s="138" t="str">
        <f t="shared" si="32"/>
        <v>3#1#650</v>
      </c>
      <c r="F289" s="216" t="str">
        <f t="shared" si="33"/>
        <v>中品注灵石11/元宝44000</v>
      </c>
      <c r="G289" s="136">
        <v>100</v>
      </c>
      <c r="H289" s="112"/>
    </row>
    <row r="290" spans="1:8" ht="15.75" x14ac:dyDescent="0.3">
      <c r="A290" s="136" t="s">
        <v>40</v>
      </c>
      <c r="B290" s="136" t="s">
        <v>3134</v>
      </c>
      <c r="C290" s="137" t="s">
        <v>3073</v>
      </c>
      <c r="D290" s="136">
        <v>11</v>
      </c>
      <c r="E290" s="138" t="str">
        <f t="shared" si="32"/>
        <v>3#1#770</v>
      </c>
      <c r="F290" s="216" t="str">
        <f t="shared" si="33"/>
        <v>中品注灵石12/元宝48000</v>
      </c>
      <c r="G290" s="136">
        <v>100</v>
      </c>
      <c r="H290" s="112"/>
    </row>
    <row r="291" spans="1:8" ht="15.75" x14ac:dyDescent="0.3">
      <c r="A291" s="136" t="s">
        <v>40</v>
      </c>
      <c r="B291" s="136" t="s">
        <v>3134</v>
      </c>
      <c r="C291" s="137" t="s">
        <v>3074</v>
      </c>
      <c r="D291" s="136">
        <v>12</v>
      </c>
      <c r="E291" s="138" t="str">
        <f t="shared" si="32"/>
        <v>3#1#840</v>
      </c>
      <c r="F291" s="216" t="str">
        <f t="shared" si="33"/>
        <v>中品注灵石13/元宝52000</v>
      </c>
      <c r="G291" s="136">
        <v>100</v>
      </c>
      <c r="H291" s="112"/>
    </row>
    <row r="292" spans="1:8" ht="15.75" x14ac:dyDescent="0.3">
      <c r="A292" s="136" t="s">
        <v>40</v>
      </c>
      <c r="B292" s="136" t="s">
        <v>3134</v>
      </c>
      <c r="C292" s="137" t="s">
        <v>3075</v>
      </c>
      <c r="D292" s="136">
        <v>13</v>
      </c>
      <c r="E292" s="138" t="str">
        <f t="shared" si="32"/>
        <v>3#1#910</v>
      </c>
      <c r="F292" s="216" t="str">
        <f t="shared" si="33"/>
        <v>中品注灵石14/元宝56000</v>
      </c>
      <c r="G292" s="136">
        <v>100</v>
      </c>
      <c r="H292" s="112"/>
    </row>
    <row r="293" spans="1:8" ht="15.75" x14ac:dyDescent="0.3">
      <c r="A293" s="136" t="s">
        <v>40</v>
      </c>
      <c r="B293" s="136" t="s">
        <v>3134</v>
      </c>
      <c r="C293" s="137" t="s">
        <v>3076</v>
      </c>
      <c r="D293" s="136">
        <v>14</v>
      </c>
      <c r="E293" s="138" t="str">
        <f t="shared" si="32"/>
        <v>3#1#980</v>
      </c>
      <c r="F293" s="216" t="str">
        <f t="shared" si="33"/>
        <v>中品注灵石15/元宝60000</v>
      </c>
      <c r="G293" s="136">
        <v>100</v>
      </c>
      <c r="H293" s="112"/>
    </row>
    <row r="294" spans="1:8" ht="15.75" x14ac:dyDescent="0.3">
      <c r="A294" s="136" t="s">
        <v>40</v>
      </c>
      <c r="B294" s="136" t="s">
        <v>3134</v>
      </c>
      <c r="C294" s="137" t="s">
        <v>3077</v>
      </c>
      <c r="D294" s="136">
        <v>15</v>
      </c>
      <c r="E294" s="138" t="str">
        <f t="shared" si="32"/>
        <v>3#1#1050</v>
      </c>
      <c r="F294" s="216" t="str">
        <f>"上品注灵石"&amp;ROUND(AG19/2,0)&amp;"/元宝"&amp;AH18</f>
        <v>上品注灵石8/元宝60000</v>
      </c>
      <c r="G294" s="136">
        <v>30</v>
      </c>
      <c r="H294" s="112"/>
    </row>
    <row r="295" spans="1:8" ht="15.75" x14ac:dyDescent="0.3">
      <c r="A295" s="136" t="s">
        <v>40</v>
      </c>
      <c r="B295" s="136" t="s">
        <v>3135</v>
      </c>
      <c r="C295" s="137" t="s">
        <v>3079</v>
      </c>
      <c r="D295" s="136">
        <v>16</v>
      </c>
      <c r="E295" s="138" t="str">
        <f t="shared" si="32"/>
        <v>3#1#1200</v>
      </c>
      <c r="F295" s="216" t="str">
        <f t="shared" ref="F295:F308" si="34">"上品注灵石"&amp;ROUND(AG20/2,0)&amp;"/元宝"&amp;AH19</f>
        <v>上品注灵石9/元宝64000</v>
      </c>
      <c r="G295" s="136">
        <v>30</v>
      </c>
      <c r="H295" s="112"/>
    </row>
    <row r="296" spans="1:8" ht="15.75" x14ac:dyDescent="0.3">
      <c r="A296" s="136" t="s">
        <v>40</v>
      </c>
      <c r="B296" s="136" t="s">
        <v>3135</v>
      </c>
      <c r="C296" s="137" t="s">
        <v>3080</v>
      </c>
      <c r="D296" s="136">
        <v>17</v>
      </c>
      <c r="E296" s="138" t="str">
        <f t="shared" si="32"/>
        <v>3#1#1275</v>
      </c>
      <c r="F296" s="216" t="str">
        <f t="shared" si="34"/>
        <v>上品注灵石10/元宝72000</v>
      </c>
      <c r="G296" s="136">
        <v>30</v>
      </c>
      <c r="H296" s="112"/>
    </row>
    <row r="297" spans="1:8" ht="15.75" x14ac:dyDescent="0.3">
      <c r="A297" s="136" t="s">
        <v>40</v>
      </c>
      <c r="B297" s="136" t="s">
        <v>3135</v>
      </c>
      <c r="C297" s="137" t="s">
        <v>3081</v>
      </c>
      <c r="D297" s="136">
        <v>18</v>
      </c>
      <c r="E297" s="138" t="str">
        <f t="shared" si="32"/>
        <v>3#1#1350</v>
      </c>
      <c r="F297" s="216" t="str">
        <f t="shared" si="34"/>
        <v>上品注灵石11/元宝80000</v>
      </c>
      <c r="G297" s="136">
        <v>30</v>
      </c>
      <c r="H297" s="112"/>
    </row>
    <row r="298" spans="1:8" ht="15.75" x14ac:dyDescent="0.3">
      <c r="A298" s="136" t="s">
        <v>40</v>
      </c>
      <c r="B298" s="136" t="s">
        <v>3135</v>
      </c>
      <c r="C298" s="137" t="s">
        <v>3082</v>
      </c>
      <c r="D298" s="136">
        <v>19</v>
      </c>
      <c r="E298" s="138" t="str">
        <f t="shared" si="32"/>
        <v>3#1#1425</v>
      </c>
      <c r="F298" s="216" t="str">
        <f t="shared" si="34"/>
        <v>上品注灵石12/元宝88000</v>
      </c>
      <c r="G298" s="136">
        <v>30</v>
      </c>
      <c r="H298" s="112"/>
    </row>
    <row r="299" spans="1:8" ht="15.75" x14ac:dyDescent="0.3">
      <c r="A299" s="136" t="s">
        <v>40</v>
      </c>
      <c r="B299" s="136" t="s">
        <v>3135</v>
      </c>
      <c r="C299" s="137" t="s">
        <v>3083</v>
      </c>
      <c r="D299" s="136">
        <v>20</v>
      </c>
      <c r="E299" s="138" t="str">
        <f t="shared" si="32"/>
        <v>3#1#1500</v>
      </c>
      <c r="F299" s="216" t="str">
        <f t="shared" si="34"/>
        <v>上品注灵石14/元宝96000</v>
      </c>
      <c r="G299" s="136">
        <v>25</v>
      </c>
      <c r="H299" s="112"/>
    </row>
    <row r="300" spans="1:8" ht="15.75" x14ac:dyDescent="0.3">
      <c r="A300" s="136" t="s">
        <v>40</v>
      </c>
      <c r="B300" s="136" t="s">
        <v>3135</v>
      </c>
      <c r="C300" s="137" t="s">
        <v>3084</v>
      </c>
      <c r="D300" s="136">
        <v>21</v>
      </c>
      <c r="E300" s="138" t="str">
        <f t="shared" si="32"/>
        <v>3#1#1680</v>
      </c>
      <c r="F300" s="216" t="str">
        <f t="shared" si="34"/>
        <v>上品注灵石15/元宝108000</v>
      </c>
      <c r="G300" s="136">
        <v>25</v>
      </c>
      <c r="H300" s="112"/>
    </row>
    <row r="301" spans="1:8" ht="15.75" x14ac:dyDescent="0.3">
      <c r="A301" s="136" t="s">
        <v>40</v>
      </c>
      <c r="B301" s="136" t="s">
        <v>3135</v>
      </c>
      <c r="C301" s="137" t="s">
        <v>3085</v>
      </c>
      <c r="D301" s="136">
        <v>22</v>
      </c>
      <c r="E301" s="138" t="str">
        <f t="shared" si="32"/>
        <v>3#1#1760</v>
      </c>
      <c r="F301" s="216" t="str">
        <f t="shared" si="34"/>
        <v>上品注灵石16/元宝116000</v>
      </c>
      <c r="G301" s="136">
        <v>25</v>
      </c>
      <c r="H301" s="112"/>
    </row>
    <row r="302" spans="1:8" ht="15.75" x14ac:dyDescent="0.3">
      <c r="A302" s="136" t="s">
        <v>40</v>
      </c>
      <c r="B302" s="136" t="s">
        <v>3135</v>
      </c>
      <c r="C302" s="137" t="s">
        <v>3086</v>
      </c>
      <c r="D302" s="136">
        <v>23</v>
      </c>
      <c r="E302" s="138" t="str">
        <f t="shared" si="32"/>
        <v>3#1#1840</v>
      </c>
      <c r="F302" s="216" t="str">
        <f t="shared" si="34"/>
        <v>上品注灵石17/元宝124000</v>
      </c>
      <c r="G302" s="136">
        <v>25</v>
      </c>
      <c r="H302" s="112"/>
    </row>
    <row r="303" spans="1:8" ht="15.75" x14ac:dyDescent="0.3">
      <c r="A303" s="136" t="s">
        <v>40</v>
      </c>
      <c r="B303" s="136" t="s">
        <v>3135</v>
      </c>
      <c r="C303" s="137" t="s">
        <v>3087</v>
      </c>
      <c r="D303" s="136">
        <v>24</v>
      </c>
      <c r="E303" s="138" t="str">
        <f t="shared" si="32"/>
        <v>3#1#1920</v>
      </c>
      <c r="F303" s="216" t="str">
        <f t="shared" si="34"/>
        <v>上品注灵石18/元宝136000</v>
      </c>
      <c r="G303" s="136">
        <v>25</v>
      </c>
      <c r="H303" s="112"/>
    </row>
    <row r="304" spans="1:8" ht="15.75" x14ac:dyDescent="0.3">
      <c r="A304" s="136" t="s">
        <v>40</v>
      </c>
      <c r="B304" s="136" t="s">
        <v>3135</v>
      </c>
      <c r="C304" s="137" t="s">
        <v>3088</v>
      </c>
      <c r="D304" s="136">
        <v>25</v>
      </c>
      <c r="E304" s="138" t="str">
        <f t="shared" si="32"/>
        <v>3#1#2000</v>
      </c>
      <c r="F304" s="216" t="str">
        <f t="shared" si="34"/>
        <v>上品注灵石19/元宝144000</v>
      </c>
      <c r="G304" s="136">
        <v>25</v>
      </c>
      <c r="H304" s="112"/>
    </row>
    <row r="305" spans="1:8" ht="15.75" x14ac:dyDescent="0.3">
      <c r="A305" s="136" t="s">
        <v>40</v>
      </c>
      <c r="B305" s="136" t="s">
        <v>3135</v>
      </c>
      <c r="C305" s="137" t="s">
        <v>3089</v>
      </c>
      <c r="D305" s="136">
        <v>26</v>
      </c>
      <c r="E305" s="138" t="str">
        <f t="shared" si="32"/>
        <v>3#1#2210</v>
      </c>
      <c r="F305" s="216" t="str">
        <f t="shared" si="34"/>
        <v>上品注灵石20/元宝152000</v>
      </c>
      <c r="G305" s="136">
        <v>25</v>
      </c>
      <c r="H305" s="112"/>
    </row>
    <row r="306" spans="1:8" ht="15.75" x14ac:dyDescent="0.3">
      <c r="A306" s="136" t="s">
        <v>40</v>
      </c>
      <c r="B306" s="136" t="s">
        <v>3135</v>
      </c>
      <c r="C306" s="137" t="s">
        <v>3090</v>
      </c>
      <c r="D306" s="136">
        <v>27</v>
      </c>
      <c r="E306" s="138" t="str">
        <f t="shared" si="32"/>
        <v>3#1#2295</v>
      </c>
      <c r="F306" s="216" t="str">
        <f t="shared" si="34"/>
        <v>上品注灵石21/元宝156000</v>
      </c>
      <c r="G306" s="136">
        <v>25</v>
      </c>
      <c r="H306" s="112"/>
    </row>
    <row r="307" spans="1:8" ht="15.75" x14ac:dyDescent="0.3">
      <c r="A307" s="136" t="s">
        <v>40</v>
      </c>
      <c r="B307" s="136" t="s">
        <v>3135</v>
      </c>
      <c r="C307" s="137" t="s">
        <v>3091</v>
      </c>
      <c r="D307" s="136">
        <v>28</v>
      </c>
      <c r="E307" s="138" t="str">
        <f t="shared" si="32"/>
        <v>3#1#2380</v>
      </c>
      <c r="F307" s="216" t="str">
        <f t="shared" si="34"/>
        <v>上品注灵石22/元宝164000</v>
      </c>
      <c r="G307" s="136">
        <v>25</v>
      </c>
      <c r="H307" s="112"/>
    </row>
    <row r="308" spans="1:8" ht="15.75" x14ac:dyDescent="0.3">
      <c r="A308" s="136" t="s">
        <v>40</v>
      </c>
      <c r="B308" s="136" t="s">
        <v>3135</v>
      </c>
      <c r="C308" s="137" t="s">
        <v>3092</v>
      </c>
      <c r="D308" s="136">
        <v>29</v>
      </c>
      <c r="E308" s="138" t="str">
        <f t="shared" si="32"/>
        <v>3#1#2465</v>
      </c>
      <c r="F308" s="216" t="str">
        <f t="shared" si="34"/>
        <v>上品注灵石23/元宝172000</v>
      </c>
      <c r="G308" s="136">
        <v>25</v>
      </c>
      <c r="H308" s="112"/>
    </row>
    <row r="309" spans="1:8" ht="15.75" x14ac:dyDescent="0.3">
      <c r="A309" s="136" t="s">
        <v>40</v>
      </c>
      <c r="B309" s="136" t="s">
        <v>3135</v>
      </c>
      <c r="C309" s="137" t="s">
        <v>3093</v>
      </c>
      <c r="D309" s="136">
        <v>30</v>
      </c>
      <c r="E309" s="138" t="str">
        <f t="shared" si="32"/>
        <v>3#1#2550</v>
      </c>
      <c r="F309" s="216" t="str">
        <f>"极品注灵石"&amp;ROUND(AG34/10,0)&amp;"/元宝"&amp;AH32</f>
        <v>极品注灵石5/元宝172000</v>
      </c>
      <c r="G309" s="136">
        <v>30</v>
      </c>
      <c r="H309" s="112"/>
    </row>
    <row r="310" spans="1:8" ht="15.75" x14ac:dyDescent="0.3">
      <c r="A310" s="136" t="s">
        <v>40</v>
      </c>
      <c r="B310" s="136" t="s">
        <v>3135</v>
      </c>
      <c r="C310" s="137" t="s">
        <v>3094</v>
      </c>
      <c r="D310" s="136">
        <v>31</v>
      </c>
      <c r="E310" s="138" t="str">
        <f t="shared" si="32"/>
        <v>3#1#2790</v>
      </c>
      <c r="F310" s="216" t="str">
        <f t="shared" ref="F310:F323" si="35">"极品注灵石"&amp;ROUND(AG35/10,0)&amp;"/元宝"&amp;AH33</f>
        <v>极品注灵石5/元宝180000</v>
      </c>
      <c r="G310" s="136">
        <v>30</v>
      </c>
      <c r="H310" s="112"/>
    </row>
    <row r="311" spans="1:8" ht="15.75" x14ac:dyDescent="0.3">
      <c r="A311" s="136" t="s">
        <v>40</v>
      </c>
      <c r="B311" s="136" t="s">
        <v>3135</v>
      </c>
      <c r="C311" s="137" t="s">
        <v>3095</v>
      </c>
      <c r="D311" s="136">
        <v>32</v>
      </c>
      <c r="E311" s="138" t="str">
        <f t="shared" si="32"/>
        <v>3#1#2880</v>
      </c>
      <c r="F311" s="216" t="str">
        <f t="shared" si="35"/>
        <v>极品注灵石5/元宝184000</v>
      </c>
      <c r="G311" s="136">
        <v>30</v>
      </c>
      <c r="H311" s="112"/>
    </row>
    <row r="312" spans="1:8" ht="15.75" x14ac:dyDescent="0.3">
      <c r="A312" s="136" t="s">
        <v>40</v>
      </c>
      <c r="B312" s="136" t="s">
        <v>3135</v>
      </c>
      <c r="C312" s="137" t="s">
        <v>3096</v>
      </c>
      <c r="D312" s="136">
        <v>33</v>
      </c>
      <c r="E312" s="138" t="str">
        <f t="shared" si="32"/>
        <v>3#1#2970</v>
      </c>
      <c r="F312" s="216" t="str">
        <f t="shared" si="35"/>
        <v>极品注灵石5/元宝192000</v>
      </c>
      <c r="G312" s="136">
        <v>30</v>
      </c>
      <c r="H312" s="112"/>
    </row>
    <row r="313" spans="1:8" ht="15.75" x14ac:dyDescent="0.3">
      <c r="A313" s="136" t="s">
        <v>40</v>
      </c>
      <c r="B313" s="136" t="s">
        <v>3135</v>
      </c>
      <c r="C313" s="137" t="s">
        <v>3097</v>
      </c>
      <c r="D313" s="136">
        <v>34</v>
      </c>
      <c r="E313" s="138" t="str">
        <f t="shared" si="32"/>
        <v>3#1#3060</v>
      </c>
      <c r="F313" s="216" t="str">
        <f t="shared" si="35"/>
        <v>极品注灵石5/元宝200000</v>
      </c>
      <c r="G313" s="136">
        <v>30</v>
      </c>
      <c r="H313" s="112"/>
    </row>
    <row r="314" spans="1:8" ht="15.75" x14ac:dyDescent="0.3">
      <c r="A314" s="136" t="s">
        <v>40</v>
      </c>
      <c r="B314" s="136" t="s">
        <v>3135</v>
      </c>
      <c r="C314" s="137" t="s">
        <v>3098</v>
      </c>
      <c r="D314" s="136">
        <v>35</v>
      </c>
      <c r="E314" s="138" t="str">
        <f t="shared" si="32"/>
        <v>3#1#3150</v>
      </c>
      <c r="F314" s="216" t="str">
        <f t="shared" si="35"/>
        <v>极品注灵石6/元宝208000</v>
      </c>
      <c r="G314" s="136">
        <v>25</v>
      </c>
      <c r="H314" s="112"/>
    </row>
    <row r="315" spans="1:8" ht="15.75" x14ac:dyDescent="0.3">
      <c r="A315" s="136" t="s">
        <v>40</v>
      </c>
      <c r="B315" s="136" t="s">
        <v>3135</v>
      </c>
      <c r="C315" s="137" t="s">
        <v>3099</v>
      </c>
      <c r="D315" s="136">
        <v>36</v>
      </c>
      <c r="E315" s="138" t="str">
        <f t="shared" si="32"/>
        <v>3#1#3420</v>
      </c>
      <c r="F315" s="216" t="str">
        <f t="shared" si="35"/>
        <v>极品注灵石6/元宝212000</v>
      </c>
      <c r="G315" s="136">
        <v>25</v>
      </c>
      <c r="H315" s="112"/>
    </row>
    <row r="316" spans="1:8" ht="15.75" x14ac:dyDescent="0.3">
      <c r="A316" s="136" t="s">
        <v>40</v>
      </c>
      <c r="B316" s="136" t="s">
        <v>3135</v>
      </c>
      <c r="C316" s="137" t="s">
        <v>3100</v>
      </c>
      <c r="D316" s="136">
        <v>37</v>
      </c>
      <c r="E316" s="138" t="str">
        <f t="shared" si="32"/>
        <v>3#1#3515</v>
      </c>
      <c r="F316" s="216" t="str">
        <f t="shared" si="35"/>
        <v>极品注灵石6/元宝220000</v>
      </c>
      <c r="G316" s="136">
        <v>25</v>
      </c>
      <c r="H316" s="112"/>
    </row>
    <row r="317" spans="1:8" ht="15.75" x14ac:dyDescent="0.3">
      <c r="A317" s="136" t="s">
        <v>40</v>
      </c>
      <c r="B317" s="136" t="s">
        <v>3135</v>
      </c>
      <c r="C317" s="137" t="s">
        <v>3101</v>
      </c>
      <c r="D317" s="136">
        <v>38</v>
      </c>
      <c r="E317" s="138" t="str">
        <f t="shared" si="32"/>
        <v>3#1#3610</v>
      </c>
      <c r="F317" s="216" t="str">
        <f t="shared" si="35"/>
        <v>极品注灵石6/元宝228000</v>
      </c>
      <c r="G317" s="136">
        <v>25</v>
      </c>
      <c r="H317" s="112"/>
    </row>
    <row r="318" spans="1:8" ht="15.75" x14ac:dyDescent="0.3">
      <c r="A318" s="136" t="s">
        <v>40</v>
      </c>
      <c r="B318" s="136" t="s">
        <v>3135</v>
      </c>
      <c r="C318" s="137" t="s">
        <v>3102</v>
      </c>
      <c r="D318" s="136">
        <v>39</v>
      </c>
      <c r="E318" s="138" t="str">
        <f t="shared" si="32"/>
        <v>3#1#3705</v>
      </c>
      <c r="F318" s="216" t="str">
        <f t="shared" si="35"/>
        <v>极品注灵石6/元宝236000</v>
      </c>
      <c r="G318" s="136">
        <v>25</v>
      </c>
      <c r="H318" s="112"/>
    </row>
    <row r="319" spans="1:8" ht="15.75" x14ac:dyDescent="0.3">
      <c r="A319" s="136" t="s">
        <v>40</v>
      </c>
      <c r="B319" s="136" t="s">
        <v>3135</v>
      </c>
      <c r="C319" s="137" t="s">
        <v>3103</v>
      </c>
      <c r="D319" s="136">
        <v>40</v>
      </c>
      <c r="E319" s="138" t="str">
        <f t="shared" si="32"/>
        <v>3#1#3800</v>
      </c>
      <c r="F319" s="216" t="str">
        <f t="shared" si="35"/>
        <v>极品注灵石6/元宝240000</v>
      </c>
      <c r="G319" s="136">
        <v>20</v>
      </c>
      <c r="H319" s="112"/>
    </row>
    <row r="320" spans="1:8" ht="15.75" x14ac:dyDescent="0.3">
      <c r="A320" s="136" t="s">
        <v>40</v>
      </c>
      <c r="B320" s="136" t="s">
        <v>3135</v>
      </c>
      <c r="C320" s="137" t="s">
        <v>3104</v>
      </c>
      <c r="D320" s="136">
        <v>41</v>
      </c>
      <c r="E320" s="138" t="str">
        <f t="shared" si="32"/>
        <v>3#1#4100</v>
      </c>
      <c r="F320" s="216" t="str">
        <f t="shared" si="35"/>
        <v>极品注灵石6/元宝248000</v>
      </c>
      <c r="G320" s="136">
        <v>20</v>
      </c>
      <c r="H320" s="112"/>
    </row>
    <row r="321" spans="1:8" ht="15.75" x14ac:dyDescent="0.3">
      <c r="A321" s="136" t="s">
        <v>40</v>
      </c>
      <c r="B321" s="136" t="s">
        <v>3135</v>
      </c>
      <c r="C321" s="137" t="s">
        <v>3105</v>
      </c>
      <c r="D321" s="136">
        <v>42</v>
      </c>
      <c r="E321" s="138" t="str">
        <f t="shared" si="32"/>
        <v>3#1#4200</v>
      </c>
      <c r="F321" s="216" t="str">
        <f t="shared" si="35"/>
        <v>极品注灵石7/元宝252000</v>
      </c>
      <c r="G321" s="136">
        <v>20</v>
      </c>
      <c r="H321" s="112"/>
    </row>
    <row r="322" spans="1:8" ht="15.75" x14ac:dyDescent="0.3">
      <c r="A322" s="136" t="s">
        <v>40</v>
      </c>
      <c r="B322" s="136" t="s">
        <v>3135</v>
      </c>
      <c r="C322" s="137" t="s">
        <v>3106</v>
      </c>
      <c r="D322" s="136">
        <v>43</v>
      </c>
      <c r="E322" s="138" t="str">
        <f t="shared" si="32"/>
        <v>3#1#4300</v>
      </c>
      <c r="F322" s="216" t="str">
        <f t="shared" si="35"/>
        <v>极品注灵石7/元宝256000</v>
      </c>
      <c r="G322" s="136">
        <v>20</v>
      </c>
      <c r="H322" s="112"/>
    </row>
    <row r="323" spans="1:8" ht="15.75" x14ac:dyDescent="0.3">
      <c r="A323" s="136" t="s">
        <v>40</v>
      </c>
      <c r="B323" s="136" t="s">
        <v>3135</v>
      </c>
      <c r="C323" s="137" t="s">
        <v>3107</v>
      </c>
      <c r="D323" s="136">
        <v>44</v>
      </c>
      <c r="E323" s="138" t="str">
        <f t="shared" si="32"/>
        <v>3#1#4400</v>
      </c>
      <c r="F323" s="216" t="str">
        <f t="shared" si="35"/>
        <v>极品注灵石7/元宝264000</v>
      </c>
      <c r="G323" s="136">
        <v>20</v>
      </c>
      <c r="H323" s="112"/>
    </row>
    <row r="324" spans="1:8" ht="15.75" x14ac:dyDescent="0.3">
      <c r="A324" s="136" t="s">
        <v>40</v>
      </c>
      <c r="B324" s="136" t="s">
        <v>3135</v>
      </c>
      <c r="C324" s="137" t="s">
        <v>3108</v>
      </c>
      <c r="D324" s="136">
        <v>45</v>
      </c>
      <c r="E324" s="138" t="str">
        <f>"3#1#"&amp;INT(0.5*V48)</f>
        <v>3#1#4500</v>
      </c>
      <c r="F324" s="216"/>
      <c r="G324" s="136"/>
      <c r="H324" s="112"/>
    </row>
    <row r="325" spans="1:8" ht="15.75" x14ac:dyDescent="0.3">
      <c r="A325" s="35" t="s">
        <v>40</v>
      </c>
      <c r="B325" s="35" t="s">
        <v>3136</v>
      </c>
      <c r="C325" s="41" t="s">
        <v>78</v>
      </c>
      <c r="D325" s="35">
        <v>0</v>
      </c>
      <c r="E325" s="36"/>
      <c r="F325" s="190" t="s">
        <v>3110</v>
      </c>
      <c r="G325" s="35">
        <v>100</v>
      </c>
      <c r="H325" s="112"/>
    </row>
    <row r="326" spans="1:8" ht="15.75" x14ac:dyDescent="0.3">
      <c r="A326" s="35" t="s">
        <v>40</v>
      </c>
      <c r="B326" s="35" t="s">
        <v>3136</v>
      </c>
      <c r="C326" s="41" t="s">
        <v>3055</v>
      </c>
      <c r="D326" s="35">
        <v>1</v>
      </c>
      <c r="E326" s="36" t="str">
        <f t="shared" ref="E326:E369" si="36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26" s="190" t="s">
        <v>3111</v>
      </c>
      <c r="G326" s="35">
        <v>100</v>
      </c>
      <c r="H326" s="112"/>
    </row>
    <row r="327" spans="1:8" ht="15.75" x14ac:dyDescent="0.3">
      <c r="A327" s="35" t="s">
        <v>40</v>
      </c>
      <c r="B327" s="35" t="s">
        <v>3136</v>
      </c>
      <c r="C327" s="41" t="s">
        <v>3057</v>
      </c>
      <c r="D327" s="35">
        <v>2</v>
      </c>
      <c r="E327" s="36" t="str">
        <f t="shared" si="36"/>
        <v>3#3#2|3#4#2|3#5#2|3#6#2|3#7#2|3#8#2</v>
      </c>
      <c r="F327" s="190" t="s">
        <v>3112</v>
      </c>
      <c r="G327" s="35">
        <v>100</v>
      </c>
      <c r="H327" s="112"/>
    </row>
    <row r="328" spans="1:8" ht="15.75" x14ac:dyDescent="0.3">
      <c r="A328" s="35" t="s">
        <v>40</v>
      </c>
      <c r="B328" s="35" t="s">
        <v>3136</v>
      </c>
      <c r="C328" s="41" t="s">
        <v>3059</v>
      </c>
      <c r="D328" s="35">
        <v>3</v>
      </c>
      <c r="E328" s="36" t="str">
        <f t="shared" si="36"/>
        <v>3#3#4|3#4#4|3#5#4|3#6#4|3#7#4|3#8#4</v>
      </c>
      <c r="F328" s="190" t="s">
        <v>3113</v>
      </c>
      <c r="G328" s="35">
        <v>100</v>
      </c>
      <c r="H328" s="112"/>
    </row>
    <row r="329" spans="1:8" ht="15.75" x14ac:dyDescent="0.3">
      <c r="A329" s="35" t="s">
        <v>40</v>
      </c>
      <c r="B329" s="35" t="s">
        <v>3136</v>
      </c>
      <c r="C329" s="41" t="s">
        <v>3061</v>
      </c>
      <c r="D329" s="35">
        <v>4</v>
      </c>
      <c r="E329" s="36" t="str">
        <f t="shared" si="36"/>
        <v>3#3#5|3#4#5|3#5#5|3#6#5|3#7#5|3#8#5</v>
      </c>
      <c r="F329" s="190" t="s">
        <v>3114</v>
      </c>
      <c r="G329" s="35">
        <v>100</v>
      </c>
      <c r="H329" s="112"/>
    </row>
    <row r="330" spans="1:8" ht="15.75" x14ac:dyDescent="0.3">
      <c r="A330" s="35" t="s">
        <v>40</v>
      </c>
      <c r="B330" s="35" t="s">
        <v>3136</v>
      </c>
      <c r="C330" s="41" t="s">
        <v>3063</v>
      </c>
      <c r="D330" s="35">
        <v>5</v>
      </c>
      <c r="E330" s="36" t="str">
        <f t="shared" si="36"/>
        <v>3#3#6|3#4#6|3#5#6|3#6#6|3#7#6|3#8#6</v>
      </c>
      <c r="F330" s="190" t="s">
        <v>3115</v>
      </c>
      <c r="G330" s="35">
        <v>100</v>
      </c>
      <c r="H330" s="112"/>
    </row>
    <row r="331" spans="1:8" ht="15.75" x14ac:dyDescent="0.3">
      <c r="A331" s="35" t="s">
        <v>40</v>
      </c>
      <c r="B331" s="35" t="s">
        <v>3136</v>
      </c>
      <c r="C331" s="41" t="s">
        <v>3065</v>
      </c>
      <c r="D331" s="35">
        <v>6</v>
      </c>
      <c r="E331" s="36" t="str">
        <f t="shared" si="36"/>
        <v>3#3#8|3#4#8|3#5#8|3#6#8|3#7#8|3#8#8</v>
      </c>
      <c r="F331" s="190" t="s">
        <v>3116</v>
      </c>
      <c r="G331" s="35">
        <v>100</v>
      </c>
      <c r="H331" s="112"/>
    </row>
    <row r="332" spans="1:8" ht="15.75" x14ac:dyDescent="0.3">
      <c r="A332" s="35" t="s">
        <v>40</v>
      </c>
      <c r="B332" s="35" t="s">
        <v>3136</v>
      </c>
      <c r="C332" s="41" t="s">
        <v>3067</v>
      </c>
      <c r="D332" s="35">
        <v>7</v>
      </c>
      <c r="E332" s="36" t="str">
        <f t="shared" si="36"/>
        <v>3#3#9|3#4#9|3#5#9|3#6#9|3#7#9|3#8#9</v>
      </c>
      <c r="F332" s="190" t="s">
        <v>3117</v>
      </c>
      <c r="G332" s="35">
        <v>100</v>
      </c>
      <c r="H332" s="112"/>
    </row>
    <row r="333" spans="1:8" ht="15.75" x14ac:dyDescent="0.3">
      <c r="A333" s="35" t="s">
        <v>40</v>
      </c>
      <c r="B333" s="35" t="s">
        <v>3136</v>
      </c>
      <c r="C333" s="41" t="s">
        <v>3069</v>
      </c>
      <c r="D333" s="35">
        <v>8</v>
      </c>
      <c r="E333" s="36" t="str">
        <f t="shared" si="36"/>
        <v>3#3#11|3#4#11|3#5#11|3#6#11|3#7#11|3#8#11</v>
      </c>
      <c r="F333" s="190" t="s">
        <v>3118</v>
      </c>
      <c r="G333" s="35">
        <v>100</v>
      </c>
      <c r="H333" s="112"/>
    </row>
    <row r="334" spans="1:8" ht="15.75" x14ac:dyDescent="0.3">
      <c r="A334" s="35" t="s">
        <v>40</v>
      </c>
      <c r="B334" s="35" t="s">
        <v>3136</v>
      </c>
      <c r="C334" s="41" t="s">
        <v>3071</v>
      </c>
      <c r="D334" s="35">
        <v>9</v>
      </c>
      <c r="E334" s="36" t="str">
        <f t="shared" si="36"/>
        <v>3#3#13|3#4#13|3#5#13|3#6#13|3#7#13|3#8#13</v>
      </c>
      <c r="F334" s="190" t="s">
        <v>3119</v>
      </c>
      <c r="G334" s="35">
        <v>100</v>
      </c>
      <c r="H334" s="112"/>
    </row>
    <row r="335" spans="1:8" ht="15.75" x14ac:dyDescent="0.3">
      <c r="A335" s="35" t="s">
        <v>40</v>
      </c>
      <c r="B335" s="35" t="s">
        <v>3136</v>
      </c>
      <c r="C335" s="41" t="s">
        <v>3072</v>
      </c>
      <c r="D335" s="35">
        <v>10</v>
      </c>
      <c r="E335" s="36" t="str">
        <f t="shared" si="36"/>
        <v>3#3#14|3#4#14|3#5#14|3#6#14|3#7#14|3#8#14</v>
      </c>
      <c r="F335" s="190" t="s">
        <v>3120</v>
      </c>
      <c r="G335" s="35">
        <v>100</v>
      </c>
      <c r="H335" s="112"/>
    </row>
    <row r="336" spans="1:8" ht="15.75" x14ac:dyDescent="0.3">
      <c r="A336" s="35" t="s">
        <v>40</v>
      </c>
      <c r="B336" s="35" t="s">
        <v>3136</v>
      </c>
      <c r="C336" s="41" t="s">
        <v>3073</v>
      </c>
      <c r="D336" s="35">
        <v>11</v>
      </c>
      <c r="E336" s="36" t="str">
        <f t="shared" si="36"/>
        <v>3#3#17|3#4#17|3#5#17|3#6#17|3#7#17|3#8#17</v>
      </c>
      <c r="F336" s="190" t="s">
        <v>3121</v>
      </c>
      <c r="G336" s="35">
        <v>100</v>
      </c>
      <c r="H336" s="112"/>
    </row>
    <row r="337" spans="1:8" ht="15.75" x14ac:dyDescent="0.3">
      <c r="A337" s="35" t="s">
        <v>40</v>
      </c>
      <c r="B337" s="35" t="s">
        <v>3136</v>
      </c>
      <c r="C337" s="41" t="s">
        <v>3074</v>
      </c>
      <c r="D337" s="35">
        <v>12</v>
      </c>
      <c r="E337" s="36" t="str">
        <f t="shared" si="36"/>
        <v>3#3#18|3#4#18|3#5#18|3#6#18|3#7#18|3#8#18</v>
      </c>
      <c r="F337" s="190" t="s">
        <v>3122</v>
      </c>
      <c r="G337" s="35">
        <v>100</v>
      </c>
      <c r="H337" s="112"/>
    </row>
    <row r="338" spans="1:8" ht="15.75" x14ac:dyDescent="0.3">
      <c r="A338" s="35" t="s">
        <v>40</v>
      </c>
      <c r="B338" s="35" t="s">
        <v>3136</v>
      </c>
      <c r="C338" s="41" t="s">
        <v>3075</v>
      </c>
      <c r="D338" s="35">
        <v>13</v>
      </c>
      <c r="E338" s="36" t="str">
        <f t="shared" si="36"/>
        <v>3#3#20|3#4#20|3#5#20|3#6#20|3#7#20|3#8#20</v>
      </c>
      <c r="F338" s="190" t="s">
        <v>3123</v>
      </c>
      <c r="G338" s="35">
        <v>100</v>
      </c>
      <c r="H338" s="112"/>
    </row>
    <row r="339" spans="1:8" ht="15.75" x14ac:dyDescent="0.3">
      <c r="A339" s="35" t="s">
        <v>40</v>
      </c>
      <c r="B339" s="35" t="s">
        <v>3136</v>
      </c>
      <c r="C339" s="41" t="s">
        <v>3076</v>
      </c>
      <c r="D339" s="35">
        <v>14</v>
      </c>
      <c r="E339" s="36" t="str">
        <f t="shared" si="36"/>
        <v>3#3#21|3#4#21|3#5#21|3#6#21|3#7#21|3#8#21</v>
      </c>
      <c r="F339" s="190" t="s">
        <v>3124</v>
      </c>
      <c r="G339" s="35">
        <v>100</v>
      </c>
      <c r="H339" s="112"/>
    </row>
    <row r="340" spans="1:8" ht="15.75" x14ac:dyDescent="0.3">
      <c r="A340" s="35" t="s">
        <v>40</v>
      </c>
      <c r="B340" s="35" t="s">
        <v>3136</v>
      </c>
      <c r="C340" s="41" t="s">
        <v>3077</v>
      </c>
      <c r="D340" s="35">
        <v>15</v>
      </c>
      <c r="E340" s="36" t="str">
        <f t="shared" si="36"/>
        <v>3#3#23|3#4#23|3#5#23|3#6#23|3#7#23|3#8#23</v>
      </c>
      <c r="F340" s="190" t="str">
        <f>"上品注灵石"&amp;ROUND(AG19/2,0)&amp;"/元宝"&amp;AH18</f>
        <v>上品注灵石8/元宝60000</v>
      </c>
      <c r="G340" s="35">
        <v>30</v>
      </c>
      <c r="H340" s="112"/>
    </row>
    <row r="341" spans="1:8" ht="15.75" x14ac:dyDescent="0.3">
      <c r="A341" s="35" t="s">
        <v>40</v>
      </c>
      <c r="B341" s="35" t="s">
        <v>3137</v>
      </c>
      <c r="C341" s="41" t="s">
        <v>3079</v>
      </c>
      <c r="D341" s="35">
        <v>16</v>
      </c>
      <c r="E341" s="36" t="str">
        <f t="shared" si="36"/>
        <v>3#3#26|3#4#26|3#5#26|3#6#26|3#7#26|3#8#26</v>
      </c>
      <c r="F341" s="190" t="str">
        <f t="shared" ref="F341:F354" si="37">"上品注灵石"&amp;ROUND(AG20/2,0)&amp;"/元宝"&amp;AH19</f>
        <v>上品注灵石9/元宝64000</v>
      </c>
      <c r="G341" s="35">
        <v>30</v>
      </c>
      <c r="H341" s="112"/>
    </row>
    <row r="342" spans="1:8" ht="15.75" x14ac:dyDescent="0.3">
      <c r="A342" s="35" t="s">
        <v>40</v>
      </c>
      <c r="B342" s="35" t="s">
        <v>3137</v>
      </c>
      <c r="C342" s="41" t="s">
        <v>3080</v>
      </c>
      <c r="D342" s="35">
        <v>17</v>
      </c>
      <c r="E342" s="36" t="str">
        <f t="shared" si="36"/>
        <v>3#3#28|3#4#28|3#5#28|3#6#28|3#7#28|3#8#28</v>
      </c>
      <c r="F342" s="190" t="str">
        <f t="shared" si="37"/>
        <v>上品注灵石10/元宝72000</v>
      </c>
      <c r="G342" s="35">
        <v>30</v>
      </c>
      <c r="H342" s="112"/>
    </row>
    <row r="343" spans="1:8" ht="15.75" x14ac:dyDescent="0.3">
      <c r="A343" s="35" t="s">
        <v>40</v>
      </c>
      <c r="B343" s="35" t="s">
        <v>3137</v>
      </c>
      <c r="C343" s="41" t="s">
        <v>3081</v>
      </c>
      <c r="D343" s="35">
        <v>18</v>
      </c>
      <c r="E343" s="36" t="str">
        <f t="shared" si="36"/>
        <v>3#3#30|3#4#30|3#5#30|3#6#30|3#7#30|3#8#30</v>
      </c>
      <c r="F343" s="190" t="str">
        <f t="shared" si="37"/>
        <v>上品注灵石11/元宝80000</v>
      </c>
      <c r="G343" s="35">
        <v>30</v>
      </c>
      <c r="H343" s="112"/>
    </row>
    <row r="344" spans="1:8" ht="15.75" x14ac:dyDescent="0.3">
      <c r="A344" s="35" t="s">
        <v>40</v>
      </c>
      <c r="B344" s="35" t="s">
        <v>3137</v>
      </c>
      <c r="C344" s="41" t="s">
        <v>3082</v>
      </c>
      <c r="D344" s="35">
        <v>19</v>
      </c>
      <c r="E344" s="36" t="str">
        <f t="shared" si="36"/>
        <v>3#3#31|3#4#31|3#5#31|3#6#31|3#7#31|3#8#31</v>
      </c>
      <c r="F344" s="190" t="str">
        <f t="shared" si="37"/>
        <v>上品注灵石12/元宝88000</v>
      </c>
      <c r="G344" s="35">
        <v>30</v>
      </c>
      <c r="H344" s="112"/>
    </row>
    <row r="345" spans="1:8" ht="15.75" x14ac:dyDescent="0.3">
      <c r="A345" s="35" t="s">
        <v>40</v>
      </c>
      <c r="B345" s="35" t="s">
        <v>3137</v>
      </c>
      <c r="C345" s="41" t="s">
        <v>3083</v>
      </c>
      <c r="D345" s="35">
        <v>20</v>
      </c>
      <c r="E345" s="36" t="str">
        <f t="shared" si="36"/>
        <v>3#3#33|3#4#33|3#5#33|3#6#33|3#7#33|3#8#33</v>
      </c>
      <c r="F345" s="190" t="str">
        <f t="shared" si="37"/>
        <v>上品注灵石14/元宝96000</v>
      </c>
      <c r="G345" s="35">
        <v>25</v>
      </c>
      <c r="H345" s="112"/>
    </row>
    <row r="346" spans="1:8" ht="15.75" x14ac:dyDescent="0.3">
      <c r="A346" s="35" t="s">
        <v>40</v>
      </c>
      <c r="B346" s="35" t="s">
        <v>3137</v>
      </c>
      <c r="C346" s="41" t="s">
        <v>3084</v>
      </c>
      <c r="D346" s="35">
        <v>21</v>
      </c>
      <c r="E346" s="36" t="str">
        <f t="shared" si="36"/>
        <v>3#3#37|3#4#37|3#5#37|3#6#37|3#7#37|3#8#37</v>
      </c>
      <c r="F346" s="190" t="str">
        <f t="shared" si="37"/>
        <v>上品注灵石15/元宝108000</v>
      </c>
      <c r="G346" s="35">
        <v>25</v>
      </c>
      <c r="H346" s="112"/>
    </row>
    <row r="347" spans="1:8" ht="15.75" x14ac:dyDescent="0.3">
      <c r="A347" s="35" t="s">
        <v>40</v>
      </c>
      <c r="B347" s="35" t="s">
        <v>3137</v>
      </c>
      <c r="C347" s="41" t="s">
        <v>3085</v>
      </c>
      <c r="D347" s="35">
        <v>22</v>
      </c>
      <c r="E347" s="36" t="str">
        <f t="shared" si="36"/>
        <v>3#3#38|3#4#38|3#5#38|3#6#38|3#7#38|3#8#38</v>
      </c>
      <c r="F347" s="190" t="str">
        <f t="shared" si="37"/>
        <v>上品注灵石16/元宝116000</v>
      </c>
      <c r="G347" s="35">
        <v>25</v>
      </c>
      <c r="H347" s="112"/>
    </row>
    <row r="348" spans="1:8" ht="15.75" x14ac:dyDescent="0.3">
      <c r="A348" s="35" t="s">
        <v>40</v>
      </c>
      <c r="B348" s="35" t="s">
        <v>3137</v>
      </c>
      <c r="C348" s="41" t="s">
        <v>3086</v>
      </c>
      <c r="D348" s="35">
        <v>23</v>
      </c>
      <c r="E348" s="36" t="str">
        <f t="shared" si="36"/>
        <v>3#3#40|3#4#40|3#5#40|3#6#40|3#7#40|3#8#40</v>
      </c>
      <c r="F348" s="190" t="str">
        <f t="shared" si="37"/>
        <v>上品注灵石17/元宝124000</v>
      </c>
      <c r="G348" s="35">
        <v>25</v>
      </c>
      <c r="H348" s="112"/>
    </row>
    <row r="349" spans="1:8" ht="15.75" x14ac:dyDescent="0.3">
      <c r="A349" s="35" t="s">
        <v>40</v>
      </c>
      <c r="B349" s="35" t="s">
        <v>3137</v>
      </c>
      <c r="C349" s="41" t="s">
        <v>3087</v>
      </c>
      <c r="D349" s="35">
        <v>24</v>
      </c>
      <c r="E349" s="36" t="str">
        <f t="shared" si="36"/>
        <v>3#3#42|3#4#42|3#5#42|3#6#42|3#7#42|3#8#42</v>
      </c>
      <c r="F349" s="190" t="str">
        <f t="shared" si="37"/>
        <v>上品注灵石18/元宝136000</v>
      </c>
      <c r="G349" s="35">
        <v>25</v>
      </c>
      <c r="H349" s="112"/>
    </row>
    <row r="350" spans="1:8" ht="15.75" x14ac:dyDescent="0.3">
      <c r="A350" s="35" t="s">
        <v>40</v>
      </c>
      <c r="B350" s="35" t="s">
        <v>3137</v>
      </c>
      <c r="C350" s="41" t="s">
        <v>3088</v>
      </c>
      <c r="D350" s="35">
        <v>25</v>
      </c>
      <c r="E350" s="36" t="str">
        <f t="shared" si="36"/>
        <v>3#3#44|3#4#44|3#5#44|3#6#44|3#7#44|3#8#44</v>
      </c>
      <c r="F350" s="190" t="str">
        <f t="shared" si="37"/>
        <v>上品注灵石19/元宝144000</v>
      </c>
      <c r="G350" s="35">
        <v>25</v>
      </c>
      <c r="H350" s="112"/>
    </row>
    <row r="351" spans="1:8" ht="15.75" x14ac:dyDescent="0.3">
      <c r="A351" s="35" t="s">
        <v>40</v>
      </c>
      <c r="B351" s="35" t="s">
        <v>3137</v>
      </c>
      <c r="C351" s="41" t="s">
        <v>3089</v>
      </c>
      <c r="D351" s="35">
        <v>26</v>
      </c>
      <c r="E351" s="36" t="str">
        <f t="shared" si="36"/>
        <v>3#3#49|3#4#49|3#5#49|3#6#49|3#7#49|3#8#49</v>
      </c>
      <c r="F351" s="190" t="str">
        <f t="shared" si="37"/>
        <v>上品注灵石20/元宝152000</v>
      </c>
      <c r="G351" s="35">
        <v>25</v>
      </c>
      <c r="H351" s="112"/>
    </row>
    <row r="352" spans="1:8" ht="15.75" x14ac:dyDescent="0.3">
      <c r="A352" s="35" t="s">
        <v>40</v>
      </c>
      <c r="B352" s="35" t="s">
        <v>3137</v>
      </c>
      <c r="C352" s="41" t="s">
        <v>3090</v>
      </c>
      <c r="D352" s="35">
        <v>27</v>
      </c>
      <c r="E352" s="36" t="str">
        <f t="shared" si="36"/>
        <v>3#3#51|3#4#51|3#5#51|3#6#51|3#7#51|3#8#51</v>
      </c>
      <c r="F352" s="190" t="str">
        <f t="shared" si="37"/>
        <v>上品注灵石21/元宝156000</v>
      </c>
      <c r="G352" s="35">
        <v>25</v>
      </c>
      <c r="H352" s="112"/>
    </row>
    <row r="353" spans="1:8" ht="15.75" x14ac:dyDescent="0.3">
      <c r="A353" s="35" t="s">
        <v>40</v>
      </c>
      <c r="B353" s="35" t="s">
        <v>3137</v>
      </c>
      <c r="C353" s="41" t="s">
        <v>3091</v>
      </c>
      <c r="D353" s="35">
        <v>28</v>
      </c>
      <c r="E353" s="36" t="str">
        <f t="shared" si="36"/>
        <v>3#3#52|3#4#52|3#5#52|3#6#52|3#7#52|3#8#52</v>
      </c>
      <c r="F353" s="190" t="str">
        <f t="shared" si="37"/>
        <v>上品注灵石22/元宝164000</v>
      </c>
      <c r="G353" s="35">
        <v>25</v>
      </c>
      <c r="H353" s="112"/>
    </row>
    <row r="354" spans="1:8" ht="15.75" x14ac:dyDescent="0.3">
      <c r="A354" s="35" t="s">
        <v>40</v>
      </c>
      <c r="B354" s="35" t="s">
        <v>3137</v>
      </c>
      <c r="C354" s="41" t="s">
        <v>3092</v>
      </c>
      <c r="D354" s="35">
        <v>29</v>
      </c>
      <c r="E354" s="36" t="str">
        <f t="shared" si="36"/>
        <v>3#3#54|3#4#54|3#5#54|3#6#54|3#7#54|3#8#54</v>
      </c>
      <c r="F354" s="190" t="str">
        <f t="shared" si="37"/>
        <v>上品注灵石23/元宝172000</v>
      </c>
      <c r="G354" s="35">
        <v>25</v>
      </c>
      <c r="H354" s="112"/>
    </row>
    <row r="355" spans="1:8" ht="15.75" x14ac:dyDescent="0.3">
      <c r="A355" s="35" t="s">
        <v>40</v>
      </c>
      <c r="B355" s="35" t="s">
        <v>3137</v>
      </c>
      <c r="C355" s="41" t="s">
        <v>3093</v>
      </c>
      <c r="D355" s="35">
        <v>30</v>
      </c>
      <c r="E355" s="36" t="str">
        <f t="shared" si="36"/>
        <v>3#3#56|3#4#56|3#5#56|3#6#56|3#7#56|3#8#56</v>
      </c>
      <c r="F355" s="190" t="str">
        <f>"极品注灵石"&amp;ROUND(AG34/10,0)&amp;"/元宝"&amp;AH32</f>
        <v>极品注灵石5/元宝172000</v>
      </c>
      <c r="G355" s="35">
        <v>30</v>
      </c>
      <c r="H355" s="112"/>
    </row>
    <row r="356" spans="1:8" ht="15.75" x14ac:dyDescent="0.3">
      <c r="A356" s="35" t="s">
        <v>40</v>
      </c>
      <c r="B356" s="35" t="s">
        <v>3137</v>
      </c>
      <c r="C356" s="41" t="s">
        <v>3094</v>
      </c>
      <c r="D356" s="35">
        <v>31</v>
      </c>
      <c r="E356" s="36" t="str">
        <f t="shared" si="36"/>
        <v>3#3#61|3#4#61|3#5#61|3#6#61|3#7#61|3#8#61</v>
      </c>
      <c r="F356" s="190" t="str">
        <f t="shared" ref="F356:F369" si="38">"极品注灵石"&amp;ROUND(AG35/10,0)&amp;"/元宝"&amp;AH33</f>
        <v>极品注灵石5/元宝180000</v>
      </c>
      <c r="G356" s="35">
        <v>30</v>
      </c>
      <c r="H356" s="112"/>
    </row>
    <row r="357" spans="1:8" ht="15.75" x14ac:dyDescent="0.3">
      <c r="A357" s="35" t="s">
        <v>40</v>
      </c>
      <c r="B357" s="35" t="s">
        <v>3137</v>
      </c>
      <c r="C357" s="41" t="s">
        <v>3095</v>
      </c>
      <c r="D357" s="35">
        <v>32</v>
      </c>
      <c r="E357" s="36" t="str">
        <f t="shared" si="36"/>
        <v>3#3#63|3#4#63|3#5#63|3#6#63|3#7#63|3#8#63</v>
      </c>
      <c r="F357" s="190" t="str">
        <f t="shared" si="38"/>
        <v>极品注灵石5/元宝184000</v>
      </c>
      <c r="G357" s="35">
        <v>30</v>
      </c>
      <c r="H357" s="112"/>
    </row>
    <row r="358" spans="1:8" ht="15.75" x14ac:dyDescent="0.3">
      <c r="A358" s="35" t="s">
        <v>40</v>
      </c>
      <c r="B358" s="35" t="s">
        <v>3137</v>
      </c>
      <c r="C358" s="41" t="s">
        <v>3096</v>
      </c>
      <c r="D358" s="35">
        <v>33</v>
      </c>
      <c r="E358" s="36" t="str">
        <f t="shared" si="36"/>
        <v>3#3#66|3#4#66|3#5#66|3#6#66|3#7#66|3#8#66</v>
      </c>
      <c r="F358" s="190" t="str">
        <f t="shared" si="38"/>
        <v>极品注灵石5/元宝192000</v>
      </c>
      <c r="G358" s="35">
        <v>30</v>
      </c>
      <c r="H358" s="112"/>
    </row>
    <row r="359" spans="1:8" ht="15.75" x14ac:dyDescent="0.3">
      <c r="A359" s="35" t="s">
        <v>40</v>
      </c>
      <c r="B359" s="35" t="s">
        <v>3137</v>
      </c>
      <c r="C359" s="41" t="s">
        <v>3097</v>
      </c>
      <c r="D359" s="35">
        <v>34</v>
      </c>
      <c r="E359" s="36" t="str">
        <f t="shared" si="36"/>
        <v>3#3#67|3#4#67|3#5#67|3#6#67|3#7#67|3#8#67</v>
      </c>
      <c r="F359" s="190" t="str">
        <f t="shared" si="38"/>
        <v>极品注灵石5/元宝200000</v>
      </c>
      <c r="G359" s="35">
        <v>30</v>
      </c>
      <c r="H359" s="112"/>
    </row>
    <row r="360" spans="1:8" ht="15.75" x14ac:dyDescent="0.3">
      <c r="A360" s="35" t="s">
        <v>40</v>
      </c>
      <c r="B360" s="35" t="s">
        <v>3137</v>
      </c>
      <c r="C360" s="41" t="s">
        <v>3098</v>
      </c>
      <c r="D360" s="35">
        <v>35</v>
      </c>
      <c r="E360" s="36" t="str">
        <f t="shared" si="36"/>
        <v>3#3#69|3#4#69|3#5#69|3#6#69|3#7#69|3#8#69</v>
      </c>
      <c r="F360" s="190" t="str">
        <f t="shared" si="38"/>
        <v>极品注灵石6/元宝208000</v>
      </c>
      <c r="G360" s="35">
        <v>25</v>
      </c>
      <c r="H360" s="112"/>
    </row>
    <row r="361" spans="1:8" ht="15.75" x14ac:dyDescent="0.3">
      <c r="A361" s="35" t="s">
        <v>40</v>
      </c>
      <c r="B361" s="35" t="s">
        <v>3137</v>
      </c>
      <c r="C361" s="41" t="s">
        <v>3099</v>
      </c>
      <c r="D361" s="35">
        <v>36</v>
      </c>
      <c r="E361" s="36" t="str">
        <f t="shared" si="36"/>
        <v>3#3#76|3#4#76|3#5#76|3#6#76|3#7#76|3#8#76</v>
      </c>
      <c r="F361" s="190" t="str">
        <f t="shared" si="38"/>
        <v>极品注灵石6/元宝212000</v>
      </c>
      <c r="G361" s="35">
        <v>25</v>
      </c>
      <c r="H361" s="112"/>
    </row>
    <row r="362" spans="1:8" ht="15.75" x14ac:dyDescent="0.3">
      <c r="A362" s="35" t="s">
        <v>40</v>
      </c>
      <c r="B362" s="35" t="s">
        <v>3137</v>
      </c>
      <c r="C362" s="41" t="s">
        <v>3100</v>
      </c>
      <c r="D362" s="35">
        <v>37</v>
      </c>
      <c r="E362" s="36" t="str">
        <f t="shared" si="36"/>
        <v>3#3#77|3#4#77|3#5#77|3#6#77|3#7#77|3#8#77</v>
      </c>
      <c r="F362" s="190" t="str">
        <f t="shared" si="38"/>
        <v>极品注灵石6/元宝220000</v>
      </c>
      <c r="G362" s="35">
        <v>25</v>
      </c>
      <c r="H362" s="112"/>
    </row>
    <row r="363" spans="1:8" ht="15.75" x14ac:dyDescent="0.3">
      <c r="A363" s="35" t="s">
        <v>40</v>
      </c>
      <c r="B363" s="35" t="s">
        <v>3137</v>
      </c>
      <c r="C363" s="41" t="s">
        <v>3101</v>
      </c>
      <c r="D363" s="35">
        <v>38</v>
      </c>
      <c r="E363" s="36" t="str">
        <f t="shared" si="36"/>
        <v>3#3#80|3#4#80|3#5#80|3#6#80|3#7#80|3#8#80</v>
      </c>
      <c r="F363" s="190" t="str">
        <f t="shared" si="38"/>
        <v>极品注灵石6/元宝228000</v>
      </c>
      <c r="G363" s="35">
        <v>25</v>
      </c>
      <c r="H363" s="112"/>
    </row>
    <row r="364" spans="1:8" ht="15.75" x14ac:dyDescent="0.3">
      <c r="A364" s="35" t="s">
        <v>40</v>
      </c>
      <c r="B364" s="35" t="s">
        <v>3137</v>
      </c>
      <c r="C364" s="41" t="s">
        <v>3102</v>
      </c>
      <c r="D364" s="35">
        <v>39</v>
      </c>
      <c r="E364" s="36" t="str">
        <f t="shared" si="36"/>
        <v>3#3#82|3#4#82|3#5#82|3#6#82|3#7#82|3#8#82</v>
      </c>
      <c r="F364" s="190" t="str">
        <f t="shared" si="38"/>
        <v>极品注灵石6/元宝236000</v>
      </c>
      <c r="G364" s="35">
        <v>25</v>
      </c>
      <c r="H364" s="112"/>
    </row>
    <row r="365" spans="1:8" ht="15.75" x14ac:dyDescent="0.3">
      <c r="A365" s="35" t="s">
        <v>40</v>
      </c>
      <c r="B365" s="35" t="s">
        <v>3137</v>
      </c>
      <c r="C365" s="41" t="s">
        <v>3103</v>
      </c>
      <c r="D365" s="35">
        <v>40</v>
      </c>
      <c r="E365" s="36" t="str">
        <f t="shared" si="36"/>
        <v>3#3#84|3#4#84|3#5#84|3#6#84|3#7#84|3#8#84</v>
      </c>
      <c r="F365" s="190" t="str">
        <f t="shared" si="38"/>
        <v>极品注灵石6/元宝240000</v>
      </c>
      <c r="G365" s="35">
        <v>20</v>
      </c>
      <c r="H365" s="112"/>
    </row>
    <row r="366" spans="1:8" ht="15.75" x14ac:dyDescent="0.3">
      <c r="A366" s="35" t="s">
        <v>40</v>
      </c>
      <c r="B366" s="35" t="s">
        <v>3137</v>
      </c>
      <c r="C366" s="41" t="s">
        <v>3104</v>
      </c>
      <c r="D366" s="35">
        <v>41</v>
      </c>
      <c r="E366" s="36" t="str">
        <f t="shared" si="36"/>
        <v>3#3#91|3#4#91|3#5#91|3#6#91|3#7#91|3#8#91</v>
      </c>
      <c r="F366" s="190" t="str">
        <f t="shared" si="38"/>
        <v>极品注灵石6/元宝248000</v>
      </c>
      <c r="G366" s="35">
        <v>20</v>
      </c>
      <c r="H366" s="112"/>
    </row>
    <row r="367" spans="1:8" ht="15.75" x14ac:dyDescent="0.3">
      <c r="A367" s="35" t="s">
        <v>40</v>
      </c>
      <c r="B367" s="35" t="s">
        <v>3137</v>
      </c>
      <c r="C367" s="41" t="s">
        <v>3105</v>
      </c>
      <c r="D367" s="35">
        <v>42</v>
      </c>
      <c r="E367" s="36" t="str">
        <f t="shared" si="36"/>
        <v>3#3#93|3#4#93|3#5#93|3#6#93|3#7#93|3#8#93</v>
      </c>
      <c r="F367" s="190" t="str">
        <f t="shared" si="38"/>
        <v>极品注灵石7/元宝252000</v>
      </c>
      <c r="G367" s="35">
        <v>20</v>
      </c>
      <c r="H367" s="112"/>
    </row>
    <row r="368" spans="1:8" ht="15.75" x14ac:dyDescent="0.3">
      <c r="A368" s="35" t="s">
        <v>40</v>
      </c>
      <c r="B368" s="35" t="s">
        <v>3137</v>
      </c>
      <c r="C368" s="41" t="s">
        <v>3106</v>
      </c>
      <c r="D368" s="35">
        <v>43</v>
      </c>
      <c r="E368" s="36" t="str">
        <f t="shared" si="36"/>
        <v>3#3#95|3#4#95|3#5#95|3#6#95|3#7#95|3#8#95</v>
      </c>
      <c r="F368" s="190" t="str">
        <f t="shared" si="38"/>
        <v>极品注灵石7/元宝256000</v>
      </c>
      <c r="G368" s="35">
        <v>20</v>
      </c>
      <c r="H368" s="112"/>
    </row>
    <row r="369" spans="1:8" ht="15.75" x14ac:dyDescent="0.3">
      <c r="A369" s="35" t="s">
        <v>40</v>
      </c>
      <c r="B369" s="35" t="s">
        <v>3137</v>
      </c>
      <c r="C369" s="41" t="s">
        <v>3107</v>
      </c>
      <c r="D369" s="35">
        <v>44</v>
      </c>
      <c r="E369" s="36" t="str">
        <f t="shared" si="36"/>
        <v>3#3#97|3#4#97|3#5#97|3#6#97|3#7#97|3#8#97</v>
      </c>
      <c r="F369" s="190" t="str">
        <f t="shared" si="38"/>
        <v>极品注灵石7/元宝264000</v>
      </c>
      <c r="G369" s="35">
        <v>20</v>
      </c>
      <c r="H369" s="112"/>
    </row>
    <row r="370" spans="1:8" ht="15.75" x14ac:dyDescent="0.3">
      <c r="A370" s="35" t="s">
        <v>40</v>
      </c>
      <c r="B370" s="35" t="s">
        <v>3137</v>
      </c>
      <c r="C370" s="41" t="s">
        <v>3108</v>
      </c>
      <c r="D370" s="35">
        <v>45</v>
      </c>
      <c r="E370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370" s="190"/>
      <c r="G370" s="35"/>
      <c r="H370" s="112"/>
    </row>
    <row r="371" spans="1:8" ht="15.75" x14ac:dyDescent="0.3">
      <c r="A371" s="44" t="s">
        <v>40</v>
      </c>
      <c r="B371" s="44" t="s">
        <v>3138</v>
      </c>
      <c r="C371" s="45" t="s">
        <v>78</v>
      </c>
      <c r="D371" s="44">
        <v>0</v>
      </c>
      <c r="E371" s="115"/>
      <c r="F371" s="211" t="s">
        <v>3110</v>
      </c>
      <c r="G371" s="44">
        <v>100</v>
      </c>
      <c r="H371" s="112"/>
    </row>
    <row r="372" spans="1:8" ht="15.75" x14ac:dyDescent="0.3">
      <c r="A372" s="44" t="s">
        <v>40</v>
      </c>
      <c r="B372" s="44" t="s">
        <v>3138</v>
      </c>
      <c r="C372" s="45" t="s">
        <v>3055</v>
      </c>
      <c r="D372" s="44">
        <v>1</v>
      </c>
      <c r="E372" s="115" t="str">
        <f t="shared" ref="E372:E415" si="39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72" s="211" t="s">
        <v>3111</v>
      </c>
      <c r="G372" s="44">
        <v>100</v>
      </c>
      <c r="H372" s="112"/>
    </row>
    <row r="373" spans="1:8" ht="15.75" x14ac:dyDescent="0.3">
      <c r="A373" s="44" t="s">
        <v>40</v>
      </c>
      <c r="B373" s="44" t="s">
        <v>3138</v>
      </c>
      <c r="C373" s="45" t="s">
        <v>3057</v>
      </c>
      <c r="D373" s="44">
        <v>2</v>
      </c>
      <c r="E373" s="115" t="str">
        <f t="shared" si="39"/>
        <v>3#3#2|3#4#2|3#5#2|3#6#2|3#7#2|3#8#2</v>
      </c>
      <c r="F373" s="211" t="s">
        <v>3112</v>
      </c>
      <c r="G373" s="44">
        <v>100</v>
      </c>
      <c r="H373" s="112"/>
    </row>
    <row r="374" spans="1:8" ht="15.75" x14ac:dyDescent="0.3">
      <c r="A374" s="44" t="s">
        <v>40</v>
      </c>
      <c r="B374" s="44" t="s">
        <v>3138</v>
      </c>
      <c r="C374" s="45" t="s">
        <v>3059</v>
      </c>
      <c r="D374" s="44">
        <v>3</v>
      </c>
      <c r="E374" s="115" t="str">
        <f t="shared" si="39"/>
        <v>3#3#4|3#4#4|3#5#4|3#6#4|3#7#4|3#8#4</v>
      </c>
      <c r="F374" s="211" t="s">
        <v>3113</v>
      </c>
      <c r="G374" s="44">
        <v>100</v>
      </c>
      <c r="H374" s="112"/>
    </row>
    <row r="375" spans="1:8" ht="15.75" x14ac:dyDescent="0.3">
      <c r="A375" s="44" t="s">
        <v>40</v>
      </c>
      <c r="B375" s="44" t="s">
        <v>3138</v>
      </c>
      <c r="C375" s="45" t="s">
        <v>3061</v>
      </c>
      <c r="D375" s="44">
        <v>4</v>
      </c>
      <c r="E375" s="115" t="str">
        <f t="shared" si="39"/>
        <v>3#3#5|3#4#5|3#5#5|3#6#5|3#7#5|3#8#5</v>
      </c>
      <c r="F375" s="211" t="s">
        <v>3114</v>
      </c>
      <c r="G375" s="44">
        <v>100</v>
      </c>
      <c r="H375" s="112"/>
    </row>
    <row r="376" spans="1:8" ht="15.75" x14ac:dyDescent="0.3">
      <c r="A376" s="44" t="s">
        <v>40</v>
      </c>
      <c r="B376" s="44" t="s">
        <v>3138</v>
      </c>
      <c r="C376" s="45" t="s">
        <v>3063</v>
      </c>
      <c r="D376" s="44">
        <v>5</v>
      </c>
      <c r="E376" s="115" t="str">
        <f t="shared" si="39"/>
        <v>3#3#6|3#4#6|3#5#6|3#6#6|3#7#6|3#8#6</v>
      </c>
      <c r="F376" s="211" t="s">
        <v>3115</v>
      </c>
      <c r="G376" s="44">
        <v>100</v>
      </c>
      <c r="H376" s="112"/>
    </row>
    <row r="377" spans="1:8" ht="15.75" x14ac:dyDescent="0.3">
      <c r="A377" s="44" t="s">
        <v>40</v>
      </c>
      <c r="B377" s="44" t="s">
        <v>3138</v>
      </c>
      <c r="C377" s="45" t="s">
        <v>3065</v>
      </c>
      <c r="D377" s="44">
        <v>6</v>
      </c>
      <c r="E377" s="115" t="str">
        <f t="shared" si="39"/>
        <v>3#3#8|3#4#8|3#5#8|3#6#8|3#7#8|3#8#8</v>
      </c>
      <c r="F377" s="211" t="s">
        <v>3116</v>
      </c>
      <c r="G377" s="44">
        <v>100</v>
      </c>
      <c r="H377" s="112"/>
    </row>
    <row r="378" spans="1:8" ht="15.75" x14ac:dyDescent="0.3">
      <c r="A378" s="44" t="s">
        <v>40</v>
      </c>
      <c r="B378" s="44" t="s">
        <v>3138</v>
      </c>
      <c r="C378" s="45" t="s">
        <v>3067</v>
      </c>
      <c r="D378" s="44">
        <v>7</v>
      </c>
      <c r="E378" s="115" t="str">
        <f t="shared" si="39"/>
        <v>3#3#9|3#4#9|3#5#9|3#6#9|3#7#9|3#8#9</v>
      </c>
      <c r="F378" s="211" t="s">
        <v>3117</v>
      </c>
      <c r="G378" s="44">
        <v>100</v>
      </c>
      <c r="H378" s="112"/>
    </row>
    <row r="379" spans="1:8" ht="15.75" x14ac:dyDescent="0.3">
      <c r="A379" s="44" t="s">
        <v>40</v>
      </c>
      <c r="B379" s="44" t="s">
        <v>3138</v>
      </c>
      <c r="C379" s="45" t="s">
        <v>3069</v>
      </c>
      <c r="D379" s="44">
        <v>8</v>
      </c>
      <c r="E379" s="115" t="str">
        <f t="shared" si="39"/>
        <v>3#3#11|3#4#11|3#5#11|3#6#11|3#7#11|3#8#11</v>
      </c>
      <c r="F379" s="211" t="s">
        <v>3118</v>
      </c>
      <c r="G379" s="44">
        <v>100</v>
      </c>
      <c r="H379" s="112"/>
    </row>
    <row r="380" spans="1:8" ht="15.75" x14ac:dyDescent="0.3">
      <c r="A380" s="44" t="s">
        <v>40</v>
      </c>
      <c r="B380" s="44" t="s">
        <v>3138</v>
      </c>
      <c r="C380" s="45" t="s">
        <v>3071</v>
      </c>
      <c r="D380" s="44">
        <v>9</v>
      </c>
      <c r="E380" s="115" t="str">
        <f t="shared" si="39"/>
        <v>3#3#13|3#4#13|3#5#13|3#6#13|3#7#13|3#8#13</v>
      </c>
      <c r="F380" s="211" t="s">
        <v>3119</v>
      </c>
      <c r="G380" s="44">
        <v>100</v>
      </c>
      <c r="H380" s="112"/>
    </row>
    <row r="381" spans="1:8" ht="15.75" x14ac:dyDescent="0.3">
      <c r="A381" s="44" t="s">
        <v>40</v>
      </c>
      <c r="B381" s="44" t="s">
        <v>3138</v>
      </c>
      <c r="C381" s="45" t="s">
        <v>3072</v>
      </c>
      <c r="D381" s="44">
        <v>10</v>
      </c>
      <c r="E381" s="115" t="str">
        <f t="shared" si="39"/>
        <v>3#3#14|3#4#14|3#5#14|3#6#14|3#7#14|3#8#14</v>
      </c>
      <c r="F381" s="211" t="s">
        <v>3120</v>
      </c>
      <c r="G381" s="44">
        <v>100</v>
      </c>
      <c r="H381" s="112"/>
    </row>
    <row r="382" spans="1:8" ht="15.75" x14ac:dyDescent="0.3">
      <c r="A382" s="44" t="s">
        <v>40</v>
      </c>
      <c r="B382" s="44" t="s">
        <v>3138</v>
      </c>
      <c r="C382" s="45" t="s">
        <v>3073</v>
      </c>
      <c r="D382" s="44">
        <v>11</v>
      </c>
      <c r="E382" s="115" t="str">
        <f t="shared" si="39"/>
        <v>3#3#17|3#4#17|3#5#17|3#6#17|3#7#17|3#8#17</v>
      </c>
      <c r="F382" s="211" t="s">
        <v>3121</v>
      </c>
      <c r="G382" s="44">
        <v>100</v>
      </c>
      <c r="H382" s="112"/>
    </row>
    <row r="383" spans="1:8" ht="15.75" x14ac:dyDescent="0.3">
      <c r="A383" s="44" t="s">
        <v>40</v>
      </c>
      <c r="B383" s="44" t="s">
        <v>3138</v>
      </c>
      <c r="C383" s="45" t="s">
        <v>3074</v>
      </c>
      <c r="D383" s="44">
        <v>12</v>
      </c>
      <c r="E383" s="115" t="str">
        <f t="shared" si="39"/>
        <v>3#3#18|3#4#18|3#5#18|3#6#18|3#7#18|3#8#18</v>
      </c>
      <c r="F383" s="211" t="s">
        <v>3122</v>
      </c>
      <c r="G383" s="44">
        <v>100</v>
      </c>
      <c r="H383" s="112"/>
    </row>
    <row r="384" spans="1:8" ht="15.75" x14ac:dyDescent="0.3">
      <c r="A384" s="44" t="s">
        <v>40</v>
      </c>
      <c r="B384" s="44" t="s">
        <v>3138</v>
      </c>
      <c r="C384" s="45" t="s">
        <v>3075</v>
      </c>
      <c r="D384" s="44">
        <v>13</v>
      </c>
      <c r="E384" s="115" t="str">
        <f t="shared" si="39"/>
        <v>3#3#20|3#4#20|3#5#20|3#6#20|3#7#20|3#8#20</v>
      </c>
      <c r="F384" s="211" t="s">
        <v>3123</v>
      </c>
      <c r="G384" s="44">
        <v>100</v>
      </c>
      <c r="H384" s="112"/>
    </row>
    <row r="385" spans="1:8" ht="15.75" x14ac:dyDescent="0.3">
      <c r="A385" s="44" t="s">
        <v>40</v>
      </c>
      <c r="B385" s="44" t="s">
        <v>3138</v>
      </c>
      <c r="C385" s="45" t="s">
        <v>3076</v>
      </c>
      <c r="D385" s="44">
        <v>14</v>
      </c>
      <c r="E385" s="115" t="str">
        <f t="shared" si="39"/>
        <v>3#3#21|3#4#21|3#5#21|3#6#21|3#7#21|3#8#21</v>
      </c>
      <c r="F385" s="211" t="s">
        <v>3124</v>
      </c>
      <c r="G385" s="44">
        <v>100</v>
      </c>
      <c r="H385" s="112"/>
    </row>
    <row r="386" spans="1:8" ht="15.75" x14ac:dyDescent="0.3">
      <c r="A386" s="44" t="s">
        <v>40</v>
      </c>
      <c r="B386" s="44" t="s">
        <v>3138</v>
      </c>
      <c r="C386" s="45" t="s">
        <v>3077</v>
      </c>
      <c r="D386" s="44">
        <v>15</v>
      </c>
      <c r="E386" s="115" t="str">
        <f t="shared" si="39"/>
        <v>3#3#23|3#4#23|3#5#23|3#6#23|3#7#23|3#8#23</v>
      </c>
      <c r="F386" s="211" t="str">
        <f>"上品注灵石"&amp;ROUND(AG19/2,0)&amp;"/元宝"&amp;AH18</f>
        <v>上品注灵石8/元宝60000</v>
      </c>
      <c r="G386" s="44">
        <v>30</v>
      </c>
      <c r="H386" s="112"/>
    </row>
    <row r="387" spans="1:8" ht="15.75" x14ac:dyDescent="0.3">
      <c r="A387" s="44" t="s">
        <v>40</v>
      </c>
      <c r="B387" s="44" t="s">
        <v>3139</v>
      </c>
      <c r="C387" s="45" t="s">
        <v>3079</v>
      </c>
      <c r="D387" s="44">
        <v>16</v>
      </c>
      <c r="E387" s="115" t="str">
        <f t="shared" si="39"/>
        <v>3#3#26|3#4#26|3#5#26|3#6#26|3#7#26|3#8#26</v>
      </c>
      <c r="F387" s="211" t="str">
        <f t="shared" ref="F387:F400" si="40">"上品注灵石"&amp;ROUND(AG20/2,0)&amp;"/元宝"&amp;AH19</f>
        <v>上品注灵石9/元宝64000</v>
      </c>
      <c r="G387" s="44">
        <v>30</v>
      </c>
      <c r="H387" s="112"/>
    </row>
    <row r="388" spans="1:8" ht="15.75" x14ac:dyDescent="0.3">
      <c r="A388" s="44" t="s">
        <v>40</v>
      </c>
      <c r="B388" s="44" t="s">
        <v>3139</v>
      </c>
      <c r="C388" s="45" t="s">
        <v>3080</v>
      </c>
      <c r="D388" s="44">
        <v>17</v>
      </c>
      <c r="E388" s="115" t="str">
        <f t="shared" si="39"/>
        <v>3#3#28|3#4#28|3#5#28|3#6#28|3#7#28|3#8#28</v>
      </c>
      <c r="F388" s="211" t="str">
        <f t="shared" si="40"/>
        <v>上品注灵石10/元宝72000</v>
      </c>
      <c r="G388" s="44">
        <v>30</v>
      </c>
      <c r="H388" s="112"/>
    </row>
    <row r="389" spans="1:8" ht="15.75" x14ac:dyDescent="0.3">
      <c r="A389" s="44" t="s">
        <v>40</v>
      </c>
      <c r="B389" s="44" t="s">
        <v>3139</v>
      </c>
      <c r="C389" s="45" t="s">
        <v>3081</v>
      </c>
      <c r="D389" s="44">
        <v>18</v>
      </c>
      <c r="E389" s="115" t="str">
        <f t="shared" si="39"/>
        <v>3#3#30|3#4#30|3#5#30|3#6#30|3#7#30|3#8#30</v>
      </c>
      <c r="F389" s="211" t="str">
        <f t="shared" si="40"/>
        <v>上品注灵石11/元宝80000</v>
      </c>
      <c r="G389" s="44">
        <v>30</v>
      </c>
      <c r="H389" s="112"/>
    </row>
    <row r="390" spans="1:8" ht="15.75" x14ac:dyDescent="0.3">
      <c r="A390" s="44" t="s">
        <v>40</v>
      </c>
      <c r="B390" s="44" t="s">
        <v>3139</v>
      </c>
      <c r="C390" s="45" t="s">
        <v>3082</v>
      </c>
      <c r="D390" s="44">
        <v>19</v>
      </c>
      <c r="E390" s="115" t="str">
        <f t="shared" si="39"/>
        <v>3#3#31|3#4#31|3#5#31|3#6#31|3#7#31|3#8#31</v>
      </c>
      <c r="F390" s="211" t="str">
        <f t="shared" si="40"/>
        <v>上品注灵石12/元宝88000</v>
      </c>
      <c r="G390" s="44">
        <v>30</v>
      </c>
      <c r="H390" s="112"/>
    </row>
    <row r="391" spans="1:8" ht="15.75" x14ac:dyDescent="0.3">
      <c r="A391" s="44" t="s">
        <v>40</v>
      </c>
      <c r="B391" s="44" t="s">
        <v>3139</v>
      </c>
      <c r="C391" s="45" t="s">
        <v>3083</v>
      </c>
      <c r="D391" s="44">
        <v>20</v>
      </c>
      <c r="E391" s="115" t="str">
        <f t="shared" si="39"/>
        <v>3#3#33|3#4#33|3#5#33|3#6#33|3#7#33|3#8#33</v>
      </c>
      <c r="F391" s="211" t="str">
        <f t="shared" si="40"/>
        <v>上品注灵石14/元宝96000</v>
      </c>
      <c r="G391" s="44">
        <v>25</v>
      </c>
      <c r="H391" s="112"/>
    </row>
    <row r="392" spans="1:8" ht="15.75" x14ac:dyDescent="0.3">
      <c r="A392" s="44" t="s">
        <v>40</v>
      </c>
      <c r="B392" s="44" t="s">
        <v>3139</v>
      </c>
      <c r="C392" s="45" t="s">
        <v>3084</v>
      </c>
      <c r="D392" s="44">
        <v>21</v>
      </c>
      <c r="E392" s="115" t="str">
        <f t="shared" si="39"/>
        <v>3#3#37|3#4#37|3#5#37|3#6#37|3#7#37|3#8#37</v>
      </c>
      <c r="F392" s="211" t="str">
        <f t="shared" si="40"/>
        <v>上品注灵石15/元宝108000</v>
      </c>
      <c r="G392" s="44">
        <v>25</v>
      </c>
      <c r="H392" s="112"/>
    </row>
    <row r="393" spans="1:8" ht="15.75" x14ac:dyDescent="0.3">
      <c r="A393" s="44" t="s">
        <v>40</v>
      </c>
      <c r="B393" s="44" t="s">
        <v>3139</v>
      </c>
      <c r="C393" s="45" t="s">
        <v>3085</v>
      </c>
      <c r="D393" s="44">
        <v>22</v>
      </c>
      <c r="E393" s="115" t="str">
        <f t="shared" si="39"/>
        <v>3#3#38|3#4#38|3#5#38|3#6#38|3#7#38|3#8#38</v>
      </c>
      <c r="F393" s="211" t="str">
        <f t="shared" si="40"/>
        <v>上品注灵石16/元宝116000</v>
      </c>
      <c r="G393" s="44">
        <v>25</v>
      </c>
      <c r="H393" s="112"/>
    </row>
    <row r="394" spans="1:8" ht="15.75" x14ac:dyDescent="0.3">
      <c r="A394" s="44" t="s">
        <v>40</v>
      </c>
      <c r="B394" s="44" t="s">
        <v>3139</v>
      </c>
      <c r="C394" s="45" t="s">
        <v>3086</v>
      </c>
      <c r="D394" s="44">
        <v>23</v>
      </c>
      <c r="E394" s="115" t="str">
        <f t="shared" si="39"/>
        <v>3#3#40|3#4#40|3#5#40|3#6#40|3#7#40|3#8#40</v>
      </c>
      <c r="F394" s="211" t="str">
        <f t="shared" si="40"/>
        <v>上品注灵石17/元宝124000</v>
      </c>
      <c r="G394" s="44">
        <v>25</v>
      </c>
      <c r="H394" s="112"/>
    </row>
    <row r="395" spans="1:8" ht="15.75" x14ac:dyDescent="0.3">
      <c r="A395" s="44" t="s">
        <v>40</v>
      </c>
      <c r="B395" s="44" t="s">
        <v>3139</v>
      </c>
      <c r="C395" s="45" t="s">
        <v>3087</v>
      </c>
      <c r="D395" s="44">
        <v>24</v>
      </c>
      <c r="E395" s="115" t="str">
        <f t="shared" si="39"/>
        <v>3#3#42|3#4#42|3#5#42|3#6#42|3#7#42|3#8#42</v>
      </c>
      <c r="F395" s="211" t="str">
        <f t="shared" si="40"/>
        <v>上品注灵石18/元宝136000</v>
      </c>
      <c r="G395" s="44">
        <v>25</v>
      </c>
      <c r="H395" s="112"/>
    </row>
    <row r="396" spans="1:8" ht="15.75" x14ac:dyDescent="0.3">
      <c r="A396" s="44" t="s">
        <v>40</v>
      </c>
      <c r="B396" s="44" t="s">
        <v>3139</v>
      </c>
      <c r="C396" s="45" t="s">
        <v>3088</v>
      </c>
      <c r="D396" s="44">
        <v>25</v>
      </c>
      <c r="E396" s="115" t="str">
        <f t="shared" si="39"/>
        <v>3#3#44|3#4#44|3#5#44|3#6#44|3#7#44|3#8#44</v>
      </c>
      <c r="F396" s="211" t="str">
        <f t="shared" si="40"/>
        <v>上品注灵石19/元宝144000</v>
      </c>
      <c r="G396" s="44">
        <v>25</v>
      </c>
      <c r="H396" s="112"/>
    </row>
    <row r="397" spans="1:8" ht="15.75" x14ac:dyDescent="0.3">
      <c r="A397" s="44" t="s">
        <v>40</v>
      </c>
      <c r="B397" s="44" t="s">
        <v>3139</v>
      </c>
      <c r="C397" s="45" t="s">
        <v>3089</v>
      </c>
      <c r="D397" s="44">
        <v>26</v>
      </c>
      <c r="E397" s="115" t="str">
        <f t="shared" si="39"/>
        <v>3#3#49|3#4#49|3#5#49|3#6#49|3#7#49|3#8#49</v>
      </c>
      <c r="F397" s="211" t="str">
        <f t="shared" si="40"/>
        <v>上品注灵石20/元宝152000</v>
      </c>
      <c r="G397" s="44">
        <v>25</v>
      </c>
      <c r="H397" s="112"/>
    </row>
    <row r="398" spans="1:8" ht="15.75" x14ac:dyDescent="0.3">
      <c r="A398" s="44" t="s">
        <v>40</v>
      </c>
      <c r="B398" s="44" t="s">
        <v>3139</v>
      </c>
      <c r="C398" s="45" t="s">
        <v>3090</v>
      </c>
      <c r="D398" s="44">
        <v>27</v>
      </c>
      <c r="E398" s="115" t="str">
        <f t="shared" si="39"/>
        <v>3#3#51|3#4#51|3#5#51|3#6#51|3#7#51|3#8#51</v>
      </c>
      <c r="F398" s="211" t="str">
        <f t="shared" si="40"/>
        <v>上品注灵石21/元宝156000</v>
      </c>
      <c r="G398" s="44">
        <v>25</v>
      </c>
      <c r="H398" s="112"/>
    </row>
    <row r="399" spans="1:8" ht="15.75" x14ac:dyDescent="0.3">
      <c r="A399" s="44" t="s">
        <v>40</v>
      </c>
      <c r="B399" s="44" t="s">
        <v>3139</v>
      </c>
      <c r="C399" s="45" t="s">
        <v>3091</v>
      </c>
      <c r="D399" s="44">
        <v>28</v>
      </c>
      <c r="E399" s="115" t="str">
        <f t="shared" si="39"/>
        <v>3#3#52|3#4#52|3#5#52|3#6#52|3#7#52|3#8#52</v>
      </c>
      <c r="F399" s="211" t="str">
        <f t="shared" si="40"/>
        <v>上品注灵石22/元宝164000</v>
      </c>
      <c r="G399" s="44">
        <v>25</v>
      </c>
      <c r="H399" s="112"/>
    </row>
    <row r="400" spans="1:8" ht="15.75" x14ac:dyDescent="0.3">
      <c r="A400" s="44" t="s">
        <v>40</v>
      </c>
      <c r="B400" s="44" t="s">
        <v>3139</v>
      </c>
      <c r="C400" s="45" t="s">
        <v>3092</v>
      </c>
      <c r="D400" s="44">
        <v>29</v>
      </c>
      <c r="E400" s="115" t="str">
        <f t="shared" si="39"/>
        <v>3#3#54|3#4#54|3#5#54|3#6#54|3#7#54|3#8#54</v>
      </c>
      <c r="F400" s="211" t="str">
        <f t="shared" si="40"/>
        <v>上品注灵石23/元宝172000</v>
      </c>
      <c r="G400" s="44">
        <v>25</v>
      </c>
      <c r="H400" s="112"/>
    </row>
    <row r="401" spans="1:8" ht="15.75" x14ac:dyDescent="0.3">
      <c r="A401" s="44" t="s">
        <v>40</v>
      </c>
      <c r="B401" s="44" t="s">
        <v>3139</v>
      </c>
      <c r="C401" s="45" t="s">
        <v>3093</v>
      </c>
      <c r="D401" s="44">
        <v>30</v>
      </c>
      <c r="E401" s="115" t="str">
        <f t="shared" si="39"/>
        <v>3#3#56|3#4#56|3#5#56|3#6#56|3#7#56|3#8#56</v>
      </c>
      <c r="F401" s="211" t="str">
        <f>"极品注灵石"&amp;ROUND(AG34/10,0)&amp;"/元宝"&amp;AH32</f>
        <v>极品注灵石5/元宝172000</v>
      </c>
      <c r="G401" s="44">
        <v>30</v>
      </c>
      <c r="H401" s="112"/>
    </row>
    <row r="402" spans="1:8" ht="15.75" x14ac:dyDescent="0.3">
      <c r="A402" s="44" t="s">
        <v>40</v>
      </c>
      <c r="B402" s="44" t="s">
        <v>3139</v>
      </c>
      <c r="C402" s="45" t="s">
        <v>3094</v>
      </c>
      <c r="D402" s="44">
        <v>31</v>
      </c>
      <c r="E402" s="115" t="str">
        <f t="shared" si="39"/>
        <v>3#3#61|3#4#61|3#5#61|3#6#61|3#7#61|3#8#61</v>
      </c>
      <c r="F402" s="211" t="str">
        <f t="shared" ref="F402:F415" si="41">"极品注灵石"&amp;ROUND(AG35/10,0)&amp;"/元宝"&amp;AH33</f>
        <v>极品注灵石5/元宝180000</v>
      </c>
      <c r="G402" s="44">
        <v>30</v>
      </c>
      <c r="H402" s="112"/>
    </row>
    <row r="403" spans="1:8" ht="15.75" x14ac:dyDescent="0.3">
      <c r="A403" s="44" t="s">
        <v>40</v>
      </c>
      <c r="B403" s="44" t="s">
        <v>3139</v>
      </c>
      <c r="C403" s="45" t="s">
        <v>3095</v>
      </c>
      <c r="D403" s="44">
        <v>32</v>
      </c>
      <c r="E403" s="115" t="str">
        <f t="shared" si="39"/>
        <v>3#3#63|3#4#63|3#5#63|3#6#63|3#7#63|3#8#63</v>
      </c>
      <c r="F403" s="211" t="str">
        <f t="shared" si="41"/>
        <v>极品注灵石5/元宝184000</v>
      </c>
      <c r="G403" s="44">
        <v>30</v>
      </c>
      <c r="H403" s="112"/>
    </row>
    <row r="404" spans="1:8" ht="15.75" x14ac:dyDescent="0.3">
      <c r="A404" s="44" t="s">
        <v>40</v>
      </c>
      <c r="B404" s="44" t="s">
        <v>3139</v>
      </c>
      <c r="C404" s="45" t="s">
        <v>3096</v>
      </c>
      <c r="D404" s="44">
        <v>33</v>
      </c>
      <c r="E404" s="115" t="str">
        <f t="shared" si="39"/>
        <v>3#3#66|3#4#66|3#5#66|3#6#66|3#7#66|3#8#66</v>
      </c>
      <c r="F404" s="211" t="str">
        <f t="shared" si="41"/>
        <v>极品注灵石5/元宝192000</v>
      </c>
      <c r="G404" s="44">
        <v>30</v>
      </c>
      <c r="H404" s="112"/>
    </row>
    <row r="405" spans="1:8" ht="15.75" x14ac:dyDescent="0.3">
      <c r="A405" s="44" t="s">
        <v>40</v>
      </c>
      <c r="B405" s="44" t="s">
        <v>3139</v>
      </c>
      <c r="C405" s="45" t="s">
        <v>3097</v>
      </c>
      <c r="D405" s="44">
        <v>34</v>
      </c>
      <c r="E405" s="115" t="str">
        <f t="shared" si="39"/>
        <v>3#3#67|3#4#67|3#5#67|3#6#67|3#7#67|3#8#67</v>
      </c>
      <c r="F405" s="211" t="str">
        <f t="shared" si="41"/>
        <v>极品注灵石5/元宝200000</v>
      </c>
      <c r="G405" s="44">
        <v>30</v>
      </c>
      <c r="H405" s="112"/>
    </row>
    <row r="406" spans="1:8" ht="15.75" x14ac:dyDescent="0.3">
      <c r="A406" s="44" t="s">
        <v>40</v>
      </c>
      <c r="B406" s="44" t="s">
        <v>3139</v>
      </c>
      <c r="C406" s="45" t="s">
        <v>3098</v>
      </c>
      <c r="D406" s="44">
        <v>35</v>
      </c>
      <c r="E406" s="115" t="str">
        <f t="shared" si="39"/>
        <v>3#3#69|3#4#69|3#5#69|3#6#69|3#7#69|3#8#69</v>
      </c>
      <c r="F406" s="211" t="str">
        <f t="shared" si="41"/>
        <v>极品注灵石6/元宝208000</v>
      </c>
      <c r="G406" s="44">
        <v>25</v>
      </c>
      <c r="H406" s="112"/>
    </row>
    <row r="407" spans="1:8" ht="15.75" x14ac:dyDescent="0.3">
      <c r="A407" s="44" t="s">
        <v>40</v>
      </c>
      <c r="B407" s="44" t="s">
        <v>3139</v>
      </c>
      <c r="C407" s="45" t="s">
        <v>3099</v>
      </c>
      <c r="D407" s="44">
        <v>36</v>
      </c>
      <c r="E407" s="115" t="str">
        <f t="shared" si="39"/>
        <v>3#3#76|3#4#76|3#5#76|3#6#76|3#7#76|3#8#76</v>
      </c>
      <c r="F407" s="211" t="str">
        <f t="shared" si="41"/>
        <v>极品注灵石6/元宝212000</v>
      </c>
      <c r="G407" s="44">
        <v>25</v>
      </c>
      <c r="H407" s="112"/>
    </row>
    <row r="408" spans="1:8" ht="15.75" x14ac:dyDescent="0.3">
      <c r="A408" s="44" t="s">
        <v>40</v>
      </c>
      <c r="B408" s="44" t="s">
        <v>3139</v>
      </c>
      <c r="C408" s="45" t="s">
        <v>3100</v>
      </c>
      <c r="D408" s="44">
        <v>37</v>
      </c>
      <c r="E408" s="115" t="str">
        <f t="shared" si="39"/>
        <v>3#3#77|3#4#77|3#5#77|3#6#77|3#7#77|3#8#77</v>
      </c>
      <c r="F408" s="211" t="str">
        <f t="shared" si="41"/>
        <v>极品注灵石6/元宝220000</v>
      </c>
      <c r="G408" s="44">
        <v>25</v>
      </c>
      <c r="H408" s="112"/>
    </row>
    <row r="409" spans="1:8" ht="15.75" x14ac:dyDescent="0.3">
      <c r="A409" s="44" t="s">
        <v>40</v>
      </c>
      <c r="B409" s="44" t="s">
        <v>3139</v>
      </c>
      <c r="C409" s="45" t="s">
        <v>3101</v>
      </c>
      <c r="D409" s="44">
        <v>38</v>
      </c>
      <c r="E409" s="115" t="str">
        <f t="shared" si="39"/>
        <v>3#3#80|3#4#80|3#5#80|3#6#80|3#7#80|3#8#80</v>
      </c>
      <c r="F409" s="211" t="str">
        <f t="shared" si="41"/>
        <v>极品注灵石6/元宝228000</v>
      </c>
      <c r="G409" s="44">
        <v>25</v>
      </c>
      <c r="H409" s="112"/>
    </row>
    <row r="410" spans="1:8" ht="15.75" x14ac:dyDescent="0.3">
      <c r="A410" s="44" t="s">
        <v>40</v>
      </c>
      <c r="B410" s="44" t="s">
        <v>3139</v>
      </c>
      <c r="C410" s="45" t="s">
        <v>3102</v>
      </c>
      <c r="D410" s="44">
        <v>39</v>
      </c>
      <c r="E410" s="115" t="str">
        <f t="shared" si="39"/>
        <v>3#3#82|3#4#82|3#5#82|3#6#82|3#7#82|3#8#82</v>
      </c>
      <c r="F410" s="211" t="str">
        <f t="shared" si="41"/>
        <v>极品注灵石6/元宝236000</v>
      </c>
      <c r="G410" s="44">
        <v>25</v>
      </c>
      <c r="H410" s="112"/>
    </row>
    <row r="411" spans="1:8" ht="15.75" x14ac:dyDescent="0.3">
      <c r="A411" s="44" t="s">
        <v>40</v>
      </c>
      <c r="B411" s="44" t="s">
        <v>3139</v>
      </c>
      <c r="C411" s="45" t="s">
        <v>3103</v>
      </c>
      <c r="D411" s="44">
        <v>40</v>
      </c>
      <c r="E411" s="115" t="str">
        <f t="shared" si="39"/>
        <v>3#3#84|3#4#84|3#5#84|3#6#84|3#7#84|3#8#84</v>
      </c>
      <c r="F411" s="211" t="str">
        <f t="shared" si="41"/>
        <v>极品注灵石6/元宝240000</v>
      </c>
      <c r="G411" s="44">
        <v>20</v>
      </c>
      <c r="H411" s="112"/>
    </row>
    <row r="412" spans="1:8" ht="15.75" x14ac:dyDescent="0.3">
      <c r="A412" s="44" t="s">
        <v>40</v>
      </c>
      <c r="B412" s="44" t="s">
        <v>3139</v>
      </c>
      <c r="C412" s="45" t="s">
        <v>3104</v>
      </c>
      <c r="D412" s="44">
        <v>41</v>
      </c>
      <c r="E412" s="115" t="str">
        <f t="shared" si="39"/>
        <v>3#3#91|3#4#91|3#5#91|3#6#91|3#7#91|3#8#91</v>
      </c>
      <c r="F412" s="211" t="str">
        <f t="shared" si="41"/>
        <v>极品注灵石6/元宝248000</v>
      </c>
      <c r="G412" s="44">
        <v>20</v>
      </c>
      <c r="H412" s="112"/>
    </row>
    <row r="413" spans="1:8" ht="15.75" x14ac:dyDescent="0.3">
      <c r="A413" s="44" t="s">
        <v>40</v>
      </c>
      <c r="B413" s="44" t="s">
        <v>3139</v>
      </c>
      <c r="C413" s="45" t="s">
        <v>3105</v>
      </c>
      <c r="D413" s="44">
        <v>42</v>
      </c>
      <c r="E413" s="115" t="str">
        <f t="shared" si="39"/>
        <v>3#3#93|3#4#93|3#5#93|3#6#93|3#7#93|3#8#93</v>
      </c>
      <c r="F413" s="211" t="str">
        <f t="shared" si="41"/>
        <v>极品注灵石7/元宝252000</v>
      </c>
      <c r="G413" s="44">
        <v>20</v>
      </c>
      <c r="H413" s="112"/>
    </row>
    <row r="414" spans="1:8" ht="15.75" x14ac:dyDescent="0.3">
      <c r="A414" s="44" t="s">
        <v>40</v>
      </c>
      <c r="B414" s="44" t="s">
        <v>3139</v>
      </c>
      <c r="C414" s="45" t="s">
        <v>3106</v>
      </c>
      <c r="D414" s="44">
        <v>43</v>
      </c>
      <c r="E414" s="115" t="str">
        <f t="shared" si="39"/>
        <v>3#3#95|3#4#95|3#5#95|3#6#95|3#7#95|3#8#95</v>
      </c>
      <c r="F414" s="211" t="str">
        <f t="shared" si="41"/>
        <v>极品注灵石7/元宝256000</v>
      </c>
      <c r="G414" s="44">
        <v>20</v>
      </c>
      <c r="H414" s="112"/>
    </row>
    <row r="415" spans="1:8" ht="15.75" x14ac:dyDescent="0.3">
      <c r="A415" s="44" t="s">
        <v>40</v>
      </c>
      <c r="B415" s="44" t="s">
        <v>3139</v>
      </c>
      <c r="C415" s="45" t="s">
        <v>3107</v>
      </c>
      <c r="D415" s="44">
        <v>44</v>
      </c>
      <c r="E415" s="115" t="str">
        <f t="shared" si="39"/>
        <v>3#3#97|3#4#97|3#5#97|3#6#97|3#7#97|3#8#97</v>
      </c>
      <c r="F415" s="211" t="str">
        <f t="shared" si="41"/>
        <v>极品注灵石7/元宝264000</v>
      </c>
      <c r="G415" s="44">
        <v>20</v>
      </c>
      <c r="H415" s="112"/>
    </row>
    <row r="416" spans="1:8" ht="15.75" x14ac:dyDescent="0.3">
      <c r="A416" s="44" t="s">
        <v>40</v>
      </c>
      <c r="B416" s="44" t="s">
        <v>3139</v>
      </c>
      <c r="C416" s="45" t="s">
        <v>3108</v>
      </c>
      <c r="D416" s="44">
        <v>45</v>
      </c>
      <c r="E416" s="115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16" s="211"/>
      <c r="G416" s="44"/>
      <c r="H416" s="112"/>
    </row>
    <row r="417" spans="1:8" ht="15.75" x14ac:dyDescent="0.3">
      <c r="A417" s="47" t="s">
        <v>40</v>
      </c>
      <c r="B417" s="47" t="s">
        <v>3140</v>
      </c>
      <c r="C417" s="48" t="s">
        <v>78</v>
      </c>
      <c r="D417" s="47">
        <v>0</v>
      </c>
      <c r="E417" s="119"/>
      <c r="F417" s="212" t="s">
        <v>3110</v>
      </c>
      <c r="G417" s="47">
        <v>100</v>
      </c>
      <c r="H417" s="112"/>
    </row>
    <row r="418" spans="1:8" ht="15.75" x14ac:dyDescent="0.3">
      <c r="A418" s="47" t="s">
        <v>40</v>
      </c>
      <c r="B418" s="47" t="s">
        <v>3140</v>
      </c>
      <c r="C418" s="48" t="s">
        <v>3055</v>
      </c>
      <c r="D418" s="47">
        <v>1</v>
      </c>
      <c r="E418" s="119" t="str">
        <f t="shared" ref="E418:E461" si="42">"3#11#"&amp;INT(1/3*Z4)&amp;"|"&amp;"3#12#"&amp;INT(1/3*Z4)</f>
        <v>3#11#1|3#12#1</v>
      </c>
      <c r="F418" s="212" t="s">
        <v>3111</v>
      </c>
      <c r="G418" s="47">
        <v>100</v>
      </c>
      <c r="H418" s="112"/>
    </row>
    <row r="419" spans="1:8" ht="15.75" x14ac:dyDescent="0.3">
      <c r="A419" s="47" t="s">
        <v>40</v>
      </c>
      <c r="B419" s="47" t="s">
        <v>3140</v>
      </c>
      <c r="C419" s="48" t="s">
        <v>3057</v>
      </c>
      <c r="D419" s="47">
        <v>2</v>
      </c>
      <c r="E419" s="119" t="str">
        <f t="shared" si="42"/>
        <v>3#11#2|3#12#2</v>
      </c>
      <c r="F419" s="212" t="s">
        <v>3112</v>
      </c>
      <c r="G419" s="47">
        <v>100</v>
      </c>
      <c r="H419" s="112"/>
    </row>
    <row r="420" spans="1:8" ht="15.75" x14ac:dyDescent="0.3">
      <c r="A420" s="47" t="s">
        <v>40</v>
      </c>
      <c r="B420" s="47" t="s">
        <v>3140</v>
      </c>
      <c r="C420" s="48" t="s">
        <v>3059</v>
      </c>
      <c r="D420" s="47">
        <v>3</v>
      </c>
      <c r="E420" s="119" t="str">
        <f t="shared" si="42"/>
        <v>3#11#4|3#12#4</v>
      </c>
      <c r="F420" s="212" t="s">
        <v>3113</v>
      </c>
      <c r="G420" s="47">
        <v>100</v>
      </c>
      <c r="H420" s="112"/>
    </row>
    <row r="421" spans="1:8" ht="15.75" x14ac:dyDescent="0.3">
      <c r="A421" s="47" t="s">
        <v>40</v>
      </c>
      <c r="B421" s="47" t="s">
        <v>3140</v>
      </c>
      <c r="C421" s="48" t="s">
        <v>3061</v>
      </c>
      <c r="D421" s="47">
        <v>4</v>
      </c>
      <c r="E421" s="119" t="str">
        <f t="shared" si="42"/>
        <v>3#11#5|3#12#5</v>
      </c>
      <c r="F421" s="212" t="s">
        <v>3114</v>
      </c>
      <c r="G421" s="47">
        <v>100</v>
      </c>
      <c r="H421" s="112"/>
    </row>
    <row r="422" spans="1:8" ht="15.75" x14ac:dyDescent="0.3">
      <c r="A422" s="47" t="s">
        <v>40</v>
      </c>
      <c r="B422" s="47" t="s">
        <v>3140</v>
      </c>
      <c r="C422" s="48" t="s">
        <v>3063</v>
      </c>
      <c r="D422" s="47">
        <v>5</v>
      </c>
      <c r="E422" s="119" t="str">
        <f t="shared" si="42"/>
        <v>3#11#6|3#12#6</v>
      </c>
      <c r="F422" s="212" t="s">
        <v>3115</v>
      </c>
      <c r="G422" s="47">
        <v>100</v>
      </c>
      <c r="H422" s="112"/>
    </row>
    <row r="423" spans="1:8" ht="15.75" x14ac:dyDescent="0.3">
      <c r="A423" s="47" t="s">
        <v>40</v>
      </c>
      <c r="B423" s="47" t="s">
        <v>3140</v>
      </c>
      <c r="C423" s="48" t="s">
        <v>3065</v>
      </c>
      <c r="D423" s="47">
        <v>6</v>
      </c>
      <c r="E423" s="119" t="str">
        <f t="shared" si="42"/>
        <v>3#11#8|3#12#8</v>
      </c>
      <c r="F423" s="212" t="s">
        <v>3116</v>
      </c>
      <c r="G423" s="47">
        <v>100</v>
      </c>
      <c r="H423" s="112"/>
    </row>
    <row r="424" spans="1:8" ht="15.75" x14ac:dyDescent="0.3">
      <c r="A424" s="47" t="s">
        <v>40</v>
      </c>
      <c r="B424" s="47" t="s">
        <v>3140</v>
      </c>
      <c r="C424" s="48" t="s">
        <v>3067</v>
      </c>
      <c r="D424" s="47">
        <v>7</v>
      </c>
      <c r="E424" s="119" t="str">
        <f t="shared" si="42"/>
        <v>3#11#9|3#12#9</v>
      </c>
      <c r="F424" s="212" t="s">
        <v>3117</v>
      </c>
      <c r="G424" s="47">
        <v>100</v>
      </c>
      <c r="H424" s="112"/>
    </row>
    <row r="425" spans="1:8" ht="15.75" x14ac:dyDescent="0.3">
      <c r="A425" s="47" t="s">
        <v>40</v>
      </c>
      <c r="B425" s="47" t="s">
        <v>3140</v>
      </c>
      <c r="C425" s="48" t="s">
        <v>3069</v>
      </c>
      <c r="D425" s="47">
        <v>8</v>
      </c>
      <c r="E425" s="119" t="str">
        <f t="shared" si="42"/>
        <v>3#11#11|3#12#11</v>
      </c>
      <c r="F425" s="212" t="s">
        <v>3118</v>
      </c>
      <c r="G425" s="47">
        <v>100</v>
      </c>
      <c r="H425" s="112"/>
    </row>
    <row r="426" spans="1:8" ht="15.75" x14ac:dyDescent="0.3">
      <c r="A426" s="47" t="s">
        <v>40</v>
      </c>
      <c r="B426" s="47" t="s">
        <v>3140</v>
      </c>
      <c r="C426" s="48" t="s">
        <v>3071</v>
      </c>
      <c r="D426" s="47">
        <v>9</v>
      </c>
      <c r="E426" s="119" t="str">
        <f t="shared" si="42"/>
        <v>3#11#13|3#12#13</v>
      </c>
      <c r="F426" s="212" t="s">
        <v>3119</v>
      </c>
      <c r="G426" s="47">
        <v>100</v>
      </c>
      <c r="H426" s="112"/>
    </row>
    <row r="427" spans="1:8" ht="15.75" x14ac:dyDescent="0.3">
      <c r="A427" s="47" t="s">
        <v>40</v>
      </c>
      <c r="B427" s="47" t="s">
        <v>3140</v>
      </c>
      <c r="C427" s="48" t="s">
        <v>3072</v>
      </c>
      <c r="D427" s="47">
        <v>10</v>
      </c>
      <c r="E427" s="119" t="str">
        <f t="shared" si="42"/>
        <v>3#11#14|3#12#14</v>
      </c>
      <c r="F427" s="212" t="s">
        <v>3120</v>
      </c>
      <c r="G427" s="47">
        <v>100</v>
      </c>
      <c r="H427" s="112"/>
    </row>
    <row r="428" spans="1:8" ht="15.75" x14ac:dyDescent="0.3">
      <c r="A428" s="47" t="s">
        <v>40</v>
      </c>
      <c r="B428" s="47" t="s">
        <v>3140</v>
      </c>
      <c r="C428" s="48" t="s">
        <v>3073</v>
      </c>
      <c r="D428" s="47">
        <v>11</v>
      </c>
      <c r="E428" s="119" t="str">
        <f t="shared" si="42"/>
        <v>3#11#17|3#12#17</v>
      </c>
      <c r="F428" s="212" t="s">
        <v>3121</v>
      </c>
      <c r="G428" s="47">
        <v>100</v>
      </c>
      <c r="H428" s="112"/>
    </row>
    <row r="429" spans="1:8" ht="15.75" x14ac:dyDescent="0.3">
      <c r="A429" s="47" t="s">
        <v>40</v>
      </c>
      <c r="B429" s="47" t="s">
        <v>3140</v>
      </c>
      <c r="C429" s="48" t="s">
        <v>3074</v>
      </c>
      <c r="D429" s="47">
        <v>12</v>
      </c>
      <c r="E429" s="119" t="str">
        <f t="shared" si="42"/>
        <v>3#11#18|3#12#18</v>
      </c>
      <c r="F429" s="212" t="s">
        <v>3122</v>
      </c>
      <c r="G429" s="47">
        <v>100</v>
      </c>
      <c r="H429" s="112"/>
    </row>
    <row r="430" spans="1:8" ht="15.75" x14ac:dyDescent="0.3">
      <c r="A430" s="47" t="s">
        <v>40</v>
      </c>
      <c r="B430" s="47" t="s">
        <v>3140</v>
      </c>
      <c r="C430" s="48" t="s">
        <v>3075</v>
      </c>
      <c r="D430" s="47">
        <v>13</v>
      </c>
      <c r="E430" s="119" t="str">
        <f t="shared" si="42"/>
        <v>3#11#20|3#12#20</v>
      </c>
      <c r="F430" s="212" t="s">
        <v>3123</v>
      </c>
      <c r="G430" s="47">
        <v>100</v>
      </c>
      <c r="H430" s="112"/>
    </row>
    <row r="431" spans="1:8" ht="15.75" x14ac:dyDescent="0.3">
      <c r="A431" s="47" t="s">
        <v>40</v>
      </c>
      <c r="B431" s="47" t="s">
        <v>3140</v>
      </c>
      <c r="C431" s="48" t="s">
        <v>3076</v>
      </c>
      <c r="D431" s="47">
        <v>14</v>
      </c>
      <c r="E431" s="119" t="str">
        <f t="shared" si="42"/>
        <v>3#11#21|3#12#21</v>
      </c>
      <c r="F431" s="212" t="s">
        <v>3124</v>
      </c>
      <c r="G431" s="47">
        <v>100</v>
      </c>
      <c r="H431" s="112"/>
    </row>
    <row r="432" spans="1:8" ht="15.75" x14ac:dyDescent="0.3">
      <c r="A432" s="47" t="s">
        <v>40</v>
      </c>
      <c r="B432" s="47" t="s">
        <v>3140</v>
      </c>
      <c r="C432" s="48" t="s">
        <v>3077</v>
      </c>
      <c r="D432" s="47">
        <v>15</v>
      </c>
      <c r="E432" s="119" t="str">
        <f t="shared" si="42"/>
        <v>3#11#23|3#12#23</v>
      </c>
      <c r="F432" s="212" t="str">
        <f>"上品注灵石"&amp;ROUND(AG19/2,0)&amp;"/元宝"&amp;AH18</f>
        <v>上品注灵石8/元宝60000</v>
      </c>
      <c r="G432" s="47">
        <v>30</v>
      </c>
      <c r="H432" s="112"/>
    </row>
    <row r="433" spans="1:8" ht="15.75" x14ac:dyDescent="0.3">
      <c r="A433" s="47" t="s">
        <v>40</v>
      </c>
      <c r="B433" s="47" t="s">
        <v>3141</v>
      </c>
      <c r="C433" s="48" t="s">
        <v>3079</v>
      </c>
      <c r="D433" s="47">
        <v>16</v>
      </c>
      <c r="E433" s="119" t="str">
        <f t="shared" si="42"/>
        <v>3#11#26|3#12#26</v>
      </c>
      <c r="F433" s="212" t="str">
        <f t="shared" ref="F433:F446" si="43">"上品注灵石"&amp;ROUND(AG20/2,0)&amp;"/元宝"&amp;AH19</f>
        <v>上品注灵石9/元宝64000</v>
      </c>
      <c r="G433" s="47">
        <v>30</v>
      </c>
      <c r="H433" s="112"/>
    </row>
    <row r="434" spans="1:8" ht="15.75" x14ac:dyDescent="0.3">
      <c r="A434" s="47" t="s">
        <v>40</v>
      </c>
      <c r="B434" s="47" t="s">
        <v>3141</v>
      </c>
      <c r="C434" s="48" t="s">
        <v>3080</v>
      </c>
      <c r="D434" s="47">
        <v>17</v>
      </c>
      <c r="E434" s="119" t="str">
        <f t="shared" si="42"/>
        <v>3#11#28|3#12#28</v>
      </c>
      <c r="F434" s="212" t="str">
        <f t="shared" si="43"/>
        <v>上品注灵石10/元宝72000</v>
      </c>
      <c r="G434" s="47">
        <v>30</v>
      </c>
      <c r="H434" s="112"/>
    </row>
    <row r="435" spans="1:8" ht="15.75" x14ac:dyDescent="0.3">
      <c r="A435" s="47" t="s">
        <v>40</v>
      </c>
      <c r="B435" s="47" t="s">
        <v>3141</v>
      </c>
      <c r="C435" s="48" t="s">
        <v>3081</v>
      </c>
      <c r="D435" s="47">
        <v>18</v>
      </c>
      <c r="E435" s="119" t="str">
        <f t="shared" si="42"/>
        <v>3#11#30|3#12#30</v>
      </c>
      <c r="F435" s="212" t="str">
        <f t="shared" si="43"/>
        <v>上品注灵石11/元宝80000</v>
      </c>
      <c r="G435" s="47">
        <v>30</v>
      </c>
      <c r="H435" s="112"/>
    </row>
    <row r="436" spans="1:8" ht="15.75" x14ac:dyDescent="0.3">
      <c r="A436" s="47" t="s">
        <v>40</v>
      </c>
      <c r="B436" s="47" t="s">
        <v>3141</v>
      </c>
      <c r="C436" s="48" t="s">
        <v>3082</v>
      </c>
      <c r="D436" s="47">
        <v>19</v>
      </c>
      <c r="E436" s="119" t="str">
        <f t="shared" si="42"/>
        <v>3#11#31|3#12#31</v>
      </c>
      <c r="F436" s="212" t="str">
        <f t="shared" si="43"/>
        <v>上品注灵石12/元宝88000</v>
      </c>
      <c r="G436" s="47">
        <v>30</v>
      </c>
      <c r="H436" s="112"/>
    </row>
    <row r="437" spans="1:8" ht="15.75" x14ac:dyDescent="0.3">
      <c r="A437" s="47" t="s">
        <v>40</v>
      </c>
      <c r="B437" s="47" t="s">
        <v>3141</v>
      </c>
      <c r="C437" s="48" t="s">
        <v>3083</v>
      </c>
      <c r="D437" s="47">
        <v>20</v>
      </c>
      <c r="E437" s="119" t="str">
        <f t="shared" si="42"/>
        <v>3#11#33|3#12#33</v>
      </c>
      <c r="F437" s="212" t="str">
        <f t="shared" si="43"/>
        <v>上品注灵石14/元宝96000</v>
      </c>
      <c r="G437" s="47">
        <v>25</v>
      </c>
      <c r="H437" s="112"/>
    </row>
    <row r="438" spans="1:8" ht="15.75" x14ac:dyDescent="0.3">
      <c r="A438" s="47" t="s">
        <v>40</v>
      </c>
      <c r="B438" s="47" t="s">
        <v>3141</v>
      </c>
      <c r="C438" s="48" t="s">
        <v>3084</v>
      </c>
      <c r="D438" s="47">
        <v>21</v>
      </c>
      <c r="E438" s="119" t="str">
        <f t="shared" si="42"/>
        <v>3#11#37|3#12#37</v>
      </c>
      <c r="F438" s="212" t="str">
        <f t="shared" si="43"/>
        <v>上品注灵石15/元宝108000</v>
      </c>
      <c r="G438" s="47">
        <v>25</v>
      </c>
      <c r="H438" s="112"/>
    </row>
    <row r="439" spans="1:8" ht="15.75" x14ac:dyDescent="0.3">
      <c r="A439" s="47" t="s">
        <v>40</v>
      </c>
      <c r="B439" s="47" t="s">
        <v>3141</v>
      </c>
      <c r="C439" s="48" t="s">
        <v>3085</v>
      </c>
      <c r="D439" s="47">
        <v>22</v>
      </c>
      <c r="E439" s="119" t="str">
        <f t="shared" si="42"/>
        <v>3#11#38|3#12#38</v>
      </c>
      <c r="F439" s="212" t="str">
        <f t="shared" si="43"/>
        <v>上品注灵石16/元宝116000</v>
      </c>
      <c r="G439" s="47">
        <v>25</v>
      </c>
      <c r="H439" s="112"/>
    </row>
    <row r="440" spans="1:8" ht="15.75" x14ac:dyDescent="0.3">
      <c r="A440" s="47" t="s">
        <v>40</v>
      </c>
      <c r="B440" s="47" t="s">
        <v>3141</v>
      </c>
      <c r="C440" s="48" t="s">
        <v>3086</v>
      </c>
      <c r="D440" s="47">
        <v>23</v>
      </c>
      <c r="E440" s="119" t="str">
        <f t="shared" si="42"/>
        <v>3#11#40|3#12#40</v>
      </c>
      <c r="F440" s="212" t="str">
        <f t="shared" si="43"/>
        <v>上品注灵石17/元宝124000</v>
      </c>
      <c r="G440" s="47">
        <v>25</v>
      </c>
      <c r="H440" s="112"/>
    </row>
    <row r="441" spans="1:8" ht="15.75" x14ac:dyDescent="0.3">
      <c r="A441" s="47" t="s">
        <v>40</v>
      </c>
      <c r="B441" s="47" t="s">
        <v>3141</v>
      </c>
      <c r="C441" s="48" t="s">
        <v>3087</v>
      </c>
      <c r="D441" s="47">
        <v>24</v>
      </c>
      <c r="E441" s="119" t="str">
        <f t="shared" si="42"/>
        <v>3#11#42|3#12#42</v>
      </c>
      <c r="F441" s="212" t="str">
        <f t="shared" si="43"/>
        <v>上品注灵石18/元宝136000</v>
      </c>
      <c r="G441" s="47">
        <v>25</v>
      </c>
      <c r="H441" s="112"/>
    </row>
    <row r="442" spans="1:8" ht="15.75" x14ac:dyDescent="0.3">
      <c r="A442" s="47" t="s">
        <v>40</v>
      </c>
      <c r="B442" s="47" t="s">
        <v>3141</v>
      </c>
      <c r="C442" s="48" t="s">
        <v>3088</v>
      </c>
      <c r="D442" s="47">
        <v>25</v>
      </c>
      <c r="E442" s="119" t="str">
        <f t="shared" si="42"/>
        <v>3#11#44|3#12#44</v>
      </c>
      <c r="F442" s="212" t="str">
        <f t="shared" si="43"/>
        <v>上品注灵石19/元宝144000</v>
      </c>
      <c r="G442" s="47">
        <v>25</v>
      </c>
      <c r="H442" s="112"/>
    </row>
    <row r="443" spans="1:8" ht="15.75" x14ac:dyDescent="0.3">
      <c r="A443" s="47" t="s">
        <v>40</v>
      </c>
      <c r="B443" s="47" t="s">
        <v>3141</v>
      </c>
      <c r="C443" s="48" t="s">
        <v>3089</v>
      </c>
      <c r="D443" s="47">
        <v>26</v>
      </c>
      <c r="E443" s="119" t="str">
        <f t="shared" si="42"/>
        <v>3#11#49|3#12#49</v>
      </c>
      <c r="F443" s="212" t="str">
        <f t="shared" si="43"/>
        <v>上品注灵石20/元宝152000</v>
      </c>
      <c r="G443" s="47">
        <v>25</v>
      </c>
      <c r="H443" s="112"/>
    </row>
    <row r="444" spans="1:8" ht="15.75" x14ac:dyDescent="0.3">
      <c r="A444" s="47" t="s">
        <v>40</v>
      </c>
      <c r="B444" s="47" t="s">
        <v>3141</v>
      </c>
      <c r="C444" s="48" t="s">
        <v>3090</v>
      </c>
      <c r="D444" s="47">
        <v>27</v>
      </c>
      <c r="E444" s="119" t="str">
        <f t="shared" si="42"/>
        <v>3#11#51|3#12#51</v>
      </c>
      <c r="F444" s="212" t="str">
        <f t="shared" si="43"/>
        <v>上品注灵石21/元宝156000</v>
      </c>
      <c r="G444" s="47">
        <v>25</v>
      </c>
      <c r="H444" s="112"/>
    </row>
    <row r="445" spans="1:8" ht="15.75" x14ac:dyDescent="0.3">
      <c r="A445" s="47" t="s">
        <v>40</v>
      </c>
      <c r="B445" s="47" t="s">
        <v>3141</v>
      </c>
      <c r="C445" s="48" t="s">
        <v>3091</v>
      </c>
      <c r="D445" s="47">
        <v>28</v>
      </c>
      <c r="E445" s="119" t="str">
        <f t="shared" si="42"/>
        <v>3#11#52|3#12#52</v>
      </c>
      <c r="F445" s="212" t="str">
        <f t="shared" si="43"/>
        <v>上品注灵石22/元宝164000</v>
      </c>
      <c r="G445" s="47">
        <v>25</v>
      </c>
      <c r="H445" s="112"/>
    </row>
    <row r="446" spans="1:8" ht="15.75" x14ac:dyDescent="0.3">
      <c r="A446" s="47" t="s">
        <v>40</v>
      </c>
      <c r="B446" s="47" t="s">
        <v>3141</v>
      </c>
      <c r="C446" s="48" t="s">
        <v>3092</v>
      </c>
      <c r="D446" s="47">
        <v>29</v>
      </c>
      <c r="E446" s="119" t="str">
        <f t="shared" si="42"/>
        <v>3#11#54|3#12#54</v>
      </c>
      <c r="F446" s="212" t="str">
        <f t="shared" si="43"/>
        <v>上品注灵石23/元宝172000</v>
      </c>
      <c r="G446" s="47">
        <v>25</v>
      </c>
      <c r="H446" s="112"/>
    </row>
    <row r="447" spans="1:8" ht="15.75" x14ac:dyDescent="0.3">
      <c r="A447" s="47" t="s">
        <v>40</v>
      </c>
      <c r="B447" s="47" t="s">
        <v>3141</v>
      </c>
      <c r="C447" s="48" t="s">
        <v>3093</v>
      </c>
      <c r="D447" s="47">
        <v>30</v>
      </c>
      <c r="E447" s="119" t="str">
        <f t="shared" si="42"/>
        <v>3#11#56|3#12#56</v>
      </c>
      <c r="F447" s="212" t="str">
        <f>"极品注灵石"&amp;ROUND(AG34/10,0)&amp;"/元宝"&amp;AH32</f>
        <v>极品注灵石5/元宝172000</v>
      </c>
      <c r="G447" s="47">
        <v>30</v>
      </c>
      <c r="H447" s="112"/>
    </row>
    <row r="448" spans="1:8" ht="15.75" x14ac:dyDescent="0.3">
      <c r="A448" s="47" t="s">
        <v>40</v>
      </c>
      <c r="B448" s="47" t="s">
        <v>3141</v>
      </c>
      <c r="C448" s="48" t="s">
        <v>3094</v>
      </c>
      <c r="D448" s="47">
        <v>31</v>
      </c>
      <c r="E448" s="119" t="str">
        <f t="shared" si="42"/>
        <v>3#11#61|3#12#61</v>
      </c>
      <c r="F448" s="212" t="str">
        <f t="shared" ref="F448:F461" si="44">"极品注灵石"&amp;ROUND(AG35/10,0)&amp;"/元宝"&amp;AH33</f>
        <v>极品注灵石5/元宝180000</v>
      </c>
      <c r="G448" s="47">
        <v>30</v>
      </c>
      <c r="H448" s="112"/>
    </row>
    <row r="449" spans="1:8" ht="15.75" x14ac:dyDescent="0.3">
      <c r="A449" s="47" t="s">
        <v>40</v>
      </c>
      <c r="B449" s="47" t="s">
        <v>3141</v>
      </c>
      <c r="C449" s="48" t="s">
        <v>3095</v>
      </c>
      <c r="D449" s="47">
        <v>32</v>
      </c>
      <c r="E449" s="119" t="str">
        <f t="shared" si="42"/>
        <v>3#11#63|3#12#63</v>
      </c>
      <c r="F449" s="212" t="str">
        <f t="shared" si="44"/>
        <v>极品注灵石5/元宝184000</v>
      </c>
      <c r="G449" s="47">
        <v>30</v>
      </c>
      <c r="H449" s="112"/>
    </row>
    <row r="450" spans="1:8" ht="15.75" x14ac:dyDescent="0.3">
      <c r="A450" s="47" t="s">
        <v>40</v>
      </c>
      <c r="B450" s="47" t="s">
        <v>3141</v>
      </c>
      <c r="C450" s="48" t="s">
        <v>3096</v>
      </c>
      <c r="D450" s="47">
        <v>33</v>
      </c>
      <c r="E450" s="119" t="str">
        <f t="shared" si="42"/>
        <v>3#11#66|3#12#66</v>
      </c>
      <c r="F450" s="212" t="str">
        <f t="shared" si="44"/>
        <v>极品注灵石5/元宝192000</v>
      </c>
      <c r="G450" s="47">
        <v>30</v>
      </c>
      <c r="H450" s="112"/>
    </row>
    <row r="451" spans="1:8" ht="15.75" x14ac:dyDescent="0.3">
      <c r="A451" s="47" t="s">
        <v>40</v>
      </c>
      <c r="B451" s="47" t="s">
        <v>3141</v>
      </c>
      <c r="C451" s="48" t="s">
        <v>3097</v>
      </c>
      <c r="D451" s="47">
        <v>34</v>
      </c>
      <c r="E451" s="119" t="str">
        <f t="shared" si="42"/>
        <v>3#11#67|3#12#67</v>
      </c>
      <c r="F451" s="212" t="str">
        <f t="shared" si="44"/>
        <v>极品注灵石5/元宝200000</v>
      </c>
      <c r="G451" s="47">
        <v>30</v>
      </c>
      <c r="H451" s="112"/>
    </row>
    <row r="452" spans="1:8" ht="15.75" x14ac:dyDescent="0.3">
      <c r="A452" s="47" t="s">
        <v>40</v>
      </c>
      <c r="B452" s="47" t="s">
        <v>3141</v>
      </c>
      <c r="C452" s="48" t="s">
        <v>3098</v>
      </c>
      <c r="D452" s="47">
        <v>35</v>
      </c>
      <c r="E452" s="119" t="str">
        <f t="shared" si="42"/>
        <v>3#11#69|3#12#69</v>
      </c>
      <c r="F452" s="212" t="str">
        <f t="shared" si="44"/>
        <v>极品注灵石6/元宝208000</v>
      </c>
      <c r="G452" s="47">
        <v>25</v>
      </c>
      <c r="H452" s="112"/>
    </row>
    <row r="453" spans="1:8" ht="15.75" x14ac:dyDescent="0.3">
      <c r="A453" s="47" t="s">
        <v>40</v>
      </c>
      <c r="B453" s="47" t="s">
        <v>3141</v>
      </c>
      <c r="C453" s="48" t="s">
        <v>3099</v>
      </c>
      <c r="D453" s="47">
        <v>36</v>
      </c>
      <c r="E453" s="119" t="str">
        <f t="shared" si="42"/>
        <v>3#11#76|3#12#76</v>
      </c>
      <c r="F453" s="212" t="str">
        <f t="shared" si="44"/>
        <v>极品注灵石6/元宝212000</v>
      </c>
      <c r="G453" s="47">
        <v>25</v>
      </c>
      <c r="H453" s="112"/>
    </row>
    <row r="454" spans="1:8" ht="15.75" x14ac:dyDescent="0.3">
      <c r="A454" s="47" t="s">
        <v>40</v>
      </c>
      <c r="B454" s="47" t="s">
        <v>3141</v>
      </c>
      <c r="C454" s="48" t="s">
        <v>3100</v>
      </c>
      <c r="D454" s="47">
        <v>37</v>
      </c>
      <c r="E454" s="119" t="str">
        <f t="shared" si="42"/>
        <v>3#11#77|3#12#77</v>
      </c>
      <c r="F454" s="212" t="str">
        <f t="shared" si="44"/>
        <v>极品注灵石6/元宝220000</v>
      </c>
      <c r="G454" s="47">
        <v>25</v>
      </c>
      <c r="H454" s="112"/>
    </row>
    <row r="455" spans="1:8" ht="15.75" x14ac:dyDescent="0.3">
      <c r="A455" s="47" t="s">
        <v>40</v>
      </c>
      <c r="B455" s="47" t="s">
        <v>3141</v>
      </c>
      <c r="C455" s="48" t="s">
        <v>3101</v>
      </c>
      <c r="D455" s="47">
        <v>38</v>
      </c>
      <c r="E455" s="119" t="str">
        <f t="shared" si="42"/>
        <v>3#11#80|3#12#80</v>
      </c>
      <c r="F455" s="212" t="str">
        <f t="shared" si="44"/>
        <v>极品注灵石6/元宝228000</v>
      </c>
      <c r="G455" s="47">
        <v>25</v>
      </c>
      <c r="H455" s="112"/>
    </row>
    <row r="456" spans="1:8" ht="15.75" x14ac:dyDescent="0.3">
      <c r="A456" s="47" t="s">
        <v>40</v>
      </c>
      <c r="B456" s="47" t="s">
        <v>3141</v>
      </c>
      <c r="C456" s="48" t="s">
        <v>3102</v>
      </c>
      <c r="D456" s="47">
        <v>39</v>
      </c>
      <c r="E456" s="119" t="str">
        <f t="shared" si="42"/>
        <v>3#11#82|3#12#82</v>
      </c>
      <c r="F456" s="212" t="str">
        <f t="shared" si="44"/>
        <v>极品注灵石6/元宝236000</v>
      </c>
      <c r="G456" s="47">
        <v>25</v>
      </c>
      <c r="H456" s="112"/>
    </row>
    <row r="457" spans="1:8" ht="15.75" x14ac:dyDescent="0.3">
      <c r="A457" s="47" t="s">
        <v>40</v>
      </c>
      <c r="B457" s="47" t="s">
        <v>3141</v>
      </c>
      <c r="C457" s="48" t="s">
        <v>3103</v>
      </c>
      <c r="D457" s="47">
        <v>40</v>
      </c>
      <c r="E457" s="119" t="str">
        <f t="shared" si="42"/>
        <v>3#11#84|3#12#84</v>
      </c>
      <c r="F457" s="212" t="str">
        <f t="shared" si="44"/>
        <v>极品注灵石6/元宝240000</v>
      </c>
      <c r="G457" s="47">
        <v>20</v>
      </c>
      <c r="H457" s="112"/>
    </row>
    <row r="458" spans="1:8" ht="15.75" x14ac:dyDescent="0.3">
      <c r="A458" s="47" t="s">
        <v>40</v>
      </c>
      <c r="B458" s="47" t="s">
        <v>3141</v>
      </c>
      <c r="C458" s="48" t="s">
        <v>3104</v>
      </c>
      <c r="D458" s="47">
        <v>41</v>
      </c>
      <c r="E458" s="119" t="str">
        <f t="shared" si="42"/>
        <v>3#11#91|3#12#91</v>
      </c>
      <c r="F458" s="212" t="str">
        <f t="shared" si="44"/>
        <v>极品注灵石6/元宝248000</v>
      </c>
      <c r="G458" s="47">
        <v>20</v>
      </c>
      <c r="H458" s="112"/>
    </row>
    <row r="459" spans="1:8" ht="15.75" x14ac:dyDescent="0.3">
      <c r="A459" s="47" t="s">
        <v>40</v>
      </c>
      <c r="B459" s="47" t="s">
        <v>3141</v>
      </c>
      <c r="C459" s="48" t="s">
        <v>3105</v>
      </c>
      <c r="D459" s="47">
        <v>42</v>
      </c>
      <c r="E459" s="119" t="str">
        <f t="shared" si="42"/>
        <v>3#11#93|3#12#93</v>
      </c>
      <c r="F459" s="212" t="str">
        <f t="shared" si="44"/>
        <v>极品注灵石7/元宝252000</v>
      </c>
      <c r="G459" s="47">
        <v>20</v>
      </c>
      <c r="H459" s="112"/>
    </row>
    <row r="460" spans="1:8" ht="15.75" x14ac:dyDescent="0.3">
      <c r="A460" s="47" t="s">
        <v>40</v>
      </c>
      <c r="B460" s="47" t="s">
        <v>3141</v>
      </c>
      <c r="C460" s="48" t="s">
        <v>3106</v>
      </c>
      <c r="D460" s="47">
        <v>43</v>
      </c>
      <c r="E460" s="119" t="str">
        <f t="shared" si="42"/>
        <v>3#11#95|3#12#95</v>
      </c>
      <c r="F460" s="212" t="str">
        <f t="shared" si="44"/>
        <v>极品注灵石7/元宝256000</v>
      </c>
      <c r="G460" s="47">
        <v>20</v>
      </c>
      <c r="H460" s="112"/>
    </row>
    <row r="461" spans="1:8" ht="15.75" x14ac:dyDescent="0.3">
      <c r="A461" s="47" t="s">
        <v>40</v>
      </c>
      <c r="B461" s="47" t="s">
        <v>3141</v>
      </c>
      <c r="C461" s="48" t="s">
        <v>3107</v>
      </c>
      <c r="D461" s="47">
        <v>44</v>
      </c>
      <c r="E461" s="119" t="str">
        <f t="shared" si="42"/>
        <v>3#11#97|3#12#97</v>
      </c>
      <c r="F461" s="212" t="str">
        <f t="shared" si="44"/>
        <v>极品注灵石7/元宝264000</v>
      </c>
      <c r="G461" s="47">
        <v>20</v>
      </c>
      <c r="H461" s="112"/>
    </row>
    <row r="462" spans="1:8" ht="15.75" x14ac:dyDescent="0.3">
      <c r="A462" s="47" t="s">
        <v>40</v>
      </c>
      <c r="B462" s="47" t="s">
        <v>3141</v>
      </c>
      <c r="C462" s="48" t="s">
        <v>3108</v>
      </c>
      <c r="D462" s="47">
        <v>45</v>
      </c>
      <c r="E462" s="119" t="str">
        <f>"3#11#"&amp;INT(1/3*Z48)&amp;"|"&amp;"3#12#"&amp;INT(1/3*Z48)</f>
        <v>3#11#100|3#12#100</v>
      </c>
      <c r="F462" s="212"/>
      <c r="G462" s="47"/>
      <c r="H462" s="112"/>
    </row>
    <row r="463" spans="1:8" ht="15.75" x14ac:dyDescent="0.3">
      <c r="A463" s="122" t="s">
        <v>40</v>
      </c>
      <c r="B463" s="122" t="s">
        <v>3142</v>
      </c>
      <c r="C463" s="123" t="s">
        <v>78</v>
      </c>
      <c r="D463" s="122">
        <v>0</v>
      </c>
      <c r="E463" s="125"/>
      <c r="F463" s="213" t="s">
        <v>3110</v>
      </c>
      <c r="G463" s="122">
        <v>100</v>
      </c>
      <c r="H463" s="112"/>
    </row>
    <row r="464" spans="1:8" ht="15.75" x14ac:dyDescent="0.3">
      <c r="A464" s="122" t="s">
        <v>40</v>
      </c>
      <c r="B464" s="122" t="s">
        <v>3142</v>
      </c>
      <c r="C464" s="123" t="s">
        <v>3055</v>
      </c>
      <c r="D464" s="122">
        <v>1</v>
      </c>
      <c r="E464" s="125" t="str">
        <f t="shared" ref="E464:E507" si="45">"3#9#"&amp;INT(1/3*Z4)&amp;"|"&amp;"3#10#"&amp;INT(1/3*Z4)</f>
        <v>3#9#1|3#10#1</v>
      </c>
      <c r="F464" s="213" t="s">
        <v>3111</v>
      </c>
      <c r="G464" s="122">
        <v>100</v>
      </c>
      <c r="H464" s="112"/>
    </row>
    <row r="465" spans="1:8" ht="15.75" x14ac:dyDescent="0.3">
      <c r="A465" s="122" t="s">
        <v>40</v>
      </c>
      <c r="B465" s="122" t="s">
        <v>3142</v>
      </c>
      <c r="C465" s="123" t="s">
        <v>3057</v>
      </c>
      <c r="D465" s="122">
        <v>2</v>
      </c>
      <c r="E465" s="125" t="str">
        <f t="shared" si="45"/>
        <v>3#9#2|3#10#2</v>
      </c>
      <c r="F465" s="213" t="s">
        <v>3112</v>
      </c>
      <c r="G465" s="122">
        <v>100</v>
      </c>
      <c r="H465" s="112"/>
    </row>
    <row r="466" spans="1:8" ht="15.75" x14ac:dyDescent="0.3">
      <c r="A466" s="122" t="s">
        <v>40</v>
      </c>
      <c r="B466" s="122" t="s">
        <v>3142</v>
      </c>
      <c r="C466" s="123" t="s">
        <v>3059</v>
      </c>
      <c r="D466" s="122">
        <v>3</v>
      </c>
      <c r="E466" s="125" t="str">
        <f t="shared" si="45"/>
        <v>3#9#4|3#10#4</v>
      </c>
      <c r="F466" s="213" t="s">
        <v>3113</v>
      </c>
      <c r="G466" s="122">
        <v>100</v>
      </c>
      <c r="H466" s="112"/>
    </row>
    <row r="467" spans="1:8" ht="15.75" x14ac:dyDescent="0.3">
      <c r="A467" s="122" t="s">
        <v>40</v>
      </c>
      <c r="B467" s="122" t="s">
        <v>3142</v>
      </c>
      <c r="C467" s="123" t="s">
        <v>3061</v>
      </c>
      <c r="D467" s="122">
        <v>4</v>
      </c>
      <c r="E467" s="125" t="str">
        <f t="shared" si="45"/>
        <v>3#9#5|3#10#5</v>
      </c>
      <c r="F467" s="213" t="s">
        <v>3114</v>
      </c>
      <c r="G467" s="122">
        <v>100</v>
      </c>
      <c r="H467" s="112"/>
    </row>
    <row r="468" spans="1:8" ht="15.75" x14ac:dyDescent="0.3">
      <c r="A468" s="122" t="s">
        <v>40</v>
      </c>
      <c r="B468" s="122" t="s">
        <v>3142</v>
      </c>
      <c r="C468" s="123" t="s">
        <v>3063</v>
      </c>
      <c r="D468" s="122">
        <v>5</v>
      </c>
      <c r="E468" s="125" t="str">
        <f t="shared" si="45"/>
        <v>3#9#6|3#10#6</v>
      </c>
      <c r="F468" s="213" t="s">
        <v>3115</v>
      </c>
      <c r="G468" s="122">
        <v>100</v>
      </c>
      <c r="H468" s="112"/>
    </row>
    <row r="469" spans="1:8" ht="15.75" x14ac:dyDescent="0.3">
      <c r="A469" s="122" t="s">
        <v>40</v>
      </c>
      <c r="B469" s="122" t="s">
        <v>3142</v>
      </c>
      <c r="C469" s="123" t="s">
        <v>3065</v>
      </c>
      <c r="D469" s="122">
        <v>6</v>
      </c>
      <c r="E469" s="125" t="str">
        <f t="shared" si="45"/>
        <v>3#9#8|3#10#8</v>
      </c>
      <c r="F469" s="213" t="s">
        <v>3116</v>
      </c>
      <c r="G469" s="122">
        <v>100</v>
      </c>
      <c r="H469" s="112"/>
    </row>
    <row r="470" spans="1:8" ht="15.75" x14ac:dyDescent="0.3">
      <c r="A470" s="122" t="s">
        <v>40</v>
      </c>
      <c r="B470" s="122" t="s">
        <v>3142</v>
      </c>
      <c r="C470" s="123" t="s">
        <v>3067</v>
      </c>
      <c r="D470" s="122">
        <v>7</v>
      </c>
      <c r="E470" s="125" t="str">
        <f t="shared" si="45"/>
        <v>3#9#9|3#10#9</v>
      </c>
      <c r="F470" s="213" t="s">
        <v>3117</v>
      </c>
      <c r="G470" s="122">
        <v>100</v>
      </c>
      <c r="H470" s="112"/>
    </row>
    <row r="471" spans="1:8" ht="15.75" x14ac:dyDescent="0.3">
      <c r="A471" s="122" t="s">
        <v>40</v>
      </c>
      <c r="B471" s="122" t="s">
        <v>3142</v>
      </c>
      <c r="C471" s="123" t="s">
        <v>3069</v>
      </c>
      <c r="D471" s="122">
        <v>8</v>
      </c>
      <c r="E471" s="125" t="str">
        <f t="shared" si="45"/>
        <v>3#9#11|3#10#11</v>
      </c>
      <c r="F471" s="213" t="s">
        <v>3118</v>
      </c>
      <c r="G471" s="122">
        <v>100</v>
      </c>
      <c r="H471" s="112"/>
    </row>
    <row r="472" spans="1:8" ht="15.75" x14ac:dyDescent="0.3">
      <c r="A472" s="122" t="s">
        <v>40</v>
      </c>
      <c r="B472" s="122" t="s">
        <v>3142</v>
      </c>
      <c r="C472" s="123" t="s">
        <v>3071</v>
      </c>
      <c r="D472" s="122">
        <v>9</v>
      </c>
      <c r="E472" s="125" t="str">
        <f t="shared" si="45"/>
        <v>3#9#13|3#10#13</v>
      </c>
      <c r="F472" s="213" t="s">
        <v>3119</v>
      </c>
      <c r="G472" s="122">
        <v>100</v>
      </c>
      <c r="H472" s="112"/>
    </row>
    <row r="473" spans="1:8" ht="15.75" x14ac:dyDescent="0.3">
      <c r="A473" s="122" t="s">
        <v>40</v>
      </c>
      <c r="B473" s="122" t="s">
        <v>3142</v>
      </c>
      <c r="C473" s="123" t="s">
        <v>3072</v>
      </c>
      <c r="D473" s="122">
        <v>10</v>
      </c>
      <c r="E473" s="125" t="str">
        <f t="shared" si="45"/>
        <v>3#9#14|3#10#14</v>
      </c>
      <c r="F473" s="213" t="s">
        <v>3120</v>
      </c>
      <c r="G473" s="122">
        <v>100</v>
      </c>
      <c r="H473" s="112"/>
    </row>
    <row r="474" spans="1:8" ht="15.75" x14ac:dyDescent="0.3">
      <c r="A474" s="122" t="s">
        <v>40</v>
      </c>
      <c r="B474" s="122" t="s">
        <v>3142</v>
      </c>
      <c r="C474" s="123" t="s">
        <v>3073</v>
      </c>
      <c r="D474" s="122">
        <v>11</v>
      </c>
      <c r="E474" s="125" t="str">
        <f t="shared" si="45"/>
        <v>3#9#17|3#10#17</v>
      </c>
      <c r="F474" s="213" t="s">
        <v>3121</v>
      </c>
      <c r="G474" s="122">
        <v>100</v>
      </c>
      <c r="H474" s="112"/>
    </row>
    <row r="475" spans="1:8" ht="15.75" x14ac:dyDescent="0.3">
      <c r="A475" s="122" t="s">
        <v>40</v>
      </c>
      <c r="B475" s="122" t="s">
        <v>3142</v>
      </c>
      <c r="C475" s="123" t="s">
        <v>3074</v>
      </c>
      <c r="D475" s="122">
        <v>12</v>
      </c>
      <c r="E475" s="125" t="str">
        <f t="shared" si="45"/>
        <v>3#9#18|3#10#18</v>
      </c>
      <c r="F475" s="213" t="s">
        <v>3122</v>
      </c>
      <c r="G475" s="122">
        <v>100</v>
      </c>
      <c r="H475" s="112"/>
    </row>
    <row r="476" spans="1:8" ht="15.75" x14ac:dyDescent="0.3">
      <c r="A476" s="122" t="s">
        <v>40</v>
      </c>
      <c r="B476" s="122" t="s">
        <v>3142</v>
      </c>
      <c r="C476" s="123" t="s">
        <v>3075</v>
      </c>
      <c r="D476" s="122">
        <v>13</v>
      </c>
      <c r="E476" s="125" t="str">
        <f t="shared" si="45"/>
        <v>3#9#20|3#10#20</v>
      </c>
      <c r="F476" s="213" t="s">
        <v>3123</v>
      </c>
      <c r="G476" s="122">
        <v>100</v>
      </c>
      <c r="H476" s="112"/>
    </row>
    <row r="477" spans="1:8" ht="15.75" x14ac:dyDescent="0.3">
      <c r="A477" s="122" t="s">
        <v>40</v>
      </c>
      <c r="B477" s="122" t="s">
        <v>3142</v>
      </c>
      <c r="C477" s="123" t="s">
        <v>3076</v>
      </c>
      <c r="D477" s="122">
        <v>14</v>
      </c>
      <c r="E477" s="125" t="str">
        <f t="shared" si="45"/>
        <v>3#9#21|3#10#21</v>
      </c>
      <c r="F477" s="213" t="s">
        <v>3124</v>
      </c>
      <c r="G477" s="122">
        <v>100</v>
      </c>
      <c r="H477" s="112"/>
    </row>
    <row r="478" spans="1:8" ht="15.75" x14ac:dyDescent="0.3">
      <c r="A478" s="122" t="s">
        <v>40</v>
      </c>
      <c r="B478" s="122" t="s">
        <v>3142</v>
      </c>
      <c r="C478" s="123" t="s">
        <v>3077</v>
      </c>
      <c r="D478" s="122">
        <v>15</v>
      </c>
      <c r="E478" s="125" t="str">
        <f t="shared" si="45"/>
        <v>3#9#23|3#10#23</v>
      </c>
      <c r="F478" s="213" t="str">
        <f>"上品注灵石"&amp;ROUND(AG19/2,0)&amp;"/元宝"&amp;AH18</f>
        <v>上品注灵石8/元宝60000</v>
      </c>
      <c r="G478" s="122">
        <v>30</v>
      </c>
      <c r="H478" s="112"/>
    </row>
    <row r="479" spans="1:8" ht="15.75" x14ac:dyDescent="0.3">
      <c r="A479" s="122" t="s">
        <v>40</v>
      </c>
      <c r="B479" s="122" t="s">
        <v>3143</v>
      </c>
      <c r="C479" s="123" t="s">
        <v>3079</v>
      </c>
      <c r="D479" s="122">
        <v>16</v>
      </c>
      <c r="E479" s="125" t="str">
        <f t="shared" si="45"/>
        <v>3#9#26|3#10#26</v>
      </c>
      <c r="F479" s="213" t="str">
        <f t="shared" ref="F479:F492" si="46">"上品注灵石"&amp;ROUND(AG20/2,0)&amp;"/元宝"&amp;AH19</f>
        <v>上品注灵石9/元宝64000</v>
      </c>
      <c r="G479" s="122">
        <v>30</v>
      </c>
      <c r="H479" s="112"/>
    </row>
    <row r="480" spans="1:8" ht="15.75" x14ac:dyDescent="0.3">
      <c r="A480" s="122" t="s">
        <v>40</v>
      </c>
      <c r="B480" s="122" t="s">
        <v>3143</v>
      </c>
      <c r="C480" s="123" t="s">
        <v>3080</v>
      </c>
      <c r="D480" s="122">
        <v>17</v>
      </c>
      <c r="E480" s="125" t="str">
        <f t="shared" si="45"/>
        <v>3#9#28|3#10#28</v>
      </c>
      <c r="F480" s="213" t="str">
        <f t="shared" si="46"/>
        <v>上品注灵石10/元宝72000</v>
      </c>
      <c r="G480" s="122">
        <v>30</v>
      </c>
      <c r="H480" s="112"/>
    </row>
    <row r="481" spans="1:8" ht="15.75" x14ac:dyDescent="0.3">
      <c r="A481" s="122" t="s">
        <v>40</v>
      </c>
      <c r="B481" s="122" t="s">
        <v>3143</v>
      </c>
      <c r="C481" s="123" t="s">
        <v>3081</v>
      </c>
      <c r="D481" s="122">
        <v>18</v>
      </c>
      <c r="E481" s="125" t="str">
        <f t="shared" si="45"/>
        <v>3#9#30|3#10#30</v>
      </c>
      <c r="F481" s="213" t="str">
        <f t="shared" si="46"/>
        <v>上品注灵石11/元宝80000</v>
      </c>
      <c r="G481" s="122">
        <v>30</v>
      </c>
      <c r="H481" s="112"/>
    </row>
    <row r="482" spans="1:8" ht="15.75" x14ac:dyDescent="0.3">
      <c r="A482" s="122" t="s">
        <v>40</v>
      </c>
      <c r="B482" s="122" t="s">
        <v>3143</v>
      </c>
      <c r="C482" s="123" t="s">
        <v>3082</v>
      </c>
      <c r="D482" s="122">
        <v>19</v>
      </c>
      <c r="E482" s="125" t="str">
        <f t="shared" si="45"/>
        <v>3#9#31|3#10#31</v>
      </c>
      <c r="F482" s="213" t="str">
        <f t="shared" si="46"/>
        <v>上品注灵石12/元宝88000</v>
      </c>
      <c r="G482" s="122">
        <v>30</v>
      </c>
      <c r="H482" s="112"/>
    </row>
    <row r="483" spans="1:8" ht="15.75" x14ac:dyDescent="0.3">
      <c r="A483" s="122" t="s">
        <v>40</v>
      </c>
      <c r="B483" s="122" t="s">
        <v>3143</v>
      </c>
      <c r="C483" s="123" t="s">
        <v>3083</v>
      </c>
      <c r="D483" s="122">
        <v>20</v>
      </c>
      <c r="E483" s="125" t="str">
        <f t="shared" si="45"/>
        <v>3#9#33|3#10#33</v>
      </c>
      <c r="F483" s="213" t="str">
        <f t="shared" si="46"/>
        <v>上品注灵石14/元宝96000</v>
      </c>
      <c r="G483" s="122">
        <v>25</v>
      </c>
      <c r="H483" s="112"/>
    </row>
    <row r="484" spans="1:8" ht="15.75" x14ac:dyDescent="0.3">
      <c r="A484" s="122" t="s">
        <v>40</v>
      </c>
      <c r="B484" s="122" t="s">
        <v>3143</v>
      </c>
      <c r="C484" s="123" t="s">
        <v>3084</v>
      </c>
      <c r="D484" s="122">
        <v>21</v>
      </c>
      <c r="E484" s="125" t="str">
        <f t="shared" si="45"/>
        <v>3#9#37|3#10#37</v>
      </c>
      <c r="F484" s="213" t="str">
        <f t="shared" si="46"/>
        <v>上品注灵石15/元宝108000</v>
      </c>
      <c r="G484" s="122">
        <v>25</v>
      </c>
      <c r="H484" s="112"/>
    </row>
    <row r="485" spans="1:8" ht="15.75" x14ac:dyDescent="0.3">
      <c r="A485" s="122" t="s">
        <v>40</v>
      </c>
      <c r="B485" s="122" t="s">
        <v>3143</v>
      </c>
      <c r="C485" s="123" t="s">
        <v>3085</v>
      </c>
      <c r="D485" s="122">
        <v>22</v>
      </c>
      <c r="E485" s="125" t="str">
        <f t="shared" si="45"/>
        <v>3#9#38|3#10#38</v>
      </c>
      <c r="F485" s="213" t="str">
        <f t="shared" si="46"/>
        <v>上品注灵石16/元宝116000</v>
      </c>
      <c r="G485" s="122">
        <v>25</v>
      </c>
      <c r="H485" s="112"/>
    </row>
    <row r="486" spans="1:8" ht="15.75" x14ac:dyDescent="0.3">
      <c r="A486" s="122" t="s">
        <v>40</v>
      </c>
      <c r="B486" s="122" t="s">
        <v>3143</v>
      </c>
      <c r="C486" s="123" t="s">
        <v>3086</v>
      </c>
      <c r="D486" s="122">
        <v>23</v>
      </c>
      <c r="E486" s="125" t="str">
        <f t="shared" si="45"/>
        <v>3#9#40|3#10#40</v>
      </c>
      <c r="F486" s="213" t="str">
        <f t="shared" si="46"/>
        <v>上品注灵石17/元宝124000</v>
      </c>
      <c r="G486" s="122">
        <v>25</v>
      </c>
      <c r="H486" s="112"/>
    </row>
    <row r="487" spans="1:8" ht="15.75" x14ac:dyDescent="0.3">
      <c r="A487" s="122" t="s">
        <v>40</v>
      </c>
      <c r="B487" s="122" t="s">
        <v>3143</v>
      </c>
      <c r="C487" s="123" t="s">
        <v>3087</v>
      </c>
      <c r="D487" s="122">
        <v>24</v>
      </c>
      <c r="E487" s="125" t="str">
        <f t="shared" si="45"/>
        <v>3#9#42|3#10#42</v>
      </c>
      <c r="F487" s="213" t="str">
        <f t="shared" si="46"/>
        <v>上品注灵石18/元宝136000</v>
      </c>
      <c r="G487" s="122">
        <v>25</v>
      </c>
      <c r="H487" s="112"/>
    </row>
    <row r="488" spans="1:8" ht="15.75" x14ac:dyDescent="0.3">
      <c r="A488" s="122" t="s">
        <v>40</v>
      </c>
      <c r="B488" s="122" t="s">
        <v>3143</v>
      </c>
      <c r="C488" s="123" t="s">
        <v>3088</v>
      </c>
      <c r="D488" s="122">
        <v>25</v>
      </c>
      <c r="E488" s="125" t="str">
        <f t="shared" si="45"/>
        <v>3#9#44|3#10#44</v>
      </c>
      <c r="F488" s="213" t="str">
        <f t="shared" si="46"/>
        <v>上品注灵石19/元宝144000</v>
      </c>
      <c r="G488" s="122">
        <v>25</v>
      </c>
      <c r="H488" s="112"/>
    </row>
    <row r="489" spans="1:8" ht="15.75" x14ac:dyDescent="0.3">
      <c r="A489" s="122" t="s">
        <v>40</v>
      </c>
      <c r="B489" s="122" t="s">
        <v>3143</v>
      </c>
      <c r="C489" s="123" t="s">
        <v>3089</v>
      </c>
      <c r="D489" s="122">
        <v>26</v>
      </c>
      <c r="E489" s="125" t="str">
        <f t="shared" si="45"/>
        <v>3#9#49|3#10#49</v>
      </c>
      <c r="F489" s="213" t="str">
        <f t="shared" si="46"/>
        <v>上品注灵石20/元宝152000</v>
      </c>
      <c r="G489" s="122">
        <v>25</v>
      </c>
      <c r="H489" s="112"/>
    </row>
    <row r="490" spans="1:8" ht="15.75" x14ac:dyDescent="0.3">
      <c r="A490" s="122" t="s">
        <v>40</v>
      </c>
      <c r="B490" s="122" t="s">
        <v>3143</v>
      </c>
      <c r="C490" s="123" t="s">
        <v>3090</v>
      </c>
      <c r="D490" s="122">
        <v>27</v>
      </c>
      <c r="E490" s="125" t="str">
        <f t="shared" si="45"/>
        <v>3#9#51|3#10#51</v>
      </c>
      <c r="F490" s="213" t="str">
        <f t="shared" si="46"/>
        <v>上品注灵石21/元宝156000</v>
      </c>
      <c r="G490" s="122">
        <v>25</v>
      </c>
      <c r="H490" s="112"/>
    </row>
    <row r="491" spans="1:8" ht="15.75" x14ac:dyDescent="0.3">
      <c r="A491" s="122" t="s">
        <v>40</v>
      </c>
      <c r="B491" s="122" t="s">
        <v>3143</v>
      </c>
      <c r="C491" s="123" t="s">
        <v>3091</v>
      </c>
      <c r="D491" s="122">
        <v>28</v>
      </c>
      <c r="E491" s="125" t="str">
        <f t="shared" si="45"/>
        <v>3#9#52|3#10#52</v>
      </c>
      <c r="F491" s="213" t="str">
        <f t="shared" si="46"/>
        <v>上品注灵石22/元宝164000</v>
      </c>
      <c r="G491" s="122">
        <v>25</v>
      </c>
      <c r="H491" s="112"/>
    </row>
    <row r="492" spans="1:8" ht="15.75" x14ac:dyDescent="0.3">
      <c r="A492" s="122" t="s">
        <v>40</v>
      </c>
      <c r="B492" s="122" t="s">
        <v>3143</v>
      </c>
      <c r="C492" s="123" t="s">
        <v>3092</v>
      </c>
      <c r="D492" s="122">
        <v>29</v>
      </c>
      <c r="E492" s="125" t="str">
        <f t="shared" si="45"/>
        <v>3#9#54|3#10#54</v>
      </c>
      <c r="F492" s="213" t="str">
        <f t="shared" si="46"/>
        <v>上品注灵石23/元宝172000</v>
      </c>
      <c r="G492" s="122">
        <v>25</v>
      </c>
      <c r="H492" s="112"/>
    </row>
    <row r="493" spans="1:8" ht="15.75" x14ac:dyDescent="0.3">
      <c r="A493" s="122" t="s">
        <v>40</v>
      </c>
      <c r="B493" s="122" t="s">
        <v>3143</v>
      </c>
      <c r="C493" s="123" t="s">
        <v>3093</v>
      </c>
      <c r="D493" s="122">
        <v>30</v>
      </c>
      <c r="E493" s="125" t="str">
        <f t="shared" si="45"/>
        <v>3#9#56|3#10#56</v>
      </c>
      <c r="F493" s="213" t="str">
        <f>"极品注灵石"&amp;ROUND(AG34/10,0)&amp;"/元宝"&amp;AH32</f>
        <v>极品注灵石5/元宝172000</v>
      </c>
      <c r="G493" s="122">
        <v>30</v>
      </c>
      <c r="H493" s="112"/>
    </row>
    <row r="494" spans="1:8" ht="15.75" x14ac:dyDescent="0.3">
      <c r="A494" s="122" t="s">
        <v>40</v>
      </c>
      <c r="B494" s="122" t="s">
        <v>3143</v>
      </c>
      <c r="C494" s="123" t="s">
        <v>3094</v>
      </c>
      <c r="D494" s="122">
        <v>31</v>
      </c>
      <c r="E494" s="125" t="str">
        <f t="shared" si="45"/>
        <v>3#9#61|3#10#61</v>
      </c>
      <c r="F494" s="213" t="str">
        <f t="shared" ref="F494:F507" si="47">"极品注灵石"&amp;ROUND(AG35/10,0)&amp;"/元宝"&amp;AH33</f>
        <v>极品注灵石5/元宝180000</v>
      </c>
      <c r="G494" s="122">
        <v>30</v>
      </c>
      <c r="H494" s="112"/>
    </row>
    <row r="495" spans="1:8" ht="15.75" x14ac:dyDescent="0.3">
      <c r="A495" s="122" t="s">
        <v>40</v>
      </c>
      <c r="B495" s="122" t="s">
        <v>3143</v>
      </c>
      <c r="C495" s="123" t="s">
        <v>3095</v>
      </c>
      <c r="D495" s="122">
        <v>32</v>
      </c>
      <c r="E495" s="125" t="str">
        <f t="shared" si="45"/>
        <v>3#9#63|3#10#63</v>
      </c>
      <c r="F495" s="213" t="str">
        <f t="shared" si="47"/>
        <v>极品注灵石5/元宝184000</v>
      </c>
      <c r="G495" s="122">
        <v>30</v>
      </c>
      <c r="H495" s="112"/>
    </row>
    <row r="496" spans="1:8" ht="15.75" x14ac:dyDescent="0.3">
      <c r="A496" s="122" t="s">
        <v>40</v>
      </c>
      <c r="B496" s="122" t="s">
        <v>3143</v>
      </c>
      <c r="C496" s="123" t="s">
        <v>3096</v>
      </c>
      <c r="D496" s="122">
        <v>33</v>
      </c>
      <c r="E496" s="125" t="str">
        <f t="shared" si="45"/>
        <v>3#9#66|3#10#66</v>
      </c>
      <c r="F496" s="213" t="str">
        <f t="shared" si="47"/>
        <v>极品注灵石5/元宝192000</v>
      </c>
      <c r="G496" s="122">
        <v>30</v>
      </c>
      <c r="H496" s="112"/>
    </row>
    <row r="497" spans="1:8" ht="15.75" x14ac:dyDescent="0.3">
      <c r="A497" s="122" t="s">
        <v>40</v>
      </c>
      <c r="B497" s="122" t="s">
        <v>3143</v>
      </c>
      <c r="C497" s="123" t="s">
        <v>3097</v>
      </c>
      <c r="D497" s="122">
        <v>34</v>
      </c>
      <c r="E497" s="125" t="str">
        <f t="shared" si="45"/>
        <v>3#9#67|3#10#67</v>
      </c>
      <c r="F497" s="213" t="str">
        <f t="shared" si="47"/>
        <v>极品注灵石5/元宝200000</v>
      </c>
      <c r="G497" s="122">
        <v>30</v>
      </c>
      <c r="H497" s="112"/>
    </row>
    <row r="498" spans="1:8" ht="15.75" x14ac:dyDescent="0.3">
      <c r="A498" s="122" t="s">
        <v>40</v>
      </c>
      <c r="B498" s="122" t="s">
        <v>3143</v>
      </c>
      <c r="C498" s="123" t="s">
        <v>3098</v>
      </c>
      <c r="D498" s="122">
        <v>35</v>
      </c>
      <c r="E498" s="125" t="str">
        <f t="shared" si="45"/>
        <v>3#9#69|3#10#69</v>
      </c>
      <c r="F498" s="213" t="str">
        <f t="shared" si="47"/>
        <v>极品注灵石6/元宝208000</v>
      </c>
      <c r="G498" s="122">
        <v>25</v>
      </c>
      <c r="H498" s="112"/>
    </row>
    <row r="499" spans="1:8" ht="15.75" x14ac:dyDescent="0.3">
      <c r="A499" s="122" t="s">
        <v>40</v>
      </c>
      <c r="B499" s="122" t="s">
        <v>3143</v>
      </c>
      <c r="C499" s="123" t="s">
        <v>3099</v>
      </c>
      <c r="D499" s="122">
        <v>36</v>
      </c>
      <c r="E499" s="125" t="str">
        <f t="shared" si="45"/>
        <v>3#9#76|3#10#76</v>
      </c>
      <c r="F499" s="213" t="str">
        <f t="shared" si="47"/>
        <v>极品注灵石6/元宝212000</v>
      </c>
      <c r="G499" s="122">
        <v>25</v>
      </c>
      <c r="H499" s="112"/>
    </row>
    <row r="500" spans="1:8" ht="15.75" x14ac:dyDescent="0.3">
      <c r="A500" s="122" t="s">
        <v>40</v>
      </c>
      <c r="B500" s="122" t="s">
        <v>3143</v>
      </c>
      <c r="C500" s="123" t="s">
        <v>3100</v>
      </c>
      <c r="D500" s="122">
        <v>37</v>
      </c>
      <c r="E500" s="125" t="str">
        <f t="shared" si="45"/>
        <v>3#9#77|3#10#77</v>
      </c>
      <c r="F500" s="213" t="str">
        <f t="shared" si="47"/>
        <v>极品注灵石6/元宝220000</v>
      </c>
      <c r="G500" s="122">
        <v>25</v>
      </c>
      <c r="H500" s="112"/>
    </row>
    <row r="501" spans="1:8" ht="15.75" x14ac:dyDescent="0.3">
      <c r="A501" s="122" t="s">
        <v>40</v>
      </c>
      <c r="B501" s="122" t="s">
        <v>3143</v>
      </c>
      <c r="C501" s="123" t="s">
        <v>3101</v>
      </c>
      <c r="D501" s="122">
        <v>38</v>
      </c>
      <c r="E501" s="125" t="str">
        <f t="shared" si="45"/>
        <v>3#9#80|3#10#80</v>
      </c>
      <c r="F501" s="213" t="str">
        <f t="shared" si="47"/>
        <v>极品注灵石6/元宝228000</v>
      </c>
      <c r="G501" s="122">
        <v>25</v>
      </c>
      <c r="H501" s="112"/>
    </row>
    <row r="502" spans="1:8" ht="15.75" x14ac:dyDescent="0.3">
      <c r="A502" s="122" t="s">
        <v>40</v>
      </c>
      <c r="B502" s="122" t="s">
        <v>3143</v>
      </c>
      <c r="C502" s="123" t="s">
        <v>3102</v>
      </c>
      <c r="D502" s="122">
        <v>39</v>
      </c>
      <c r="E502" s="125" t="str">
        <f t="shared" si="45"/>
        <v>3#9#82|3#10#82</v>
      </c>
      <c r="F502" s="213" t="str">
        <f t="shared" si="47"/>
        <v>极品注灵石6/元宝236000</v>
      </c>
      <c r="G502" s="122">
        <v>25</v>
      </c>
      <c r="H502" s="112"/>
    </row>
    <row r="503" spans="1:8" ht="15.75" x14ac:dyDescent="0.3">
      <c r="A503" s="122" t="s">
        <v>40</v>
      </c>
      <c r="B503" s="122" t="s">
        <v>3143</v>
      </c>
      <c r="C503" s="123" t="s">
        <v>3103</v>
      </c>
      <c r="D503" s="122">
        <v>40</v>
      </c>
      <c r="E503" s="125" t="str">
        <f t="shared" si="45"/>
        <v>3#9#84|3#10#84</v>
      </c>
      <c r="F503" s="213" t="str">
        <f t="shared" si="47"/>
        <v>极品注灵石6/元宝240000</v>
      </c>
      <c r="G503" s="122">
        <v>20</v>
      </c>
      <c r="H503" s="112"/>
    </row>
    <row r="504" spans="1:8" ht="15.75" x14ac:dyDescent="0.3">
      <c r="A504" s="122" t="s">
        <v>40</v>
      </c>
      <c r="B504" s="122" t="s">
        <v>3143</v>
      </c>
      <c r="C504" s="123" t="s">
        <v>3104</v>
      </c>
      <c r="D504" s="122">
        <v>41</v>
      </c>
      <c r="E504" s="125" t="str">
        <f t="shared" si="45"/>
        <v>3#9#91|3#10#91</v>
      </c>
      <c r="F504" s="213" t="str">
        <f t="shared" si="47"/>
        <v>极品注灵石6/元宝248000</v>
      </c>
      <c r="G504" s="122">
        <v>20</v>
      </c>
      <c r="H504" s="112"/>
    </row>
    <row r="505" spans="1:8" ht="15.75" x14ac:dyDescent="0.3">
      <c r="A505" s="122" t="s">
        <v>40</v>
      </c>
      <c r="B505" s="122" t="s">
        <v>3143</v>
      </c>
      <c r="C505" s="123" t="s">
        <v>3105</v>
      </c>
      <c r="D505" s="122">
        <v>42</v>
      </c>
      <c r="E505" s="125" t="str">
        <f t="shared" si="45"/>
        <v>3#9#93|3#10#93</v>
      </c>
      <c r="F505" s="213" t="str">
        <f t="shared" si="47"/>
        <v>极品注灵石7/元宝252000</v>
      </c>
      <c r="G505" s="122">
        <v>20</v>
      </c>
      <c r="H505" s="112"/>
    </row>
    <row r="506" spans="1:8" ht="15.75" x14ac:dyDescent="0.3">
      <c r="A506" s="122" t="s">
        <v>40</v>
      </c>
      <c r="B506" s="122" t="s">
        <v>3143</v>
      </c>
      <c r="C506" s="123" t="s">
        <v>3106</v>
      </c>
      <c r="D506" s="122">
        <v>43</v>
      </c>
      <c r="E506" s="125" t="str">
        <f t="shared" si="45"/>
        <v>3#9#95|3#10#95</v>
      </c>
      <c r="F506" s="213" t="str">
        <f t="shared" si="47"/>
        <v>极品注灵石7/元宝256000</v>
      </c>
      <c r="G506" s="122">
        <v>20</v>
      </c>
      <c r="H506" s="112"/>
    </row>
    <row r="507" spans="1:8" ht="15.75" x14ac:dyDescent="0.3">
      <c r="A507" s="122" t="s">
        <v>40</v>
      </c>
      <c r="B507" s="122" t="s">
        <v>3143</v>
      </c>
      <c r="C507" s="123" t="s">
        <v>3107</v>
      </c>
      <c r="D507" s="122">
        <v>44</v>
      </c>
      <c r="E507" s="125" t="str">
        <f t="shared" si="45"/>
        <v>3#9#97|3#10#97</v>
      </c>
      <c r="F507" s="213" t="str">
        <f t="shared" si="47"/>
        <v>极品注灵石7/元宝264000</v>
      </c>
      <c r="G507" s="122">
        <v>20</v>
      </c>
      <c r="H507" s="112"/>
    </row>
    <row r="508" spans="1:8" ht="15.75" x14ac:dyDescent="0.3">
      <c r="A508" s="122" t="s">
        <v>40</v>
      </c>
      <c r="B508" s="122" t="s">
        <v>3143</v>
      </c>
      <c r="C508" s="123" t="s">
        <v>3108</v>
      </c>
      <c r="D508" s="122">
        <v>45</v>
      </c>
      <c r="E508" s="125" t="str">
        <f>"3#9#"&amp;INT(1/3*Z48)&amp;"|"&amp;"3#10#"&amp;INT(1/3*Z48)</f>
        <v>3#9#100|3#10#100</v>
      </c>
      <c r="F508" s="213"/>
      <c r="G508" s="122"/>
      <c r="H508" s="112"/>
    </row>
  </sheetData>
  <mergeCells count="3">
    <mergeCell ref="O2:AC2"/>
    <mergeCell ref="AE2:AF2"/>
    <mergeCell ref="AG2:AH2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A98A-7EDD-4046-AE1F-50EE0441F6D3}">
  <dimension ref="A1:AE102"/>
  <sheetViews>
    <sheetView topLeftCell="D1" workbookViewId="0">
      <selection activeCell="G17" sqref="G17"/>
    </sheetView>
  </sheetViews>
  <sheetFormatPr defaultRowHeight="14.25" x14ac:dyDescent="0.2"/>
  <cols>
    <col min="5" max="5" width="78.875" bestFit="1" customWidth="1"/>
    <col min="7" max="7" width="30.625" customWidth="1"/>
    <col min="9" max="13" width="9" style="159"/>
    <col min="14" max="14" width="11.875" style="159" bestFit="1" customWidth="1"/>
    <col min="15" max="15" width="16.375" style="159" bestFit="1" customWidth="1"/>
    <col min="16" max="18" width="16.375" style="159" customWidth="1"/>
    <col min="19" max="19" width="13.25" style="159" bestFit="1" customWidth="1"/>
    <col min="20" max="24" width="9" style="159"/>
    <col min="25" max="25" width="29.625" bestFit="1" customWidth="1"/>
    <col min="26" max="31" width="9" style="94"/>
  </cols>
  <sheetData>
    <row r="1" spans="1:31" ht="18" x14ac:dyDescent="0.2">
      <c r="I1" s="313" t="s">
        <v>3167</v>
      </c>
      <c r="J1" s="313"/>
      <c r="K1" s="313"/>
      <c r="L1" s="313"/>
      <c r="M1" s="313"/>
      <c r="N1" s="313" t="s">
        <v>3443</v>
      </c>
      <c r="O1" s="313"/>
      <c r="P1" s="313" t="s">
        <v>3452</v>
      </c>
      <c r="Q1" s="313"/>
      <c r="R1" s="313" t="s">
        <v>3477</v>
      </c>
      <c r="S1" s="313"/>
      <c r="T1" s="313" t="s">
        <v>3168</v>
      </c>
      <c r="U1" s="313"/>
      <c r="V1" s="313"/>
      <c r="W1" s="313"/>
      <c r="X1" s="313"/>
      <c r="Z1" s="314" t="s">
        <v>3306</v>
      </c>
      <c r="AA1" s="314"/>
      <c r="AB1" s="314"/>
      <c r="AC1" s="314"/>
      <c r="AD1" s="314"/>
      <c r="AE1" s="314"/>
    </row>
    <row r="2" spans="1:31" ht="18" x14ac:dyDescent="0.2">
      <c r="A2" s="21" t="s">
        <v>49</v>
      </c>
      <c r="B2" s="21" t="s">
        <v>50</v>
      </c>
      <c r="C2" s="21" t="s">
        <v>51</v>
      </c>
      <c r="D2" s="21" t="s">
        <v>55</v>
      </c>
      <c r="E2" s="21" t="s">
        <v>77</v>
      </c>
      <c r="F2" s="21" t="s">
        <v>61</v>
      </c>
      <c r="G2" s="21" t="s">
        <v>62</v>
      </c>
      <c r="H2" s="21" t="s">
        <v>3004</v>
      </c>
      <c r="I2" s="205" t="s">
        <v>55</v>
      </c>
      <c r="J2" s="205" t="s">
        <v>37</v>
      </c>
      <c r="K2" s="205" t="s">
        <v>38</v>
      </c>
      <c r="L2" s="205" t="s">
        <v>3</v>
      </c>
      <c r="M2" s="205" t="s">
        <v>2</v>
      </c>
      <c r="N2" s="205" t="s">
        <v>3428</v>
      </c>
      <c r="O2" s="205" t="s">
        <v>3441</v>
      </c>
      <c r="P2" s="205" t="s">
        <v>3457</v>
      </c>
      <c r="Q2" s="205" t="s">
        <v>3447</v>
      </c>
      <c r="R2" s="205" t="s">
        <v>3457</v>
      </c>
      <c r="S2" s="205" t="s">
        <v>3447</v>
      </c>
      <c r="T2" s="205" t="s">
        <v>3162</v>
      </c>
      <c r="U2" s="205" t="s">
        <v>3</v>
      </c>
      <c r="V2" s="205" t="s">
        <v>2</v>
      </c>
      <c r="W2" s="205" t="s">
        <v>3163</v>
      </c>
      <c r="X2" s="205" t="s">
        <v>3164</v>
      </c>
      <c r="Y2" s="109" t="s">
        <v>3165</v>
      </c>
      <c r="Z2" s="15" t="s">
        <v>55</v>
      </c>
      <c r="AA2" s="15" t="s">
        <v>3311</v>
      </c>
      <c r="AB2" s="15" t="s">
        <v>3312</v>
      </c>
      <c r="AC2" s="15" t="s">
        <v>1921</v>
      </c>
      <c r="AD2" s="15" t="s">
        <v>3309</v>
      </c>
      <c r="AE2" s="15" t="s">
        <v>3313</v>
      </c>
    </row>
    <row r="3" spans="1:31" ht="16.5" x14ac:dyDescent="0.3">
      <c r="A3" s="22" t="s">
        <v>35</v>
      </c>
      <c r="B3" s="22" t="s">
        <v>3154</v>
      </c>
      <c r="C3" s="22" t="s">
        <v>3155</v>
      </c>
      <c r="D3" s="22">
        <v>0</v>
      </c>
      <c r="E3" s="2"/>
      <c r="F3" s="22"/>
      <c r="G3" s="33" t="s">
        <v>3156</v>
      </c>
      <c r="H3" s="22">
        <v>40</v>
      </c>
      <c r="I3" s="158">
        <v>1</v>
      </c>
      <c r="J3" s="158">
        <f t="shared" ref="J3:J10" si="0">INT(I3/I$12*J$12)</f>
        <v>500</v>
      </c>
      <c r="K3" s="158">
        <f t="shared" ref="K3:K10" si="1">INT(I3/I$12*K$12)</f>
        <v>2000</v>
      </c>
      <c r="L3" s="158">
        <f t="shared" ref="L3:L10" si="2">INT(I3/I$12*L$12)</f>
        <v>50</v>
      </c>
      <c r="M3" s="158">
        <f t="shared" ref="M3:M10" si="3">INT(I3/I$12*M$12)</f>
        <v>25</v>
      </c>
      <c r="N3" s="158">
        <f>J3*属性价值参考!C$5+火龙元神!K3*属性价值参考!C$6+火龙元神!L3*(属性价值参考!C$7+属性价值参考!C$8)+火龙元神!M3*(属性价值参考!C$9+属性价值参考!C$10+属性价值参考!C$11+属性价值参考!C$12)</f>
        <v>10698</v>
      </c>
      <c r="O3" s="158">
        <f>AA3*属性价值参考!C$22*100+AB3*属性价值参考!C$24+AC3*属性价值参考!C$19+AD3*属性价值参考!C$15+AE3*属性价值参考!C$33</f>
        <v>748.42000000000007</v>
      </c>
      <c r="P3" s="158">
        <f t="shared" ref="P3:P11" si="4">(N3+O3)/503*1</f>
        <v>22.756302186878727</v>
      </c>
      <c r="Q3" s="158">
        <f t="shared" ref="Q3:Q11" si="5">(N3+O3)/503*3000</f>
        <v>68268.906560636184</v>
      </c>
      <c r="R3" s="158">
        <f>1/(0.4)</f>
        <v>2.5</v>
      </c>
      <c r="S3" s="158">
        <f t="shared" ref="S3:S11" si="6">R3*3000</f>
        <v>7500</v>
      </c>
      <c r="T3" s="165">
        <v>1</v>
      </c>
      <c r="U3" s="165">
        <f t="shared" ref="U3:X34" si="7">INT($T3/$T$102*U$102)</f>
        <v>2</v>
      </c>
      <c r="V3" s="165">
        <f t="shared" si="7"/>
        <v>1</v>
      </c>
      <c r="W3" s="165">
        <f t="shared" si="7"/>
        <v>20</v>
      </c>
      <c r="X3" s="165">
        <f t="shared" si="7"/>
        <v>80</v>
      </c>
      <c r="Z3" s="141">
        <v>1</v>
      </c>
      <c r="AA3" s="141">
        <f>ROUND(1/10*AA12,0)</f>
        <v>1</v>
      </c>
      <c r="AB3" s="141">
        <f t="shared" ref="AB3:AE3" si="8">ROUND(1/10*AB12,0)</f>
        <v>1</v>
      </c>
      <c r="AC3" s="141">
        <f t="shared" si="8"/>
        <v>1</v>
      </c>
      <c r="AD3" s="141">
        <f t="shared" si="8"/>
        <v>1</v>
      </c>
      <c r="AE3" s="141">
        <f t="shared" si="8"/>
        <v>1</v>
      </c>
    </row>
    <row r="4" spans="1:31" ht="16.5" x14ac:dyDescent="0.3">
      <c r="A4" s="22" t="s">
        <v>35</v>
      </c>
      <c r="B4" s="22" t="s">
        <v>3154</v>
      </c>
      <c r="C4" s="22" t="s">
        <v>3155</v>
      </c>
      <c r="D4" s="22">
        <v>1</v>
      </c>
      <c r="E4" s="22" t="str">
        <f t="shared" ref="E4:E12" si="9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" s="22" t="str">
        <f>$AA$2&amp;AA3&amp;"%"</f>
        <v>攻击吸血1%</v>
      </c>
      <c r="G4" s="33" t="s">
        <v>3156</v>
      </c>
      <c r="H4" s="22">
        <v>40</v>
      </c>
      <c r="I4" s="158">
        <v>2</v>
      </c>
      <c r="J4" s="158">
        <f t="shared" si="0"/>
        <v>1000</v>
      </c>
      <c r="K4" s="158">
        <f t="shared" si="1"/>
        <v>4000</v>
      </c>
      <c r="L4" s="158">
        <f t="shared" si="2"/>
        <v>100</v>
      </c>
      <c r="M4" s="158">
        <f t="shared" si="3"/>
        <v>50</v>
      </c>
      <c r="N4" s="158">
        <f>J4*属性价值参考!C$5+火龙元神!K4*属性价值参考!C$6+火龙元神!L4*(属性价值参考!C$7+属性价值参考!C$8)+火龙元神!M4*(属性价值参考!C$9+属性价值参考!C$10+属性价值参考!C$11+属性价值参考!C$12)</f>
        <v>21396</v>
      </c>
      <c r="O4" s="158">
        <f>AA4*属性价值参考!C$22*100+AB4*属性价值参考!C$24+AC4*属性价值参考!C$19+AD4*属性价值参考!C$15+AE4*属性价值参考!C$33</f>
        <v>1496.8400000000001</v>
      </c>
      <c r="P4" s="158">
        <f t="shared" si="4"/>
        <v>45.512604373757455</v>
      </c>
      <c r="Q4" s="158">
        <f t="shared" si="5"/>
        <v>136537.81312127237</v>
      </c>
      <c r="R4" s="158">
        <f>1/(0.4)/(0.4)</f>
        <v>6.25</v>
      </c>
      <c r="S4" s="158">
        <f t="shared" si="6"/>
        <v>18750</v>
      </c>
      <c r="T4" s="165">
        <v>2</v>
      </c>
      <c r="U4" s="165">
        <f t="shared" si="7"/>
        <v>4</v>
      </c>
      <c r="V4" s="165">
        <f t="shared" si="7"/>
        <v>2</v>
      </c>
      <c r="W4" s="165">
        <f t="shared" si="7"/>
        <v>40</v>
      </c>
      <c r="X4" s="165">
        <f t="shared" si="7"/>
        <v>160</v>
      </c>
      <c r="Z4" s="141">
        <v>2</v>
      </c>
      <c r="AA4" s="141">
        <f>ROUND(2/10*AA12,0)</f>
        <v>2</v>
      </c>
      <c r="AB4" s="141">
        <f t="shared" ref="AB4:AE4" si="10">ROUND(2/10*AB12,0)</f>
        <v>2</v>
      </c>
      <c r="AC4" s="141">
        <f t="shared" si="10"/>
        <v>2</v>
      </c>
      <c r="AD4" s="141">
        <f t="shared" si="10"/>
        <v>2</v>
      </c>
      <c r="AE4" s="141">
        <f t="shared" si="10"/>
        <v>2</v>
      </c>
    </row>
    <row r="5" spans="1:31" ht="16.5" x14ac:dyDescent="0.3">
      <c r="A5" s="22" t="s">
        <v>35</v>
      </c>
      <c r="B5" s="22" t="s">
        <v>3154</v>
      </c>
      <c r="C5" s="22" t="s">
        <v>3155</v>
      </c>
      <c r="D5" s="22">
        <v>2</v>
      </c>
      <c r="E5" s="22" t="str">
        <f t="shared" si="9"/>
        <v>3#1#120|3#2#480|3#3#12|3#4#12|3#5#12|3#6#12|3#7#12|3#8#12|3#9#6|3#10#6|3#11#6|3#12#6</v>
      </c>
      <c r="F5" s="22" t="str">
        <f t="shared" ref="F5:F13" si="11">$AA$2&amp;AA4&amp;"%"</f>
        <v>攻击吸血2%</v>
      </c>
      <c r="G5" s="33" t="s">
        <v>3156</v>
      </c>
      <c r="H5" s="22">
        <v>40</v>
      </c>
      <c r="I5" s="158">
        <v>3</v>
      </c>
      <c r="J5" s="158">
        <f t="shared" si="0"/>
        <v>1500</v>
      </c>
      <c r="K5" s="158">
        <f t="shared" si="1"/>
        <v>6000</v>
      </c>
      <c r="L5" s="158">
        <f t="shared" si="2"/>
        <v>150</v>
      </c>
      <c r="M5" s="158">
        <f t="shared" si="3"/>
        <v>75</v>
      </c>
      <c r="N5" s="158">
        <f>J5*属性价值参考!C$5+火龙元神!K5*属性价值参考!C$6+火龙元神!L5*(属性价值参考!C$7+属性价值参考!C$8)+火龙元神!M5*(属性价值参考!C$9+属性价值参考!C$10+属性价值参考!C$11+属性价值参考!C$12)</f>
        <v>32094</v>
      </c>
      <c r="O5" s="158">
        <f>AA5*属性价值参考!C$22*100+AB5*属性价值参考!C$24+AC5*属性价值参考!C$19+AD5*属性价值参考!C$15+AE5*属性价值参考!C$33</f>
        <v>2245.2599999999993</v>
      </c>
      <c r="P5" s="158">
        <f t="shared" si="4"/>
        <v>68.268906560636182</v>
      </c>
      <c r="Q5" s="158">
        <f t="shared" si="5"/>
        <v>204806.71968190855</v>
      </c>
      <c r="R5" s="158">
        <f>1/(0.4)/(0.4)/(0.4)</f>
        <v>15.625</v>
      </c>
      <c r="S5" s="158">
        <f t="shared" si="6"/>
        <v>46875</v>
      </c>
      <c r="T5" s="165">
        <v>3</v>
      </c>
      <c r="U5" s="165">
        <f t="shared" si="7"/>
        <v>6</v>
      </c>
      <c r="V5" s="165">
        <f t="shared" si="7"/>
        <v>3</v>
      </c>
      <c r="W5" s="165">
        <f t="shared" si="7"/>
        <v>60</v>
      </c>
      <c r="X5" s="165">
        <f t="shared" si="7"/>
        <v>240</v>
      </c>
      <c r="Z5" s="141">
        <v>3</v>
      </c>
      <c r="AA5" s="141">
        <f>ROUND(3/10*AA12,0)</f>
        <v>3</v>
      </c>
      <c r="AB5" s="141">
        <f t="shared" ref="AB5:AE5" si="12">ROUND(3/10*AB12,0)</f>
        <v>3</v>
      </c>
      <c r="AC5" s="141">
        <f t="shared" si="12"/>
        <v>3</v>
      </c>
      <c r="AD5" s="141">
        <f t="shared" si="12"/>
        <v>3</v>
      </c>
      <c r="AE5" s="141">
        <f t="shared" si="12"/>
        <v>3</v>
      </c>
    </row>
    <row r="6" spans="1:31" ht="16.5" x14ac:dyDescent="0.3">
      <c r="A6" s="22" t="s">
        <v>35</v>
      </c>
      <c r="B6" s="22" t="s">
        <v>3154</v>
      </c>
      <c r="C6" s="22" t="s">
        <v>3155</v>
      </c>
      <c r="D6" s="22">
        <v>3</v>
      </c>
      <c r="E6" s="22" t="str">
        <f t="shared" si="9"/>
        <v>3#1#180|3#2#720|3#3#18|3#4#18|3#5#18|3#6#18|3#7#18|3#8#18|3#9#9|3#10#9|3#11#9|3#12#9</v>
      </c>
      <c r="F6" s="22" t="str">
        <f t="shared" si="11"/>
        <v>攻击吸血3%</v>
      </c>
      <c r="G6" s="33" t="s">
        <v>3157</v>
      </c>
      <c r="H6" s="22">
        <v>40</v>
      </c>
      <c r="I6" s="158">
        <v>4</v>
      </c>
      <c r="J6" s="158">
        <f t="shared" si="0"/>
        <v>2000</v>
      </c>
      <c r="K6" s="158">
        <f t="shared" si="1"/>
        <v>8000</v>
      </c>
      <c r="L6" s="158">
        <f t="shared" si="2"/>
        <v>200</v>
      </c>
      <c r="M6" s="158">
        <f t="shared" si="3"/>
        <v>100</v>
      </c>
      <c r="N6" s="158">
        <f>J6*属性价值参考!C$5+火龙元神!K6*属性价值参考!C$6+火龙元神!L6*(属性价值参考!C$7+属性价值参考!C$8)+火龙元神!M6*(属性价值参考!C$9+属性价值参考!C$10+属性价值参考!C$11+属性价值参考!C$12)</f>
        <v>42792</v>
      </c>
      <c r="O6" s="158">
        <f>AA6*属性价值参考!C$22*100+AB6*属性价值参考!C$24+AC6*属性价值参考!C$19+AD6*属性价值参考!C$15+AE6*属性价值参考!C$33</f>
        <v>2993.6800000000003</v>
      </c>
      <c r="P6" s="158">
        <f t="shared" si="4"/>
        <v>91.02520874751491</v>
      </c>
      <c r="Q6" s="158">
        <f t="shared" si="5"/>
        <v>273075.62624254473</v>
      </c>
      <c r="R6" s="158">
        <f>1/(0.4)/(0.4)/(0.4)/(0.4)</f>
        <v>39.0625</v>
      </c>
      <c r="S6" s="158">
        <f t="shared" si="6"/>
        <v>117187.5</v>
      </c>
      <c r="T6" s="165">
        <v>4</v>
      </c>
      <c r="U6" s="165">
        <f t="shared" si="7"/>
        <v>8</v>
      </c>
      <c r="V6" s="165">
        <f t="shared" si="7"/>
        <v>4</v>
      </c>
      <c r="W6" s="165">
        <f t="shared" si="7"/>
        <v>80</v>
      </c>
      <c r="X6" s="165">
        <f t="shared" si="7"/>
        <v>320</v>
      </c>
      <c r="Z6" s="141">
        <v>4</v>
      </c>
      <c r="AA6" s="141">
        <f>ROUND(4/10*AA12,0)</f>
        <v>4</v>
      </c>
      <c r="AB6" s="141">
        <f t="shared" ref="AB6:AE6" si="13">ROUND(4/10*AB12,0)</f>
        <v>4</v>
      </c>
      <c r="AC6" s="141">
        <f t="shared" si="13"/>
        <v>4</v>
      </c>
      <c r="AD6" s="141">
        <f t="shared" si="13"/>
        <v>4</v>
      </c>
      <c r="AE6" s="141">
        <f t="shared" si="13"/>
        <v>4</v>
      </c>
    </row>
    <row r="7" spans="1:31" ht="16.5" x14ac:dyDescent="0.3">
      <c r="A7" s="22" t="s">
        <v>35</v>
      </c>
      <c r="B7" s="22" t="s">
        <v>3154</v>
      </c>
      <c r="C7" s="22" t="s">
        <v>3155</v>
      </c>
      <c r="D7" s="22">
        <v>4</v>
      </c>
      <c r="E7" s="22" t="str">
        <f t="shared" si="9"/>
        <v>3#1#240|3#2#960|3#3#24|3#4#24|3#5#24|3#6#24|3#7#24|3#8#24|3#9#12|3#10#12|3#11#12|3#12#12</v>
      </c>
      <c r="F7" s="22" t="str">
        <f t="shared" si="11"/>
        <v>攻击吸血4%</v>
      </c>
      <c r="G7" s="33" t="s">
        <v>3157</v>
      </c>
      <c r="H7" s="22">
        <v>40</v>
      </c>
      <c r="I7" s="158">
        <v>5</v>
      </c>
      <c r="J7" s="158">
        <f t="shared" si="0"/>
        <v>2500</v>
      </c>
      <c r="K7" s="158">
        <f t="shared" si="1"/>
        <v>10000</v>
      </c>
      <c r="L7" s="158">
        <f t="shared" si="2"/>
        <v>250</v>
      </c>
      <c r="M7" s="158">
        <f t="shared" si="3"/>
        <v>125</v>
      </c>
      <c r="N7" s="158">
        <f>J7*属性价值参考!C$5+火龙元神!K7*属性价值参考!C$6+火龙元神!L7*(属性价值参考!C$7+属性价值参考!C$8)+火龙元神!M7*(属性价值参考!C$9+属性价值参考!C$10+属性价值参考!C$11+属性价值参考!C$12)</f>
        <v>53490</v>
      </c>
      <c r="O7" s="158">
        <f>AA7*属性价值参考!C$22*100+AB7*属性价值参考!C$24+AC7*属性价值参考!C$19+AD7*属性价值参考!C$15+AE7*属性价值参考!C$33</f>
        <v>3742.1</v>
      </c>
      <c r="P7" s="158">
        <f t="shared" si="4"/>
        <v>113.78151093439364</v>
      </c>
      <c r="Q7" s="158">
        <f t="shared" si="5"/>
        <v>341344.53280318092</v>
      </c>
      <c r="R7" s="158">
        <f>1/(0.4)/(0.4)/(0.4)/(0.4)/(0.4)</f>
        <v>97.65625</v>
      </c>
      <c r="S7" s="158">
        <f t="shared" si="6"/>
        <v>292968.75</v>
      </c>
      <c r="T7" s="165">
        <v>5</v>
      </c>
      <c r="U7" s="165">
        <f t="shared" si="7"/>
        <v>10</v>
      </c>
      <c r="V7" s="165">
        <f t="shared" si="7"/>
        <v>5</v>
      </c>
      <c r="W7" s="165">
        <f t="shared" si="7"/>
        <v>100</v>
      </c>
      <c r="X7" s="165">
        <f t="shared" si="7"/>
        <v>400</v>
      </c>
      <c r="Z7" s="141">
        <v>5</v>
      </c>
      <c r="AA7" s="141">
        <f>ROUND(5/10*AA12,0)</f>
        <v>5</v>
      </c>
      <c r="AB7" s="141">
        <f t="shared" ref="AB7:AE7" si="14">ROUND(5/10*AB12,0)</f>
        <v>5</v>
      </c>
      <c r="AC7" s="141">
        <f t="shared" si="14"/>
        <v>5</v>
      </c>
      <c r="AD7" s="141">
        <f t="shared" si="14"/>
        <v>5</v>
      </c>
      <c r="AE7" s="141">
        <f t="shared" si="14"/>
        <v>5</v>
      </c>
    </row>
    <row r="8" spans="1:31" ht="16.5" x14ac:dyDescent="0.3">
      <c r="A8" s="22" t="s">
        <v>35</v>
      </c>
      <c r="B8" s="22" t="s">
        <v>3154</v>
      </c>
      <c r="C8" s="22" t="s">
        <v>3155</v>
      </c>
      <c r="D8" s="22">
        <v>5</v>
      </c>
      <c r="E8" s="22" t="str">
        <f t="shared" si="9"/>
        <v>3#1#300|3#2#1200|3#3#30|3#4#30|3#5#30|3#6#30|3#7#30|3#8#30|3#9#15|3#10#15|3#11#15|3#12#15</v>
      </c>
      <c r="F8" s="22" t="str">
        <f t="shared" si="11"/>
        <v>攻击吸血5%</v>
      </c>
      <c r="G8" s="33" t="s">
        <v>3157</v>
      </c>
      <c r="H8" s="22">
        <v>40</v>
      </c>
      <c r="I8" s="158">
        <v>6</v>
      </c>
      <c r="J8" s="158">
        <f t="shared" si="0"/>
        <v>3000</v>
      </c>
      <c r="K8" s="158">
        <f t="shared" si="1"/>
        <v>12000</v>
      </c>
      <c r="L8" s="158">
        <f t="shared" si="2"/>
        <v>300</v>
      </c>
      <c r="M8" s="158">
        <f t="shared" si="3"/>
        <v>150</v>
      </c>
      <c r="N8" s="158">
        <f>J8*属性价值参考!C$5+火龙元神!K8*属性价值参考!C$6+火龙元神!L8*(属性价值参考!C$7+属性价值参考!C$8)+火龙元神!M8*(属性价值参考!C$9+属性价值参考!C$10+属性价值参考!C$11+属性价值参考!C$12)</f>
        <v>64188</v>
      </c>
      <c r="O8" s="158">
        <f>AA8*属性价值参考!C$22*100+AB8*属性价值参考!C$24+AC8*属性价值参考!C$19+AD8*属性价值参考!C$15+AE8*属性价值参考!C$33</f>
        <v>4490.5199999999986</v>
      </c>
      <c r="P8" s="158">
        <f t="shared" si="4"/>
        <v>136.53781312127236</v>
      </c>
      <c r="Q8" s="158">
        <f t="shared" si="5"/>
        <v>409613.4393638171</v>
      </c>
      <c r="R8" s="158">
        <f>1/(0.4)/(0.4)/(0.4)/(0.4)/(0.4)/(0.4)</f>
        <v>244.140625</v>
      </c>
      <c r="S8" s="158">
        <f t="shared" si="6"/>
        <v>732421.875</v>
      </c>
      <c r="T8" s="165">
        <v>6</v>
      </c>
      <c r="U8" s="165">
        <f t="shared" si="7"/>
        <v>12</v>
      </c>
      <c r="V8" s="165">
        <f t="shared" si="7"/>
        <v>6</v>
      </c>
      <c r="W8" s="165">
        <f t="shared" si="7"/>
        <v>120</v>
      </c>
      <c r="X8" s="165">
        <f t="shared" si="7"/>
        <v>480</v>
      </c>
      <c r="Z8" s="141">
        <v>6</v>
      </c>
      <c r="AA8" s="141">
        <f>ROUND(6/10*AA12,0)</f>
        <v>6</v>
      </c>
      <c r="AB8" s="141">
        <f t="shared" ref="AB8:AE8" si="15">ROUND(6/10*AB12,0)</f>
        <v>6</v>
      </c>
      <c r="AC8" s="141">
        <f t="shared" si="15"/>
        <v>6</v>
      </c>
      <c r="AD8" s="141">
        <f t="shared" si="15"/>
        <v>6</v>
      </c>
      <c r="AE8" s="141">
        <f t="shared" si="15"/>
        <v>6</v>
      </c>
    </row>
    <row r="9" spans="1:31" ht="16.5" x14ac:dyDescent="0.3">
      <c r="A9" s="22" t="s">
        <v>35</v>
      </c>
      <c r="B9" s="22" t="s">
        <v>3154</v>
      </c>
      <c r="C9" s="22" t="s">
        <v>3155</v>
      </c>
      <c r="D9" s="22">
        <v>6</v>
      </c>
      <c r="E9" s="22" t="str">
        <f t="shared" si="9"/>
        <v>3#1#360|3#2#1440|3#3#36|3#4#36|3#5#36|3#6#36|3#7#36|3#8#36|3#9#18|3#10#18|3#11#18|3#12#18</v>
      </c>
      <c r="F9" s="22" t="str">
        <f t="shared" si="11"/>
        <v>攻击吸血6%</v>
      </c>
      <c r="G9" s="33" t="s">
        <v>3157</v>
      </c>
      <c r="H9" s="22">
        <v>40</v>
      </c>
      <c r="I9" s="158">
        <v>7</v>
      </c>
      <c r="J9" s="158">
        <f t="shared" si="0"/>
        <v>3500</v>
      </c>
      <c r="K9" s="158">
        <f t="shared" si="1"/>
        <v>14000</v>
      </c>
      <c r="L9" s="158">
        <f t="shared" si="2"/>
        <v>350</v>
      </c>
      <c r="M9" s="158">
        <f t="shared" si="3"/>
        <v>175</v>
      </c>
      <c r="N9" s="158">
        <f>J9*属性价值参考!C$5+火龙元神!K9*属性价值参考!C$6+火龙元神!L9*(属性价值参考!C$7+属性价值参考!C$8)+火龙元神!M9*(属性价值参考!C$9+属性价值参考!C$10+属性价值参考!C$11+属性价值参考!C$12)</f>
        <v>74886</v>
      </c>
      <c r="O9" s="158">
        <f>AA9*属性价值参考!C$22*100+AB9*属性价值参考!C$24+AC9*属性价值参考!C$19+AD9*属性价值参考!C$15+AE9*属性价值参考!C$33</f>
        <v>5238.9399999999996</v>
      </c>
      <c r="P9" s="158">
        <f t="shared" si="4"/>
        <v>159.29411530815111</v>
      </c>
      <c r="Q9" s="158">
        <f t="shared" si="5"/>
        <v>477882.34592445334</v>
      </c>
      <c r="R9" s="158">
        <f>1/(0.4)/(0.4)/(0.4)/(0.4)/(0.4)/(0.4)/(0.4)</f>
        <v>610.3515625</v>
      </c>
      <c r="S9" s="158">
        <f t="shared" si="6"/>
        <v>1831054.6875</v>
      </c>
      <c r="T9" s="165">
        <v>7</v>
      </c>
      <c r="U9" s="165">
        <f t="shared" si="7"/>
        <v>14</v>
      </c>
      <c r="V9" s="165">
        <f t="shared" si="7"/>
        <v>7</v>
      </c>
      <c r="W9" s="165">
        <f t="shared" si="7"/>
        <v>140</v>
      </c>
      <c r="X9" s="165">
        <f t="shared" si="7"/>
        <v>560</v>
      </c>
      <c r="Z9" s="141">
        <v>7</v>
      </c>
      <c r="AA9" s="141">
        <f>ROUND(7/10*AA12,0)</f>
        <v>7</v>
      </c>
      <c r="AB9" s="141">
        <f t="shared" ref="AB9:AE9" si="16">ROUND(7/10*AB12,0)</f>
        <v>7</v>
      </c>
      <c r="AC9" s="141">
        <f t="shared" si="16"/>
        <v>7</v>
      </c>
      <c r="AD9" s="141">
        <f t="shared" si="16"/>
        <v>7</v>
      </c>
      <c r="AE9" s="141">
        <f t="shared" si="16"/>
        <v>7</v>
      </c>
    </row>
    <row r="10" spans="1:31" ht="16.5" x14ac:dyDescent="0.3">
      <c r="A10" s="22" t="s">
        <v>35</v>
      </c>
      <c r="B10" s="22" t="s">
        <v>3154</v>
      </c>
      <c r="C10" s="22" t="s">
        <v>3155</v>
      </c>
      <c r="D10" s="22">
        <v>7</v>
      </c>
      <c r="E10" s="22" t="str">
        <f t="shared" si="9"/>
        <v>3#1#420|3#2#1680|3#3#42|3#4#42|3#5#42|3#6#42|3#7#42|3#8#42|3#9#21|3#10#21|3#11#21|3#12#21</v>
      </c>
      <c r="F10" s="22" t="str">
        <f t="shared" si="11"/>
        <v>攻击吸血7%</v>
      </c>
      <c r="G10" s="33" t="s">
        <v>3157</v>
      </c>
      <c r="H10" s="22">
        <v>40</v>
      </c>
      <c r="I10" s="158">
        <v>8</v>
      </c>
      <c r="J10" s="158">
        <f t="shared" si="0"/>
        <v>4000</v>
      </c>
      <c r="K10" s="158">
        <f t="shared" si="1"/>
        <v>16000</v>
      </c>
      <c r="L10" s="158">
        <f t="shared" si="2"/>
        <v>400</v>
      </c>
      <c r="M10" s="158">
        <f t="shared" si="3"/>
        <v>200</v>
      </c>
      <c r="N10" s="158">
        <f>J10*属性价值参考!C$5+火龙元神!K10*属性价值参考!C$6+火龙元神!L10*(属性价值参考!C$7+属性价值参考!C$8)+火龙元神!M10*(属性价值参考!C$9+属性价值参考!C$10+属性价值参考!C$11+属性价值参考!C$12)</f>
        <v>85584</v>
      </c>
      <c r="O10" s="158">
        <f>AA10*属性价值参考!C$22*100+AB10*属性价值参考!C$24+AC10*属性价值参考!C$19+AD10*属性价值参考!C$15+AE10*属性价值参考!C$33</f>
        <v>5987.3600000000006</v>
      </c>
      <c r="P10" s="158">
        <f t="shared" si="4"/>
        <v>182.05041749502982</v>
      </c>
      <c r="Q10" s="158">
        <f t="shared" si="5"/>
        <v>546151.25248508947</v>
      </c>
      <c r="R10" s="158">
        <f>1/(0.4)/(0.4)/(0.4)/(0.4)/(0.4)/(0.4)/(0.4)/(0.4)</f>
        <v>1525.87890625</v>
      </c>
      <c r="S10" s="158">
        <f t="shared" si="6"/>
        <v>4577636.71875</v>
      </c>
      <c r="T10" s="165">
        <v>8</v>
      </c>
      <c r="U10" s="165">
        <f t="shared" si="7"/>
        <v>16</v>
      </c>
      <c r="V10" s="165">
        <f t="shared" si="7"/>
        <v>8</v>
      </c>
      <c r="W10" s="165">
        <f t="shared" si="7"/>
        <v>160</v>
      </c>
      <c r="X10" s="165">
        <f t="shared" si="7"/>
        <v>640</v>
      </c>
      <c r="Z10" s="141">
        <v>8</v>
      </c>
      <c r="AA10" s="141">
        <f>ROUND(8/10*AA12,0)</f>
        <v>8</v>
      </c>
      <c r="AB10" s="141">
        <f t="shared" ref="AB10:AE10" si="17">ROUND(8/10*AB12,0)</f>
        <v>8</v>
      </c>
      <c r="AC10" s="141">
        <f t="shared" si="17"/>
        <v>8</v>
      </c>
      <c r="AD10" s="141">
        <f t="shared" si="17"/>
        <v>8</v>
      </c>
      <c r="AE10" s="141">
        <f t="shared" si="17"/>
        <v>8</v>
      </c>
    </row>
    <row r="11" spans="1:31" ht="16.5" x14ac:dyDescent="0.3">
      <c r="A11" s="22" t="s">
        <v>35</v>
      </c>
      <c r="B11" s="22" t="s">
        <v>3154</v>
      </c>
      <c r="C11" s="22" t="s">
        <v>3155</v>
      </c>
      <c r="D11" s="22">
        <v>8</v>
      </c>
      <c r="E11" s="22" t="str">
        <f t="shared" si="9"/>
        <v>3#1#480|3#2#1920|3#3#48|3#4#48|3#5#48|3#6#48|3#7#48|3#8#48|3#9#24|3#10#24|3#11#24|3#12#24</v>
      </c>
      <c r="F11" s="22" t="str">
        <f t="shared" si="11"/>
        <v>攻击吸血8%</v>
      </c>
      <c r="G11" s="33" t="s">
        <v>3157</v>
      </c>
      <c r="H11" s="22">
        <v>40</v>
      </c>
      <c r="I11" s="158">
        <v>9</v>
      </c>
      <c r="J11" s="158">
        <f>INT(I11/I$12*J$12)</f>
        <v>4500</v>
      </c>
      <c r="K11" s="158">
        <f>INT(I11/I$12*K$12)</f>
        <v>18000</v>
      </c>
      <c r="L11" s="158">
        <f>INT(I11/I$12*L$12)</f>
        <v>450</v>
      </c>
      <c r="M11" s="158">
        <f>INT(I11/I$12*M$12)</f>
        <v>225</v>
      </c>
      <c r="N11" s="158">
        <f>J11*属性价值参考!C$5+火龙元神!K11*属性价值参考!C$6+火龙元神!L11*(属性价值参考!C$7+属性价值参考!C$8)+火龙元神!M11*(属性价值参考!C$9+属性价值参考!C$10+属性价值参考!C$11+属性价值参考!C$12)</f>
        <v>96282</v>
      </c>
      <c r="O11" s="158">
        <f>AA11*属性价值参考!C$22*100+AB11*属性价值参考!C$24+AC11*属性价值参考!C$19+AD11*属性价值参考!C$15+AE11*属性价值参考!C$33</f>
        <v>6735.78</v>
      </c>
      <c r="P11" s="158">
        <f t="shared" si="4"/>
        <v>204.80671968190853</v>
      </c>
      <c r="Q11" s="158">
        <f t="shared" si="5"/>
        <v>614420.1590457256</v>
      </c>
      <c r="R11" s="158">
        <f>1/(0.4)/(0.4)/(0.4)/(0.4)/(0.4)/(0.4)/(0.4)/(0.4)/(0.4)</f>
        <v>3814.697265625</v>
      </c>
      <c r="S11" s="158">
        <f t="shared" si="6"/>
        <v>11444091.796875</v>
      </c>
      <c r="T11" s="165">
        <v>9</v>
      </c>
      <c r="U11" s="165">
        <f t="shared" si="7"/>
        <v>18</v>
      </c>
      <c r="V11" s="165">
        <f t="shared" si="7"/>
        <v>9</v>
      </c>
      <c r="W11" s="165">
        <f t="shared" si="7"/>
        <v>180</v>
      </c>
      <c r="X11" s="165">
        <f t="shared" si="7"/>
        <v>720</v>
      </c>
      <c r="Z11" s="141">
        <v>9</v>
      </c>
      <c r="AA11" s="141">
        <f>ROUND(9/10*AA12,0)</f>
        <v>9</v>
      </c>
      <c r="AB11" s="141">
        <f>ROUND(9/10*AB12,0)</f>
        <v>9</v>
      </c>
      <c r="AC11" s="141">
        <f t="shared" ref="AC11:AE11" si="18">ROUND(9/10*AC12,0)</f>
        <v>9</v>
      </c>
      <c r="AD11" s="141">
        <f t="shared" si="18"/>
        <v>9</v>
      </c>
      <c r="AE11" s="141">
        <f t="shared" si="18"/>
        <v>9</v>
      </c>
    </row>
    <row r="12" spans="1:31" ht="16.5" x14ac:dyDescent="0.3">
      <c r="A12" s="22" t="s">
        <v>35</v>
      </c>
      <c r="B12" s="22" t="s">
        <v>3154</v>
      </c>
      <c r="C12" s="22" t="s">
        <v>3155</v>
      </c>
      <c r="D12" s="22">
        <v>9</v>
      </c>
      <c r="E12" s="22" t="str">
        <f t="shared" si="9"/>
        <v>3#1#540|3#2#2160|3#3#54|3#4#54|3#5#54|3#6#54|3#7#54|3#8#54|3#9#27|3#10#27|3#11#27|3#12#27</v>
      </c>
      <c r="F12" s="22" t="str">
        <f t="shared" si="11"/>
        <v>攻击吸血9%</v>
      </c>
      <c r="G12" s="33" t="s">
        <v>3157</v>
      </c>
      <c r="H12" s="22">
        <v>40</v>
      </c>
      <c r="I12" s="158">
        <v>10</v>
      </c>
      <c r="J12" s="158">
        <f>养成属性分配!AP31</f>
        <v>5000</v>
      </c>
      <c r="K12" s="158">
        <f>养成属性分配!AQ31</f>
        <v>20000</v>
      </c>
      <c r="L12" s="158">
        <f>养成属性分配!AR31</f>
        <v>500</v>
      </c>
      <c r="M12" s="158">
        <f>养成属性分配!AS31</f>
        <v>250</v>
      </c>
      <c r="N12" s="158">
        <f>J12*属性价值参考!C$5+火龙元神!K12*属性价值参考!C$6+火龙元神!L12*(属性价值参考!C$7+属性价值参考!C$8)+火龙元神!M12*(属性价值参考!C$9+属性价值参考!C$10+属性价值参考!C$11+属性价值参考!C$12)</f>
        <v>106980</v>
      </c>
      <c r="O12" s="158">
        <f>AA12*属性价值参考!C$22*100+AB12*属性价值参考!C$24+AC12*属性价值参考!C$19+AD12*属性价值参考!C$15+AE12*属性价值参考!C$33</f>
        <v>7484.2</v>
      </c>
      <c r="P12" s="158">
        <f>(N12+O12)/503*1</f>
        <v>227.56302186878727</v>
      </c>
      <c r="Q12" s="158">
        <f>(N12+O12)/503*3000</f>
        <v>682689.06560636184</v>
      </c>
      <c r="R12" s="158">
        <f>1/(0.4)/(0.4)/(0.4)/(0.4)/(0.4)/(0.4)/(0.4)/(0.4)/(0.4)/(0.4)</f>
        <v>9536.7431640625</v>
      </c>
      <c r="S12" s="158">
        <f>R12*3000</f>
        <v>28610229.4921875</v>
      </c>
      <c r="T12" s="165">
        <v>10</v>
      </c>
      <c r="U12" s="165">
        <f t="shared" si="7"/>
        <v>20</v>
      </c>
      <c r="V12" s="165">
        <f t="shared" si="7"/>
        <v>10</v>
      </c>
      <c r="W12" s="165">
        <f t="shared" si="7"/>
        <v>200</v>
      </c>
      <c r="X12" s="165">
        <f t="shared" si="7"/>
        <v>800</v>
      </c>
      <c r="Z12" s="141">
        <v>10</v>
      </c>
      <c r="AA12" s="141">
        <f>参数调整!AJ14</f>
        <v>10</v>
      </c>
      <c r="AB12" s="141">
        <f>参数调整!AI14</f>
        <v>10</v>
      </c>
      <c r="AC12" s="141">
        <f>参数调整!AB14</f>
        <v>10</v>
      </c>
      <c r="AD12" s="141">
        <f>参数调整!W14</f>
        <v>10</v>
      </c>
      <c r="AE12" s="141">
        <f>参数调整!AE14</f>
        <v>10</v>
      </c>
    </row>
    <row r="13" spans="1:31" ht="18" x14ac:dyDescent="0.3">
      <c r="A13" s="22" t="s">
        <v>35</v>
      </c>
      <c r="B13" s="22" t="s">
        <v>3154</v>
      </c>
      <c r="C13" s="22" t="s">
        <v>3155</v>
      </c>
      <c r="D13" s="22">
        <v>10</v>
      </c>
      <c r="E13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13" s="22" t="str">
        <f t="shared" si="11"/>
        <v>攻击吸血10%</v>
      </c>
      <c r="G13" s="33"/>
      <c r="H13" s="22"/>
      <c r="I13" s="313" t="s">
        <v>3166</v>
      </c>
      <c r="J13" s="313"/>
      <c r="K13" s="313"/>
      <c r="L13" s="313"/>
      <c r="M13" s="313"/>
      <c r="N13" s="193"/>
      <c r="O13" s="193"/>
      <c r="P13" s="193"/>
      <c r="Q13" s="193"/>
      <c r="R13" s="193"/>
      <c r="T13" s="165">
        <v>11</v>
      </c>
      <c r="U13" s="165">
        <f t="shared" si="7"/>
        <v>22</v>
      </c>
      <c r="V13" s="165">
        <f t="shared" si="7"/>
        <v>11</v>
      </c>
      <c r="W13" s="165">
        <f t="shared" si="7"/>
        <v>220</v>
      </c>
      <c r="X13" s="165">
        <f t="shared" si="7"/>
        <v>880</v>
      </c>
    </row>
    <row r="14" spans="1:31" ht="18" x14ac:dyDescent="0.3">
      <c r="A14" s="22" t="s">
        <v>35</v>
      </c>
      <c r="B14" s="22" t="s">
        <v>3154</v>
      </c>
      <c r="C14" s="22" t="s">
        <v>3158</v>
      </c>
      <c r="D14" s="22">
        <v>0</v>
      </c>
      <c r="E14" s="2"/>
      <c r="F14" s="22"/>
      <c r="G14" s="33" t="s">
        <v>3156</v>
      </c>
      <c r="H14" s="22">
        <v>40</v>
      </c>
      <c r="I14" s="205" t="s">
        <v>55</v>
      </c>
      <c r="J14" s="205" t="s">
        <v>37</v>
      </c>
      <c r="K14" s="205" t="s">
        <v>38</v>
      </c>
      <c r="L14" s="205" t="s">
        <v>3</v>
      </c>
      <c r="M14" s="205" t="s">
        <v>2</v>
      </c>
      <c r="N14" s="193"/>
      <c r="O14" s="193"/>
      <c r="P14" s="193"/>
      <c r="Q14" s="193"/>
      <c r="R14" s="193"/>
      <c r="T14" s="165">
        <v>12</v>
      </c>
      <c r="U14" s="165">
        <f t="shared" si="7"/>
        <v>24</v>
      </c>
      <c r="V14" s="165">
        <f t="shared" si="7"/>
        <v>12</v>
      </c>
      <c r="W14" s="165">
        <f t="shared" si="7"/>
        <v>240</v>
      </c>
      <c r="X14" s="165">
        <f t="shared" si="7"/>
        <v>960</v>
      </c>
    </row>
    <row r="15" spans="1:31" ht="16.5" x14ac:dyDescent="0.3">
      <c r="A15" s="22" t="s">
        <v>35</v>
      </c>
      <c r="B15" s="22" t="s">
        <v>3154</v>
      </c>
      <c r="C15" s="22" t="s">
        <v>3158</v>
      </c>
      <c r="D15" s="22">
        <v>1</v>
      </c>
      <c r="E15" s="22" t="str">
        <f t="shared" ref="E15:E23" si="19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15" s="22" t="str">
        <f>$AB$2&amp;AB3&amp;"%"</f>
        <v>忽视防御1%</v>
      </c>
      <c r="G15" s="33" t="s">
        <v>3156</v>
      </c>
      <c r="H15" s="22">
        <v>40</v>
      </c>
      <c r="I15" s="158">
        <v>1</v>
      </c>
      <c r="J15" s="158">
        <f t="shared" ref="J15:J22" si="20">INT(I15/I$24*J$24)</f>
        <v>300</v>
      </c>
      <c r="K15" s="158">
        <f t="shared" ref="K15:K22" si="21">INT(I15/I$24*K$24)</f>
        <v>1200</v>
      </c>
      <c r="L15" s="158">
        <f t="shared" ref="L15:L22" si="22">INT(I15/I$24*L$24)</f>
        <v>30</v>
      </c>
      <c r="M15" s="158">
        <f t="shared" ref="M15:M22" si="23">INT(I15/I$24*M$24)</f>
        <v>15</v>
      </c>
      <c r="N15" s="193"/>
      <c r="O15" s="193"/>
      <c r="P15" s="193"/>
      <c r="Q15" s="193"/>
      <c r="R15" s="193"/>
      <c r="T15" s="165">
        <v>13</v>
      </c>
      <c r="U15" s="165">
        <f t="shared" si="7"/>
        <v>26</v>
      </c>
      <c r="V15" s="165">
        <f t="shared" si="7"/>
        <v>13</v>
      </c>
      <c r="W15" s="165">
        <f t="shared" si="7"/>
        <v>260</v>
      </c>
      <c r="X15" s="165">
        <f t="shared" si="7"/>
        <v>1040</v>
      </c>
    </row>
    <row r="16" spans="1:31" ht="16.5" x14ac:dyDescent="0.3">
      <c r="A16" s="22" t="s">
        <v>35</v>
      </c>
      <c r="B16" s="22" t="s">
        <v>3154</v>
      </c>
      <c r="C16" s="22" t="s">
        <v>3158</v>
      </c>
      <c r="D16" s="22">
        <v>2</v>
      </c>
      <c r="E16" s="22" t="str">
        <f t="shared" si="19"/>
        <v>3#1#120|3#2#480|3#3#12|3#4#12|3#5#12|3#6#12|3#7#12|3#8#12|3#9#6|3#10#6|3#11#6|3#12#6</v>
      </c>
      <c r="F16" s="22" t="str">
        <f t="shared" ref="F16:F24" si="24">$AB$2&amp;AB4&amp;"%"</f>
        <v>忽视防御2%</v>
      </c>
      <c r="G16" s="33" t="s">
        <v>3156</v>
      </c>
      <c r="H16" s="22">
        <v>40</v>
      </c>
      <c r="I16" s="158">
        <v>2</v>
      </c>
      <c r="J16" s="158">
        <f t="shared" si="20"/>
        <v>600</v>
      </c>
      <c r="K16" s="158">
        <f t="shared" si="21"/>
        <v>2400</v>
      </c>
      <c r="L16" s="158">
        <f t="shared" si="22"/>
        <v>60</v>
      </c>
      <c r="M16" s="158">
        <f t="shared" si="23"/>
        <v>30</v>
      </c>
      <c r="N16" s="193"/>
      <c r="O16" s="193"/>
      <c r="P16" s="193"/>
      <c r="Q16" s="193"/>
      <c r="R16" s="193"/>
      <c r="T16" s="165">
        <v>14</v>
      </c>
      <c r="U16" s="165">
        <f t="shared" si="7"/>
        <v>28</v>
      </c>
      <c r="V16" s="165">
        <f t="shared" si="7"/>
        <v>14</v>
      </c>
      <c r="W16" s="165">
        <f t="shared" si="7"/>
        <v>280</v>
      </c>
      <c r="X16" s="165">
        <f t="shared" si="7"/>
        <v>1120</v>
      </c>
    </row>
    <row r="17" spans="1:24" ht="16.5" x14ac:dyDescent="0.3">
      <c r="A17" s="22" t="s">
        <v>35</v>
      </c>
      <c r="B17" s="22" t="s">
        <v>3154</v>
      </c>
      <c r="C17" s="22" t="s">
        <v>3158</v>
      </c>
      <c r="D17" s="22">
        <v>3</v>
      </c>
      <c r="E17" s="22" t="str">
        <f t="shared" si="19"/>
        <v>3#1#180|3#2#720|3#3#18|3#4#18|3#5#18|3#6#18|3#7#18|3#8#18|3#9#9|3#10#9|3#11#9|3#12#9</v>
      </c>
      <c r="F17" s="22" t="str">
        <f t="shared" si="24"/>
        <v>忽视防御3%</v>
      </c>
      <c r="G17" s="33" t="s">
        <v>3157</v>
      </c>
      <c r="H17" s="22">
        <v>40</v>
      </c>
      <c r="I17" s="158">
        <v>3</v>
      </c>
      <c r="J17" s="158">
        <f t="shared" si="20"/>
        <v>900</v>
      </c>
      <c r="K17" s="158">
        <f t="shared" si="21"/>
        <v>3600</v>
      </c>
      <c r="L17" s="158">
        <f t="shared" si="22"/>
        <v>90</v>
      </c>
      <c r="M17" s="158">
        <f t="shared" si="23"/>
        <v>45</v>
      </c>
      <c r="N17" s="193"/>
      <c r="O17" s="193"/>
      <c r="P17" s="193"/>
      <c r="Q17" s="193"/>
      <c r="R17" s="193"/>
      <c r="T17" s="165">
        <v>15</v>
      </c>
      <c r="U17" s="165">
        <f t="shared" si="7"/>
        <v>30</v>
      </c>
      <c r="V17" s="165">
        <f t="shared" si="7"/>
        <v>15</v>
      </c>
      <c r="W17" s="165">
        <f t="shared" si="7"/>
        <v>300</v>
      </c>
      <c r="X17" s="165">
        <f t="shared" si="7"/>
        <v>1200</v>
      </c>
    </row>
    <row r="18" spans="1:24" ht="16.5" x14ac:dyDescent="0.3">
      <c r="A18" s="22" t="s">
        <v>35</v>
      </c>
      <c r="B18" s="22" t="s">
        <v>3154</v>
      </c>
      <c r="C18" s="22" t="s">
        <v>3158</v>
      </c>
      <c r="D18" s="22">
        <v>4</v>
      </c>
      <c r="E18" s="22" t="str">
        <f t="shared" si="19"/>
        <v>3#1#240|3#2#960|3#3#24|3#4#24|3#5#24|3#6#24|3#7#24|3#8#24|3#9#12|3#10#12|3#11#12|3#12#12</v>
      </c>
      <c r="F18" s="22" t="str">
        <f t="shared" si="24"/>
        <v>忽视防御4%</v>
      </c>
      <c r="G18" s="33" t="s">
        <v>3157</v>
      </c>
      <c r="H18" s="22">
        <v>40</v>
      </c>
      <c r="I18" s="158">
        <v>4</v>
      </c>
      <c r="J18" s="158">
        <f t="shared" si="20"/>
        <v>1200</v>
      </c>
      <c r="K18" s="158">
        <f t="shared" si="21"/>
        <v>4800</v>
      </c>
      <c r="L18" s="158">
        <f t="shared" si="22"/>
        <v>120</v>
      </c>
      <c r="M18" s="158">
        <f t="shared" si="23"/>
        <v>60</v>
      </c>
      <c r="N18" s="193"/>
      <c r="O18" s="193"/>
      <c r="P18" s="193"/>
      <c r="Q18" s="193"/>
      <c r="R18" s="193"/>
      <c r="T18" s="165">
        <v>16</v>
      </c>
      <c r="U18" s="165">
        <f t="shared" si="7"/>
        <v>32</v>
      </c>
      <c r="V18" s="165">
        <f t="shared" si="7"/>
        <v>16</v>
      </c>
      <c r="W18" s="165">
        <f t="shared" si="7"/>
        <v>320</v>
      </c>
      <c r="X18" s="165">
        <f t="shared" si="7"/>
        <v>1280</v>
      </c>
    </row>
    <row r="19" spans="1:24" ht="16.5" x14ac:dyDescent="0.3">
      <c r="A19" s="22" t="s">
        <v>35</v>
      </c>
      <c r="B19" s="22" t="s">
        <v>3154</v>
      </c>
      <c r="C19" s="22" t="s">
        <v>3158</v>
      </c>
      <c r="D19" s="22">
        <v>5</v>
      </c>
      <c r="E19" s="22" t="str">
        <f t="shared" si="19"/>
        <v>3#1#300|3#2#1200|3#3#30|3#4#30|3#5#30|3#6#30|3#7#30|3#8#30|3#9#15|3#10#15|3#11#15|3#12#15</v>
      </c>
      <c r="F19" s="22" t="str">
        <f t="shared" si="24"/>
        <v>忽视防御5%</v>
      </c>
      <c r="G19" s="33" t="s">
        <v>3157</v>
      </c>
      <c r="H19" s="22">
        <v>40</v>
      </c>
      <c r="I19" s="158">
        <v>5</v>
      </c>
      <c r="J19" s="158">
        <f t="shared" si="20"/>
        <v>1500</v>
      </c>
      <c r="K19" s="158">
        <f t="shared" si="21"/>
        <v>6000</v>
      </c>
      <c r="L19" s="158">
        <f t="shared" si="22"/>
        <v>150</v>
      </c>
      <c r="M19" s="158">
        <f t="shared" si="23"/>
        <v>75</v>
      </c>
      <c r="N19" s="193"/>
      <c r="O19" s="193"/>
      <c r="P19" s="193"/>
      <c r="Q19" s="193"/>
      <c r="R19" s="193"/>
      <c r="T19" s="165">
        <v>17</v>
      </c>
      <c r="U19" s="165">
        <f t="shared" si="7"/>
        <v>34</v>
      </c>
      <c r="V19" s="165">
        <f t="shared" si="7"/>
        <v>17</v>
      </c>
      <c r="W19" s="165">
        <f t="shared" si="7"/>
        <v>340</v>
      </c>
      <c r="X19" s="165">
        <f t="shared" si="7"/>
        <v>1360</v>
      </c>
    </row>
    <row r="20" spans="1:24" ht="16.5" x14ac:dyDescent="0.3">
      <c r="A20" s="22" t="s">
        <v>35</v>
      </c>
      <c r="B20" s="22" t="s">
        <v>3154</v>
      </c>
      <c r="C20" s="22" t="s">
        <v>3158</v>
      </c>
      <c r="D20" s="22">
        <v>6</v>
      </c>
      <c r="E20" s="22" t="str">
        <f t="shared" si="19"/>
        <v>3#1#360|3#2#1440|3#3#36|3#4#36|3#5#36|3#6#36|3#7#36|3#8#36|3#9#18|3#10#18|3#11#18|3#12#18</v>
      </c>
      <c r="F20" s="22" t="str">
        <f t="shared" si="24"/>
        <v>忽视防御6%</v>
      </c>
      <c r="G20" s="33" t="s">
        <v>3157</v>
      </c>
      <c r="H20" s="22">
        <v>40</v>
      </c>
      <c r="I20" s="158">
        <v>6</v>
      </c>
      <c r="J20" s="158">
        <f t="shared" si="20"/>
        <v>1800</v>
      </c>
      <c r="K20" s="158">
        <f t="shared" si="21"/>
        <v>7200</v>
      </c>
      <c r="L20" s="158">
        <f t="shared" si="22"/>
        <v>180</v>
      </c>
      <c r="M20" s="158">
        <f t="shared" si="23"/>
        <v>90</v>
      </c>
      <c r="N20" s="193"/>
      <c r="O20" s="193"/>
      <c r="P20" s="193"/>
      <c r="Q20" s="193"/>
      <c r="R20" s="193"/>
      <c r="T20" s="165">
        <v>18</v>
      </c>
      <c r="U20" s="165">
        <f t="shared" si="7"/>
        <v>36</v>
      </c>
      <c r="V20" s="165">
        <f t="shared" si="7"/>
        <v>18</v>
      </c>
      <c r="W20" s="165">
        <f t="shared" si="7"/>
        <v>360</v>
      </c>
      <c r="X20" s="165">
        <f t="shared" si="7"/>
        <v>1440</v>
      </c>
    </row>
    <row r="21" spans="1:24" ht="16.5" x14ac:dyDescent="0.3">
      <c r="A21" s="22" t="s">
        <v>35</v>
      </c>
      <c r="B21" s="22" t="s">
        <v>3154</v>
      </c>
      <c r="C21" s="22" t="s">
        <v>3158</v>
      </c>
      <c r="D21" s="22">
        <v>7</v>
      </c>
      <c r="E21" s="22" t="str">
        <f t="shared" si="19"/>
        <v>3#1#420|3#2#1680|3#3#42|3#4#42|3#5#42|3#6#42|3#7#42|3#8#42|3#9#21|3#10#21|3#11#21|3#12#21</v>
      </c>
      <c r="F21" s="22" t="str">
        <f t="shared" si="24"/>
        <v>忽视防御7%</v>
      </c>
      <c r="G21" s="33" t="s">
        <v>3157</v>
      </c>
      <c r="H21" s="22">
        <v>40</v>
      </c>
      <c r="I21" s="158">
        <v>7</v>
      </c>
      <c r="J21" s="158">
        <f t="shared" si="20"/>
        <v>2100</v>
      </c>
      <c r="K21" s="158">
        <f t="shared" si="21"/>
        <v>8400</v>
      </c>
      <c r="L21" s="158">
        <f t="shared" si="22"/>
        <v>210</v>
      </c>
      <c r="M21" s="158">
        <f t="shared" si="23"/>
        <v>105</v>
      </c>
      <c r="N21" s="193"/>
      <c r="O21" s="193"/>
      <c r="P21" s="193"/>
      <c r="Q21" s="193"/>
      <c r="R21" s="193"/>
      <c r="T21" s="165">
        <v>19</v>
      </c>
      <c r="U21" s="165">
        <f t="shared" si="7"/>
        <v>38</v>
      </c>
      <c r="V21" s="165">
        <f t="shared" si="7"/>
        <v>19</v>
      </c>
      <c r="W21" s="165">
        <f t="shared" si="7"/>
        <v>380</v>
      </c>
      <c r="X21" s="165">
        <f t="shared" si="7"/>
        <v>1520</v>
      </c>
    </row>
    <row r="22" spans="1:24" ht="16.5" x14ac:dyDescent="0.3">
      <c r="A22" s="22" t="s">
        <v>35</v>
      </c>
      <c r="B22" s="22" t="s">
        <v>3154</v>
      </c>
      <c r="C22" s="22" t="s">
        <v>3158</v>
      </c>
      <c r="D22" s="22">
        <v>8</v>
      </c>
      <c r="E22" s="22" t="str">
        <f t="shared" si="19"/>
        <v>3#1#480|3#2#1920|3#3#48|3#4#48|3#5#48|3#6#48|3#7#48|3#8#48|3#9#24|3#10#24|3#11#24|3#12#24</v>
      </c>
      <c r="F22" s="22" t="str">
        <f t="shared" si="24"/>
        <v>忽视防御8%</v>
      </c>
      <c r="G22" s="33" t="s">
        <v>3157</v>
      </c>
      <c r="H22" s="22">
        <v>40</v>
      </c>
      <c r="I22" s="158">
        <v>8</v>
      </c>
      <c r="J22" s="158">
        <f t="shared" si="20"/>
        <v>2400</v>
      </c>
      <c r="K22" s="158">
        <f t="shared" si="21"/>
        <v>9600</v>
      </c>
      <c r="L22" s="158">
        <f t="shared" si="22"/>
        <v>240</v>
      </c>
      <c r="M22" s="158">
        <f t="shared" si="23"/>
        <v>120</v>
      </c>
      <c r="N22" s="193"/>
      <c r="O22" s="193"/>
      <c r="P22" s="193"/>
      <c r="Q22" s="193"/>
      <c r="R22" s="193"/>
      <c r="T22" s="165">
        <v>20</v>
      </c>
      <c r="U22" s="165">
        <f t="shared" si="7"/>
        <v>40</v>
      </c>
      <c r="V22" s="165">
        <f t="shared" si="7"/>
        <v>20</v>
      </c>
      <c r="W22" s="165">
        <f t="shared" si="7"/>
        <v>400</v>
      </c>
      <c r="X22" s="165">
        <f t="shared" si="7"/>
        <v>1600</v>
      </c>
    </row>
    <row r="23" spans="1:24" ht="16.5" x14ac:dyDescent="0.3">
      <c r="A23" s="22" t="s">
        <v>35</v>
      </c>
      <c r="B23" s="22" t="s">
        <v>3154</v>
      </c>
      <c r="C23" s="22" t="s">
        <v>3158</v>
      </c>
      <c r="D23" s="22">
        <v>9</v>
      </c>
      <c r="E23" s="22" t="str">
        <f t="shared" si="19"/>
        <v>3#1#540|3#2#2160|3#3#54|3#4#54|3#5#54|3#6#54|3#7#54|3#8#54|3#9#27|3#10#27|3#11#27|3#12#27</v>
      </c>
      <c r="F23" s="22" t="str">
        <f t="shared" si="24"/>
        <v>忽视防御9%</v>
      </c>
      <c r="G23" s="33" t="s">
        <v>3157</v>
      </c>
      <c r="H23" s="22">
        <v>40</v>
      </c>
      <c r="I23" s="158">
        <v>9</v>
      </c>
      <c r="J23" s="158">
        <f>INT(I23/I$24*J$24)</f>
        <v>2700</v>
      </c>
      <c r="K23" s="158">
        <f>INT(I23/I$24*K$24)</f>
        <v>10800</v>
      </c>
      <c r="L23" s="158">
        <f>INT(I23/I$24*L$24)</f>
        <v>270</v>
      </c>
      <c r="M23" s="158">
        <f>INT(I23/I$24*M$24)</f>
        <v>135</v>
      </c>
      <c r="N23" s="193"/>
      <c r="O23" s="193"/>
      <c r="P23" s="193"/>
      <c r="Q23" s="193"/>
      <c r="R23" s="193"/>
      <c r="T23" s="165">
        <v>21</v>
      </c>
      <c r="U23" s="165">
        <f t="shared" si="7"/>
        <v>42</v>
      </c>
      <c r="V23" s="165">
        <f t="shared" si="7"/>
        <v>21</v>
      </c>
      <c r="W23" s="165">
        <f t="shared" si="7"/>
        <v>420</v>
      </c>
      <c r="X23" s="165">
        <f t="shared" si="7"/>
        <v>1680</v>
      </c>
    </row>
    <row r="24" spans="1:24" ht="16.5" x14ac:dyDescent="0.3">
      <c r="A24" s="22" t="s">
        <v>35</v>
      </c>
      <c r="B24" s="22" t="s">
        <v>3154</v>
      </c>
      <c r="C24" s="22" t="s">
        <v>3158</v>
      </c>
      <c r="D24" s="22">
        <v>10</v>
      </c>
      <c r="E24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24" s="22" t="str">
        <f t="shared" si="24"/>
        <v>忽视防御10%</v>
      </c>
      <c r="G24" s="33"/>
      <c r="H24" s="22"/>
      <c r="I24" s="158">
        <v>10</v>
      </c>
      <c r="J24" s="158">
        <f>INT(3/5*J12)</f>
        <v>3000</v>
      </c>
      <c r="K24" s="158">
        <f>INT(3/5*K12)</f>
        <v>12000</v>
      </c>
      <c r="L24" s="158">
        <f>INT(3/5*L12)</f>
        <v>300</v>
      </c>
      <c r="M24" s="158">
        <f>INT(3/5*M12)</f>
        <v>150</v>
      </c>
      <c r="N24" s="193"/>
      <c r="O24" s="193"/>
      <c r="P24" s="193"/>
      <c r="Q24" s="193"/>
      <c r="R24" s="193"/>
      <c r="T24" s="165">
        <v>22</v>
      </c>
      <c r="U24" s="165">
        <f t="shared" si="7"/>
        <v>44</v>
      </c>
      <c r="V24" s="165">
        <f t="shared" si="7"/>
        <v>22</v>
      </c>
      <c r="W24" s="165">
        <f t="shared" si="7"/>
        <v>440</v>
      </c>
      <c r="X24" s="165">
        <f t="shared" si="7"/>
        <v>1760</v>
      </c>
    </row>
    <row r="25" spans="1:24" ht="16.5" x14ac:dyDescent="0.3">
      <c r="A25" s="22" t="s">
        <v>35</v>
      </c>
      <c r="B25" s="22" t="s">
        <v>3154</v>
      </c>
      <c r="C25" s="22" t="s">
        <v>3159</v>
      </c>
      <c r="D25" s="22">
        <v>0</v>
      </c>
      <c r="E25" s="2"/>
      <c r="F25" s="22"/>
      <c r="G25" s="33" t="s">
        <v>3156</v>
      </c>
      <c r="H25" s="22">
        <v>40</v>
      </c>
      <c r="T25" s="165">
        <v>23</v>
      </c>
      <c r="U25" s="165">
        <f t="shared" si="7"/>
        <v>46</v>
      </c>
      <c r="V25" s="165">
        <f t="shared" si="7"/>
        <v>23</v>
      </c>
      <c r="W25" s="165">
        <f t="shared" si="7"/>
        <v>460</v>
      </c>
      <c r="X25" s="165">
        <f t="shared" si="7"/>
        <v>1840</v>
      </c>
    </row>
    <row r="26" spans="1:24" ht="16.5" x14ac:dyDescent="0.3">
      <c r="A26" s="22" t="s">
        <v>35</v>
      </c>
      <c r="B26" s="22" t="s">
        <v>3154</v>
      </c>
      <c r="C26" s="22" t="s">
        <v>3159</v>
      </c>
      <c r="D26" s="22">
        <v>1</v>
      </c>
      <c r="E26" s="22" t="str">
        <f t="shared" ref="E26:E34" si="25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26" s="22" t="str">
        <f>$AC$2&amp;AC3&amp;"%"</f>
        <v>伤害加成1%</v>
      </c>
      <c r="G26" s="33" t="s">
        <v>3156</v>
      </c>
      <c r="H26" s="22">
        <v>40</v>
      </c>
      <c r="T26" s="165">
        <v>24</v>
      </c>
      <c r="U26" s="165">
        <f t="shared" si="7"/>
        <v>48</v>
      </c>
      <c r="V26" s="165">
        <f t="shared" si="7"/>
        <v>24</v>
      </c>
      <c r="W26" s="165">
        <f t="shared" si="7"/>
        <v>480</v>
      </c>
      <c r="X26" s="165">
        <f t="shared" si="7"/>
        <v>1920</v>
      </c>
    </row>
    <row r="27" spans="1:24" ht="16.5" x14ac:dyDescent="0.3">
      <c r="A27" s="22" t="s">
        <v>35</v>
      </c>
      <c r="B27" s="22" t="s">
        <v>3154</v>
      </c>
      <c r="C27" s="22" t="s">
        <v>3159</v>
      </c>
      <c r="D27" s="22">
        <v>2</v>
      </c>
      <c r="E27" s="22" t="str">
        <f t="shared" si="25"/>
        <v>3#1#120|3#2#480|3#3#12|3#4#12|3#5#12|3#6#12|3#7#12|3#8#12|3#9#6|3#10#6|3#11#6|3#12#6</v>
      </c>
      <c r="F27" s="22" t="str">
        <f t="shared" ref="F27:F35" si="26">$AC$2&amp;AC4&amp;"%"</f>
        <v>伤害加成2%</v>
      </c>
      <c r="G27" s="33" t="s">
        <v>3156</v>
      </c>
      <c r="H27" s="22">
        <v>40</v>
      </c>
      <c r="T27" s="165">
        <v>25</v>
      </c>
      <c r="U27" s="165">
        <f t="shared" si="7"/>
        <v>50</v>
      </c>
      <c r="V27" s="165">
        <f t="shared" si="7"/>
        <v>25</v>
      </c>
      <c r="W27" s="165">
        <f t="shared" si="7"/>
        <v>500</v>
      </c>
      <c r="X27" s="165">
        <f t="shared" si="7"/>
        <v>2000</v>
      </c>
    </row>
    <row r="28" spans="1:24" ht="16.5" x14ac:dyDescent="0.3">
      <c r="A28" s="22" t="s">
        <v>35</v>
      </c>
      <c r="B28" s="22" t="s">
        <v>3154</v>
      </c>
      <c r="C28" s="22" t="s">
        <v>3159</v>
      </c>
      <c r="D28" s="22">
        <v>3</v>
      </c>
      <c r="E28" s="22" t="str">
        <f t="shared" si="25"/>
        <v>3#1#180|3#2#720|3#3#18|3#4#18|3#5#18|3#6#18|3#7#18|3#8#18|3#9#9|3#10#9|3#11#9|3#12#9</v>
      </c>
      <c r="F28" s="22" t="str">
        <f t="shared" si="26"/>
        <v>伤害加成3%</v>
      </c>
      <c r="G28" s="33" t="s">
        <v>3157</v>
      </c>
      <c r="H28" s="22">
        <v>40</v>
      </c>
      <c r="T28" s="165">
        <v>26</v>
      </c>
      <c r="U28" s="165">
        <f t="shared" si="7"/>
        <v>52</v>
      </c>
      <c r="V28" s="165">
        <f t="shared" si="7"/>
        <v>26</v>
      </c>
      <c r="W28" s="165">
        <f t="shared" si="7"/>
        <v>520</v>
      </c>
      <c r="X28" s="165">
        <f t="shared" si="7"/>
        <v>2080</v>
      </c>
    </row>
    <row r="29" spans="1:24" ht="16.5" x14ac:dyDescent="0.3">
      <c r="A29" s="22" t="s">
        <v>35</v>
      </c>
      <c r="B29" s="22" t="s">
        <v>3154</v>
      </c>
      <c r="C29" s="22" t="s">
        <v>3159</v>
      </c>
      <c r="D29" s="22">
        <v>4</v>
      </c>
      <c r="E29" s="22" t="str">
        <f t="shared" si="25"/>
        <v>3#1#240|3#2#960|3#3#24|3#4#24|3#5#24|3#6#24|3#7#24|3#8#24|3#9#12|3#10#12|3#11#12|3#12#12</v>
      </c>
      <c r="F29" s="22" t="str">
        <f t="shared" si="26"/>
        <v>伤害加成4%</v>
      </c>
      <c r="G29" s="33" t="s">
        <v>3157</v>
      </c>
      <c r="H29" s="22">
        <v>40</v>
      </c>
      <c r="T29" s="165">
        <v>27</v>
      </c>
      <c r="U29" s="165">
        <f t="shared" si="7"/>
        <v>54</v>
      </c>
      <c r="V29" s="165">
        <f t="shared" si="7"/>
        <v>27</v>
      </c>
      <c r="W29" s="165">
        <f t="shared" si="7"/>
        <v>540</v>
      </c>
      <c r="X29" s="165">
        <f t="shared" si="7"/>
        <v>2160</v>
      </c>
    </row>
    <row r="30" spans="1:24" ht="16.5" x14ac:dyDescent="0.3">
      <c r="A30" s="22" t="s">
        <v>35</v>
      </c>
      <c r="B30" s="22" t="s">
        <v>3154</v>
      </c>
      <c r="C30" s="22" t="s">
        <v>3159</v>
      </c>
      <c r="D30" s="22">
        <v>5</v>
      </c>
      <c r="E30" s="22" t="str">
        <f t="shared" si="25"/>
        <v>3#1#300|3#2#1200|3#3#30|3#4#30|3#5#30|3#6#30|3#7#30|3#8#30|3#9#15|3#10#15|3#11#15|3#12#15</v>
      </c>
      <c r="F30" s="22" t="str">
        <f t="shared" si="26"/>
        <v>伤害加成5%</v>
      </c>
      <c r="G30" s="33" t="s">
        <v>3157</v>
      </c>
      <c r="H30" s="22">
        <v>40</v>
      </c>
      <c r="T30" s="165">
        <v>28</v>
      </c>
      <c r="U30" s="165">
        <f t="shared" si="7"/>
        <v>56</v>
      </c>
      <c r="V30" s="165">
        <f t="shared" si="7"/>
        <v>28</v>
      </c>
      <c r="W30" s="165">
        <f t="shared" si="7"/>
        <v>560</v>
      </c>
      <c r="X30" s="165">
        <f t="shared" si="7"/>
        <v>2240</v>
      </c>
    </row>
    <row r="31" spans="1:24" ht="16.5" x14ac:dyDescent="0.3">
      <c r="A31" s="22" t="s">
        <v>35</v>
      </c>
      <c r="B31" s="22" t="s">
        <v>3154</v>
      </c>
      <c r="C31" s="22" t="s">
        <v>3159</v>
      </c>
      <c r="D31" s="22">
        <v>6</v>
      </c>
      <c r="E31" s="22" t="str">
        <f t="shared" si="25"/>
        <v>3#1#360|3#2#1440|3#3#36|3#4#36|3#5#36|3#6#36|3#7#36|3#8#36|3#9#18|3#10#18|3#11#18|3#12#18</v>
      </c>
      <c r="F31" s="22" t="str">
        <f t="shared" si="26"/>
        <v>伤害加成6%</v>
      </c>
      <c r="G31" s="33" t="s">
        <v>3157</v>
      </c>
      <c r="H31" s="22">
        <v>40</v>
      </c>
      <c r="T31" s="165">
        <v>29</v>
      </c>
      <c r="U31" s="165">
        <f t="shared" si="7"/>
        <v>58</v>
      </c>
      <c r="V31" s="165">
        <f t="shared" si="7"/>
        <v>29</v>
      </c>
      <c r="W31" s="165">
        <f t="shared" si="7"/>
        <v>580</v>
      </c>
      <c r="X31" s="165">
        <f t="shared" si="7"/>
        <v>2320</v>
      </c>
    </row>
    <row r="32" spans="1:24" ht="16.5" x14ac:dyDescent="0.3">
      <c r="A32" s="22" t="s">
        <v>35</v>
      </c>
      <c r="B32" s="22" t="s">
        <v>3154</v>
      </c>
      <c r="C32" s="22" t="s">
        <v>3159</v>
      </c>
      <c r="D32" s="22">
        <v>7</v>
      </c>
      <c r="E32" s="22" t="str">
        <f t="shared" si="25"/>
        <v>3#1#420|3#2#1680|3#3#42|3#4#42|3#5#42|3#6#42|3#7#42|3#8#42|3#9#21|3#10#21|3#11#21|3#12#21</v>
      </c>
      <c r="F32" s="22" t="str">
        <f t="shared" si="26"/>
        <v>伤害加成7%</v>
      </c>
      <c r="G32" s="33" t="s">
        <v>3157</v>
      </c>
      <c r="H32" s="22">
        <v>40</v>
      </c>
      <c r="T32" s="165">
        <v>30</v>
      </c>
      <c r="U32" s="165">
        <f t="shared" si="7"/>
        <v>60</v>
      </c>
      <c r="V32" s="165">
        <f t="shared" si="7"/>
        <v>30</v>
      </c>
      <c r="W32" s="165">
        <f t="shared" si="7"/>
        <v>600</v>
      </c>
      <c r="X32" s="165">
        <f t="shared" si="7"/>
        <v>2400</v>
      </c>
    </row>
    <row r="33" spans="1:24" ht="16.5" x14ac:dyDescent="0.3">
      <c r="A33" s="22" t="s">
        <v>35</v>
      </c>
      <c r="B33" s="22" t="s">
        <v>3154</v>
      </c>
      <c r="C33" s="22" t="s">
        <v>3159</v>
      </c>
      <c r="D33" s="22">
        <v>8</v>
      </c>
      <c r="E33" s="22" t="str">
        <f t="shared" si="25"/>
        <v>3#1#480|3#2#1920|3#3#48|3#4#48|3#5#48|3#6#48|3#7#48|3#8#48|3#9#24|3#10#24|3#11#24|3#12#24</v>
      </c>
      <c r="F33" s="22" t="str">
        <f t="shared" si="26"/>
        <v>伤害加成8%</v>
      </c>
      <c r="G33" s="33" t="s">
        <v>3157</v>
      </c>
      <c r="H33" s="22">
        <v>40</v>
      </c>
      <c r="T33" s="165">
        <v>31</v>
      </c>
      <c r="U33" s="165">
        <f t="shared" si="7"/>
        <v>62</v>
      </c>
      <c r="V33" s="165">
        <f t="shared" si="7"/>
        <v>31</v>
      </c>
      <c r="W33" s="165">
        <f t="shared" si="7"/>
        <v>620</v>
      </c>
      <c r="X33" s="165">
        <f t="shared" si="7"/>
        <v>2480</v>
      </c>
    </row>
    <row r="34" spans="1:24" ht="16.5" x14ac:dyDescent="0.3">
      <c r="A34" s="22" t="s">
        <v>35</v>
      </c>
      <c r="B34" s="22" t="s">
        <v>3154</v>
      </c>
      <c r="C34" s="22" t="s">
        <v>3159</v>
      </c>
      <c r="D34" s="22">
        <v>9</v>
      </c>
      <c r="E34" s="22" t="str">
        <f t="shared" si="25"/>
        <v>3#1#540|3#2#2160|3#3#54|3#4#54|3#5#54|3#6#54|3#7#54|3#8#54|3#9#27|3#10#27|3#11#27|3#12#27</v>
      </c>
      <c r="F34" s="22" t="str">
        <f t="shared" si="26"/>
        <v>伤害加成9%</v>
      </c>
      <c r="G34" s="33" t="s">
        <v>3157</v>
      </c>
      <c r="H34" s="22">
        <v>40</v>
      </c>
      <c r="T34" s="165">
        <v>32</v>
      </c>
      <c r="U34" s="165">
        <f t="shared" si="7"/>
        <v>64</v>
      </c>
      <c r="V34" s="165">
        <f t="shared" si="7"/>
        <v>32</v>
      </c>
      <c r="W34" s="165">
        <f t="shared" si="7"/>
        <v>640</v>
      </c>
      <c r="X34" s="165">
        <f t="shared" si="7"/>
        <v>2560</v>
      </c>
    </row>
    <row r="35" spans="1:24" ht="16.5" x14ac:dyDescent="0.3">
      <c r="A35" s="22" t="s">
        <v>35</v>
      </c>
      <c r="B35" s="22" t="s">
        <v>3154</v>
      </c>
      <c r="C35" s="22" t="s">
        <v>3159</v>
      </c>
      <c r="D35" s="22">
        <v>10</v>
      </c>
      <c r="E35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35" s="22" t="str">
        <f t="shared" si="26"/>
        <v>伤害加成10%</v>
      </c>
      <c r="G35" s="33"/>
      <c r="H35" s="22"/>
      <c r="T35" s="165">
        <v>33</v>
      </c>
      <c r="U35" s="165">
        <f t="shared" ref="U35:X66" si="27">INT($T35/$T$102*U$102)</f>
        <v>66</v>
      </c>
      <c r="V35" s="165">
        <f t="shared" si="27"/>
        <v>33</v>
      </c>
      <c r="W35" s="165">
        <f t="shared" si="27"/>
        <v>660</v>
      </c>
      <c r="X35" s="165">
        <f t="shared" si="27"/>
        <v>2640</v>
      </c>
    </row>
    <row r="36" spans="1:24" ht="16.5" x14ac:dyDescent="0.3">
      <c r="A36" s="22" t="s">
        <v>35</v>
      </c>
      <c r="B36" s="22" t="s">
        <v>3154</v>
      </c>
      <c r="C36" s="22" t="s">
        <v>3160</v>
      </c>
      <c r="D36" s="22">
        <v>0</v>
      </c>
      <c r="E36" s="2"/>
      <c r="F36" s="22"/>
      <c r="G36" s="33" t="s">
        <v>3156</v>
      </c>
      <c r="H36" s="22">
        <v>40</v>
      </c>
      <c r="T36" s="165">
        <v>34</v>
      </c>
      <c r="U36" s="165">
        <f t="shared" si="27"/>
        <v>68</v>
      </c>
      <c r="V36" s="165">
        <f t="shared" si="27"/>
        <v>34</v>
      </c>
      <c r="W36" s="165">
        <f t="shared" si="27"/>
        <v>680</v>
      </c>
      <c r="X36" s="165">
        <f t="shared" si="27"/>
        <v>2720</v>
      </c>
    </row>
    <row r="37" spans="1:24" ht="16.5" x14ac:dyDescent="0.3">
      <c r="A37" s="22" t="s">
        <v>35</v>
      </c>
      <c r="B37" s="22" t="s">
        <v>3154</v>
      </c>
      <c r="C37" s="22" t="s">
        <v>3160</v>
      </c>
      <c r="D37" s="22">
        <v>1</v>
      </c>
      <c r="E37" s="22" t="str">
        <f t="shared" ref="E37:E45" si="28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37" s="22" t="str">
        <f>$AD$2&amp;AD3&amp;"%"</f>
        <v>暴击几率1%</v>
      </c>
      <c r="G37" s="33" t="s">
        <v>3156</v>
      </c>
      <c r="H37" s="22">
        <v>40</v>
      </c>
      <c r="T37" s="165">
        <v>35</v>
      </c>
      <c r="U37" s="165">
        <f t="shared" si="27"/>
        <v>70</v>
      </c>
      <c r="V37" s="165">
        <f t="shared" si="27"/>
        <v>35</v>
      </c>
      <c r="W37" s="165">
        <f t="shared" si="27"/>
        <v>700</v>
      </c>
      <c r="X37" s="165">
        <f t="shared" si="27"/>
        <v>2800</v>
      </c>
    </row>
    <row r="38" spans="1:24" ht="16.5" x14ac:dyDescent="0.3">
      <c r="A38" s="22" t="s">
        <v>35</v>
      </c>
      <c r="B38" s="22" t="s">
        <v>3154</v>
      </c>
      <c r="C38" s="22" t="s">
        <v>3160</v>
      </c>
      <c r="D38" s="22">
        <v>2</v>
      </c>
      <c r="E38" s="22" t="str">
        <f t="shared" si="28"/>
        <v>3#1#120|3#2#480|3#3#12|3#4#12|3#5#12|3#6#12|3#7#12|3#8#12|3#9#6|3#10#6|3#11#6|3#12#6</v>
      </c>
      <c r="F38" s="22" t="str">
        <f t="shared" ref="F38:F46" si="29">$AD$2&amp;AD4&amp;"%"</f>
        <v>暴击几率2%</v>
      </c>
      <c r="G38" s="33" t="s">
        <v>3156</v>
      </c>
      <c r="H38" s="22">
        <v>40</v>
      </c>
      <c r="T38" s="165">
        <v>36</v>
      </c>
      <c r="U38" s="165">
        <f t="shared" si="27"/>
        <v>72</v>
      </c>
      <c r="V38" s="165">
        <f t="shared" si="27"/>
        <v>36</v>
      </c>
      <c r="W38" s="165">
        <f t="shared" si="27"/>
        <v>720</v>
      </c>
      <c r="X38" s="165">
        <f t="shared" si="27"/>
        <v>2880</v>
      </c>
    </row>
    <row r="39" spans="1:24" ht="16.5" x14ac:dyDescent="0.3">
      <c r="A39" s="22" t="s">
        <v>35</v>
      </c>
      <c r="B39" s="22" t="s">
        <v>3154</v>
      </c>
      <c r="C39" s="22" t="s">
        <v>3160</v>
      </c>
      <c r="D39" s="22">
        <v>3</v>
      </c>
      <c r="E39" s="22" t="str">
        <f t="shared" si="28"/>
        <v>3#1#180|3#2#720|3#3#18|3#4#18|3#5#18|3#6#18|3#7#18|3#8#18|3#9#9|3#10#9|3#11#9|3#12#9</v>
      </c>
      <c r="F39" s="22" t="str">
        <f t="shared" si="29"/>
        <v>暴击几率3%</v>
      </c>
      <c r="G39" s="33" t="s">
        <v>3157</v>
      </c>
      <c r="H39" s="22">
        <v>40</v>
      </c>
      <c r="T39" s="165">
        <v>37</v>
      </c>
      <c r="U39" s="165">
        <f t="shared" si="27"/>
        <v>74</v>
      </c>
      <c r="V39" s="165">
        <f t="shared" si="27"/>
        <v>37</v>
      </c>
      <c r="W39" s="165">
        <f t="shared" si="27"/>
        <v>740</v>
      </c>
      <c r="X39" s="165">
        <f t="shared" si="27"/>
        <v>2960</v>
      </c>
    </row>
    <row r="40" spans="1:24" ht="16.5" x14ac:dyDescent="0.3">
      <c r="A40" s="22" t="s">
        <v>35</v>
      </c>
      <c r="B40" s="22" t="s">
        <v>3154</v>
      </c>
      <c r="C40" s="22" t="s">
        <v>3160</v>
      </c>
      <c r="D40" s="22">
        <v>4</v>
      </c>
      <c r="E40" s="22" t="str">
        <f t="shared" si="28"/>
        <v>3#1#240|3#2#960|3#3#24|3#4#24|3#5#24|3#6#24|3#7#24|3#8#24|3#9#12|3#10#12|3#11#12|3#12#12</v>
      </c>
      <c r="F40" s="22" t="str">
        <f t="shared" si="29"/>
        <v>暴击几率4%</v>
      </c>
      <c r="G40" s="33" t="s">
        <v>3157</v>
      </c>
      <c r="H40" s="22">
        <v>40</v>
      </c>
      <c r="T40" s="165">
        <v>38</v>
      </c>
      <c r="U40" s="165">
        <f t="shared" si="27"/>
        <v>76</v>
      </c>
      <c r="V40" s="165">
        <f t="shared" si="27"/>
        <v>38</v>
      </c>
      <c r="W40" s="165">
        <f t="shared" si="27"/>
        <v>760</v>
      </c>
      <c r="X40" s="165">
        <f t="shared" si="27"/>
        <v>3040</v>
      </c>
    </row>
    <row r="41" spans="1:24" ht="16.5" x14ac:dyDescent="0.3">
      <c r="A41" s="22" t="s">
        <v>35</v>
      </c>
      <c r="B41" s="22" t="s">
        <v>3154</v>
      </c>
      <c r="C41" s="22" t="s">
        <v>3160</v>
      </c>
      <c r="D41" s="22">
        <v>5</v>
      </c>
      <c r="E41" s="22" t="str">
        <f t="shared" si="28"/>
        <v>3#1#300|3#2#1200|3#3#30|3#4#30|3#5#30|3#6#30|3#7#30|3#8#30|3#9#15|3#10#15|3#11#15|3#12#15</v>
      </c>
      <c r="F41" s="22" t="str">
        <f t="shared" si="29"/>
        <v>暴击几率5%</v>
      </c>
      <c r="G41" s="33" t="s">
        <v>3157</v>
      </c>
      <c r="H41" s="22">
        <v>40</v>
      </c>
      <c r="T41" s="165">
        <v>39</v>
      </c>
      <c r="U41" s="165">
        <f t="shared" si="27"/>
        <v>78</v>
      </c>
      <c r="V41" s="165">
        <f t="shared" si="27"/>
        <v>39</v>
      </c>
      <c r="W41" s="165">
        <f t="shared" si="27"/>
        <v>780</v>
      </c>
      <c r="X41" s="165">
        <f t="shared" si="27"/>
        <v>3120</v>
      </c>
    </row>
    <row r="42" spans="1:24" ht="16.5" x14ac:dyDescent="0.3">
      <c r="A42" s="22" t="s">
        <v>35</v>
      </c>
      <c r="B42" s="22" t="s">
        <v>3154</v>
      </c>
      <c r="C42" s="22" t="s">
        <v>3160</v>
      </c>
      <c r="D42" s="22">
        <v>6</v>
      </c>
      <c r="E42" s="22" t="str">
        <f t="shared" si="28"/>
        <v>3#1#360|3#2#1440|3#3#36|3#4#36|3#5#36|3#6#36|3#7#36|3#8#36|3#9#18|3#10#18|3#11#18|3#12#18</v>
      </c>
      <c r="F42" s="22" t="str">
        <f t="shared" si="29"/>
        <v>暴击几率6%</v>
      </c>
      <c r="G42" s="33" t="s">
        <v>3157</v>
      </c>
      <c r="H42" s="22">
        <v>40</v>
      </c>
      <c r="T42" s="165">
        <v>40</v>
      </c>
      <c r="U42" s="165">
        <f t="shared" si="27"/>
        <v>80</v>
      </c>
      <c r="V42" s="165">
        <f t="shared" si="27"/>
        <v>40</v>
      </c>
      <c r="W42" s="165">
        <f t="shared" si="27"/>
        <v>800</v>
      </c>
      <c r="X42" s="165">
        <f t="shared" si="27"/>
        <v>3200</v>
      </c>
    </row>
    <row r="43" spans="1:24" ht="16.5" x14ac:dyDescent="0.3">
      <c r="A43" s="22" t="s">
        <v>35</v>
      </c>
      <c r="B43" s="22" t="s">
        <v>3154</v>
      </c>
      <c r="C43" s="22" t="s">
        <v>3160</v>
      </c>
      <c r="D43" s="22">
        <v>7</v>
      </c>
      <c r="E43" s="22" t="str">
        <f t="shared" si="28"/>
        <v>3#1#420|3#2#1680|3#3#42|3#4#42|3#5#42|3#6#42|3#7#42|3#8#42|3#9#21|3#10#21|3#11#21|3#12#21</v>
      </c>
      <c r="F43" s="22" t="str">
        <f t="shared" si="29"/>
        <v>暴击几率7%</v>
      </c>
      <c r="G43" s="33" t="s">
        <v>3157</v>
      </c>
      <c r="H43" s="22">
        <v>40</v>
      </c>
      <c r="T43" s="165">
        <v>41</v>
      </c>
      <c r="U43" s="165">
        <f t="shared" si="27"/>
        <v>82</v>
      </c>
      <c r="V43" s="165">
        <f t="shared" si="27"/>
        <v>41</v>
      </c>
      <c r="W43" s="165">
        <f t="shared" si="27"/>
        <v>820</v>
      </c>
      <c r="X43" s="165">
        <f t="shared" si="27"/>
        <v>3280</v>
      </c>
    </row>
    <row r="44" spans="1:24" ht="16.5" x14ac:dyDescent="0.3">
      <c r="A44" s="22" t="s">
        <v>35</v>
      </c>
      <c r="B44" s="22" t="s">
        <v>3154</v>
      </c>
      <c r="C44" s="22" t="s">
        <v>3160</v>
      </c>
      <c r="D44" s="22">
        <v>8</v>
      </c>
      <c r="E44" s="22" t="str">
        <f t="shared" si="28"/>
        <v>3#1#480|3#2#1920|3#3#48|3#4#48|3#5#48|3#6#48|3#7#48|3#8#48|3#9#24|3#10#24|3#11#24|3#12#24</v>
      </c>
      <c r="F44" s="22" t="str">
        <f t="shared" si="29"/>
        <v>暴击几率8%</v>
      </c>
      <c r="G44" s="33" t="s">
        <v>3157</v>
      </c>
      <c r="H44" s="22">
        <v>40</v>
      </c>
      <c r="T44" s="165">
        <v>42</v>
      </c>
      <c r="U44" s="165">
        <f t="shared" si="27"/>
        <v>84</v>
      </c>
      <c r="V44" s="165">
        <f t="shared" si="27"/>
        <v>42</v>
      </c>
      <c r="W44" s="165">
        <f t="shared" si="27"/>
        <v>840</v>
      </c>
      <c r="X44" s="165">
        <f t="shared" si="27"/>
        <v>3360</v>
      </c>
    </row>
    <row r="45" spans="1:24" ht="16.5" x14ac:dyDescent="0.3">
      <c r="A45" s="22" t="s">
        <v>35</v>
      </c>
      <c r="B45" s="22" t="s">
        <v>3154</v>
      </c>
      <c r="C45" s="22" t="s">
        <v>3160</v>
      </c>
      <c r="D45" s="22">
        <v>9</v>
      </c>
      <c r="E45" s="22" t="str">
        <f t="shared" si="28"/>
        <v>3#1#540|3#2#2160|3#3#54|3#4#54|3#5#54|3#6#54|3#7#54|3#8#54|3#9#27|3#10#27|3#11#27|3#12#27</v>
      </c>
      <c r="F45" s="22" t="str">
        <f t="shared" si="29"/>
        <v>暴击几率9%</v>
      </c>
      <c r="G45" s="33" t="s">
        <v>3157</v>
      </c>
      <c r="H45" s="22">
        <v>40</v>
      </c>
      <c r="T45" s="165">
        <v>43</v>
      </c>
      <c r="U45" s="165">
        <f t="shared" si="27"/>
        <v>86</v>
      </c>
      <c r="V45" s="165">
        <f t="shared" si="27"/>
        <v>43</v>
      </c>
      <c r="W45" s="165">
        <f t="shared" si="27"/>
        <v>860</v>
      </c>
      <c r="X45" s="165">
        <f t="shared" si="27"/>
        <v>3440</v>
      </c>
    </row>
    <row r="46" spans="1:24" ht="16.5" x14ac:dyDescent="0.3">
      <c r="A46" s="22" t="s">
        <v>35</v>
      </c>
      <c r="B46" s="22" t="s">
        <v>3154</v>
      </c>
      <c r="C46" s="22" t="s">
        <v>3160</v>
      </c>
      <c r="D46" s="22">
        <v>10</v>
      </c>
      <c r="E46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46" s="22" t="str">
        <f t="shared" si="29"/>
        <v>暴击几率10%</v>
      </c>
      <c r="G46" s="33"/>
      <c r="H46" s="22"/>
      <c r="T46" s="165">
        <v>44</v>
      </c>
      <c r="U46" s="165">
        <f t="shared" si="27"/>
        <v>88</v>
      </c>
      <c r="V46" s="165">
        <f t="shared" si="27"/>
        <v>44</v>
      </c>
      <c r="W46" s="165">
        <f t="shared" si="27"/>
        <v>880</v>
      </c>
      <c r="X46" s="165">
        <f t="shared" si="27"/>
        <v>3520</v>
      </c>
    </row>
    <row r="47" spans="1:24" ht="16.5" x14ac:dyDescent="0.3">
      <c r="A47" s="22" t="s">
        <v>35</v>
      </c>
      <c r="B47" s="22" t="s">
        <v>3154</v>
      </c>
      <c r="C47" s="22" t="s">
        <v>3161</v>
      </c>
      <c r="D47" s="22">
        <v>0</v>
      </c>
      <c r="E47" s="2"/>
      <c r="F47" s="22"/>
      <c r="G47" s="33" t="s">
        <v>3156</v>
      </c>
      <c r="H47" s="22">
        <v>40</v>
      </c>
      <c r="T47" s="165">
        <v>45</v>
      </c>
      <c r="U47" s="165">
        <f t="shared" si="27"/>
        <v>90</v>
      </c>
      <c r="V47" s="165">
        <f t="shared" si="27"/>
        <v>45</v>
      </c>
      <c r="W47" s="165">
        <f t="shared" si="27"/>
        <v>900</v>
      </c>
      <c r="X47" s="165">
        <f t="shared" si="27"/>
        <v>3600</v>
      </c>
    </row>
    <row r="48" spans="1:24" ht="16.5" x14ac:dyDescent="0.3">
      <c r="A48" s="22" t="s">
        <v>35</v>
      </c>
      <c r="B48" s="22" t="s">
        <v>3154</v>
      </c>
      <c r="C48" s="22" t="s">
        <v>3161</v>
      </c>
      <c r="D48" s="22">
        <v>1</v>
      </c>
      <c r="E48" s="22" t="str">
        <f t="shared" ref="E48:E56" si="30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8" s="22" t="str">
        <f>$AE$2&amp;AE3&amp;"%"</f>
        <v>血量加成1%</v>
      </c>
      <c r="G48" s="33" t="s">
        <v>3156</v>
      </c>
      <c r="H48" s="22">
        <v>40</v>
      </c>
      <c r="T48" s="165">
        <v>46</v>
      </c>
      <c r="U48" s="165">
        <f t="shared" si="27"/>
        <v>92</v>
      </c>
      <c r="V48" s="165">
        <f t="shared" si="27"/>
        <v>46</v>
      </c>
      <c r="W48" s="165">
        <f t="shared" si="27"/>
        <v>920</v>
      </c>
      <c r="X48" s="165">
        <f t="shared" si="27"/>
        <v>3680</v>
      </c>
    </row>
    <row r="49" spans="1:24" ht="16.5" x14ac:dyDescent="0.3">
      <c r="A49" s="22" t="s">
        <v>35</v>
      </c>
      <c r="B49" s="22" t="s">
        <v>3154</v>
      </c>
      <c r="C49" s="22" t="s">
        <v>3161</v>
      </c>
      <c r="D49" s="22">
        <v>2</v>
      </c>
      <c r="E49" s="22" t="str">
        <f t="shared" si="30"/>
        <v>3#1#120|3#2#480|3#3#12|3#4#12|3#5#12|3#6#12|3#7#12|3#8#12|3#9#6|3#10#6|3#11#6|3#12#6</v>
      </c>
      <c r="F49" s="22" t="str">
        <f t="shared" ref="F49:F57" si="31">$AE$2&amp;AE4&amp;"%"</f>
        <v>血量加成2%</v>
      </c>
      <c r="G49" s="33" t="s">
        <v>3156</v>
      </c>
      <c r="H49" s="22">
        <v>40</v>
      </c>
      <c r="T49" s="165">
        <v>47</v>
      </c>
      <c r="U49" s="165">
        <f t="shared" si="27"/>
        <v>94</v>
      </c>
      <c r="V49" s="165">
        <f t="shared" si="27"/>
        <v>47</v>
      </c>
      <c r="W49" s="165">
        <f t="shared" si="27"/>
        <v>940</v>
      </c>
      <c r="X49" s="165">
        <f t="shared" si="27"/>
        <v>3760</v>
      </c>
    </row>
    <row r="50" spans="1:24" ht="16.5" x14ac:dyDescent="0.3">
      <c r="A50" s="22" t="s">
        <v>35</v>
      </c>
      <c r="B50" s="22" t="s">
        <v>3154</v>
      </c>
      <c r="C50" s="22" t="s">
        <v>3161</v>
      </c>
      <c r="D50" s="22">
        <v>3</v>
      </c>
      <c r="E50" s="22" t="str">
        <f t="shared" si="30"/>
        <v>3#1#180|3#2#720|3#3#18|3#4#18|3#5#18|3#6#18|3#7#18|3#8#18|3#9#9|3#10#9|3#11#9|3#12#9</v>
      </c>
      <c r="F50" s="22" t="str">
        <f t="shared" si="31"/>
        <v>血量加成3%</v>
      </c>
      <c r="G50" s="33" t="s">
        <v>3157</v>
      </c>
      <c r="H50" s="22">
        <v>40</v>
      </c>
      <c r="T50" s="165">
        <v>48</v>
      </c>
      <c r="U50" s="165">
        <f t="shared" si="27"/>
        <v>96</v>
      </c>
      <c r="V50" s="165">
        <f t="shared" si="27"/>
        <v>48</v>
      </c>
      <c r="W50" s="165">
        <f t="shared" si="27"/>
        <v>960</v>
      </c>
      <c r="X50" s="165">
        <f t="shared" si="27"/>
        <v>3840</v>
      </c>
    </row>
    <row r="51" spans="1:24" ht="16.5" x14ac:dyDescent="0.3">
      <c r="A51" s="22" t="s">
        <v>35</v>
      </c>
      <c r="B51" s="22" t="s">
        <v>3154</v>
      </c>
      <c r="C51" s="22" t="s">
        <v>3161</v>
      </c>
      <c r="D51" s="22">
        <v>4</v>
      </c>
      <c r="E51" s="22" t="str">
        <f t="shared" si="30"/>
        <v>3#1#240|3#2#960|3#3#24|3#4#24|3#5#24|3#6#24|3#7#24|3#8#24|3#9#12|3#10#12|3#11#12|3#12#12</v>
      </c>
      <c r="F51" s="22" t="str">
        <f t="shared" si="31"/>
        <v>血量加成4%</v>
      </c>
      <c r="G51" s="33" t="s">
        <v>3157</v>
      </c>
      <c r="H51" s="22">
        <v>40</v>
      </c>
      <c r="T51" s="165">
        <v>49</v>
      </c>
      <c r="U51" s="165">
        <f t="shared" si="27"/>
        <v>98</v>
      </c>
      <c r="V51" s="165">
        <f t="shared" si="27"/>
        <v>49</v>
      </c>
      <c r="W51" s="165">
        <f t="shared" si="27"/>
        <v>980</v>
      </c>
      <c r="X51" s="165">
        <f t="shared" si="27"/>
        <v>3920</v>
      </c>
    </row>
    <row r="52" spans="1:24" ht="16.5" x14ac:dyDescent="0.3">
      <c r="A52" s="22" t="s">
        <v>35</v>
      </c>
      <c r="B52" s="22" t="s">
        <v>3154</v>
      </c>
      <c r="C52" s="22" t="s">
        <v>3161</v>
      </c>
      <c r="D52" s="22">
        <v>5</v>
      </c>
      <c r="E52" s="22" t="str">
        <f t="shared" si="30"/>
        <v>3#1#300|3#2#1200|3#3#30|3#4#30|3#5#30|3#6#30|3#7#30|3#8#30|3#9#15|3#10#15|3#11#15|3#12#15</v>
      </c>
      <c r="F52" s="22" t="str">
        <f t="shared" si="31"/>
        <v>血量加成5%</v>
      </c>
      <c r="G52" s="33" t="s">
        <v>3157</v>
      </c>
      <c r="H52" s="22">
        <v>40</v>
      </c>
      <c r="T52" s="165">
        <v>50</v>
      </c>
      <c r="U52" s="165">
        <f t="shared" si="27"/>
        <v>100</v>
      </c>
      <c r="V52" s="165">
        <f t="shared" si="27"/>
        <v>50</v>
      </c>
      <c r="W52" s="165">
        <f t="shared" si="27"/>
        <v>1000</v>
      </c>
      <c r="X52" s="165">
        <f t="shared" si="27"/>
        <v>4000</v>
      </c>
    </row>
    <row r="53" spans="1:24" ht="16.5" x14ac:dyDescent="0.3">
      <c r="A53" s="22" t="s">
        <v>35</v>
      </c>
      <c r="B53" s="22" t="s">
        <v>3154</v>
      </c>
      <c r="C53" s="22" t="s">
        <v>3161</v>
      </c>
      <c r="D53" s="22">
        <v>6</v>
      </c>
      <c r="E53" s="22" t="str">
        <f t="shared" si="30"/>
        <v>3#1#360|3#2#1440|3#3#36|3#4#36|3#5#36|3#6#36|3#7#36|3#8#36|3#9#18|3#10#18|3#11#18|3#12#18</v>
      </c>
      <c r="F53" s="22" t="str">
        <f t="shared" si="31"/>
        <v>血量加成6%</v>
      </c>
      <c r="G53" s="33" t="s">
        <v>3157</v>
      </c>
      <c r="H53" s="22">
        <v>40</v>
      </c>
      <c r="T53" s="165">
        <v>51</v>
      </c>
      <c r="U53" s="165">
        <f t="shared" si="27"/>
        <v>102</v>
      </c>
      <c r="V53" s="165">
        <f t="shared" si="27"/>
        <v>51</v>
      </c>
      <c r="W53" s="165">
        <f t="shared" si="27"/>
        <v>1020</v>
      </c>
      <c r="X53" s="165">
        <f t="shared" si="27"/>
        <v>4080</v>
      </c>
    </row>
    <row r="54" spans="1:24" ht="16.5" x14ac:dyDescent="0.3">
      <c r="A54" s="22" t="s">
        <v>35</v>
      </c>
      <c r="B54" s="22" t="s">
        <v>3154</v>
      </c>
      <c r="C54" s="22" t="s">
        <v>3161</v>
      </c>
      <c r="D54" s="22">
        <v>7</v>
      </c>
      <c r="E54" s="22" t="str">
        <f t="shared" si="30"/>
        <v>3#1#420|3#2#1680|3#3#42|3#4#42|3#5#42|3#6#42|3#7#42|3#8#42|3#9#21|3#10#21|3#11#21|3#12#21</v>
      </c>
      <c r="F54" s="22" t="str">
        <f t="shared" si="31"/>
        <v>血量加成7%</v>
      </c>
      <c r="G54" s="33" t="s">
        <v>3157</v>
      </c>
      <c r="H54" s="22">
        <v>40</v>
      </c>
      <c r="T54" s="165">
        <v>52</v>
      </c>
      <c r="U54" s="165">
        <f t="shared" si="27"/>
        <v>104</v>
      </c>
      <c r="V54" s="165">
        <f t="shared" si="27"/>
        <v>52</v>
      </c>
      <c r="W54" s="165">
        <f t="shared" si="27"/>
        <v>1040</v>
      </c>
      <c r="X54" s="165">
        <f t="shared" si="27"/>
        <v>4160</v>
      </c>
    </row>
    <row r="55" spans="1:24" ht="16.5" x14ac:dyDescent="0.3">
      <c r="A55" s="22" t="s">
        <v>35</v>
      </c>
      <c r="B55" s="22" t="s">
        <v>3154</v>
      </c>
      <c r="C55" s="22" t="s">
        <v>3161</v>
      </c>
      <c r="D55" s="22">
        <v>8</v>
      </c>
      <c r="E55" s="22" t="str">
        <f t="shared" si="30"/>
        <v>3#1#480|3#2#1920|3#3#48|3#4#48|3#5#48|3#6#48|3#7#48|3#8#48|3#9#24|3#10#24|3#11#24|3#12#24</v>
      </c>
      <c r="F55" s="22" t="str">
        <f t="shared" si="31"/>
        <v>血量加成8%</v>
      </c>
      <c r="G55" s="33" t="s">
        <v>3157</v>
      </c>
      <c r="H55" s="22">
        <v>40</v>
      </c>
      <c r="T55" s="165">
        <v>53</v>
      </c>
      <c r="U55" s="165">
        <f t="shared" si="27"/>
        <v>106</v>
      </c>
      <c r="V55" s="165">
        <f t="shared" si="27"/>
        <v>53</v>
      </c>
      <c r="W55" s="165">
        <f t="shared" si="27"/>
        <v>1060</v>
      </c>
      <c r="X55" s="165">
        <f t="shared" si="27"/>
        <v>4240</v>
      </c>
    </row>
    <row r="56" spans="1:24" ht="16.5" x14ac:dyDescent="0.3">
      <c r="A56" s="22" t="s">
        <v>35</v>
      </c>
      <c r="B56" s="22" t="s">
        <v>3154</v>
      </c>
      <c r="C56" s="22" t="s">
        <v>3161</v>
      </c>
      <c r="D56" s="22">
        <v>9</v>
      </c>
      <c r="E56" s="22" t="str">
        <f t="shared" si="30"/>
        <v>3#1#540|3#2#2160|3#3#54|3#4#54|3#5#54|3#6#54|3#7#54|3#8#54|3#9#27|3#10#27|3#11#27|3#12#27</v>
      </c>
      <c r="F56" s="22" t="str">
        <f t="shared" si="31"/>
        <v>血量加成9%</v>
      </c>
      <c r="G56" s="33" t="s">
        <v>3157</v>
      </c>
      <c r="H56" s="22">
        <v>40</v>
      </c>
      <c r="T56" s="165">
        <v>54</v>
      </c>
      <c r="U56" s="165">
        <f t="shared" si="27"/>
        <v>108</v>
      </c>
      <c r="V56" s="165">
        <f t="shared" si="27"/>
        <v>54</v>
      </c>
      <c r="W56" s="165">
        <f t="shared" si="27"/>
        <v>1080</v>
      </c>
      <c r="X56" s="165">
        <f t="shared" si="27"/>
        <v>4320</v>
      </c>
    </row>
    <row r="57" spans="1:24" ht="16.5" x14ac:dyDescent="0.3">
      <c r="A57" s="22" t="s">
        <v>35</v>
      </c>
      <c r="B57" s="22" t="s">
        <v>3154</v>
      </c>
      <c r="C57" s="22" t="s">
        <v>3161</v>
      </c>
      <c r="D57" s="22">
        <v>10</v>
      </c>
      <c r="E57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57" s="22" t="str">
        <f t="shared" si="31"/>
        <v>血量加成10%</v>
      </c>
      <c r="G57" s="33"/>
      <c r="H57" s="22"/>
      <c r="T57" s="165">
        <v>55</v>
      </c>
      <c r="U57" s="165">
        <f t="shared" si="27"/>
        <v>110</v>
      </c>
      <c r="V57" s="165">
        <f t="shared" si="27"/>
        <v>55</v>
      </c>
      <c r="W57" s="165">
        <f t="shared" si="27"/>
        <v>1100</v>
      </c>
      <c r="X57" s="165">
        <f t="shared" si="27"/>
        <v>4400</v>
      </c>
    </row>
    <row r="58" spans="1:24" ht="16.5" x14ac:dyDescent="0.2">
      <c r="T58" s="165">
        <v>56</v>
      </c>
      <c r="U58" s="165">
        <f t="shared" si="27"/>
        <v>112</v>
      </c>
      <c r="V58" s="165">
        <f t="shared" si="27"/>
        <v>56</v>
      </c>
      <c r="W58" s="165">
        <f t="shared" si="27"/>
        <v>1120</v>
      </c>
      <c r="X58" s="165">
        <f t="shared" si="27"/>
        <v>4480</v>
      </c>
    </row>
    <row r="59" spans="1:24" ht="16.5" x14ac:dyDescent="0.2">
      <c r="T59" s="165">
        <v>57</v>
      </c>
      <c r="U59" s="165">
        <f t="shared" si="27"/>
        <v>114</v>
      </c>
      <c r="V59" s="165">
        <f t="shared" si="27"/>
        <v>57</v>
      </c>
      <c r="W59" s="165">
        <f t="shared" si="27"/>
        <v>1140</v>
      </c>
      <c r="X59" s="165">
        <f t="shared" si="27"/>
        <v>4560</v>
      </c>
    </row>
    <row r="60" spans="1:24" ht="16.5" x14ac:dyDescent="0.2">
      <c r="T60" s="165">
        <v>58</v>
      </c>
      <c r="U60" s="165">
        <f t="shared" si="27"/>
        <v>116</v>
      </c>
      <c r="V60" s="165">
        <f t="shared" si="27"/>
        <v>58</v>
      </c>
      <c r="W60" s="165">
        <f t="shared" si="27"/>
        <v>1160</v>
      </c>
      <c r="X60" s="165">
        <f t="shared" si="27"/>
        <v>4640</v>
      </c>
    </row>
    <row r="61" spans="1:24" ht="16.5" x14ac:dyDescent="0.2">
      <c r="T61" s="165">
        <v>59</v>
      </c>
      <c r="U61" s="165">
        <f t="shared" si="27"/>
        <v>118</v>
      </c>
      <c r="V61" s="165">
        <f t="shared" si="27"/>
        <v>59</v>
      </c>
      <c r="W61" s="165">
        <f t="shared" si="27"/>
        <v>1180</v>
      </c>
      <c r="X61" s="165">
        <f t="shared" si="27"/>
        <v>4720</v>
      </c>
    </row>
    <row r="62" spans="1:24" ht="16.5" x14ac:dyDescent="0.2">
      <c r="T62" s="165">
        <v>60</v>
      </c>
      <c r="U62" s="165">
        <f t="shared" si="27"/>
        <v>120</v>
      </c>
      <c r="V62" s="165">
        <f t="shared" si="27"/>
        <v>60</v>
      </c>
      <c r="W62" s="165">
        <f t="shared" si="27"/>
        <v>1200</v>
      </c>
      <c r="X62" s="165">
        <f t="shared" si="27"/>
        <v>4800</v>
      </c>
    </row>
    <row r="63" spans="1:24" ht="16.5" x14ac:dyDescent="0.2">
      <c r="T63" s="165">
        <v>61</v>
      </c>
      <c r="U63" s="165">
        <f t="shared" si="27"/>
        <v>122</v>
      </c>
      <c r="V63" s="165">
        <f t="shared" si="27"/>
        <v>61</v>
      </c>
      <c r="W63" s="165">
        <f t="shared" si="27"/>
        <v>1220</v>
      </c>
      <c r="X63" s="165">
        <f t="shared" si="27"/>
        <v>4880</v>
      </c>
    </row>
    <row r="64" spans="1:24" ht="16.5" x14ac:dyDescent="0.2">
      <c r="T64" s="165">
        <v>62</v>
      </c>
      <c r="U64" s="165">
        <f t="shared" si="27"/>
        <v>124</v>
      </c>
      <c r="V64" s="165">
        <f t="shared" si="27"/>
        <v>62</v>
      </c>
      <c r="W64" s="165">
        <f t="shared" si="27"/>
        <v>1240</v>
      </c>
      <c r="X64" s="165">
        <f t="shared" si="27"/>
        <v>4960</v>
      </c>
    </row>
    <row r="65" spans="20:24" ht="16.5" x14ac:dyDescent="0.2">
      <c r="T65" s="165">
        <v>63</v>
      </c>
      <c r="U65" s="165">
        <f t="shared" si="27"/>
        <v>126</v>
      </c>
      <c r="V65" s="165">
        <f t="shared" si="27"/>
        <v>63</v>
      </c>
      <c r="W65" s="165">
        <f t="shared" si="27"/>
        <v>1260</v>
      </c>
      <c r="X65" s="165">
        <f t="shared" si="27"/>
        <v>5040</v>
      </c>
    </row>
    <row r="66" spans="20:24" ht="16.5" x14ac:dyDescent="0.2">
      <c r="T66" s="165">
        <v>64</v>
      </c>
      <c r="U66" s="165">
        <f t="shared" si="27"/>
        <v>128</v>
      </c>
      <c r="V66" s="165">
        <f t="shared" si="27"/>
        <v>64</v>
      </c>
      <c r="W66" s="165">
        <f t="shared" si="27"/>
        <v>1280</v>
      </c>
      <c r="X66" s="165">
        <f t="shared" si="27"/>
        <v>5120</v>
      </c>
    </row>
    <row r="67" spans="20:24" ht="16.5" x14ac:dyDescent="0.2">
      <c r="T67" s="165">
        <v>65</v>
      </c>
      <c r="U67" s="165">
        <f t="shared" ref="U67:X100" si="32">INT($T67/$T$102*U$102)</f>
        <v>130</v>
      </c>
      <c r="V67" s="165">
        <f t="shared" si="32"/>
        <v>65</v>
      </c>
      <c r="W67" s="165">
        <f t="shared" si="32"/>
        <v>1300</v>
      </c>
      <c r="X67" s="165">
        <f t="shared" si="32"/>
        <v>5200</v>
      </c>
    </row>
    <row r="68" spans="20:24" ht="16.5" x14ac:dyDescent="0.2">
      <c r="T68" s="165">
        <v>66</v>
      </c>
      <c r="U68" s="165">
        <f t="shared" si="32"/>
        <v>132</v>
      </c>
      <c r="V68" s="165">
        <f t="shared" si="32"/>
        <v>66</v>
      </c>
      <c r="W68" s="165">
        <f t="shared" si="32"/>
        <v>1320</v>
      </c>
      <c r="X68" s="165">
        <f t="shared" si="32"/>
        <v>5280</v>
      </c>
    </row>
    <row r="69" spans="20:24" ht="16.5" x14ac:dyDescent="0.2">
      <c r="T69" s="165">
        <v>67</v>
      </c>
      <c r="U69" s="165">
        <f t="shared" si="32"/>
        <v>134</v>
      </c>
      <c r="V69" s="165">
        <f t="shared" si="32"/>
        <v>67</v>
      </c>
      <c r="W69" s="165">
        <f t="shared" si="32"/>
        <v>1340</v>
      </c>
      <c r="X69" s="165">
        <f t="shared" si="32"/>
        <v>5360</v>
      </c>
    </row>
    <row r="70" spans="20:24" ht="16.5" x14ac:dyDescent="0.2">
      <c r="T70" s="165">
        <v>68</v>
      </c>
      <c r="U70" s="165">
        <f t="shared" si="32"/>
        <v>136</v>
      </c>
      <c r="V70" s="165">
        <f t="shared" si="32"/>
        <v>68</v>
      </c>
      <c r="W70" s="165">
        <f t="shared" si="32"/>
        <v>1360</v>
      </c>
      <c r="X70" s="165">
        <f t="shared" si="32"/>
        <v>5440</v>
      </c>
    </row>
    <row r="71" spans="20:24" ht="16.5" x14ac:dyDescent="0.2">
      <c r="T71" s="165">
        <v>69</v>
      </c>
      <c r="U71" s="165">
        <f t="shared" si="32"/>
        <v>138</v>
      </c>
      <c r="V71" s="165">
        <f t="shared" si="32"/>
        <v>69</v>
      </c>
      <c r="W71" s="165">
        <f t="shared" si="32"/>
        <v>1380</v>
      </c>
      <c r="X71" s="165">
        <f t="shared" si="32"/>
        <v>5520</v>
      </c>
    </row>
    <row r="72" spans="20:24" ht="16.5" x14ac:dyDescent="0.2">
      <c r="T72" s="165">
        <v>70</v>
      </c>
      <c r="U72" s="165">
        <f t="shared" si="32"/>
        <v>140</v>
      </c>
      <c r="V72" s="165">
        <f t="shared" si="32"/>
        <v>70</v>
      </c>
      <c r="W72" s="165">
        <f t="shared" si="32"/>
        <v>1400</v>
      </c>
      <c r="X72" s="165">
        <f t="shared" si="32"/>
        <v>5600</v>
      </c>
    </row>
    <row r="73" spans="20:24" ht="16.5" x14ac:dyDescent="0.2">
      <c r="T73" s="165">
        <v>71</v>
      </c>
      <c r="U73" s="165">
        <f t="shared" si="32"/>
        <v>142</v>
      </c>
      <c r="V73" s="165">
        <f t="shared" si="32"/>
        <v>71</v>
      </c>
      <c r="W73" s="165">
        <f t="shared" si="32"/>
        <v>1420</v>
      </c>
      <c r="X73" s="165">
        <f t="shared" si="32"/>
        <v>5680</v>
      </c>
    </row>
    <row r="74" spans="20:24" ht="16.5" x14ac:dyDescent="0.2">
      <c r="T74" s="165">
        <v>72</v>
      </c>
      <c r="U74" s="165">
        <f t="shared" si="32"/>
        <v>144</v>
      </c>
      <c r="V74" s="165">
        <f t="shared" si="32"/>
        <v>72</v>
      </c>
      <c r="W74" s="165">
        <f t="shared" si="32"/>
        <v>1440</v>
      </c>
      <c r="X74" s="165">
        <f t="shared" si="32"/>
        <v>5760</v>
      </c>
    </row>
    <row r="75" spans="20:24" ht="16.5" x14ac:dyDescent="0.2">
      <c r="T75" s="165">
        <v>73</v>
      </c>
      <c r="U75" s="165">
        <f t="shared" si="32"/>
        <v>146</v>
      </c>
      <c r="V75" s="165">
        <f t="shared" si="32"/>
        <v>73</v>
      </c>
      <c r="W75" s="165">
        <f t="shared" si="32"/>
        <v>1460</v>
      </c>
      <c r="X75" s="165">
        <f t="shared" si="32"/>
        <v>5840</v>
      </c>
    </row>
    <row r="76" spans="20:24" ht="16.5" x14ac:dyDescent="0.2">
      <c r="T76" s="165">
        <v>74</v>
      </c>
      <c r="U76" s="165">
        <f t="shared" si="32"/>
        <v>148</v>
      </c>
      <c r="V76" s="165">
        <f t="shared" si="32"/>
        <v>74</v>
      </c>
      <c r="W76" s="165">
        <f t="shared" si="32"/>
        <v>1480</v>
      </c>
      <c r="X76" s="165">
        <f t="shared" si="32"/>
        <v>5920</v>
      </c>
    </row>
    <row r="77" spans="20:24" ht="16.5" x14ac:dyDescent="0.2">
      <c r="T77" s="165">
        <v>75</v>
      </c>
      <c r="U77" s="165">
        <f t="shared" si="32"/>
        <v>150</v>
      </c>
      <c r="V77" s="165">
        <f t="shared" si="32"/>
        <v>75</v>
      </c>
      <c r="W77" s="165">
        <f t="shared" si="32"/>
        <v>1500</v>
      </c>
      <c r="X77" s="165">
        <f t="shared" si="32"/>
        <v>6000</v>
      </c>
    </row>
    <row r="78" spans="20:24" ht="16.5" x14ac:dyDescent="0.2">
      <c r="T78" s="165">
        <v>76</v>
      </c>
      <c r="U78" s="165">
        <f t="shared" si="32"/>
        <v>152</v>
      </c>
      <c r="V78" s="165">
        <f t="shared" si="32"/>
        <v>76</v>
      </c>
      <c r="W78" s="165">
        <f t="shared" si="32"/>
        <v>1520</v>
      </c>
      <c r="X78" s="165">
        <f t="shared" si="32"/>
        <v>6080</v>
      </c>
    </row>
    <row r="79" spans="20:24" ht="16.5" x14ac:dyDescent="0.2">
      <c r="T79" s="165">
        <v>77</v>
      </c>
      <c r="U79" s="165">
        <f t="shared" si="32"/>
        <v>154</v>
      </c>
      <c r="V79" s="165">
        <f t="shared" si="32"/>
        <v>77</v>
      </c>
      <c r="W79" s="165">
        <f t="shared" si="32"/>
        <v>1540</v>
      </c>
      <c r="X79" s="165">
        <f t="shared" si="32"/>
        <v>6160</v>
      </c>
    </row>
    <row r="80" spans="20:24" ht="16.5" x14ac:dyDescent="0.2">
      <c r="T80" s="165">
        <v>78</v>
      </c>
      <c r="U80" s="165">
        <f t="shared" si="32"/>
        <v>156</v>
      </c>
      <c r="V80" s="165">
        <f t="shared" si="32"/>
        <v>78</v>
      </c>
      <c r="W80" s="165">
        <f t="shared" si="32"/>
        <v>1560</v>
      </c>
      <c r="X80" s="165">
        <f t="shared" si="32"/>
        <v>6240</v>
      </c>
    </row>
    <row r="81" spans="20:24" ht="16.5" x14ac:dyDescent="0.2">
      <c r="T81" s="165">
        <v>79</v>
      </c>
      <c r="U81" s="165">
        <f t="shared" si="32"/>
        <v>158</v>
      </c>
      <c r="V81" s="165">
        <f t="shared" si="32"/>
        <v>79</v>
      </c>
      <c r="W81" s="165">
        <f t="shared" si="32"/>
        <v>1580</v>
      </c>
      <c r="X81" s="165">
        <f t="shared" si="32"/>
        <v>6320</v>
      </c>
    </row>
    <row r="82" spans="20:24" ht="16.5" x14ac:dyDescent="0.2">
      <c r="T82" s="165">
        <v>80</v>
      </c>
      <c r="U82" s="165">
        <f t="shared" si="32"/>
        <v>160</v>
      </c>
      <c r="V82" s="165">
        <f t="shared" si="32"/>
        <v>80</v>
      </c>
      <c r="W82" s="165">
        <f t="shared" si="32"/>
        <v>1600</v>
      </c>
      <c r="X82" s="165">
        <f t="shared" si="32"/>
        <v>6400</v>
      </c>
    </row>
    <row r="83" spans="20:24" ht="16.5" x14ac:dyDescent="0.2">
      <c r="T83" s="165">
        <v>81</v>
      </c>
      <c r="U83" s="165">
        <f t="shared" si="32"/>
        <v>162</v>
      </c>
      <c r="V83" s="165">
        <f t="shared" si="32"/>
        <v>81</v>
      </c>
      <c r="W83" s="165">
        <f t="shared" si="32"/>
        <v>1620</v>
      </c>
      <c r="X83" s="165">
        <f t="shared" si="32"/>
        <v>6480</v>
      </c>
    </row>
    <row r="84" spans="20:24" ht="16.5" x14ac:dyDescent="0.2">
      <c r="T84" s="165">
        <v>82</v>
      </c>
      <c r="U84" s="165">
        <f t="shared" si="32"/>
        <v>164</v>
      </c>
      <c r="V84" s="165">
        <f t="shared" si="32"/>
        <v>82</v>
      </c>
      <c r="W84" s="165">
        <f t="shared" si="32"/>
        <v>1640</v>
      </c>
      <c r="X84" s="165">
        <f t="shared" si="32"/>
        <v>6560</v>
      </c>
    </row>
    <row r="85" spans="20:24" ht="16.5" x14ac:dyDescent="0.2">
      <c r="T85" s="165">
        <v>83</v>
      </c>
      <c r="U85" s="165">
        <f t="shared" si="32"/>
        <v>166</v>
      </c>
      <c r="V85" s="165">
        <f t="shared" si="32"/>
        <v>83</v>
      </c>
      <c r="W85" s="165">
        <f t="shared" si="32"/>
        <v>1660</v>
      </c>
      <c r="X85" s="165">
        <f t="shared" si="32"/>
        <v>6640</v>
      </c>
    </row>
    <row r="86" spans="20:24" ht="16.5" x14ac:dyDescent="0.2">
      <c r="T86" s="165">
        <v>84</v>
      </c>
      <c r="U86" s="165">
        <f t="shared" si="32"/>
        <v>168</v>
      </c>
      <c r="V86" s="165">
        <f t="shared" si="32"/>
        <v>84</v>
      </c>
      <c r="W86" s="165">
        <f t="shared" si="32"/>
        <v>1680</v>
      </c>
      <c r="X86" s="165">
        <f t="shared" si="32"/>
        <v>6720</v>
      </c>
    </row>
    <row r="87" spans="20:24" ht="16.5" x14ac:dyDescent="0.2">
      <c r="T87" s="165">
        <v>85</v>
      </c>
      <c r="U87" s="165">
        <f t="shared" si="32"/>
        <v>170</v>
      </c>
      <c r="V87" s="165">
        <f t="shared" si="32"/>
        <v>85</v>
      </c>
      <c r="W87" s="165">
        <f t="shared" si="32"/>
        <v>1700</v>
      </c>
      <c r="X87" s="165">
        <f t="shared" si="32"/>
        <v>6800</v>
      </c>
    </row>
    <row r="88" spans="20:24" ht="16.5" x14ac:dyDescent="0.2">
      <c r="T88" s="165">
        <v>86</v>
      </c>
      <c r="U88" s="165">
        <f t="shared" si="32"/>
        <v>172</v>
      </c>
      <c r="V88" s="165">
        <f t="shared" si="32"/>
        <v>86</v>
      </c>
      <c r="W88" s="165">
        <f t="shared" si="32"/>
        <v>1720</v>
      </c>
      <c r="X88" s="165">
        <f t="shared" si="32"/>
        <v>6880</v>
      </c>
    </row>
    <row r="89" spans="20:24" ht="16.5" x14ac:dyDescent="0.2">
      <c r="T89" s="165">
        <v>87</v>
      </c>
      <c r="U89" s="165">
        <f t="shared" si="32"/>
        <v>174</v>
      </c>
      <c r="V89" s="165">
        <f t="shared" si="32"/>
        <v>87</v>
      </c>
      <c r="W89" s="165">
        <f t="shared" si="32"/>
        <v>1740</v>
      </c>
      <c r="X89" s="165">
        <f t="shared" si="32"/>
        <v>6960</v>
      </c>
    </row>
    <row r="90" spans="20:24" ht="16.5" x14ac:dyDescent="0.2">
      <c r="T90" s="165">
        <v>88</v>
      </c>
      <c r="U90" s="165">
        <f t="shared" si="32"/>
        <v>176</v>
      </c>
      <c r="V90" s="165">
        <f t="shared" si="32"/>
        <v>88</v>
      </c>
      <c r="W90" s="165">
        <f t="shared" si="32"/>
        <v>1760</v>
      </c>
      <c r="X90" s="165">
        <f t="shared" si="32"/>
        <v>7040</v>
      </c>
    </row>
    <row r="91" spans="20:24" ht="16.5" x14ac:dyDescent="0.2">
      <c r="T91" s="165">
        <v>89</v>
      </c>
      <c r="U91" s="165">
        <f t="shared" si="32"/>
        <v>178</v>
      </c>
      <c r="V91" s="165">
        <f t="shared" si="32"/>
        <v>89</v>
      </c>
      <c r="W91" s="165">
        <f t="shared" si="32"/>
        <v>1780</v>
      </c>
      <c r="X91" s="165">
        <f t="shared" si="32"/>
        <v>7120</v>
      </c>
    </row>
    <row r="92" spans="20:24" ht="16.5" x14ac:dyDescent="0.2">
      <c r="T92" s="165">
        <v>90</v>
      </c>
      <c r="U92" s="165">
        <f t="shared" si="32"/>
        <v>180</v>
      </c>
      <c r="V92" s="165">
        <f t="shared" si="32"/>
        <v>90</v>
      </c>
      <c r="W92" s="165">
        <f t="shared" si="32"/>
        <v>1800</v>
      </c>
      <c r="X92" s="165">
        <f t="shared" si="32"/>
        <v>7200</v>
      </c>
    </row>
    <row r="93" spans="20:24" ht="16.5" x14ac:dyDescent="0.2">
      <c r="T93" s="165">
        <v>91</v>
      </c>
      <c r="U93" s="165">
        <f t="shared" si="32"/>
        <v>182</v>
      </c>
      <c r="V93" s="165">
        <f t="shared" si="32"/>
        <v>91</v>
      </c>
      <c r="W93" s="165">
        <f t="shared" si="32"/>
        <v>1820</v>
      </c>
      <c r="X93" s="165">
        <f t="shared" si="32"/>
        <v>7280</v>
      </c>
    </row>
    <row r="94" spans="20:24" ht="16.5" x14ac:dyDescent="0.2">
      <c r="T94" s="165">
        <v>92</v>
      </c>
      <c r="U94" s="165">
        <f t="shared" si="32"/>
        <v>184</v>
      </c>
      <c r="V94" s="165">
        <f t="shared" si="32"/>
        <v>92</v>
      </c>
      <c r="W94" s="165">
        <f t="shared" si="32"/>
        <v>1840</v>
      </c>
      <c r="X94" s="165">
        <f t="shared" si="32"/>
        <v>7360</v>
      </c>
    </row>
    <row r="95" spans="20:24" ht="16.5" x14ac:dyDescent="0.2">
      <c r="T95" s="165">
        <v>93</v>
      </c>
      <c r="U95" s="165">
        <f t="shared" si="32"/>
        <v>186</v>
      </c>
      <c r="V95" s="165">
        <f t="shared" si="32"/>
        <v>93</v>
      </c>
      <c r="W95" s="165">
        <f t="shared" si="32"/>
        <v>1860</v>
      </c>
      <c r="X95" s="165">
        <f t="shared" si="32"/>
        <v>7440</v>
      </c>
    </row>
    <row r="96" spans="20:24" ht="16.5" x14ac:dyDescent="0.2">
      <c r="T96" s="165">
        <v>94</v>
      </c>
      <c r="U96" s="165">
        <f t="shared" si="32"/>
        <v>188</v>
      </c>
      <c r="V96" s="165">
        <f t="shared" si="32"/>
        <v>94</v>
      </c>
      <c r="W96" s="165">
        <f t="shared" si="32"/>
        <v>1880</v>
      </c>
      <c r="X96" s="165">
        <f t="shared" si="32"/>
        <v>7520</v>
      </c>
    </row>
    <row r="97" spans="20:24" ht="16.5" x14ac:dyDescent="0.2">
      <c r="T97" s="165">
        <v>95</v>
      </c>
      <c r="U97" s="165">
        <f t="shared" si="32"/>
        <v>190</v>
      </c>
      <c r="V97" s="165">
        <f t="shared" si="32"/>
        <v>95</v>
      </c>
      <c r="W97" s="165">
        <f t="shared" si="32"/>
        <v>1900</v>
      </c>
      <c r="X97" s="165">
        <f t="shared" si="32"/>
        <v>7600</v>
      </c>
    </row>
    <row r="98" spans="20:24" ht="16.5" x14ac:dyDescent="0.2">
      <c r="T98" s="165">
        <v>96</v>
      </c>
      <c r="U98" s="165">
        <f t="shared" si="32"/>
        <v>192</v>
      </c>
      <c r="V98" s="165">
        <f t="shared" si="32"/>
        <v>96</v>
      </c>
      <c r="W98" s="165">
        <f t="shared" si="32"/>
        <v>1920</v>
      </c>
      <c r="X98" s="165">
        <f t="shared" si="32"/>
        <v>7680</v>
      </c>
    </row>
    <row r="99" spans="20:24" ht="16.5" x14ac:dyDescent="0.2">
      <c r="T99" s="165">
        <v>97</v>
      </c>
      <c r="U99" s="165">
        <f t="shared" si="32"/>
        <v>194</v>
      </c>
      <c r="V99" s="165">
        <f t="shared" si="32"/>
        <v>97</v>
      </c>
      <c r="W99" s="165">
        <f t="shared" si="32"/>
        <v>1940</v>
      </c>
      <c r="X99" s="165">
        <f t="shared" si="32"/>
        <v>7760</v>
      </c>
    </row>
    <row r="100" spans="20:24" ht="16.5" x14ac:dyDescent="0.2">
      <c r="T100" s="165">
        <v>98</v>
      </c>
      <c r="U100" s="165">
        <f t="shared" si="32"/>
        <v>196</v>
      </c>
      <c r="V100" s="165">
        <f t="shared" si="32"/>
        <v>98</v>
      </c>
      <c r="W100" s="165">
        <f t="shared" si="32"/>
        <v>1960</v>
      </c>
      <c r="X100" s="165">
        <f t="shared" si="32"/>
        <v>7840</v>
      </c>
    </row>
    <row r="101" spans="20:24" ht="16.5" x14ac:dyDescent="0.2">
      <c r="T101" s="165">
        <v>99</v>
      </c>
      <c r="U101" s="165">
        <f>INT($T101/$T$102*U$102)</f>
        <v>198</v>
      </c>
      <c r="V101" s="165">
        <f>INT($T101/$T$102*V$102)</f>
        <v>99</v>
      </c>
      <c r="W101" s="165">
        <f>INT($T101/$T$102*W$102)</f>
        <v>1980</v>
      </c>
      <c r="X101" s="165">
        <f>INT($T101/$T$102*X$102)</f>
        <v>7920</v>
      </c>
    </row>
    <row r="102" spans="20:24" ht="16.5" x14ac:dyDescent="0.2">
      <c r="T102" s="165">
        <v>100</v>
      </c>
      <c r="U102" s="165">
        <f>INT(2/5*L12)</f>
        <v>200</v>
      </c>
      <c r="V102" s="165">
        <f>INT(2/5*M12)</f>
        <v>100</v>
      </c>
      <c r="W102" s="165">
        <f>INT(2/5*J12)</f>
        <v>2000</v>
      </c>
      <c r="X102" s="165">
        <f>INT(2/5*K12)</f>
        <v>8000</v>
      </c>
    </row>
  </sheetData>
  <mergeCells count="7">
    <mergeCell ref="I13:M13"/>
    <mergeCell ref="I1:M1"/>
    <mergeCell ref="T1:X1"/>
    <mergeCell ref="Z1:AE1"/>
    <mergeCell ref="N1:O1"/>
    <mergeCell ref="P1:Q1"/>
    <mergeCell ref="R1:S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A492-7F58-4A7E-ACD2-435829FF5DE3}">
  <dimension ref="A1:AC993"/>
  <sheetViews>
    <sheetView zoomScaleNormal="100" workbookViewId="0">
      <selection activeCell="H7" sqref="H7"/>
    </sheetView>
  </sheetViews>
  <sheetFormatPr defaultRowHeight="14.25" x14ac:dyDescent="0.2"/>
  <cols>
    <col min="1" max="4" width="9" style="2"/>
    <col min="5" max="5" width="0" style="2" hidden="1" customWidth="1"/>
    <col min="6" max="6" width="15.5" style="2" hidden="1" customWidth="1"/>
    <col min="7" max="7" width="58.5" style="2" bestFit="1" customWidth="1"/>
    <col min="8" max="8" width="37.875" style="2" customWidth="1"/>
    <col min="11" max="15" width="9" style="159"/>
    <col min="20" max="20" width="11.25" bestFit="1" customWidth="1"/>
    <col min="21" max="21" width="15.375" bestFit="1" customWidth="1"/>
    <col min="22" max="22" width="14.375" customWidth="1"/>
    <col min="23" max="23" width="16.25" customWidth="1"/>
    <col min="24" max="24" width="13.25" bestFit="1" customWidth="1"/>
    <col min="25" max="25" width="11.25" bestFit="1" customWidth="1"/>
    <col min="26" max="26" width="9.375" customWidth="1"/>
    <col min="27" max="27" width="12.625" customWidth="1"/>
    <col min="28" max="28" width="13.25" bestFit="1" customWidth="1"/>
    <col min="29" max="29" width="11.25" bestFit="1" customWidth="1"/>
  </cols>
  <sheetData>
    <row r="1" spans="1:29" ht="15" x14ac:dyDescent="0.2">
      <c r="I1" s="256" t="s">
        <v>3543</v>
      </c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 t="s">
        <v>3443</v>
      </c>
      <c r="U1" s="256"/>
      <c r="V1" s="256" t="s">
        <v>3452</v>
      </c>
      <c r="W1" s="256"/>
      <c r="X1" s="256"/>
      <c r="Y1" s="256"/>
      <c r="Z1" s="256" t="s">
        <v>3476</v>
      </c>
      <c r="AA1" s="256"/>
      <c r="AB1" s="256"/>
      <c r="AC1" s="256"/>
    </row>
    <row r="2" spans="1:29" ht="18" x14ac:dyDescent="0.2">
      <c r="A2" s="21" t="s">
        <v>50</v>
      </c>
      <c r="B2" s="21" t="s">
        <v>51</v>
      </c>
      <c r="C2" s="21" t="s">
        <v>54</v>
      </c>
      <c r="D2" s="21" t="s">
        <v>55</v>
      </c>
      <c r="E2" s="21" t="s">
        <v>56</v>
      </c>
      <c r="F2" s="21" t="s">
        <v>57</v>
      </c>
      <c r="G2" s="103" t="s">
        <v>161</v>
      </c>
      <c r="H2" s="21" t="s">
        <v>62</v>
      </c>
      <c r="I2" s="18" t="s">
        <v>55</v>
      </c>
      <c r="J2" s="18" t="s">
        <v>3468</v>
      </c>
      <c r="K2" s="157" t="s">
        <v>3</v>
      </c>
      <c r="L2" s="157" t="s">
        <v>2</v>
      </c>
      <c r="M2" s="157" t="s">
        <v>3047</v>
      </c>
      <c r="N2" s="157" t="s">
        <v>3269</v>
      </c>
      <c r="O2" s="157" t="s">
        <v>3270</v>
      </c>
      <c r="P2" s="18" t="s">
        <v>3271</v>
      </c>
      <c r="Q2" s="18" t="s">
        <v>3272</v>
      </c>
      <c r="R2" s="18" t="s">
        <v>3046</v>
      </c>
      <c r="S2" s="18" t="s">
        <v>3273</v>
      </c>
      <c r="T2" s="18" t="s">
        <v>3428</v>
      </c>
      <c r="U2" s="18" t="s">
        <v>3441</v>
      </c>
      <c r="V2" s="18" t="s">
        <v>3458</v>
      </c>
      <c r="W2" s="18" t="s">
        <v>3459</v>
      </c>
      <c r="X2" s="18" t="s">
        <v>3460</v>
      </c>
      <c r="Y2" s="18" t="s">
        <v>3461</v>
      </c>
      <c r="Z2" s="18" t="s">
        <v>3458</v>
      </c>
      <c r="AA2" s="18" t="s">
        <v>3459</v>
      </c>
      <c r="AB2" s="18" t="s">
        <v>3460</v>
      </c>
      <c r="AC2" s="18" t="s">
        <v>3461</v>
      </c>
    </row>
    <row r="3" spans="1:29" ht="18" x14ac:dyDescent="0.3">
      <c r="A3" s="21"/>
      <c r="B3" s="21"/>
      <c r="C3" s="21"/>
      <c r="D3" s="21"/>
      <c r="E3" s="21"/>
      <c r="F3" s="21"/>
      <c r="G3" s="21"/>
      <c r="H3" s="21"/>
      <c r="I3" s="10">
        <v>1</v>
      </c>
      <c r="J3" s="10">
        <f>材料产出!C21</f>
        <v>4.3</v>
      </c>
      <c r="K3" s="165">
        <f t="shared" ref="K3:L10" si="0">INT($I3/$I$12*K$12)</f>
        <v>50</v>
      </c>
      <c r="L3" s="165">
        <f t="shared" si="0"/>
        <v>25</v>
      </c>
      <c r="M3" s="165">
        <f>参数调整!AX3</f>
        <v>0.5</v>
      </c>
      <c r="N3" s="165">
        <f t="shared" ref="N3:N11" si="1">K3</f>
        <v>50</v>
      </c>
      <c r="O3" s="165">
        <f t="shared" ref="O3:O11" si="2">L3</f>
        <v>25</v>
      </c>
      <c r="P3" s="10">
        <f t="shared" ref="P3:P11" si="3">INT(N3*M3)</f>
        <v>25</v>
      </c>
      <c r="Q3" s="10">
        <f t="shared" ref="Q3:Q11" si="4">INT(O3*M3)</f>
        <v>12</v>
      </c>
      <c r="R3" s="10">
        <f t="shared" ref="R3:R11" si="5">INT(1/11*P3)</f>
        <v>2</v>
      </c>
      <c r="S3" s="10">
        <f t="shared" ref="S3:S11" si="6">INT(1/11*Q3)</f>
        <v>1</v>
      </c>
      <c r="T3" s="10">
        <f>K3*(属性价值参考!C$7+属性价值参考!C$8)+天尊洗炼!L3*(属性价值参考!C$9+属性价值参考!C$10+属性价值参考!C$11+属性价值参考!C$12)</f>
        <v>6030</v>
      </c>
      <c r="U3" s="10"/>
      <c r="V3" s="8">
        <f t="shared" ref="V3:V11" si="7">T3/1825*1</f>
        <v>3.3041095890410959</v>
      </c>
      <c r="W3" s="8">
        <f t="shared" ref="W3:W11" si="8">T3/1825*2.5</f>
        <v>8.2602739726027394</v>
      </c>
      <c r="X3" s="8">
        <f t="shared" ref="X3:X11" si="9">T3/1825*2.5</f>
        <v>8.2602739726027394</v>
      </c>
      <c r="Y3" s="8">
        <f t="shared" ref="Y3:Y11" si="10">T3/1825*25</f>
        <v>82.602739726027394</v>
      </c>
      <c r="Z3" s="8">
        <f>ROUND(1/10*V$12*J3/11,0)</f>
        <v>1</v>
      </c>
      <c r="AA3" s="8">
        <f>ROUND(1/10*W$12*J3/11,0)</f>
        <v>3</v>
      </c>
      <c r="AB3" s="8">
        <f>ROUND(1/10*X$12*J3/11,0)</f>
        <v>3</v>
      </c>
      <c r="AC3" s="8">
        <f>ROUND(1/10*Y$12*J3/11,0)</f>
        <v>32</v>
      </c>
    </row>
    <row r="4" spans="1:29" ht="16.5" x14ac:dyDescent="0.3">
      <c r="A4" s="35" t="s">
        <v>3169</v>
      </c>
      <c r="B4" s="35" t="s">
        <v>3170</v>
      </c>
      <c r="C4" s="41" t="s">
        <v>3171</v>
      </c>
      <c r="D4" s="35">
        <v>0</v>
      </c>
      <c r="E4" s="111"/>
      <c r="F4" s="35"/>
      <c r="G4" s="113"/>
      <c r="H4" s="37" t="str">
        <f>"火龙精魄"&amp;Z3&amp;"/武器碎片"&amp;AA3&amp;"/烈焰玄铁"&amp;AB3&amp;"/火龙币"&amp;AC3</f>
        <v>火龙精魄1/武器碎片3/烈焰玄铁3/火龙币32</v>
      </c>
      <c r="I4" s="10">
        <v>2</v>
      </c>
      <c r="J4" s="10">
        <f>材料产出!C22</f>
        <v>4.5999999999999996</v>
      </c>
      <c r="K4" s="165">
        <f t="shared" si="0"/>
        <v>100</v>
      </c>
      <c r="L4" s="165">
        <f t="shared" si="0"/>
        <v>50</v>
      </c>
      <c r="M4" s="165">
        <f>参数调整!AX4</f>
        <v>0.55000000000000004</v>
      </c>
      <c r="N4" s="165">
        <f t="shared" si="1"/>
        <v>100</v>
      </c>
      <c r="O4" s="165">
        <f t="shared" si="2"/>
        <v>50</v>
      </c>
      <c r="P4" s="10">
        <f t="shared" si="3"/>
        <v>55</v>
      </c>
      <c r="Q4" s="10">
        <f t="shared" si="4"/>
        <v>27</v>
      </c>
      <c r="R4" s="10">
        <f t="shared" si="5"/>
        <v>5</v>
      </c>
      <c r="S4" s="10">
        <f t="shared" si="6"/>
        <v>2</v>
      </c>
      <c r="T4" s="10">
        <f>K4*(属性价值参考!C$7+属性价值参考!C$8)+天尊洗炼!L4*(属性价值参考!C$9+属性价值参考!C$10+属性价值参考!C$11+属性价值参考!C$12)</f>
        <v>12060</v>
      </c>
      <c r="U4" s="10"/>
      <c r="V4" s="8">
        <f t="shared" si="7"/>
        <v>6.6082191780821917</v>
      </c>
      <c r="W4" s="8">
        <f t="shared" si="8"/>
        <v>16.520547945205479</v>
      </c>
      <c r="X4" s="8">
        <f t="shared" si="9"/>
        <v>16.520547945205479</v>
      </c>
      <c r="Y4" s="8">
        <f t="shared" si="10"/>
        <v>165.20547945205479</v>
      </c>
      <c r="Z4" s="8">
        <f t="shared" ref="Z4:Z11" si="11">ROUND(1/10*V$12*J4/11,0)</f>
        <v>1</v>
      </c>
      <c r="AA4" s="8">
        <f t="shared" ref="AA4:AA12" si="12">ROUND(1/10*W$12*J4/11,0)</f>
        <v>3</v>
      </c>
      <c r="AB4" s="8">
        <f t="shared" ref="AB4:AB12" si="13">ROUND(1/10*X$12*J4/11,0)</f>
        <v>3</v>
      </c>
      <c r="AC4" s="8">
        <f t="shared" ref="AC4:AC12" si="14">ROUND(1/10*Y$12*J4/11,0)</f>
        <v>35</v>
      </c>
    </row>
    <row r="5" spans="1:29" ht="16.5" x14ac:dyDescent="0.3">
      <c r="A5" s="35" t="s">
        <v>3169</v>
      </c>
      <c r="B5" s="35" t="s">
        <v>3170</v>
      </c>
      <c r="C5" s="41" t="s">
        <v>3171</v>
      </c>
      <c r="D5" s="35">
        <v>1</v>
      </c>
      <c r="E5" s="111"/>
      <c r="F5" s="35"/>
      <c r="G5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5" s="37" t="str">
        <f t="shared" ref="H5:H13" si="15">"火龙精魄"&amp;Z4&amp;"/武器碎片"&amp;AA4&amp;"/烈焰玄铁"&amp;AB4&amp;"/火龙币"&amp;AC4</f>
        <v>火龙精魄1/武器碎片3/烈焰玄铁3/火龙币35</v>
      </c>
      <c r="I5" s="10">
        <v>3</v>
      </c>
      <c r="J5" s="10">
        <f>材料产出!C23</f>
        <v>4.9000000000000004</v>
      </c>
      <c r="K5" s="165">
        <f t="shared" si="0"/>
        <v>150</v>
      </c>
      <c r="L5" s="165">
        <f t="shared" si="0"/>
        <v>75</v>
      </c>
      <c r="M5" s="165">
        <f>参数调整!AX5</f>
        <v>0.6</v>
      </c>
      <c r="N5" s="165">
        <f t="shared" si="1"/>
        <v>150</v>
      </c>
      <c r="O5" s="165">
        <f t="shared" si="2"/>
        <v>75</v>
      </c>
      <c r="P5" s="10">
        <f t="shared" si="3"/>
        <v>90</v>
      </c>
      <c r="Q5" s="10">
        <f t="shared" si="4"/>
        <v>45</v>
      </c>
      <c r="R5" s="10">
        <f t="shared" si="5"/>
        <v>8</v>
      </c>
      <c r="S5" s="10">
        <f t="shared" si="6"/>
        <v>4</v>
      </c>
      <c r="T5" s="10">
        <f>K5*(属性价值参考!C$7+属性价值参考!C$8)+天尊洗炼!L5*(属性价值参考!C$9+属性价值参考!C$10+属性价值参考!C$11+属性价值参考!C$12)</f>
        <v>18090</v>
      </c>
      <c r="U5" s="10"/>
      <c r="V5" s="8">
        <f t="shared" si="7"/>
        <v>9.912328767123288</v>
      </c>
      <c r="W5" s="8">
        <f t="shared" si="8"/>
        <v>24.780821917808218</v>
      </c>
      <c r="X5" s="8">
        <f t="shared" si="9"/>
        <v>24.780821917808218</v>
      </c>
      <c r="Y5" s="8">
        <f t="shared" si="10"/>
        <v>247.8082191780822</v>
      </c>
      <c r="Z5" s="8">
        <f>ROUND(1/10*V$12*J5/11,0)</f>
        <v>1</v>
      </c>
      <c r="AA5" s="8">
        <f t="shared" si="12"/>
        <v>4</v>
      </c>
      <c r="AB5" s="8">
        <f t="shared" si="13"/>
        <v>4</v>
      </c>
      <c r="AC5" s="8">
        <f t="shared" si="14"/>
        <v>37</v>
      </c>
    </row>
    <row r="6" spans="1:29" ht="16.5" x14ac:dyDescent="0.3">
      <c r="A6" s="35" t="s">
        <v>3169</v>
      </c>
      <c r="B6" s="35" t="s">
        <v>3170</v>
      </c>
      <c r="C6" s="41" t="s">
        <v>3171</v>
      </c>
      <c r="D6" s="35">
        <v>2</v>
      </c>
      <c r="E6" s="111"/>
      <c r="F6" s="35"/>
      <c r="G6" s="35" t="str">
        <f t="shared" ref="G6:G14" si="1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" s="37" t="str">
        <f t="shared" si="15"/>
        <v>火龙精魄1/武器碎片4/烈焰玄铁4/火龙币37</v>
      </c>
      <c r="I6" s="10">
        <v>4</v>
      </c>
      <c r="J6" s="10">
        <f>材料产出!C24</f>
        <v>5.2</v>
      </c>
      <c r="K6" s="165">
        <f t="shared" si="0"/>
        <v>200</v>
      </c>
      <c r="L6" s="165">
        <f t="shared" si="0"/>
        <v>100</v>
      </c>
      <c r="M6" s="165">
        <f>参数调整!AX6</f>
        <v>0.65</v>
      </c>
      <c r="N6" s="165">
        <f t="shared" si="1"/>
        <v>200</v>
      </c>
      <c r="O6" s="165">
        <f t="shared" si="2"/>
        <v>100</v>
      </c>
      <c r="P6" s="10">
        <f t="shared" si="3"/>
        <v>130</v>
      </c>
      <c r="Q6" s="10">
        <f t="shared" si="4"/>
        <v>65</v>
      </c>
      <c r="R6" s="10">
        <f t="shared" si="5"/>
        <v>11</v>
      </c>
      <c r="S6" s="10">
        <f t="shared" si="6"/>
        <v>5</v>
      </c>
      <c r="T6" s="10">
        <f>K6*(属性价值参考!C$7+属性价值参考!C$8)+天尊洗炼!L6*(属性价值参考!C$9+属性价值参考!C$10+属性价值参考!C$11+属性价值参考!C$12)</f>
        <v>24120</v>
      </c>
      <c r="U6" s="10"/>
      <c r="V6" s="8">
        <f t="shared" si="7"/>
        <v>13.216438356164383</v>
      </c>
      <c r="W6" s="8">
        <f t="shared" si="8"/>
        <v>33.041095890410958</v>
      </c>
      <c r="X6" s="8">
        <f t="shared" si="9"/>
        <v>33.041095890410958</v>
      </c>
      <c r="Y6" s="8">
        <f t="shared" si="10"/>
        <v>330.41095890410958</v>
      </c>
      <c r="Z6" s="8">
        <f t="shared" si="11"/>
        <v>2</v>
      </c>
      <c r="AA6" s="8">
        <f t="shared" si="12"/>
        <v>4</v>
      </c>
      <c r="AB6" s="8">
        <f t="shared" si="13"/>
        <v>4</v>
      </c>
      <c r="AC6" s="8">
        <f t="shared" si="14"/>
        <v>39</v>
      </c>
    </row>
    <row r="7" spans="1:29" ht="16.5" x14ac:dyDescent="0.3">
      <c r="A7" s="35" t="s">
        <v>3169</v>
      </c>
      <c r="B7" s="35" t="s">
        <v>3170</v>
      </c>
      <c r="C7" s="41" t="s">
        <v>3171</v>
      </c>
      <c r="D7" s="35">
        <v>3</v>
      </c>
      <c r="E7" s="111"/>
      <c r="F7" s="35"/>
      <c r="G7" s="35" t="str">
        <f t="shared" si="16"/>
        <v>3#3#8|3#4#8|3#5#8|3#6#8|3#7#8|3#8#8|3#9#4|3#10#4|3#11#4|3#12#4</v>
      </c>
      <c r="H7" s="37" t="str">
        <f t="shared" si="15"/>
        <v>火龙精魄2/武器碎片4/烈焰玄铁4/火龙币39</v>
      </c>
      <c r="I7" s="10">
        <v>5</v>
      </c>
      <c r="J7" s="10">
        <f>材料产出!C25</f>
        <v>5.5</v>
      </c>
      <c r="K7" s="165">
        <f t="shared" si="0"/>
        <v>250</v>
      </c>
      <c r="L7" s="165">
        <f t="shared" si="0"/>
        <v>125</v>
      </c>
      <c r="M7" s="165">
        <f>参数调整!AX7</f>
        <v>0.7</v>
      </c>
      <c r="N7" s="165">
        <f t="shared" si="1"/>
        <v>250</v>
      </c>
      <c r="O7" s="165">
        <f t="shared" si="2"/>
        <v>125</v>
      </c>
      <c r="P7" s="10">
        <f t="shared" si="3"/>
        <v>175</v>
      </c>
      <c r="Q7" s="10">
        <f t="shared" si="4"/>
        <v>87</v>
      </c>
      <c r="R7" s="10">
        <f t="shared" si="5"/>
        <v>15</v>
      </c>
      <c r="S7" s="10">
        <f t="shared" si="6"/>
        <v>7</v>
      </c>
      <c r="T7" s="10">
        <f>K7*(属性价值参考!C$7+属性价值参考!C$8)+天尊洗炼!L7*(属性价值参考!C$9+属性价值参考!C$10+属性价值参考!C$11+属性价值参考!C$12)</f>
        <v>30150</v>
      </c>
      <c r="U7" s="10"/>
      <c r="V7" s="8">
        <f t="shared" si="7"/>
        <v>16.520547945205479</v>
      </c>
      <c r="W7" s="8">
        <f t="shared" si="8"/>
        <v>41.301369863013697</v>
      </c>
      <c r="X7" s="8">
        <f t="shared" si="9"/>
        <v>41.301369863013697</v>
      </c>
      <c r="Y7" s="8">
        <f t="shared" si="10"/>
        <v>413.01369863013696</v>
      </c>
      <c r="Z7" s="8">
        <f t="shared" si="11"/>
        <v>2</v>
      </c>
      <c r="AA7" s="8">
        <f t="shared" si="12"/>
        <v>4</v>
      </c>
      <c r="AB7" s="8">
        <f t="shared" si="13"/>
        <v>4</v>
      </c>
      <c r="AC7" s="8">
        <f t="shared" si="14"/>
        <v>41</v>
      </c>
    </row>
    <row r="8" spans="1:29" ht="16.5" x14ac:dyDescent="0.3">
      <c r="A8" s="35" t="s">
        <v>3169</v>
      </c>
      <c r="B8" s="35" t="s">
        <v>3170</v>
      </c>
      <c r="C8" s="41" t="s">
        <v>3171</v>
      </c>
      <c r="D8" s="35">
        <v>4</v>
      </c>
      <c r="E8" s="111"/>
      <c r="F8" s="35"/>
      <c r="G8" s="35" t="str">
        <f t="shared" si="16"/>
        <v>3#3#11|3#4#11|3#5#11|3#6#11|3#7#11|3#8#11|3#9#5|3#10#5|3#11#5|3#12#5</v>
      </c>
      <c r="H8" s="37" t="str">
        <f t="shared" si="15"/>
        <v>火龙精魄2/武器碎片4/烈焰玄铁4/火龙币41</v>
      </c>
      <c r="I8" s="10">
        <v>6</v>
      </c>
      <c r="J8" s="10">
        <f>材料产出!C26</f>
        <v>5.8</v>
      </c>
      <c r="K8" s="165">
        <f t="shared" si="0"/>
        <v>300</v>
      </c>
      <c r="L8" s="165">
        <f t="shared" si="0"/>
        <v>150</v>
      </c>
      <c r="M8" s="165">
        <f>参数调整!AX8</f>
        <v>0.75</v>
      </c>
      <c r="N8" s="165">
        <f t="shared" si="1"/>
        <v>300</v>
      </c>
      <c r="O8" s="165">
        <f t="shared" si="2"/>
        <v>150</v>
      </c>
      <c r="P8" s="10">
        <f t="shared" si="3"/>
        <v>225</v>
      </c>
      <c r="Q8" s="10">
        <f t="shared" si="4"/>
        <v>112</v>
      </c>
      <c r="R8" s="10">
        <f t="shared" si="5"/>
        <v>20</v>
      </c>
      <c r="S8" s="10">
        <f t="shared" si="6"/>
        <v>10</v>
      </c>
      <c r="T8" s="10">
        <f>K8*(属性价值参考!C$7+属性价值参考!C$8)+天尊洗炼!L8*(属性价值参考!C$9+属性价值参考!C$10+属性价值参考!C$11+属性价值参考!C$12)</f>
        <v>36180</v>
      </c>
      <c r="U8" s="10"/>
      <c r="V8" s="8">
        <f t="shared" si="7"/>
        <v>19.824657534246576</v>
      </c>
      <c r="W8" s="8">
        <f t="shared" si="8"/>
        <v>49.561643835616437</v>
      </c>
      <c r="X8" s="8">
        <f t="shared" si="9"/>
        <v>49.561643835616437</v>
      </c>
      <c r="Y8" s="8">
        <f t="shared" si="10"/>
        <v>495.61643835616439</v>
      </c>
      <c r="Z8" s="8">
        <f t="shared" si="11"/>
        <v>2</v>
      </c>
      <c r="AA8" s="8">
        <f t="shared" si="12"/>
        <v>4</v>
      </c>
      <c r="AB8" s="8">
        <f t="shared" si="13"/>
        <v>4</v>
      </c>
      <c r="AC8" s="8">
        <f t="shared" si="14"/>
        <v>44</v>
      </c>
    </row>
    <row r="9" spans="1:29" ht="16.5" x14ac:dyDescent="0.3">
      <c r="A9" s="35" t="s">
        <v>3169</v>
      </c>
      <c r="B9" s="35" t="s">
        <v>3170</v>
      </c>
      <c r="C9" s="41" t="s">
        <v>3171</v>
      </c>
      <c r="D9" s="35">
        <v>5</v>
      </c>
      <c r="E9" s="111"/>
      <c r="F9" s="35"/>
      <c r="G9" s="35" t="str">
        <f t="shared" si="16"/>
        <v>3#3#15|3#4#15|3#5#15|3#6#15|3#7#15|3#8#15|3#9#7|3#10#7|3#11#7|3#12#7</v>
      </c>
      <c r="H9" s="37" t="str">
        <f t="shared" si="15"/>
        <v>火龙精魄2/武器碎片4/烈焰玄铁4/火龙币44</v>
      </c>
      <c r="I9" s="10">
        <v>7</v>
      </c>
      <c r="J9" s="10">
        <f>材料产出!C27</f>
        <v>6.1</v>
      </c>
      <c r="K9" s="165">
        <f t="shared" si="0"/>
        <v>350</v>
      </c>
      <c r="L9" s="165">
        <f t="shared" si="0"/>
        <v>175</v>
      </c>
      <c r="M9" s="165">
        <f>参数调整!AX9</f>
        <v>0.8</v>
      </c>
      <c r="N9" s="165">
        <f t="shared" si="1"/>
        <v>350</v>
      </c>
      <c r="O9" s="165">
        <f t="shared" si="2"/>
        <v>175</v>
      </c>
      <c r="P9" s="10">
        <f t="shared" si="3"/>
        <v>280</v>
      </c>
      <c r="Q9" s="10">
        <f t="shared" si="4"/>
        <v>140</v>
      </c>
      <c r="R9" s="10">
        <f t="shared" si="5"/>
        <v>25</v>
      </c>
      <c r="S9" s="10">
        <f t="shared" si="6"/>
        <v>12</v>
      </c>
      <c r="T9" s="10">
        <f>K9*(属性价值参考!C$7+属性价值参考!C$8)+天尊洗炼!L9*(属性价值参考!C$9+属性价值参考!C$10+属性价值参考!C$11+属性价值参考!C$12)</f>
        <v>42210.000000000007</v>
      </c>
      <c r="U9" s="10"/>
      <c r="V9" s="8">
        <f t="shared" si="7"/>
        <v>23.128767123287677</v>
      </c>
      <c r="W9" s="8">
        <f t="shared" si="8"/>
        <v>57.82191780821919</v>
      </c>
      <c r="X9" s="8">
        <f t="shared" si="9"/>
        <v>57.82191780821919</v>
      </c>
      <c r="Y9" s="8">
        <f t="shared" si="10"/>
        <v>578.21917808219189</v>
      </c>
      <c r="Z9" s="8">
        <f t="shared" si="11"/>
        <v>2</v>
      </c>
      <c r="AA9" s="8">
        <f t="shared" si="12"/>
        <v>5</v>
      </c>
      <c r="AB9" s="8">
        <f t="shared" si="13"/>
        <v>5</v>
      </c>
      <c r="AC9" s="8">
        <f t="shared" si="14"/>
        <v>46</v>
      </c>
    </row>
    <row r="10" spans="1:29" ht="16.5" x14ac:dyDescent="0.3">
      <c r="A10" s="35" t="s">
        <v>3169</v>
      </c>
      <c r="B10" s="35" t="s">
        <v>3170</v>
      </c>
      <c r="C10" s="41" t="s">
        <v>3171</v>
      </c>
      <c r="D10" s="35">
        <v>6</v>
      </c>
      <c r="E10" s="111"/>
      <c r="F10" s="35"/>
      <c r="G10" s="35" t="str">
        <f t="shared" si="16"/>
        <v>3#3#20|3#4#20|3#5#20|3#6#20|3#7#20|3#8#20|3#9#10|3#10#10|3#11#10|3#12#10</v>
      </c>
      <c r="H10" s="37" t="str">
        <f t="shared" si="15"/>
        <v>火龙精魄2/武器碎片5/烈焰玄铁5/火龙币46</v>
      </c>
      <c r="I10" s="10">
        <v>8</v>
      </c>
      <c r="J10" s="10">
        <f>材料产出!C28</f>
        <v>6.4</v>
      </c>
      <c r="K10" s="165">
        <f t="shared" si="0"/>
        <v>400</v>
      </c>
      <c r="L10" s="165">
        <f>INT($I10/$I$12*L$12)</f>
        <v>200</v>
      </c>
      <c r="M10" s="165">
        <f>参数调整!AX10</f>
        <v>0.85</v>
      </c>
      <c r="N10" s="165">
        <f t="shared" si="1"/>
        <v>400</v>
      </c>
      <c r="O10" s="165">
        <f t="shared" si="2"/>
        <v>200</v>
      </c>
      <c r="P10" s="10">
        <f t="shared" si="3"/>
        <v>340</v>
      </c>
      <c r="Q10" s="10">
        <f t="shared" si="4"/>
        <v>170</v>
      </c>
      <c r="R10" s="10">
        <f t="shared" si="5"/>
        <v>30</v>
      </c>
      <c r="S10" s="10">
        <f t="shared" si="6"/>
        <v>15</v>
      </c>
      <c r="T10" s="10">
        <f>K10*(属性价值参考!C$7+属性价值参考!C$8)+天尊洗炼!L10*(属性价值参考!C$9+属性价值参考!C$10+属性价值参考!C$11+属性价值参考!C$12)</f>
        <v>48240</v>
      </c>
      <c r="U10" s="10"/>
      <c r="V10" s="8">
        <f t="shared" si="7"/>
        <v>26.432876712328767</v>
      </c>
      <c r="W10" s="8">
        <f t="shared" si="8"/>
        <v>66.082191780821915</v>
      </c>
      <c r="X10" s="8">
        <f t="shared" si="9"/>
        <v>66.082191780821915</v>
      </c>
      <c r="Y10" s="8">
        <f t="shared" si="10"/>
        <v>660.82191780821915</v>
      </c>
      <c r="Z10" s="8">
        <f t="shared" si="11"/>
        <v>2</v>
      </c>
      <c r="AA10" s="8">
        <f t="shared" si="12"/>
        <v>5</v>
      </c>
      <c r="AB10" s="8">
        <f t="shared" si="13"/>
        <v>5</v>
      </c>
      <c r="AC10" s="8">
        <f t="shared" si="14"/>
        <v>48</v>
      </c>
    </row>
    <row r="11" spans="1:29" ht="16.5" x14ac:dyDescent="0.3">
      <c r="A11" s="35" t="s">
        <v>3169</v>
      </c>
      <c r="B11" s="35" t="s">
        <v>3170</v>
      </c>
      <c r="C11" s="41" t="s">
        <v>3171</v>
      </c>
      <c r="D11" s="35">
        <v>7</v>
      </c>
      <c r="E11" s="111"/>
      <c r="F11" s="35"/>
      <c r="G11" s="35" t="str">
        <f t="shared" si="16"/>
        <v>3#3#25|3#4#25|3#5#25|3#6#25|3#7#25|3#8#25|3#9#12|3#10#12|3#11#12|3#12#12</v>
      </c>
      <c r="H11" s="37" t="str">
        <f t="shared" si="15"/>
        <v>火龙精魄2/武器碎片5/烈焰玄铁5/火龙币48</v>
      </c>
      <c r="I11" s="10">
        <v>9</v>
      </c>
      <c r="J11" s="10">
        <f>材料产出!C29</f>
        <v>6.7</v>
      </c>
      <c r="K11" s="165">
        <f>INT($I11/$I$12*K$12)</f>
        <v>450</v>
      </c>
      <c r="L11" s="165">
        <f>INT($I11/$I$12*L$12)</f>
        <v>225</v>
      </c>
      <c r="M11" s="165">
        <f>参数调整!AX11</f>
        <v>0.9</v>
      </c>
      <c r="N11" s="165">
        <f t="shared" si="1"/>
        <v>450</v>
      </c>
      <c r="O11" s="165">
        <f t="shared" si="2"/>
        <v>225</v>
      </c>
      <c r="P11" s="10">
        <f t="shared" si="3"/>
        <v>405</v>
      </c>
      <c r="Q11" s="10">
        <f t="shared" si="4"/>
        <v>202</v>
      </c>
      <c r="R11" s="10">
        <f t="shared" si="5"/>
        <v>36</v>
      </c>
      <c r="S11" s="10">
        <f t="shared" si="6"/>
        <v>18</v>
      </c>
      <c r="T11" s="10">
        <f>K11*(属性价值参考!C$7+属性价值参考!C$8)+天尊洗炼!L11*(属性价值参考!C$9+属性价值参考!C$10+属性价值参考!C$11+属性价值参考!C$12)</f>
        <v>54270</v>
      </c>
      <c r="U11" s="10"/>
      <c r="V11" s="8">
        <f t="shared" si="7"/>
        <v>29.736986301369864</v>
      </c>
      <c r="W11" s="8">
        <f t="shared" si="8"/>
        <v>74.342465753424662</v>
      </c>
      <c r="X11" s="8">
        <f t="shared" si="9"/>
        <v>74.342465753424662</v>
      </c>
      <c r="Y11" s="8">
        <f t="shared" si="10"/>
        <v>743.42465753424665</v>
      </c>
      <c r="Z11" s="8">
        <f t="shared" si="11"/>
        <v>2</v>
      </c>
      <c r="AA11" s="8">
        <f t="shared" si="12"/>
        <v>5</v>
      </c>
      <c r="AB11" s="8">
        <f t="shared" si="13"/>
        <v>5</v>
      </c>
      <c r="AC11" s="8">
        <f t="shared" si="14"/>
        <v>50</v>
      </c>
    </row>
    <row r="12" spans="1:29" ht="16.5" x14ac:dyDescent="0.3">
      <c r="A12" s="35" t="s">
        <v>3169</v>
      </c>
      <c r="B12" s="35" t="s">
        <v>3170</v>
      </c>
      <c r="C12" s="41" t="s">
        <v>3171</v>
      </c>
      <c r="D12" s="35">
        <v>8</v>
      </c>
      <c r="E12" s="111"/>
      <c r="F12" s="35"/>
      <c r="G12" s="35" t="str">
        <f t="shared" si="16"/>
        <v>3#3#30|3#4#30|3#5#30|3#6#30|3#7#30|3#8#30|3#9#15|3#10#15|3#11#15|3#12#15</v>
      </c>
      <c r="H12" s="37" t="str">
        <f t="shared" si="15"/>
        <v>火龙精魄2/武器碎片5/烈焰玄铁5/火龙币50</v>
      </c>
      <c r="I12" s="10">
        <v>10</v>
      </c>
      <c r="J12" s="10">
        <f>材料产出!C30</f>
        <v>7</v>
      </c>
      <c r="K12" s="165">
        <f>养成属性分配!AT31</f>
        <v>500</v>
      </c>
      <c r="L12" s="165">
        <f>养成属性分配!AU31</f>
        <v>250</v>
      </c>
      <c r="M12" s="165">
        <f>参数调整!AX12</f>
        <v>1</v>
      </c>
      <c r="N12" s="165">
        <f>K12</f>
        <v>500</v>
      </c>
      <c r="O12" s="165">
        <f>L12</f>
        <v>250</v>
      </c>
      <c r="P12" s="10">
        <f>INT(N12*M12)</f>
        <v>500</v>
      </c>
      <c r="Q12" s="10">
        <f>INT(O12*M12)</f>
        <v>250</v>
      </c>
      <c r="R12" s="10">
        <f>INT(1/11*P12)</f>
        <v>45</v>
      </c>
      <c r="S12" s="10">
        <f>INT(1/11*Q12)</f>
        <v>22</v>
      </c>
      <c r="T12" s="10">
        <f>K12*(属性价值参考!C$7+属性价值参考!C$8)+天尊洗炼!L12*(属性价值参考!C$9+属性价值参考!C$10+属性价值参考!C$11+属性价值参考!C$12)</f>
        <v>60300</v>
      </c>
      <c r="U12" s="10"/>
      <c r="V12" s="8">
        <f>T12/1825*1</f>
        <v>33.041095890410958</v>
      </c>
      <c r="W12" s="8">
        <f>T12/1825*2.5</f>
        <v>82.602739726027394</v>
      </c>
      <c r="X12" s="8">
        <f>T12/1825*2.5</f>
        <v>82.602739726027394</v>
      </c>
      <c r="Y12" s="8">
        <f>T12/1825*25</f>
        <v>826.02739726027391</v>
      </c>
      <c r="Z12" s="8">
        <f>ROUND(1/10*V$12*J12/11,0)</f>
        <v>2</v>
      </c>
      <c r="AA12" s="8">
        <f t="shared" si="12"/>
        <v>5</v>
      </c>
      <c r="AB12" s="8">
        <f t="shared" si="13"/>
        <v>5</v>
      </c>
      <c r="AC12" s="8">
        <f t="shared" si="14"/>
        <v>53</v>
      </c>
    </row>
    <row r="13" spans="1:29" ht="15.75" x14ac:dyDescent="0.3">
      <c r="A13" s="35" t="s">
        <v>3169</v>
      </c>
      <c r="B13" s="35" t="s">
        <v>3170</v>
      </c>
      <c r="C13" s="41" t="s">
        <v>3171</v>
      </c>
      <c r="D13" s="35">
        <v>9</v>
      </c>
      <c r="E13" s="111"/>
      <c r="F13" s="35"/>
      <c r="G13" s="35" t="str">
        <f t="shared" si="16"/>
        <v>3#3#36|3#4#36|3#5#36|3#6#36|3#7#36|3#8#36|3#9#18|3#10#18|3#11#18|3#12#18</v>
      </c>
      <c r="H13" s="37" t="str">
        <f t="shared" si="15"/>
        <v>火龙精魄2/武器碎片5/烈焰玄铁5/火龙币53</v>
      </c>
    </row>
    <row r="14" spans="1:29" ht="15.75" x14ac:dyDescent="0.3">
      <c r="A14" s="35" t="s">
        <v>3169</v>
      </c>
      <c r="B14" s="35" t="s">
        <v>3170</v>
      </c>
      <c r="C14" s="41" t="s">
        <v>3171</v>
      </c>
      <c r="D14" s="35">
        <v>10</v>
      </c>
      <c r="E14" s="111"/>
      <c r="F14" s="35"/>
      <c r="G14" s="35" t="str">
        <f t="shared" si="16"/>
        <v>3#3#45|3#4#45|3#5#45|3#6#45|3#7#45|3#8#45|3#9#22|3#10#22|3#11#22|3#12#22</v>
      </c>
      <c r="H14" s="37"/>
    </row>
    <row r="15" spans="1:29" ht="15.75" x14ac:dyDescent="0.3">
      <c r="A15" s="35" t="s">
        <v>3169</v>
      </c>
      <c r="B15" s="35" t="s">
        <v>3170</v>
      </c>
      <c r="C15" s="41" t="s">
        <v>3172</v>
      </c>
      <c r="D15" s="35">
        <v>0</v>
      </c>
      <c r="E15" s="111"/>
      <c r="F15" s="35"/>
      <c r="G15" s="113"/>
      <c r="H15" s="37" t="str">
        <f>"火龙精魄"&amp;Z3&amp;"/武器碎片"&amp;AA3&amp;"/烈焰玄铁"&amp;AB3&amp;"/火龙币"&amp;AC3</f>
        <v>火龙精魄1/武器碎片3/烈焰玄铁3/火龙币32</v>
      </c>
    </row>
    <row r="16" spans="1:29" ht="15.75" x14ac:dyDescent="0.3">
      <c r="A16" s="35" t="s">
        <v>3169</v>
      </c>
      <c r="B16" s="35" t="s">
        <v>3170</v>
      </c>
      <c r="C16" s="41" t="s">
        <v>3172</v>
      </c>
      <c r="D16" s="35">
        <v>1</v>
      </c>
      <c r="E16" s="111"/>
      <c r="F16" s="35"/>
      <c r="G16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6" s="37" t="str">
        <f t="shared" ref="H16:H24" si="17">"火龙精魄"&amp;Z4&amp;"/武器碎片"&amp;AA4&amp;"/烈焰玄铁"&amp;AB4&amp;"/火龙币"&amp;AC4</f>
        <v>火龙精魄1/武器碎片3/烈焰玄铁3/火龙币35</v>
      </c>
    </row>
    <row r="17" spans="1:8" ht="15.75" x14ac:dyDescent="0.3">
      <c r="A17" s="35" t="s">
        <v>3169</v>
      </c>
      <c r="B17" s="35" t="s">
        <v>3170</v>
      </c>
      <c r="C17" s="41" t="s">
        <v>3172</v>
      </c>
      <c r="D17" s="35">
        <v>2</v>
      </c>
      <c r="E17" s="111"/>
      <c r="F17" s="35"/>
      <c r="G17" s="35" t="str">
        <f t="shared" ref="G17:G25" si="1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" s="37" t="str">
        <f t="shared" si="17"/>
        <v>火龙精魄1/武器碎片4/烈焰玄铁4/火龙币37</v>
      </c>
    </row>
    <row r="18" spans="1:8" ht="15.75" x14ac:dyDescent="0.3">
      <c r="A18" s="35" t="s">
        <v>3169</v>
      </c>
      <c r="B18" s="35" t="s">
        <v>3170</v>
      </c>
      <c r="C18" s="41" t="s">
        <v>3172</v>
      </c>
      <c r="D18" s="35">
        <v>3</v>
      </c>
      <c r="E18" s="111"/>
      <c r="F18" s="35"/>
      <c r="G18" s="35" t="str">
        <f t="shared" si="18"/>
        <v>3#3#8|3#4#8|3#5#8|3#6#8|3#7#8|3#8#8|3#9#4|3#10#4|3#11#4|3#12#4</v>
      </c>
      <c r="H18" s="37" t="str">
        <f t="shared" si="17"/>
        <v>火龙精魄2/武器碎片4/烈焰玄铁4/火龙币39</v>
      </c>
    </row>
    <row r="19" spans="1:8" ht="15.75" x14ac:dyDescent="0.3">
      <c r="A19" s="35" t="s">
        <v>3169</v>
      </c>
      <c r="B19" s="35" t="s">
        <v>3170</v>
      </c>
      <c r="C19" s="41" t="s">
        <v>3172</v>
      </c>
      <c r="D19" s="35">
        <v>4</v>
      </c>
      <c r="E19" s="111"/>
      <c r="F19" s="35"/>
      <c r="G19" s="35" t="str">
        <f t="shared" si="18"/>
        <v>3#3#11|3#4#11|3#5#11|3#6#11|3#7#11|3#8#11|3#9#5|3#10#5|3#11#5|3#12#5</v>
      </c>
      <c r="H19" s="37" t="str">
        <f t="shared" si="17"/>
        <v>火龙精魄2/武器碎片4/烈焰玄铁4/火龙币41</v>
      </c>
    </row>
    <row r="20" spans="1:8" ht="15.75" x14ac:dyDescent="0.3">
      <c r="A20" s="35" t="s">
        <v>3169</v>
      </c>
      <c r="B20" s="35" t="s">
        <v>3170</v>
      </c>
      <c r="C20" s="41" t="s">
        <v>3172</v>
      </c>
      <c r="D20" s="35">
        <v>5</v>
      </c>
      <c r="E20" s="111"/>
      <c r="F20" s="35"/>
      <c r="G20" s="35" t="str">
        <f t="shared" si="18"/>
        <v>3#3#15|3#4#15|3#5#15|3#6#15|3#7#15|3#8#15|3#9#7|3#10#7|3#11#7|3#12#7</v>
      </c>
      <c r="H20" s="37" t="str">
        <f t="shared" si="17"/>
        <v>火龙精魄2/武器碎片4/烈焰玄铁4/火龙币44</v>
      </c>
    </row>
    <row r="21" spans="1:8" ht="15.75" x14ac:dyDescent="0.3">
      <c r="A21" s="35" t="s">
        <v>3169</v>
      </c>
      <c r="B21" s="35" t="s">
        <v>3170</v>
      </c>
      <c r="C21" s="41" t="s">
        <v>3172</v>
      </c>
      <c r="D21" s="35">
        <v>6</v>
      </c>
      <c r="E21" s="111"/>
      <c r="F21" s="35"/>
      <c r="G21" s="35" t="str">
        <f t="shared" si="18"/>
        <v>3#3#20|3#4#20|3#5#20|3#6#20|3#7#20|3#8#20|3#9#10|3#10#10|3#11#10|3#12#10</v>
      </c>
      <c r="H21" s="37" t="str">
        <f t="shared" si="17"/>
        <v>火龙精魄2/武器碎片5/烈焰玄铁5/火龙币46</v>
      </c>
    </row>
    <row r="22" spans="1:8" ht="15.75" x14ac:dyDescent="0.3">
      <c r="A22" s="35" t="s">
        <v>3169</v>
      </c>
      <c r="B22" s="35" t="s">
        <v>3170</v>
      </c>
      <c r="C22" s="41" t="s">
        <v>3172</v>
      </c>
      <c r="D22" s="35">
        <v>7</v>
      </c>
      <c r="E22" s="111"/>
      <c r="F22" s="35"/>
      <c r="G22" s="35" t="str">
        <f t="shared" si="18"/>
        <v>3#3#25|3#4#25|3#5#25|3#6#25|3#7#25|3#8#25|3#9#12|3#10#12|3#11#12|3#12#12</v>
      </c>
      <c r="H22" s="37" t="str">
        <f t="shared" si="17"/>
        <v>火龙精魄2/武器碎片5/烈焰玄铁5/火龙币48</v>
      </c>
    </row>
    <row r="23" spans="1:8" ht="15.75" x14ac:dyDescent="0.3">
      <c r="A23" s="35" t="s">
        <v>3169</v>
      </c>
      <c r="B23" s="35" t="s">
        <v>3170</v>
      </c>
      <c r="C23" s="41" t="s">
        <v>3172</v>
      </c>
      <c r="D23" s="35">
        <v>8</v>
      </c>
      <c r="E23" s="111"/>
      <c r="F23" s="35"/>
      <c r="G23" s="35" t="str">
        <f t="shared" si="18"/>
        <v>3#3#30|3#4#30|3#5#30|3#6#30|3#7#30|3#8#30|3#9#15|3#10#15|3#11#15|3#12#15</v>
      </c>
      <c r="H23" s="37" t="str">
        <f t="shared" si="17"/>
        <v>火龙精魄2/武器碎片5/烈焰玄铁5/火龙币50</v>
      </c>
    </row>
    <row r="24" spans="1:8" ht="15.75" x14ac:dyDescent="0.3">
      <c r="A24" s="35" t="s">
        <v>3169</v>
      </c>
      <c r="B24" s="35" t="s">
        <v>3170</v>
      </c>
      <c r="C24" s="41" t="s">
        <v>3172</v>
      </c>
      <c r="D24" s="35">
        <v>9</v>
      </c>
      <c r="E24" s="111"/>
      <c r="F24" s="35"/>
      <c r="G24" s="35" t="str">
        <f t="shared" si="18"/>
        <v>3#3#36|3#4#36|3#5#36|3#6#36|3#7#36|3#8#36|3#9#18|3#10#18|3#11#18|3#12#18</v>
      </c>
      <c r="H24" s="37" t="str">
        <f t="shared" si="17"/>
        <v>火龙精魄2/武器碎片5/烈焰玄铁5/火龙币53</v>
      </c>
    </row>
    <row r="25" spans="1:8" ht="15.75" x14ac:dyDescent="0.3">
      <c r="A25" s="35" t="s">
        <v>3169</v>
      </c>
      <c r="B25" s="35" t="s">
        <v>3170</v>
      </c>
      <c r="C25" s="41" t="s">
        <v>3172</v>
      </c>
      <c r="D25" s="35">
        <v>10</v>
      </c>
      <c r="E25" s="111"/>
      <c r="F25" s="35"/>
      <c r="G25" s="35" t="str">
        <f t="shared" si="18"/>
        <v>3#3#45|3#4#45|3#5#45|3#6#45|3#7#45|3#8#45|3#9#22|3#10#22|3#11#22|3#12#22</v>
      </c>
      <c r="H25" s="37"/>
    </row>
    <row r="26" spans="1:8" ht="15.75" x14ac:dyDescent="0.3">
      <c r="A26" s="35" t="s">
        <v>3169</v>
      </c>
      <c r="B26" s="35" t="s">
        <v>3170</v>
      </c>
      <c r="C26" s="41" t="s">
        <v>3173</v>
      </c>
      <c r="D26" s="35">
        <v>0</v>
      </c>
      <c r="E26" s="111"/>
      <c r="F26" s="35"/>
      <c r="G26" s="113"/>
      <c r="H26" s="37" t="str">
        <f>"火龙精魄"&amp;Z3&amp;"/武器碎片"&amp;AA3&amp;"/烈焰玄铁"&amp;AB3&amp;"/火龙币"&amp;AC3</f>
        <v>火龙精魄1/武器碎片3/烈焰玄铁3/火龙币32</v>
      </c>
    </row>
    <row r="27" spans="1:8" ht="15.75" x14ac:dyDescent="0.3">
      <c r="A27" s="35" t="s">
        <v>3169</v>
      </c>
      <c r="B27" s="35" t="s">
        <v>3170</v>
      </c>
      <c r="C27" s="41" t="s">
        <v>3173</v>
      </c>
      <c r="D27" s="35">
        <v>1</v>
      </c>
      <c r="E27" s="111"/>
      <c r="F27" s="35"/>
      <c r="G27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7" s="37" t="str">
        <f t="shared" ref="H27:H35" si="19">"火龙精魄"&amp;Z4&amp;"/武器碎片"&amp;AA4&amp;"/烈焰玄铁"&amp;AB4&amp;"/火龙币"&amp;AC4</f>
        <v>火龙精魄1/武器碎片3/烈焰玄铁3/火龙币35</v>
      </c>
    </row>
    <row r="28" spans="1:8" ht="15.75" x14ac:dyDescent="0.3">
      <c r="A28" s="35" t="s">
        <v>3169</v>
      </c>
      <c r="B28" s="35" t="s">
        <v>3170</v>
      </c>
      <c r="C28" s="41" t="s">
        <v>3173</v>
      </c>
      <c r="D28" s="35">
        <v>2</v>
      </c>
      <c r="E28" s="111"/>
      <c r="F28" s="35"/>
      <c r="G28" s="35" t="str">
        <f t="shared" ref="G28:G36" si="2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" s="37" t="str">
        <f t="shared" si="19"/>
        <v>火龙精魄1/武器碎片4/烈焰玄铁4/火龙币37</v>
      </c>
    </row>
    <row r="29" spans="1:8" ht="15.75" x14ac:dyDescent="0.3">
      <c r="A29" s="35" t="s">
        <v>3169</v>
      </c>
      <c r="B29" s="35" t="s">
        <v>3170</v>
      </c>
      <c r="C29" s="41" t="s">
        <v>3173</v>
      </c>
      <c r="D29" s="35">
        <v>3</v>
      </c>
      <c r="E29" s="111"/>
      <c r="F29" s="35"/>
      <c r="G29" s="35" t="str">
        <f t="shared" si="20"/>
        <v>3#3#8|3#4#8|3#5#8|3#6#8|3#7#8|3#8#8|3#9#4|3#10#4|3#11#4|3#12#4</v>
      </c>
      <c r="H29" s="37" t="str">
        <f t="shared" si="19"/>
        <v>火龙精魄2/武器碎片4/烈焰玄铁4/火龙币39</v>
      </c>
    </row>
    <row r="30" spans="1:8" ht="15.75" x14ac:dyDescent="0.3">
      <c r="A30" s="35" t="s">
        <v>3169</v>
      </c>
      <c r="B30" s="35" t="s">
        <v>3170</v>
      </c>
      <c r="C30" s="41" t="s">
        <v>3173</v>
      </c>
      <c r="D30" s="35">
        <v>4</v>
      </c>
      <c r="E30" s="111"/>
      <c r="F30" s="35"/>
      <c r="G30" s="35" t="str">
        <f t="shared" si="20"/>
        <v>3#3#11|3#4#11|3#5#11|3#6#11|3#7#11|3#8#11|3#9#5|3#10#5|3#11#5|3#12#5</v>
      </c>
      <c r="H30" s="37" t="str">
        <f t="shared" si="19"/>
        <v>火龙精魄2/武器碎片4/烈焰玄铁4/火龙币41</v>
      </c>
    </row>
    <row r="31" spans="1:8" ht="15.75" x14ac:dyDescent="0.3">
      <c r="A31" s="35" t="s">
        <v>3169</v>
      </c>
      <c r="B31" s="35" t="s">
        <v>3170</v>
      </c>
      <c r="C31" s="41" t="s">
        <v>3173</v>
      </c>
      <c r="D31" s="35">
        <v>5</v>
      </c>
      <c r="E31" s="111"/>
      <c r="F31" s="35"/>
      <c r="G31" s="35" t="str">
        <f t="shared" si="20"/>
        <v>3#3#15|3#4#15|3#5#15|3#6#15|3#7#15|3#8#15|3#9#7|3#10#7|3#11#7|3#12#7</v>
      </c>
      <c r="H31" s="37" t="str">
        <f t="shared" si="19"/>
        <v>火龙精魄2/武器碎片4/烈焰玄铁4/火龙币44</v>
      </c>
    </row>
    <row r="32" spans="1:8" ht="15.75" x14ac:dyDescent="0.3">
      <c r="A32" s="35" t="s">
        <v>3169</v>
      </c>
      <c r="B32" s="35" t="s">
        <v>3170</v>
      </c>
      <c r="C32" s="41" t="s">
        <v>3173</v>
      </c>
      <c r="D32" s="35">
        <v>6</v>
      </c>
      <c r="E32" s="111"/>
      <c r="F32" s="35"/>
      <c r="G32" s="35" t="str">
        <f t="shared" si="20"/>
        <v>3#3#20|3#4#20|3#5#20|3#6#20|3#7#20|3#8#20|3#9#10|3#10#10|3#11#10|3#12#10</v>
      </c>
      <c r="H32" s="37" t="str">
        <f t="shared" si="19"/>
        <v>火龙精魄2/武器碎片5/烈焰玄铁5/火龙币46</v>
      </c>
    </row>
    <row r="33" spans="1:8" ht="15.75" x14ac:dyDescent="0.3">
      <c r="A33" s="35" t="s">
        <v>3169</v>
      </c>
      <c r="B33" s="35" t="s">
        <v>3170</v>
      </c>
      <c r="C33" s="41" t="s">
        <v>3173</v>
      </c>
      <c r="D33" s="35">
        <v>7</v>
      </c>
      <c r="E33" s="111"/>
      <c r="F33" s="35"/>
      <c r="G33" s="35" t="str">
        <f t="shared" si="20"/>
        <v>3#3#25|3#4#25|3#5#25|3#6#25|3#7#25|3#8#25|3#9#12|3#10#12|3#11#12|3#12#12</v>
      </c>
      <c r="H33" s="37" t="str">
        <f t="shared" si="19"/>
        <v>火龙精魄2/武器碎片5/烈焰玄铁5/火龙币48</v>
      </c>
    </row>
    <row r="34" spans="1:8" ht="15.75" x14ac:dyDescent="0.3">
      <c r="A34" s="35" t="s">
        <v>3169</v>
      </c>
      <c r="B34" s="35" t="s">
        <v>3170</v>
      </c>
      <c r="C34" s="41" t="s">
        <v>3173</v>
      </c>
      <c r="D34" s="35">
        <v>8</v>
      </c>
      <c r="E34" s="111"/>
      <c r="F34" s="35"/>
      <c r="G34" s="35" t="str">
        <f t="shared" si="20"/>
        <v>3#3#30|3#4#30|3#5#30|3#6#30|3#7#30|3#8#30|3#9#15|3#10#15|3#11#15|3#12#15</v>
      </c>
      <c r="H34" s="37" t="str">
        <f t="shared" si="19"/>
        <v>火龙精魄2/武器碎片5/烈焰玄铁5/火龙币50</v>
      </c>
    </row>
    <row r="35" spans="1:8" ht="15.75" x14ac:dyDescent="0.3">
      <c r="A35" s="35" t="s">
        <v>3169</v>
      </c>
      <c r="B35" s="35" t="s">
        <v>3170</v>
      </c>
      <c r="C35" s="41" t="s">
        <v>3173</v>
      </c>
      <c r="D35" s="35">
        <v>9</v>
      </c>
      <c r="E35" s="111"/>
      <c r="F35" s="35"/>
      <c r="G35" s="35" t="str">
        <f t="shared" si="20"/>
        <v>3#3#36|3#4#36|3#5#36|3#6#36|3#7#36|3#8#36|3#9#18|3#10#18|3#11#18|3#12#18</v>
      </c>
      <c r="H35" s="37" t="str">
        <f t="shared" si="19"/>
        <v>火龙精魄2/武器碎片5/烈焰玄铁5/火龙币53</v>
      </c>
    </row>
    <row r="36" spans="1:8" ht="15.75" x14ac:dyDescent="0.3">
      <c r="A36" s="35" t="s">
        <v>3169</v>
      </c>
      <c r="B36" s="35" t="s">
        <v>3170</v>
      </c>
      <c r="C36" s="41" t="s">
        <v>3173</v>
      </c>
      <c r="D36" s="35">
        <v>10</v>
      </c>
      <c r="E36" s="111"/>
      <c r="F36" s="35"/>
      <c r="G36" s="35" t="str">
        <f t="shared" si="20"/>
        <v>3#3#45|3#4#45|3#5#45|3#6#45|3#7#45|3#8#45|3#9#22|3#10#22|3#11#22|3#12#22</v>
      </c>
      <c r="H36" s="37"/>
    </row>
    <row r="37" spans="1:8" ht="15.75" x14ac:dyDescent="0.3">
      <c r="A37" s="35" t="s">
        <v>3169</v>
      </c>
      <c r="B37" s="35" t="s">
        <v>3170</v>
      </c>
      <c r="C37" s="41" t="s">
        <v>3174</v>
      </c>
      <c r="D37" s="35">
        <v>0</v>
      </c>
      <c r="E37" s="111"/>
      <c r="F37" s="35"/>
      <c r="G37" s="113"/>
      <c r="H37" s="37" t="str">
        <f>"火龙精魄"&amp;Z3&amp;"/武器碎片"&amp;AA3&amp;"/烈焰玄铁"&amp;AB3&amp;"/火龙币"&amp;AC3</f>
        <v>火龙精魄1/武器碎片3/烈焰玄铁3/火龙币32</v>
      </c>
    </row>
    <row r="38" spans="1:8" ht="15.75" x14ac:dyDescent="0.3">
      <c r="A38" s="35" t="s">
        <v>3169</v>
      </c>
      <c r="B38" s="35" t="s">
        <v>3170</v>
      </c>
      <c r="C38" s="41" t="s">
        <v>3174</v>
      </c>
      <c r="D38" s="35">
        <v>1</v>
      </c>
      <c r="E38" s="111"/>
      <c r="F38" s="35"/>
      <c r="G38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8" s="37" t="str">
        <f t="shared" ref="H38:H46" si="21">"火龙精魄"&amp;Z4&amp;"/武器碎片"&amp;AA4&amp;"/烈焰玄铁"&amp;AB4&amp;"/火龙币"&amp;AC4</f>
        <v>火龙精魄1/武器碎片3/烈焰玄铁3/火龙币35</v>
      </c>
    </row>
    <row r="39" spans="1:8" ht="15.75" x14ac:dyDescent="0.3">
      <c r="A39" s="35" t="s">
        <v>3169</v>
      </c>
      <c r="B39" s="35" t="s">
        <v>3170</v>
      </c>
      <c r="C39" s="41" t="s">
        <v>3174</v>
      </c>
      <c r="D39" s="35">
        <v>2</v>
      </c>
      <c r="E39" s="111"/>
      <c r="F39" s="35"/>
      <c r="G39" s="35" t="str">
        <f t="shared" ref="G39:G47" si="2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9" s="37" t="str">
        <f t="shared" si="21"/>
        <v>火龙精魄1/武器碎片4/烈焰玄铁4/火龙币37</v>
      </c>
    </row>
    <row r="40" spans="1:8" ht="15.75" x14ac:dyDescent="0.3">
      <c r="A40" s="35" t="s">
        <v>3169</v>
      </c>
      <c r="B40" s="35" t="s">
        <v>3170</v>
      </c>
      <c r="C40" s="41" t="s">
        <v>3174</v>
      </c>
      <c r="D40" s="35">
        <v>3</v>
      </c>
      <c r="E40" s="111"/>
      <c r="F40" s="35"/>
      <c r="G40" s="35" t="str">
        <f t="shared" si="22"/>
        <v>3#3#8|3#4#8|3#5#8|3#6#8|3#7#8|3#8#8|3#9#4|3#10#4|3#11#4|3#12#4</v>
      </c>
      <c r="H40" s="37" t="str">
        <f t="shared" si="21"/>
        <v>火龙精魄2/武器碎片4/烈焰玄铁4/火龙币39</v>
      </c>
    </row>
    <row r="41" spans="1:8" ht="15.75" x14ac:dyDescent="0.3">
      <c r="A41" s="35" t="s">
        <v>3169</v>
      </c>
      <c r="B41" s="35" t="s">
        <v>3170</v>
      </c>
      <c r="C41" s="41" t="s">
        <v>3174</v>
      </c>
      <c r="D41" s="35">
        <v>4</v>
      </c>
      <c r="E41" s="111"/>
      <c r="F41" s="35"/>
      <c r="G41" s="35" t="str">
        <f t="shared" si="22"/>
        <v>3#3#11|3#4#11|3#5#11|3#6#11|3#7#11|3#8#11|3#9#5|3#10#5|3#11#5|3#12#5</v>
      </c>
      <c r="H41" s="37" t="str">
        <f t="shared" si="21"/>
        <v>火龙精魄2/武器碎片4/烈焰玄铁4/火龙币41</v>
      </c>
    </row>
    <row r="42" spans="1:8" ht="15.75" x14ac:dyDescent="0.3">
      <c r="A42" s="35" t="s">
        <v>3169</v>
      </c>
      <c r="B42" s="35" t="s">
        <v>3170</v>
      </c>
      <c r="C42" s="41" t="s">
        <v>3174</v>
      </c>
      <c r="D42" s="35">
        <v>5</v>
      </c>
      <c r="E42" s="111"/>
      <c r="F42" s="35"/>
      <c r="G42" s="35" t="str">
        <f t="shared" si="22"/>
        <v>3#3#15|3#4#15|3#5#15|3#6#15|3#7#15|3#8#15|3#9#7|3#10#7|3#11#7|3#12#7</v>
      </c>
      <c r="H42" s="37" t="str">
        <f t="shared" si="21"/>
        <v>火龙精魄2/武器碎片4/烈焰玄铁4/火龙币44</v>
      </c>
    </row>
    <row r="43" spans="1:8" ht="15.75" x14ac:dyDescent="0.3">
      <c r="A43" s="35" t="s">
        <v>3169</v>
      </c>
      <c r="B43" s="35" t="s">
        <v>3170</v>
      </c>
      <c r="C43" s="41" t="s">
        <v>3174</v>
      </c>
      <c r="D43" s="35">
        <v>6</v>
      </c>
      <c r="E43" s="111"/>
      <c r="F43" s="35"/>
      <c r="G43" s="35" t="str">
        <f t="shared" si="22"/>
        <v>3#3#20|3#4#20|3#5#20|3#6#20|3#7#20|3#8#20|3#9#10|3#10#10|3#11#10|3#12#10</v>
      </c>
      <c r="H43" s="37" t="str">
        <f t="shared" si="21"/>
        <v>火龙精魄2/武器碎片5/烈焰玄铁5/火龙币46</v>
      </c>
    </row>
    <row r="44" spans="1:8" ht="15.75" x14ac:dyDescent="0.3">
      <c r="A44" s="35" t="s">
        <v>3169</v>
      </c>
      <c r="B44" s="35" t="s">
        <v>3170</v>
      </c>
      <c r="C44" s="41" t="s">
        <v>3174</v>
      </c>
      <c r="D44" s="35">
        <v>7</v>
      </c>
      <c r="E44" s="111"/>
      <c r="F44" s="35"/>
      <c r="G44" s="35" t="str">
        <f t="shared" si="22"/>
        <v>3#3#25|3#4#25|3#5#25|3#6#25|3#7#25|3#8#25|3#9#12|3#10#12|3#11#12|3#12#12</v>
      </c>
      <c r="H44" s="37" t="str">
        <f t="shared" si="21"/>
        <v>火龙精魄2/武器碎片5/烈焰玄铁5/火龙币48</v>
      </c>
    </row>
    <row r="45" spans="1:8" ht="15.75" x14ac:dyDescent="0.3">
      <c r="A45" s="35" t="s">
        <v>3169</v>
      </c>
      <c r="B45" s="35" t="s">
        <v>3170</v>
      </c>
      <c r="C45" s="41" t="s">
        <v>3174</v>
      </c>
      <c r="D45" s="35">
        <v>8</v>
      </c>
      <c r="E45" s="111"/>
      <c r="F45" s="35"/>
      <c r="G45" s="35" t="str">
        <f t="shared" si="22"/>
        <v>3#3#30|3#4#30|3#5#30|3#6#30|3#7#30|3#8#30|3#9#15|3#10#15|3#11#15|3#12#15</v>
      </c>
      <c r="H45" s="37" t="str">
        <f t="shared" si="21"/>
        <v>火龙精魄2/武器碎片5/烈焰玄铁5/火龙币50</v>
      </c>
    </row>
    <row r="46" spans="1:8" ht="15.75" x14ac:dyDescent="0.3">
      <c r="A46" s="35" t="s">
        <v>3169</v>
      </c>
      <c r="B46" s="35" t="s">
        <v>3170</v>
      </c>
      <c r="C46" s="41" t="s">
        <v>3174</v>
      </c>
      <c r="D46" s="35">
        <v>9</v>
      </c>
      <c r="E46" s="111"/>
      <c r="F46" s="35"/>
      <c r="G46" s="35" t="str">
        <f t="shared" si="22"/>
        <v>3#3#36|3#4#36|3#5#36|3#6#36|3#7#36|3#8#36|3#9#18|3#10#18|3#11#18|3#12#18</v>
      </c>
      <c r="H46" s="37" t="str">
        <f t="shared" si="21"/>
        <v>火龙精魄2/武器碎片5/烈焰玄铁5/火龙币53</v>
      </c>
    </row>
    <row r="47" spans="1:8" ht="15.75" x14ac:dyDescent="0.3">
      <c r="A47" s="35" t="s">
        <v>3169</v>
      </c>
      <c r="B47" s="35" t="s">
        <v>3170</v>
      </c>
      <c r="C47" s="41" t="s">
        <v>3174</v>
      </c>
      <c r="D47" s="35">
        <v>10</v>
      </c>
      <c r="E47" s="111"/>
      <c r="F47" s="35"/>
      <c r="G47" s="35" t="str">
        <f t="shared" si="22"/>
        <v>3#3#45|3#4#45|3#5#45|3#6#45|3#7#45|3#8#45|3#9#22|3#10#22|3#11#22|3#12#22</v>
      </c>
      <c r="H47" s="37"/>
    </row>
    <row r="48" spans="1:8" ht="15.75" x14ac:dyDescent="0.3">
      <c r="A48" s="35" t="s">
        <v>3169</v>
      </c>
      <c r="B48" s="35" t="s">
        <v>3170</v>
      </c>
      <c r="C48" s="41" t="s">
        <v>3175</v>
      </c>
      <c r="D48" s="35">
        <v>0</v>
      </c>
      <c r="E48" s="111"/>
      <c r="F48" s="35"/>
      <c r="G48" s="113"/>
      <c r="H48" s="37" t="str">
        <f>"火龙精魄"&amp;Z3&amp;"/武器碎片"&amp;AA3&amp;"/烈焰玄铁"&amp;AB3&amp;"/火龙币"&amp;AC3</f>
        <v>火龙精魄1/武器碎片3/烈焰玄铁3/火龙币32</v>
      </c>
    </row>
    <row r="49" spans="1:8" ht="15.75" x14ac:dyDescent="0.3">
      <c r="A49" s="35" t="s">
        <v>3169</v>
      </c>
      <c r="B49" s="35" t="s">
        <v>3170</v>
      </c>
      <c r="C49" s="41" t="s">
        <v>3175</v>
      </c>
      <c r="D49" s="35">
        <v>1</v>
      </c>
      <c r="E49" s="111"/>
      <c r="F49" s="35"/>
      <c r="G49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49" s="37" t="str">
        <f t="shared" ref="H49:H57" si="23">"火龙精魄"&amp;Z4&amp;"/武器碎片"&amp;AA4&amp;"/烈焰玄铁"&amp;AB4&amp;"/火龙币"&amp;AC4</f>
        <v>火龙精魄1/武器碎片3/烈焰玄铁3/火龙币35</v>
      </c>
    </row>
    <row r="50" spans="1:8" ht="15.75" x14ac:dyDescent="0.3">
      <c r="A50" s="35" t="s">
        <v>3169</v>
      </c>
      <c r="B50" s="35" t="s">
        <v>3170</v>
      </c>
      <c r="C50" s="41" t="s">
        <v>3175</v>
      </c>
      <c r="D50" s="35">
        <v>2</v>
      </c>
      <c r="E50" s="111"/>
      <c r="F50" s="35"/>
      <c r="G50" s="35" t="str">
        <f t="shared" ref="G50:G58" si="2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50" s="37" t="str">
        <f t="shared" si="23"/>
        <v>火龙精魄1/武器碎片4/烈焰玄铁4/火龙币37</v>
      </c>
    </row>
    <row r="51" spans="1:8" ht="15.75" x14ac:dyDescent="0.3">
      <c r="A51" s="35" t="s">
        <v>3169</v>
      </c>
      <c r="B51" s="35" t="s">
        <v>3170</v>
      </c>
      <c r="C51" s="41" t="s">
        <v>3175</v>
      </c>
      <c r="D51" s="35">
        <v>3</v>
      </c>
      <c r="E51" s="111"/>
      <c r="F51" s="35"/>
      <c r="G51" s="35" t="str">
        <f t="shared" si="24"/>
        <v>3#3#8|3#4#8|3#5#8|3#6#8|3#7#8|3#8#8|3#9#4|3#10#4|3#11#4|3#12#4</v>
      </c>
      <c r="H51" s="37" t="str">
        <f t="shared" si="23"/>
        <v>火龙精魄2/武器碎片4/烈焰玄铁4/火龙币39</v>
      </c>
    </row>
    <row r="52" spans="1:8" ht="15.75" x14ac:dyDescent="0.3">
      <c r="A52" s="35" t="s">
        <v>3169</v>
      </c>
      <c r="B52" s="35" t="s">
        <v>3170</v>
      </c>
      <c r="C52" s="41" t="s">
        <v>3175</v>
      </c>
      <c r="D52" s="35">
        <v>4</v>
      </c>
      <c r="E52" s="111"/>
      <c r="F52" s="35"/>
      <c r="G52" s="35" t="str">
        <f t="shared" si="24"/>
        <v>3#3#11|3#4#11|3#5#11|3#6#11|3#7#11|3#8#11|3#9#5|3#10#5|3#11#5|3#12#5</v>
      </c>
      <c r="H52" s="37" t="str">
        <f t="shared" si="23"/>
        <v>火龙精魄2/武器碎片4/烈焰玄铁4/火龙币41</v>
      </c>
    </row>
    <row r="53" spans="1:8" ht="15.75" x14ac:dyDescent="0.3">
      <c r="A53" s="35" t="s">
        <v>3169</v>
      </c>
      <c r="B53" s="35" t="s">
        <v>3170</v>
      </c>
      <c r="C53" s="41" t="s">
        <v>3175</v>
      </c>
      <c r="D53" s="35">
        <v>5</v>
      </c>
      <c r="E53" s="111"/>
      <c r="F53" s="35"/>
      <c r="G53" s="35" t="str">
        <f t="shared" si="24"/>
        <v>3#3#15|3#4#15|3#5#15|3#6#15|3#7#15|3#8#15|3#9#7|3#10#7|3#11#7|3#12#7</v>
      </c>
      <c r="H53" s="37" t="str">
        <f t="shared" si="23"/>
        <v>火龙精魄2/武器碎片4/烈焰玄铁4/火龙币44</v>
      </c>
    </row>
    <row r="54" spans="1:8" ht="15.75" x14ac:dyDescent="0.3">
      <c r="A54" s="35" t="s">
        <v>3169</v>
      </c>
      <c r="B54" s="35" t="s">
        <v>3170</v>
      </c>
      <c r="C54" s="41" t="s">
        <v>3175</v>
      </c>
      <c r="D54" s="35">
        <v>6</v>
      </c>
      <c r="E54" s="111"/>
      <c r="F54" s="35"/>
      <c r="G54" s="35" t="str">
        <f t="shared" si="24"/>
        <v>3#3#20|3#4#20|3#5#20|3#6#20|3#7#20|3#8#20|3#9#10|3#10#10|3#11#10|3#12#10</v>
      </c>
      <c r="H54" s="37" t="str">
        <f t="shared" si="23"/>
        <v>火龙精魄2/武器碎片5/烈焰玄铁5/火龙币46</v>
      </c>
    </row>
    <row r="55" spans="1:8" ht="15.75" x14ac:dyDescent="0.3">
      <c r="A55" s="35" t="s">
        <v>3169</v>
      </c>
      <c r="B55" s="35" t="s">
        <v>3170</v>
      </c>
      <c r="C55" s="41" t="s">
        <v>3175</v>
      </c>
      <c r="D55" s="35">
        <v>7</v>
      </c>
      <c r="E55" s="111"/>
      <c r="F55" s="35"/>
      <c r="G55" s="35" t="str">
        <f t="shared" si="24"/>
        <v>3#3#25|3#4#25|3#5#25|3#6#25|3#7#25|3#8#25|3#9#12|3#10#12|3#11#12|3#12#12</v>
      </c>
      <c r="H55" s="37" t="str">
        <f t="shared" si="23"/>
        <v>火龙精魄2/武器碎片5/烈焰玄铁5/火龙币48</v>
      </c>
    </row>
    <row r="56" spans="1:8" ht="15.75" x14ac:dyDescent="0.3">
      <c r="A56" s="35" t="s">
        <v>3169</v>
      </c>
      <c r="B56" s="35" t="s">
        <v>3170</v>
      </c>
      <c r="C56" s="41" t="s">
        <v>3175</v>
      </c>
      <c r="D56" s="35">
        <v>8</v>
      </c>
      <c r="E56" s="111"/>
      <c r="F56" s="35"/>
      <c r="G56" s="35" t="str">
        <f t="shared" si="24"/>
        <v>3#3#30|3#4#30|3#5#30|3#6#30|3#7#30|3#8#30|3#9#15|3#10#15|3#11#15|3#12#15</v>
      </c>
      <c r="H56" s="37" t="str">
        <f t="shared" si="23"/>
        <v>火龙精魄2/武器碎片5/烈焰玄铁5/火龙币50</v>
      </c>
    </row>
    <row r="57" spans="1:8" ht="15.75" x14ac:dyDescent="0.3">
      <c r="A57" s="35" t="s">
        <v>3169</v>
      </c>
      <c r="B57" s="35" t="s">
        <v>3170</v>
      </c>
      <c r="C57" s="41" t="s">
        <v>3175</v>
      </c>
      <c r="D57" s="35">
        <v>9</v>
      </c>
      <c r="E57" s="111"/>
      <c r="F57" s="35"/>
      <c r="G57" s="35" t="str">
        <f t="shared" si="24"/>
        <v>3#3#36|3#4#36|3#5#36|3#6#36|3#7#36|3#8#36|3#9#18|3#10#18|3#11#18|3#12#18</v>
      </c>
      <c r="H57" s="37" t="str">
        <f t="shared" si="23"/>
        <v>火龙精魄2/武器碎片5/烈焰玄铁5/火龙币53</v>
      </c>
    </row>
    <row r="58" spans="1:8" ht="15.75" x14ac:dyDescent="0.3">
      <c r="A58" s="35" t="s">
        <v>3169</v>
      </c>
      <c r="B58" s="35" t="s">
        <v>3170</v>
      </c>
      <c r="C58" s="41" t="s">
        <v>3175</v>
      </c>
      <c r="D58" s="35">
        <v>10</v>
      </c>
      <c r="E58" s="111"/>
      <c r="F58" s="35"/>
      <c r="G58" s="35" t="str">
        <f t="shared" si="24"/>
        <v>3#3#45|3#4#45|3#5#45|3#6#45|3#7#45|3#8#45|3#9#22|3#10#22|3#11#22|3#12#22</v>
      </c>
      <c r="H58" s="37"/>
    </row>
    <row r="59" spans="1:8" ht="15.75" x14ac:dyDescent="0.3">
      <c r="A59" s="35" t="s">
        <v>3169</v>
      </c>
      <c r="B59" s="35" t="s">
        <v>3170</v>
      </c>
      <c r="C59" s="41" t="s">
        <v>3176</v>
      </c>
      <c r="D59" s="35">
        <v>0</v>
      </c>
      <c r="E59" s="111"/>
      <c r="F59" s="35"/>
      <c r="G59" s="113"/>
      <c r="H59" s="37" t="str">
        <f>"火龙精魄"&amp;Z3&amp;"/武器碎片"&amp;AA3&amp;"/烈焰玄铁"&amp;AB3&amp;"/火龙币"&amp;AC3</f>
        <v>火龙精魄1/武器碎片3/烈焰玄铁3/火龙币32</v>
      </c>
    </row>
    <row r="60" spans="1:8" ht="15.75" x14ac:dyDescent="0.3">
      <c r="A60" s="35" t="s">
        <v>3169</v>
      </c>
      <c r="B60" s="35" t="s">
        <v>3170</v>
      </c>
      <c r="C60" s="41" t="s">
        <v>3176</v>
      </c>
      <c r="D60" s="35">
        <v>1</v>
      </c>
      <c r="E60" s="111"/>
      <c r="F60" s="35"/>
      <c r="G60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60" s="37" t="str">
        <f t="shared" ref="H60:H68" si="25">"火龙精魄"&amp;Z4&amp;"/武器碎片"&amp;AA4&amp;"/烈焰玄铁"&amp;AB4&amp;"/火龙币"&amp;AC4</f>
        <v>火龙精魄1/武器碎片3/烈焰玄铁3/火龙币35</v>
      </c>
    </row>
    <row r="61" spans="1:8" ht="15.75" x14ac:dyDescent="0.3">
      <c r="A61" s="35" t="s">
        <v>3169</v>
      </c>
      <c r="B61" s="35" t="s">
        <v>3170</v>
      </c>
      <c r="C61" s="41" t="s">
        <v>3176</v>
      </c>
      <c r="D61" s="35">
        <v>2</v>
      </c>
      <c r="E61" s="111"/>
      <c r="F61" s="35"/>
      <c r="G61" s="35" t="str">
        <f t="shared" ref="G61:G69" si="2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1" s="37" t="str">
        <f t="shared" si="25"/>
        <v>火龙精魄1/武器碎片4/烈焰玄铁4/火龙币37</v>
      </c>
    </row>
    <row r="62" spans="1:8" ht="15.75" x14ac:dyDescent="0.3">
      <c r="A62" s="35" t="s">
        <v>3169</v>
      </c>
      <c r="B62" s="35" t="s">
        <v>3170</v>
      </c>
      <c r="C62" s="41" t="s">
        <v>3176</v>
      </c>
      <c r="D62" s="35">
        <v>3</v>
      </c>
      <c r="E62" s="111"/>
      <c r="F62" s="35"/>
      <c r="G62" s="35" t="str">
        <f t="shared" si="26"/>
        <v>3#3#8|3#4#8|3#5#8|3#6#8|3#7#8|3#8#8|3#9#4|3#10#4|3#11#4|3#12#4</v>
      </c>
      <c r="H62" s="37" t="str">
        <f t="shared" si="25"/>
        <v>火龙精魄2/武器碎片4/烈焰玄铁4/火龙币39</v>
      </c>
    </row>
    <row r="63" spans="1:8" ht="15.75" x14ac:dyDescent="0.3">
      <c r="A63" s="35" t="s">
        <v>3169</v>
      </c>
      <c r="B63" s="35" t="s">
        <v>3170</v>
      </c>
      <c r="C63" s="41" t="s">
        <v>3176</v>
      </c>
      <c r="D63" s="35">
        <v>4</v>
      </c>
      <c r="E63" s="111"/>
      <c r="F63" s="35"/>
      <c r="G63" s="35" t="str">
        <f t="shared" si="26"/>
        <v>3#3#11|3#4#11|3#5#11|3#6#11|3#7#11|3#8#11|3#9#5|3#10#5|3#11#5|3#12#5</v>
      </c>
      <c r="H63" s="37" t="str">
        <f t="shared" si="25"/>
        <v>火龙精魄2/武器碎片4/烈焰玄铁4/火龙币41</v>
      </c>
    </row>
    <row r="64" spans="1:8" ht="15.75" x14ac:dyDescent="0.3">
      <c r="A64" s="35" t="s">
        <v>3169</v>
      </c>
      <c r="B64" s="35" t="s">
        <v>3170</v>
      </c>
      <c r="C64" s="41" t="s">
        <v>3176</v>
      </c>
      <c r="D64" s="35">
        <v>5</v>
      </c>
      <c r="E64" s="111"/>
      <c r="F64" s="35"/>
      <c r="G64" s="35" t="str">
        <f t="shared" si="26"/>
        <v>3#3#15|3#4#15|3#5#15|3#6#15|3#7#15|3#8#15|3#9#7|3#10#7|3#11#7|3#12#7</v>
      </c>
      <c r="H64" s="37" t="str">
        <f t="shared" si="25"/>
        <v>火龙精魄2/武器碎片4/烈焰玄铁4/火龙币44</v>
      </c>
    </row>
    <row r="65" spans="1:8" ht="15.75" x14ac:dyDescent="0.3">
      <c r="A65" s="35" t="s">
        <v>3169</v>
      </c>
      <c r="B65" s="35" t="s">
        <v>3170</v>
      </c>
      <c r="C65" s="41" t="s">
        <v>3176</v>
      </c>
      <c r="D65" s="35">
        <v>6</v>
      </c>
      <c r="E65" s="111"/>
      <c r="F65" s="35"/>
      <c r="G65" s="35" t="str">
        <f t="shared" si="26"/>
        <v>3#3#20|3#4#20|3#5#20|3#6#20|3#7#20|3#8#20|3#9#10|3#10#10|3#11#10|3#12#10</v>
      </c>
      <c r="H65" s="37" t="str">
        <f t="shared" si="25"/>
        <v>火龙精魄2/武器碎片5/烈焰玄铁5/火龙币46</v>
      </c>
    </row>
    <row r="66" spans="1:8" ht="15.75" x14ac:dyDescent="0.3">
      <c r="A66" s="35" t="s">
        <v>3169</v>
      </c>
      <c r="B66" s="35" t="s">
        <v>3170</v>
      </c>
      <c r="C66" s="41" t="s">
        <v>3176</v>
      </c>
      <c r="D66" s="35">
        <v>7</v>
      </c>
      <c r="E66" s="111"/>
      <c r="F66" s="35"/>
      <c r="G66" s="35" t="str">
        <f t="shared" si="26"/>
        <v>3#3#25|3#4#25|3#5#25|3#6#25|3#7#25|3#8#25|3#9#12|3#10#12|3#11#12|3#12#12</v>
      </c>
      <c r="H66" s="37" t="str">
        <f t="shared" si="25"/>
        <v>火龙精魄2/武器碎片5/烈焰玄铁5/火龙币48</v>
      </c>
    </row>
    <row r="67" spans="1:8" ht="15.75" x14ac:dyDescent="0.3">
      <c r="A67" s="35" t="s">
        <v>3169</v>
      </c>
      <c r="B67" s="35" t="s">
        <v>3170</v>
      </c>
      <c r="C67" s="41" t="s">
        <v>3176</v>
      </c>
      <c r="D67" s="35">
        <v>8</v>
      </c>
      <c r="E67" s="111"/>
      <c r="F67" s="35"/>
      <c r="G67" s="35" t="str">
        <f t="shared" si="26"/>
        <v>3#3#30|3#4#30|3#5#30|3#6#30|3#7#30|3#8#30|3#9#15|3#10#15|3#11#15|3#12#15</v>
      </c>
      <c r="H67" s="37" t="str">
        <f t="shared" si="25"/>
        <v>火龙精魄2/武器碎片5/烈焰玄铁5/火龙币50</v>
      </c>
    </row>
    <row r="68" spans="1:8" ht="15.75" x14ac:dyDescent="0.3">
      <c r="A68" s="35" t="s">
        <v>3169</v>
      </c>
      <c r="B68" s="35" t="s">
        <v>3170</v>
      </c>
      <c r="C68" s="41" t="s">
        <v>3176</v>
      </c>
      <c r="D68" s="35">
        <v>9</v>
      </c>
      <c r="E68" s="111"/>
      <c r="F68" s="35"/>
      <c r="G68" s="35" t="str">
        <f t="shared" si="26"/>
        <v>3#3#36|3#4#36|3#5#36|3#6#36|3#7#36|3#8#36|3#9#18|3#10#18|3#11#18|3#12#18</v>
      </c>
      <c r="H68" s="37" t="str">
        <f t="shared" si="25"/>
        <v>火龙精魄2/武器碎片5/烈焰玄铁5/火龙币53</v>
      </c>
    </row>
    <row r="69" spans="1:8" ht="15.75" x14ac:dyDescent="0.3">
      <c r="A69" s="35" t="s">
        <v>3169</v>
      </c>
      <c r="B69" s="35" t="s">
        <v>3170</v>
      </c>
      <c r="C69" s="41" t="s">
        <v>3176</v>
      </c>
      <c r="D69" s="35">
        <v>10</v>
      </c>
      <c r="E69" s="111"/>
      <c r="F69" s="35"/>
      <c r="G69" s="35" t="str">
        <f t="shared" si="26"/>
        <v>3#3#45|3#4#45|3#5#45|3#6#45|3#7#45|3#8#45|3#9#22|3#10#22|3#11#22|3#12#22</v>
      </c>
      <c r="H69" s="37"/>
    </row>
    <row r="70" spans="1:8" ht="15.75" x14ac:dyDescent="0.3">
      <c r="A70" s="35" t="s">
        <v>3169</v>
      </c>
      <c r="B70" s="35" t="s">
        <v>3170</v>
      </c>
      <c r="C70" s="41" t="s">
        <v>3177</v>
      </c>
      <c r="D70" s="35">
        <v>0</v>
      </c>
      <c r="E70" s="111"/>
      <c r="F70" s="35"/>
      <c r="G70" s="113"/>
      <c r="H70" s="37" t="str">
        <f>"火龙精魄"&amp;Z3&amp;"/武器碎片"&amp;AA3&amp;"/烈焰玄铁"&amp;AB3&amp;"/火龙币"&amp;AC3</f>
        <v>火龙精魄1/武器碎片3/烈焰玄铁3/火龙币32</v>
      </c>
    </row>
    <row r="71" spans="1:8" ht="15.75" x14ac:dyDescent="0.3">
      <c r="A71" s="35" t="s">
        <v>3169</v>
      </c>
      <c r="B71" s="35" t="s">
        <v>3170</v>
      </c>
      <c r="C71" s="41" t="s">
        <v>3177</v>
      </c>
      <c r="D71" s="35">
        <v>1</v>
      </c>
      <c r="E71" s="111"/>
      <c r="F71" s="35"/>
      <c r="G71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71" s="37" t="str">
        <f t="shared" ref="H71:H79" si="27">"火龙精魄"&amp;Z4&amp;"/武器碎片"&amp;AA4&amp;"/烈焰玄铁"&amp;AB4&amp;"/火龙币"&amp;AC4</f>
        <v>火龙精魄1/武器碎片3/烈焰玄铁3/火龙币35</v>
      </c>
    </row>
    <row r="72" spans="1:8" ht="15.75" x14ac:dyDescent="0.3">
      <c r="A72" s="35" t="s">
        <v>3169</v>
      </c>
      <c r="B72" s="35" t="s">
        <v>3170</v>
      </c>
      <c r="C72" s="41" t="s">
        <v>3177</v>
      </c>
      <c r="D72" s="35">
        <v>2</v>
      </c>
      <c r="E72" s="111"/>
      <c r="F72" s="35"/>
      <c r="G72" s="35" t="str">
        <f t="shared" ref="G72:G80" si="2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72" s="37" t="str">
        <f t="shared" si="27"/>
        <v>火龙精魄1/武器碎片4/烈焰玄铁4/火龙币37</v>
      </c>
    </row>
    <row r="73" spans="1:8" ht="15.75" x14ac:dyDescent="0.3">
      <c r="A73" s="35" t="s">
        <v>3169</v>
      </c>
      <c r="B73" s="35" t="s">
        <v>3170</v>
      </c>
      <c r="C73" s="41" t="s">
        <v>3177</v>
      </c>
      <c r="D73" s="35">
        <v>3</v>
      </c>
      <c r="E73" s="111"/>
      <c r="F73" s="35"/>
      <c r="G73" s="35" t="str">
        <f t="shared" si="28"/>
        <v>3#3#8|3#4#8|3#5#8|3#6#8|3#7#8|3#8#8|3#9#4|3#10#4|3#11#4|3#12#4</v>
      </c>
      <c r="H73" s="37" t="str">
        <f t="shared" si="27"/>
        <v>火龙精魄2/武器碎片4/烈焰玄铁4/火龙币39</v>
      </c>
    </row>
    <row r="74" spans="1:8" ht="15.75" x14ac:dyDescent="0.3">
      <c r="A74" s="35" t="s">
        <v>3169</v>
      </c>
      <c r="B74" s="35" t="s">
        <v>3170</v>
      </c>
      <c r="C74" s="41" t="s">
        <v>3177</v>
      </c>
      <c r="D74" s="35">
        <v>4</v>
      </c>
      <c r="E74" s="111"/>
      <c r="F74" s="35"/>
      <c r="G74" s="35" t="str">
        <f t="shared" si="28"/>
        <v>3#3#11|3#4#11|3#5#11|3#6#11|3#7#11|3#8#11|3#9#5|3#10#5|3#11#5|3#12#5</v>
      </c>
      <c r="H74" s="37" t="str">
        <f t="shared" si="27"/>
        <v>火龙精魄2/武器碎片4/烈焰玄铁4/火龙币41</v>
      </c>
    </row>
    <row r="75" spans="1:8" ht="15.75" x14ac:dyDescent="0.3">
      <c r="A75" s="35" t="s">
        <v>3169</v>
      </c>
      <c r="B75" s="35" t="s">
        <v>3170</v>
      </c>
      <c r="C75" s="41" t="s">
        <v>3177</v>
      </c>
      <c r="D75" s="35">
        <v>5</v>
      </c>
      <c r="E75" s="111"/>
      <c r="F75" s="35"/>
      <c r="G75" s="35" t="str">
        <f t="shared" si="28"/>
        <v>3#3#15|3#4#15|3#5#15|3#6#15|3#7#15|3#8#15|3#9#7|3#10#7|3#11#7|3#12#7</v>
      </c>
      <c r="H75" s="37" t="str">
        <f t="shared" si="27"/>
        <v>火龙精魄2/武器碎片4/烈焰玄铁4/火龙币44</v>
      </c>
    </row>
    <row r="76" spans="1:8" ht="15.75" x14ac:dyDescent="0.3">
      <c r="A76" s="35" t="s">
        <v>3169</v>
      </c>
      <c r="B76" s="35" t="s">
        <v>3170</v>
      </c>
      <c r="C76" s="41" t="s">
        <v>3177</v>
      </c>
      <c r="D76" s="35">
        <v>6</v>
      </c>
      <c r="E76" s="111"/>
      <c r="F76" s="35"/>
      <c r="G76" s="35" t="str">
        <f t="shared" si="28"/>
        <v>3#3#20|3#4#20|3#5#20|3#6#20|3#7#20|3#8#20|3#9#10|3#10#10|3#11#10|3#12#10</v>
      </c>
      <c r="H76" s="37" t="str">
        <f t="shared" si="27"/>
        <v>火龙精魄2/武器碎片5/烈焰玄铁5/火龙币46</v>
      </c>
    </row>
    <row r="77" spans="1:8" ht="15.75" x14ac:dyDescent="0.3">
      <c r="A77" s="35" t="s">
        <v>3169</v>
      </c>
      <c r="B77" s="35" t="s">
        <v>3170</v>
      </c>
      <c r="C77" s="41" t="s">
        <v>3177</v>
      </c>
      <c r="D77" s="35">
        <v>7</v>
      </c>
      <c r="E77" s="111"/>
      <c r="F77" s="35"/>
      <c r="G77" s="35" t="str">
        <f t="shared" si="28"/>
        <v>3#3#25|3#4#25|3#5#25|3#6#25|3#7#25|3#8#25|3#9#12|3#10#12|3#11#12|3#12#12</v>
      </c>
      <c r="H77" s="37" t="str">
        <f t="shared" si="27"/>
        <v>火龙精魄2/武器碎片5/烈焰玄铁5/火龙币48</v>
      </c>
    </row>
    <row r="78" spans="1:8" ht="15.75" x14ac:dyDescent="0.3">
      <c r="A78" s="35" t="s">
        <v>3169</v>
      </c>
      <c r="B78" s="35" t="s">
        <v>3170</v>
      </c>
      <c r="C78" s="41" t="s">
        <v>3177</v>
      </c>
      <c r="D78" s="35">
        <v>8</v>
      </c>
      <c r="E78" s="111"/>
      <c r="F78" s="35"/>
      <c r="G78" s="35" t="str">
        <f t="shared" si="28"/>
        <v>3#3#30|3#4#30|3#5#30|3#6#30|3#7#30|3#8#30|3#9#15|3#10#15|3#11#15|3#12#15</v>
      </c>
      <c r="H78" s="37" t="str">
        <f t="shared" si="27"/>
        <v>火龙精魄2/武器碎片5/烈焰玄铁5/火龙币50</v>
      </c>
    </row>
    <row r="79" spans="1:8" ht="15.75" x14ac:dyDescent="0.3">
      <c r="A79" s="35" t="s">
        <v>3169</v>
      </c>
      <c r="B79" s="35" t="s">
        <v>3170</v>
      </c>
      <c r="C79" s="41" t="s">
        <v>3177</v>
      </c>
      <c r="D79" s="35">
        <v>9</v>
      </c>
      <c r="E79" s="111"/>
      <c r="F79" s="35"/>
      <c r="G79" s="35" t="str">
        <f t="shared" si="28"/>
        <v>3#3#36|3#4#36|3#5#36|3#6#36|3#7#36|3#8#36|3#9#18|3#10#18|3#11#18|3#12#18</v>
      </c>
      <c r="H79" s="37" t="str">
        <f t="shared" si="27"/>
        <v>火龙精魄2/武器碎片5/烈焰玄铁5/火龙币53</v>
      </c>
    </row>
    <row r="80" spans="1:8" ht="15.75" x14ac:dyDescent="0.3">
      <c r="A80" s="35" t="s">
        <v>3169</v>
      </c>
      <c r="B80" s="35" t="s">
        <v>3170</v>
      </c>
      <c r="C80" s="41" t="s">
        <v>3177</v>
      </c>
      <c r="D80" s="35">
        <v>10</v>
      </c>
      <c r="E80" s="111"/>
      <c r="F80" s="35"/>
      <c r="G80" s="35" t="str">
        <f t="shared" si="28"/>
        <v>3#3#45|3#4#45|3#5#45|3#6#45|3#7#45|3#8#45|3#9#22|3#10#22|3#11#22|3#12#22</v>
      </c>
      <c r="H80" s="37"/>
    </row>
    <row r="81" spans="1:8" ht="15.75" x14ac:dyDescent="0.3">
      <c r="A81" s="35" t="s">
        <v>3169</v>
      </c>
      <c r="B81" s="35" t="s">
        <v>3170</v>
      </c>
      <c r="C81" s="41" t="s">
        <v>3178</v>
      </c>
      <c r="D81" s="35">
        <v>0</v>
      </c>
      <c r="E81" s="111"/>
      <c r="F81" s="35"/>
      <c r="G81" s="113"/>
      <c r="H81" s="37" t="str">
        <f>"火龙精魄"&amp;Z3&amp;"/武器碎片"&amp;AA3&amp;"/烈焰玄铁"&amp;AB3&amp;"/火龙币"&amp;AC3</f>
        <v>火龙精魄1/武器碎片3/烈焰玄铁3/火龙币32</v>
      </c>
    </row>
    <row r="82" spans="1:8" ht="15.75" x14ac:dyDescent="0.3">
      <c r="A82" s="35" t="s">
        <v>3169</v>
      </c>
      <c r="B82" s="35" t="s">
        <v>3170</v>
      </c>
      <c r="C82" s="41" t="s">
        <v>3178</v>
      </c>
      <c r="D82" s="35">
        <v>1</v>
      </c>
      <c r="E82" s="111"/>
      <c r="F82" s="35"/>
      <c r="G82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82" s="37" t="str">
        <f t="shared" ref="H82:H90" si="29">"火龙精魄"&amp;Z4&amp;"/武器碎片"&amp;AA4&amp;"/烈焰玄铁"&amp;AB4&amp;"/火龙币"&amp;AC4</f>
        <v>火龙精魄1/武器碎片3/烈焰玄铁3/火龙币35</v>
      </c>
    </row>
    <row r="83" spans="1:8" ht="15.75" x14ac:dyDescent="0.3">
      <c r="A83" s="35" t="s">
        <v>3169</v>
      </c>
      <c r="B83" s="35" t="s">
        <v>3170</v>
      </c>
      <c r="C83" s="41" t="s">
        <v>3178</v>
      </c>
      <c r="D83" s="35">
        <v>2</v>
      </c>
      <c r="E83" s="111"/>
      <c r="F83" s="35"/>
      <c r="G83" s="35" t="str">
        <f t="shared" ref="G83:G91" si="3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83" s="37" t="str">
        <f t="shared" si="29"/>
        <v>火龙精魄1/武器碎片4/烈焰玄铁4/火龙币37</v>
      </c>
    </row>
    <row r="84" spans="1:8" ht="15.75" x14ac:dyDescent="0.3">
      <c r="A84" s="35" t="s">
        <v>3169</v>
      </c>
      <c r="B84" s="35" t="s">
        <v>3170</v>
      </c>
      <c r="C84" s="41" t="s">
        <v>3178</v>
      </c>
      <c r="D84" s="35">
        <v>3</v>
      </c>
      <c r="E84" s="111"/>
      <c r="F84" s="35"/>
      <c r="G84" s="35" t="str">
        <f t="shared" si="30"/>
        <v>3#3#8|3#4#8|3#5#8|3#6#8|3#7#8|3#8#8|3#9#4|3#10#4|3#11#4|3#12#4</v>
      </c>
      <c r="H84" s="37" t="str">
        <f t="shared" si="29"/>
        <v>火龙精魄2/武器碎片4/烈焰玄铁4/火龙币39</v>
      </c>
    </row>
    <row r="85" spans="1:8" ht="15.75" x14ac:dyDescent="0.3">
      <c r="A85" s="35" t="s">
        <v>3169</v>
      </c>
      <c r="B85" s="35" t="s">
        <v>3170</v>
      </c>
      <c r="C85" s="41" t="s">
        <v>3178</v>
      </c>
      <c r="D85" s="35">
        <v>4</v>
      </c>
      <c r="E85" s="111"/>
      <c r="F85" s="35"/>
      <c r="G85" s="35" t="str">
        <f t="shared" si="30"/>
        <v>3#3#11|3#4#11|3#5#11|3#6#11|3#7#11|3#8#11|3#9#5|3#10#5|3#11#5|3#12#5</v>
      </c>
      <c r="H85" s="37" t="str">
        <f t="shared" si="29"/>
        <v>火龙精魄2/武器碎片4/烈焰玄铁4/火龙币41</v>
      </c>
    </row>
    <row r="86" spans="1:8" ht="15.75" x14ac:dyDescent="0.3">
      <c r="A86" s="35" t="s">
        <v>3169</v>
      </c>
      <c r="B86" s="35" t="s">
        <v>3170</v>
      </c>
      <c r="C86" s="41" t="s">
        <v>3178</v>
      </c>
      <c r="D86" s="35">
        <v>5</v>
      </c>
      <c r="E86" s="111"/>
      <c r="F86" s="35"/>
      <c r="G86" s="35" t="str">
        <f t="shared" si="30"/>
        <v>3#3#15|3#4#15|3#5#15|3#6#15|3#7#15|3#8#15|3#9#7|3#10#7|3#11#7|3#12#7</v>
      </c>
      <c r="H86" s="37" t="str">
        <f t="shared" si="29"/>
        <v>火龙精魄2/武器碎片4/烈焰玄铁4/火龙币44</v>
      </c>
    </row>
    <row r="87" spans="1:8" ht="15.75" x14ac:dyDescent="0.3">
      <c r="A87" s="35" t="s">
        <v>3169</v>
      </c>
      <c r="B87" s="35" t="s">
        <v>3170</v>
      </c>
      <c r="C87" s="41" t="s">
        <v>3178</v>
      </c>
      <c r="D87" s="35">
        <v>6</v>
      </c>
      <c r="E87" s="111"/>
      <c r="F87" s="35"/>
      <c r="G87" s="35" t="str">
        <f t="shared" si="30"/>
        <v>3#3#20|3#4#20|3#5#20|3#6#20|3#7#20|3#8#20|3#9#10|3#10#10|3#11#10|3#12#10</v>
      </c>
      <c r="H87" s="37" t="str">
        <f t="shared" si="29"/>
        <v>火龙精魄2/武器碎片5/烈焰玄铁5/火龙币46</v>
      </c>
    </row>
    <row r="88" spans="1:8" ht="15.75" x14ac:dyDescent="0.3">
      <c r="A88" s="35" t="s">
        <v>3169</v>
      </c>
      <c r="B88" s="35" t="s">
        <v>3170</v>
      </c>
      <c r="C88" s="41" t="s">
        <v>3178</v>
      </c>
      <c r="D88" s="35">
        <v>7</v>
      </c>
      <c r="E88" s="111"/>
      <c r="F88" s="35"/>
      <c r="G88" s="35" t="str">
        <f t="shared" si="30"/>
        <v>3#3#25|3#4#25|3#5#25|3#6#25|3#7#25|3#8#25|3#9#12|3#10#12|3#11#12|3#12#12</v>
      </c>
      <c r="H88" s="37" t="str">
        <f t="shared" si="29"/>
        <v>火龙精魄2/武器碎片5/烈焰玄铁5/火龙币48</v>
      </c>
    </row>
    <row r="89" spans="1:8" ht="15.75" x14ac:dyDescent="0.3">
      <c r="A89" s="35" t="s">
        <v>3169</v>
      </c>
      <c r="B89" s="35" t="s">
        <v>3170</v>
      </c>
      <c r="C89" s="41" t="s">
        <v>3178</v>
      </c>
      <c r="D89" s="35">
        <v>8</v>
      </c>
      <c r="E89" s="111"/>
      <c r="F89" s="35"/>
      <c r="G89" s="35" t="str">
        <f t="shared" si="30"/>
        <v>3#3#30|3#4#30|3#5#30|3#6#30|3#7#30|3#8#30|3#9#15|3#10#15|3#11#15|3#12#15</v>
      </c>
      <c r="H89" s="37" t="str">
        <f t="shared" si="29"/>
        <v>火龙精魄2/武器碎片5/烈焰玄铁5/火龙币50</v>
      </c>
    </row>
    <row r="90" spans="1:8" ht="15.75" x14ac:dyDescent="0.3">
      <c r="A90" s="35" t="s">
        <v>3169</v>
      </c>
      <c r="B90" s="35" t="s">
        <v>3170</v>
      </c>
      <c r="C90" s="41" t="s">
        <v>3178</v>
      </c>
      <c r="D90" s="35">
        <v>9</v>
      </c>
      <c r="E90" s="111"/>
      <c r="F90" s="35"/>
      <c r="G90" s="35" t="str">
        <f t="shared" si="30"/>
        <v>3#3#36|3#4#36|3#5#36|3#6#36|3#7#36|3#8#36|3#9#18|3#10#18|3#11#18|3#12#18</v>
      </c>
      <c r="H90" s="37" t="str">
        <f t="shared" si="29"/>
        <v>火龙精魄2/武器碎片5/烈焰玄铁5/火龙币53</v>
      </c>
    </row>
    <row r="91" spans="1:8" ht="15.75" x14ac:dyDescent="0.3">
      <c r="A91" s="35" t="s">
        <v>3169</v>
      </c>
      <c r="B91" s="35" t="s">
        <v>3170</v>
      </c>
      <c r="C91" s="41" t="s">
        <v>3178</v>
      </c>
      <c r="D91" s="35">
        <v>10</v>
      </c>
      <c r="E91" s="111"/>
      <c r="F91" s="35"/>
      <c r="G91" s="35" t="str">
        <f t="shared" si="30"/>
        <v>3#3#45|3#4#45|3#5#45|3#6#45|3#7#45|3#8#45|3#9#22|3#10#22|3#11#22|3#12#22</v>
      </c>
      <c r="H91" s="37"/>
    </row>
    <row r="92" spans="1:8" ht="15.75" x14ac:dyDescent="0.3">
      <c r="A92" s="35" t="s">
        <v>3169</v>
      </c>
      <c r="B92" s="35" t="s">
        <v>3170</v>
      </c>
      <c r="C92" s="41" t="s">
        <v>3179</v>
      </c>
      <c r="D92" s="35">
        <v>0</v>
      </c>
      <c r="E92" s="111"/>
      <c r="F92" s="35"/>
      <c r="G92" s="113"/>
      <c r="H92" s="37" t="str">
        <f>"火龙精魄"&amp;Z3&amp;"/武器碎片"&amp;AA3&amp;"/烈焰玄铁"&amp;AB3&amp;"/火龙币"&amp;AC3</f>
        <v>火龙精魄1/武器碎片3/烈焰玄铁3/火龙币32</v>
      </c>
    </row>
    <row r="93" spans="1:8" ht="15.75" x14ac:dyDescent="0.3">
      <c r="A93" s="35" t="s">
        <v>3169</v>
      </c>
      <c r="B93" s="35" t="s">
        <v>3170</v>
      </c>
      <c r="C93" s="41" t="s">
        <v>3179</v>
      </c>
      <c r="D93" s="35">
        <v>1</v>
      </c>
      <c r="E93" s="111"/>
      <c r="F93" s="35"/>
      <c r="G93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93" s="37" t="str">
        <f t="shared" ref="H93:H101" si="31">"火龙精魄"&amp;Z4&amp;"/武器碎片"&amp;AA4&amp;"/烈焰玄铁"&amp;AB4&amp;"/火龙币"&amp;AC4</f>
        <v>火龙精魄1/武器碎片3/烈焰玄铁3/火龙币35</v>
      </c>
    </row>
    <row r="94" spans="1:8" ht="15.75" x14ac:dyDescent="0.3">
      <c r="A94" s="35" t="s">
        <v>3169</v>
      </c>
      <c r="B94" s="35" t="s">
        <v>3170</v>
      </c>
      <c r="C94" s="41" t="s">
        <v>3179</v>
      </c>
      <c r="D94" s="35">
        <v>2</v>
      </c>
      <c r="E94" s="111"/>
      <c r="F94" s="35"/>
      <c r="G94" s="35" t="str">
        <f t="shared" ref="G94:G102" si="3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94" s="37" t="str">
        <f t="shared" si="31"/>
        <v>火龙精魄1/武器碎片4/烈焰玄铁4/火龙币37</v>
      </c>
    </row>
    <row r="95" spans="1:8" ht="15.75" x14ac:dyDescent="0.3">
      <c r="A95" s="35" t="s">
        <v>3169</v>
      </c>
      <c r="B95" s="35" t="s">
        <v>3170</v>
      </c>
      <c r="C95" s="41" t="s">
        <v>3179</v>
      </c>
      <c r="D95" s="35">
        <v>3</v>
      </c>
      <c r="E95" s="111"/>
      <c r="F95" s="35"/>
      <c r="G95" s="35" t="str">
        <f t="shared" si="32"/>
        <v>3#3#8|3#4#8|3#5#8|3#6#8|3#7#8|3#8#8|3#9#4|3#10#4|3#11#4|3#12#4</v>
      </c>
      <c r="H95" s="37" t="str">
        <f t="shared" si="31"/>
        <v>火龙精魄2/武器碎片4/烈焰玄铁4/火龙币39</v>
      </c>
    </row>
    <row r="96" spans="1:8" ht="15.75" x14ac:dyDescent="0.3">
      <c r="A96" s="35" t="s">
        <v>3169</v>
      </c>
      <c r="B96" s="35" t="s">
        <v>3170</v>
      </c>
      <c r="C96" s="41" t="s">
        <v>3179</v>
      </c>
      <c r="D96" s="35">
        <v>4</v>
      </c>
      <c r="E96" s="111"/>
      <c r="F96" s="35"/>
      <c r="G96" s="35" t="str">
        <f t="shared" si="32"/>
        <v>3#3#11|3#4#11|3#5#11|3#6#11|3#7#11|3#8#11|3#9#5|3#10#5|3#11#5|3#12#5</v>
      </c>
      <c r="H96" s="37" t="str">
        <f t="shared" si="31"/>
        <v>火龙精魄2/武器碎片4/烈焰玄铁4/火龙币41</v>
      </c>
    </row>
    <row r="97" spans="1:8" ht="15.75" x14ac:dyDescent="0.3">
      <c r="A97" s="35" t="s">
        <v>3169</v>
      </c>
      <c r="B97" s="35" t="s">
        <v>3170</v>
      </c>
      <c r="C97" s="41" t="s">
        <v>3179</v>
      </c>
      <c r="D97" s="35">
        <v>5</v>
      </c>
      <c r="E97" s="111"/>
      <c r="F97" s="35"/>
      <c r="G97" s="35" t="str">
        <f t="shared" si="32"/>
        <v>3#3#15|3#4#15|3#5#15|3#6#15|3#7#15|3#8#15|3#9#7|3#10#7|3#11#7|3#12#7</v>
      </c>
      <c r="H97" s="37" t="str">
        <f t="shared" si="31"/>
        <v>火龙精魄2/武器碎片4/烈焰玄铁4/火龙币44</v>
      </c>
    </row>
    <row r="98" spans="1:8" ht="15.75" x14ac:dyDescent="0.3">
      <c r="A98" s="35" t="s">
        <v>3169</v>
      </c>
      <c r="B98" s="35" t="s">
        <v>3170</v>
      </c>
      <c r="C98" s="41" t="s">
        <v>3179</v>
      </c>
      <c r="D98" s="35">
        <v>6</v>
      </c>
      <c r="E98" s="111"/>
      <c r="F98" s="35"/>
      <c r="G98" s="35" t="str">
        <f t="shared" si="32"/>
        <v>3#3#20|3#4#20|3#5#20|3#6#20|3#7#20|3#8#20|3#9#10|3#10#10|3#11#10|3#12#10</v>
      </c>
      <c r="H98" s="37" t="str">
        <f t="shared" si="31"/>
        <v>火龙精魄2/武器碎片5/烈焰玄铁5/火龙币46</v>
      </c>
    </row>
    <row r="99" spans="1:8" ht="15.75" x14ac:dyDescent="0.3">
      <c r="A99" s="35" t="s">
        <v>3169</v>
      </c>
      <c r="B99" s="35" t="s">
        <v>3170</v>
      </c>
      <c r="C99" s="41" t="s">
        <v>3179</v>
      </c>
      <c r="D99" s="35">
        <v>7</v>
      </c>
      <c r="E99" s="111"/>
      <c r="F99" s="35"/>
      <c r="G99" s="35" t="str">
        <f t="shared" si="32"/>
        <v>3#3#25|3#4#25|3#5#25|3#6#25|3#7#25|3#8#25|3#9#12|3#10#12|3#11#12|3#12#12</v>
      </c>
      <c r="H99" s="37" t="str">
        <f t="shared" si="31"/>
        <v>火龙精魄2/武器碎片5/烈焰玄铁5/火龙币48</v>
      </c>
    </row>
    <row r="100" spans="1:8" ht="15.75" x14ac:dyDescent="0.3">
      <c r="A100" s="35" t="s">
        <v>3169</v>
      </c>
      <c r="B100" s="35" t="s">
        <v>3170</v>
      </c>
      <c r="C100" s="41" t="s">
        <v>3179</v>
      </c>
      <c r="D100" s="35">
        <v>8</v>
      </c>
      <c r="E100" s="111"/>
      <c r="F100" s="35"/>
      <c r="G100" s="35" t="str">
        <f t="shared" si="32"/>
        <v>3#3#30|3#4#30|3#5#30|3#6#30|3#7#30|3#8#30|3#9#15|3#10#15|3#11#15|3#12#15</v>
      </c>
      <c r="H100" s="37" t="str">
        <f t="shared" si="31"/>
        <v>火龙精魄2/武器碎片5/烈焰玄铁5/火龙币50</v>
      </c>
    </row>
    <row r="101" spans="1:8" ht="15.75" x14ac:dyDescent="0.3">
      <c r="A101" s="35" t="s">
        <v>3169</v>
      </c>
      <c r="B101" s="35" t="s">
        <v>3170</v>
      </c>
      <c r="C101" s="41" t="s">
        <v>3179</v>
      </c>
      <c r="D101" s="35">
        <v>9</v>
      </c>
      <c r="E101" s="111"/>
      <c r="F101" s="35"/>
      <c r="G101" s="35" t="str">
        <f t="shared" si="32"/>
        <v>3#3#36|3#4#36|3#5#36|3#6#36|3#7#36|3#8#36|3#9#18|3#10#18|3#11#18|3#12#18</v>
      </c>
      <c r="H101" s="37" t="str">
        <f t="shared" si="31"/>
        <v>火龙精魄2/武器碎片5/烈焰玄铁5/火龙币53</v>
      </c>
    </row>
    <row r="102" spans="1:8" ht="15.75" x14ac:dyDescent="0.3">
      <c r="A102" s="35" t="s">
        <v>3169</v>
      </c>
      <c r="B102" s="35" t="s">
        <v>3170</v>
      </c>
      <c r="C102" s="41" t="s">
        <v>3179</v>
      </c>
      <c r="D102" s="35">
        <v>10</v>
      </c>
      <c r="E102" s="111"/>
      <c r="F102" s="35"/>
      <c r="G102" s="35" t="str">
        <f t="shared" si="32"/>
        <v>3#3#45|3#4#45|3#5#45|3#6#45|3#7#45|3#8#45|3#9#22|3#10#22|3#11#22|3#12#22</v>
      </c>
      <c r="H102" s="37"/>
    </row>
    <row r="103" spans="1:8" ht="15.75" x14ac:dyDescent="0.3">
      <c r="A103" s="35" t="s">
        <v>3169</v>
      </c>
      <c r="B103" s="35" t="s">
        <v>3170</v>
      </c>
      <c r="C103" s="41" t="s">
        <v>3180</v>
      </c>
      <c r="D103" s="35">
        <v>0</v>
      </c>
      <c r="E103" s="111"/>
      <c r="F103" s="35"/>
      <c r="G103" s="113"/>
      <c r="H103" s="37" t="str">
        <f>"火龙精魄"&amp;Z3&amp;"/武器碎片"&amp;AA3&amp;"/烈焰玄铁"&amp;AB3&amp;"/火龙币"&amp;AC3</f>
        <v>火龙精魄1/武器碎片3/烈焰玄铁3/火龙币32</v>
      </c>
    </row>
    <row r="104" spans="1:8" ht="15.75" x14ac:dyDescent="0.3">
      <c r="A104" s="35" t="s">
        <v>3169</v>
      </c>
      <c r="B104" s="35" t="s">
        <v>3170</v>
      </c>
      <c r="C104" s="41" t="s">
        <v>3180</v>
      </c>
      <c r="D104" s="35">
        <v>1</v>
      </c>
      <c r="E104" s="111"/>
      <c r="F104" s="35"/>
      <c r="G104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04" s="37" t="str">
        <f t="shared" ref="H104:H112" si="33">"火龙精魄"&amp;Z4&amp;"/武器碎片"&amp;AA4&amp;"/烈焰玄铁"&amp;AB4&amp;"/火龙币"&amp;AC4</f>
        <v>火龙精魄1/武器碎片3/烈焰玄铁3/火龙币35</v>
      </c>
    </row>
    <row r="105" spans="1:8" ht="15.75" x14ac:dyDescent="0.3">
      <c r="A105" s="35" t="s">
        <v>3169</v>
      </c>
      <c r="B105" s="35" t="s">
        <v>3170</v>
      </c>
      <c r="C105" s="41" t="s">
        <v>3180</v>
      </c>
      <c r="D105" s="35">
        <v>2</v>
      </c>
      <c r="E105" s="111"/>
      <c r="F105" s="35"/>
      <c r="G105" s="35" t="str">
        <f t="shared" ref="G105:G113" si="3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05" s="37" t="str">
        <f t="shared" si="33"/>
        <v>火龙精魄1/武器碎片4/烈焰玄铁4/火龙币37</v>
      </c>
    </row>
    <row r="106" spans="1:8" ht="15.75" x14ac:dyDescent="0.3">
      <c r="A106" s="35" t="s">
        <v>3169</v>
      </c>
      <c r="B106" s="35" t="s">
        <v>3170</v>
      </c>
      <c r="C106" s="41" t="s">
        <v>3180</v>
      </c>
      <c r="D106" s="35">
        <v>3</v>
      </c>
      <c r="E106" s="111"/>
      <c r="F106" s="35"/>
      <c r="G106" s="35" t="str">
        <f t="shared" si="34"/>
        <v>3#3#8|3#4#8|3#5#8|3#6#8|3#7#8|3#8#8|3#9#4|3#10#4|3#11#4|3#12#4</v>
      </c>
      <c r="H106" s="37" t="str">
        <f t="shared" si="33"/>
        <v>火龙精魄2/武器碎片4/烈焰玄铁4/火龙币39</v>
      </c>
    </row>
    <row r="107" spans="1:8" ht="15.75" x14ac:dyDescent="0.3">
      <c r="A107" s="35" t="s">
        <v>3169</v>
      </c>
      <c r="B107" s="35" t="s">
        <v>3170</v>
      </c>
      <c r="C107" s="41" t="s">
        <v>3180</v>
      </c>
      <c r="D107" s="35">
        <v>4</v>
      </c>
      <c r="E107" s="111"/>
      <c r="F107" s="35"/>
      <c r="G107" s="35" t="str">
        <f t="shared" si="34"/>
        <v>3#3#11|3#4#11|3#5#11|3#6#11|3#7#11|3#8#11|3#9#5|3#10#5|3#11#5|3#12#5</v>
      </c>
      <c r="H107" s="37" t="str">
        <f t="shared" si="33"/>
        <v>火龙精魄2/武器碎片4/烈焰玄铁4/火龙币41</v>
      </c>
    </row>
    <row r="108" spans="1:8" ht="15.75" x14ac:dyDescent="0.3">
      <c r="A108" s="35" t="s">
        <v>3169</v>
      </c>
      <c r="B108" s="35" t="s">
        <v>3170</v>
      </c>
      <c r="C108" s="41" t="s">
        <v>3180</v>
      </c>
      <c r="D108" s="35">
        <v>5</v>
      </c>
      <c r="E108" s="111"/>
      <c r="F108" s="35"/>
      <c r="G108" s="35" t="str">
        <f t="shared" si="34"/>
        <v>3#3#15|3#4#15|3#5#15|3#6#15|3#7#15|3#8#15|3#9#7|3#10#7|3#11#7|3#12#7</v>
      </c>
      <c r="H108" s="37" t="str">
        <f t="shared" si="33"/>
        <v>火龙精魄2/武器碎片4/烈焰玄铁4/火龙币44</v>
      </c>
    </row>
    <row r="109" spans="1:8" ht="15.75" x14ac:dyDescent="0.3">
      <c r="A109" s="35" t="s">
        <v>3169</v>
      </c>
      <c r="B109" s="35" t="s">
        <v>3170</v>
      </c>
      <c r="C109" s="41" t="s">
        <v>3180</v>
      </c>
      <c r="D109" s="35">
        <v>6</v>
      </c>
      <c r="E109" s="111"/>
      <c r="F109" s="35"/>
      <c r="G109" s="35" t="str">
        <f t="shared" si="34"/>
        <v>3#3#20|3#4#20|3#5#20|3#6#20|3#7#20|3#8#20|3#9#10|3#10#10|3#11#10|3#12#10</v>
      </c>
      <c r="H109" s="37" t="str">
        <f t="shared" si="33"/>
        <v>火龙精魄2/武器碎片5/烈焰玄铁5/火龙币46</v>
      </c>
    </row>
    <row r="110" spans="1:8" ht="15.75" x14ac:dyDescent="0.3">
      <c r="A110" s="35" t="s">
        <v>3169</v>
      </c>
      <c r="B110" s="35" t="s">
        <v>3170</v>
      </c>
      <c r="C110" s="41" t="s">
        <v>3180</v>
      </c>
      <c r="D110" s="35">
        <v>7</v>
      </c>
      <c r="E110" s="111"/>
      <c r="F110" s="35"/>
      <c r="G110" s="35" t="str">
        <f t="shared" si="34"/>
        <v>3#3#25|3#4#25|3#5#25|3#6#25|3#7#25|3#8#25|3#9#12|3#10#12|3#11#12|3#12#12</v>
      </c>
      <c r="H110" s="37" t="str">
        <f t="shared" si="33"/>
        <v>火龙精魄2/武器碎片5/烈焰玄铁5/火龙币48</v>
      </c>
    </row>
    <row r="111" spans="1:8" ht="15.75" x14ac:dyDescent="0.3">
      <c r="A111" s="35" t="s">
        <v>3169</v>
      </c>
      <c r="B111" s="35" t="s">
        <v>3170</v>
      </c>
      <c r="C111" s="41" t="s">
        <v>3180</v>
      </c>
      <c r="D111" s="35">
        <v>8</v>
      </c>
      <c r="E111" s="111"/>
      <c r="F111" s="35"/>
      <c r="G111" s="35" t="str">
        <f t="shared" si="34"/>
        <v>3#3#30|3#4#30|3#5#30|3#6#30|3#7#30|3#8#30|3#9#15|3#10#15|3#11#15|3#12#15</v>
      </c>
      <c r="H111" s="37" t="str">
        <f t="shared" si="33"/>
        <v>火龙精魄2/武器碎片5/烈焰玄铁5/火龙币50</v>
      </c>
    </row>
    <row r="112" spans="1:8" ht="15.75" x14ac:dyDescent="0.3">
      <c r="A112" s="35" t="s">
        <v>3169</v>
      </c>
      <c r="B112" s="35" t="s">
        <v>3170</v>
      </c>
      <c r="C112" s="41" t="s">
        <v>3180</v>
      </c>
      <c r="D112" s="35">
        <v>9</v>
      </c>
      <c r="E112" s="111"/>
      <c r="F112" s="35"/>
      <c r="G112" s="35" t="str">
        <f t="shared" si="34"/>
        <v>3#3#36|3#4#36|3#5#36|3#6#36|3#7#36|3#8#36|3#9#18|3#10#18|3#11#18|3#12#18</v>
      </c>
      <c r="H112" s="37" t="str">
        <f t="shared" si="33"/>
        <v>火龙精魄2/武器碎片5/烈焰玄铁5/火龙币53</v>
      </c>
    </row>
    <row r="113" spans="1:8" ht="15.75" x14ac:dyDescent="0.3">
      <c r="A113" s="35" t="s">
        <v>3169</v>
      </c>
      <c r="B113" s="35" t="s">
        <v>3170</v>
      </c>
      <c r="C113" s="41" t="s">
        <v>3180</v>
      </c>
      <c r="D113" s="35">
        <v>10</v>
      </c>
      <c r="E113" s="111"/>
      <c r="F113" s="35"/>
      <c r="G113" s="35" t="str">
        <f t="shared" si="34"/>
        <v>3#3#45|3#4#45|3#5#45|3#6#45|3#7#45|3#8#45|3#9#22|3#10#22|3#11#22|3#12#22</v>
      </c>
      <c r="H113" s="37"/>
    </row>
    <row r="114" spans="1:8" ht="15.75" x14ac:dyDescent="0.3">
      <c r="A114" s="44" t="s">
        <v>3169</v>
      </c>
      <c r="B114" s="44" t="s">
        <v>3181</v>
      </c>
      <c r="C114" s="45" t="s">
        <v>3182</v>
      </c>
      <c r="D114" s="44">
        <v>0</v>
      </c>
      <c r="E114" s="114"/>
      <c r="F114" s="44"/>
      <c r="G114" s="117"/>
      <c r="H114" s="116" t="str">
        <f>"魔龙之心"&amp;Z3&amp;"/衣服碎片"&amp;AA3&amp;"/烈焰玄铁"&amp;AB3&amp;"/火龙币"&amp;AC3</f>
        <v>魔龙之心1/衣服碎片3/烈焰玄铁3/火龙币32</v>
      </c>
    </row>
    <row r="115" spans="1:8" ht="15.75" x14ac:dyDescent="0.3">
      <c r="A115" s="44" t="s">
        <v>3169</v>
      </c>
      <c r="B115" s="44" t="s">
        <v>3181</v>
      </c>
      <c r="C115" s="45" t="s">
        <v>3182</v>
      </c>
      <c r="D115" s="44">
        <v>1</v>
      </c>
      <c r="E115" s="114"/>
      <c r="F115" s="44"/>
      <c r="G115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15" s="116" t="str">
        <f t="shared" ref="H115:H123" si="35">"魔龙之心"&amp;Z4&amp;"/衣服碎片"&amp;AA4&amp;"/烈焰玄铁"&amp;AB4&amp;"/火龙币"&amp;AC4</f>
        <v>魔龙之心1/衣服碎片3/烈焰玄铁3/火龙币35</v>
      </c>
    </row>
    <row r="116" spans="1:8" ht="15.75" x14ac:dyDescent="0.3">
      <c r="A116" s="44" t="s">
        <v>3169</v>
      </c>
      <c r="B116" s="44" t="s">
        <v>3181</v>
      </c>
      <c r="C116" s="45" t="s">
        <v>3182</v>
      </c>
      <c r="D116" s="44">
        <v>2</v>
      </c>
      <c r="E116" s="114"/>
      <c r="F116" s="44"/>
      <c r="G116" s="44" t="str">
        <f t="shared" ref="G116:G124" si="3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16" s="116" t="str">
        <f t="shared" si="35"/>
        <v>魔龙之心1/衣服碎片4/烈焰玄铁4/火龙币37</v>
      </c>
    </row>
    <row r="117" spans="1:8" ht="15.75" x14ac:dyDescent="0.3">
      <c r="A117" s="44" t="s">
        <v>3169</v>
      </c>
      <c r="B117" s="44" t="s">
        <v>3181</v>
      </c>
      <c r="C117" s="45" t="s">
        <v>3182</v>
      </c>
      <c r="D117" s="44">
        <v>3</v>
      </c>
      <c r="E117" s="114"/>
      <c r="F117" s="44"/>
      <c r="G117" s="44" t="str">
        <f t="shared" si="36"/>
        <v>3#3#8|3#4#8|3#5#8|3#6#8|3#7#8|3#8#8|3#9#4|3#10#4|3#11#4|3#12#4</v>
      </c>
      <c r="H117" s="116" t="str">
        <f t="shared" si="35"/>
        <v>魔龙之心2/衣服碎片4/烈焰玄铁4/火龙币39</v>
      </c>
    </row>
    <row r="118" spans="1:8" ht="15.75" x14ac:dyDescent="0.3">
      <c r="A118" s="44" t="s">
        <v>3169</v>
      </c>
      <c r="B118" s="44" t="s">
        <v>3181</v>
      </c>
      <c r="C118" s="45" t="s">
        <v>3182</v>
      </c>
      <c r="D118" s="44">
        <v>4</v>
      </c>
      <c r="E118" s="114"/>
      <c r="F118" s="44"/>
      <c r="G118" s="44" t="str">
        <f t="shared" si="36"/>
        <v>3#3#11|3#4#11|3#5#11|3#6#11|3#7#11|3#8#11|3#9#5|3#10#5|3#11#5|3#12#5</v>
      </c>
      <c r="H118" s="116" t="str">
        <f t="shared" si="35"/>
        <v>魔龙之心2/衣服碎片4/烈焰玄铁4/火龙币41</v>
      </c>
    </row>
    <row r="119" spans="1:8" ht="15.75" x14ac:dyDescent="0.3">
      <c r="A119" s="44" t="s">
        <v>3169</v>
      </c>
      <c r="B119" s="44" t="s">
        <v>3181</v>
      </c>
      <c r="C119" s="45" t="s">
        <v>3182</v>
      </c>
      <c r="D119" s="44">
        <v>5</v>
      </c>
      <c r="E119" s="114"/>
      <c r="F119" s="44"/>
      <c r="G119" s="44" t="str">
        <f t="shared" si="36"/>
        <v>3#3#15|3#4#15|3#5#15|3#6#15|3#7#15|3#8#15|3#9#7|3#10#7|3#11#7|3#12#7</v>
      </c>
      <c r="H119" s="116" t="str">
        <f t="shared" si="35"/>
        <v>魔龙之心2/衣服碎片4/烈焰玄铁4/火龙币44</v>
      </c>
    </row>
    <row r="120" spans="1:8" ht="15.75" x14ac:dyDescent="0.3">
      <c r="A120" s="44" t="s">
        <v>3169</v>
      </c>
      <c r="B120" s="44" t="s">
        <v>3181</v>
      </c>
      <c r="C120" s="45" t="s">
        <v>3182</v>
      </c>
      <c r="D120" s="44">
        <v>6</v>
      </c>
      <c r="E120" s="114"/>
      <c r="F120" s="44"/>
      <c r="G120" s="44" t="str">
        <f t="shared" si="36"/>
        <v>3#3#20|3#4#20|3#5#20|3#6#20|3#7#20|3#8#20|3#9#10|3#10#10|3#11#10|3#12#10</v>
      </c>
      <c r="H120" s="116" t="str">
        <f t="shared" si="35"/>
        <v>魔龙之心2/衣服碎片5/烈焰玄铁5/火龙币46</v>
      </c>
    </row>
    <row r="121" spans="1:8" ht="15.75" x14ac:dyDescent="0.3">
      <c r="A121" s="44" t="s">
        <v>3169</v>
      </c>
      <c r="B121" s="44" t="s">
        <v>3181</v>
      </c>
      <c r="C121" s="45" t="s">
        <v>3182</v>
      </c>
      <c r="D121" s="44">
        <v>7</v>
      </c>
      <c r="E121" s="114"/>
      <c r="F121" s="44"/>
      <c r="G121" s="44" t="str">
        <f t="shared" si="36"/>
        <v>3#3#25|3#4#25|3#5#25|3#6#25|3#7#25|3#8#25|3#9#12|3#10#12|3#11#12|3#12#12</v>
      </c>
      <c r="H121" s="116" t="str">
        <f t="shared" si="35"/>
        <v>魔龙之心2/衣服碎片5/烈焰玄铁5/火龙币48</v>
      </c>
    </row>
    <row r="122" spans="1:8" ht="15.75" x14ac:dyDescent="0.3">
      <c r="A122" s="44" t="s">
        <v>3169</v>
      </c>
      <c r="B122" s="44" t="s">
        <v>3181</v>
      </c>
      <c r="C122" s="45" t="s">
        <v>3182</v>
      </c>
      <c r="D122" s="44">
        <v>8</v>
      </c>
      <c r="E122" s="114"/>
      <c r="F122" s="44"/>
      <c r="G122" s="44" t="str">
        <f t="shared" si="36"/>
        <v>3#3#30|3#4#30|3#5#30|3#6#30|3#7#30|3#8#30|3#9#15|3#10#15|3#11#15|3#12#15</v>
      </c>
      <c r="H122" s="116" t="str">
        <f t="shared" si="35"/>
        <v>魔龙之心2/衣服碎片5/烈焰玄铁5/火龙币50</v>
      </c>
    </row>
    <row r="123" spans="1:8" ht="15.75" x14ac:dyDescent="0.3">
      <c r="A123" s="44" t="s">
        <v>3169</v>
      </c>
      <c r="B123" s="44" t="s">
        <v>3181</v>
      </c>
      <c r="C123" s="45" t="s">
        <v>3182</v>
      </c>
      <c r="D123" s="44">
        <v>9</v>
      </c>
      <c r="E123" s="114"/>
      <c r="F123" s="44"/>
      <c r="G123" s="44" t="str">
        <f t="shared" si="36"/>
        <v>3#3#36|3#4#36|3#5#36|3#6#36|3#7#36|3#8#36|3#9#18|3#10#18|3#11#18|3#12#18</v>
      </c>
      <c r="H123" s="116" t="str">
        <f t="shared" si="35"/>
        <v>魔龙之心2/衣服碎片5/烈焰玄铁5/火龙币53</v>
      </c>
    </row>
    <row r="124" spans="1:8" ht="15.75" x14ac:dyDescent="0.3">
      <c r="A124" s="44" t="s">
        <v>3169</v>
      </c>
      <c r="B124" s="44" t="s">
        <v>3181</v>
      </c>
      <c r="C124" s="45" t="s">
        <v>3182</v>
      </c>
      <c r="D124" s="44">
        <v>10</v>
      </c>
      <c r="E124" s="114"/>
      <c r="F124" s="44"/>
      <c r="G124" s="44" t="str">
        <f t="shared" si="36"/>
        <v>3#3#45|3#4#45|3#5#45|3#6#45|3#7#45|3#8#45|3#9#22|3#10#22|3#11#22|3#12#22</v>
      </c>
      <c r="H124" s="116"/>
    </row>
    <row r="125" spans="1:8" ht="15.75" x14ac:dyDescent="0.3">
      <c r="A125" s="44" t="s">
        <v>3169</v>
      </c>
      <c r="B125" s="44" t="s">
        <v>3181</v>
      </c>
      <c r="C125" s="45" t="s">
        <v>3183</v>
      </c>
      <c r="D125" s="44">
        <v>0</v>
      </c>
      <c r="E125" s="114"/>
      <c r="F125" s="44"/>
      <c r="G125" s="117"/>
      <c r="H125" s="116" t="str">
        <f>"魔龙之心"&amp;Z3&amp;"/衣服碎片"&amp;AA3&amp;"/烈焰玄铁"&amp;AB3&amp;"/火龙币"&amp;AC3</f>
        <v>魔龙之心1/衣服碎片3/烈焰玄铁3/火龙币32</v>
      </c>
    </row>
    <row r="126" spans="1:8" ht="15.75" x14ac:dyDescent="0.3">
      <c r="A126" s="44" t="s">
        <v>3169</v>
      </c>
      <c r="B126" s="44" t="s">
        <v>3181</v>
      </c>
      <c r="C126" s="45" t="s">
        <v>3183</v>
      </c>
      <c r="D126" s="44">
        <v>1</v>
      </c>
      <c r="E126" s="114"/>
      <c r="F126" s="44"/>
      <c r="G126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26" s="116" t="str">
        <f t="shared" ref="H126:H134" si="37">"魔龙之心"&amp;Z4&amp;"/衣服碎片"&amp;AA4&amp;"/烈焰玄铁"&amp;AB4&amp;"/火龙币"&amp;AC4</f>
        <v>魔龙之心1/衣服碎片3/烈焰玄铁3/火龙币35</v>
      </c>
    </row>
    <row r="127" spans="1:8" ht="15.75" x14ac:dyDescent="0.3">
      <c r="A127" s="44" t="s">
        <v>3169</v>
      </c>
      <c r="B127" s="44" t="s">
        <v>3181</v>
      </c>
      <c r="C127" s="45" t="s">
        <v>3183</v>
      </c>
      <c r="D127" s="44">
        <v>2</v>
      </c>
      <c r="E127" s="114"/>
      <c r="F127" s="44"/>
      <c r="G127" s="44" t="str">
        <f t="shared" ref="G127:G135" si="3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27" s="116" t="str">
        <f t="shared" si="37"/>
        <v>魔龙之心1/衣服碎片4/烈焰玄铁4/火龙币37</v>
      </c>
    </row>
    <row r="128" spans="1:8" ht="15.75" x14ac:dyDescent="0.3">
      <c r="A128" s="44" t="s">
        <v>3169</v>
      </c>
      <c r="B128" s="44" t="s">
        <v>3181</v>
      </c>
      <c r="C128" s="45" t="s">
        <v>3183</v>
      </c>
      <c r="D128" s="44">
        <v>3</v>
      </c>
      <c r="E128" s="114"/>
      <c r="F128" s="44"/>
      <c r="G128" s="44" t="str">
        <f t="shared" si="38"/>
        <v>3#3#8|3#4#8|3#5#8|3#6#8|3#7#8|3#8#8|3#9#4|3#10#4|3#11#4|3#12#4</v>
      </c>
      <c r="H128" s="116" t="str">
        <f t="shared" si="37"/>
        <v>魔龙之心2/衣服碎片4/烈焰玄铁4/火龙币39</v>
      </c>
    </row>
    <row r="129" spans="1:8" ht="15.75" x14ac:dyDescent="0.3">
      <c r="A129" s="44" t="s">
        <v>3169</v>
      </c>
      <c r="B129" s="44" t="s">
        <v>3181</v>
      </c>
      <c r="C129" s="45" t="s">
        <v>3183</v>
      </c>
      <c r="D129" s="44">
        <v>4</v>
      </c>
      <c r="E129" s="114"/>
      <c r="F129" s="44"/>
      <c r="G129" s="44" t="str">
        <f t="shared" si="38"/>
        <v>3#3#11|3#4#11|3#5#11|3#6#11|3#7#11|3#8#11|3#9#5|3#10#5|3#11#5|3#12#5</v>
      </c>
      <c r="H129" s="116" t="str">
        <f t="shared" si="37"/>
        <v>魔龙之心2/衣服碎片4/烈焰玄铁4/火龙币41</v>
      </c>
    </row>
    <row r="130" spans="1:8" ht="15.75" x14ac:dyDescent="0.3">
      <c r="A130" s="44" t="s">
        <v>3169</v>
      </c>
      <c r="B130" s="44" t="s">
        <v>3181</v>
      </c>
      <c r="C130" s="45" t="s">
        <v>3183</v>
      </c>
      <c r="D130" s="44">
        <v>5</v>
      </c>
      <c r="E130" s="114"/>
      <c r="F130" s="44"/>
      <c r="G130" s="44" t="str">
        <f t="shared" si="38"/>
        <v>3#3#15|3#4#15|3#5#15|3#6#15|3#7#15|3#8#15|3#9#7|3#10#7|3#11#7|3#12#7</v>
      </c>
      <c r="H130" s="116" t="str">
        <f t="shared" si="37"/>
        <v>魔龙之心2/衣服碎片4/烈焰玄铁4/火龙币44</v>
      </c>
    </row>
    <row r="131" spans="1:8" ht="15.75" x14ac:dyDescent="0.3">
      <c r="A131" s="44" t="s">
        <v>3169</v>
      </c>
      <c r="B131" s="44" t="s">
        <v>3181</v>
      </c>
      <c r="C131" s="45" t="s">
        <v>3183</v>
      </c>
      <c r="D131" s="44">
        <v>6</v>
      </c>
      <c r="E131" s="114"/>
      <c r="F131" s="44"/>
      <c r="G131" s="44" t="str">
        <f t="shared" si="38"/>
        <v>3#3#20|3#4#20|3#5#20|3#6#20|3#7#20|3#8#20|3#9#10|3#10#10|3#11#10|3#12#10</v>
      </c>
      <c r="H131" s="116" t="str">
        <f t="shared" si="37"/>
        <v>魔龙之心2/衣服碎片5/烈焰玄铁5/火龙币46</v>
      </c>
    </row>
    <row r="132" spans="1:8" ht="15.75" x14ac:dyDescent="0.3">
      <c r="A132" s="44" t="s">
        <v>3169</v>
      </c>
      <c r="B132" s="44" t="s">
        <v>3181</v>
      </c>
      <c r="C132" s="45" t="s">
        <v>3183</v>
      </c>
      <c r="D132" s="44">
        <v>7</v>
      </c>
      <c r="E132" s="114"/>
      <c r="F132" s="44"/>
      <c r="G132" s="44" t="str">
        <f t="shared" si="38"/>
        <v>3#3#25|3#4#25|3#5#25|3#6#25|3#7#25|3#8#25|3#9#12|3#10#12|3#11#12|3#12#12</v>
      </c>
      <c r="H132" s="116" t="str">
        <f t="shared" si="37"/>
        <v>魔龙之心2/衣服碎片5/烈焰玄铁5/火龙币48</v>
      </c>
    </row>
    <row r="133" spans="1:8" ht="15.75" x14ac:dyDescent="0.3">
      <c r="A133" s="44" t="s">
        <v>3169</v>
      </c>
      <c r="B133" s="44" t="s">
        <v>3181</v>
      </c>
      <c r="C133" s="45" t="s">
        <v>3183</v>
      </c>
      <c r="D133" s="44">
        <v>8</v>
      </c>
      <c r="E133" s="114"/>
      <c r="F133" s="44"/>
      <c r="G133" s="44" t="str">
        <f t="shared" si="38"/>
        <v>3#3#30|3#4#30|3#5#30|3#6#30|3#7#30|3#8#30|3#9#15|3#10#15|3#11#15|3#12#15</v>
      </c>
      <c r="H133" s="116" t="str">
        <f t="shared" si="37"/>
        <v>魔龙之心2/衣服碎片5/烈焰玄铁5/火龙币50</v>
      </c>
    </row>
    <row r="134" spans="1:8" ht="15.75" x14ac:dyDescent="0.3">
      <c r="A134" s="44" t="s">
        <v>3169</v>
      </c>
      <c r="B134" s="44" t="s">
        <v>3181</v>
      </c>
      <c r="C134" s="45" t="s">
        <v>3183</v>
      </c>
      <c r="D134" s="44">
        <v>9</v>
      </c>
      <c r="E134" s="114"/>
      <c r="F134" s="44"/>
      <c r="G134" s="44" t="str">
        <f t="shared" si="38"/>
        <v>3#3#36|3#4#36|3#5#36|3#6#36|3#7#36|3#8#36|3#9#18|3#10#18|3#11#18|3#12#18</v>
      </c>
      <c r="H134" s="116" t="str">
        <f t="shared" si="37"/>
        <v>魔龙之心2/衣服碎片5/烈焰玄铁5/火龙币53</v>
      </c>
    </row>
    <row r="135" spans="1:8" ht="15.75" x14ac:dyDescent="0.3">
      <c r="A135" s="44" t="s">
        <v>3169</v>
      </c>
      <c r="B135" s="44" t="s">
        <v>3181</v>
      </c>
      <c r="C135" s="45" t="s">
        <v>3183</v>
      </c>
      <c r="D135" s="44">
        <v>10</v>
      </c>
      <c r="E135" s="114"/>
      <c r="F135" s="44"/>
      <c r="G135" s="44" t="str">
        <f t="shared" si="38"/>
        <v>3#3#45|3#4#45|3#5#45|3#6#45|3#7#45|3#8#45|3#9#22|3#10#22|3#11#22|3#12#22</v>
      </c>
      <c r="H135" s="116"/>
    </row>
    <row r="136" spans="1:8" ht="15.75" x14ac:dyDescent="0.3">
      <c r="A136" s="44" t="s">
        <v>3169</v>
      </c>
      <c r="B136" s="44" t="s">
        <v>3181</v>
      </c>
      <c r="C136" s="45" t="s">
        <v>3184</v>
      </c>
      <c r="D136" s="44">
        <v>0</v>
      </c>
      <c r="E136" s="114"/>
      <c r="F136" s="44"/>
      <c r="G136" s="117"/>
      <c r="H136" s="116" t="str">
        <f>"魔龙之心"&amp;Z3&amp;"/衣服碎片"&amp;AA3&amp;"/烈焰玄铁"&amp;AB3&amp;"/火龙币"&amp;AC3</f>
        <v>魔龙之心1/衣服碎片3/烈焰玄铁3/火龙币32</v>
      </c>
    </row>
    <row r="137" spans="1:8" ht="15.75" x14ac:dyDescent="0.3">
      <c r="A137" s="44" t="s">
        <v>3169</v>
      </c>
      <c r="B137" s="44" t="s">
        <v>3181</v>
      </c>
      <c r="C137" s="45" t="s">
        <v>3184</v>
      </c>
      <c r="D137" s="44">
        <v>1</v>
      </c>
      <c r="E137" s="114"/>
      <c r="F137" s="44"/>
      <c r="G137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37" s="116" t="str">
        <f t="shared" ref="H137:H145" si="39">"魔龙之心"&amp;Z4&amp;"/衣服碎片"&amp;AA4&amp;"/烈焰玄铁"&amp;AB4&amp;"/火龙币"&amp;AC4</f>
        <v>魔龙之心1/衣服碎片3/烈焰玄铁3/火龙币35</v>
      </c>
    </row>
    <row r="138" spans="1:8" ht="15.75" x14ac:dyDescent="0.3">
      <c r="A138" s="44" t="s">
        <v>3169</v>
      </c>
      <c r="B138" s="44" t="s">
        <v>3181</v>
      </c>
      <c r="C138" s="45" t="s">
        <v>3184</v>
      </c>
      <c r="D138" s="44">
        <v>2</v>
      </c>
      <c r="E138" s="114"/>
      <c r="F138" s="44"/>
      <c r="G138" s="44" t="str">
        <f t="shared" ref="G138:G146" si="4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38" s="116" t="str">
        <f t="shared" si="39"/>
        <v>魔龙之心1/衣服碎片4/烈焰玄铁4/火龙币37</v>
      </c>
    </row>
    <row r="139" spans="1:8" ht="15.75" x14ac:dyDescent="0.3">
      <c r="A139" s="44" t="s">
        <v>3169</v>
      </c>
      <c r="B139" s="44" t="s">
        <v>3181</v>
      </c>
      <c r="C139" s="45" t="s">
        <v>3184</v>
      </c>
      <c r="D139" s="44">
        <v>3</v>
      </c>
      <c r="E139" s="114"/>
      <c r="F139" s="44"/>
      <c r="G139" s="44" t="str">
        <f t="shared" si="40"/>
        <v>3#3#8|3#4#8|3#5#8|3#6#8|3#7#8|3#8#8|3#9#4|3#10#4|3#11#4|3#12#4</v>
      </c>
      <c r="H139" s="116" t="str">
        <f t="shared" si="39"/>
        <v>魔龙之心2/衣服碎片4/烈焰玄铁4/火龙币39</v>
      </c>
    </row>
    <row r="140" spans="1:8" ht="15.75" x14ac:dyDescent="0.3">
      <c r="A140" s="44" t="s">
        <v>3169</v>
      </c>
      <c r="B140" s="44" t="s">
        <v>3181</v>
      </c>
      <c r="C140" s="45" t="s">
        <v>3184</v>
      </c>
      <c r="D140" s="44">
        <v>4</v>
      </c>
      <c r="E140" s="114"/>
      <c r="F140" s="44"/>
      <c r="G140" s="44" t="str">
        <f t="shared" si="40"/>
        <v>3#3#11|3#4#11|3#5#11|3#6#11|3#7#11|3#8#11|3#9#5|3#10#5|3#11#5|3#12#5</v>
      </c>
      <c r="H140" s="116" t="str">
        <f t="shared" si="39"/>
        <v>魔龙之心2/衣服碎片4/烈焰玄铁4/火龙币41</v>
      </c>
    </row>
    <row r="141" spans="1:8" ht="15.75" x14ac:dyDescent="0.3">
      <c r="A141" s="44" t="s">
        <v>3169</v>
      </c>
      <c r="B141" s="44" t="s">
        <v>3181</v>
      </c>
      <c r="C141" s="45" t="s">
        <v>3184</v>
      </c>
      <c r="D141" s="44">
        <v>5</v>
      </c>
      <c r="E141" s="114"/>
      <c r="F141" s="44"/>
      <c r="G141" s="44" t="str">
        <f t="shared" si="40"/>
        <v>3#3#15|3#4#15|3#5#15|3#6#15|3#7#15|3#8#15|3#9#7|3#10#7|3#11#7|3#12#7</v>
      </c>
      <c r="H141" s="116" t="str">
        <f t="shared" si="39"/>
        <v>魔龙之心2/衣服碎片4/烈焰玄铁4/火龙币44</v>
      </c>
    </row>
    <row r="142" spans="1:8" ht="15.75" x14ac:dyDescent="0.3">
      <c r="A142" s="44" t="s">
        <v>3169</v>
      </c>
      <c r="B142" s="44" t="s">
        <v>3181</v>
      </c>
      <c r="C142" s="45" t="s">
        <v>3184</v>
      </c>
      <c r="D142" s="44">
        <v>6</v>
      </c>
      <c r="E142" s="114"/>
      <c r="F142" s="44"/>
      <c r="G142" s="44" t="str">
        <f t="shared" si="40"/>
        <v>3#3#20|3#4#20|3#5#20|3#6#20|3#7#20|3#8#20|3#9#10|3#10#10|3#11#10|3#12#10</v>
      </c>
      <c r="H142" s="116" t="str">
        <f t="shared" si="39"/>
        <v>魔龙之心2/衣服碎片5/烈焰玄铁5/火龙币46</v>
      </c>
    </row>
    <row r="143" spans="1:8" ht="15.75" x14ac:dyDescent="0.3">
      <c r="A143" s="44" t="s">
        <v>3169</v>
      </c>
      <c r="B143" s="44" t="s">
        <v>3181</v>
      </c>
      <c r="C143" s="45" t="s">
        <v>3184</v>
      </c>
      <c r="D143" s="44">
        <v>7</v>
      </c>
      <c r="E143" s="114"/>
      <c r="F143" s="44"/>
      <c r="G143" s="44" t="str">
        <f t="shared" si="40"/>
        <v>3#3#25|3#4#25|3#5#25|3#6#25|3#7#25|3#8#25|3#9#12|3#10#12|3#11#12|3#12#12</v>
      </c>
      <c r="H143" s="116" t="str">
        <f t="shared" si="39"/>
        <v>魔龙之心2/衣服碎片5/烈焰玄铁5/火龙币48</v>
      </c>
    </row>
    <row r="144" spans="1:8" ht="15.75" x14ac:dyDescent="0.3">
      <c r="A144" s="44" t="s">
        <v>3169</v>
      </c>
      <c r="B144" s="44" t="s">
        <v>3181</v>
      </c>
      <c r="C144" s="45" t="s">
        <v>3184</v>
      </c>
      <c r="D144" s="44">
        <v>8</v>
      </c>
      <c r="E144" s="114"/>
      <c r="F144" s="44"/>
      <c r="G144" s="44" t="str">
        <f t="shared" si="40"/>
        <v>3#3#30|3#4#30|3#5#30|3#6#30|3#7#30|3#8#30|3#9#15|3#10#15|3#11#15|3#12#15</v>
      </c>
      <c r="H144" s="116" t="str">
        <f t="shared" si="39"/>
        <v>魔龙之心2/衣服碎片5/烈焰玄铁5/火龙币50</v>
      </c>
    </row>
    <row r="145" spans="1:8" ht="15.75" x14ac:dyDescent="0.3">
      <c r="A145" s="44" t="s">
        <v>3169</v>
      </c>
      <c r="B145" s="44" t="s">
        <v>3181</v>
      </c>
      <c r="C145" s="45" t="s">
        <v>3184</v>
      </c>
      <c r="D145" s="44">
        <v>9</v>
      </c>
      <c r="E145" s="114"/>
      <c r="F145" s="44"/>
      <c r="G145" s="44" t="str">
        <f t="shared" si="40"/>
        <v>3#3#36|3#4#36|3#5#36|3#6#36|3#7#36|3#8#36|3#9#18|3#10#18|3#11#18|3#12#18</v>
      </c>
      <c r="H145" s="116" t="str">
        <f t="shared" si="39"/>
        <v>魔龙之心2/衣服碎片5/烈焰玄铁5/火龙币53</v>
      </c>
    </row>
    <row r="146" spans="1:8" ht="15.75" x14ac:dyDescent="0.3">
      <c r="A146" s="44" t="s">
        <v>3169</v>
      </c>
      <c r="B146" s="44" t="s">
        <v>3181</v>
      </c>
      <c r="C146" s="45" t="s">
        <v>3184</v>
      </c>
      <c r="D146" s="44">
        <v>10</v>
      </c>
      <c r="E146" s="114"/>
      <c r="F146" s="44"/>
      <c r="G146" s="44" t="str">
        <f t="shared" si="40"/>
        <v>3#3#45|3#4#45|3#5#45|3#6#45|3#7#45|3#8#45|3#9#22|3#10#22|3#11#22|3#12#22</v>
      </c>
      <c r="H146" s="116"/>
    </row>
    <row r="147" spans="1:8" ht="15.75" x14ac:dyDescent="0.3">
      <c r="A147" s="44" t="s">
        <v>3169</v>
      </c>
      <c r="B147" s="44" t="s">
        <v>3181</v>
      </c>
      <c r="C147" s="45" t="s">
        <v>3185</v>
      </c>
      <c r="D147" s="44">
        <v>0</v>
      </c>
      <c r="E147" s="114"/>
      <c r="F147" s="44"/>
      <c r="G147" s="117"/>
      <c r="H147" s="116" t="str">
        <f>"魔龙之心"&amp;Z3&amp;"/衣服碎片"&amp;AA3&amp;"/烈焰玄铁"&amp;AB3&amp;"/火龙币"&amp;AC3</f>
        <v>魔龙之心1/衣服碎片3/烈焰玄铁3/火龙币32</v>
      </c>
    </row>
    <row r="148" spans="1:8" ht="15.75" x14ac:dyDescent="0.3">
      <c r="A148" s="44" t="s">
        <v>3169</v>
      </c>
      <c r="B148" s="44" t="s">
        <v>3181</v>
      </c>
      <c r="C148" s="45" t="s">
        <v>3185</v>
      </c>
      <c r="D148" s="44">
        <v>1</v>
      </c>
      <c r="E148" s="114"/>
      <c r="F148" s="44"/>
      <c r="G148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48" s="116" t="str">
        <f t="shared" ref="H148:H156" si="41">"魔龙之心"&amp;Z4&amp;"/衣服碎片"&amp;AA4&amp;"/烈焰玄铁"&amp;AB4&amp;"/火龙币"&amp;AC4</f>
        <v>魔龙之心1/衣服碎片3/烈焰玄铁3/火龙币35</v>
      </c>
    </row>
    <row r="149" spans="1:8" ht="15.75" x14ac:dyDescent="0.3">
      <c r="A149" s="44" t="s">
        <v>3169</v>
      </c>
      <c r="B149" s="44" t="s">
        <v>3181</v>
      </c>
      <c r="C149" s="45" t="s">
        <v>3185</v>
      </c>
      <c r="D149" s="44">
        <v>2</v>
      </c>
      <c r="E149" s="114"/>
      <c r="F149" s="44"/>
      <c r="G149" s="44" t="str">
        <f t="shared" ref="G149:G157" si="4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49" s="116" t="str">
        <f t="shared" si="41"/>
        <v>魔龙之心1/衣服碎片4/烈焰玄铁4/火龙币37</v>
      </c>
    </row>
    <row r="150" spans="1:8" ht="15.75" x14ac:dyDescent="0.3">
      <c r="A150" s="44" t="s">
        <v>3169</v>
      </c>
      <c r="B150" s="44" t="s">
        <v>3181</v>
      </c>
      <c r="C150" s="45" t="s">
        <v>3185</v>
      </c>
      <c r="D150" s="44">
        <v>3</v>
      </c>
      <c r="E150" s="114"/>
      <c r="F150" s="44"/>
      <c r="G150" s="44" t="str">
        <f t="shared" si="42"/>
        <v>3#3#8|3#4#8|3#5#8|3#6#8|3#7#8|3#8#8|3#9#4|3#10#4|3#11#4|3#12#4</v>
      </c>
      <c r="H150" s="116" t="str">
        <f t="shared" si="41"/>
        <v>魔龙之心2/衣服碎片4/烈焰玄铁4/火龙币39</v>
      </c>
    </row>
    <row r="151" spans="1:8" ht="15.75" x14ac:dyDescent="0.3">
      <c r="A151" s="44" t="s">
        <v>3169</v>
      </c>
      <c r="B151" s="44" t="s">
        <v>3181</v>
      </c>
      <c r="C151" s="45" t="s">
        <v>3185</v>
      </c>
      <c r="D151" s="44">
        <v>4</v>
      </c>
      <c r="E151" s="114"/>
      <c r="F151" s="44"/>
      <c r="G151" s="44" t="str">
        <f t="shared" si="42"/>
        <v>3#3#11|3#4#11|3#5#11|3#6#11|3#7#11|3#8#11|3#9#5|3#10#5|3#11#5|3#12#5</v>
      </c>
      <c r="H151" s="116" t="str">
        <f t="shared" si="41"/>
        <v>魔龙之心2/衣服碎片4/烈焰玄铁4/火龙币41</v>
      </c>
    </row>
    <row r="152" spans="1:8" ht="15.75" x14ac:dyDescent="0.3">
      <c r="A152" s="44" t="s">
        <v>3169</v>
      </c>
      <c r="B152" s="44" t="s">
        <v>3181</v>
      </c>
      <c r="C152" s="45" t="s">
        <v>3185</v>
      </c>
      <c r="D152" s="44">
        <v>5</v>
      </c>
      <c r="E152" s="114"/>
      <c r="F152" s="44"/>
      <c r="G152" s="44" t="str">
        <f t="shared" si="42"/>
        <v>3#3#15|3#4#15|3#5#15|3#6#15|3#7#15|3#8#15|3#9#7|3#10#7|3#11#7|3#12#7</v>
      </c>
      <c r="H152" s="116" t="str">
        <f t="shared" si="41"/>
        <v>魔龙之心2/衣服碎片4/烈焰玄铁4/火龙币44</v>
      </c>
    </row>
    <row r="153" spans="1:8" ht="15.75" x14ac:dyDescent="0.3">
      <c r="A153" s="44" t="s">
        <v>3169</v>
      </c>
      <c r="B153" s="44" t="s">
        <v>3181</v>
      </c>
      <c r="C153" s="45" t="s">
        <v>3185</v>
      </c>
      <c r="D153" s="44">
        <v>6</v>
      </c>
      <c r="E153" s="114"/>
      <c r="F153" s="44"/>
      <c r="G153" s="44" t="str">
        <f t="shared" si="42"/>
        <v>3#3#20|3#4#20|3#5#20|3#6#20|3#7#20|3#8#20|3#9#10|3#10#10|3#11#10|3#12#10</v>
      </c>
      <c r="H153" s="116" t="str">
        <f t="shared" si="41"/>
        <v>魔龙之心2/衣服碎片5/烈焰玄铁5/火龙币46</v>
      </c>
    </row>
    <row r="154" spans="1:8" ht="15.75" x14ac:dyDescent="0.3">
      <c r="A154" s="44" t="s">
        <v>3169</v>
      </c>
      <c r="B154" s="44" t="s">
        <v>3181</v>
      </c>
      <c r="C154" s="45" t="s">
        <v>3185</v>
      </c>
      <c r="D154" s="44">
        <v>7</v>
      </c>
      <c r="E154" s="114"/>
      <c r="F154" s="44"/>
      <c r="G154" s="44" t="str">
        <f t="shared" si="42"/>
        <v>3#3#25|3#4#25|3#5#25|3#6#25|3#7#25|3#8#25|3#9#12|3#10#12|3#11#12|3#12#12</v>
      </c>
      <c r="H154" s="116" t="str">
        <f t="shared" si="41"/>
        <v>魔龙之心2/衣服碎片5/烈焰玄铁5/火龙币48</v>
      </c>
    </row>
    <row r="155" spans="1:8" ht="15.75" x14ac:dyDescent="0.3">
      <c r="A155" s="44" t="s">
        <v>3169</v>
      </c>
      <c r="B155" s="44" t="s">
        <v>3181</v>
      </c>
      <c r="C155" s="45" t="s">
        <v>3185</v>
      </c>
      <c r="D155" s="44">
        <v>8</v>
      </c>
      <c r="E155" s="114"/>
      <c r="F155" s="44"/>
      <c r="G155" s="44" t="str">
        <f t="shared" si="42"/>
        <v>3#3#30|3#4#30|3#5#30|3#6#30|3#7#30|3#8#30|3#9#15|3#10#15|3#11#15|3#12#15</v>
      </c>
      <c r="H155" s="116" t="str">
        <f t="shared" si="41"/>
        <v>魔龙之心2/衣服碎片5/烈焰玄铁5/火龙币50</v>
      </c>
    </row>
    <row r="156" spans="1:8" ht="15.75" x14ac:dyDescent="0.3">
      <c r="A156" s="44" t="s">
        <v>3169</v>
      </c>
      <c r="B156" s="44" t="s">
        <v>3181</v>
      </c>
      <c r="C156" s="45" t="s">
        <v>3185</v>
      </c>
      <c r="D156" s="44">
        <v>9</v>
      </c>
      <c r="E156" s="114"/>
      <c r="F156" s="44"/>
      <c r="G156" s="44" t="str">
        <f t="shared" si="42"/>
        <v>3#3#36|3#4#36|3#5#36|3#6#36|3#7#36|3#8#36|3#9#18|3#10#18|3#11#18|3#12#18</v>
      </c>
      <c r="H156" s="116" t="str">
        <f t="shared" si="41"/>
        <v>魔龙之心2/衣服碎片5/烈焰玄铁5/火龙币53</v>
      </c>
    </row>
    <row r="157" spans="1:8" ht="15.75" x14ac:dyDescent="0.3">
      <c r="A157" s="44" t="s">
        <v>3169</v>
      </c>
      <c r="B157" s="44" t="s">
        <v>3181</v>
      </c>
      <c r="C157" s="45" t="s">
        <v>3185</v>
      </c>
      <c r="D157" s="44">
        <v>10</v>
      </c>
      <c r="E157" s="114"/>
      <c r="F157" s="44"/>
      <c r="G157" s="44" t="str">
        <f t="shared" si="42"/>
        <v>3#3#45|3#4#45|3#5#45|3#6#45|3#7#45|3#8#45|3#9#22|3#10#22|3#11#22|3#12#22</v>
      </c>
      <c r="H157" s="116"/>
    </row>
    <row r="158" spans="1:8" ht="15.75" x14ac:dyDescent="0.3">
      <c r="A158" s="44" t="s">
        <v>3169</v>
      </c>
      <c r="B158" s="44" t="s">
        <v>3181</v>
      </c>
      <c r="C158" s="45" t="s">
        <v>3186</v>
      </c>
      <c r="D158" s="44">
        <v>0</v>
      </c>
      <c r="E158" s="114"/>
      <c r="F158" s="44"/>
      <c r="G158" s="117"/>
      <c r="H158" s="116" t="str">
        <f>"魔龙之心"&amp;Z3&amp;"/衣服碎片"&amp;AA3&amp;"/烈焰玄铁"&amp;AB3&amp;"/火龙币"&amp;AC3</f>
        <v>魔龙之心1/衣服碎片3/烈焰玄铁3/火龙币32</v>
      </c>
    </row>
    <row r="159" spans="1:8" ht="15.75" x14ac:dyDescent="0.3">
      <c r="A159" s="44" t="s">
        <v>3169</v>
      </c>
      <c r="B159" s="44" t="s">
        <v>3181</v>
      </c>
      <c r="C159" s="45" t="s">
        <v>3186</v>
      </c>
      <c r="D159" s="44">
        <v>1</v>
      </c>
      <c r="E159" s="114"/>
      <c r="F159" s="44"/>
      <c r="G159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59" s="116" t="str">
        <f t="shared" ref="H159:H167" si="43">"魔龙之心"&amp;Z4&amp;"/衣服碎片"&amp;AA4&amp;"/烈焰玄铁"&amp;AB4&amp;"/火龙币"&amp;AC4</f>
        <v>魔龙之心1/衣服碎片3/烈焰玄铁3/火龙币35</v>
      </c>
    </row>
    <row r="160" spans="1:8" ht="15.75" x14ac:dyDescent="0.3">
      <c r="A160" s="44" t="s">
        <v>3169</v>
      </c>
      <c r="B160" s="44" t="s">
        <v>3181</v>
      </c>
      <c r="C160" s="45" t="s">
        <v>3186</v>
      </c>
      <c r="D160" s="44">
        <v>2</v>
      </c>
      <c r="E160" s="114"/>
      <c r="F160" s="44"/>
      <c r="G160" s="44" t="str">
        <f t="shared" ref="G160:G168" si="4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60" s="116" t="str">
        <f t="shared" si="43"/>
        <v>魔龙之心1/衣服碎片4/烈焰玄铁4/火龙币37</v>
      </c>
    </row>
    <row r="161" spans="1:8" ht="15.75" x14ac:dyDescent="0.3">
      <c r="A161" s="44" t="s">
        <v>3169</v>
      </c>
      <c r="B161" s="44" t="s">
        <v>3181</v>
      </c>
      <c r="C161" s="45" t="s">
        <v>3186</v>
      </c>
      <c r="D161" s="44">
        <v>3</v>
      </c>
      <c r="E161" s="114"/>
      <c r="F161" s="44"/>
      <c r="G161" s="44" t="str">
        <f t="shared" si="44"/>
        <v>3#3#8|3#4#8|3#5#8|3#6#8|3#7#8|3#8#8|3#9#4|3#10#4|3#11#4|3#12#4</v>
      </c>
      <c r="H161" s="116" t="str">
        <f t="shared" si="43"/>
        <v>魔龙之心2/衣服碎片4/烈焰玄铁4/火龙币39</v>
      </c>
    </row>
    <row r="162" spans="1:8" ht="15.75" x14ac:dyDescent="0.3">
      <c r="A162" s="44" t="s">
        <v>3169</v>
      </c>
      <c r="B162" s="44" t="s">
        <v>3181</v>
      </c>
      <c r="C162" s="45" t="s">
        <v>3186</v>
      </c>
      <c r="D162" s="44">
        <v>4</v>
      </c>
      <c r="E162" s="114"/>
      <c r="F162" s="44"/>
      <c r="G162" s="44" t="str">
        <f t="shared" si="44"/>
        <v>3#3#11|3#4#11|3#5#11|3#6#11|3#7#11|3#8#11|3#9#5|3#10#5|3#11#5|3#12#5</v>
      </c>
      <c r="H162" s="116" t="str">
        <f t="shared" si="43"/>
        <v>魔龙之心2/衣服碎片4/烈焰玄铁4/火龙币41</v>
      </c>
    </row>
    <row r="163" spans="1:8" ht="15.75" x14ac:dyDescent="0.3">
      <c r="A163" s="44" t="s">
        <v>3169</v>
      </c>
      <c r="B163" s="44" t="s">
        <v>3181</v>
      </c>
      <c r="C163" s="45" t="s">
        <v>3186</v>
      </c>
      <c r="D163" s="44">
        <v>5</v>
      </c>
      <c r="E163" s="114"/>
      <c r="F163" s="44"/>
      <c r="G163" s="44" t="str">
        <f t="shared" si="44"/>
        <v>3#3#15|3#4#15|3#5#15|3#6#15|3#7#15|3#8#15|3#9#7|3#10#7|3#11#7|3#12#7</v>
      </c>
      <c r="H163" s="116" t="str">
        <f t="shared" si="43"/>
        <v>魔龙之心2/衣服碎片4/烈焰玄铁4/火龙币44</v>
      </c>
    </row>
    <row r="164" spans="1:8" ht="15.75" x14ac:dyDescent="0.3">
      <c r="A164" s="44" t="s">
        <v>3169</v>
      </c>
      <c r="B164" s="44" t="s">
        <v>3181</v>
      </c>
      <c r="C164" s="45" t="s">
        <v>3186</v>
      </c>
      <c r="D164" s="44">
        <v>6</v>
      </c>
      <c r="E164" s="114"/>
      <c r="F164" s="44"/>
      <c r="G164" s="44" t="str">
        <f t="shared" si="44"/>
        <v>3#3#20|3#4#20|3#5#20|3#6#20|3#7#20|3#8#20|3#9#10|3#10#10|3#11#10|3#12#10</v>
      </c>
      <c r="H164" s="116" t="str">
        <f t="shared" si="43"/>
        <v>魔龙之心2/衣服碎片5/烈焰玄铁5/火龙币46</v>
      </c>
    </row>
    <row r="165" spans="1:8" ht="15.75" x14ac:dyDescent="0.3">
      <c r="A165" s="44" t="s">
        <v>3169</v>
      </c>
      <c r="B165" s="44" t="s">
        <v>3181</v>
      </c>
      <c r="C165" s="45" t="s">
        <v>3186</v>
      </c>
      <c r="D165" s="44">
        <v>7</v>
      </c>
      <c r="E165" s="114"/>
      <c r="F165" s="44"/>
      <c r="G165" s="44" t="str">
        <f t="shared" si="44"/>
        <v>3#3#25|3#4#25|3#5#25|3#6#25|3#7#25|3#8#25|3#9#12|3#10#12|3#11#12|3#12#12</v>
      </c>
      <c r="H165" s="116" t="str">
        <f t="shared" si="43"/>
        <v>魔龙之心2/衣服碎片5/烈焰玄铁5/火龙币48</v>
      </c>
    </row>
    <row r="166" spans="1:8" ht="15.75" x14ac:dyDescent="0.3">
      <c r="A166" s="44" t="s">
        <v>3169</v>
      </c>
      <c r="B166" s="44" t="s">
        <v>3181</v>
      </c>
      <c r="C166" s="45" t="s">
        <v>3186</v>
      </c>
      <c r="D166" s="44">
        <v>8</v>
      </c>
      <c r="E166" s="114"/>
      <c r="F166" s="44"/>
      <c r="G166" s="44" t="str">
        <f t="shared" si="44"/>
        <v>3#3#30|3#4#30|3#5#30|3#6#30|3#7#30|3#8#30|3#9#15|3#10#15|3#11#15|3#12#15</v>
      </c>
      <c r="H166" s="116" t="str">
        <f t="shared" si="43"/>
        <v>魔龙之心2/衣服碎片5/烈焰玄铁5/火龙币50</v>
      </c>
    </row>
    <row r="167" spans="1:8" ht="15.75" x14ac:dyDescent="0.3">
      <c r="A167" s="44" t="s">
        <v>3169</v>
      </c>
      <c r="B167" s="44" t="s">
        <v>3181</v>
      </c>
      <c r="C167" s="45" t="s">
        <v>3186</v>
      </c>
      <c r="D167" s="44">
        <v>9</v>
      </c>
      <c r="E167" s="114"/>
      <c r="F167" s="44"/>
      <c r="G167" s="44" t="str">
        <f t="shared" si="44"/>
        <v>3#3#36|3#4#36|3#5#36|3#6#36|3#7#36|3#8#36|3#9#18|3#10#18|3#11#18|3#12#18</v>
      </c>
      <c r="H167" s="116" t="str">
        <f t="shared" si="43"/>
        <v>魔龙之心2/衣服碎片5/烈焰玄铁5/火龙币53</v>
      </c>
    </row>
    <row r="168" spans="1:8" ht="15.75" x14ac:dyDescent="0.3">
      <c r="A168" s="44" t="s">
        <v>3169</v>
      </c>
      <c r="B168" s="44" t="s">
        <v>3181</v>
      </c>
      <c r="C168" s="45" t="s">
        <v>3186</v>
      </c>
      <c r="D168" s="44">
        <v>10</v>
      </c>
      <c r="E168" s="114"/>
      <c r="F168" s="44"/>
      <c r="G168" s="44" t="str">
        <f t="shared" si="44"/>
        <v>3#3#45|3#4#45|3#5#45|3#6#45|3#7#45|3#8#45|3#9#22|3#10#22|3#11#22|3#12#22</v>
      </c>
      <c r="H168" s="116"/>
    </row>
    <row r="169" spans="1:8" ht="15.75" x14ac:dyDescent="0.3">
      <c r="A169" s="44" t="s">
        <v>3169</v>
      </c>
      <c r="B169" s="44" t="s">
        <v>3181</v>
      </c>
      <c r="C169" s="45" t="s">
        <v>3187</v>
      </c>
      <c r="D169" s="44">
        <v>0</v>
      </c>
      <c r="E169" s="114"/>
      <c r="F169" s="44"/>
      <c r="G169" s="117"/>
      <c r="H169" s="116" t="str">
        <f>"魔龙之心"&amp;Z3&amp;"/衣服碎片"&amp;AA3&amp;"/烈焰玄铁"&amp;AB3&amp;"/火龙币"&amp;AC3</f>
        <v>魔龙之心1/衣服碎片3/烈焰玄铁3/火龙币32</v>
      </c>
    </row>
    <row r="170" spans="1:8" ht="15.75" x14ac:dyDescent="0.3">
      <c r="A170" s="44" t="s">
        <v>3169</v>
      </c>
      <c r="B170" s="44" t="s">
        <v>3181</v>
      </c>
      <c r="C170" s="45" t="s">
        <v>3187</v>
      </c>
      <c r="D170" s="44">
        <v>1</v>
      </c>
      <c r="E170" s="114"/>
      <c r="F170" s="44"/>
      <c r="G170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70" s="116" t="str">
        <f t="shared" ref="H170:H178" si="45">"魔龙之心"&amp;Z4&amp;"/衣服碎片"&amp;AA4&amp;"/烈焰玄铁"&amp;AB4&amp;"/火龙币"&amp;AC4</f>
        <v>魔龙之心1/衣服碎片3/烈焰玄铁3/火龙币35</v>
      </c>
    </row>
    <row r="171" spans="1:8" ht="15.75" x14ac:dyDescent="0.3">
      <c r="A171" s="44" t="s">
        <v>3169</v>
      </c>
      <c r="B171" s="44" t="s">
        <v>3181</v>
      </c>
      <c r="C171" s="45" t="s">
        <v>3187</v>
      </c>
      <c r="D171" s="44">
        <v>2</v>
      </c>
      <c r="E171" s="114"/>
      <c r="F171" s="44"/>
      <c r="G171" s="44" t="str">
        <f t="shared" ref="G171:G179" si="4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1" s="116" t="str">
        <f t="shared" si="45"/>
        <v>魔龙之心1/衣服碎片4/烈焰玄铁4/火龙币37</v>
      </c>
    </row>
    <row r="172" spans="1:8" ht="15.75" x14ac:dyDescent="0.3">
      <c r="A172" s="44" t="s">
        <v>3169</v>
      </c>
      <c r="B172" s="44" t="s">
        <v>3181</v>
      </c>
      <c r="C172" s="45" t="s">
        <v>3187</v>
      </c>
      <c r="D172" s="44">
        <v>3</v>
      </c>
      <c r="E172" s="114"/>
      <c r="F172" s="44"/>
      <c r="G172" s="44" t="str">
        <f t="shared" si="46"/>
        <v>3#3#8|3#4#8|3#5#8|3#6#8|3#7#8|3#8#8|3#9#4|3#10#4|3#11#4|3#12#4</v>
      </c>
      <c r="H172" s="116" t="str">
        <f t="shared" si="45"/>
        <v>魔龙之心2/衣服碎片4/烈焰玄铁4/火龙币39</v>
      </c>
    </row>
    <row r="173" spans="1:8" ht="15.75" x14ac:dyDescent="0.3">
      <c r="A173" s="44" t="s">
        <v>3169</v>
      </c>
      <c r="B173" s="44" t="s">
        <v>3181</v>
      </c>
      <c r="C173" s="45" t="s">
        <v>3187</v>
      </c>
      <c r="D173" s="44">
        <v>4</v>
      </c>
      <c r="E173" s="114"/>
      <c r="F173" s="44"/>
      <c r="G173" s="44" t="str">
        <f t="shared" si="46"/>
        <v>3#3#11|3#4#11|3#5#11|3#6#11|3#7#11|3#8#11|3#9#5|3#10#5|3#11#5|3#12#5</v>
      </c>
      <c r="H173" s="116" t="str">
        <f t="shared" si="45"/>
        <v>魔龙之心2/衣服碎片4/烈焰玄铁4/火龙币41</v>
      </c>
    </row>
    <row r="174" spans="1:8" ht="15.75" x14ac:dyDescent="0.3">
      <c r="A174" s="44" t="s">
        <v>3169</v>
      </c>
      <c r="B174" s="44" t="s">
        <v>3181</v>
      </c>
      <c r="C174" s="45" t="s">
        <v>3187</v>
      </c>
      <c r="D174" s="44">
        <v>5</v>
      </c>
      <c r="E174" s="114"/>
      <c r="F174" s="44"/>
      <c r="G174" s="44" t="str">
        <f t="shared" si="46"/>
        <v>3#3#15|3#4#15|3#5#15|3#6#15|3#7#15|3#8#15|3#9#7|3#10#7|3#11#7|3#12#7</v>
      </c>
      <c r="H174" s="116" t="str">
        <f t="shared" si="45"/>
        <v>魔龙之心2/衣服碎片4/烈焰玄铁4/火龙币44</v>
      </c>
    </row>
    <row r="175" spans="1:8" ht="15.75" x14ac:dyDescent="0.3">
      <c r="A175" s="44" t="s">
        <v>3169</v>
      </c>
      <c r="B175" s="44" t="s">
        <v>3181</v>
      </c>
      <c r="C175" s="45" t="s">
        <v>3187</v>
      </c>
      <c r="D175" s="44">
        <v>6</v>
      </c>
      <c r="E175" s="114"/>
      <c r="F175" s="44"/>
      <c r="G175" s="44" t="str">
        <f t="shared" si="46"/>
        <v>3#3#20|3#4#20|3#5#20|3#6#20|3#7#20|3#8#20|3#9#10|3#10#10|3#11#10|3#12#10</v>
      </c>
      <c r="H175" s="116" t="str">
        <f t="shared" si="45"/>
        <v>魔龙之心2/衣服碎片5/烈焰玄铁5/火龙币46</v>
      </c>
    </row>
    <row r="176" spans="1:8" ht="15.75" x14ac:dyDescent="0.3">
      <c r="A176" s="44" t="s">
        <v>3169</v>
      </c>
      <c r="B176" s="44" t="s">
        <v>3181</v>
      </c>
      <c r="C176" s="45" t="s">
        <v>3187</v>
      </c>
      <c r="D176" s="44">
        <v>7</v>
      </c>
      <c r="E176" s="114"/>
      <c r="F176" s="44"/>
      <c r="G176" s="44" t="str">
        <f t="shared" si="46"/>
        <v>3#3#25|3#4#25|3#5#25|3#6#25|3#7#25|3#8#25|3#9#12|3#10#12|3#11#12|3#12#12</v>
      </c>
      <c r="H176" s="116" t="str">
        <f t="shared" si="45"/>
        <v>魔龙之心2/衣服碎片5/烈焰玄铁5/火龙币48</v>
      </c>
    </row>
    <row r="177" spans="1:8" ht="15.75" x14ac:dyDescent="0.3">
      <c r="A177" s="44" t="s">
        <v>3169</v>
      </c>
      <c r="B177" s="44" t="s">
        <v>3181</v>
      </c>
      <c r="C177" s="45" t="s">
        <v>3187</v>
      </c>
      <c r="D177" s="44">
        <v>8</v>
      </c>
      <c r="E177" s="114"/>
      <c r="F177" s="44"/>
      <c r="G177" s="44" t="str">
        <f t="shared" si="46"/>
        <v>3#3#30|3#4#30|3#5#30|3#6#30|3#7#30|3#8#30|3#9#15|3#10#15|3#11#15|3#12#15</v>
      </c>
      <c r="H177" s="116" t="str">
        <f t="shared" si="45"/>
        <v>魔龙之心2/衣服碎片5/烈焰玄铁5/火龙币50</v>
      </c>
    </row>
    <row r="178" spans="1:8" ht="15.75" x14ac:dyDescent="0.3">
      <c r="A178" s="44" t="s">
        <v>3169</v>
      </c>
      <c r="B178" s="44" t="s">
        <v>3181</v>
      </c>
      <c r="C178" s="45" t="s">
        <v>3187</v>
      </c>
      <c r="D178" s="44">
        <v>9</v>
      </c>
      <c r="E178" s="114"/>
      <c r="F178" s="44"/>
      <c r="G178" s="44" t="str">
        <f t="shared" si="46"/>
        <v>3#3#36|3#4#36|3#5#36|3#6#36|3#7#36|3#8#36|3#9#18|3#10#18|3#11#18|3#12#18</v>
      </c>
      <c r="H178" s="116" t="str">
        <f t="shared" si="45"/>
        <v>魔龙之心2/衣服碎片5/烈焰玄铁5/火龙币53</v>
      </c>
    </row>
    <row r="179" spans="1:8" ht="15.75" x14ac:dyDescent="0.3">
      <c r="A179" s="44" t="s">
        <v>3169</v>
      </c>
      <c r="B179" s="44" t="s">
        <v>3181</v>
      </c>
      <c r="C179" s="45" t="s">
        <v>3187</v>
      </c>
      <c r="D179" s="44">
        <v>10</v>
      </c>
      <c r="E179" s="114"/>
      <c r="F179" s="44"/>
      <c r="G179" s="44" t="str">
        <f t="shared" si="46"/>
        <v>3#3#45|3#4#45|3#5#45|3#6#45|3#7#45|3#8#45|3#9#22|3#10#22|3#11#22|3#12#22</v>
      </c>
      <c r="H179" s="116"/>
    </row>
    <row r="180" spans="1:8" ht="15.75" x14ac:dyDescent="0.3">
      <c r="A180" s="44" t="s">
        <v>3169</v>
      </c>
      <c r="B180" s="44" t="s">
        <v>3181</v>
      </c>
      <c r="C180" s="45" t="s">
        <v>3188</v>
      </c>
      <c r="D180" s="44">
        <v>0</v>
      </c>
      <c r="E180" s="114"/>
      <c r="F180" s="44"/>
      <c r="G180" s="117"/>
      <c r="H180" s="116" t="str">
        <f>"魔龙之心"&amp;Z3&amp;"/衣服碎片"&amp;AA3&amp;"/烈焰玄铁"&amp;AB3&amp;"/火龙币"&amp;AC3</f>
        <v>魔龙之心1/衣服碎片3/烈焰玄铁3/火龙币32</v>
      </c>
    </row>
    <row r="181" spans="1:8" ht="15.75" x14ac:dyDescent="0.3">
      <c r="A181" s="44" t="s">
        <v>3169</v>
      </c>
      <c r="B181" s="44" t="s">
        <v>3181</v>
      </c>
      <c r="C181" s="45" t="s">
        <v>3188</v>
      </c>
      <c r="D181" s="44">
        <v>1</v>
      </c>
      <c r="E181" s="114"/>
      <c r="F181" s="44"/>
      <c r="G181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81" s="116" t="str">
        <f t="shared" ref="H181:H189" si="47">"魔龙之心"&amp;Z4&amp;"/衣服碎片"&amp;AA4&amp;"/烈焰玄铁"&amp;AB4&amp;"/火龙币"&amp;AC4</f>
        <v>魔龙之心1/衣服碎片3/烈焰玄铁3/火龙币35</v>
      </c>
    </row>
    <row r="182" spans="1:8" ht="15.75" x14ac:dyDescent="0.3">
      <c r="A182" s="44" t="s">
        <v>3169</v>
      </c>
      <c r="B182" s="44" t="s">
        <v>3181</v>
      </c>
      <c r="C182" s="45" t="s">
        <v>3188</v>
      </c>
      <c r="D182" s="44">
        <v>2</v>
      </c>
      <c r="E182" s="114"/>
      <c r="F182" s="44"/>
      <c r="G182" s="44" t="str">
        <f t="shared" ref="G182:G190" si="4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82" s="116" t="str">
        <f t="shared" si="47"/>
        <v>魔龙之心1/衣服碎片4/烈焰玄铁4/火龙币37</v>
      </c>
    </row>
    <row r="183" spans="1:8" ht="15.75" x14ac:dyDescent="0.3">
      <c r="A183" s="44" t="s">
        <v>3169</v>
      </c>
      <c r="B183" s="44" t="s">
        <v>3181</v>
      </c>
      <c r="C183" s="45" t="s">
        <v>3188</v>
      </c>
      <c r="D183" s="44">
        <v>3</v>
      </c>
      <c r="E183" s="114"/>
      <c r="F183" s="44"/>
      <c r="G183" s="44" t="str">
        <f t="shared" si="48"/>
        <v>3#3#8|3#4#8|3#5#8|3#6#8|3#7#8|3#8#8|3#9#4|3#10#4|3#11#4|3#12#4</v>
      </c>
      <c r="H183" s="116" t="str">
        <f t="shared" si="47"/>
        <v>魔龙之心2/衣服碎片4/烈焰玄铁4/火龙币39</v>
      </c>
    </row>
    <row r="184" spans="1:8" ht="15.75" x14ac:dyDescent="0.3">
      <c r="A184" s="44" t="s">
        <v>3169</v>
      </c>
      <c r="B184" s="44" t="s">
        <v>3181</v>
      </c>
      <c r="C184" s="45" t="s">
        <v>3188</v>
      </c>
      <c r="D184" s="44">
        <v>4</v>
      </c>
      <c r="E184" s="114"/>
      <c r="F184" s="44"/>
      <c r="G184" s="44" t="str">
        <f t="shared" si="48"/>
        <v>3#3#11|3#4#11|3#5#11|3#6#11|3#7#11|3#8#11|3#9#5|3#10#5|3#11#5|3#12#5</v>
      </c>
      <c r="H184" s="116" t="str">
        <f t="shared" si="47"/>
        <v>魔龙之心2/衣服碎片4/烈焰玄铁4/火龙币41</v>
      </c>
    </row>
    <row r="185" spans="1:8" ht="15.75" x14ac:dyDescent="0.3">
      <c r="A185" s="44" t="s">
        <v>3169</v>
      </c>
      <c r="B185" s="44" t="s">
        <v>3181</v>
      </c>
      <c r="C185" s="45" t="s">
        <v>3188</v>
      </c>
      <c r="D185" s="44">
        <v>5</v>
      </c>
      <c r="E185" s="114"/>
      <c r="F185" s="44"/>
      <c r="G185" s="44" t="str">
        <f t="shared" si="48"/>
        <v>3#3#15|3#4#15|3#5#15|3#6#15|3#7#15|3#8#15|3#9#7|3#10#7|3#11#7|3#12#7</v>
      </c>
      <c r="H185" s="116" t="str">
        <f t="shared" si="47"/>
        <v>魔龙之心2/衣服碎片4/烈焰玄铁4/火龙币44</v>
      </c>
    </row>
    <row r="186" spans="1:8" ht="15.75" x14ac:dyDescent="0.3">
      <c r="A186" s="44" t="s">
        <v>3169</v>
      </c>
      <c r="B186" s="44" t="s">
        <v>3181</v>
      </c>
      <c r="C186" s="45" t="s">
        <v>3188</v>
      </c>
      <c r="D186" s="44">
        <v>6</v>
      </c>
      <c r="E186" s="114"/>
      <c r="F186" s="44"/>
      <c r="G186" s="44" t="str">
        <f t="shared" si="48"/>
        <v>3#3#20|3#4#20|3#5#20|3#6#20|3#7#20|3#8#20|3#9#10|3#10#10|3#11#10|3#12#10</v>
      </c>
      <c r="H186" s="116" t="str">
        <f t="shared" si="47"/>
        <v>魔龙之心2/衣服碎片5/烈焰玄铁5/火龙币46</v>
      </c>
    </row>
    <row r="187" spans="1:8" ht="15.75" x14ac:dyDescent="0.3">
      <c r="A187" s="44" t="s">
        <v>3169</v>
      </c>
      <c r="B187" s="44" t="s">
        <v>3181</v>
      </c>
      <c r="C187" s="45" t="s">
        <v>3188</v>
      </c>
      <c r="D187" s="44">
        <v>7</v>
      </c>
      <c r="E187" s="114"/>
      <c r="F187" s="44"/>
      <c r="G187" s="44" t="str">
        <f t="shared" si="48"/>
        <v>3#3#25|3#4#25|3#5#25|3#6#25|3#7#25|3#8#25|3#9#12|3#10#12|3#11#12|3#12#12</v>
      </c>
      <c r="H187" s="116" t="str">
        <f t="shared" si="47"/>
        <v>魔龙之心2/衣服碎片5/烈焰玄铁5/火龙币48</v>
      </c>
    </row>
    <row r="188" spans="1:8" ht="15.75" x14ac:dyDescent="0.3">
      <c r="A188" s="44" t="s">
        <v>3169</v>
      </c>
      <c r="B188" s="44" t="s">
        <v>3181</v>
      </c>
      <c r="C188" s="45" t="s">
        <v>3188</v>
      </c>
      <c r="D188" s="44">
        <v>8</v>
      </c>
      <c r="E188" s="114"/>
      <c r="F188" s="44"/>
      <c r="G188" s="44" t="str">
        <f t="shared" si="48"/>
        <v>3#3#30|3#4#30|3#5#30|3#6#30|3#7#30|3#8#30|3#9#15|3#10#15|3#11#15|3#12#15</v>
      </c>
      <c r="H188" s="116" t="str">
        <f t="shared" si="47"/>
        <v>魔龙之心2/衣服碎片5/烈焰玄铁5/火龙币50</v>
      </c>
    </row>
    <row r="189" spans="1:8" ht="15.75" x14ac:dyDescent="0.3">
      <c r="A189" s="44" t="s">
        <v>3169</v>
      </c>
      <c r="B189" s="44" t="s">
        <v>3181</v>
      </c>
      <c r="C189" s="45" t="s">
        <v>3188</v>
      </c>
      <c r="D189" s="44">
        <v>9</v>
      </c>
      <c r="E189" s="114"/>
      <c r="F189" s="44"/>
      <c r="G189" s="44" t="str">
        <f t="shared" si="48"/>
        <v>3#3#36|3#4#36|3#5#36|3#6#36|3#7#36|3#8#36|3#9#18|3#10#18|3#11#18|3#12#18</v>
      </c>
      <c r="H189" s="116" t="str">
        <f t="shared" si="47"/>
        <v>魔龙之心2/衣服碎片5/烈焰玄铁5/火龙币53</v>
      </c>
    </row>
    <row r="190" spans="1:8" ht="15.75" x14ac:dyDescent="0.3">
      <c r="A190" s="44" t="s">
        <v>3169</v>
      </c>
      <c r="B190" s="44" t="s">
        <v>3181</v>
      </c>
      <c r="C190" s="45" t="s">
        <v>3188</v>
      </c>
      <c r="D190" s="44">
        <v>10</v>
      </c>
      <c r="E190" s="114"/>
      <c r="F190" s="44"/>
      <c r="G190" s="44" t="str">
        <f t="shared" si="48"/>
        <v>3#3#45|3#4#45|3#5#45|3#6#45|3#7#45|3#8#45|3#9#22|3#10#22|3#11#22|3#12#22</v>
      </c>
      <c r="H190" s="116"/>
    </row>
    <row r="191" spans="1:8" ht="15.75" x14ac:dyDescent="0.3">
      <c r="A191" s="44" t="s">
        <v>3169</v>
      </c>
      <c r="B191" s="44" t="s">
        <v>3181</v>
      </c>
      <c r="C191" s="45" t="s">
        <v>3189</v>
      </c>
      <c r="D191" s="44">
        <v>0</v>
      </c>
      <c r="E191" s="114"/>
      <c r="F191" s="44"/>
      <c r="G191" s="117"/>
      <c r="H191" s="116" t="str">
        <f>"魔龙之心"&amp;Z3&amp;"/衣服碎片"&amp;AA3&amp;"/烈焰玄铁"&amp;AB3&amp;"/火龙币"&amp;AC3</f>
        <v>魔龙之心1/衣服碎片3/烈焰玄铁3/火龙币32</v>
      </c>
    </row>
    <row r="192" spans="1:8" ht="15.75" x14ac:dyDescent="0.3">
      <c r="A192" s="44" t="s">
        <v>3169</v>
      </c>
      <c r="B192" s="44" t="s">
        <v>3181</v>
      </c>
      <c r="C192" s="45" t="s">
        <v>3189</v>
      </c>
      <c r="D192" s="44">
        <v>1</v>
      </c>
      <c r="E192" s="114"/>
      <c r="F192" s="44"/>
      <c r="G192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92" s="116" t="str">
        <f t="shared" ref="H192:H200" si="49">"魔龙之心"&amp;Z4&amp;"/衣服碎片"&amp;AA4&amp;"/烈焰玄铁"&amp;AB4&amp;"/火龙币"&amp;AC4</f>
        <v>魔龙之心1/衣服碎片3/烈焰玄铁3/火龙币35</v>
      </c>
    </row>
    <row r="193" spans="1:8" ht="15.75" x14ac:dyDescent="0.3">
      <c r="A193" s="44" t="s">
        <v>3169</v>
      </c>
      <c r="B193" s="44" t="s">
        <v>3181</v>
      </c>
      <c r="C193" s="45" t="s">
        <v>3189</v>
      </c>
      <c r="D193" s="44">
        <v>2</v>
      </c>
      <c r="E193" s="114"/>
      <c r="F193" s="44"/>
      <c r="G193" s="44" t="str">
        <f t="shared" ref="G193:G201" si="5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93" s="116" t="str">
        <f t="shared" si="49"/>
        <v>魔龙之心1/衣服碎片4/烈焰玄铁4/火龙币37</v>
      </c>
    </row>
    <row r="194" spans="1:8" ht="15.75" x14ac:dyDescent="0.3">
      <c r="A194" s="44" t="s">
        <v>3169</v>
      </c>
      <c r="B194" s="44" t="s">
        <v>3181</v>
      </c>
      <c r="C194" s="45" t="s">
        <v>3189</v>
      </c>
      <c r="D194" s="44">
        <v>3</v>
      </c>
      <c r="E194" s="114"/>
      <c r="F194" s="44"/>
      <c r="G194" s="44" t="str">
        <f t="shared" si="50"/>
        <v>3#3#8|3#4#8|3#5#8|3#6#8|3#7#8|3#8#8|3#9#4|3#10#4|3#11#4|3#12#4</v>
      </c>
      <c r="H194" s="116" t="str">
        <f t="shared" si="49"/>
        <v>魔龙之心2/衣服碎片4/烈焰玄铁4/火龙币39</v>
      </c>
    </row>
    <row r="195" spans="1:8" ht="15.75" x14ac:dyDescent="0.3">
      <c r="A195" s="44" t="s">
        <v>3169</v>
      </c>
      <c r="B195" s="44" t="s">
        <v>3181</v>
      </c>
      <c r="C195" s="45" t="s">
        <v>3189</v>
      </c>
      <c r="D195" s="44">
        <v>4</v>
      </c>
      <c r="E195" s="114"/>
      <c r="F195" s="44"/>
      <c r="G195" s="44" t="str">
        <f t="shared" si="50"/>
        <v>3#3#11|3#4#11|3#5#11|3#6#11|3#7#11|3#8#11|3#9#5|3#10#5|3#11#5|3#12#5</v>
      </c>
      <c r="H195" s="116" t="str">
        <f t="shared" si="49"/>
        <v>魔龙之心2/衣服碎片4/烈焰玄铁4/火龙币41</v>
      </c>
    </row>
    <row r="196" spans="1:8" ht="15.75" x14ac:dyDescent="0.3">
      <c r="A196" s="44" t="s">
        <v>3169</v>
      </c>
      <c r="B196" s="44" t="s">
        <v>3181</v>
      </c>
      <c r="C196" s="45" t="s">
        <v>3189</v>
      </c>
      <c r="D196" s="44">
        <v>5</v>
      </c>
      <c r="E196" s="114"/>
      <c r="F196" s="44"/>
      <c r="G196" s="44" t="str">
        <f t="shared" si="50"/>
        <v>3#3#15|3#4#15|3#5#15|3#6#15|3#7#15|3#8#15|3#9#7|3#10#7|3#11#7|3#12#7</v>
      </c>
      <c r="H196" s="116" t="str">
        <f t="shared" si="49"/>
        <v>魔龙之心2/衣服碎片4/烈焰玄铁4/火龙币44</v>
      </c>
    </row>
    <row r="197" spans="1:8" ht="15.75" x14ac:dyDescent="0.3">
      <c r="A197" s="44" t="s">
        <v>3169</v>
      </c>
      <c r="B197" s="44" t="s">
        <v>3181</v>
      </c>
      <c r="C197" s="45" t="s">
        <v>3189</v>
      </c>
      <c r="D197" s="44">
        <v>6</v>
      </c>
      <c r="E197" s="114"/>
      <c r="F197" s="44"/>
      <c r="G197" s="44" t="str">
        <f t="shared" si="50"/>
        <v>3#3#20|3#4#20|3#5#20|3#6#20|3#7#20|3#8#20|3#9#10|3#10#10|3#11#10|3#12#10</v>
      </c>
      <c r="H197" s="116" t="str">
        <f t="shared" si="49"/>
        <v>魔龙之心2/衣服碎片5/烈焰玄铁5/火龙币46</v>
      </c>
    </row>
    <row r="198" spans="1:8" ht="15.75" x14ac:dyDescent="0.3">
      <c r="A198" s="44" t="s">
        <v>3169</v>
      </c>
      <c r="B198" s="44" t="s">
        <v>3181</v>
      </c>
      <c r="C198" s="45" t="s">
        <v>3189</v>
      </c>
      <c r="D198" s="44">
        <v>7</v>
      </c>
      <c r="E198" s="114"/>
      <c r="F198" s="44"/>
      <c r="G198" s="44" t="str">
        <f t="shared" si="50"/>
        <v>3#3#25|3#4#25|3#5#25|3#6#25|3#7#25|3#8#25|3#9#12|3#10#12|3#11#12|3#12#12</v>
      </c>
      <c r="H198" s="116" t="str">
        <f t="shared" si="49"/>
        <v>魔龙之心2/衣服碎片5/烈焰玄铁5/火龙币48</v>
      </c>
    </row>
    <row r="199" spans="1:8" ht="15.75" x14ac:dyDescent="0.3">
      <c r="A199" s="44" t="s">
        <v>3169</v>
      </c>
      <c r="B199" s="44" t="s">
        <v>3181</v>
      </c>
      <c r="C199" s="45" t="s">
        <v>3189</v>
      </c>
      <c r="D199" s="44">
        <v>8</v>
      </c>
      <c r="E199" s="114"/>
      <c r="F199" s="44"/>
      <c r="G199" s="44" t="str">
        <f t="shared" si="50"/>
        <v>3#3#30|3#4#30|3#5#30|3#6#30|3#7#30|3#8#30|3#9#15|3#10#15|3#11#15|3#12#15</v>
      </c>
      <c r="H199" s="116" t="str">
        <f t="shared" si="49"/>
        <v>魔龙之心2/衣服碎片5/烈焰玄铁5/火龙币50</v>
      </c>
    </row>
    <row r="200" spans="1:8" ht="15.75" x14ac:dyDescent="0.3">
      <c r="A200" s="44" t="s">
        <v>3169</v>
      </c>
      <c r="B200" s="44" t="s">
        <v>3181</v>
      </c>
      <c r="C200" s="45" t="s">
        <v>3189</v>
      </c>
      <c r="D200" s="44">
        <v>9</v>
      </c>
      <c r="E200" s="114"/>
      <c r="F200" s="44"/>
      <c r="G200" s="44" t="str">
        <f t="shared" si="50"/>
        <v>3#3#36|3#4#36|3#5#36|3#6#36|3#7#36|3#8#36|3#9#18|3#10#18|3#11#18|3#12#18</v>
      </c>
      <c r="H200" s="116" t="str">
        <f t="shared" si="49"/>
        <v>魔龙之心2/衣服碎片5/烈焰玄铁5/火龙币53</v>
      </c>
    </row>
    <row r="201" spans="1:8" ht="15.75" x14ac:dyDescent="0.3">
      <c r="A201" s="44" t="s">
        <v>3169</v>
      </c>
      <c r="B201" s="44" t="s">
        <v>3181</v>
      </c>
      <c r="C201" s="45" t="s">
        <v>3189</v>
      </c>
      <c r="D201" s="44">
        <v>10</v>
      </c>
      <c r="E201" s="114"/>
      <c r="F201" s="44"/>
      <c r="G201" s="44" t="str">
        <f t="shared" si="50"/>
        <v>3#3#45|3#4#45|3#5#45|3#6#45|3#7#45|3#8#45|3#9#22|3#10#22|3#11#22|3#12#22</v>
      </c>
      <c r="H201" s="116"/>
    </row>
    <row r="202" spans="1:8" ht="15.75" x14ac:dyDescent="0.3">
      <c r="A202" s="44" t="s">
        <v>3169</v>
      </c>
      <c r="B202" s="44" t="s">
        <v>3181</v>
      </c>
      <c r="C202" s="45" t="s">
        <v>3190</v>
      </c>
      <c r="D202" s="44">
        <v>0</v>
      </c>
      <c r="E202" s="114"/>
      <c r="F202" s="44"/>
      <c r="G202" s="117"/>
      <c r="H202" s="116" t="str">
        <f>"魔龙之心"&amp;Z3&amp;"/衣服碎片"&amp;AA3&amp;"/烈焰玄铁"&amp;AB3&amp;"/火龙币"&amp;AC3</f>
        <v>魔龙之心1/衣服碎片3/烈焰玄铁3/火龙币32</v>
      </c>
    </row>
    <row r="203" spans="1:8" ht="15.75" x14ac:dyDescent="0.3">
      <c r="A203" s="44" t="s">
        <v>3169</v>
      </c>
      <c r="B203" s="44" t="s">
        <v>3181</v>
      </c>
      <c r="C203" s="45" t="s">
        <v>3190</v>
      </c>
      <c r="D203" s="44">
        <v>1</v>
      </c>
      <c r="E203" s="114"/>
      <c r="F203" s="44"/>
      <c r="G203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03" s="116" t="str">
        <f t="shared" ref="H203:H211" si="51">"魔龙之心"&amp;Z4&amp;"/衣服碎片"&amp;AA4&amp;"/烈焰玄铁"&amp;AB4&amp;"/火龙币"&amp;AC4</f>
        <v>魔龙之心1/衣服碎片3/烈焰玄铁3/火龙币35</v>
      </c>
    </row>
    <row r="204" spans="1:8" ht="15.75" x14ac:dyDescent="0.3">
      <c r="A204" s="44" t="s">
        <v>3169</v>
      </c>
      <c r="B204" s="44" t="s">
        <v>3181</v>
      </c>
      <c r="C204" s="45" t="s">
        <v>3190</v>
      </c>
      <c r="D204" s="44">
        <v>2</v>
      </c>
      <c r="E204" s="114"/>
      <c r="F204" s="44"/>
      <c r="G204" s="44" t="str">
        <f t="shared" ref="G204:G212" si="5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04" s="116" t="str">
        <f t="shared" si="51"/>
        <v>魔龙之心1/衣服碎片4/烈焰玄铁4/火龙币37</v>
      </c>
    </row>
    <row r="205" spans="1:8" ht="15.75" x14ac:dyDescent="0.3">
      <c r="A205" s="44" t="s">
        <v>3169</v>
      </c>
      <c r="B205" s="44" t="s">
        <v>3181</v>
      </c>
      <c r="C205" s="45" t="s">
        <v>3190</v>
      </c>
      <c r="D205" s="44">
        <v>3</v>
      </c>
      <c r="E205" s="114"/>
      <c r="F205" s="44"/>
      <c r="G205" s="44" t="str">
        <f t="shared" si="52"/>
        <v>3#3#8|3#4#8|3#5#8|3#6#8|3#7#8|3#8#8|3#9#4|3#10#4|3#11#4|3#12#4</v>
      </c>
      <c r="H205" s="116" t="str">
        <f t="shared" si="51"/>
        <v>魔龙之心2/衣服碎片4/烈焰玄铁4/火龙币39</v>
      </c>
    </row>
    <row r="206" spans="1:8" ht="15.75" x14ac:dyDescent="0.3">
      <c r="A206" s="44" t="s">
        <v>3169</v>
      </c>
      <c r="B206" s="44" t="s">
        <v>3181</v>
      </c>
      <c r="C206" s="45" t="s">
        <v>3190</v>
      </c>
      <c r="D206" s="44">
        <v>4</v>
      </c>
      <c r="E206" s="114"/>
      <c r="F206" s="44"/>
      <c r="G206" s="44" t="str">
        <f t="shared" si="52"/>
        <v>3#3#11|3#4#11|3#5#11|3#6#11|3#7#11|3#8#11|3#9#5|3#10#5|3#11#5|3#12#5</v>
      </c>
      <c r="H206" s="116" t="str">
        <f t="shared" si="51"/>
        <v>魔龙之心2/衣服碎片4/烈焰玄铁4/火龙币41</v>
      </c>
    </row>
    <row r="207" spans="1:8" ht="15.75" x14ac:dyDescent="0.3">
      <c r="A207" s="44" t="s">
        <v>3169</v>
      </c>
      <c r="B207" s="44" t="s">
        <v>3181</v>
      </c>
      <c r="C207" s="45" t="s">
        <v>3190</v>
      </c>
      <c r="D207" s="44">
        <v>5</v>
      </c>
      <c r="E207" s="114"/>
      <c r="F207" s="44"/>
      <c r="G207" s="44" t="str">
        <f t="shared" si="52"/>
        <v>3#3#15|3#4#15|3#5#15|3#6#15|3#7#15|3#8#15|3#9#7|3#10#7|3#11#7|3#12#7</v>
      </c>
      <c r="H207" s="116" t="str">
        <f t="shared" si="51"/>
        <v>魔龙之心2/衣服碎片4/烈焰玄铁4/火龙币44</v>
      </c>
    </row>
    <row r="208" spans="1:8" ht="15.75" x14ac:dyDescent="0.3">
      <c r="A208" s="44" t="s">
        <v>3169</v>
      </c>
      <c r="B208" s="44" t="s">
        <v>3181</v>
      </c>
      <c r="C208" s="45" t="s">
        <v>3190</v>
      </c>
      <c r="D208" s="44">
        <v>6</v>
      </c>
      <c r="E208" s="114"/>
      <c r="F208" s="44"/>
      <c r="G208" s="44" t="str">
        <f t="shared" si="52"/>
        <v>3#3#20|3#4#20|3#5#20|3#6#20|3#7#20|3#8#20|3#9#10|3#10#10|3#11#10|3#12#10</v>
      </c>
      <c r="H208" s="116" t="str">
        <f t="shared" si="51"/>
        <v>魔龙之心2/衣服碎片5/烈焰玄铁5/火龙币46</v>
      </c>
    </row>
    <row r="209" spans="1:8" ht="15.75" x14ac:dyDescent="0.3">
      <c r="A209" s="44" t="s">
        <v>3169</v>
      </c>
      <c r="B209" s="44" t="s">
        <v>3181</v>
      </c>
      <c r="C209" s="45" t="s">
        <v>3190</v>
      </c>
      <c r="D209" s="44">
        <v>7</v>
      </c>
      <c r="E209" s="114"/>
      <c r="F209" s="44"/>
      <c r="G209" s="44" t="str">
        <f t="shared" si="52"/>
        <v>3#3#25|3#4#25|3#5#25|3#6#25|3#7#25|3#8#25|3#9#12|3#10#12|3#11#12|3#12#12</v>
      </c>
      <c r="H209" s="116" t="str">
        <f t="shared" si="51"/>
        <v>魔龙之心2/衣服碎片5/烈焰玄铁5/火龙币48</v>
      </c>
    </row>
    <row r="210" spans="1:8" ht="15.75" x14ac:dyDescent="0.3">
      <c r="A210" s="44" t="s">
        <v>3169</v>
      </c>
      <c r="B210" s="44" t="s">
        <v>3181</v>
      </c>
      <c r="C210" s="45" t="s">
        <v>3190</v>
      </c>
      <c r="D210" s="44">
        <v>8</v>
      </c>
      <c r="E210" s="114"/>
      <c r="F210" s="44"/>
      <c r="G210" s="44" t="str">
        <f t="shared" si="52"/>
        <v>3#3#30|3#4#30|3#5#30|3#6#30|3#7#30|3#8#30|3#9#15|3#10#15|3#11#15|3#12#15</v>
      </c>
      <c r="H210" s="116" t="str">
        <f t="shared" si="51"/>
        <v>魔龙之心2/衣服碎片5/烈焰玄铁5/火龙币50</v>
      </c>
    </row>
    <row r="211" spans="1:8" ht="15.75" x14ac:dyDescent="0.3">
      <c r="A211" s="44" t="s">
        <v>3169</v>
      </c>
      <c r="B211" s="44" t="s">
        <v>3181</v>
      </c>
      <c r="C211" s="45" t="s">
        <v>3190</v>
      </c>
      <c r="D211" s="44">
        <v>9</v>
      </c>
      <c r="E211" s="114"/>
      <c r="F211" s="44"/>
      <c r="G211" s="44" t="str">
        <f t="shared" si="52"/>
        <v>3#3#36|3#4#36|3#5#36|3#6#36|3#7#36|3#8#36|3#9#18|3#10#18|3#11#18|3#12#18</v>
      </c>
      <c r="H211" s="116" t="str">
        <f t="shared" si="51"/>
        <v>魔龙之心2/衣服碎片5/烈焰玄铁5/火龙币53</v>
      </c>
    </row>
    <row r="212" spans="1:8" ht="15.75" x14ac:dyDescent="0.3">
      <c r="A212" s="44" t="s">
        <v>3169</v>
      </c>
      <c r="B212" s="44" t="s">
        <v>3181</v>
      </c>
      <c r="C212" s="45" t="s">
        <v>3190</v>
      </c>
      <c r="D212" s="44">
        <v>10</v>
      </c>
      <c r="E212" s="114"/>
      <c r="F212" s="44"/>
      <c r="G212" s="44" t="str">
        <f t="shared" si="52"/>
        <v>3#3#45|3#4#45|3#5#45|3#6#45|3#7#45|3#8#45|3#9#22|3#10#22|3#11#22|3#12#22</v>
      </c>
      <c r="H212" s="116"/>
    </row>
    <row r="213" spans="1:8" ht="15.75" x14ac:dyDescent="0.3">
      <c r="A213" s="44" t="s">
        <v>3169</v>
      </c>
      <c r="B213" s="44" t="s">
        <v>3181</v>
      </c>
      <c r="C213" s="45" t="s">
        <v>3191</v>
      </c>
      <c r="D213" s="44">
        <v>0</v>
      </c>
      <c r="E213" s="114"/>
      <c r="F213" s="44"/>
      <c r="G213" s="117"/>
      <c r="H213" s="116" t="str">
        <f>"魔龙之心"&amp;Z3&amp;"/衣服碎片"&amp;AA3&amp;"/烈焰玄铁"&amp;AB3&amp;"/火龙币"&amp;AC3</f>
        <v>魔龙之心1/衣服碎片3/烈焰玄铁3/火龙币32</v>
      </c>
    </row>
    <row r="214" spans="1:8" ht="15.75" x14ac:dyDescent="0.3">
      <c r="A214" s="44" t="s">
        <v>3169</v>
      </c>
      <c r="B214" s="44" t="s">
        <v>3181</v>
      </c>
      <c r="C214" s="45" t="s">
        <v>3191</v>
      </c>
      <c r="D214" s="44">
        <v>1</v>
      </c>
      <c r="E214" s="114"/>
      <c r="F214" s="44"/>
      <c r="G214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14" s="116" t="str">
        <f t="shared" ref="H214:H222" si="53">"魔龙之心"&amp;Z4&amp;"/衣服碎片"&amp;AA4&amp;"/烈焰玄铁"&amp;AB4&amp;"/火龙币"&amp;AC4</f>
        <v>魔龙之心1/衣服碎片3/烈焰玄铁3/火龙币35</v>
      </c>
    </row>
    <row r="215" spans="1:8" ht="15.75" x14ac:dyDescent="0.3">
      <c r="A215" s="44" t="s">
        <v>3169</v>
      </c>
      <c r="B215" s="44" t="s">
        <v>3181</v>
      </c>
      <c r="C215" s="45" t="s">
        <v>3191</v>
      </c>
      <c r="D215" s="44">
        <v>2</v>
      </c>
      <c r="E215" s="114"/>
      <c r="F215" s="44"/>
      <c r="G215" s="44" t="str">
        <f t="shared" ref="G215:G223" si="5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15" s="116" t="str">
        <f t="shared" si="53"/>
        <v>魔龙之心1/衣服碎片4/烈焰玄铁4/火龙币37</v>
      </c>
    </row>
    <row r="216" spans="1:8" ht="15.75" x14ac:dyDescent="0.3">
      <c r="A216" s="44" t="s">
        <v>3169</v>
      </c>
      <c r="B216" s="44" t="s">
        <v>3181</v>
      </c>
      <c r="C216" s="45" t="s">
        <v>3191</v>
      </c>
      <c r="D216" s="44">
        <v>3</v>
      </c>
      <c r="E216" s="114"/>
      <c r="F216" s="44"/>
      <c r="G216" s="44" t="str">
        <f t="shared" si="54"/>
        <v>3#3#8|3#4#8|3#5#8|3#6#8|3#7#8|3#8#8|3#9#4|3#10#4|3#11#4|3#12#4</v>
      </c>
      <c r="H216" s="116" t="str">
        <f t="shared" si="53"/>
        <v>魔龙之心2/衣服碎片4/烈焰玄铁4/火龙币39</v>
      </c>
    </row>
    <row r="217" spans="1:8" ht="15.75" x14ac:dyDescent="0.3">
      <c r="A217" s="44" t="s">
        <v>3169</v>
      </c>
      <c r="B217" s="44" t="s">
        <v>3181</v>
      </c>
      <c r="C217" s="45" t="s">
        <v>3191</v>
      </c>
      <c r="D217" s="44">
        <v>4</v>
      </c>
      <c r="E217" s="114"/>
      <c r="F217" s="44"/>
      <c r="G217" s="44" t="str">
        <f t="shared" si="54"/>
        <v>3#3#11|3#4#11|3#5#11|3#6#11|3#7#11|3#8#11|3#9#5|3#10#5|3#11#5|3#12#5</v>
      </c>
      <c r="H217" s="116" t="str">
        <f t="shared" si="53"/>
        <v>魔龙之心2/衣服碎片4/烈焰玄铁4/火龙币41</v>
      </c>
    </row>
    <row r="218" spans="1:8" ht="15.75" x14ac:dyDescent="0.3">
      <c r="A218" s="44" t="s">
        <v>3169</v>
      </c>
      <c r="B218" s="44" t="s">
        <v>3181</v>
      </c>
      <c r="C218" s="45" t="s">
        <v>3191</v>
      </c>
      <c r="D218" s="44">
        <v>5</v>
      </c>
      <c r="E218" s="114"/>
      <c r="F218" s="44"/>
      <c r="G218" s="44" t="str">
        <f t="shared" si="54"/>
        <v>3#3#15|3#4#15|3#5#15|3#6#15|3#7#15|3#8#15|3#9#7|3#10#7|3#11#7|3#12#7</v>
      </c>
      <c r="H218" s="116" t="str">
        <f t="shared" si="53"/>
        <v>魔龙之心2/衣服碎片4/烈焰玄铁4/火龙币44</v>
      </c>
    </row>
    <row r="219" spans="1:8" ht="15.75" x14ac:dyDescent="0.3">
      <c r="A219" s="44" t="s">
        <v>3169</v>
      </c>
      <c r="B219" s="44" t="s">
        <v>3181</v>
      </c>
      <c r="C219" s="45" t="s">
        <v>3191</v>
      </c>
      <c r="D219" s="44">
        <v>6</v>
      </c>
      <c r="E219" s="114"/>
      <c r="F219" s="44"/>
      <c r="G219" s="44" t="str">
        <f t="shared" si="54"/>
        <v>3#3#20|3#4#20|3#5#20|3#6#20|3#7#20|3#8#20|3#9#10|3#10#10|3#11#10|3#12#10</v>
      </c>
      <c r="H219" s="116" t="str">
        <f t="shared" si="53"/>
        <v>魔龙之心2/衣服碎片5/烈焰玄铁5/火龙币46</v>
      </c>
    </row>
    <row r="220" spans="1:8" ht="15.75" x14ac:dyDescent="0.3">
      <c r="A220" s="44" t="s">
        <v>3169</v>
      </c>
      <c r="B220" s="44" t="s">
        <v>3181</v>
      </c>
      <c r="C220" s="45" t="s">
        <v>3191</v>
      </c>
      <c r="D220" s="44">
        <v>7</v>
      </c>
      <c r="E220" s="114"/>
      <c r="F220" s="44"/>
      <c r="G220" s="44" t="str">
        <f t="shared" si="54"/>
        <v>3#3#25|3#4#25|3#5#25|3#6#25|3#7#25|3#8#25|3#9#12|3#10#12|3#11#12|3#12#12</v>
      </c>
      <c r="H220" s="116" t="str">
        <f t="shared" si="53"/>
        <v>魔龙之心2/衣服碎片5/烈焰玄铁5/火龙币48</v>
      </c>
    </row>
    <row r="221" spans="1:8" ht="15.75" x14ac:dyDescent="0.3">
      <c r="A221" s="44" t="s">
        <v>3169</v>
      </c>
      <c r="B221" s="44" t="s">
        <v>3181</v>
      </c>
      <c r="C221" s="45" t="s">
        <v>3191</v>
      </c>
      <c r="D221" s="44">
        <v>8</v>
      </c>
      <c r="E221" s="114"/>
      <c r="F221" s="44"/>
      <c r="G221" s="44" t="str">
        <f t="shared" si="54"/>
        <v>3#3#30|3#4#30|3#5#30|3#6#30|3#7#30|3#8#30|3#9#15|3#10#15|3#11#15|3#12#15</v>
      </c>
      <c r="H221" s="116" t="str">
        <f t="shared" si="53"/>
        <v>魔龙之心2/衣服碎片5/烈焰玄铁5/火龙币50</v>
      </c>
    </row>
    <row r="222" spans="1:8" ht="15.75" x14ac:dyDescent="0.3">
      <c r="A222" s="44" t="s">
        <v>3169</v>
      </c>
      <c r="B222" s="44" t="s">
        <v>3181</v>
      </c>
      <c r="C222" s="45" t="s">
        <v>3191</v>
      </c>
      <c r="D222" s="44">
        <v>9</v>
      </c>
      <c r="E222" s="114"/>
      <c r="F222" s="44"/>
      <c r="G222" s="44" t="str">
        <f t="shared" si="54"/>
        <v>3#3#36|3#4#36|3#5#36|3#6#36|3#7#36|3#8#36|3#9#18|3#10#18|3#11#18|3#12#18</v>
      </c>
      <c r="H222" s="116" t="str">
        <f t="shared" si="53"/>
        <v>魔龙之心2/衣服碎片5/烈焰玄铁5/火龙币53</v>
      </c>
    </row>
    <row r="223" spans="1:8" ht="15.75" x14ac:dyDescent="0.3">
      <c r="A223" s="44" t="s">
        <v>3169</v>
      </c>
      <c r="B223" s="44" t="s">
        <v>3181</v>
      </c>
      <c r="C223" s="45" t="s">
        <v>3191</v>
      </c>
      <c r="D223" s="44">
        <v>10</v>
      </c>
      <c r="E223" s="114"/>
      <c r="F223" s="44"/>
      <c r="G223" s="44" t="str">
        <f t="shared" si="54"/>
        <v>3#3#45|3#4#45|3#5#45|3#6#45|3#7#45|3#8#45|3#9#22|3#10#22|3#11#22|3#12#22</v>
      </c>
      <c r="H223" s="116"/>
    </row>
    <row r="224" spans="1:8" ht="15.75" x14ac:dyDescent="0.3">
      <c r="A224" s="47" t="s">
        <v>3169</v>
      </c>
      <c r="B224" s="47" t="s">
        <v>3192</v>
      </c>
      <c r="C224" s="48" t="s">
        <v>3193</v>
      </c>
      <c r="D224" s="47">
        <v>0</v>
      </c>
      <c r="E224" s="118"/>
      <c r="F224" s="47"/>
      <c r="G224" s="121"/>
      <c r="H224" s="120" t="str">
        <f>"神器图纸"&amp;Z3&amp;"/防具碎片"&amp;AA3&amp;"/烈焰玄铁"&amp;AB3&amp;"/火龙币"&amp;AC3</f>
        <v>神器图纸1/防具碎片3/烈焰玄铁3/火龙币32</v>
      </c>
    </row>
    <row r="225" spans="1:8" ht="15.75" x14ac:dyDescent="0.3">
      <c r="A225" s="47" t="s">
        <v>3169</v>
      </c>
      <c r="B225" s="47" t="s">
        <v>3192</v>
      </c>
      <c r="C225" s="48" t="s">
        <v>3193</v>
      </c>
      <c r="D225" s="47">
        <v>1</v>
      </c>
      <c r="E225" s="118"/>
      <c r="F225" s="47"/>
      <c r="G225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25" s="120" t="str">
        <f t="shared" ref="H225:H233" si="55">"神器图纸"&amp;Z4&amp;"/防具碎片"&amp;AA4&amp;"/烈焰玄铁"&amp;AB4&amp;"/火龙币"&amp;AC4</f>
        <v>神器图纸1/防具碎片3/烈焰玄铁3/火龙币35</v>
      </c>
    </row>
    <row r="226" spans="1:8" ht="15.75" x14ac:dyDescent="0.3">
      <c r="A226" s="47" t="s">
        <v>3169</v>
      </c>
      <c r="B226" s="47" t="s">
        <v>3192</v>
      </c>
      <c r="C226" s="48" t="s">
        <v>3193</v>
      </c>
      <c r="D226" s="47">
        <v>2</v>
      </c>
      <c r="E226" s="118"/>
      <c r="F226" s="47"/>
      <c r="G226" s="47" t="str">
        <f t="shared" ref="G226:G234" si="5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26" s="120" t="str">
        <f t="shared" si="55"/>
        <v>神器图纸1/防具碎片4/烈焰玄铁4/火龙币37</v>
      </c>
    </row>
    <row r="227" spans="1:8" ht="15.75" x14ac:dyDescent="0.3">
      <c r="A227" s="47" t="s">
        <v>3169</v>
      </c>
      <c r="B227" s="47" t="s">
        <v>3192</v>
      </c>
      <c r="C227" s="48" t="s">
        <v>3193</v>
      </c>
      <c r="D227" s="47">
        <v>3</v>
      </c>
      <c r="E227" s="118"/>
      <c r="F227" s="47"/>
      <c r="G227" s="47" t="str">
        <f t="shared" si="56"/>
        <v>3#3#8|3#4#8|3#5#8|3#6#8|3#7#8|3#8#8|3#9#4|3#10#4|3#11#4|3#12#4</v>
      </c>
      <c r="H227" s="120" t="str">
        <f t="shared" si="55"/>
        <v>神器图纸2/防具碎片4/烈焰玄铁4/火龙币39</v>
      </c>
    </row>
    <row r="228" spans="1:8" ht="15.75" x14ac:dyDescent="0.3">
      <c r="A228" s="47" t="s">
        <v>3169</v>
      </c>
      <c r="B228" s="47" t="s">
        <v>3192</v>
      </c>
      <c r="C228" s="48" t="s">
        <v>3193</v>
      </c>
      <c r="D228" s="47">
        <v>4</v>
      </c>
      <c r="E228" s="118"/>
      <c r="F228" s="47"/>
      <c r="G228" s="47" t="str">
        <f t="shared" si="56"/>
        <v>3#3#11|3#4#11|3#5#11|3#6#11|3#7#11|3#8#11|3#9#5|3#10#5|3#11#5|3#12#5</v>
      </c>
      <c r="H228" s="120" t="str">
        <f t="shared" si="55"/>
        <v>神器图纸2/防具碎片4/烈焰玄铁4/火龙币41</v>
      </c>
    </row>
    <row r="229" spans="1:8" ht="15.75" x14ac:dyDescent="0.3">
      <c r="A229" s="47" t="s">
        <v>3169</v>
      </c>
      <c r="B229" s="47" t="s">
        <v>3192</v>
      </c>
      <c r="C229" s="48" t="s">
        <v>3193</v>
      </c>
      <c r="D229" s="47">
        <v>5</v>
      </c>
      <c r="E229" s="118"/>
      <c r="F229" s="47"/>
      <c r="G229" s="47" t="str">
        <f t="shared" si="56"/>
        <v>3#3#15|3#4#15|3#5#15|3#6#15|3#7#15|3#8#15|3#9#7|3#10#7|3#11#7|3#12#7</v>
      </c>
      <c r="H229" s="120" t="str">
        <f t="shared" si="55"/>
        <v>神器图纸2/防具碎片4/烈焰玄铁4/火龙币44</v>
      </c>
    </row>
    <row r="230" spans="1:8" ht="15.75" x14ac:dyDescent="0.3">
      <c r="A230" s="47" t="s">
        <v>3169</v>
      </c>
      <c r="B230" s="47" t="s">
        <v>3192</v>
      </c>
      <c r="C230" s="48" t="s">
        <v>3193</v>
      </c>
      <c r="D230" s="47">
        <v>6</v>
      </c>
      <c r="E230" s="118"/>
      <c r="F230" s="47"/>
      <c r="G230" s="47" t="str">
        <f t="shared" si="56"/>
        <v>3#3#20|3#4#20|3#5#20|3#6#20|3#7#20|3#8#20|3#9#10|3#10#10|3#11#10|3#12#10</v>
      </c>
      <c r="H230" s="120" t="str">
        <f t="shared" si="55"/>
        <v>神器图纸2/防具碎片5/烈焰玄铁5/火龙币46</v>
      </c>
    </row>
    <row r="231" spans="1:8" ht="15.75" x14ac:dyDescent="0.3">
      <c r="A231" s="47" t="s">
        <v>3169</v>
      </c>
      <c r="B231" s="47" t="s">
        <v>3192</v>
      </c>
      <c r="C231" s="48" t="s">
        <v>3193</v>
      </c>
      <c r="D231" s="47">
        <v>7</v>
      </c>
      <c r="E231" s="118"/>
      <c r="F231" s="47"/>
      <c r="G231" s="47" t="str">
        <f t="shared" si="56"/>
        <v>3#3#25|3#4#25|3#5#25|3#6#25|3#7#25|3#8#25|3#9#12|3#10#12|3#11#12|3#12#12</v>
      </c>
      <c r="H231" s="120" t="str">
        <f t="shared" si="55"/>
        <v>神器图纸2/防具碎片5/烈焰玄铁5/火龙币48</v>
      </c>
    </row>
    <row r="232" spans="1:8" ht="15.75" x14ac:dyDescent="0.3">
      <c r="A232" s="47" t="s">
        <v>3169</v>
      </c>
      <c r="B232" s="47" t="s">
        <v>3192</v>
      </c>
      <c r="C232" s="48" t="s">
        <v>3193</v>
      </c>
      <c r="D232" s="47">
        <v>8</v>
      </c>
      <c r="E232" s="118"/>
      <c r="F232" s="47"/>
      <c r="G232" s="47" t="str">
        <f t="shared" si="56"/>
        <v>3#3#30|3#4#30|3#5#30|3#6#30|3#7#30|3#8#30|3#9#15|3#10#15|3#11#15|3#12#15</v>
      </c>
      <c r="H232" s="120" t="str">
        <f t="shared" si="55"/>
        <v>神器图纸2/防具碎片5/烈焰玄铁5/火龙币50</v>
      </c>
    </row>
    <row r="233" spans="1:8" ht="15.75" x14ac:dyDescent="0.3">
      <c r="A233" s="47" t="s">
        <v>3169</v>
      </c>
      <c r="B233" s="47" t="s">
        <v>3192</v>
      </c>
      <c r="C233" s="48" t="s">
        <v>3193</v>
      </c>
      <c r="D233" s="47">
        <v>9</v>
      </c>
      <c r="E233" s="118"/>
      <c r="F233" s="47"/>
      <c r="G233" s="47" t="str">
        <f t="shared" si="56"/>
        <v>3#3#36|3#4#36|3#5#36|3#6#36|3#7#36|3#8#36|3#9#18|3#10#18|3#11#18|3#12#18</v>
      </c>
      <c r="H233" s="120" t="str">
        <f t="shared" si="55"/>
        <v>神器图纸2/防具碎片5/烈焰玄铁5/火龙币53</v>
      </c>
    </row>
    <row r="234" spans="1:8" ht="15.75" x14ac:dyDescent="0.3">
      <c r="A234" s="47" t="s">
        <v>3169</v>
      </c>
      <c r="B234" s="47" t="s">
        <v>3192</v>
      </c>
      <c r="C234" s="48" t="s">
        <v>3193</v>
      </c>
      <c r="D234" s="47">
        <v>10</v>
      </c>
      <c r="E234" s="118"/>
      <c r="F234" s="47"/>
      <c r="G234" s="47" t="str">
        <f t="shared" si="56"/>
        <v>3#3#45|3#4#45|3#5#45|3#6#45|3#7#45|3#8#45|3#9#22|3#10#22|3#11#22|3#12#22</v>
      </c>
      <c r="H234" s="120"/>
    </row>
    <row r="235" spans="1:8" ht="15.75" x14ac:dyDescent="0.3">
      <c r="A235" s="47" t="s">
        <v>3169</v>
      </c>
      <c r="B235" s="47" t="s">
        <v>3192</v>
      </c>
      <c r="C235" s="48" t="s">
        <v>3194</v>
      </c>
      <c r="D235" s="47">
        <v>0</v>
      </c>
      <c r="E235" s="118"/>
      <c r="F235" s="47"/>
      <c r="G235" s="121"/>
      <c r="H235" s="120" t="str">
        <f>"神器图纸"&amp;Z3&amp;"/防具碎片"&amp;AA3&amp;"/烈焰玄铁"&amp;AB3&amp;"/火龙币"&amp;AC3</f>
        <v>神器图纸1/防具碎片3/烈焰玄铁3/火龙币32</v>
      </c>
    </row>
    <row r="236" spans="1:8" ht="15.75" x14ac:dyDescent="0.3">
      <c r="A236" s="47" t="s">
        <v>3169</v>
      </c>
      <c r="B236" s="47" t="s">
        <v>3192</v>
      </c>
      <c r="C236" s="48" t="s">
        <v>3194</v>
      </c>
      <c r="D236" s="47">
        <v>1</v>
      </c>
      <c r="E236" s="118"/>
      <c r="F236" s="47"/>
      <c r="G236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36" s="120" t="str">
        <f t="shared" ref="H236:H244" si="57">"神器图纸"&amp;Z4&amp;"/防具碎片"&amp;AA4&amp;"/烈焰玄铁"&amp;AB4&amp;"/火龙币"&amp;AC4</f>
        <v>神器图纸1/防具碎片3/烈焰玄铁3/火龙币35</v>
      </c>
    </row>
    <row r="237" spans="1:8" ht="15.75" x14ac:dyDescent="0.3">
      <c r="A237" s="47" t="s">
        <v>3169</v>
      </c>
      <c r="B237" s="47" t="s">
        <v>3192</v>
      </c>
      <c r="C237" s="48" t="s">
        <v>3194</v>
      </c>
      <c r="D237" s="47">
        <v>2</v>
      </c>
      <c r="E237" s="118"/>
      <c r="F237" s="47"/>
      <c r="G237" s="47" t="str">
        <f t="shared" ref="G237:G245" si="5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37" s="120" t="str">
        <f t="shared" si="57"/>
        <v>神器图纸1/防具碎片4/烈焰玄铁4/火龙币37</v>
      </c>
    </row>
    <row r="238" spans="1:8" ht="15.75" x14ac:dyDescent="0.3">
      <c r="A238" s="47" t="s">
        <v>3169</v>
      </c>
      <c r="B238" s="47" t="s">
        <v>3192</v>
      </c>
      <c r="C238" s="48" t="s">
        <v>3194</v>
      </c>
      <c r="D238" s="47">
        <v>3</v>
      </c>
      <c r="E238" s="118"/>
      <c r="F238" s="47"/>
      <c r="G238" s="47" t="str">
        <f t="shared" si="58"/>
        <v>3#3#8|3#4#8|3#5#8|3#6#8|3#7#8|3#8#8|3#9#4|3#10#4|3#11#4|3#12#4</v>
      </c>
      <c r="H238" s="120" t="str">
        <f t="shared" si="57"/>
        <v>神器图纸2/防具碎片4/烈焰玄铁4/火龙币39</v>
      </c>
    </row>
    <row r="239" spans="1:8" ht="15.75" x14ac:dyDescent="0.3">
      <c r="A239" s="47" t="s">
        <v>3169</v>
      </c>
      <c r="B239" s="47" t="s">
        <v>3192</v>
      </c>
      <c r="C239" s="48" t="s">
        <v>3194</v>
      </c>
      <c r="D239" s="47">
        <v>4</v>
      </c>
      <c r="E239" s="118"/>
      <c r="F239" s="47"/>
      <c r="G239" s="47" t="str">
        <f t="shared" si="58"/>
        <v>3#3#11|3#4#11|3#5#11|3#6#11|3#7#11|3#8#11|3#9#5|3#10#5|3#11#5|3#12#5</v>
      </c>
      <c r="H239" s="120" t="str">
        <f t="shared" si="57"/>
        <v>神器图纸2/防具碎片4/烈焰玄铁4/火龙币41</v>
      </c>
    </row>
    <row r="240" spans="1:8" ht="15.75" x14ac:dyDescent="0.3">
      <c r="A240" s="47" t="s">
        <v>3169</v>
      </c>
      <c r="B240" s="47" t="s">
        <v>3192</v>
      </c>
      <c r="C240" s="48" t="s">
        <v>3194</v>
      </c>
      <c r="D240" s="47">
        <v>5</v>
      </c>
      <c r="E240" s="118"/>
      <c r="F240" s="47"/>
      <c r="G240" s="47" t="str">
        <f t="shared" si="58"/>
        <v>3#3#15|3#4#15|3#5#15|3#6#15|3#7#15|3#8#15|3#9#7|3#10#7|3#11#7|3#12#7</v>
      </c>
      <c r="H240" s="120" t="str">
        <f t="shared" si="57"/>
        <v>神器图纸2/防具碎片4/烈焰玄铁4/火龙币44</v>
      </c>
    </row>
    <row r="241" spans="1:8" ht="15.75" x14ac:dyDescent="0.3">
      <c r="A241" s="47" t="s">
        <v>3169</v>
      </c>
      <c r="B241" s="47" t="s">
        <v>3192</v>
      </c>
      <c r="C241" s="48" t="s">
        <v>3194</v>
      </c>
      <c r="D241" s="47">
        <v>6</v>
      </c>
      <c r="E241" s="118"/>
      <c r="F241" s="47"/>
      <c r="G241" s="47" t="str">
        <f t="shared" si="58"/>
        <v>3#3#20|3#4#20|3#5#20|3#6#20|3#7#20|3#8#20|3#9#10|3#10#10|3#11#10|3#12#10</v>
      </c>
      <c r="H241" s="120" t="str">
        <f t="shared" si="57"/>
        <v>神器图纸2/防具碎片5/烈焰玄铁5/火龙币46</v>
      </c>
    </row>
    <row r="242" spans="1:8" ht="15.75" x14ac:dyDescent="0.3">
      <c r="A242" s="47" t="s">
        <v>3169</v>
      </c>
      <c r="B242" s="47" t="s">
        <v>3192</v>
      </c>
      <c r="C242" s="48" t="s">
        <v>3194</v>
      </c>
      <c r="D242" s="47">
        <v>7</v>
      </c>
      <c r="E242" s="118"/>
      <c r="F242" s="47"/>
      <c r="G242" s="47" t="str">
        <f t="shared" si="58"/>
        <v>3#3#25|3#4#25|3#5#25|3#6#25|3#7#25|3#8#25|3#9#12|3#10#12|3#11#12|3#12#12</v>
      </c>
      <c r="H242" s="120" t="str">
        <f t="shared" si="57"/>
        <v>神器图纸2/防具碎片5/烈焰玄铁5/火龙币48</v>
      </c>
    </row>
    <row r="243" spans="1:8" ht="15.75" x14ac:dyDescent="0.3">
      <c r="A243" s="47" t="s">
        <v>3169</v>
      </c>
      <c r="B243" s="47" t="s">
        <v>3192</v>
      </c>
      <c r="C243" s="48" t="s">
        <v>3194</v>
      </c>
      <c r="D243" s="47">
        <v>8</v>
      </c>
      <c r="E243" s="118"/>
      <c r="F243" s="47"/>
      <c r="G243" s="47" t="str">
        <f t="shared" si="58"/>
        <v>3#3#30|3#4#30|3#5#30|3#6#30|3#7#30|3#8#30|3#9#15|3#10#15|3#11#15|3#12#15</v>
      </c>
      <c r="H243" s="120" t="str">
        <f t="shared" si="57"/>
        <v>神器图纸2/防具碎片5/烈焰玄铁5/火龙币50</v>
      </c>
    </row>
    <row r="244" spans="1:8" ht="15.75" x14ac:dyDescent="0.3">
      <c r="A244" s="47" t="s">
        <v>3169</v>
      </c>
      <c r="B244" s="47" t="s">
        <v>3192</v>
      </c>
      <c r="C244" s="48" t="s">
        <v>3194</v>
      </c>
      <c r="D244" s="47">
        <v>9</v>
      </c>
      <c r="E244" s="118"/>
      <c r="F244" s="47"/>
      <c r="G244" s="47" t="str">
        <f t="shared" si="58"/>
        <v>3#3#36|3#4#36|3#5#36|3#6#36|3#7#36|3#8#36|3#9#18|3#10#18|3#11#18|3#12#18</v>
      </c>
      <c r="H244" s="120" t="str">
        <f t="shared" si="57"/>
        <v>神器图纸2/防具碎片5/烈焰玄铁5/火龙币53</v>
      </c>
    </row>
    <row r="245" spans="1:8" ht="15.75" x14ac:dyDescent="0.3">
      <c r="A245" s="47" t="s">
        <v>3169</v>
      </c>
      <c r="B245" s="47" t="s">
        <v>3192</v>
      </c>
      <c r="C245" s="48" t="s">
        <v>3194</v>
      </c>
      <c r="D245" s="47">
        <v>10</v>
      </c>
      <c r="E245" s="118"/>
      <c r="F245" s="47"/>
      <c r="G245" s="47" t="str">
        <f t="shared" si="58"/>
        <v>3#3#45|3#4#45|3#5#45|3#6#45|3#7#45|3#8#45|3#9#22|3#10#22|3#11#22|3#12#22</v>
      </c>
      <c r="H245" s="120"/>
    </row>
    <row r="246" spans="1:8" ht="15.75" x14ac:dyDescent="0.3">
      <c r="A246" s="47" t="s">
        <v>3169</v>
      </c>
      <c r="B246" s="47" t="s">
        <v>3192</v>
      </c>
      <c r="C246" s="48" t="s">
        <v>3195</v>
      </c>
      <c r="D246" s="47">
        <v>0</v>
      </c>
      <c r="E246" s="118"/>
      <c r="F246" s="47"/>
      <c r="G246" s="121"/>
      <c r="H246" s="120" t="str">
        <f>"神器图纸"&amp;Z3&amp;"/防具碎片"&amp;AA3&amp;"/烈焰玄铁"&amp;AB3&amp;"/火龙币"&amp;AC3</f>
        <v>神器图纸1/防具碎片3/烈焰玄铁3/火龙币32</v>
      </c>
    </row>
    <row r="247" spans="1:8" ht="15.75" x14ac:dyDescent="0.3">
      <c r="A247" s="47" t="s">
        <v>3169</v>
      </c>
      <c r="B247" s="47" t="s">
        <v>3192</v>
      </c>
      <c r="C247" s="48" t="s">
        <v>3195</v>
      </c>
      <c r="D247" s="47">
        <v>1</v>
      </c>
      <c r="E247" s="118"/>
      <c r="F247" s="47"/>
      <c r="G247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47" s="120" t="str">
        <f t="shared" ref="H247:H255" si="59">"神器图纸"&amp;Z4&amp;"/防具碎片"&amp;AA4&amp;"/烈焰玄铁"&amp;AB4&amp;"/火龙币"&amp;AC4</f>
        <v>神器图纸1/防具碎片3/烈焰玄铁3/火龙币35</v>
      </c>
    </row>
    <row r="248" spans="1:8" ht="15.75" x14ac:dyDescent="0.3">
      <c r="A248" s="47" t="s">
        <v>3169</v>
      </c>
      <c r="B248" s="47" t="s">
        <v>3192</v>
      </c>
      <c r="C248" s="48" t="s">
        <v>3195</v>
      </c>
      <c r="D248" s="47">
        <v>2</v>
      </c>
      <c r="E248" s="118"/>
      <c r="F248" s="47"/>
      <c r="G248" s="47" t="str">
        <f t="shared" ref="G248:G256" si="6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48" s="120" t="str">
        <f t="shared" si="59"/>
        <v>神器图纸1/防具碎片4/烈焰玄铁4/火龙币37</v>
      </c>
    </row>
    <row r="249" spans="1:8" ht="15.75" x14ac:dyDescent="0.3">
      <c r="A249" s="47" t="s">
        <v>3169</v>
      </c>
      <c r="B249" s="47" t="s">
        <v>3192</v>
      </c>
      <c r="C249" s="48" t="s">
        <v>3195</v>
      </c>
      <c r="D249" s="47">
        <v>3</v>
      </c>
      <c r="E249" s="118"/>
      <c r="F249" s="47"/>
      <c r="G249" s="47" t="str">
        <f t="shared" si="60"/>
        <v>3#3#8|3#4#8|3#5#8|3#6#8|3#7#8|3#8#8|3#9#4|3#10#4|3#11#4|3#12#4</v>
      </c>
      <c r="H249" s="120" t="str">
        <f t="shared" si="59"/>
        <v>神器图纸2/防具碎片4/烈焰玄铁4/火龙币39</v>
      </c>
    </row>
    <row r="250" spans="1:8" ht="15.75" x14ac:dyDescent="0.3">
      <c r="A250" s="47" t="s">
        <v>3169</v>
      </c>
      <c r="B250" s="47" t="s">
        <v>3192</v>
      </c>
      <c r="C250" s="48" t="s">
        <v>3195</v>
      </c>
      <c r="D250" s="47">
        <v>4</v>
      </c>
      <c r="E250" s="118"/>
      <c r="F250" s="47"/>
      <c r="G250" s="47" t="str">
        <f t="shared" si="60"/>
        <v>3#3#11|3#4#11|3#5#11|3#6#11|3#7#11|3#8#11|3#9#5|3#10#5|3#11#5|3#12#5</v>
      </c>
      <c r="H250" s="120" t="str">
        <f t="shared" si="59"/>
        <v>神器图纸2/防具碎片4/烈焰玄铁4/火龙币41</v>
      </c>
    </row>
    <row r="251" spans="1:8" ht="15.75" x14ac:dyDescent="0.3">
      <c r="A251" s="47" t="s">
        <v>3169</v>
      </c>
      <c r="B251" s="47" t="s">
        <v>3192</v>
      </c>
      <c r="C251" s="48" t="s">
        <v>3195</v>
      </c>
      <c r="D251" s="47">
        <v>5</v>
      </c>
      <c r="E251" s="118"/>
      <c r="F251" s="47"/>
      <c r="G251" s="47" t="str">
        <f t="shared" si="60"/>
        <v>3#3#15|3#4#15|3#5#15|3#6#15|3#7#15|3#8#15|3#9#7|3#10#7|3#11#7|3#12#7</v>
      </c>
      <c r="H251" s="120" t="str">
        <f t="shared" si="59"/>
        <v>神器图纸2/防具碎片4/烈焰玄铁4/火龙币44</v>
      </c>
    </row>
    <row r="252" spans="1:8" ht="15.75" x14ac:dyDescent="0.3">
      <c r="A252" s="47" t="s">
        <v>3169</v>
      </c>
      <c r="B252" s="47" t="s">
        <v>3192</v>
      </c>
      <c r="C252" s="48" t="s">
        <v>3195</v>
      </c>
      <c r="D252" s="47">
        <v>6</v>
      </c>
      <c r="E252" s="118"/>
      <c r="F252" s="47"/>
      <c r="G252" s="47" t="str">
        <f t="shared" si="60"/>
        <v>3#3#20|3#4#20|3#5#20|3#6#20|3#7#20|3#8#20|3#9#10|3#10#10|3#11#10|3#12#10</v>
      </c>
      <c r="H252" s="120" t="str">
        <f t="shared" si="59"/>
        <v>神器图纸2/防具碎片5/烈焰玄铁5/火龙币46</v>
      </c>
    </row>
    <row r="253" spans="1:8" ht="15.75" x14ac:dyDescent="0.3">
      <c r="A253" s="47" t="s">
        <v>3169</v>
      </c>
      <c r="B253" s="47" t="s">
        <v>3192</v>
      </c>
      <c r="C253" s="48" t="s">
        <v>3195</v>
      </c>
      <c r="D253" s="47">
        <v>7</v>
      </c>
      <c r="E253" s="118"/>
      <c r="F253" s="47"/>
      <c r="G253" s="47" t="str">
        <f t="shared" si="60"/>
        <v>3#3#25|3#4#25|3#5#25|3#6#25|3#7#25|3#8#25|3#9#12|3#10#12|3#11#12|3#12#12</v>
      </c>
      <c r="H253" s="120" t="str">
        <f t="shared" si="59"/>
        <v>神器图纸2/防具碎片5/烈焰玄铁5/火龙币48</v>
      </c>
    </row>
    <row r="254" spans="1:8" ht="15.75" x14ac:dyDescent="0.3">
      <c r="A254" s="47" t="s">
        <v>3169</v>
      </c>
      <c r="B254" s="47" t="s">
        <v>3192</v>
      </c>
      <c r="C254" s="48" t="s">
        <v>3195</v>
      </c>
      <c r="D254" s="47">
        <v>8</v>
      </c>
      <c r="E254" s="118"/>
      <c r="F254" s="47"/>
      <c r="G254" s="47" t="str">
        <f t="shared" si="60"/>
        <v>3#3#30|3#4#30|3#5#30|3#6#30|3#7#30|3#8#30|3#9#15|3#10#15|3#11#15|3#12#15</v>
      </c>
      <c r="H254" s="120" t="str">
        <f t="shared" si="59"/>
        <v>神器图纸2/防具碎片5/烈焰玄铁5/火龙币50</v>
      </c>
    </row>
    <row r="255" spans="1:8" ht="15.75" x14ac:dyDescent="0.3">
      <c r="A255" s="47" t="s">
        <v>3169</v>
      </c>
      <c r="B255" s="47" t="s">
        <v>3192</v>
      </c>
      <c r="C255" s="48" t="s">
        <v>3195</v>
      </c>
      <c r="D255" s="47">
        <v>9</v>
      </c>
      <c r="E255" s="118"/>
      <c r="F255" s="47"/>
      <c r="G255" s="47" t="str">
        <f t="shared" si="60"/>
        <v>3#3#36|3#4#36|3#5#36|3#6#36|3#7#36|3#8#36|3#9#18|3#10#18|3#11#18|3#12#18</v>
      </c>
      <c r="H255" s="120" t="str">
        <f t="shared" si="59"/>
        <v>神器图纸2/防具碎片5/烈焰玄铁5/火龙币53</v>
      </c>
    </row>
    <row r="256" spans="1:8" ht="15.75" x14ac:dyDescent="0.3">
      <c r="A256" s="47" t="s">
        <v>3169</v>
      </c>
      <c r="B256" s="47" t="s">
        <v>3192</v>
      </c>
      <c r="C256" s="48" t="s">
        <v>3195</v>
      </c>
      <c r="D256" s="47">
        <v>10</v>
      </c>
      <c r="E256" s="118"/>
      <c r="F256" s="47"/>
      <c r="G256" s="47" t="str">
        <f t="shared" si="60"/>
        <v>3#3#45|3#4#45|3#5#45|3#6#45|3#7#45|3#8#45|3#9#22|3#10#22|3#11#22|3#12#22</v>
      </c>
      <c r="H256" s="120"/>
    </row>
    <row r="257" spans="1:8" ht="15.75" x14ac:dyDescent="0.3">
      <c r="A257" s="47" t="s">
        <v>3169</v>
      </c>
      <c r="B257" s="47" t="s">
        <v>3192</v>
      </c>
      <c r="C257" s="48" t="s">
        <v>3196</v>
      </c>
      <c r="D257" s="47">
        <v>0</v>
      </c>
      <c r="E257" s="118"/>
      <c r="F257" s="47"/>
      <c r="G257" s="121"/>
      <c r="H257" s="120" t="str">
        <f>"神器图纸"&amp;Z3&amp;"/防具碎片"&amp;AA3&amp;"/烈焰玄铁"&amp;AB3&amp;"/火龙币"&amp;AC3</f>
        <v>神器图纸1/防具碎片3/烈焰玄铁3/火龙币32</v>
      </c>
    </row>
    <row r="258" spans="1:8" ht="15.75" x14ac:dyDescent="0.3">
      <c r="A258" s="47" t="s">
        <v>3169</v>
      </c>
      <c r="B258" s="47" t="s">
        <v>3192</v>
      </c>
      <c r="C258" s="48" t="s">
        <v>3196</v>
      </c>
      <c r="D258" s="47">
        <v>1</v>
      </c>
      <c r="E258" s="118"/>
      <c r="F258" s="47"/>
      <c r="G258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58" s="120" t="str">
        <f t="shared" ref="H258:H266" si="61">"神器图纸"&amp;Z4&amp;"/防具碎片"&amp;AA4&amp;"/烈焰玄铁"&amp;AB4&amp;"/火龙币"&amp;AC4</f>
        <v>神器图纸1/防具碎片3/烈焰玄铁3/火龙币35</v>
      </c>
    </row>
    <row r="259" spans="1:8" ht="15.75" x14ac:dyDescent="0.3">
      <c r="A259" s="47" t="s">
        <v>3169</v>
      </c>
      <c r="B259" s="47" t="s">
        <v>3192</v>
      </c>
      <c r="C259" s="48" t="s">
        <v>3196</v>
      </c>
      <c r="D259" s="47">
        <v>2</v>
      </c>
      <c r="E259" s="118"/>
      <c r="F259" s="47"/>
      <c r="G259" s="47" t="str">
        <f t="shared" ref="G259:G267" si="6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59" s="120" t="str">
        <f t="shared" si="61"/>
        <v>神器图纸1/防具碎片4/烈焰玄铁4/火龙币37</v>
      </c>
    </row>
    <row r="260" spans="1:8" ht="15.75" x14ac:dyDescent="0.3">
      <c r="A260" s="47" t="s">
        <v>3169</v>
      </c>
      <c r="B260" s="47" t="s">
        <v>3192</v>
      </c>
      <c r="C260" s="48" t="s">
        <v>3196</v>
      </c>
      <c r="D260" s="47">
        <v>3</v>
      </c>
      <c r="E260" s="118"/>
      <c r="F260" s="47"/>
      <c r="G260" s="47" t="str">
        <f t="shared" si="62"/>
        <v>3#3#8|3#4#8|3#5#8|3#6#8|3#7#8|3#8#8|3#9#4|3#10#4|3#11#4|3#12#4</v>
      </c>
      <c r="H260" s="120" t="str">
        <f t="shared" si="61"/>
        <v>神器图纸2/防具碎片4/烈焰玄铁4/火龙币39</v>
      </c>
    </row>
    <row r="261" spans="1:8" ht="15.75" x14ac:dyDescent="0.3">
      <c r="A261" s="47" t="s">
        <v>3169</v>
      </c>
      <c r="B261" s="47" t="s">
        <v>3192</v>
      </c>
      <c r="C261" s="48" t="s">
        <v>3196</v>
      </c>
      <c r="D261" s="47">
        <v>4</v>
      </c>
      <c r="E261" s="118"/>
      <c r="F261" s="47"/>
      <c r="G261" s="47" t="str">
        <f t="shared" si="62"/>
        <v>3#3#11|3#4#11|3#5#11|3#6#11|3#7#11|3#8#11|3#9#5|3#10#5|3#11#5|3#12#5</v>
      </c>
      <c r="H261" s="120" t="str">
        <f t="shared" si="61"/>
        <v>神器图纸2/防具碎片4/烈焰玄铁4/火龙币41</v>
      </c>
    </row>
    <row r="262" spans="1:8" ht="15.75" x14ac:dyDescent="0.3">
      <c r="A262" s="47" t="s">
        <v>3169</v>
      </c>
      <c r="B262" s="47" t="s">
        <v>3192</v>
      </c>
      <c r="C262" s="48" t="s">
        <v>3196</v>
      </c>
      <c r="D262" s="47">
        <v>5</v>
      </c>
      <c r="E262" s="118"/>
      <c r="F262" s="47"/>
      <c r="G262" s="47" t="str">
        <f t="shared" si="62"/>
        <v>3#3#15|3#4#15|3#5#15|3#6#15|3#7#15|3#8#15|3#9#7|3#10#7|3#11#7|3#12#7</v>
      </c>
      <c r="H262" s="120" t="str">
        <f t="shared" si="61"/>
        <v>神器图纸2/防具碎片4/烈焰玄铁4/火龙币44</v>
      </c>
    </row>
    <row r="263" spans="1:8" ht="15.75" x14ac:dyDescent="0.3">
      <c r="A263" s="47" t="s">
        <v>3169</v>
      </c>
      <c r="B263" s="47" t="s">
        <v>3192</v>
      </c>
      <c r="C263" s="48" t="s">
        <v>3196</v>
      </c>
      <c r="D263" s="47">
        <v>6</v>
      </c>
      <c r="E263" s="118"/>
      <c r="F263" s="47"/>
      <c r="G263" s="47" t="str">
        <f t="shared" si="62"/>
        <v>3#3#20|3#4#20|3#5#20|3#6#20|3#7#20|3#8#20|3#9#10|3#10#10|3#11#10|3#12#10</v>
      </c>
      <c r="H263" s="120" t="str">
        <f t="shared" si="61"/>
        <v>神器图纸2/防具碎片5/烈焰玄铁5/火龙币46</v>
      </c>
    </row>
    <row r="264" spans="1:8" ht="15.75" x14ac:dyDescent="0.3">
      <c r="A264" s="47" t="s">
        <v>3169</v>
      </c>
      <c r="B264" s="47" t="s">
        <v>3192</v>
      </c>
      <c r="C264" s="48" t="s">
        <v>3196</v>
      </c>
      <c r="D264" s="47">
        <v>7</v>
      </c>
      <c r="E264" s="118"/>
      <c r="F264" s="47"/>
      <c r="G264" s="47" t="str">
        <f t="shared" si="62"/>
        <v>3#3#25|3#4#25|3#5#25|3#6#25|3#7#25|3#8#25|3#9#12|3#10#12|3#11#12|3#12#12</v>
      </c>
      <c r="H264" s="120" t="str">
        <f t="shared" si="61"/>
        <v>神器图纸2/防具碎片5/烈焰玄铁5/火龙币48</v>
      </c>
    </row>
    <row r="265" spans="1:8" ht="15.75" x14ac:dyDescent="0.3">
      <c r="A265" s="47" t="s">
        <v>3169</v>
      </c>
      <c r="B265" s="47" t="s">
        <v>3192</v>
      </c>
      <c r="C265" s="48" t="s">
        <v>3196</v>
      </c>
      <c r="D265" s="47">
        <v>8</v>
      </c>
      <c r="E265" s="118"/>
      <c r="F265" s="47"/>
      <c r="G265" s="47" t="str">
        <f t="shared" si="62"/>
        <v>3#3#30|3#4#30|3#5#30|3#6#30|3#7#30|3#8#30|3#9#15|3#10#15|3#11#15|3#12#15</v>
      </c>
      <c r="H265" s="120" t="str">
        <f t="shared" si="61"/>
        <v>神器图纸2/防具碎片5/烈焰玄铁5/火龙币50</v>
      </c>
    </row>
    <row r="266" spans="1:8" ht="15.75" x14ac:dyDescent="0.3">
      <c r="A266" s="47" t="s">
        <v>3169</v>
      </c>
      <c r="B266" s="47" t="s">
        <v>3192</v>
      </c>
      <c r="C266" s="48" t="s">
        <v>3196</v>
      </c>
      <c r="D266" s="47">
        <v>9</v>
      </c>
      <c r="E266" s="118"/>
      <c r="F266" s="47"/>
      <c r="G266" s="47" t="str">
        <f t="shared" si="62"/>
        <v>3#3#36|3#4#36|3#5#36|3#6#36|3#7#36|3#8#36|3#9#18|3#10#18|3#11#18|3#12#18</v>
      </c>
      <c r="H266" s="120" t="str">
        <f t="shared" si="61"/>
        <v>神器图纸2/防具碎片5/烈焰玄铁5/火龙币53</v>
      </c>
    </row>
    <row r="267" spans="1:8" ht="15.75" x14ac:dyDescent="0.3">
      <c r="A267" s="47" t="s">
        <v>3169</v>
      </c>
      <c r="B267" s="47" t="s">
        <v>3192</v>
      </c>
      <c r="C267" s="48" t="s">
        <v>3196</v>
      </c>
      <c r="D267" s="47">
        <v>10</v>
      </c>
      <c r="E267" s="118"/>
      <c r="F267" s="47"/>
      <c r="G267" s="47" t="str">
        <f t="shared" si="62"/>
        <v>3#3#45|3#4#45|3#5#45|3#6#45|3#7#45|3#8#45|3#9#22|3#10#22|3#11#22|3#12#22</v>
      </c>
      <c r="H267" s="120"/>
    </row>
    <row r="268" spans="1:8" ht="15.75" x14ac:dyDescent="0.3">
      <c r="A268" s="47" t="s">
        <v>3169</v>
      </c>
      <c r="B268" s="47" t="s">
        <v>3192</v>
      </c>
      <c r="C268" s="48" t="s">
        <v>3197</v>
      </c>
      <c r="D268" s="47">
        <v>0</v>
      </c>
      <c r="E268" s="118"/>
      <c r="F268" s="47"/>
      <c r="G268" s="121"/>
      <c r="H268" s="120" t="str">
        <f>"神器图纸"&amp;Z3&amp;"/防具碎片"&amp;AA3&amp;"/烈焰玄铁"&amp;AB3&amp;"/火龙币"&amp;AC3</f>
        <v>神器图纸1/防具碎片3/烈焰玄铁3/火龙币32</v>
      </c>
    </row>
    <row r="269" spans="1:8" ht="15.75" x14ac:dyDescent="0.3">
      <c r="A269" s="47" t="s">
        <v>3169</v>
      </c>
      <c r="B269" s="47" t="s">
        <v>3192</v>
      </c>
      <c r="C269" s="48" t="s">
        <v>3197</v>
      </c>
      <c r="D269" s="47">
        <v>1</v>
      </c>
      <c r="E269" s="118"/>
      <c r="F269" s="47"/>
      <c r="G269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69" s="120" t="str">
        <f t="shared" ref="H269:H277" si="63">"神器图纸"&amp;Z4&amp;"/防具碎片"&amp;AA4&amp;"/烈焰玄铁"&amp;AB4&amp;"/火龙币"&amp;AC4</f>
        <v>神器图纸1/防具碎片3/烈焰玄铁3/火龙币35</v>
      </c>
    </row>
    <row r="270" spans="1:8" ht="15.75" x14ac:dyDescent="0.3">
      <c r="A270" s="47" t="s">
        <v>3169</v>
      </c>
      <c r="B270" s="47" t="s">
        <v>3192</v>
      </c>
      <c r="C270" s="48" t="s">
        <v>3197</v>
      </c>
      <c r="D270" s="47">
        <v>2</v>
      </c>
      <c r="E270" s="118"/>
      <c r="F270" s="47"/>
      <c r="G270" s="47" t="str">
        <f t="shared" ref="G270:G278" si="6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70" s="120" t="str">
        <f t="shared" si="63"/>
        <v>神器图纸1/防具碎片4/烈焰玄铁4/火龙币37</v>
      </c>
    </row>
    <row r="271" spans="1:8" ht="15.75" x14ac:dyDescent="0.3">
      <c r="A271" s="47" t="s">
        <v>3169</v>
      </c>
      <c r="B271" s="47" t="s">
        <v>3192</v>
      </c>
      <c r="C271" s="48" t="s">
        <v>3197</v>
      </c>
      <c r="D271" s="47">
        <v>3</v>
      </c>
      <c r="E271" s="118"/>
      <c r="F271" s="47"/>
      <c r="G271" s="47" t="str">
        <f t="shared" si="64"/>
        <v>3#3#8|3#4#8|3#5#8|3#6#8|3#7#8|3#8#8|3#9#4|3#10#4|3#11#4|3#12#4</v>
      </c>
      <c r="H271" s="120" t="str">
        <f t="shared" si="63"/>
        <v>神器图纸2/防具碎片4/烈焰玄铁4/火龙币39</v>
      </c>
    </row>
    <row r="272" spans="1:8" ht="15.75" x14ac:dyDescent="0.3">
      <c r="A272" s="47" t="s">
        <v>3169</v>
      </c>
      <c r="B272" s="47" t="s">
        <v>3192</v>
      </c>
      <c r="C272" s="48" t="s">
        <v>3197</v>
      </c>
      <c r="D272" s="47">
        <v>4</v>
      </c>
      <c r="E272" s="118"/>
      <c r="F272" s="47"/>
      <c r="G272" s="47" t="str">
        <f t="shared" si="64"/>
        <v>3#3#11|3#4#11|3#5#11|3#6#11|3#7#11|3#8#11|3#9#5|3#10#5|3#11#5|3#12#5</v>
      </c>
      <c r="H272" s="120" t="str">
        <f t="shared" si="63"/>
        <v>神器图纸2/防具碎片4/烈焰玄铁4/火龙币41</v>
      </c>
    </row>
    <row r="273" spans="1:8" ht="15.75" x14ac:dyDescent="0.3">
      <c r="A273" s="47" t="s">
        <v>3169</v>
      </c>
      <c r="B273" s="47" t="s">
        <v>3192</v>
      </c>
      <c r="C273" s="48" t="s">
        <v>3197</v>
      </c>
      <c r="D273" s="47">
        <v>5</v>
      </c>
      <c r="E273" s="118"/>
      <c r="F273" s="47"/>
      <c r="G273" s="47" t="str">
        <f t="shared" si="64"/>
        <v>3#3#15|3#4#15|3#5#15|3#6#15|3#7#15|3#8#15|3#9#7|3#10#7|3#11#7|3#12#7</v>
      </c>
      <c r="H273" s="120" t="str">
        <f t="shared" si="63"/>
        <v>神器图纸2/防具碎片4/烈焰玄铁4/火龙币44</v>
      </c>
    </row>
    <row r="274" spans="1:8" ht="15.75" x14ac:dyDescent="0.3">
      <c r="A274" s="47" t="s">
        <v>3169</v>
      </c>
      <c r="B274" s="47" t="s">
        <v>3192</v>
      </c>
      <c r="C274" s="48" t="s">
        <v>3197</v>
      </c>
      <c r="D274" s="47">
        <v>6</v>
      </c>
      <c r="E274" s="118"/>
      <c r="F274" s="47"/>
      <c r="G274" s="47" t="str">
        <f t="shared" si="64"/>
        <v>3#3#20|3#4#20|3#5#20|3#6#20|3#7#20|3#8#20|3#9#10|3#10#10|3#11#10|3#12#10</v>
      </c>
      <c r="H274" s="120" t="str">
        <f t="shared" si="63"/>
        <v>神器图纸2/防具碎片5/烈焰玄铁5/火龙币46</v>
      </c>
    </row>
    <row r="275" spans="1:8" ht="15.75" x14ac:dyDescent="0.3">
      <c r="A275" s="47" t="s">
        <v>3169</v>
      </c>
      <c r="B275" s="47" t="s">
        <v>3192</v>
      </c>
      <c r="C275" s="48" t="s">
        <v>3197</v>
      </c>
      <c r="D275" s="47">
        <v>7</v>
      </c>
      <c r="E275" s="118"/>
      <c r="F275" s="47"/>
      <c r="G275" s="47" t="str">
        <f t="shared" si="64"/>
        <v>3#3#25|3#4#25|3#5#25|3#6#25|3#7#25|3#8#25|3#9#12|3#10#12|3#11#12|3#12#12</v>
      </c>
      <c r="H275" s="120" t="str">
        <f t="shared" si="63"/>
        <v>神器图纸2/防具碎片5/烈焰玄铁5/火龙币48</v>
      </c>
    </row>
    <row r="276" spans="1:8" ht="15.75" x14ac:dyDescent="0.3">
      <c r="A276" s="47" t="s">
        <v>3169</v>
      </c>
      <c r="B276" s="47" t="s">
        <v>3192</v>
      </c>
      <c r="C276" s="48" t="s">
        <v>3197</v>
      </c>
      <c r="D276" s="47">
        <v>8</v>
      </c>
      <c r="E276" s="118"/>
      <c r="F276" s="47"/>
      <c r="G276" s="47" t="str">
        <f t="shared" si="64"/>
        <v>3#3#30|3#4#30|3#5#30|3#6#30|3#7#30|3#8#30|3#9#15|3#10#15|3#11#15|3#12#15</v>
      </c>
      <c r="H276" s="120" t="str">
        <f t="shared" si="63"/>
        <v>神器图纸2/防具碎片5/烈焰玄铁5/火龙币50</v>
      </c>
    </row>
    <row r="277" spans="1:8" ht="15.75" x14ac:dyDescent="0.3">
      <c r="A277" s="47" t="s">
        <v>3169</v>
      </c>
      <c r="B277" s="47" t="s">
        <v>3192</v>
      </c>
      <c r="C277" s="48" t="s">
        <v>3197</v>
      </c>
      <c r="D277" s="47">
        <v>9</v>
      </c>
      <c r="E277" s="118"/>
      <c r="F277" s="47"/>
      <c r="G277" s="47" t="str">
        <f t="shared" si="64"/>
        <v>3#3#36|3#4#36|3#5#36|3#6#36|3#7#36|3#8#36|3#9#18|3#10#18|3#11#18|3#12#18</v>
      </c>
      <c r="H277" s="120" t="str">
        <f t="shared" si="63"/>
        <v>神器图纸2/防具碎片5/烈焰玄铁5/火龙币53</v>
      </c>
    </row>
    <row r="278" spans="1:8" ht="15.75" x14ac:dyDescent="0.3">
      <c r="A278" s="47" t="s">
        <v>3169</v>
      </c>
      <c r="B278" s="47" t="s">
        <v>3192</v>
      </c>
      <c r="C278" s="48" t="s">
        <v>3197</v>
      </c>
      <c r="D278" s="47">
        <v>10</v>
      </c>
      <c r="E278" s="118"/>
      <c r="F278" s="47"/>
      <c r="G278" s="47" t="str">
        <f t="shared" si="64"/>
        <v>3#3#45|3#4#45|3#5#45|3#6#45|3#7#45|3#8#45|3#9#22|3#10#22|3#11#22|3#12#22</v>
      </c>
      <c r="H278" s="120"/>
    </row>
    <row r="279" spans="1:8" ht="15.75" x14ac:dyDescent="0.3">
      <c r="A279" s="47" t="s">
        <v>3169</v>
      </c>
      <c r="B279" s="47" t="s">
        <v>3192</v>
      </c>
      <c r="C279" s="48" t="s">
        <v>3198</v>
      </c>
      <c r="D279" s="47">
        <v>0</v>
      </c>
      <c r="E279" s="118"/>
      <c r="F279" s="47"/>
      <c r="G279" s="121"/>
      <c r="H279" s="120" t="str">
        <f>"神器图纸"&amp;Z3&amp;"/防具碎片"&amp;AA3&amp;"/烈焰玄铁"&amp;AB3&amp;"/火龙币"&amp;AC3</f>
        <v>神器图纸1/防具碎片3/烈焰玄铁3/火龙币32</v>
      </c>
    </row>
    <row r="280" spans="1:8" ht="15.75" x14ac:dyDescent="0.3">
      <c r="A280" s="47" t="s">
        <v>3169</v>
      </c>
      <c r="B280" s="47" t="s">
        <v>3192</v>
      </c>
      <c r="C280" s="48" t="s">
        <v>3198</v>
      </c>
      <c r="D280" s="47">
        <v>1</v>
      </c>
      <c r="E280" s="118"/>
      <c r="F280" s="47"/>
      <c r="G280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80" s="120" t="str">
        <f t="shared" ref="H280:H288" si="65">"神器图纸"&amp;Z4&amp;"/防具碎片"&amp;AA4&amp;"/烈焰玄铁"&amp;AB4&amp;"/火龙币"&amp;AC4</f>
        <v>神器图纸1/防具碎片3/烈焰玄铁3/火龙币35</v>
      </c>
    </row>
    <row r="281" spans="1:8" ht="15.75" x14ac:dyDescent="0.3">
      <c r="A281" s="47" t="s">
        <v>3169</v>
      </c>
      <c r="B281" s="47" t="s">
        <v>3192</v>
      </c>
      <c r="C281" s="48" t="s">
        <v>3198</v>
      </c>
      <c r="D281" s="47">
        <v>2</v>
      </c>
      <c r="E281" s="118"/>
      <c r="F281" s="47"/>
      <c r="G281" s="47" t="str">
        <f t="shared" ref="G281:G289" si="6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1" s="120" t="str">
        <f t="shared" si="65"/>
        <v>神器图纸1/防具碎片4/烈焰玄铁4/火龙币37</v>
      </c>
    </row>
    <row r="282" spans="1:8" ht="15.75" x14ac:dyDescent="0.3">
      <c r="A282" s="47" t="s">
        <v>3169</v>
      </c>
      <c r="B282" s="47" t="s">
        <v>3192</v>
      </c>
      <c r="C282" s="48" t="s">
        <v>3198</v>
      </c>
      <c r="D282" s="47">
        <v>3</v>
      </c>
      <c r="E282" s="118"/>
      <c r="F282" s="47"/>
      <c r="G282" s="47" t="str">
        <f t="shared" si="66"/>
        <v>3#3#8|3#4#8|3#5#8|3#6#8|3#7#8|3#8#8|3#9#4|3#10#4|3#11#4|3#12#4</v>
      </c>
      <c r="H282" s="120" t="str">
        <f t="shared" si="65"/>
        <v>神器图纸2/防具碎片4/烈焰玄铁4/火龙币39</v>
      </c>
    </row>
    <row r="283" spans="1:8" ht="15.75" x14ac:dyDescent="0.3">
      <c r="A283" s="47" t="s">
        <v>3169</v>
      </c>
      <c r="B283" s="47" t="s">
        <v>3192</v>
      </c>
      <c r="C283" s="48" t="s">
        <v>3198</v>
      </c>
      <c r="D283" s="47">
        <v>4</v>
      </c>
      <c r="E283" s="118"/>
      <c r="F283" s="47"/>
      <c r="G283" s="47" t="str">
        <f t="shared" si="66"/>
        <v>3#3#11|3#4#11|3#5#11|3#6#11|3#7#11|3#8#11|3#9#5|3#10#5|3#11#5|3#12#5</v>
      </c>
      <c r="H283" s="120" t="str">
        <f t="shared" si="65"/>
        <v>神器图纸2/防具碎片4/烈焰玄铁4/火龙币41</v>
      </c>
    </row>
    <row r="284" spans="1:8" ht="15.75" x14ac:dyDescent="0.3">
      <c r="A284" s="47" t="s">
        <v>3169</v>
      </c>
      <c r="B284" s="47" t="s">
        <v>3192</v>
      </c>
      <c r="C284" s="48" t="s">
        <v>3198</v>
      </c>
      <c r="D284" s="47">
        <v>5</v>
      </c>
      <c r="E284" s="118"/>
      <c r="F284" s="47"/>
      <c r="G284" s="47" t="str">
        <f t="shared" si="66"/>
        <v>3#3#15|3#4#15|3#5#15|3#6#15|3#7#15|3#8#15|3#9#7|3#10#7|3#11#7|3#12#7</v>
      </c>
      <c r="H284" s="120" t="str">
        <f t="shared" si="65"/>
        <v>神器图纸2/防具碎片4/烈焰玄铁4/火龙币44</v>
      </c>
    </row>
    <row r="285" spans="1:8" ht="15.75" x14ac:dyDescent="0.3">
      <c r="A285" s="47" t="s">
        <v>3169</v>
      </c>
      <c r="B285" s="47" t="s">
        <v>3192</v>
      </c>
      <c r="C285" s="48" t="s">
        <v>3198</v>
      </c>
      <c r="D285" s="47">
        <v>6</v>
      </c>
      <c r="E285" s="118"/>
      <c r="F285" s="47"/>
      <c r="G285" s="47" t="str">
        <f t="shared" si="66"/>
        <v>3#3#20|3#4#20|3#5#20|3#6#20|3#7#20|3#8#20|3#9#10|3#10#10|3#11#10|3#12#10</v>
      </c>
      <c r="H285" s="120" t="str">
        <f t="shared" si="65"/>
        <v>神器图纸2/防具碎片5/烈焰玄铁5/火龙币46</v>
      </c>
    </row>
    <row r="286" spans="1:8" ht="15.75" x14ac:dyDescent="0.3">
      <c r="A286" s="47" t="s">
        <v>3169</v>
      </c>
      <c r="B286" s="47" t="s">
        <v>3192</v>
      </c>
      <c r="C286" s="48" t="s">
        <v>3198</v>
      </c>
      <c r="D286" s="47">
        <v>7</v>
      </c>
      <c r="E286" s="118"/>
      <c r="F286" s="47"/>
      <c r="G286" s="47" t="str">
        <f t="shared" si="66"/>
        <v>3#3#25|3#4#25|3#5#25|3#6#25|3#7#25|3#8#25|3#9#12|3#10#12|3#11#12|3#12#12</v>
      </c>
      <c r="H286" s="120" t="str">
        <f t="shared" si="65"/>
        <v>神器图纸2/防具碎片5/烈焰玄铁5/火龙币48</v>
      </c>
    </row>
    <row r="287" spans="1:8" ht="15.75" x14ac:dyDescent="0.3">
      <c r="A287" s="47" t="s">
        <v>3169</v>
      </c>
      <c r="B287" s="47" t="s">
        <v>3192</v>
      </c>
      <c r="C287" s="48" t="s">
        <v>3198</v>
      </c>
      <c r="D287" s="47">
        <v>8</v>
      </c>
      <c r="E287" s="118"/>
      <c r="F287" s="47"/>
      <c r="G287" s="47" t="str">
        <f t="shared" si="66"/>
        <v>3#3#30|3#4#30|3#5#30|3#6#30|3#7#30|3#8#30|3#9#15|3#10#15|3#11#15|3#12#15</v>
      </c>
      <c r="H287" s="120" t="str">
        <f t="shared" si="65"/>
        <v>神器图纸2/防具碎片5/烈焰玄铁5/火龙币50</v>
      </c>
    </row>
    <row r="288" spans="1:8" ht="15.75" x14ac:dyDescent="0.3">
      <c r="A288" s="47" t="s">
        <v>3169</v>
      </c>
      <c r="B288" s="47" t="s">
        <v>3192</v>
      </c>
      <c r="C288" s="48" t="s">
        <v>3198</v>
      </c>
      <c r="D288" s="47">
        <v>9</v>
      </c>
      <c r="E288" s="118"/>
      <c r="F288" s="47"/>
      <c r="G288" s="47" t="str">
        <f t="shared" si="66"/>
        <v>3#3#36|3#4#36|3#5#36|3#6#36|3#7#36|3#8#36|3#9#18|3#10#18|3#11#18|3#12#18</v>
      </c>
      <c r="H288" s="120" t="str">
        <f t="shared" si="65"/>
        <v>神器图纸2/防具碎片5/烈焰玄铁5/火龙币53</v>
      </c>
    </row>
    <row r="289" spans="1:8" ht="15.75" x14ac:dyDescent="0.3">
      <c r="A289" s="47" t="s">
        <v>3169</v>
      </c>
      <c r="B289" s="47" t="s">
        <v>3192</v>
      </c>
      <c r="C289" s="48" t="s">
        <v>3198</v>
      </c>
      <c r="D289" s="47">
        <v>10</v>
      </c>
      <c r="E289" s="118"/>
      <c r="F289" s="47"/>
      <c r="G289" s="47" t="str">
        <f t="shared" si="66"/>
        <v>3#3#45|3#4#45|3#5#45|3#6#45|3#7#45|3#8#45|3#9#22|3#10#22|3#11#22|3#12#22</v>
      </c>
      <c r="H289" s="120"/>
    </row>
    <row r="290" spans="1:8" ht="15.75" x14ac:dyDescent="0.3">
      <c r="A290" s="47" t="s">
        <v>3169</v>
      </c>
      <c r="B290" s="47" t="s">
        <v>3192</v>
      </c>
      <c r="C290" s="48" t="s">
        <v>3199</v>
      </c>
      <c r="D290" s="47">
        <v>0</v>
      </c>
      <c r="E290" s="118"/>
      <c r="F290" s="47"/>
      <c r="G290" s="121"/>
      <c r="H290" s="120" t="str">
        <f>"神器图纸"&amp;Z3&amp;"/防具碎片"&amp;AA3&amp;"/烈焰玄铁"&amp;AB3&amp;"/火龙币"&amp;AC3</f>
        <v>神器图纸1/防具碎片3/烈焰玄铁3/火龙币32</v>
      </c>
    </row>
    <row r="291" spans="1:8" ht="15.75" x14ac:dyDescent="0.3">
      <c r="A291" s="47" t="s">
        <v>3169</v>
      </c>
      <c r="B291" s="47" t="s">
        <v>3192</v>
      </c>
      <c r="C291" s="48" t="s">
        <v>3199</v>
      </c>
      <c r="D291" s="47">
        <v>1</v>
      </c>
      <c r="E291" s="118"/>
      <c r="F291" s="47"/>
      <c r="G291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91" s="120" t="str">
        <f t="shared" ref="H291:H299" si="67">"神器图纸"&amp;Z4&amp;"/防具碎片"&amp;AA4&amp;"/烈焰玄铁"&amp;AB4&amp;"/火龙币"&amp;AC4</f>
        <v>神器图纸1/防具碎片3/烈焰玄铁3/火龙币35</v>
      </c>
    </row>
    <row r="292" spans="1:8" ht="15.75" x14ac:dyDescent="0.3">
      <c r="A292" s="47" t="s">
        <v>3169</v>
      </c>
      <c r="B292" s="47" t="s">
        <v>3192</v>
      </c>
      <c r="C292" s="48" t="s">
        <v>3199</v>
      </c>
      <c r="D292" s="47">
        <v>2</v>
      </c>
      <c r="E292" s="118"/>
      <c r="F292" s="47"/>
      <c r="G292" s="47" t="str">
        <f t="shared" ref="G292:G300" si="6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92" s="120" t="str">
        <f t="shared" si="67"/>
        <v>神器图纸1/防具碎片4/烈焰玄铁4/火龙币37</v>
      </c>
    </row>
    <row r="293" spans="1:8" ht="15.75" x14ac:dyDescent="0.3">
      <c r="A293" s="47" t="s">
        <v>3169</v>
      </c>
      <c r="B293" s="47" t="s">
        <v>3192</v>
      </c>
      <c r="C293" s="48" t="s">
        <v>3199</v>
      </c>
      <c r="D293" s="47">
        <v>3</v>
      </c>
      <c r="E293" s="118"/>
      <c r="F293" s="47"/>
      <c r="G293" s="47" t="str">
        <f t="shared" si="68"/>
        <v>3#3#8|3#4#8|3#5#8|3#6#8|3#7#8|3#8#8|3#9#4|3#10#4|3#11#4|3#12#4</v>
      </c>
      <c r="H293" s="120" t="str">
        <f t="shared" si="67"/>
        <v>神器图纸2/防具碎片4/烈焰玄铁4/火龙币39</v>
      </c>
    </row>
    <row r="294" spans="1:8" ht="15.75" x14ac:dyDescent="0.3">
      <c r="A294" s="47" t="s">
        <v>3169</v>
      </c>
      <c r="B294" s="47" t="s">
        <v>3192</v>
      </c>
      <c r="C294" s="48" t="s">
        <v>3199</v>
      </c>
      <c r="D294" s="47">
        <v>4</v>
      </c>
      <c r="E294" s="118"/>
      <c r="F294" s="47"/>
      <c r="G294" s="47" t="str">
        <f t="shared" si="68"/>
        <v>3#3#11|3#4#11|3#5#11|3#6#11|3#7#11|3#8#11|3#9#5|3#10#5|3#11#5|3#12#5</v>
      </c>
      <c r="H294" s="120" t="str">
        <f t="shared" si="67"/>
        <v>神器图纸2/防具碎片4/烈焰玄铁4/火龙币41</v>
      </c>
    </row>
    <row r="295" spans="1:8" ht="15.75" x14ac:dyDescent="0.3">
      <c r="A295" s="47" t="s">
        <v>3169</v>
      </c>
      <c r="B295" s="47" t="s">
        <v>3192</v>
      </c>
      <c r="C295" s="48" t="s">
        <v>3199</v>
      </c>
      <c r="D295" s="47">
        <v>5</v>
      </c>
      <c r="E295" s="118"/>
      <c r="F295" s="47"/>
      <c r="G295" s="47" t="str">
        <f t="shared" si="68"/>
        <v>3#3#15|3#4#15|3#5#15|3#6#15|3#7#15|3#8#15|3#9#7|3#10#7|3#11#7|3#12#7</v>
      </c>
      <c r="H295" s="120" t="str">
        <f t="shared" si="67"/>
        <v>神器图纸2/防具碎片4/烈焰玄铁4/火龙币44</v>
      </c>
    </row>
    <row r="296" spans="1:8" ht="15.75" x14ac:dyDescent="0.3">
      <c r="A296" s="47" t="s">
        <v>3169</v>
      </c>
      <c r="B296" s="47" t="s">
        <v>3192</v>
      </c>
      <c r="C296" s="48" t="s">
        <v>3199</v>
      </c>
      <c r="D296" s="47">
        <v>6</v>
      </c>
      <c r="E296" s="118"/>
      <c r="F296" s="47"/>
      <c r="G296" s="47" t="str">
        <f t="shared" si="68"/>
        <v>3#3#20|3#4#20|3#5#20|3#6#20|3#7#20|3#8#20|3#9#10|3#10#10|3#11#10|3#12#10</v>
      </c>
      <c r="H296" s="120" t="str">
        <f t="shared" si="67"/>
        <v>神器图纸2/防具碎片5/烈焰玄铁5/火龙币46</v>
      </c>
    </row>
    <row r="297" spans="1:8" ht="15.75" x14ac:dyDescent="0.3">
      <c r="A297" s="47" t="s">
        <v>3169</v>
      </c>
      <c r="B297" s="47" t="s">
        <v>3192</v>
      </c>
      <c r="C297" s="48" t="s">
        <v>3199</v>
      </c>
      <c r="D297" s="47">
        <v>7</v>
      </c>
      <c r="E297" s="118"/>
      <c r="F297" s="47"/>
      <c r="G297" s="47" t="str">
        <f t="shared" si="68"/>
        <v>3#3#25|3#4#25|3#5#25|3#6#25|3#7#25|3#8#25|3#9#12|3#10#12|3#11#12|3#12#12</v>
      </c>
      <c r="H297" s="120" t="str">
        <f t="shared" si="67"/>
        <v>神器图纸2/防具碎片5/烈焰玄铁5/火龙币48</v>
      </c>
    </row>
    <row r="298" spans="1:8" ht="15.75" x14ac:dyDescent="0.3">
      <c r="A298" s="47" t="s">
        <v>3169</v>
      </c>
      <c r="B298" s="47" t="s">
        <v>3192</v>
      </c>
      <c r="C298" s="48" t="s">
        <v>3199</v>
      </c>
      <c r="D298" s="47">
        <v>8</v>
      </c>
      <c r="E298" s="118"/>
      <c r="F298" s="47"/>
      <c r="G298" s="47" t="str">
        <f t="shared" si="68"/>
        <v>3#3#30|3#4#30|3#5#30|3#6#30|3#7#30|3#8#30|3#9#15|3#10#15|3#11#15|3#12#15</v>
      </c>
      <c r="H298" s="120" t="str">
        <f t="shared" si="67"/>
        <v>神器图纸2/防具碎片5/烈焰玄铁5/火龙币50</v>
      </c>
    </row>
    <row r="299" spans="1:8" ht="15.75" x14ac:dyDescent="0.3">
      <c r="A299" s="47" t="s">
        <v>3169</v>
      </c>
      <c r="B299" s="47" t="s">
        <v>3192</v>
      </c>
      <c r="C299" s="48" t="s">
        <v>3199</v>
      </c>
      <c r="D299" s="47">
        <v>9</v>
      </c>
      <c r="E299" s="118"/>
      <c r="F299" s="47"/>
      <c r="G299" s="47" t="str">
        <f t="shared" si="68"/>
        <v>3#3#36|3#4#36|3#5#36|3#6#36|3#7#36|3#8#36|3#9#18|3#10#18|3#11#18|3#12#18</v>
      </c>
      <c r="H299" s="120" t="str">
        <f t="shared" si="67"/>
        <v>神器图纸2/防具碎片5/烈焰玄铁5/火龙币53</v>
      </c>
    </row>
    <row r="300" spans="1:8" ht="15.75" x14ac:dyDescent="0.3">
      <c r="A300" s="47" t="s">
        <v>3169</v>
      </c>
      <c r="B300" s="47" t="s">
        <v>3192</v>
      </c>
      <c r="C300" s="48" t="s">
        <v>3199</v>
      </c>
      <c r="D300" s="47">
        <v>10</v>
      </c>
      <c r="E300" s="118"/>
      <c r="F300" s="47"/>
      <c r="G300" s="47" t="str">
        <f t="shared" si="68"/>
        <v>3#3#45|3#4#45|3#5#45|3#6#45|3#7#45|3#8#45|3#9#22|3#10#22|3#11#22|3#12#22</v>
      </c>
      <c r="H300" s="120"/>
    </row>
    <row r="301" spans="1:8" ht="15.75" x14ac:dyDescent="0.3">
      <c r="A301" s="47" t="s">
        <v>3169</v>
      </c>
      <c r="B301" s="47" t="s">
        <v>3192</v>
      </c>
      <c r="C301" s="48" t="s">
        <v>3200</v>
      </c>
      <c r="D301" s="47">
        <v>0</v>
      </c>
      <c r="E301" s="118"/>
      <c r="F301" s="47"/>
      <c r="G301" s="121"/>
      <c r="H301" s="120" t="str">
        <f>"神器图纸"&amp;Z3&amp;"/防具碎片"&amp;AA3&amp;"/烈焰玄铁"&amp;AB3&amp;"/火龙币"&amp;AC3</f>
        <v>神器图纸1/防具碎片3/烈焰玄铁3/火龙币32</v>
      </c>
    </row>
    <row r="302" spans="1:8" ht="15.75" x14ac:dyDescent="0.3">
      <c r="A302" s="47" t="s">
        <v>3169</v>
      </c>
      <c r="B302" s="47" t="s">
        <v>3192</v>
      </c>
      <c r="C302" s="48" t="s">
        <v>3200</v>
      </c>
      <c r="D302" s="47">
        <v>1</v>
      </c>
      <c r="E302" s="118"/>
      <c r="F302" s="47"/>
      <c r="G302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02" s="120" t="str">
        <f t="shared" ref="H302:H310" si="69">"神器图纸"&amp;Z4&amp;"/防具碎片"&amp;AA4&amp;"/烈焰玄铁"&amp;AB4&amp;"/火龙币"&amp;AC4</f>
        <v>神器图纸1/防具碎片3/烈焰玄铁3/火龙币35</v>
      </c>
    </row>
    <row r="303" spans="1:8" ht="15.75" x14ac:dyDescent="0.3">
      <c r="A303" s="47" t="s">
        <v>3169</v>
      </c>
      <c r="B303" s="47" t="s">
        <v>3192</v>
      </c>
      <c r="C303" s="48" t="s">
        <v>3200</v>
      </c>
      <c r="D303" s="47">
        <v>2</v>
      </c>
      <c r="E303" s="118"/>
      <c r="F303" s="47"/>
      <c r="G303" s="47" t="str">
        <f t="shared" ref="G303:G311" si="7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03" s="120" t="str">
        <f t="shared" si="69"/>
        <v>神器图纸1/防具碎片4/烈焰玄铁4/火龙币37</v>
      </c>
    </row>
    <row r="304" spans="1:8" ht="15.75" x14ac:dyDescent="0.3">
      <c r="A304" s="47" t="s">
        <v>3169</v>
      </c>
      <c r="B304" s="47" t="s">
        <v>3192</v>
      </c>
      <c r="C304" s="48" t="s">
        <v>3200</v>
      </c>
      <c r="D304" s="47">
        <v>3</v>
      </c>
      <c r="E304" s="118"/>
      <c r="F304" s="47"/>
      <c r="G304" s="47" t="str">
        <f t="shared" si="70"/>
        <v>3#3#8|3#4#8|3#5#8|3#6#8|3#7#8|3#8#8|3#9#4|3#10#4|3#11#4|3#12#4</v>
      </c>
      <c r="H304" s="120" t="str">
        <f t="shared" si="69"/>
        <v>神器图纸2/防具碎片4/烈焰玄铁4/火龙币39</v>
      </c>
    </row>
    <row r="305" spans="1:8" ht="15.75" x14ac:dyDescent="0.3">
      <c r="A305" s="47" t="s">
        <v>3169</v>
      </c>
      <c r="B305" s="47" t="s">
        <v>3192</v>
      </c>
      <c r="C305" s="48" t="s">
        <v>3200</v>
      </c>
      <c r="D305" s="47">
        <v>4</v>
      </c>
      <c r="E305" s="118"/>
      <c r="F305" s="47"/>
      <c r="G305" s="47" t="str">
        <f t="shared" si="70"/>
        <v>3#3#11|3#4#11|3#5#11|3#6#11|3#7#11|3#8#11|3#9#5|3#10#5|3#11#5|3#12#5</v>
      </c>
      <c r="H305" s="120" t="str">
        <f t="shared" si="69"/>
        <v>神器图纸2/防具碎片4/烈焰玄铁4/火龙币41</v>
      </c>
    </row>
    <row r="306" spans="1:8" ht="15.75" x14ac:dyDescent="0.3">
      <c r="A306" s="47" t="s">
        <v>3169</v>
      </c>
      <c r="B306" s="47" t="s">
        <v>3192</v>
      </c>
      <c r="C306" s="48" t="s">
        <v>3200</v>
      </c>
      <c r="D306" s="47">
        <v>5</v>
      </c>
      <c r="E306" s="118"/>
      <c r="F306" s="47"/>
      <c r="G306" s="47" t="str">
        <f t="shared" si="70"/>
        <v>3#3#15|3#4#15|3#5#15|3#6#15|3#7#15|3#8#15|3#9#7|3#10#7|3#11#7|3#12#7</v>
      </c>
      <c r="H306" s="120" t="str">
        <f t="shared" si="69"/>
        <v>神器图纸2/防具碎片4/烈焰玄铁4/火龙币44</v>
      </c>
    </row>
    <row r="307" spans="1:8" ht="15.75" x14ac:dyDescent="0.3">
      <c r="A307" s="47" t="s">
        <v>3169</v>
      </c>
      <c r="B307" s="47" t="s">
        <v>3192</v>
      </c>
      <c r="C307" s="48" t="s">
        <v>3200</v>
      </c>
      <c r="D307" s="47">
        <v>6</v>
      </c>
      <c r="E307" s="118"/>
      <c r="F307" s="47"/>
      <c r="G307" s="47" t="str">
        <f t="shared" si="70"/>
        <v>3#3#20|3#4#20|3#5#20|3#6#20|3#7#20|3#8#20|3#9#10|3#10#10|3#11#10|3#12#10</v>
      </c>
      <c r="H307" s="120" t="str">
        <f t="shared" si="69"/>
        <v>神器图纸2/防具碎片5/烈焰玄铁5/火龙币46</v>
      </c>
    </row>
    <row r="308" spans="1:8" ht="15.75" x14ac:dyDescent="0.3">
      <c r="A308" s="47" t="s">
        <v>3169</v>
      </c>
      <c r="B308" s="47" t="s">
        <v>3192</v>
      </c>
      <c r="C308" s="48" t="s">
        <v>3200</v>
      </c>
      <c r="D308" s="47">
        <v>7</v>
      </c>
      <c r="E308" s="118"/>
      <c r="F308" s="47"/>
      <c r="G308" s="47" t="str">
        <f t="shared" si="70"/>
        <v>3#3#25|3#4#25|3#5#25|3#6#25|3#7#25|3#8#25|3#9#12|3#10#12|3#11#12|3#12#12</v>
      </c>
      <c r="H308" s="120" t="str">
        <f t="shared" si="69"/>
        <v>神器图纸2/防具碎片5/烈焰玄铁5/火龙币48</v>
      </c>
    </row>
    <row r="309" spans="1:8" ht="15.75" x14ac:dyDescent="0.3">
      <c r="A309" s="47" t="s">
        <v>3169</v>
      </c>
      <c r="B309" s="47" t="s">
        <v>3192</v>
      </c>
      <c r="C309" s="48" t="s">
        <v>3200</v>
      </c>
      <c r="D309" s="47">
        <v>8</v>
      </c>
      <c r="E309" s="118"/>
      <c r="F309" s="47"/>
      <c r="G309" s="47" t="str">
        <f t="shared" si="70"/>
        <v>3#3#30|3#4#30|3#5#30|3#6#30|3#7#30|3#8#30|3#9#15|3#10#15|3#11#15|3#12#15</v>
      </c>
      <c r="H309" s="120" t="str">
        <f t="shared" si="69"/>
        <v>神器图纸2/防具碎片5/烈焰玄铁5/火龙币50</v>
      </c>
    </row>
    <row r="310" spans="1:8" ht="15.75" x14ac:dyDescent="0.3">
      <c r="A310" s="47" t="s">
        <v>3169</v>
      </c>
      <c r="B310" s="47" t="s">
        <v>3192</v>
      </c>
      <c r="C310" s="48" t="s">
        <v>3200</v>
      </c>
      <c r="D310" s="47">
        <v>9</v>
      </c>
      <c r="E310" s="118"/>
      <c r="F310" s="47"/>
      <c r="G310" s="47" t="str">
        <f t="shared" si="70"/>
        <v>3#3#36|3#4#36|3#5#36|3#6#36|3#7#36|3#8#36|3#9#18|3#10#18|3#11#18|3#12#18</v>
      </c>
      <c r="H310" s="120" t="str">
        <f t="shared" si="69"/>
        <v>神器图纸2/防具碎片5/烈焰玄铁5/火龙币53</v>
      </c>
    </row>
    <row r="311" spans="1:8" ht="15.75" x14ac:dyDescent="0.3">
      <c r="A311" s="47" t="s">
        <v>3169</v>
      </c>
      <c r="B311" s="47" t="s">
        <v>3192</v>
      </c>
      <c r="C311" s="48" t="s">
        <v>3200</v>
      </c>
      <c r="D311" s="47">
        <v>10</v>
      </c>
      <c r="E311" s="118"/>
      <c r="F311" s="47"/>
      <c r="G311" s="47" t="str">
        <f t="shared" si="70"/>
        <v>3#3#45|3#4#45|3#5#45|3#6#45|3#7#45|3#8#45|3#9#22|3#10#22|3#11#22|3#12#22</v>
      </c>
      <c r="H311" s="120"/>
    </row>
    <row r="312" spans="1:8" ht="15.75" x14ac:dyDescent="0.3">
      <c r="A312" s="47" t="s">
        <v>3169</v>
      </c>
      <c r="B312" s="47" t="s">
        <v>3192</v>
      </c>
      <c r="C312" s="48" t="s">
        <v>3201</v>
      </c>
      <c r="D312" s="47">
        <v>0</v>
      </c>
      <c r="E312" s="118"/>
      <c r="F312" s="47"/>
      <c r="G312" s="121"/>
      <c r="H312" s="120" t="str">
        <f>"神器图纸"&amp;Z3&amp;"/防具碎片"&amp;AA3&amp;"/烈焰玄铁"&amp;AB3&amp;"/火龙币"&amp;AC3</f>
        <v>神器图纸1/防具碎片3/烈焰玄铁3/火龙币32</v>
      </c>
    </row>
    <row r="313" spans="1:8" ht="15.75" x14ac:dyDescent="0.3">
      <c r="A313" s="47" t="s">
        <v>3169</v>
      </c>
      <c r="B313" s="47" t="s">
        <v>3192</v>
      </c>
      <c r="C313" s="48" t="s">
        <v>3201</v>
      </c>
      <c r="D313" s="47">
        <v>1</v>
      </c>
      <c r="E313" s="118"/>
      <c r="F313" s="47"/>
      <c r="G313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13" s="120" t="str">
        <f t="shared" ref="H313:H321" si="71">"神器图纸"&amp;Z4&amp;"/防具碎片"&amp;AA4&amp;"/烈焰玄铁"&amp;AB4&amp;"/火龙币"&amp;AC4</f>
        <v>神器图纸1/防具碎片3/烈焰玄铁3/火龙币35</v>
      </c>
    </row>
    <row r="314" spans="1:8" ht="15.75" x14ac:dyDescent="0.3">
      <c r="A314" s="47" t="s">
        <v>3169</v>
      </c>
      <c r="B314" s="47" t="s">
        <v>3192</v>
      </c>
      <c r="C314" s="48" t="s">
        <v>3201</v>
      </c>
      <c r="D314" s="47">
        <v>2</v>
      </c>
      <c r="E314" s="118"/>
      <c r="F314" s="47"/>
      <c r="G314" s="47" t="str">
        <f t="shared" ref="G314:G322" si="7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14" s="120" t="str">
        <f t="shared" si="71"/>
        <v>神器图纸1/防具碎片4/烈焰玄铁4/火龙币37</v>
      </c>
    </row>
    <row r="315" spans="1:8" ht="15.75" x14ac:dyDescent="0.3">
      <c r="A315" s="47" t="s">
        <v>3169</v>
      </c>
      <c r="B315" s="47" t="s">
        <v>3192</v>
      </c>
      <c r="C315" s="48" t="s">
        <v>3201</v>
      </c>
      <c r="D315" s="47">
        <v>3</v>
      </c>
      <c r="E315" s="118"/>
      <c r="F315" s="47"/>
      <c r="G315" s="47" t="str">
        <f t="shared" si="72"/>
        <v>3#3#8|3#4#8|3#5#8|3#6#8|3#7#8|3#8#8|3#9#4|3#10#4|3#11#4|3#12#4</v>
      </c>
      <c r="H315" s="120" t="str">
        <f t="shared" si="71"/>
        <v>神器图纸2/防具碎片4/烈焰玄铁4/火龙币39</v>
      </c>
    </row>
    <row r="316" spans="1:8" ht="15.75" x14ac:dyDescent="0.3">
      <c r="A316" s="47" t="s">
        <v>3169</v>
      </c>
      <c r="B316" s="47" t="s">
        <v>3192</v>
      </c>
      <c r="C316" s="48" t="s">
        <v>3201</v>
      </c>
      <c r="D316" s="47">
        <v>4</v>
      </c>
      <c r="E316" s="118"/>
      <c r="F316" s="47"/>
      <c r="G316" s="47" t="str">
        <f t="shared" si="72"/>
        <v>3#3#11|3#4#11|3#5#11|3#6#11|3#7#11|3#8#11|3#9#5|3#10#5|3#11#5|3#12#5</v>
      </c>
      <c r="H316" s="120" t="str">
        <f t="shared" si="71"/>
        <v>神器图纸2/防具碎片4/烈焰玄铁4/火龙币41</v>
      </c>
    </row>
    <row r="317" spans="1:8" ht="15.75" x14ac:dyDescent="0.3">
      <c r="A317" s="47" t="s">
        <v>3169</v>
      </c>
      <c r="B317" s="47" t="s">
        <v>3192</v>
      </c>
      <c r="C317" s="48" t="s">
        <v>3201</v>
      </c>
      <c r="D317" s="47">
        <v>5</v>
      </c>
      <c r="E317" s="118"/>
      <c r="F317" s="47"/>
      <c r="G317" s="47" t="str">
        <f t="shared" si="72"/>
        <v>3#3#15|3#4#15|3#5#15|3#6#15|3#7#15|3#8#15|3#9#7|3#10#7|3#11#7|3#12#7</v>
      </c>
      <c r="H317" s="120" t="str">
        <f t="shared" si="71"/>
        <v>神器图纸2/防具碎片4/烈焰玄铁4/火龙币44</v>
      </c>
    </row>
    <row r="318" spans="1:8" ht="15.75" x14ac:dyDescent="0.3">
      <c r="A318" s="47" t="s">
        <v>3169</v>
      </c>
      <c r="B318" s="47" t="s">
        <v>3192</v>
      </c>
      <c r="C318" s="48" t="s">
        <v>3201</v>
      </c>
      <c r="D318" s="47">
        <v>6</v>
      </c>
      <c r="E318" s="118"/>
      <c r="F318" s="47"/>
      <c r="G318" s="47" t="str">
        <f t="shared" si="72"/>
        <v>3#3#20|3#4#20|3#5#20|3#6#20|3#7#20|3#8#20|3#9#10|3#10#10|3#11#10|3#12#10</v>
      </c>
      <c r="H318" s="120" t="str">
        <f t="shared" si="71"/>
        <v>神器图纸2/防具碎片5/烈焰玄铁5/火龙币46</v>
      </c>
    </row>
    <row r="319" spans="1:8" ht="15.75" x14ac:dyDescent="0.3">
      <c r="A319" s="47" t="s">
        <v>3169</v>
      </c>
      <c r="B319" s="47" t="s">
        <v>3192</v>
      </c>
      <c r="C319" s="48" t="s">
        <v>3201</v>
      </c>
      <c r="D319" s="47">
        <v>7</v>
      </c>
      <c r="E319" s="118"/>
      <c r="F319" s="47"/>
      <c r="G319" s="47" t="str">
        <f t="shared" si="72"/>
        <v>3#3#25|3#4#25|3#5#25|3#6#25|3#7#25|3#8#25|3#9#12|3#10#12|3#11#12|3#12#12</v>
      </c>
      <c r="H319" s="120" t="str">
        <f t="shared" si="71"/>
        <v>神器图纸2/防具碎片5/烈焰玄铁5/火龙币48</v>
      </c>
    </row>
    <row r="320" spans="1:8" ht="15.75" x14ac:dyDescent="0.3">
      <c r="A320" s="47" t="s">
        <v>3169</v>
      </c>
      <c r="B320" s="47" t="s">
        <v>3192</v>
      </c>
      <c r="C320" s="48" t="s">
        <v>3201</v>
      </c>
      <c r="D320" s="47">
        <v>8</v>
      </c>
      <c r="E320" s="118"/>
      <c r="F320" s="47"/>
      <c r="G320" s="47" t="str">
        <f t="shared" si="72"/>
        <v>3#3#30|3#4#30|3#5#30|3#6#30|3#7#30|3#8#30|3#9#15|3#10#15|3#11#15|3#12#15</v>
      </c>
      <c r="H320" s="120" t="str">
        <f t="shared" si="71"/>
        <v>神器图纸2/防具碎片5/烈焰玄铁5/火龙币50</v>
      </c>
    </row>
    <row r="321" spans="1:8" ht="15.75" x14ac:dyDescent="0.3">
      <c r="A321" s="47" t="s">
        <v>3169</v>
      </c>
      <c r="B321" s="47" t="s">
        <v>3192</v>
      </c>
      <c r="C321" s="48" t="s">
        <v>3201</v>
      </c>
      <c r="D321" s="47">
        <v>9</v>
      </c>
      <c r="E321" s="118"/>
      <c r="F321" s="47"/>
      <c r="G321" s="47" t="str">
        <f t="shared" si="72"/>
        <v>3#3#36|3#4#36|3#5#36|3#6#36|3#7#36|3#8#36|3#9#18|3#10#18|3#11#18|3#12#18</v>
      </c>
      <c r="H321" s="120" t="str">
        <f t="shared" si="71"/>
        <v>神器图纸2/防具碎片5/烈焰玄铁5/火龙币53</v>
      </c>
    </row>
    <row r="322" spans="1:8" ht="15.75" x14ac:dyDescent="0.3">
      <c r="A322" s="47" t="s">
        <v>3169</v>
      </c>
      <c r="B322" s="47" t="s">
        <v>3192</v>
      </c>
      <c r="C322" s="48" t="s">
        <v>3201</v>
      </c>
      <c r="D322" s="47">
        <v>10</v>
      </c>
      <c r="E322" s="118"/>
      <c r="F322" s="47"/>
      <c r="G322" s="47" t="str">
        <f t="shared" si="72"/>
        <v>3#3#45|3#4#45|3#5#45|3#6#45|3#7#45|3#8#45|3#9#22|3#10#22|3#11#22|3#12#22</v>
      </c>
      <c r="H322" s="120"/>
    </row>
    <row r="323" spans="1:8" ht="15.75" x14ac:dyDescent="0.3">
      <c r="A323" s="47" t="s">
        <v>3169</v>
      </c>
      <c r="B323" s="47" t="s">
        <v>3192</v>
      </c>
      <c r="C323" s="48" t="s">
        <v>3202</v>
      </c>
      <c r="D323" s="47">
        <v>0</v>
      </c>
      <c r="E323" s="118"/>
      <c r="F323" s="47"/>
      <c r="G323" s="121"/>
      <c r="H323" s="120" t="str">
        <f>"神器图纸"&amp;Z3&amp;"/防具碎片"&amp;AA3&amp;"/烈焰玄铁"&amp;AB3&amp;"/火龙币"&amp;AC3</f>
        <v>神器图纸1/防具碎片3/烈焰玄铁3/火龙币32</v>
      </c>
    </row>
    <row r="324" spans="1:8" ht="15.75" x14ac:dyDescent="0.3">
      <c r="A324" s="47" t="s">
        <v>3169</v>
      </c>
      <c r="B324" s="47" t="s">
        <v>3192</v>
      </c>
      <c r="C324" s="48" t="s">
        <v>3202</v>
      </c>
      <c r="D324" s="47">
        <v>1</v>
      </c>
      <c r="E324" s="118"/>
      <c r="F324" s="47"/>
      <c r="G324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24" s="120" t="str">
        <f t="shared" ref="H324:H332" si="73">"神器图纸"&amp;Z4&amp;"/防具碎片"&amp;AA4&amp;"/烈焰玄铁"&amp;AB4&amp;"/火龙币"&amp;AC4</f>
        <v>神器图纸1/防具碎片3/烈焰玄铁3/火龙币35</v>
      </c>
    </row>
    <row r="325" spans="1:8" ht="15.75" x14ac:dyDescent="0.3">
      <c r="A325" s="47" t="s">
        <v>3169</v>
      </c>
      <c r="B325" s="47" t="s">
        <v>3192</v>
      </c>
      <c r="C325" s="48" t="s">
        <v>3202</v>
      </c>
      <c r="D325" s="47">
        <v>2</v>
      </c>
      <c r="E325" s="118"/>
      <c r="F325" s="47"/>
      <c r="G325" s="47" t="str">
        <f t="shared" ref="G325:G333" si="7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25" s="120" t="str">
        <f t="shared" si="73"/>
        <v>神器图纸1/防具碎片4/烈焰玄铁4/火龙币37</v>
      </c>
    </row>
    <row r="326" spans="1:8" ht="15.75" x14ac:dyDescent="0.3">
      <c r="A326" s="47" t="s">
        <v>3169</v>
      </c>
      <c r="B326" s="47" t="s">
        <v>3192</v>
      </c>
      <c r="C326" s="48" t="s">
        <v>3202</v>
      </c>
      <c r="D326" s="47">
        <v>3</v>
      </c>
      <c r="E326" s="118"/>
      <c r="F326" s="47"/>
      <c r="G326" s="47" t="str">
        <f t="shared" si="74"/>
        <v>3#3#8|3#4#8|3#5#8|3#6#8|3#7#8|3#8#8|3#9#4|3#10#4|3#11#4|3#12#4</v>
      </c>
      <c r="H326" s="120" t="str">
        <f t="shared" si="73"/>
        <v>神器图纸2/防具碎片4/烈焰玄铁4/火龙币39</v>
      </c>
    </row>
    <row r="327" spans="1:8" ht="15.75" x14ac:dyDescent="0.3">
      <c r="A327" s="47" t="s">
        <v>3169</v>
      </c>
      <c r="B327" s="47" t="s">
        <v>3192</v>
      </c>
      <c r="C327" s="48" t="s">
        <v>3202</v>
      </c>
      <c r="D327" s="47">
        <v>4</v>
      </c>
      <c r="E327" s="118"/>
      <c r="F327" s="47"/>
      <c r="G327" s="47" t="str">
        <f t="shared" si="74"/>
        <v>3#3#11|3#4#11|3#5#11|3#6#11|3#7#11|3#8#11|3#9#5|3#10#5|3#11#5|3#12#5</v>
      </c>
      <c r="H327" s="120" t="str">
        <f t="shared" si="73"/>
        <v>神器图纸2/防具碎片4/烈焰玄铁4/火龙币41</v>
      </c>
    </row>
    <row r="328" spans="1:8" ht="15.75" x14ac:dyDescent="0.3">
      <c r="A328" s="47" t="s">
        <v>3169</v>
      </c>
      <c r="B328" s="47" t="s">
        <v>3192</v>
      </c>
      <c r="C328" s="48" t="s">
        <v>3202</v>
      </c>
      <c r="D328" s="47">
        <v>5</v>
      </c>
      <c r="E328" s="118"/>
      <c r="F328" s="47"/>
      <c r="G328" s="47" t="str">
        <f t="shared" si="74"/>
        <v>3#3#15|3#4#15|3#5#15|3#6#15|3#7#15|3#8#15|3#9#7|3#10#7|3#11#7|3#12#7</v>
      </c>
      <c r="H328" s="120" t="str">
        <f t="shared" si="73"/>
        <v>神器图纸2/防具碎片4/烈焰玄铁4/火龙币44</v>
      </c>
    </row>
    <row r="329" spans="1:8" ht="15.75" x14ac:dyDescent="0.3">
      <c r="A329" s="47" t="s">
        <v>3169</v>
      </c>
      <c r="B329" s="47" t="s">
        <v>3192</v>
      </c>
      <c r="C329" s="48" t="s">
        <v>3202</v>
      </c>
      <c r="D329" s="47">
        <v>6</v>
      </c>
      <c r="E329" s="118"/>
      <c r="F329" s="47"/>
      <c r="G329" s="47" t="str">
        <f t="shared" si="74"/>
        <v>3#3#20|3#4#20|3#5#20|3#6#20|3#7#20|3#8#20|3#9#10|3#10#10|3#11#10|3#12#10</v>
      </c>
      <c r="H329" s="120" t="str">
        <f t="shared" si="73"/>
        <v>神器图纸2/防具碎片5/烈焰玄铁5/火龙币46</v>
      </c>
    </row>
    <row r="330" spans="1:8" ht="15.75" x14ac:dyDescent="0.3">
      <c r="A330" s="47" t="s">
        <v>3169</v>
      </c>
      <c r="B330" s="47" t="s">
        <v>3192</v>
      </c>
      <c r="C330" s="48" t="s">
        <v>3202</v>
      </c>
      <c r="D330" s="47">
        <v>7</v>
      </c>
      <c r="E330" s="118"/>
      <c r="F330" s="47"/>
      <c r="G330" s="47" t="str">
        <f t="shared" si="74"/>
        <v>3#3#25|3#4#25|3#5#25|3#6#25|3#7#25|3#8#25|3#9#12|3#10#12|3#11#12|3#12#12</v>
      </c>
      <c r="H330" s="120" t="str">
        <f t="shared" si="73"/>
        <v>神器图纸2/防具碎片5/烈焰玄铁5/火龙币48</v>
      </c>
    </row>
    <row r="331" spans="1:8" ht="15.75" x14ac:dyDescent="0.3">
      <c r="A331" s="47" t="s">
        <v>3169</v>
      </c>
      <c r="B331" s="47" t="s">
        <v>3192</v>
      </c>
      <c r="C331" s="48" t="s">
        <v>3202</v>
      </c>
      <c r="D331" s="47">
        <v>8</v>
      </c>
      <c r="E331" s="118"/>
      <c r="F331" s="47"/>
      <c r="G331" s="47" t="str">
        <f t="shared" si="74"/>
        <v>3#3#30|3#4#30|3#5#30|3#6#30|3#7#30|3#8#30|3#9#15|3#10#15|3#11#15|3#12#15</v>
      </c>
      <c r="H331" s="120" t="str">
        <f t="shared" si="73"/>
        <v>神器图纸2/防具碎片5/烈焰玄铁5/火龙币50</v>
      </c>
    </row>
    <row r="332" spans="1:8" ht="15.75" x14ac:dyDescent="0.3">
      <c r="A332" s="47" t="s">
        <v>3169</v>
      </c>
      <c r="B332" s="47" t="s">
        <v>3192</v>
      </c>
      <c r="C332" s="48" t="s">
        <v>3202</v>
      </c>
      <c r="D332" s="47">
        <v>9</v>
      </c>
      <c r="E332" s="118"/>
      <c r="F332" s="47"/>
      <c r="G332" s="47" t="str">
        <f t="shared" si="74"/>
        <v>3#3#36|3#4#36|3#5#36|3#6#36|3#7#36|3#8#36|3#9#18|3#10#18|3#11#18|3#12#18</v>
      </c>
      <c r="H332" s="120" t="str">
        <f t="shared" si="73"/>
        <v>神器图纸2/防具碎片5/烈焰玄铁5/火龙币53</v>
      </c>
    </row>
    <row r="333" spans="1:8" ht="15.75" x14ac:dyDescent="0.3">
      <c r="A333" s="47" t="s">
        <v>3169</v>
      </c>
      <c r="B333" s="47" t="s">
        <v>3192</v>
      </c>
      <c r="C333" s="48" t="s">
        <v>3202</v>
      </c>
      <c r="D333" s="47">
        <v>10</v>
      </c>
      <c r="E333" s="118"/>
      <c r="F333" s="47"/>
      <c r="G333" s="47" t="str">
        <f t="shared" si="74"/>
        <v>3#3#45|3#4#45|3#5#45|3#6#45|3#7#45|3#8#45|3#9#22|3#10#22|3#11#22|3#12#22</v>
      </c>
      <c r="H333" s="120"/>
    </row>
    <row r="334" spans="1:8" ht="15.75" x14ac:dyDescent="0.3">
      <c r="A334" s="122" t="s">
        <v>3169</v>
      </c>
      <c r="B334" s="122" t="s">
        <v>3203</v>
      </c>
      <c r="C334" s="123" t="s">
        <v>3204</v>
      </c>
      <c r="D334" s="122">
        <v>0</v>
      </c>
      <c r="E334" s="124"/>
      <c r="F334" s="122"/>
      <c r="G334" s="127"/>
      <c r="H334" s="126" t="str">
        <f>"神器图纸"&amp;Z3&amp;"/首饰碎片"&amp;AA3&amp;"/烈焰玄铁"&amp;AB3&amp;"/火龙币"&amp;AC3</f>
        <v>神器图纸1/首饰碎片3/烈焰玄铁3/火龙币32</v>
      </c>
    </row>
    <row r="335" spans="1:8" ht="15.75" x14ac:dyDescent="0.3">
      <c r="A335" s="122" t="s">
        <v>3169</v>
      </c>
      <c r="B335" s="122" t="s">
        <v>3203</v>
      </c>
      <c r="C335" s="123" t="s">
        <v>3204</v>
      </c>
      <c r="D335" s="122">
        <v>1</v>
      </c>
      <c r="E335" s="124"/>
      <c r="F335" s="122"/>
      <c r="G335" s="122">
        <v>6</v>
      </c>
      <c r="H335" s="126" t="str">
        <f t="shared" ref="H335:H343" si="75">"神器图纸"&amp;Z4&amp;"/首饰碎片"&amp;AA4&amp;"/烈焰玄铁"&amp;AB4&amp;"/火龙币"&amp;AC4</f>
        <v>神器图纸1/首饰碎片3/烈焰玄铁3/火龙币35</v>
      </c>
    </row>
    <row r="336" spans="1:8" ht="15.75" x14ac:dyDescent="0.3">
      <c r="A336" s="122" t="s">
        <v>3169</v>
      </c>
      <c r="B336" s="122" t="s">
        <v>3203</v>
      </c>
      <c r="C336" s="123" t="s">
        <v>3204</v>
      </c>
      <c r="D336" s="122">
        <v>2</v>
      </c>
      <c r="E336" s="124"/>
      <c r="F336" s="122"/>
      <c r="G336" s="122">
        <v>12</v>
      </c>
      <c r="H336" s="126" t="str">
        <f t="shared" si="75"/>
        <v>神器图纸1/首饰碎片4/烈焰玄铁4/火龙币37</v>
      </c>
    </row>
    <row r="337" spans="1:8" ht="15.75" x14ac:dyDescent="0.3">
      <c r="A337" s="122" t="s">
        <v>3169</v>
      </c>
      <c r="B337" s="122" t="s">
        <v>3203</v>
      </c>
      <c r="C337" s="123" t="s">
        <v>3204</v>
      </c>
      <c r="D337" s="122">
        <v>3</v>
      </c>
      <c r="E337" s="124"/>
      <c r="F337" s="122"/>
      <c r="G337" s="122">
        <v>18</v>
      </c>
      <c r="H337" s="126" t="str">
        <f t="shared" si="75"/>
        <v>神器图纸2/首饰碎片4/烈焰玄铁4/火龙币39</v>
      </c>
    </row>
    <row r="338" spans="1:8" ht="15.75" x14ac:dyDescent="0.3">
      <c r="A338" s="122" t="s">
        <v>3169</v>
      </c>
      <c r="B338" s="122" t="s">
        <v>3203</v>
      </c>
      <c r="C338" s="123" t="s">
        <v>3204</v>
      </c>
      <c r="D338" s="122">
        <v>4</v>
      </c>
      <c r="E338" s="124"/>
      <c r="F338" s="122"/>
      <c r="G338" s="122">
        <v>24</v>
      </c>
      <c r="H338" s="126" t="str">
        <f t="shared" si="75"/>
        <v>神器图纸2/首饰碎片4/烈焰玄铁4/火龙币41</v>
      </c>
    </row>
    <row r="339" spans="1:8" ht="15.75" x14ac:dyDescent="0.3">
      <c r="A339" s="122" t="s">
        <v>3169</v>
      </c>
      <c r="B339" s="122" t="s">
        <v>3203</v>
      </c>
      <c r="C339" s="123" t="s">
        <v>3204</v>
      </c>
      <c r="D339" s="122">
        <v>5</v>
      </c>
      <c r="E339" s="124"/>
      <c r="F339" s="122"/>
      <c r="G339" s="122">
        <v>30</v>
      </c>
      <c r="H339" s="126" t="str">
        <f t="shared" si="75"/>
        <v>神器图纸2/首饰碎片4/烈焰玄铁4/火龙币44</v>
      </c>
    </row>
    <row r="340" spans="1:8" ht="15.75" x14ac:dyDescent="0.3">
      <c r="A340" s="122" t="s">
        <v>3169</v>
      </c>
      <c r="B340" s="122" t="s">
        <v>3203</v>
      </c>
      <c r="C340" s="123" t="s">
        <v>3204</v>
      </c>
      <c r="D340" s="122">
        <v>6</v>
      </c>
      <c r="E340" s="124"/>
      <c r="F340" s="122"/>
      <c r="G340" s="122">
        <v>36</v>
      </c>
      <c r="H340" s="126" t="str">
        <f t="shared" si="75"/>
        <v>神器图纸2/首饰碎片5/烈焰玄铁5/火龙币46</v>
      </c>
    </row>
    <row r="341" spans="1:8" ht="15.75" x14ac:dyDescent="0.3">
      <c r="A341" s="122" t="s">
        <v>3169</v>
      </c>
      <c r="B341" s="122" t="s">
        <v>3203</v>
      </c>
      <c r="C341" s="123" t="s">
        <v>3204</v>
      </c>
      <c r="D341" s="122">
        <v>7</v>
      </c>
      <c r="E341" s="124"/>
      <c r="F341" s="122"/>
      <c r="G341" s="122">
        <v>42</v>
      </c>
      <c r="H341" s="126" t="str">
        <f t="shared" si="75"/>
        <v>神器图纸2/首饰碎片5/烈焰玄铁5/火龙币48</v>
      </c>
    </row>
    <row r="342" spans="1:8" ht="15.75" x14ac:dyDescent="0.3">
      <c r="A342" s="122" t="s">
        <v>3169</v>
      </c>
      <c r="B342" s="122" t="s">
        <v>3203</v>
      </c>
      <c r="C342" s="123" t="s">
        <v>3204</v>
      </c>
      <c r="D342" s="122">
        <v>8</v>
      </c>
      <c r="E342" s="124"/>
      <c r="F342" s="122"/>
      <c r="G342" s="122">
        <v>48</v>
      </c>
      <c r="H342" s="126" t="str">
        <f t="shared" si="75"/>
        <v>神器图纸2/首饰碎片5/烈焰玄铁5/火龙币50</v>
      </c>
    </row>
    <row r="343" spans="1:8" ht="15.75" x14ac:dyDescent="0.3">
      <c r="A343" s="122" t="s">
        <v>3169</v>
      </c>
      <c r="B343" s="122" t="s">
        <v>3203</v>
      </c>
      <c r="C343" s="123" t="s">
        <v>3204</v>
      </c>
      <c r="D343" s="122">
        <v>9</v>
      </c>
      <c r="E343" s="124"/>
      <c r="F343" s="122"/>
      <c r="G343" s="122">
        <v>54</v>
      </c>
      <c r="H343" s="126" t="str">
        <f t="shared" si="75"/>
        <v>神器图纸2/首饰碎片5/烈焰玄铁5/火龙币53</v>
      </c>
    </row>
    <row r="344" spans="1:8" ht="15.75" x14ac:dyDescent="0.3">
      <c r="A344" s="122" t="s">
        <v>3169</v>
      </c>
      <c r="B344" s="122" t="s">
        <v>3203</v>
      </c>
      <c r="C344" s="123" t="s">
        <v>3204</v>
      </c>
      <c r="D344" s="122">
        <v>10</v>
      </c>
      <c r="E344" s="124"/>
      <c r="F344" s="122"/>
      <c r="G344" s="122">
        <v>60</v>
      </c>
      <c r="H344" s="126"/>
    </row>
    <row r="345" spans="1:8" ht="15.75" x14ac:dyDescent="0.3">
      <c r="A345" s="122" t="s">
        <v>3169</v>
      </c>
      <c r="B345" s="122" t="s">
        <v>3203</v>
      </c>
      <c r="C345" s="123" t="s">
        <v>3205</v>
      </c>
      <c r="D345" s="122">
        <v>0</v>
      </c>
      <c r="E345" s="124"/>
      <c r="F345" s="122"/>
      <c r="G345" s="127"/>
      <c r="H345" s="126" t="str">
        <f>"神器图纸"&amp;Z3&amp;"/首饰碎片"&amp;AA3&amp;"/烈焰玄铁"&amp;AB3&amp;"/火龙币"&amp;AC3</f>
        <v>神器图纸1/首饰碎片3/烈焰玄铁3/火龙币32</v>
      </c>
    </row>
    <row r="346" spans="1:8" ht="15.75" x14ac:dyDescent="0.3">
      <c r="A346" s="122" t="s">
        <v>3169</v>
      </c>
      <c r="B346" s="122" t="s">
        <v>3203</v>
      </c>
      <c r="C346" s="123" t="s">
        <v>3205</v>
      </c>
      <c r="D346" s="122">
        <v>1</v>
      </c>
      <c r="E346" s="124"/>
      <c r="F346" s="122"/>
      <c r="G346" s="122">
        <v>7</v>
      </c>
      <c r="H346" s="126" t="str">
        <f t="shared" ref="H346:H354" si="76">"神器图纸"&amp;Z4&amp;"/首饰碎片"&amp;AA4&amp;"/烈焰玄铁"&amp;AB4&amp;"/火龙币"&amp;AC4</f>
        <v>神器图纸1/首饰碎片3/烈焰玄铁3/火龙币35</v>
      </c>
    </row>
    <row r="347" spans="1:8" ht="15.75" x14ac:dyDescent="0.3">
      <c r="A347" s="122" t="s">
        <v>3169</v>
      </c>
      <c r="B347" s="122" t="s">
        <v>3203</v>
      </c>
      <c r="C347" s="123" t="s">
        <v>3205</v>
      </c>
      <c r="D347" s="122">
        <v>2</v>
      </c>
      <c r="E347" s="124"/>
      <c r="F347" s="122"/>
      <c r="G347" s="122">
        <v>14</v>
      </c>
      <c r="H347" s="126" t="str">
        <f t="shared" si="76"/>
        <v>神器图纸1/首饰碎片4/烈焰玄铁4/火龙币37</v>
      </c>
    </row>
    <row r="348" spans="1:8" ht="15.75" x14ac:dyDescent="0.3">
      <c r="A348" s="122" t="s">
        <v>3169</v>
      </c>
      <c r="B348" s="122" t="s">
        <v>3203</v>
      </c>
      <c r="C348" s="123" t="s">
        <v>3205</v>
      </c>
      <c r="D348" s="122">
        <v>3</v>
      </c>
      <c r="E348" s="124"/>
      <c r="F348" s="122"/>
      <c r="G348" s="122">
        <v>21</v>
      </c>
      <c r="H348" s="126" t="str">
        <f t="shared" si="76"/>
        <v>神器图纸2/首饰碎片4/烈焰玄铁4/火龙币39</v>
      </c>
    </row>
    <row r="349" spans="1:8" ht="15.75" x14ac:dyDescent="0.3">
      <c r="A349" s="122" t="s">
        <v>3169</v>
      </c>
      <c r="B349" s="122" t="s">
        <v>3203</v>
      </c>
      <c r="C349" s="123" t="s">
        <v>3205</v>
      </c>
      <c r="D349" s="122">
        <v>4</v>
      </c>
      <c r="E349" s="124"/>
      <c r="F349" s="122"/>
      <c r="G349" s="122">
        <v>28</v>
      </c>
      <c r="H349" s="126" t="str">
        <f t="shared" si="76"/>
        <v>神器图纸2/首饰碎片4/烈焰玄铁4/火龙币41</v>
      </c>
    </row>
    <row r="350" spans="1:8" ht="15.75" x14ac:dyDescent="0.3">
      <c r="A350" s="122" t="s">
        <v>3169</v>
      </c>
      <c r="B350" s="122" t="s">
        <v>3203</v>
      </c>
      <c r="C350" s="123" t="s">
        <v>3205</v>
      </c>
      <c r="D350" s="122">
        <v>5</v>
      </c>
      <c r="E350" s="124"/>
      <c r="F350" s="122"/>
      <c r="G350" s="122">
        <v>35</v>
      </c>
      <c r="H350" s="126" t="str">
        <f t="shared" si="76"/>
        <v>神器图纸2/首饰碎片4/烈焰玄铁4/火龙币44</v>
      </c>
    </row>
    <row r="351" spans="1:8" ht="15.75" x14ac:dyDescent="0.3">
      <c r="A351" s="122" t="s">
        <v>3169</v>
      </c>
      <c r="B351" s="122" t="s">
        <v>3203</v>
      </c>
      <c r="C351" s="123" t="s">
        <v>3205</v>
      </c>
      <c r="D351" s="122">
        <v>6</v>
      </c>
      <c r="E351" s="124"/>
      <c r="F351" s="122"/>
      <c r="G351" s="122">
        <v>42</v>
      </c>
      <c r="H351" s="126" t="str">
        <f t="shared" si="76"/>
        <v>神器图纸2/首饰碎片5/烈焰玄铁5/火龙币46</v>
      </c>
    </row>
    <row r="352" spans="1:8" ht="15.75" x14ac:dyDescent="0.3">
      <c r="A352" s="122" t="s">
        <v>3169</v>
      </c>
      <c r="B352" s="122" t="s">
        <v>3203</v>
      </c>
      <c r="C352" s="123" t="s">
        <v>3205</v>
      </c>
      <c r="D352" s="122">
        <v>7</v>
      </c>
      <c r="E352" s="124"/>
      <c r="F352" s="122"/>
      <c r="G352" s="122">
        <v>49</v>
      </c>
      <c r="H352" s="126" t="str">
        <f t="shared" si="76"/>
        <v>神器图纸2/首饰碎片5/烈焰玄铁5/火龙币48</v>
      </c>
    </row>
    <row r="353" spans="1:8" ht="15.75" x14ac:dyDescent="0.3">
      <c r="A353" s="122" t="s">
        <v>3169</v>
      </c>
      <c r="B353" s="122" t="s">
        <v>3203</v>
      </c>
      <c r="C353" s="123" t="s">
        <v>3205</v>
      </c>
      <c r="D353" s="122">
        <v>8</v>
      </c>
      <c r="E353" s="124"/>
      <c r="F353" s="122"/>
      <c r="G353" s="122">
        <v>56</v>
      </c>
      <c r="H353" s="126" t="str">
        <f t="shared" si="76"/>
        <v>神器图纸2/首饰碎片5/烈焰玄铁5/火龙币50</v>
      </c>
    </row>
    <row r="354" spans="1:8" ht="15.75" x14ac:dyDescent="0.3">
      <c r="A354" s="122" t="s">
        <v>3169</v>
      </c>
      <c r="B354" s="122" t="s">
        <v>3203</v>
      </c>
      <c r="C354" s="123" t="s">
        <v>3205</v>
      </c>
      <c r="D354" s="122">
        <v>9</v>
      </c>
      <c r="E354" s="124"/>
      <c r="F354" s="122"/>
      <c r="G354" s="122">
        <v>63</v>
      </c>
      <c r="H354" s="126" t="str">
        <f t="shared" si="76"/>
        <v>神器图纸2/首饰碎片5/烈焰玄铁5/火龙币53</v>
      </c>
    </row>
    <row r="355" spans="1:8" ht="15.75" x14ac:dyDescent="0.3">
      <c r="A355" s="122" t="s">
        <v>3169</v>
      </c>
      <c r="B355" s="122" t="s">
        <v>3203</v>
      </c>
      <c r="C355" s="123" t="s">
        <v>3205</v>
      </c>
      <c r="D355" s="122">
        <v>10</v>
      </c>
      <c r="E355" s="124"/>
      <c r="F355" s="122"/>
      <c r="G355" s="122">
        <v>70</v>
      </c>
      <c r="H355" s="126"/>
    </row>
    <row r="356" spans="1:8" ht="15.75" x14ac:dyDescent="0.3">
      <c r="A356" s="122" t="s">
        <v>3169</v>
      </c>
      <c r="B356" s="122" t="s">
        <v>3203</v>
      </c>
      <c r="C356" s="123" t="s">
        <v>3206</v>
      </c>
      <c r="D356" s="122">
        <v>0</v>
      </c>
      <c r="E356" s="124"/>
      <c r="F356" s="122"/>
      <c r="G356" s="127"/>
      <c r="H356" s="126" t="str">
        <f>"神器图纸"&amp;Z3&amp;"/首饰碎片"&amp;AA3&amp;"/烈焰玄铁"&amp;AB3&amp;"/火龙币"&amp;AC3</f>
        <v>神器图纸1/首饰碎片3/烈焰玄铁3/火龙币32</v>
      </c>
    </row>
    <row r="357" spans="1:8" ht="15.75" x14ac:dyDescent="0.3">
      <c r="A357" s="122" t="s">
        <v>3169</v>
      </c>
      <c r="B357" s="122" t="s">
        <v>3203</v>
      </c>
      <c r="C357" s="123" t="s">
        <v>3206</v>
      </c>
      <c r="D357" s="122">
        <v>1</v>
      </c>
      <c r="E357" s="124"/>
      <c r="F357" s="122"/>
      <c r="G357" s="122">
        <v>8</v>
      </c>
      <c r="H357" s="126" t="str">
        <f t="shared" ref="H357:H365" si="77">"神器图纸"&amp;Z4&amp;"/首饰碎片"&amp;AA4&amp;"/烈焰玄铁"&amp;AB4&amp;"/火龙币"&amp;AC4</f>
        <v>神器图纸1/首饰碎片3/烈焰玄铁3/火龙币35</v>
      </c>
    </row>
    <row r="358" spans="1:8" ht="15.75" x14ac:dyDescent="0.3">
      <c r="A358" s="122" t="s">
        <v>3169</v>
      </c>
      <c r="B358" s="122" t="s">
        <v>3203</v>
      </c>
      <c r="C358" s="123" t="s">
        <v>3206</v>
      </c>
      <c r="D358" s="122">
        <v>2</v>
      </c>
      <c r="E358" s="124"/>
      <c r="F358" s="122"/>
      <c r="G358" s="122">
        <v>16</v>
      </c>
      <c r="H358" s="126" t="str">
        <f t="shared" si="77"/>
        <v>神器图纸1/首饰碎片4/烈焰玄铁4/火龙币37</v>
      </c>
    </row>
    <row r="359" spans="1:8" ht="15.75" x14ac:dyDescent="0.3">
      <c r="A359" s="122" t="s">
        <v>3169</v>
      </c>
      <c r="B359" s="122" t="s">
        <v>3203</v>
      </c>
      <c r="C359" s="123" t="s">
        <v>3206</v>
      </c>
      <c r="D359" s="122">
        <v>3</v>
      </c>
      <c r="E359" s="124"/>
      <c r="F359" s="122"/>
      <c r="G359" s="122">
        <v>24</v>
      </c>
      <c r="H359" s="126" t="str">
        <f t="shared" si="77"/>
        <v>神器图纸2/首饰碎片4/烈焰玄铁4/火龙币39</v>
      </c>
    </row>
    <row r="360" spans="1:8" ht="15.75" x14ac:dyDescent="0.3">
      <c r="A360" s="122" t="s">
        <v>3169</v>
      </c>
      <c r="B360" s="122" t="s">
        <v>3203</v>
      </c>
      <c r="C360" s="123" t="s">
        <v>3206</v>
      </c>
      <c r="D360" s="122">
        <v>4</v>
      </c>
      <c r="E360" s="124"/>
      <c r="F360" s="122"/>
      <c r="G360" s="122">
        <v>32</v>
      </c>
      <c r="H360" s="126" t="str">
        <f t="shared" si="77"/>
        <v>神器图纸2/首饰碎片4/烈焰玄铁4/火龙币41</v>
      </c>
    </row>
    <row r="361" spans="1:8" ht="15.75" x14ac:dyDescent="0.3">
      <c r="A361" s="122" t="s">
        <v>3169</v>
      </c>
      <c r="B361" s="122" t="s">
        <v>3203</v>
      </c>
      <c r="C361" s="123" t="s">
        <v>3206</v>
      </c>
      <c r="D361" s="122">
        <v>5</v>
      </c>
      <c r="E361" s="124"/>
      <c r="F361" s="122"/>
      <c r="G361" s="122">
        <v>40</v>
      </c>
      <c r="H361" s="126" t="str">
        <f t="shared" si="77"/>
        <v>神器图纸2/首饰碎片4/烈焰玄铁4/火龙币44</v>
      </c>
    </row>
    <row r="362" spans="1:8" ht="15.75" x14ac:dyDescent="0.3">
      <c r="A362" s="122" t="s">
        <v>3169</v>
      </c>
      <c r="B362" s="122" t="s">
        <v>3203</v>
      </c>
      <c r="C362" s="123" t="s">
        <v>3206</v>
      </c>
      <c r="D362" s="122">
        <v>6</v>
      </c>
      <c r="E362" s="124"/>
      <c r="F362" s="122"/>
      <c r="G362" s="122">
        <v>48</v>
      </c>
      <c r="H362" s="126" t="str">
        <f t="shared" si="77"/>
        <v>神器图纸2/首饰碎片5/烈焰玄铁5/火龙币46</v>
      </c>
    </row>
    <row r="363" spans="1:8" ht="15.75" x14ac:dyDescent="0.3">
      <c r="A363" s="122" t="s">
        <v>3169</v>
      </c>
      <c r="B363" s="122" t="s">
        <v>3203</v>
      </c>
      <c r="C363" s="123" t="s">
        <v>3206</v>
      </c>
      <c r="D363" s="122">
        <v>7</v>
      </c>
      <c r="E363" s="124"/>
      <c r="F363" s="122"/>
      <c r="G363" s="122">
        <v>56</v>
      </c>
      <c r="H363" s="126" t="str">
        <f t="shared" si="77"/>
        <v>神器图纸2/首饰碎片5/烈焰玄铁5/火龙币48</v>
      </c>
    </row>
    <row r="364" spans="1:8" ht="15.75" x14ac:dyDescent="0.3">
      <c r="A364" s="122" t="s">
        <v>3169</v>
      </c>
      <c r="B364" s="122" t="s">
        <v>3203</v>
      </c>
      <c r="C364" s="123" t="s">
        <v>3206</v>
      </c>
      <c r="D364" s="122">
        <v>8</v>
      </c>
      <c r="E364" s="124"/>
      <c r="F364" s="122"/>
      <c r="G364" s="122">
        <v>64</v>
      </c>
      <c r="H364" s="126" t="str">
        <f t="shared" si="77"/>
        <v>神器图纸2/首饰碎片5/烈焰玄铁5/火龙币50</v>
      </c>
    </row>
    <row r="365" spans="1:8" ht="15.75" x14ac:dyDescent="0.3">
      <c r="A365" s="122" t="s">
        <v>3169</v>
      </c>
      <c r="B365" s="122" t="s">
        <v>3203</v>
      </c>
      <c r="C365" s="123" t="s">
        <v>3206</v>
      </c>
      <c r="D365" s="122">
        <v>9</v>
      </c>
      <c r="E365" s="124"/>
      <c r="F365" s="122"/>
      <c r="G365" s="122">
        <v>72</v>
      </c>
      <c r="H365" s="126" t="str">
        <f t="shared" si="77"/>
        <v>神器图纸2/首饰碎片5/烈焰玄铁5/火龙币53</v>
      </c>
    </row>
    <row r="366" spans="1:8" ht="15.75" x14ac:dyDescent="0.3">
      <c r="A366" s="122" t="s">
        <v>3169</v>
      </c>
      <c r="B366" s="122" t="s">
        <v>3203</v>
      </c>
      <c r="C366" s="123" t="s">
        <v>3206</v>
      </c>
      <c r="D366" s="122">
        <v>10</v>
      </c>
      <c r="E366" s="124"/>
      <c r="F366" s="122"/>
      <c r="G366" s="122">
        <v>80</v>
      </c>
      <c r="H366" s="126"/>
    </row>
    <row r="367" spans="1:8" ht="15.75" x14ac:dyDescent="0.3">
      <c r="A367" s="122" t="s">
        <v>3169</v>
      </c>
      <c r="B367" s="122" t="s">
        <v>3203</v>
      </c>
      <c r="C367" s="123" t="s">
        <v>3207</v>
      </c>
      <c r="D367" s="122">
        <v>0</v>
      </c>
      <c r="E367" s="124"/>
      <c r="F367" s="122"/>
      <c r="G367" s="127"/>
      <c r="H367" s="126" t="str">
        <f>"神器图纸"&amp;Z3&amp;"/首饰碎片"&amp;AA3&amp;"/烈焰玄铁"&amp;AB3&amp;"/火龙币"&amp;AC3</f>
        <v>神器图纸1/首饰碎片3/烈焰玄铁3/火龙币32</v>
      </c>
    </row>
    <row r="368" spans="1:8" ht="15.75" x14ac:dyDescent="0.3">
      <c r="A368" s="122" t="s">
        <v>3169</v>
      </c>
      <c r="B368" s="122" t="s">
        <v>3203</v>
      </c>
      <c r="C368" s="123" t="s">
        <v>3207</v>
      </c>
      <c r="D368" s="122">
        <v>1</v>
      </c>
      <c r="E368" s="124"/>
      <c r="F368" s="122"/>
      <c r="G368" s="122">
        <v>9</v>
      </c>
      <c r="H368" s="126" t="str">
        <f t="shared" ref="H368:H376" si="78">"神器图纸"&amp;Z4&amp;"/首饰碎片"&amp;AA4&amp;"/烈焰玄铁"&amp;AB4&amp;"/火龙币"&amp;AC4</f>
        <v>神器图纸1/首饰碎片3/烈焰玄铁3/火龙币35</v>
      </c>
    </row>
    <row r="369" spans="1:8" ht="15.75" x14ac:dyDescent="0.3">
      <c r="A369" s="122" t="s">
        <v>3169</v>
      </c>
      <c r="B369" s="122" t="s">
        <v>3203</v>
      </c>
      <c r="C369" s="123" t="s">
        <v>3207</v>
      </c>
      <c r="D369" s="122">
        <v>2</v>
      </c>
      <c r="E369" s="124"/>
      <c r="F369" s="122"/>
      <c r="G369" s="122">
        <v>18</v>
      </c>
      <c r="H369" s="126" t="str">
        <f t="shared" si="78"/>
        <v>神器图纸1/首饰碎片4/烈焰玄铁4/火龙币37</v>
      </c>
    </row>
    <row r="370" spans="1:8" ht="15.75" x14ac:dyDescent="0.3">
      <c r="A370" s="122" t="s">
        <v>3169</v>
      </c>
      <c r="B370" s="122" t="s">
        <v>3203</v>
      </c>
      <c r="C370" s="123" t="s">
        <v>3207</v>
      </c>
      <c r="D370" s="122">
        <v>3</v>
      </c>
      <c r="E370" s="124"/>
      <c r="F370" s="122"/>
      <c r="G370" s="122">
        <v>27</v>
      </c>
      <c r="H370" s="126" t="str">
        <f t="shared" si="78"/>
        <v>神器图纸2/首饰碎片4/烈焰玄铁4/火龙币39</v>
      </c>
    </row>
    <row r="371" spans="1:8" ht="15.75" x14ac:dyDescent="0.3">
      <c r="A371" s="122" t="s">
        <v>3169</v>
      </c>
      <c r="B371" s="122" t="s">
        <v>3203</v>
      </c>
      <c r="C371" s="123" t="s">
        <v>3207</v>
      </c>
      <c r="D371" s="122">
        <v>4</v>
      </c>
      <c r="E371" s="124"/>
      <c r="F371" s="122"/>
      <c r="G371" s="122">
        <v>36</v>
      </c>
      <c r="H371" s="126" t="str">
        <f t="shared" si="78"/>
        <v>神器图纸2/首饰碎片4/烈焰玄铁4/火龙币41</v>
      </c>
    </row>
    <row r="372" spans="1:8" ht="15.75" x14ac:dyDescent="0.3">
      <c r="A372" s="122" t="s">
        <v>3169</v>
      </c>
      <c r="B372" s="122" t="s">
        <v>3203</v>
      </c>
      <c r="C372" s="123" t="s">
        <v>3207</v>
      </c>
      <c r="D372" s="122">
        <v>5</v>
      </c>
      <c r="E372" s="124"/>
      <c r="F372" s="122"/>
      <c r="G372" s="122">
        <v>45</v>
      </c>
      <c r="H372" s="126" t="str">
        <f t="shared" si="78"/>
        <v>神器图纸2/首饰碎片4/烈焰玄铁4/火龙币44</v>
      </c>
    </row>
    <row r="373" spans="1:8" ht="15.75" x14ac:dyDescent="0.3">
      <c r="A373" s="122" t="s">
        <v>3169</v>
      </c>
      <c r="B373" s="122" t="s">
        <v>3203</v>
      </c>
      <c r="C373" s="123" t="s">
        <v>3207</v>
      </c>
      <c r="D373" s="122">
        <v>6</v>
      </c>
      <c r="E373" s="124"/>
      <c r="F373" s="122"/>
      <c r="G373" s="122">
        <v>54</v>
      </c>
      <c r="H373" s="126" t="str">
        <f t="shared" si="78"/>
        <v>神器图纸2/首饰碎片5/烈焰玄铁5/火龙币46</v>
      </c>
    </row>
    <row r="374" spans="1:8" ht="15.75" x14ac:dyDescent="0.3">
      <c r="A374" s="122" t="s">
        <v>3169</v>
      </c>
      <c r="B374" s="122" t="s">
        <v>3203</v>
      </c>
      <c r="C374" s="123" t="s">
        <v>3207</v>
      </c>
      <c r="D374" s="122">
        <v>7</v>
      </c>
      <c r="E374" s="124"/>
      <c r="F374" s="122"/>
      <c r="G374" s="122">
        <v>63</v>
      </c>
      <c r="H374" s="126" t="str">
        <f t="shared" si="78"/>
        <v>神器图纸2/首饰碎片5/烈焰玄铁5/火龙币48</v>
      </c>
    </row>
    <row r="375" spans="1:8" ht="15.75" x14ac:dyDescent="0.3">
      <c r="A375" s="122" t="s">
        <v>3169</v>
      </c>
      <c r="B375" s="122" t="s">
        <v>3203</v>
      </c>
      <c r="C375" s="123" t="s">
        <v>3207</v>
      </c>
      <c r="D375" s="122">
        <v>8</v>
      </c>
      <c r="E375" s="124"/>
      <c r="F375" s="122"/>
      <c r="G375" s="122">
        <v>72</v>
      </c>
      <c r="H375" s="126" t="str">
        <f t="shared" si="78"/>
        <v>神器图纸2/首饰碎片5/烈焰玄铁5/火龙币50</v>
      </c>
    </row>
    <row r="376" spans="1:8" ht="15.75" x14ac:dyDescent="0.3">
      <c r="A376" s="122" t="s">
        <v>3169</v>
      </c>
      <c r="B376" s="122" t="s">
        <v>3203</v>
      </c>
      <c r="C376" s="123" t="s">
        <v>3207</v>
      </c>
      <c r="D376" s="122">
        <v>9</v>
      </c>
      <c r="E376" s="124"/>
      <c r="F376" s="122"/>
      <c r="G376" s="122">
        <v>81</v>
      </c>
      <c r="H376" s="126" t="str">
        <f t="shared" si="78"/>
        <v>神器图纸2/首饰碎片5/烈焰玄铁5/火龙币53</v>
      </c>
    </row>
    <row r="377" spans="1:8" ht="15.75" x14ac:dyDescent="0.3">
      <c r="A377" s="122" t="s">
        <v>3169</v>
      </c>
      <c r="B377" s="122" t="s">
        <v>3203</v>
      </c>
      <c r="C377" s="123" t="s">
        <v>3207</v>
      </c>
      <c r="D377" s="122">
        <v>10</v>
      </c>
      <c r="E377" s="124"/>
      <c r="F377" s="122"/>
      <c r="G377" s="122">
        <v>90</v>
      </c>
      <c r="H377" s="126"/>
    </row>
    <row r="378" spans="1:8" ht="15.75" x14ac:dyDescent="0.3">
      <c r="A378" s="122" t="s">
        <v>3169</v>
      </c>
      <c r="B378" s="122" t="s">
        <v>3203</v>
      </c>
      <c r="C378" s="123" t="s">
        <v>3208</v>
      </c>
      <c r="D378" s="122">
        <v>0</v>
      </c>
      <c r="E378" s="124"/>
      <c r="F378" s="122"/>
      <c r="G378" s="127"/>
      <c r="H378" s="126" t="str">
        <f>"神器图纸"&amp;Z3&amp;"/首饰碎片"&amp;AA3&amp;"/烈焰玄铁"&amp;AB3&amp;"/火龙币"&amp;AC3</f>
        <v>神器图纸1/首饰碎片3/烈焰玄铁3/火龙币32</v>
      </c>
    </row>
    <row r="379" spans="1:8" ht="15.75" x14ac:dyDescent="0.3">
      <c r="A379" s="122" t="s">
        <v>3169</v>
      </c>
      <c r="B379" s="122" t="s">
        <v>3203</v>
      </c>
      <c r="C379" s="123" t="s">
        <v>3208</v>
      </c>
      <c r="D379" s="122">
        <v>1</v>
      </c>
      <c r="E379" s="124"/>
      <c r="F379" s="122"/>
      <c r="G379" s="122">
        <v>10</v>
      </c>
      <c r="H379" s="126" t="str">
        <f t="shared" ref="H379:H387" si="79">"神器图纸"&amp;Z4&amp;"/首饰碎片"&amp;AA4&amp;"/烈焰玄铁"&amp;AB4&amp;"/火龙币"&amp;AC4</f>
        <v>神器图纸1/首饰碎片3/烈焰玄铁3/火龙币35</v>
      </c>
    </row>
    <row r="380" spans="1:8" ht="15.75" x14ac:dyDescent="0.3">
      <c r="A380" s="122" t="s">
        <v>3169</v>
      </c>
      <c r="B380" s="122" t="s">
        <v>3203</v>
      </c>
      <c r="C380" s="123" t="s">
        <v>3208</v>
      </c>
      <c r="D380" s="122">
        <v>2</v>
      </c>
      <c r="E380" s="124"/>
      <c r="F380" s="122"/>
      <c r="G380" s="122">
        <v>20</v>
      </c>
      <c r="H380" s="126" t="str">
        <f t="shared" si="79"/>
        <v>神器图纸1/首饰碎片4/烈焰玄铁4/火龙币37</v>
      </c>
    </row>
    <row r="381" spans="1:8" ht="15.75" x14ac:dyDescent="0.3">
      <c r="A381" s="122" t="s">
        <v>3169</v>
      </c>
      <c r="B381" s="122" t="s">
        <v>3203</v>
      </c>
      <c r="C381" s="123" t="s">
        <v>3208</v>
      </c>
      <c r="D381" s="122">
        <v>3</v>
      </c>
      <c r="E381" s="124"/>
      <c r="F381" s="122"/>
      <c r="G381" s="122">
        <v>30</v>
      </c>
      <c r="H381" s="126" t="str">
        <f t="shared" si="79"/>
        <v>神器图纸2/首饰碎片4/烈焰玄铁4/火龙币39</v>
      </c>
    </row>
    <row r="382" spans="1:8" ht="15.75" x14ac:dyDescent="0.3">
      <c r="A382" s="122" t="s">
        <v>3169</v>
      </c>
      <c r="B382" s="122" t="s">
        <v>3203</v>
      </c>
      <c r="C382" s="123" t="s">
        <v>3208</v>
      </c>
      <c r="D382" s="122">
        <v>4</v>
      </c>
      <c r="E382" s="124"/>
      <c r="F382" s="122"/>
      <c r="G382" s="122">
        <v>40</v>
      </c>
      <c r="H382" s="126" t="str">
        <f t="shared" si="79"/>
        <v>神器图纸2/首饰碎片4/烈焰玄铁4/火龙币41</v>
      </c>
    </row>
    <row r="383" spans="1:8" ht="15.75" x14ac:dyDescent="0.3">
      <c r="A383" s="122" t="s">
        <v>3169</v>
      </c>
      <c r="B383" s="122" t="s">
        <v>3203</v>
      </c>
      <c r="C383" s="123" t="s">
        <v>3208</v>
      </c>
      <c r="D383" s="122">
        <v>5</v>
      </c>
      <c r="E383" s="124"/>
      <c r="F383" s="122"/>
      <c r="G383" s="122">
        <v>50</v>
      </c>
      <c r="H383" s="126" t="str">
        <f t="shared" si="79"/>
        <v>神器图纸2/首饰碎片4/烈焰玄铁4/火龙币44</v>
      </c>
    </row>
    <row r="384" spans="1:8" ht="15.75" x14ac:dyDescent="0.3">
      <c r="A384" s="122" t="s">
        <v>3169</v>
      </c>
      <c r="B384" s="122" t="s">
        <v>3203</v>
      </c>
      <c r="C384" s="123" t="s">
        <v>3208</v>
      </c>
      <c r="D384" s="122">
        <v>6</v>
      </c>
      <c r="E384" s="124"/>
      <c r="F384" s="122"/>
      <c r="G384" s="122">
        <v>60</v>
      </c>
      <c r="H384" s="126" t="str">
        <f t="shared" si="79"/>
        <v>神器图纸2/首饰碎片5/烈焰玄铁5/火龙币46</v>
      </c>
    </row>
    <row r="385" spans="1:8" ht="15.75" x14ac:dyDescent="0.3">
      <c r="A385" s="122" t="s">
        <v>3169</v>
      </c>
      <c r="B385" s="122" t="s">
        <v>3203</v>
      </c>
      <c r="C385" s="123" t="s">
        <v>3208</v>
      </c>
      <c r="D385" s="122">
        <v>7</v>
      </c>
      <c r="E385" s="124"/>
      <c r="F385" s="122"/>
      <c r="G385" s="122">
        <v>70</v>
      </c>
      <c r="H385" s="126" t="str">
        <f t="shared" si="79"/>
        <v>神器图纸2/首饰碎片5/烈焰玄铁5/火龙币48</v>
      </c>
    </row>
    <row r="386" spans="1:8" ht="15.75" x14ac:dyDescent="0.3">
      <c r="A386" s="122" t="s">
        <v>3169</v>
      </c>
      <c r="B386" s="122" t="s">
        <v>3203</v>
      </c>
      <c r="C386" s="123" t="s">
        <v>3208</v>
      </c>
      <c r="D386" s="122">
        <v>8</v>
      </c>
      <c r="E386" s="124"/>
      <c r="F386" s="122"/>
      <c r="G386" s="122">
        <v>80</v>
      </c>
      <c r="H386" s="126" t="str">
        <f t="shared" si="79"/>
        <v>神器图纸2/首饰碎片5/烈焰玄铁5/火龙币50</v>
      </c>
    </row>
    <row r="387" spans="1:8" ht="15.75" x14ac:dyDescent="0.3">
      <c r="A387" s="122" t="s">
        <v>3169</v>
      </c>
      <c r="B387" s="122" t="s">
        <v>3203</v>
      </c>
      <c r="C387" s="123" t="s">
        <v>3208</v>
      </c>
      <c r="D387" s="122">
        <v>9</v>
      </c>
      <c r="E387" s="124"/>
      <c r="F387" s="122"/>
      <c r="G387" s="122">
        <v>90</v>
      </c>
      <c r="H387" s="126" t="str">
        <f t="shared" si="79"/>
        <v>神器图纸2/首饰碎片5/烈焰玄铁5/火龙币53</v>
      </c>
    </row>
    <row r="388" spans="1:8" ht="15.75" x14ac:dyDescent="0.3">
      <c r="A388" s="122" t="s">
        <v>3169</v>
      </c>
      <c r="B388" s="122" t="s">
        <v>3203</v>
      </c>
      <c r="C388" s="123" t="s">
        <v>3208</v>
      </c>
      <c r="D388" s="122">
        <v>10</v>
      </c>
      <c r="E388" s="124"/>
      <c r="F388" s="122"/>
      <c r="G388" s="122">
        <v>100</v>
      </c>
      <c r="H388" s="126"/>
    </row>
    <row r="389" spans="1:8" ht="15.75" x14ac:dyDescent="0.3">
      <c r="A389" s="122" t="s">
        <v>3169</v>
      </c>
      <c r="B389" s="122" t="s">
        <v>3203</v>
      </c>
      <c r="C389" s="123" t="s">
        <v>3209</v>
      </c>
      <c r="D389" s="122">
        <v>0</v>
      </c>
      <c r="E389" s="124"/>
      <c r="F389" s="122"/>
      <c r="G389" s="127"/>
      <c r="H389" s="126" t="str">
        <f>"神器图纸"&amp;Z3&amp;"/首饰碎片"&amp;AA3&amp;"/烈焰玄铁"&amp;AB3&amp;"/火龙币"&amp;AC3</f>
        <v>神器图纸1/首饰碎片3/烈焰玄铁3/火龙币32</v>
      </c>
    </row>
    <row r="390" spans="1:8" ht="15.75" x14ac:dyDescent="0.3">
      <c r="A390" s="122" t="s">
        <v>3169</v>
      </c>
      <c r="B390" s="122" t="s">
        <v>3203</v>
      </c>
      <c r="C390" s="123" t="s">
        <v>3209</v>
      </c>
      <c r="D390" s="122">
        <v>1</v>
      </c>
      <c r="E390" s="124"/>
      <c r="F390" s="122"/>
      <c r="G390" s="122">
        <v>11</v>
      </c>
      <c r="H390" s="126" t="str">
        <f t="shared" ref="H390:H398" si="80">"神器图纸"&amp;Z4&amp;"/首饰碎片"&amp;AA4&amp;"/烈焰玄铁"&amp;AB4&amp;"/火龙币"&amp;AC4</f>
        <v>神器图纸1/首饰碎片3/烈焰玄铁3/火龙币35</v>
      </c>
    </row>
    <row r="391" spans="1:8" ht="15.75" x14ac:dyDescent="0.3">
      <c r="A391" s="122" t="s">
        <v>3169</v>
      </c>
      <c r="B391" s="122" t="s">
        <v>3203</v>
      </c>
      <c r="C391" s="123" t="s">
        <v>3209</v>
      </c>
      <c r="D391" s="122">
        <v>2</v>
      </c>
      <c r="E391" s="124"/>
      <c r="F391" s="122"/>
      <c r="G391" s="122">
        <v>22</v>
      </c>
      <c r="H391" s="126" t="str">
        <f t="shared" si="80"/>
        <v>神器图纸1/首饰碎片4/烈焰玄铁4/火龙币37</v>
      </c>
    </row>
    <row r="392" spans="1:8" ht="15.75" x14ac:dyDescent="0.3">
      <c r="A392" s="122" t="s">
        <v>3169</v>
      </c>
      <c r="B392" s="122" t="s">
        <v>3203</v>
      </c>
      <c r="C392" s="123" t="s">
        <v>3209</v>
      </c>
      <c r="D392" s="122">
        <v>3</v>
      </c>
      <c r="E392" s="124"/>
      <c r="F392" s="122"/>
      <c r="G392" s="122">
        <v>33</v>
      </c>
      <c r="H392" s="126" t="str">
        <f t="shared" si="80"/>
        <v>神器图纸2/首饰碎片4/烈焰玄铁4/火龙币39</v>
      </c>
    </row>
    <row r="393" spans="1:8" ht="15.75" x14ac:dyDescent="0.3">
      <c r="A393" s="122" t="s">
        <v>3169</v>
      </c>
      <c r="B393" s="122" t="s">
        <v>3203</v>
      </c>
      <c r="C393" s="123" t="s">
        <v>3209</v>
      </c>
      <c r="D393" s="122">
        <v>4</v>
      </c>
      <c r="E393" s="124"/>
      <c r="F393" s="122"/>
      <c r="G393" s="122">
        <v>44</v>
      </c>
      <c r="H393" s="126" t="str">
        <f t="shared" si="80"/>
        <v>神器图纸2/首饰碎片4/烈焰玄铁4/火龙币41</v>
      </c>
    </row>
    <row r="394" spans="1:8" ht="15.75" x14ac:dyDescent="0.3">
      <c r="A394" s="122" t="s">
        <v>3169</v>
      </c>
      <c r="B394" s="122" t="s">
        <v>3203</v>
      </c>
      <c r="C394" s="123" t="s">
        <v>3209</v>
      </c>
      <c r="D394" s="122">
        <v>5</v>
      </c>
      <c r="E394" s="124"/>
      <c r="F394" s="122"/>
      <c r="G394" s="122">
        <v>55</v>
      </c>
      <c r="H394" s="126" t="str">
        <f t="shared" si="80"/>
        <v>神器图纸2/首饰碎片4/烈焰玄铁4/火龙币44</v>
      </c>
    </row>
    <row r="395" spans="1:8" ht="15.75" x14ac:dyDescent="0.3">
      <c r="A395" s="122" t="s">
        <v>3169</v>
      </c>
      <c r="B395" s="122" t="s">
        <v>3203</v>
      </c>
      <c r="C395" s="123" t="s">
        <v>3209</v>
      </c>
      <c r="D395" s="122">
        <v>6</v>
      </c>
      <c r="E395" s="124"/>
      <c r="F395" s="122"/>
      <c r="G395" s="122">
        <v>66</v>
      </c>
      <c r="H395" s="126" t="str">
        <f t="shared" si="80"/>
        <v>神器图纸2/首饰碎片5/烈焰玄铁5/火龙币46</v>
      </c>
    </row>
    <row r="396" spans="1:8" ht="15.75" x14ac:dyDescent="0.3">
      <c r="A396" s="122" t="s">
        <v>3169</v>
      </c>
      <c r="B396" s="122" t="s">
        <v>3203</v>
      </c>
      <c r="C396" s="123" t="s">
        <v>3209</v>
      </c>
      <c r="D396" s="122">
        <v>7</v>
      </c>
      <c r="E396" s="124"/>
      <c r="F396" s="122"/>
      <c r="G396" s="122">
        <v>77</v>
      </c>
      <c r="H396" s="126" t="str">
        <f t="shared" si="80"/>
        <v>神器图纸2/首饰碎片5/烈焰玄铁5/火龙币48</v>
      </c>
    </row>
    <row r="397" spans="1:8" ht="15.75" x14ac:dyDescent="0.3">
      <c r="A397" s="122" t="s">
        <v>3169</v>
      </c>
      <c r="B397" s="122" t="s">
        <v>3203</v>
      </c>
      <c r="C397" s="123" t="s">
        <v>3209</v>
      </c>
      <c r="D397" s="122">
        <v>8</v>
      </c>
      <c r="E397" s="124"/>
      <c r="F397" s="122"/>
      <c r="G397" s="122">
        <v>88</v>
      </c>
      <c r="H397" s="126" t="str">
        <f t="shared" si="80"/>
        <v>神器图纸2/首饰碎片5/烈焰玄铁5/火龙币50</v>
      </c>
    </row>
    <row r="398" spans="1:8" ht="15.75" x14ac:dyDescent="0.3">
      <c r="A398" s="122" t="s">
        <v>3169</v>
      </c>
      <c r="B398" s="122" t="s">
        <v>3203</v>
      </c>
      <c r="C398" s="123" t="s">
        <v>3209</v>
      </c>
      <c r="D398" s="122">
        <v>9</v>
      </c>
      <c r="E398" s="124"/>
      <c r="F398" s="122"/>
      <c r="G398" s="122">
        <v>99</v>
      </c>
      <c r="H398" s="126" t="str">
        <f t="shared" si="80"/>
        <v>神器图纸2/首饰碎片5/烈焰玄铁5/火龙币53</v>
      </c>
    </row>
    <row r="399" spans="1:8" ht="15.75" x14ac:dyDescent="0.3">
      <c r="A399" s="122" t="s">
        <v>3169</v>
      </c>
      <c r="B399" s="122" t="s">
        <v>3203</v>
      </c>
      <c r="C399" s="123" t="s">
        <v>3209</v>
      </c>
      <c r="D399" s="122">
        <v>10</v>
      </c>
      <c r="E399" s="124"/>
      <c r="F399" s="122"/>
      <c r="G399" s="122">
        <v>110</v>
      </c>
      <c r="H399" s="126"/>
    </row>
    <row r="400" spans="1:8" ht="15.75" x14ac:dyDescent="0.3">
      <c r="A400" s="122" t="s">
        <v>3169</v>
      </c>
      <c r="B400" s="122" t="s">
        <v>3203</v>
      </c>
      <c r="C400" s="123" t="s">
        <v>3210</v>
      </c>
      <c r="D400" s="122">
        <v>0</v>
      </c>
      <c r="E400" s="124"/>
      <c r="F400" s="122"/>
      <c r="G400" s="127"/>
      <c r="H400" s="126" t="str">
        <f>"神器图纸"&amp;Z3&amp;"/首饰碎片"&amp;AA3&amp;"/烈焰玄铁"&amp;AB3&amp;"/火龙币"&amp;AC3</f>
        <v>神器图纸1/首饰碎片3/烈焰玄铁3/火龙币32</v>
      </c>
    </row>
    <row r="401" spans="1:8" ht="15.75" x14ac:dyDescent="0.3">
      <c r="A401" s="122" t="s">
        <v>3169</v>
      </c>
      <c r="B401" s="122" t="s">
        <v>3203</v>
      </c>
      <c r="C401" s="123" t="s">
        <v>3210</v>
      </c>
      <c r="D401" s="122">
        <v>1</v>
      </c>
      <c r="E401" s="124"/>
      <c r="F401" s="122"/>
      <c r="G401" s="122">
        <v>12</v>
      </c>
      <c r="H401" s="126" t="str">
        <f t="shared" ref="H401:H409" si="81">"神器图纸"&amp;Z4&amp;"/首饰碎片"&amp;AA4&amp;"/烈焰玄铁"&amp;AB4&amp;"/火龙币"&amp;AC4</f>
        <v>神器图纸1/首饰碎片3/烈焰玄铁3/火龙币35</v>
      </c>
    </row>
    <row r="402" spans="1:8" ht="15.75" x14ac:dyDescent="0.3">
      <c r="A402" s="122" t="s">
        <v>3169</v>
      </c>
      <c r="B402" s="122" t="s">
        <v>3203</v>
      </c>
      <c r="C402" s="123" t="s">
        <v>3210</v>
      </c>
      <c r="D402" s="122">
        <v>2</v>
      </c>
      <c r="E402" s="124"/>
      <c r="F402" s="122"/>
      <c r="G402" s="122">
        <v>24</v>
      </c>
      <c r="H402" s="126" t="str">
        <f t="shared" si="81"/>
        <v>神器图纸1/首饰碎片4/烈焰玄铁4/火龙币37</v>
      </c>
    </row>
    <row r="403" spans="1:8" ht="15.75" x14ac:dyDescent="0.3">
      <c r="A403" s="122" t="s">
        <v>3169</v>
      </c>
      <c r="B403" s="122" t="s">
        <v>3203</v>
      </c>
      <c r="C403" s="123" t="s">
        <v>3210</v>
      </c>
      <c r="D403" s="122">
        <v>3</v>
      </c>
      <c r="E403" s="124"/>
      <c r="F403" s="122"/>
      <c r="G403" s="122">
        <v>36</v>
      </c>
      <c r="H403" s="126" t="str">
        <f t="shared" si="81"/>
        <v>神器图纸2/首饰碎片4/烈焰玄铁4/火龙币39</v>
      </c>
    </row>
    <row r="404" spans="1:8" ht="15.75" x14ac:dyDescent="0.3">
      <c r="A404" s="122" t="s">
        <v>3169</v>
      </c>
      <c r="B404" s="122" t="s">
        <v>3203</v>
      </c>
      <c r="C404" s="123" t="s">
        <v>3210</v>
      </c>
      <c r="D404" s="122">
        <v>4</v>
      </c>
      <c r="E404" s="124"/>
      <c r="F404" s="122"/>
      <c r="G404" s="122">
        <v>48</v>
      </c>
      <c r="H404" s="126" t="str">
        <f t="shared" si="81"/>
        <v>神器图纸2/首饰碎片4/烈焰玄铁4/火龙币41</v>
      </c>
    </row>
    <row r="405" spans="1:8" ht="15.75" x14ac:dyDescent="0.3">
      <c r="A405" s="122" t="s">
        <v>3169</v>
      </c>
      <c r="B405" s="122" t="s">
        <v>3203</v>
      </c>
      <c r="C405" s="123" t="s">
        <v>3210</v>
      </c>
      <c r="D405" s="122">
        <v>5</v>
      </c>
      <c r="E405" s="124"/>
      <c r="F405" s="122"/>
      <c r="G405" s="122">
        <v>60</v>
      </c>
      <c r="H405" s="126" t="str">
        <f t="shared" si="81"/>
        <v>神器图纸2/首饰碎片4/烈焰玄铁4/火龙币44</v>
      </c>
    </row>
    <row r="406" spans="1:8" ht="15.75" x14ac:dyDescent="0.3">
      <c r="A406" s="122" t="s">
        <v>3169</v>
      </c>
      <c r="B406" s="122" t="s">
        <v>3203</v>
      </c>
      <c r="C406" s="123" t="s">
        <v>3210</v>
      </c>
      <c r="D406" s="122">
        <v>6</v>
      </c>
      <c r="E406" s="124"/>
      <c r="F406" s="122"/>
      <c r="G406" s="122">
        <v>72</v>
      </c>
      <c r="H406" s="126" t="str">
        <f t="shared" si="81"/>
        <v>神器图纸2/首饰碎片5/烈焰玄铁5/火龙币46</v>
      </c>
    </row>
    <row r="407" spans="1:8" ht="15.75" x14ac:dyDescent="0.3">
      <c r="A407" s="122" t="s">
        <v>3169</v>
      </c>
      <c r="B407" s="122" t="s">
        <v>3203</v>
      </c>
      <c r="C407" s="123" t="s">
        <v>3210</v>
      </c>
      <c r="D407" s="122">
        <v>7</v>
      </c>
      <c r="E407" s="124"/>
      <c r="F407" s="122"/>
      <c r="G407" s="122">
        <v>84</v>
      </c>
      <c r="H407" s="126" t="str">
        <f t="shared" si="81"/>
        <v>神器图纸2/首饰碎片5/烈焰玄铁5/火龙币48</v>
      </c>
    </row>
    <row r="408" spans="1:8" ht="15.75" x14ac:dyDescent="0.3">
      <c r="A408" s="122" t="s">
        <v>3169</v>
      </c>
      <c r="B408" s="122" t="s">
        <v>3203</v>
      </c>
      <c r="C408" s="123" t="s">
        <v>3210</v>
      </c>
      <c r="D408" s="122">
        <v>8</v>
      </c>
      <c r="E408" s="124"/>
      <c r="F408" s="122"/>
      <c r="G408" s="122">
        <v>96</v>
      </c>
      <c r="H408" s="126" t="str">
        <f t="shared" si="81"/>
        <v>神器图纸2/首饰碎片5/烈焰玄铁5/火龙币50</v>
      </c>
    </row>
    <row r="409" spans="1:8" ht="15.75" x14ac:dyDescent="0.3">
      <c r="A409" s="122" t="s">
        <v>3169</v>
      </c>
      <c r="B409" s="122" t="s">
        <v>3203</v>
      </c>
      <c r="C409" s="123" t="s">
        <v>3210</v>
      </c>
      <c r="D409" s="122">
        <v>9</v>
      </c>
      <c r="E409" s="124"/>
      <c r="F409" s="122"/>
      <c r="G409" s="122">
        <v>108</v>
      </c>
      <c r="H409" s="126" t="str">
        <f t="shared" si="81"/>
        <v>神器图纸2/首饰碎片5/烈焰玄铁5/火龙币53</v>
      </c>
    </row>
    <row r="410" spans="1:8" ht="15.75" x14ac:dyDescent="0.3">
      <c r="A410" s="122" t="s">
        <v>3169</v>
      </c>
      <c r="B410" s="122" t="s">
        <v>3203</v>
      </c>
      <c r="C410" s="123" t="s">
        <v>3210</v>
      </c>
      <c r="D410" s="122">
        <v>10</v>
      </c>
      <c r="E410" s="124"/>
      <c r="F410" s="122"/>
      <c r="G410" s="122">
        <v>120</v>
      </c>
      <c r="H410" s="126"/>
    </row>
    <row r="411" spans="1:8" ht="15.75" x14ac:dyDescent="0.3">
      <c r="A411" s="122" t="s">
        <v>3169</v>
      </c>
      <c r="B411" s="122" t="s">
        <v>3203</v>
      </c>
      <c r="C411" s="123" t="s">
        <v>3211</v>
      </c>
      <c r="D411" s="122">
        <v>0</v>
      </c>
      <c r="E411" s="124"/>
      <c r="F411" s="122"/>
      <c r="G411" s="127"/>
      <c r="H411" s="126" t="str">
        <f>"神器图纸"&amp;Z3&amp;"/首饰碎片"&amp;AA3&amp;"/烈焰玄铁"&amp;AB3&amp;"/火龙币"&amp;AC3</f>
        <v>神器图纸1/首饰碎片3/烈焰玄铁3/火龙币32</v>
      </c>
    </row>
    <row r="412" spans="1:8" ht="15.75" x14ac:dyDescent="0.3">
      <c r="A412" s="122" t="s">
        <v>3169</v>
      </c>
      <c r="B412" s="122" t="s">
        <v>3203</v>
      </c>
      <c r="C412" s="123" t="s">
        <v>3211</v>
      </c>
      <c r="D412" s="122">
        <v>1</v>
      </c>
      <c r="E412" s="124"/>
      <c r="F412" s="122"/>
      <c r="G412" s="122">
        <v>13</v>
      </c>
      <c r="H412" s="126" t="str">
        <f t="shared" ref="H412:H420" si="82">"神器图纸"&amp;Z4&amp;"/首饰碎片"&amp;AA4&amp;"/烈焰玄铁"&amp;AB4&amp;"/火龙币"&amp;AC4</f>
        <v>神器图纸1/首饰碎片3/烈焰玄铁3/火龙币35</v>
      </c>
    </row>
    <row r="413" spans="1:8" ht="15.75" x14ac:dyDescent="0.3">
      <c r="A413" s="122" t="s">
        <v>3169</v>
      </c>
      <c r="B413" s="122" t="s">
        <v>3203</v>
      </c>
      <c r="C413" s="123" t="s">
        <v>3211</v>
      </c>
      <c r="D413" s="122">
        <v>2</v>
      </c>
      <c r="E413" s="124"/>
      <c r="F413" s="122"/>
      <c r="G413" s="122">
        <v>26</v>
      </c>
      <c r="H413" s="126" t="str">
        <f t="shared" si="82"/>
        <v>神器图纸1/首饰碎片4/烈焰玄铁4/火龙币37</v>
      </c>
    </row>
    <row r="414" spans="1:8" ht="15.75" x14ac:dyDescent="0.3">
      <c r="A414" s="122" t="s">
        <v>3169</v>
      </c>
      <c r="B414" s="122" t="s">
        <v>3203</v>
      </c>
      <c r="C414" s="123" t="s">
        <v>3211</v>
      </c>
      <c r="D414" s="122">
        <v>3</v>
      </c>
      <c r="E414" s="124"/>
      <c r="F414" s="122"/>
      <c r="G414" s="122">
        <v>39</v>
      </c>
      <c r="H414" s="126" t="str">
        <f t="shared" si="82"/>
        <v>神器图纸2/首饰碎片4/烈焰玄铁4/火龙币39</v>
      </c>
    </row>
    <row r="415" spans="1:8" ht="15.75" x14ac:dyDescent="0.3">
      <c r="A415" s="122" t="s">
        <v>3169</v>
      </c>
      <c r="B415" s="122" t="s">
        <v>3203</v>
      </c>
      <c r="C415" s="123" t="s">
        <v>3211</v>
      </c>
      <c r="D415" s="122">
        <v>4</v>
      </c>
      <c r="E415" s="124"/>
      <c r="F415" s="122"/>
      <c r="G415" s="122">
        <v>52</v>
      </c>
      <c r="H415" s="126" t="str">
        <f t="shared" si="82"/>
        <v>神器图纸2/首饰碎片4/烈焰玄铁4/火龙币41</v>
      </c>
    </row>
    <row r="416" spans="1:8" ht="15.75" x14ac:dyDescent="0.3">
      <c r="A416" s="122" t="s">
        <v>3169</v>
      </c>
      <c r="B416" s="122" t="s">
        <v>3203</v>
      </c>
      <c r="C416" s="123" t="s">
        <v>3211</v>
      </c>
      <c r="D416" s="122">
        <v>5</v>
      </c>
      <c r="E416" s="124"/>
      <c r="F416" s="122"/>
      <c r="G416" s="122">
        <v>65</v>
      </c>
      <c r="H416" s="126" t="str">
        <f t="shared" si="82"/>
        <v>神器图纸2/首饰碎片4/烈焰玄铁4/火龙币44</v>
      </c>
    </row>
    <row r="417" spans="1:8" ht="15.75" x14ac:dyDescent="0.3">
      <c r="A417" s="122" t="s">
        <v>3169</v>
      </c>
      <c r="B417" s="122" t="s">
        <v>3203</v>
      </c>
      <c r="C417" s="123" t="s">
        <v>3211</v>
      </c>
      <c r="D417" s="122">
        <v>6</v>
      </c>
      <c r="E417" s="124"/>
      <c r="F417" s="122"/>
      <c r="G417" s="122">
        <v>78</v>
      </c>
      <c r="H417" s="126" t="str">
        <f t="shared" si="82"/>
        <v>神器图纸2/首饰碎片5/烈焰玄铁5/火龙币46</v>
      </c>
    </row>
    <row r="418" spans="1:8" ht="15.75" x14ac:dyDescent="0.3">
      <c r="A418" s="122" t="s">
        <v>3169</v>
      </c>
      <c r="B418" s="122" t="s">
        <v>3203</v>
      </c>
      <c r="C418" s="123" t="s">
        <v>3211</v>
      </c>
      <c r="D418" s="122">
        <v>7</v>
      </c>
      <c r="E418" s="124"/>
      <c r="F418" s="122"/>
      <c r="G418" s="122">
        <v>91</v>
      </c>
      <c r="H418" s="126" t="str">
        <f t="shared" si="82"/>
        <v>神器图纸2/首饰碎片5/烈焰玄铁5/火龙币48</v>
      </c>
    </row>
    <row r="419" spans="1:8" ht="15.75" x14ac:dyDescent="0.3">
      <c r="A419" s="122" t="s">
        <v>3169</v>
      </c>
      <c r="B419" s="122" t="s">
        <v>3203</v>
      </c>
      <c r="C419" s="123" t="s">
        <v>3211</v>
      </c>
      <c r="D419" s="122">
        <v>8</v>
      </c>
      <c r="E419" s="124"/>
      <c r="F419" s="122"/>
      <c r="G419" s="122">
        <v>104</v>
      </c>
      <c r="H419" s="126" t="str">
        <f t="shared" si="82"/>
        <v>神器图纸2/首饰碎片5/烈焰玄铁5/火龙币50</v>
      </c>
    </row>
    <row r="420" spans="1:8" ht="15.75" x14ac:dyDescent="0.3">
      <c r="A420" s="122" t="s">
        <v>3169</v>
      </c>
      <c r="B420" s="122" t="s">
        <v>3203</v>
      </c>
      <c r="C420" s="123" t="s">
        <v>3211</v>
      </c>
      <c r="D420" s="122">
        <v>9</v>
      </c>
      <c r="E420" s="124"/>
      <c r="F420" s="122"/>
      <c r="G420" s="122">
        <v>117</v>
      </c>
      <c r="H420" s="126" t="str">
        <f t="shared" si="82"/>
        <v>神器图纸2/首饰碎片5/烈焰玄铁5/火龙币53</v>
      </c>
    </row>
    <row r="421" spans="1:8" ht="15.75" x14ac:dyDescent="0.3">
      <c r="A421" s="122" t="s">
        <v>3169</v>
      </c>
      <c r="B421" s="122" t="s">
        <v>3203</v>
      </c>
      <c r="C421" s="123" t="s">
        <v>3211</v>
      </c>
      <c r="D421" s="122">
        <v>10</v>
      </c>
      <c r="E421" s="124"/>
      <c r="F421" s="122"/>
      <c r="G421" s="122">
        <v>130</v>
      </c>
      <c r="H421" s="126"/>
    </row>
    <row r="422" spans="1:8" ht="15.75" x14ac:dyDescent="0.3">
      <c r="A422" s="122" t="s">
        <v>3169</v>
      </c>
      <c r="B422" s="122" t="s">
        <v>3203</v>
      </c>
      <c r="C422" s="123" t="s">
        <v>3212</v>
      </c>
      <c r="D422" s="122">
        <v>0</v>
      </c>
      <c r="E422" s="124"/>
      <c r="F422" s="122"/>
      <c r="G422" s="127"/>
      <c r="H422" s="126" t="str">
        <f>"神器图纸"&amp;Z3&amp;"/首饰碎片"&amp;AA3&amp;"/烈焰玄铁"&amp;AB3&amp;"/火龙币"&amp;AC3</f>
        <v>神器图纸1/首饰碎片3/烈焰玄铁3/火龙币32</v>
      </c>
    </row>
    <row r="423" spans="1:8" ht="15.75" x14ac:dyDescent="0.3">
      <c r="A423" s="122" t="s">
        <v>3169</v>
      </c>
      <c r="B423" s="122" t="s">
        <v>3203</v>
      </c>
      <c r="C423" s="123" t="s">
        <v>3212</v>
      </c>
      <c r="D423" s="122">
        <v>1</v>
      </c>
      <c r="E423" s="124"/>
      <c r="F423" s="122"/>
      <c r="G423" s="122">
        <v>14</v>
      </c>
      <c r="H423" s="126" t="str">
        <f t="shared" ref="H423:H431" si="83">"神器图纸"&amp;Z4&amp;"/首饰碎片"&amp;AA4&amp;"/烈焰玄铁"&amp;AB4&amp;"/火龙币"&amp;AC4</f>
        <v>神器图纸1/首饰碎片3/烈焰玄铁3/火龙币35</v>
      </c>
    </row>
    <row r="424" spans="1:8" ht="15.75" x14ac:dyDescent="0.3">
      <c r="A424" s="122" t="s">
        <v>3169</v>
      </c>
      <c r="B424" s="122" t="s">
        <v>3203</v>
      </c>
      <c r="C424" s="123" t="s">
        <v>3212</v>
      </c>
      <c r="D424" s="122">
        <v>2</v>
      </c>
      <c r="E424" s="124"/>
      <c r="F424" s="122"/>
      <c r="G424" s="122">
        <v>28</v>
      </c>
      <c r="H424" s="126" t="str">
        <f t="shared" si="83"/>
        <v>神器图纸1/首饰碎片4/烈焰玄铁4/火龙币37</v>
      </c>
    </row>
    <row r="425" spans="1:8" ht="15.75" x14ac:dyDescent="0.3">
      <c r="A425" s="122" t="s">
        <v>3169</v>
      </c>
      <c r="B425" s="122" t="s">
        <v>3203</v>
      </c>
      <c r="C425" s="123" t="s">
        <v>3212</v>
      </c>
      <c r="D425" s="122">
        <v>3</v>
      </c>
      <c r="E425" s="124"/>
      <c r="F425" s="122"/>
      <c r="G425" s="122">
        <v>42</v>
      </c>
      <c r="H425" s="126" t="str">
        <f t="shared" si="83"/>
        <v>神器图纸2/首饰碎片4/烈焰玄铁4/火龙币39</v>
      </c>
    </row>
    <row r="426" spans="1:8" ht="15.75" x14ac:dyDescent="0.3">
      <c r="A426" s="122" t="s">
        <v>3169</v>
      </c>
      <c r="B426" s="122" t="s">
        <v>3203</v>
      </c>
      <c r="C426" s="123" t="s">
        <v>3212</v>
      </c>
      <c r="D426" s="122">
        <v>4</v>
      </c>
      <c r="E426" s="124"/>
      <c r="F426" s="122"/>
      <c r="G426" s="122">
        <v>56</v>
      </c>
      <c r="H426" s="126" t="str">
        <f t="shared" si="83"/>
        <v>神器图纸2/首饰碎片4/烈焰玄铁4/火龙币41</v>
      </c>
    </row>
    <row r="427" spans="1:8" ht="15.75" x14ac:dyDescent="0.3">
      <c r="A427" s="122" t="s">
        <v>3169</v>
      </c>
      <c r="B427" s="122" t="s">
        <v>3203</v>
      </c>
      <c r="C427" s="123" t="s">
        <v>3212</v>
      </c>
      <c r="D427" s="122">
        <v>5</v>
      </c>
      <c r="E427" s="124"/>
      <c r="F427" s="122"/>
      <c r="G427" s="122">
        <v>70</v>
      </c>
      <c r="H427" s="126" t="str">
        <f t="shared" si="83"/>
        <v>神器图纸2/首饰碎片4/烈焰玄铁4/火龙币44</v>
      </c>
    </row>
    <row r="428" spans="1:8" ht="15.75" x14ac:dyDescent="0.3">
      <c r="A428" s="122" t="s">
        <v>3169</v>
      </c>
      <c r="B428" s="122" t="s">
        <v>3203</v>
      </c>
      <c r="C428" s="123" t="s">
        <v>3212</v>
      </c>
      <c r="D428" s="122">
        <v>6</v>
      </c>
      <c r="E428" s="124"/>
      <c r="F428" s="122"/>
      <c r="G428" s="122">
        <v>84</v>
      </c>
      <c r="H428" s="126" t="str">
        <f t="shared" si="83"/>
        <v>神器图纸2/首饰碎片5/烈焰玄铁5/火龙币46</v>
      </c>
    </row>
    <row r="429" spans="1:8" ht="15.75" x14ac:dyDescent="0.3">
      <c r="A429" s="122" t="s">
        <v>3169</v>
      </c>
      <c r="B429" s="122" t="s">
        <v>3203</v>
      </c>
      <c r="C429" s="123" t="s">
        <v>3212</v>
      </c>
      <c r="D429" s="122">
        <v>7</v>
      </c>
      <c r="E429" s="124"/>
      <c r="F429" s="122"/>
      <c r="G429" s="122">
        <v>98</v>
      </c>
      <c r="H429" s="126" t="str">
        <f t="shared" si="83"/>
        <v>神器图纸2/首饰碎片5/烈焰玄铁5/火龙币48</v>
      </c>
    </row>
    <row r="430" spans="1:8" ht="15.75" x14ac:dyDescent="0.3">
      <c r="A430" s="122" t="s">
        <v>3169</v>
      </c>
      <c r="B430" s="122" t="s">
        <v>3203</v>
      </c>
      <c r="C430" s="123" t="s">
        <v>3212</v>
      </c>
      <c r="D430" s="122">
        <v>8</v>
      </c>
      <c r="E430" s="124"/>
      <c r="F430" s="122"/>
      <c r="G430" s="122">
        <v>112</v>
      </c>
      <c r="H430" s="126" t="str">
        <f t="shared" si="83"/>
        <v>神器图纸2/首饰碎片5/烈焰玄铁5/火龙币50</v>
      </c>
    </row>
    <row r="431" spans="1:8" ht="15.75" x14ac:dyDescent="0.3">
      <c r="A431" s="122" t="s">
        <v>3169</v>
      </c>
      <c r="B431" s="122" t="s">
        <v>3203</v>
      </c>
      <c r="C431" s="123" t="s">
        <v>3212</v>
      </c>
      <c r="D431" s="122">
        <v>9</v>
      </c>
      <c r="E431" s="124"/>
      <c r="F431" s="122"/>
      <c r="G431" s="122">
        <v>126</v>
      </c>
      <c r="H431" s="126" t="str">
        <f t="shared" si="83"/>
        <v>神器图纸2/首饰碎片5/烈焰玄铁5/火龙币53</v>
      </c>
    </row>
    <row r="432" spans="1:8" ht="15.75" x14ac:dyDescent="0.3">
      <c r="A432" s="122" t="s">
        <v>3169</v>
      </c>
      <c r="B432" s="122" t="s">
        <v>3203</v>
      </c>
      <c r="C432" s="123" t="s">
        <v>3212</v>
      </c>
      <c r="D432" s="122">
        <v>10</v>
      </c>
      <c r="E432" s="124"/>
      <c r="F432" s="122"/>
      <c r="G432" s="122">
        <v>140</v>
      </c>
      <c r="H432" s="126"/>
    </row>
    <row r="433" spans="1:8" ht="15.75" x14ac:dyDescent="0.3">
      <c r="A433" s="122" t="s">
        <v>3169</v>
      </c>
      <c r="B433" s="122" t="s">
        <v>3203</v>
      </c>
      <c r="C433" s="123" t="s">
        <v>3213</v>
      </c>
      <c r="D433" s="122">
        <v>0</v>
      </c>
      <c r="E433" s="124"/>
      <c r="F433" s="122"/>
      <c r="G433" s="127"/>
      <c r="H433" s="126" t="str">
        <f>"神器图纸"&amp;Z3&amp;"/首饰碎片"&amp;AA3&amp;"/烈焰玄铁"&amp;AB3&amp;"/火龙币"&amp;AC3</f>
        <v>神器图纸1/首饰碎片3/烈焰玄铁3/火龙币32</v>
      </c>
    </row>
    <row r="434" spans="1:8" ht="15.75" x14ac:dyDescent="0.3">
      <c r="A434" s="122" t="s">
        <v>3169</v>
      </c>
      <c r="B434" s="122" t="s">
        <v>3203</v>
      </c>
      <c r="C434" s="123" t="s">
        <v>3213</v>
      </c>
      <c r="D434" s="122">
        <v>1</v>
      </c>
      <c r="E434" s="124"/>
      <c r="F434" s="122"/>
      <c r="G434" s="122">
        <v>15</v>
      </c>
      <c r="H434" s="126" t="str">
        <f t="shared" ref="H434:H442" si="84">"神器图纸"&amp;Z4&amp;"/首饰碎片"&amp;AA4&amp;"/烈焰玄铁"&amp;AB4&amp;"/火龙币"&amp;AC4</f>
        <v>神器图纸1/首饰碎片3/烈焰玄铁3/火龙币35</v>
      </c>
    </row>
    <row r="435" spans="1:8" ht="15.75" x14ac:dyDescent="0.3">
      <c r="A435" s="122" t="s">
        <v>3169</v>
      </c>
      <c r="B435" s="122" t="s">
        <v>3203</v>
      </c>
      <c r="C435" s="123" t="s">
        <v>3213</v>
      </c>
      <c r="D435" s="122">
        <v>2</v>
      </c>
      <c r="E435" s="124"/>
      <c r="F435" s="122"/>
      <c r="G435" s="122">
        <v>30</v>
      </c>
      <c r="H435" s="126" t="str">
        <f t="shared" si="84"/>
        <v>神器图纸1/首饰碎片4/烈焰玄铁4/火龙币37</v>
      </c>
    </row>
    <row r="436" spans="1:8" ht="15.75" x14ac:dyDescent="0.3">
      <c r="A436" s="122" t="s">
        <v>3169</v>
      </c>
      <c r="B436" s="122" t="s">
        <v>3203</v>
      </c>
      <c r="C436" s="123" t="s">
        <v>3213</v>
      </c>
      <c r="D436" s="122">
        <v>3</v>
      </c>
      <c r="E436" s="124"/>
      <c r="F436" s="122"/>
      <c r="G436" s="122">
        <v>45</v>
      </c>
      <c r="H436" s="126" t="str">
        <f t="shared" si="84"/>
        <v>神器图纸2/首饰碎片4/烈焰玄铁4/火龙币39</v>
      </c>
    </row>
    <row r="437" spans="1:8" ht="15.75" x14ac:dyDescent="0.3">
      <c r="A437" s="122" t="s">
        <v>3169</v>
      </c>
      <c r="B437" s="122" t="s">
        <v>3203</v>
      </c>
      <c r="C437" s="123" t="s">
        <v>3213</v>
      </c>
      <c r="D437" s="122">
        <v>4</v>
      </c>
      <c r="E437" s="124"/>
      <c r="F437" s="122"/>
      <c r="G437" s="122">
        <v>60</v>
      </c>
      <c r="H437" s="126" t="str">
        <f t="shared" si="84"/>
        <v>神器图纸2/首饰碎片4/烈焰玄铁4/火龙币41</v>
      </c>
    </row>
    <row r="438" spans="1:8" ht="15.75" x14ac:dyDescent="0.3">
      <c r="A438" s="122" t="s">
        <v>3169</v>
      </c>
      <c r="B438" s="122" t="s">
        <v>3203</v>
      </c>
      <c r="C438" s="123" t="s">
        <v>3213</v>
      </c>
      <c r="D438" s="122">
        <v>5</v>
      </c>
      <c r="E438" s="124"/>
      <c r="F438" s="122"/>
      <c r="G438" s="122">
        <v>75</v>
      </c>
      <c r="H438" s="126" t="str">
        <f t="shared" si="84"/>
        <v>神器图纸2/首饰碎片4/烈焰玄铁4/火龙币44</v>
      </c>
    </row>
    <row r="439" spans="1:8" ht="15.75" x14ac:dyDescent="0.3">
      <c r="A439" s="122" t="s">
        <v>3169</v>
      </c>
      <c r="B439" s="122" t="s">
        <v>3203</v>
      </c>
      <c r="C439" s="123" t="s">
        <v>3213</v>
      </c>
      <c r="D439" s="122">
        <v>6</v>
      </c>
      <c r="E439" s="124"/>
      <c r="F439" s="122"/>
      <c r="G439" s="122">
        <v>90</v>
      </c>
      <c r="H439" s="126" t="str">
        <f t="shared" si="84"/>
        <v>神器图纸2/首饰碎片5/烈焰玄铁5/火龙币46</v>
      </c>
    </row>
    <row r="440" spans="1:8" ht="15.75" x14ac:dyDescent="0.3">
      <c r="A440" s="122" t="s">
        <v>3169</v>
      </c>
      <c r="B440" s="122" t="s">
        <v>3203</v>
      </c>
      <c r="C440" s="123" t="s">
        <v>3213</v>
      </c>
      <c r="D440" s="122">
        <v>7</v>
      </c>
      <c r="E440" s="124"/>
      <c r="F440" s="122"/>
      <c r="G440" s="122">
        <v>105</v>
      </c>
      <c r="H440" s="126" t="str">
        <f t="shared" si="84"/>
        <v>神器图纸2/首饰碎片5/烈焰玄铁5/火龙币48</v>
      </c>
    </row>
    <row r="441" spans="1:8" ht="15.75" x14ac:dyDescent="0.3">
      <c r="A441" s="122" t="s">
        <v>3169</v>
      </c>
      <c r="B441" s="122" t="s">
        <v>3203</v>
      </c>
      <c r="C441" s="123" t="s">
        <v>3213</v>
      </c>
      <c r="D441" s="122">
        <v>8</v>
      </c>
      <c r="E441" s="124"/>
      <c r="F441" s="122"/>
      <c r="G441" s="122">
        <v>120</v>
      </c>
      <c r="H441" s="126" t="str">
        <f t="shared" si="84"/>
        <v>神器图纸2/首饰碎片5/烈焰玄铁5/火龙币50</v>
      </c>
    </row>
    <row r="442" spans="1:8" ht="15.75" x14ac:dyDescent="0.3">
      <c r="A442" s="122" t="s">
        <v>3169</v>
      </c>
      <c r="B442" s="122" t="s">
        <v>3203</v>
      </c>
      <c r="C442" s="123" t="s">
        <v>3213</v>
      </c>
      <c r="D442" s="122">
        <v>9</v>
      </c>
      <c r="E442" s="124"/>
      <c r="F442" s="122"/>
      <c r="G442" s="122">
        <v>135</v>
      </c>
      <c r="H442" s="126" t="str">
        <f t="shared" si="84"/>
        <v>神器图纸2/首饰碎片5/烈焰玄铁5/火龙币53</v>
      </c>
    </row>
    <row r="443" spans="1:8" ht="15.75" x14ac:dyDescent="0.3">
      <c r="A443" s="122" t="s">
        <v>3169</v>
      </c>
      <c r="B443" s="122" t="s">
        <v>3203</v>
      </c>
      <c r="C443" s="123" t="s">
        <v>3213</v>
      </c>
      <c r="D443" s="122">
        <v>10</v>
      </c>
      <c r="E443" s="124"/>
      <c r="F443" s="122"/>
      <c r="G443" s="122">
        <v>150</v>
      </c>
      <c r="H443" s="126"/>
    </row>
    <row r="444" spans="1:8" ht="15.75" x14ac:dyDescent="0.3">
      <c r="A444" s="50" t="s">
        <v>3169</v>
      </c>
      <c r="B444" s="50" t="s">
        <v>3214</v>
      </c>
      <c r="C444" s="51" t="s">
        <v>3215</v>
      </c>
      <c r="D444" s="50">
        <v>0</v>
      </c>
      <c r="E444" s="128"/>
      <c r="F444" s="50"/>
      <c r="G444" s="131"/>
      <c r="H444" s="130" t="str">
        <f>"神器图纸"&amp;Z3&amp;"/首饰碎片"&amp;AA3&amp;"/烈焰玄铁"&amp;AB3&amp;"/火龙币"&amp;AC3</f>
        <v>神器图纸1/首饰碎片3/烈焰玄铁3/火龙币32</v>
      </c>
    </row>
    <row r="445" spans="1:8" ht="15.75" x14ac:dyDescent="0.3">
      <c r="A445" s="50" t="s">
        <v>3169</v>
      </c>
      <c r="B445" s="50" t="s">
        <v>3214</v>
      </c>
      <c r="C445" s="51" t="s">
        <v>3215</v>
      </c>
      <c r="D445" s="50">
        <v>1</v>
      </c>
      <c r="E445" s="128"/>
      <c r="F445" s="50"/>
      <c r="G445" s="50">
        <v>6</v>
      </c>
      <c r="H445" s="130" t="str">
        <f t="shared" ref="H445:H453" si="85">"神器图纸"&amp;Z4&amp;"/首饰碎片"&amp;AA4&amp;"/烈焰玄铁"&amp;AB4&amp;"/火龙币"&amp;AC4</f>
        <v>神器图纸1/首饰碎片3/烈焰玄铁3/火龙币35</v>
      </c>
    </row>
    <row r="446" spans="1:8" ht="15.75" x14ac:dyDescent="0.3">
      <c r="A446" s="50" t="s">
        <v>3169</v>
      </c>
      <c r="B446" s="50" t="s">
        <v>3214</v>
      </c>
      <c r="C446" s="51" t="s">
        <v>3215</v>
      </c>
      <c r="D446" s="50">
        <v>2</v>
      </c>
      <c r="E446" s="128"/>
      <c r="F446" s="50"/>
      <c r="G446" s="50">
        <v>12</v>
      </c>
      <c r="H446" s="130" t="str">
        <f t="shared" si="85"/>
        <v>神器图纸1/首饰碎片4/烈焰玄铁4/火龙币37</v>
      </c>
    </row>
    <row r="447" spans="1:8" ht="15.75" x14ac:dyDescent="0.3">
      <c r="A447" s="50" t="s">
        <v>3169</v>
      </c>
      <c r="B447" s="50" t="s">
        <v>3214</v>
      </c>
      <c r="C447" s="51" t="s">
        <v>3215</v>
      </c>
      <c r="D447" s="50">
        <v>3</v>
      </c>
      <c r="E447" s="128"/>
      <c r="F447" s="50"/>
      <c r="G447" s="50">
        <v>18</v>
      </c>
      <c r="H447" s="130" t="str">
        <f t="shared" si="85"/>
        <v>神器图纸2/首饰碎片4/烈焰玄铁4/火龙币39</v>
      </c>
    </row>
    <row r="448" spans="1:8" ht="15.75" x14ac:dyDescent="0.3">
      <c r="A448" s="50" t="s">
        <v>3169</v>
      </c>
      <c r="B448" s="50" t="s">
        <v>3214</v>
      </c>
      <c r="C448" s="51" t="s">
        <v>3215</v>
      </c>
      <c r="D448" s="50">
        <v>4</v>
      </c>
      <c r="E448" s="128"/>
      <c r="F448" s="50"/>
      <c r="G448" s="50">
        <v>24</v>
      </c>
      <c r="H448" s="130" t="str">
        <f t="shared" si="85"/>
        <v>神器图纸2/首饰碎片4/烈焰玄铁4/火龙币41</v>
      </c>
    </row>
    <row r="449" spans="1:8" ht="15.75" x14ac:dyDescent="0.3">
      <c r="A449" s="50" t="s">
        <v>3169</v>
      </c>
      <c r="B449" s="50" t="s">
        <v>3214</v>
      </c>
      <c r="C449" s="51" t="s">
        <v>3215</v>
      </c>
      <c r="D449" s="50">
        <v>5</v>
      </c>
      <c r="E449" s="128"/>
      <c r="F449" s="50"/>
      <c r="G449" s="50">
        <v>30</v>
      </c>
      <c r="H449" s="130" t="str">
        <f t="shared" si="85"/>
        <v>神器图纸2/首饰碎片4/烈焰玄铁4/火龙币44</v>
      </c>
    </row>
    <row r="450" spans="1:8" ht="15.75" x14ac:dyDescent="0.3">
      <c r="A450" s="50" t="s">
        <v>3169</v>
      </c>
      <c r="B450" s="50" t="s">
        <v>3214</v>
      </c>
      <c r="C450" s="51" t="s">
        <v>3215</v>
      </c>
      <c r="D450" s="50">
        <v>6</v>
      </c>
      <c r="E450" s="128"/>
      <c r="F450" s="50"/>
      <c r="G450" s="50">
        <v>36</v>
      </c>
      <c r="H450" s="130" t="str">
        <f t="shared" si="85"/>
        <v>神器图纸2/首饰碎片5/烈焰玄铁5/火龙币46</v>
      </c>
    </row>
    <row r="451" spans="1:8" ht="15.75" x14ac:dyDescent="0.3">
      <c r="A451" s="50" t="s">
        <v>3169</v>
      </c>
      <c r="B451" s="50" t="s">
        <v>3214</v>
      </c>
      <c r="C451" s="51" t="s">
        <v>3215</v>
      </c>
      <c r="D451" s="50">
        <v>7</v>
      </c>
      <c r="E451" s="128"/>
      <c r="F451" s="50"/>
      <c r="G451" s="50">
        <v>42</v>
      </c>
      <c r="H451" s="130" t="str">
        <f t="shared" si="85"/>
        <v>神器图纸2/首饰碎片5/烈焰玄铁5/火龙币48</v>
      </c>
    </row>
    <row r="452" spans="1:8" ht="15.75" x14ac:dyDescent="0.3">
      <c r="A452" s="50" t="s">
        <v>3169</v>
      </c>
      <c r="B452" s="50" t="s">
        <v>3214</v>
      </c>
      <c r="C452" s="51" t="s">
        <v>3215</v>
      </c>
      <c r="D452" s="50">
        <v>8</v>
      </c>
      <c r="E452" s="128"/>
      <c r="F452" s="50"/>
      <c r="G452" s="50">
        <v>48</v>
      </c>
      <c r="H452" s="130" t="str">
        <f t="shared" si="85"/>
        <v>神器图纸2/首饰碎片5/烈焰玄铁5/火龙币50</v>
      </c>
    </row>
    <row r="453" spans="1:8" ht="15.75" x14ac:dyDescent="0.3">
      <c r="A453" s="50" t="s">
        <v>3169</v>
      </c>
      <c r="B453" s="50" t="s">
        <v>3214</v>
      </c>
      <c r="C453" s="51" t="s">
        <v>3215</v>
      </c>
      <c r="D453" s="50">
        <v>9</v>
      </c>
      <c r="E453" s="128"/>
      <c r="F453" s="50"/>
      <c r="G453" s="50">
        <v>54</v>
      </c>
      <c r="H453" s="130" t="str">
        <f t="shared" si="85"/>
        <v>神器图纸2/首饰碎片5/烈焰玄铁5/火龙币53</v>
      </c>
    </row>
    <row r="454" spans="1:8" ht="15.75" x14ac:dyDescent="0.3">
      <c r="A454" s="50" t="s">
        <v>3169</v>
      </c>
      <c r="B454" s="50" t="s">
        <v>3214</v>
      </c>
      <c r="C454" s="51" t="s">
        <v>3215</v>
      </c>
      <c r="D454" s="50">
        <v>10</v>
      </c>
      <c r="E454" s="128"/>
      <c r="F454" s="50"/>
      <c r="G454" s="50">
        <v>60</v>
      </c>
      <c r="H454" s="130"/>
    </row>
    <row r="455" spans="1:8" ht="15.75" x14ac:dyDescent="0.3">
      <c r="A455" s="50" t="s">
        <v>3169</v>
      </c>
      <c r="B455" s="50" t="s">
        <v>3214</v>
      </c>
      <c r="C455" s="51" t="s">
        <v>3216</v>
      </c>
      <c r="D455" s="50">
        <v>0</v>
      </c>
      <c r="E455" s="128"/>
      <c r="F455" s="50"/>
      <c r="G455" s="131"/>
      <c r="H455" s="130" t="str">
        <f>"神器图纸"&amp;Z3&amp;"/首饰碎片"&amp;AA3&amp;"/烈焰玄铁"&amp;AB3&amp;"/火龙币"&amp;AC3</f>
        <v>神器图纸1/首饰碎片3/烈焰玄铁3/火龙币32</v>
      </c>
    </row>
    <row r="456" spans="1:8" ht="15.75" x14ac:dyDescent="0.3">
      <c r="A456" s="50" t="s">
        <v>3169</v>
      </c>
      <c r="B456" s="50" t="s">
        <v>3214</v>
      </c>
      <c r="C456" s="51" t="s">
        <v>3216</v>
      </c>
      <c r="D456" s="50">
        <v>1</v>
      </c>
      <c r="E456" s="128"/>
      <c r="F456" s="50"/>
      <c r="G456" s="50">
        <v>7</v>
      </c>
      <c r="H456" s="130" t="str">
        <f t="shared" ref="H456:H464" si="86">"神器图纸"&amp;Z4&amp;"/首饰碎片"&amp;AA4&amp;"/烈焰玄铁"&amp;AB4&amp;"/火龙币"&amp;AC4</f>
        <v>神器图纸1/首饰碎片3/烈焰玄铁3/火龙币35</v>
      </c>
    </row>
    <row r="457" spans="1:8" ht="15.75" x14ac:dyDescent="0.3">
      <c r="A457" s="50" t="s">
        <v>3169</v>
      </c>
      <c r="B457" s="50" t="s">
        <v>3214</v>
      </c>
      <c r="C457" s="51" t="s">
        <v>3216</v>
      </c>
      <c r="D457" s="50">
        <v>2</v>
      </c>
      <c r="E457" s="128"/>
      <c r="F457" s="50"/>
      <c r="G457" s="50">
        <v>14</v>
      </c>
      <c r="H457" s="130" t="str">
        <f t="shared" si="86"/>
        <v>神器图纸1/首饰碎片4/烈焰玄铁4/火龙币37</v>
      </c>
    </row>
    <row r="458" spans="1:8" ht="15.75" x14ac:dyDescent="0.3">
      <c r="A458" s="50" t="s">
        <v>3169</v>
      </c>
      <c r="B458" s="50" t="s">
        <v>3214</v>
      </c>
      <c r="C458" s="51" t="s">
        <v>3216</v>
      </c>
      <c r="D458" s="50">
        <v>3</v>
      </c>
      <c r="E458" s="128"/>
      <c r="F458" s="50"/>
      <c r="G458" s="50">
        <v>21</v>
      </c>
      <c r="H458" s="130" t="str">
        <f t="shared" si="86"/>
        <v>神器图纸2/首饰碎片4/烈焰玄铁4/火龙币39</v>
      </c>
    </row>
    <row r="459" spans="1:8" ht="15.75" x14ac:dyDescent="0.3">
      <c r="A459" s="50" t="s">
        <v>3169</v>
      </c>
      <c r="B459" s="50" t="s">
        <v>3214</v>
      </c>
      <c r="C459" s="51" t="s">
        <v>3216</v>
      </c>
      <c r="D459" s="50">
        <v>4</v>
      </c>
      <c r="E459" s="128"/>
      <c r="F459" s="50"/>
      <c r="G459" s="50">
        <v>28</v>
      </c>
      <c r="H459" s="130" t="str">
        <f t="shared" si="86"/>
        <v>神器图纸2/首饰碎片4/烈焰玄铁4/火龙币41</v>
      </c>
    </row>
    <row r="460" spans="1:8" ht="15.75" x14ac:dyDescent="0.3">
      <c r="A460" s="50" t="s">
        <v>3169</v>
      </c>
      <c r="B460" s="50" t="s">
        <v>3214</v>
      </c>
      <c r="C460" s="51" t="s">
        <v>3216</v>
      </c>
      <c r="D460" s="50">
        <v>5</v>
      </c>
      <c r="E460" s="128"/>
      <c r="F460" s="50"/>
      <c r="G460" s="50">
        <v>35</v>
      </c>
      <c r="H460" s="130" t="str">
        <f t="shared" si="86"/>
        <v>神器图纸2/首饰碎片4/烈焰玄铁4/火龙币44</v>
      </c>
    </row>
    <row r="461" spans="1:8" ht="15.75" x14ac:dyDescent="0.3">
      <c r="A461" s="50" t="s">
        <v>3169</v>
      </c>
      <c r="B461" s="50" t="s">
        <v>3214</v>
      </c>
      <c r="C461" s="51" t="s">
        <v>3216</v>
      </c>
      <c r="D461" s="50">
        <v>6</v>
      </c>
      <c r="E461" s="128"/>
      <c r="F461" s="50"/>
      <c r="G461" s="50">
        <v>42</v>
      </c>
      <c r="H461" s="130" t="str">
        <f t="shared" si="86"/>
        <v>神器图纸2/首饰碎片5/烈焰玄铁5/火龙币46</v>
      </c>
    </row>
    <row r="462" spans="1:8" ht="15.75" x14ac:dyDescent="0.3">
      <c r="A462" s="50" t="s">
        <v>3169</v>
      </c>
      <c r="B462" s="50" t="s">
        <v>3214</v>
      </c>
      <c r="C462" s="51" t="s">
        <v>3216</v>
      </c>
      <c r="D462" s="50">
        <v>7</v>
      </c>
      <c r="E462" s="128"/>
      <c r="F462" s="50"/>
      <c r="G462" s="50">
        <v>49</v>
      </c>
      <c r="H462" s="130" t="str">
        <f t="shared" si="86"/>
        <v>神器图纸2/首饰碎片5/烈焰玄铁5/火龙币48</v>
      </c>
    </row>
    <row r="463" spans="1:8" ht="15.75" x14ac:dyDescent="0.3">
      <c r="A463" s="50" t="s">
        <v>3169</v>
      </c>
      <c r="B463" s="50" t="s">
        <v>3214</v>
      </c>
      <c r="C463" s="51" t="s">
        <v>3216</v>
      </c>
      <c r="D463" s="50">
        <v>8</v>
      </c>
      <c r="E463" s="128"/>
      <c r="F463" s="50"/>
      <c r="G463" s="50">
        <v>56</v>
      </c>
      <c r="H463" s="130" t="str">
        <f t="shared" si="86"/>
        <v>神器图纸2/首饰碎片5/烈焰玄铁5/火龙币50</v>
      </c>
    </row>
    <row r="464" spans="1:8" ht="15.75" x14ac:dyDescent="0.3">
      <c r="A464" s="50" t="s">
        <v>3169</v>
      </c>
      <c r="B464" s="50" t="s">
        <v>3214</v>
      </c>
      <c r="C464" s="51" t="s">
        <v>3216</v>
      </c>
      <c r="D464" s="50">
        <v>9</v>
      </c>
      <c r="E464" s="128"/>
      <c r="F464" s="50"/>
      <c r="G464" s="50">
        <v>63</v>
      </c>
      <c r="H464" s="130" t="str">
        <f t="shared" si="86"/>
        <v>神器图纸2/首饰碎片5/烈焰玄铁5/火龙币53</v>
      </c>
    </row>
    <row r="465" spans="1:8" ht="15.75" x14ac:dyDescent="0.3">
      <c r="A465" s="50" t="s">
        <v>3169</v>
      </c>
      <c r="B465" s="50" t="s">
        <v>3214</v>
      </c>
      <c r="C465" s="51" t="s">
        <v>3216</v>
      </c>
      <c r="D465" s="50">
        <v>10</v>
      </c>
      <c r="E465" s="128"/>
      <c r="F465" s="50"/>
      <c r="G465" s="50">
        <v>70</v>
      </c>
      <c r="H465" s="130"/>
    </row>
    <row r="466" spans="1:8" ht="15.75" x14ac:dyDescent="0.3">
      <c r="A466" s="50" t="s">
        <v>3169</v>
      </c>
      <c r="B466" s="50" t="s">
        <v>3214</v>
      </c>
      <c r="C466" s="51" t="s">
        <v>3217</v>
      </c>
      <c r="D466" s="50">
        <v>0</v>
      </c>
      <c r="E466" s="128"/>
      <c r="F466" s="50"/>
      <c r="G466" s="131"/>
      <c r="H466" s="130" t="str">
        <f>"神器图纸"&amp;Z3&amp;"/首饰碎片"&amp;AA3&amp;"/烈焰玄铁"&amp;AB3&amp;"/火龙币"&amp;AC3</f>
        <v>神器图纸1/首饰碎片3/烈焰玄铁3/火龙币32</v>
      </c>
    </row>
    <row r="467" spans="1:8" ht="15.75" x14ac:dyDescent="0.3">
      <c r="A467" s="50" t="s">
        <v>3169</v>
      </c>
      <c r="B467" s="50" t="s">
        <v>3214</v>
      </c>
      <c r="C467" s="51" t="s">
        <v>3217</v>
      </c>
      <c r="D467" s="50">
        <v>1</v>
      </c>
      <c r="E467" s="128"/>
      <c r="F467" s="50"/>
      <c r="G467" s="50">
        <v>8</v>
      </c>
      <c r="H467" s="130" t="str">
        <f t="shared" ref="H467:H475" si="87">"神器图纸"&amp;Z4&amp;"/首饰碎片"&amp;AA4&amp;"/烈焰玄铁"&amp;AB4&amp;"/火龙币"&amp;AC4</f>
        <v>神器图纸1/首饰碎片3/烈焰玄铁3/火龙币35</v>
      </c>
    </row>
    <row r="468" spans="1:8" ht="15.75" x14ac:dyDescent="0.3">
      <c r="A468" s="50" t="s">
        <v>3169</v>
      </c>
      <c r="B468" s="50" t="s">
        <v>3214</v>
      </c>
      <c r="C468" s="51" t="s">
        <v>3217</v>
      </c>
      <c r="D468" s="50">
        <v>2</v>
      </c>
      <c r="E468" s="128"/>
      <c r="F468" s="50"/>
      <c r="G468" s="50">
        <v>16</v>
      </c>
      <c r="H468" s="130" t="str">
        <f t="shared" si="87"/>
        <v>神器图纸1/首饰碎片4/烈焰玄铁4/火龙币37</v>
      </c>
    </row>
    <row r="469" spans="1:8" ht="15.75" x14ac:dyDescent="0.3">
      <c r="A469" s="50" t="s">
        <v>3169</v>
      </c>
      <c r="B469" s="50" t="s">
        <v>3214</v>
      </c>
      <c r="C469" s="51" t="s">
        <v>3217</v>
      </c>
      <c r="D469" s="50">
        <v>3</v>
      </c>
      <c r="E469" s="128"/>
      <c r="F469" s="50"/>
      <c r="G469" s="50">
        <v>24</v>
      </c>
      <c r="H469" s="130" t="str">
        <f t="shared" si="87"/>
        <v>神器图纸2/首饰碎片4/烈焰玄铁4/火龙币39</v>
      </c>
    </row>
    <row r="470" spans="1:8" ht="15.75" x14ac:dyDescent="0.3">
      <c r="A470" s="50" t="s">
        <v>3169</v>
      </c>
      <c r="B470" s="50" t="s">
        <v>3214</v>
      </c>
      <c r="C470" s="51" t="s">
        <v>3217</v>
      </c>
      <c r="D470" s="50">
        <v>4</v>
      </c>
      <c r="E470" s="128"/>
      <c r="F470" s="50"/>
      <c r="G470" s="50">
        <v>32</v>
      </c>
      <c r="H470" s="130" t="str">
        <f t="shared" si="87"/>
        <v>神器图纸2/首饰碎片4/烈焰玄铁4/火龙币41</v>
      </c>
    </row>
    <row r="471" spans="1:8" ht="15.75" x14ac:dyDescent="0.3">
      <c r="A471" s="50" t="s">
        <v>3169</v>
      </c>
      <c r="B471" s="50" t="s">
        <v>3214</v>
      </c>
      <c r="C471" s="51" t="s">
        <v>3217</v>
      </c>
      <c r="D471" s="50">
        <v>5</v>
      </c>
      <c r="E471" s="128"/>
      <c r="F471" s="50"/>
      <c r="G471" s="50">
        <v>40</v>
      </c>
      <c r="H471" s="130" t="str">
        <f t="shared" si="87"/>
        <v>神器图纸2/首饰碎片4/烈焰玄铁4/火龙币44</v>
      </c>
    </row>
    <row r="472" spans="1:8" ht="15.75" x14ac:dyDescent="0.3">
      <c r="A472" s="50" t="s">
        <v>3169</v>
      </c>
      <c r="B472" s="50" t="s">
        <v>3214</v>
      </c>
      <c r="C472" s="51" t="s">
        <v>3217</v>
      </c>
      <c r="D472" s="50">
        <v>6</v>
      </c>
      <c r="E472" s="128"/>
      <c r="F472" s="50"/>
      <c r="G472" s="50">
        <v>48</v>
      </c>
      <c r="H472" s="130" t="str">
        <f t="shared" si="87"/>
        <v>神器图纸2/首饰碎片5/烈焰玄铁5/火龙币46</v>
      </c>
    </row>
    <row r="473" spans="1:8" ht="15.75" x14ac:dyDescent="0.3">
      <c r="A473" s="50" t="s">
        <v>3169</v>
      </c>
      <c r="B473" s="50" t="s">
        <v>3214</v>
      </c>
      <c r="C473" s="51" t="s">
        <v>3217</v>
      </c>
      <c r="D473" s="50">
        <v>7</v>
      </c>
      <c r="E473" s="128"/>
      <c r="F473" s="50"/>
      <c r="G473" s="50">
        <v>56</v>
      </c>
      <c r="H473" s="130" t="str">
        <f t="shared" si="87"/>
        <v>神器图纸2/首饰碎片5/烈焰玄铁5/火龙币48</v>
      </c>
    </row>
    <row r="474" spans="1:8" ht="15.75" x14ac:dyDescent="0.3">
      <c r="A474" s="50" t="s">
        <v>3169</v>
      </c>
      <c r="B474" s="50" t="s">
        <v>3214</v>
      </c>
      <c r="C474" s="51" t="s">
        <v>3217</v>
      </c>
      <c r="D474" s="50">
        <v>8</v>
      </c>
      <c r="E474" s="128"/>
      <c r="F474" s="50"/>
      <c r="G474" s="50">
        <v>64</v>
      </c>
      <c r="H474" s="130" t="str">
        <f t="shared" si="87"/>
        <v>神器图纸2/首饰碎片5/烈焰玄铁5/火龙币50</v>
      </c>
    </row>
    <row r="475" spans="1:8" ht="15.75" x14ac:dyDescent="0.3">
      <c r="A475" s="50" t="s">
        <v>3169</v>
      </c>
      <c r="B475" s="50" t="s">
        <v>3214</v>
      </c>
      <c r="C475" s="51" t="s">
        <v>3217</v>
      </c>
      <c r="D475" s="50">
        <v>9</v>
      </c>
      <c r="E475" s="128"/>
      <c r="F475" s="50"/>
      <c r="G475" s="50">
        <v>72</v>
      </c>
      <c r="H475" s="130" t="str">
        <f t="shared" si="87"/>
        <v>神器图纸2/首饰碎片5/烈焰玄铁5/火龙币53</v>
      </c>
    </row>
    <row r="476" spans="1:8" ht="15.75" x14ac:dyDescent="0.3">
      <c r="A476" s="50" t="s">
        <v>3169</v>
      </c>
      <c r="B476" s="50" t="s">
        <v>3214</v>
      </c>
      <c r="C476" s="51" t="s">
        <v>3217</v>
      </c>
      <c r="D476" s="50">
        <v>10</v>
      </c>
      <c r="E476" s="128"/>
      <c r="F476" s="50"/>
      <c r="G476" s="50">
        <v>80</v>
      </c>
      <c r="H476" s="130"/>
    </row>
    <row r="477" spans="1:8" ht="15.75" x14ac:dyDescent="0.3">
      <c r="A477" s="50" t="s">
        <v>3169</v>
      </c>
      <c r="B477" s="50" t="s">
        <v>3214</v>
      </c>
      <c r="C477" s="51" t="s">
        <v>3218</v>
      </c>
      <c r="D477" s="50">
        <v>0</v>
      </c>
      <c r="E477" s="128"/>
      <c r="F477" s="50"/>
      <c r="G477" s="131"/>
      <c r="H477" s="130" t="str">
        <f>"神器图纸"&amp;Z3&amp;"/首饰碎片"&amp;AA3&amp;"/烈焰玄铁"&amp;AB3&amp;"/火龙币"&amp;AC3</f>
        <v>神器图纸1/首饰碎片3/烈焰玄铁3/火龙币32</v>
      </c>
    </row>
    <row r="478" spans="1:8" ht="15.75" x14ac:dyDescent="0.3">
      <c r="A478" s="50" t="s">
        <v>3169</v>
      </c>
      <c r="B478" s="50" t="s">
        <v>3214</v>
      </c>
      <c r="C478" s="51" t="s">
        <v>3218</v>
      </c>
      <c r="D478" s="50">
        <v>1</v>
      </c>
      <c r="E478" s="128"/>
      <c r="F478" s="50"/>
      <c r="G478" s="50">
        <v>9</v>
      </c>
      <c r="H478" s="130" t="str">
        <f t="shared" ref="H478:H486" si="88">"神器图纸"&amp;Z4&amp;"/首饰碎片"&amp;AA4&amp;"/烈焰玄铁"&amp;AB4&amp;"/火龙币"&amp;AC4</f>
        <v>神器图纸1/首饰碎片3/烈焰玄铁3/火龙币35</v>
      </c>
    </row>
    <row r="479" spans="1:8" ht="15.75" x14ac:dyDescent="0.3">
      <c r="A479" s="50" t="s">
        <v>3169</v>
      </c>
      <c r="B479" s="50" t="s">
        <v>3214</v>
      </c>
      <c r="C479" s="51" t="s">
        <v>3218</v>
      </c>
      <c r="D479" s="50">
        <v>2</v>
      </c>
      <c r="E479" s="128"/>
      <c r="F479" s="50"/>
      <c r="G479" s="50">
        <v>18</v>
      </c>
      <c r="H479" s="130" t="str">
        <f t="shared" si="88"/>
        <v>神器图纸1/首饰碎片4/烈焰玄铁4/火龙币37</v>
      </c>
    </row>
    <row r="480" spans="1:8" ht="15.75" x14ac:dyDescent="0.3">
      <c r="A480" s="50" t="s">
        <v>3169</v>
      </c>
      <c r="B480" s="50" t="s">
        <v>3214</v>
      </c>
      <c r="C480" s="51" t="s">
        <v>3218</v>
      </c>
      <c r="D480" s="50">
        <v>3</v>
      </c>
      <c r="E480" s="128"/>
      <c r="F480" s="50"/>
      <c r="G480" s="50">
        <v>27</v>
      </c>
      <c r="H480" s="130" t="str">
        <f t="shared" si="88"/>
        <v>神器图纸2/首饰碎片4/烈焰玄铁4/火龙币39</v>
      </c>
    </row>
    <row r="481" spans="1:8" ht="15.75" x14ac:dyDescent="0.3">
      <c r="A481" s="50" t="s">
        <v>3169</v>
      </c>
      <c r="B481" s="50" t="s">
        <v>3214</v>
      </c>
      <c r="C481" s="51" t="s">
        <v>3218</v>
      </c>
      <c r="D481" s="50">
        <v>4</v>
      </c>
      <c r="E481" s="128"/>
      <c r="F481" s="50"/>
      <c r="G481" s="50">
        <v>36</v>
      </c>
      <c r="H481" s="130" t="str">
        <f t="shared" si="88"/>
        <v>神器图纸2/首饰碎片4/烈焰玄铁4/火龙币41</v>
      </c>
    </row>
    <row r="482" spans="1:8" ht="15.75" x14ac:dyDescent="0.3">
      <c r="A482" s="50" t="s">
        <v>3169</v>
      </c>
      <c r="B482" s="50" t="s">
        <v>3214</v>
      </c>
      <c r="C482" s="51" t="s">
        <v>3218</v>
      </c>
      <c r="D482" s="50">
        <v>5</v>
      </c>
      <c r="E482" s="128"/>
      <c r="F482" s="50"/>
      <c r="G482" s="50">
        <v>45</v>
      </c>
      <c r="H482" s="130" t="str">
        <f t="shared" si="88"/>
        <v>神器图纸2/首饰碎片4/烈焰玄铁4/火龙币44</v>
      </c>
    </row>
    <row r="483" spans="1:8" ht="15.75" x14ac:dyDescent="0.3">
      <c r="A483" s="50" t="s">
        <v>3169</v>
      </c>
      <c r="B483" s="50" t="s">
        <v>3214</v>
      </c>
      <c r="C483" s="51" t="s">
        <v>3218</v>
      </c>
      <c r="D483" s="50">
        <v>6</v>
      </c>
      <c r="E483" s="128"/>
      <c r="F483" s="50"/>
      <c r="G483" s="50">
        <v>54</v>
      </c>
      <c r="H483" s="130" t="str">
        <f t="shared" si="88"/>
        <v>神器图纸2/首饰碎片5/烈焰玄铁5/火龙币46</v>
      </c>
    </row>
    <row r="484" spans="1:8" ht="15.75" x14ac:dyDescent="0.3">
      <c r="A484" s="50" t="s">
        <v>3169</v>
      </c>
      <c r="B484" s="50" t="s">
        <v>3214</v>
      </c>
      <c r="C484" s="51" t="s">
        <v>3218</v>
      </c>
      <c r="D484" s="50">
        <v>7</v>
      </c>
      <c r="E484" s="128"/>
      <c r="F484" s="50"/>
      <c r="G484" s="50">
        <v>63</v>
      </c>
      <c r="H484" s="130" t="str">
        <f t="shared" si="88"/>
        <v>神器图纸2/首饰碎片5/烈焰玄铁5/火龙币48</v>
      </c>
    </row>
    <row r="485" spans="1:8" ht="15.75" x14ac:dyDescent="0.3">
      <c r="A485" s="50" t="s">
        <v>3169</v>
      </c>
      <c r="B485" s="50" t="s">
        <v>3214</v>
      </c>
      <c r="C485" s="51" t="s">
        <v>3218</v>
      </c>
      <c r="D485" s="50">
        <v>8</v>
      </c>
      <c r="E485" s="128"/>
      <c r="F485" s="50"/>
      <c r="G485" s="50">
        <v>72</v>
      </c>
      <c r="H485" s="130" t="str">
        <f t="shared" si="88"/>
        <v>神器图纸2/首饰碎片5/烈焰玄铁5/火龙币50</v>
      </c>
    </row>
    <row r="486" spans="1:8" ht="15.75" x14ac:dyDescent="0.3">
      <c r="A486" s="50" t="s">
        <v>3169</v>
      </c>
      <c r="B486" s="50" t="s">
        <v>3214</v>
      </c>
      <c r="C486" s="51" t="s">
        <v>3218</v>
      </c>
      <c r="D486" s="50">
        <v>9</v>
      </c>
      <c r="E486" s="128"/>
      <c r="F486" s="50"/>
      <c r="G486" s="50">
        <v>81</v>
      </c>
      <c r="H486" s="130" t="str">
        <f t="shared" si="88"/>
        <v>神器图纸2/首饰碎片5/烈焰玄铁5/火龙币53</v>
      </c>
    </row>
    <row r="487" spans="1:8" ht="15.75" x14ac:dyDescent="0.3">
      <c r="A487" s="50" t="s">
        <v>3169</v>
      </c>
      <c r="B487" s="50" t="s">
        <v>3214</v>
      </c>
      <c r="C487" s="51" t="s">
        <v>3218</v>
      </c>
      <c r="D487" s="50">
        <v>10</v>
      </c>
      <c r="E487" s="128"/>
      <c r="F487" s="50"/>
      <c r="G487" s="50">
        <v>90</v>
      </c>
      <c r="H487" s="130"/>
    </row>
    <row r="488" spans="1:8" ht="15.75" x14ac:dyDescent="0.3">
      <c r="A488" s="50" t="s">
        <v>3169</v>
      </c>
      <c r="B488" s="50" t="s">
        <v>3214</v>
      </c>
      <c r="C488" s="51" t="s">
        <v>3219</v>
      </c>
      <c r="D488" s="50">
        <v>0</v>
      </c>
      <c r="E488" s="128"/>
      <c r="F488" s="50"/>
      <c r="G488" s="131"/>
      <c r="H488" s="130" t="str">
        <f>"神器图纸"&amp;Z3&amp;"/首饰碎片"&amp;AA3&amp;"/烈焰玄铁"&amp;AB3&amp;"/火龙币"&amp;AC3</f>
        <v>神器图纸1/首饰碎片3/烈焰玄铁3/火龙币32</v>
      </c>
    </row>
    <row r="489" spans="1:8" ht="15.75" x14ac:dyDescent="0.3">
      <c r="A489" s="50" t="s">
        <v>3169</v>
      </c>
      <c r="B489" s="50" t="s">
        <v>3214</v>
      </c>
      <c r="C489" s="51" t="s">
        <v>3219</v>
      </c>
      <c r="D489" s="50">
        <v>1</v>
      </c>
      <c r="E489" s="128"/>
      <c r="F489" s="50"/>
      <c r="G489" s="50">
        <v>10</v>
      </c>
      <c r="H489" s="130" t="str">
        <f t="shared" ref="H489:H497" si="89">"神器图纸"&amp;Z4&amp;"/首饰碎片"&amp;AA4&amp;"/烈焰玄铁"&amp;AB4&amp;"/火龙币"&amp;AC4</f>
        <v>神器图纸1/首饰碎片3/烈焰玄铁3/火龙币35</v>
      </c>
    </row>
    <row r="490" spans="1:8" ht="15.75" x14ac:dyDescent="0.3">
      <c r="A490" s="50" t="s">
        <v>3169</v>
      </c>
      <c r="B490" s="50" t="s">
        <v>3214</v>
      </c>
      <c r="C490" s="51" t="s">
        <v>3219</v>
      </c>
      <c r="D490" s="50">
        <v>2</v>
      </c>
      <c r="E490" s="128"/>
      <c r="F490" s="50"/>
      <c r="G490" s="50">
        <v>20</v>
      </c>
      <c r="H490" s="130" t="str">
        <f t="shared" si="89"/>
        <v>神器图纸1/首饰碎片4/烈焰玄铁4/火龙币37</v>
      </c>
    </row>
    <row r="491" spans="1:8" ht="15.75" x14ac:dyDescent="0.3">
      <c r="A491" s="50" t="s">
        <v>3169</v>
      </c>
      <c r="B491" s="50" t="s">
        <v>3214</v>
      </c>
      <c r="C491" s="51" t="s">
        <v>3219</v>
      </c>
      <c r="D491" s="50">
        <v>3</v>
      </c>
      <c r="E491" s="128"/>
      <c r="F491" s="50"/>
      <c r="G491" s="50">
        <v>30</v>
      </c>
      <c r="H491" s="130" t="str">
        <f t="shared" si="89"/>
        <v>神器图纸2/首饰碎片4/烈焰玄铁4/火龙币39</v>
      </c>
    </row>
    <row r="492" spans="1:8" ht="15.75" x14ac:dyDescent="0.3">
      <c r="A492" s="50" t="s">
        <v>3169</v>
      </c>
      <c r="B492" s="50" t="s">
        <v>3214</v>
      </c>
      <c r="C492" s="51" t="s">
        <v>3219</v>
      </c>
      <c r="D492" s="50">
        <v>4</v>
      </c>
      <c r="E492" s="128"/>
      <c r="F492" s="50"/>
      <c r="G492" s="50">
        <v>40</v>
      </c>
      <c r="H492" s="130" t="str">
        <f t="shared" si="89"/>
        <v>神器图纸2/首饰碎片4/烈焰玄铁4/火龙币41</v>
      </c>
    </row>
    <row r="493" spans="1:8" ht="15.75" x14ac:dyDescent="0.3">
      <c r="A493" s="50" t="s">
        <v>3169</v>
      </c>
      <c r="B493" s="50" t="s">
        <v>3214</v>
      </c>
      <c r="C493" s="51" t="s">
        <v>3219</v>
      </c>
      <c r="D493" s="50">
        <v>5</v>
      </c>
      <c r="E493" s="128"/>
      <c r="F493" s="50"/>
      <c r="G493" s="50">
        <v>50</v>
      </c>
      <c r="H493" s="130" t="str">
        <f t="shared" si="89"/>
        <v>神器图纸2/首饰碎片4/烈焰玄铁4/火龙币44</v>
      </c>
    </row>
    <row r="494" spans="1:8" ht="15.75" x14ac:dyDescent="0.3">
      <c r="A494" s="50" t="s">
        <v>3169</v>
      </c>
      <c r="B494" s="50" t="s">
        <v>3214</v>
      </c>
      <c r="C494" s="51" t="s">
        <v>3219</v>
      </c>
      <c r="D494" s="50">
        <v>6</v>
      </c>
      <c r="E494" s="128"/>
      <c r="F494" s="50"/>
      <c r="G494" s="50">
        <v>60</v>
      </c>
      <c r="H494" s="130" t="str">
        <f t="shared" si="89"/>
        <v>神器图纸2/首饰碎片5/烈焰玄铁5/火龙币46</v>
      </c>
    </row>
    <row r="495" spans="1:8" ht="15.75" x14ac:dyDescent="0.3">
      <c r="A495" s="50" t="s">
        <v>3169</v>
      </c>
      <c r="B495" s="50" t="s">
        <v>3214</v>
      </c>
      <c r="C495" s="51" t="s">
        <v>3219</v>
      </c>
      <c r="D495" s="50">
        <v>7</v>
      </c>
      <c r="E495" s="128"/>
      <c r="F495" s="50"/>
      <c r="G495" s="50">
        <v>70</v>
      </c>
      <c r="H495" s="130" t="str">
        <f t="shared" si="89"/>
        <v>神器图纸2/首饰碎片5/烈焰玄铁5/火龙币48</v>
      </c>
    </row>
    <row r="496" spans="1:8" ht="15.75" x14ac:dyDescent="0.3">
      <c r="A496" s="50" t="s">
        <v>3169</v>
      </c>
      <c r="B496" s="50" t="s">
        <v>3214</v>
      </c>
      <c r="C496" s="51" t="s">
        <v>3219</v>
      </c>
      <c r="D496" s="50">
        <v>8</v>
      </c>
      <c r="E496" s="128"/>
      <c r="F496" s="50"/>
      <c r="G496" s="50">
        <v>80</v>
      </c>
      <c r="H496" s="130" t="str">
        <f t="shared" si="89"/>
        <v>神器图纸2/首饰碎片5/烈焰玄铁5/火龙币50</v>
      </c>
    </row>
    <row r="497" spans="1:8" ht="15.75" x14ac:dyDescent="0.3">
      <c r="A497" s="50" t="s">
        <v>3169</v>
      </c>
      <c r="B497" s="50" t="s">
        <v>3214</v>
      </c>
      <c r="C497" s="51" t="s">
        <v>3219</v>
      </c>
      <c r="D497" s="50">
        <v>9</v>
      </c>
      <c r="E497" s="128"/>
      <c r="F497" s="50"/>
      <c r="G497" s="50">
        <v>90</v>
      </c>
      <c r="H497" s="130" t="str">
        <f t="shared" si="89"/>
        <v>神器图纸2/首饰碎片5/烈焰玄铁5/火龙币53</v>
      </c>
    </row>
    <row r="498" spans="1:8" ht="15.75" x14ac:dyDescent="0.3">
      <c r="A498" s="50" t="s">
        <v>3169</v>
      </c>
      <c r="B498" s="50" t="s">
        <v>3214</v>
      </c>
      <c r="C498" s="51" t="s">
        <v>3219</v>
      </c>
      <c r="D498" s="50">
        <v>10</v>
      </c>
      <c r="E498" s="128"/>
      <c r="F498" s="50"/>
      <c r="G498" s="50">
        <v>100</v>
      </c>
      <c r="H498" s="130"/>
    </row>
    <row r="499" spans="1:8" ht="15.75" x14ac:dyDescent="0.3">
      <c r="A499" s="50" t="s">
        <v>3169</v>
      </c>
      <c r="B499" s="50" t="s">
        <v>3214</v>
      </c>
      <c r="C499" s="51" t="s">
        <v>3220</v>
      </c>
      <c r="D499" s="50">
        <v>0</v>
      </c>
      <c r="E499" s="128"/>
      <c r="F499" s="50"/>
      <c r="G499" s="131"/>
      <c r="H499" s="130" t="str">
        <f>"神器图纸"&amp;Z3&amp;"/首饰碎片"&amp;AA3&amp;"/烈焰玄铁"&amp;AB3&amp;"/火龙币"&amp;AC3</f>
        <v>神器图纸1/首饰碎片3/烈焰玄铁3/火龙币32</v>
      </c>
    </row>
    <row r="500" spans="1:8" ht="15.75" x14ac:dyDescent="0.3">
      <c r="A500" s="50" t="s">
        <v>3169</v>
      </c>
      <c r="B500" s="50" t="s">
        <v>3214</v>
      </c>
      <c r="C500" s="51" t="s">
        <v>3220</v>
      </c>
      <c r="D500" s="50">
        <v>1</v>
      </c>
      <c r="E500" s="128"/>
      <c r="F500" s="50"/>
      <c r="G500" s="50">
        <v>11</v>
      </c>
      <c r="H500" s="130" t="str">
        <f t="shared" ref="H500:H508" si="90">"神器图纸"&amp;Z4&amp;"/首饰碎片"&amp;AA4&amp;"/烈焰玄铁"&amp;AB4&amp;"/火龙币"&amp;AC4</f>
        <v>神器图纸1/首饰碎片3/烈焰玄铁3/火龙币35</v>
      </c>
    </row>
    <row r="501" spans="1:8" ht="15.75" x14ac:dyDescent="0.3">
      <c r="A501" s="50" t="s">
        <v>3169</v>
      </c>
      <c r="B501" s="50" t="s">
        <v>3214</v>
      </c>
      <c r="C501" s="51" t="s">
        <v>3220</v>
      </c>
      <c r="D501" s="50">
        <v>2</v>
      </c>
      <c r="E501" s="128"/>
      <c r="F501" s="50"/>
      <c r="G501" s="50">
        <v>22</v>
      </c>
      <c r="H501" s="130" t="str">
        <f t="shared" si="90"/>
        <v>神器图纸1/首饰碎片4/烈焰玄铁4/火龙币37</v>
      </c>
    </row>
    <row r="502" spans="1:8" ht="15.75" x14ac:dyDescent="0.3">
      <c r="A502" s="50" t="s">
        <v>3169</v>
      </c>
      <c r="B502" s="50" t="s">
        <v>3214</v>
      </c>
      <c r="C502" s="51" t="s">
        <v>3220</v>
      </c>
      <c r="D502" s="50">
        <v>3</v>
      </c>
      <c r="E502" s="128"/>
      <c r="F502" s="50"/>
      <c r="G502" s="50">
        <v>33</v>
      </c>
      <c r="H502" s="130" t="str">
        <f t="shared" si="90"/>
        <v>神器图纸2/首饰碎片4/烈焰玄铁4/火龙币39</v>
      </c>
    </row>
    <row r="503" spans="1:8" ht="15.75" x14ac:dyDescent="0.3">
      <c r="A503" s="50" t="s">
        <v>3169</v>
      </c>
      <c r="B503" s="50" t="s">
        <v>3214</v>
      </c>
      <c r="C503" s="51" t="s">
        <v>3220</v>
      </c>
      <c r="D503" s="50">
        <v>4</v>
      </c>
      <c r="E503" s="128"/>
      <c r="F503" s="50"/>
      <c r="G503" s="50">
        <v>44</v>
      </c>
      <c r="H503" s="130" t="str">
        <f t="shared" si="90"/>
        <v>神器图纸2/首饰碎片4/烈焰玄铁4/火龙币41</v>
      </c>
    </row>
    <row r="504" spans="1:8" ht="15.75" x14ac:dyDescent="0.3">
      <c r="A504" s="50" t="s">
        <v>3169</v>
      </c>
      <c r="B504" s="50" t="s">
        <v>3214</v>
      </c>
      <c r="C504" s="51" t="s">
        <v>3220</v>
      </c>
      <c r="D504" s="50">
        <v>5</v>
      </c>
      <c r="E504" s="128"/>
      <c r="F504" s="50"/>
      <c r="G504" s="50">
        <v>55</v>
      </c>
      <c r="H504" s="130" t="str">
        <f t="shared" si="90"/>
        <v>神器图纸2/首饰碎片4/烈焰玄铁4/火龙币44</v>
      </c>
    </row>
    <row r="505" spans="1:8" ht="15.75" x14ac:dyDescent="0.3">
      <c r="A505" s="50" t="s">
        <v>3169</v>
      </c>
      <c r="B505" s="50" t="s">
        <v>3214</v>
      </c>
      <c r="C505" s="51" t="s">
        <v>3220</v>
      </c>
      <c r="D505" s="50">
        <v>6</v>
      </c>
      <c r="E505" s="128"/>
      <c r="F505" s="50"/>
      <c r="G505" s="50">
        <v>66</v>
      </c>
      <c r="H505" s="130" t="str">
        <f t="shared" si="90"/>
        <v>神器图纸2/首饰碎片5/烈焰玄铁5/火龙币46</v>
      </c>
    </row>
    <row r="506" spans="1:8" ht="15.75" x14ac:dyDescent="0.3">
      <c r="A506" s="50" t="s">
        <v>3169</v>
      </c>
      <c r="B506" s="50" t="s">
        <v>3214</v>
      </c>
      <c r="C506" s="51" t="s">
        <v>3220</v>
      </c>
      <c r="D506" s="50">
        <v>7</v>
      </c>
      <c r="E506" s="128"/>
      <c r="F506" s="50"/>
      <c r="G506" s="50">
        <v>77</v>
      </c>
      <c r="H506" s="130" t="str">
        <f t="shared" si="90"/>
        <v>神器图纸2/首饰碎片5/烈焰玄铁5/火龙币48</v>
      </c>
    </row>
    <row r="507" spans="1:8" ht="15.75" x14ac:dyDescent="0.3">
      <c r="A507" s="50" t="s">
        <v>3169</v>
      </c>
      <c r="B507" s="50" t="s">
        <v>3214</v>
      </c>
      <c r="C507" s="51" t="s">
        <v>3220</v>
      </c>
      <c r="D507" s="50">
        <v>8</v>
      </c>
      <c r="E507" s="128"/>
      <c r="F507" s="50"/>
      <c r="G507" s="50">
        <v>88</v>
      </c>
      <c r="H507" s="130" t="str">
        <f t="shared" si="90"/>
        <v>神器图纸2/首饰碎片5/烈焰玄铁5/火龙币50</v>
      </c>
    </row>
    <row r="508" spans="1:8" ht="15.75" x14ac:dyDescent="0.3">
      <c r="A508" s="50" t="s">
        <v>3169</v>
      </c>
      <c r="B508" s="50" t="s">
        <v>3214</v>
      </c>
      <c r="C508" s="51" t="s">
        <v>3220</v>
      </c>
      <c r="D508" s="50">
        <v>9</v>
      </c>
      <c r="E508" s="128"/>
      <c r="F508" s="50"/>
      <c r="G508" s="50">
        <v>99</v>
      </c>
      <c r="H508" s="130" t="str">
        <f t="shared" si="90"/>
        <v>神器图纸2/首饰碎片5/烈焰玄铁5/火龙币53</v>
      </c>
    </row>
    <row r="509" spans="1:8" ht="15.75" x14ac:dyDescent="0.3">
      <c r="A509" s="50" t="s">
        <v>3169</v>
      </c>
      <c r="B509" s="50" t="s">
        <v>3214</v>
      </c>
      <c r="C509" s="51" t="s">
        <v>3220</v>
      </c>
      <c r="D509" s="50">
        <v>10</v>
      </c>
      <c r="E509" s="128"/>
      <c r="F509" s="50"/>
      <c r="G509" s="50">
        <v>110</v>
      </c>
      <c r="H509" s="130"/>
    </row>
    <row r="510" spans="1:8" ht="15.75" x14ac:dyDescent="0.3">
      <c r="A510" s="50" t="s">
        <v>3169</v>
      </c>
      <c r="B510" s="50" t="s">
        <v>3214</v>
      </c>
      <c r="C510" s="51" t="s">
        <v>3221</v>
      </c>
      <c r="D510" s="50">
        <v>0</v>
      </c>
      <c r="E510" s="128"/>
      <c r="F510" s="50"/>
      <c r="G510" s="131"/>
      <c r="H510" s="130" t="str">
        <f>"神器图纸"&amp;Z3&amp;"/首饰碎片"&amp;AA3&amp;"/烈焰玄铁"&amp;AB3&amp;"/火龙币"&amp;AC3</f>
        <v>神器图纸1/首饰碎片3/烈焰玄铁3/火龙币32</v>
      </c>
    </row>
    <row r="511" spans="1:8" ht="15.75" x14ac:dyDescent="0.3">
      <c r="A511" s="50" t="s">
        <v>3169</v>
      </c>
      <c r="B511" s="50" t="s">
        <v>3214</v>
      </c>
      <c r="C511" s="51" t="s">
        <v>3221</v>
      </c>
      <c r="D511" s="50">
        <v>1</v>
      </c>
      <c r="E511" s="128"/>
      <c r="F511" s="50"/>
      <c r="G511" s="50">
        <v>12</v>
      </c>
      <c r="H511" s="130" t="str">
        <f t="shared" ref="H511:H519" si="91">"神器图纸"&amp;Z4&amp;"/首饰碎片"&amp;AA4&amp;"/烈焰玄铁"&amp;AB4&amp;"/火龙币"&amp;AC4</f>
        <v>神器图纸1/首饰碎片3/烈焰玄铁3/火龙币35</v>
      </c>
    </row>
    <row r="512" spans="1:8" ht="15.75" x14ac:dyDescent="0.3">
      <c r="A512" s="50" t="s">
        <v>3169</v>
      </c>
      <c r="B512" s="50" t="s">
        <v>3214</v>
      </c>
      <c r="C512" s="51" t="s">
        <v>3221</v>
      </c>
      <c r="D512" s="50">
        <v>2</v>
      </c>
      <c r="E512" s="128"/>
      <c r="F512" s="50"/>
      <c r="G512" s="50">
        <v>24</v>
      </c>
      <c r="H512" s="130" t="str">
        <f t="shared" si="91"/>
        <v>神器图纸1/首饰碎片4/烈焰玄铁4/火龙币37</v>
      </c>
    </row>
    <row r="513" spans="1:8" ht="15.75" x14ac:dyDescent="0.3">
      <c r="A513" s="50" t="s">
        <v>3169</v>
      </c>
      <c r="B513" s="50" t="s">
        <v>3214</v>
      </c>
      <c r="C513" s="51" t="s">
        <v>3221</v>
      </c>
      <c r="D513" s="50">
        <v>3</v>
      </c>
      <c r="E513" s="128"/>
      <c r="F513" s="50"/>
      <c r="G513" s="50">
        <v>36</v>
      </c>
      <c r="H513" s="130" t="str">
        <f t="shared" si="91"/>
        <v>神器图纸2/首饰碎片4/烈焰玄铁4/火龙币39</v>
      </c>
    </row>
    <row r="514" spans="1:8" ht="15.75" x14ac:dyDescent="0.3">
      <c r="A514" s="50" t="s">
        <v>3169</v>
      </c>
      <c r="B514" s="50" t="s">
        <v>3214</v>
      </c>
      <c r="C514" s="51" t="s">
        <v>3221</v>
      </c>
      <c r="D514" s="50">
        <v>4</v>
      </c>
      <c r="E514" s="128"/>
      <c r="F514" s="50"/>
      <c r="G514" s="50">
        <v>48</v>
      </c>
      <c r="H514" s="130" t="str">
        <f t="shared" si="91"/>
        <v>神器图纸2/首饰碎片4/烈焰玄铁4/火龙币41</v>
      </c>
    </row>
    <row r="515" spans="1:8" ht="15.75" x14ac:dyDescent="0.3">
      <c r="A515" s="50" t="s">
        <v>3169</v>
      </c>
      <c r="B515" s="50" t="s">
        <v>3214</v>
      </c>
      <c r="C515" s="51" t="s">
        <v>3221</v>
      </c>
      <c r="D515" s="50">
        <v>5</v>
      </c>
      <c r="E515" s="128"/>
      <c r="F515" s="50"/>
      <c r="G515" s="50">
        <v>60</v>
      </c>
      <c r="H515" s="130" t="str">
        <f t="shared" si="91"/>
        <v>神器图纸2/首饰碎片4/烈焰玄铁4/火龙币44</v>
      </c>
    </row>
    <row r="516" spans="1:8" ht="15.75" x14ac:dyDescent="0.3">
      <c r="A516" s="50" t="s">
        <v>3169</v>
      </c>
      <c r="B516" s="50" t="s">
        <v>3214</v>
      </c>
      <c r="C516" s="51" t="s">
        <v>3221</v>
      </c>
      <c r="D516" s="50">
        <v>6</v>
      </c>
      <c r="E516" s="128"/>
      <c r="F516" s="50"/>
      <c r="G516" s="50">
        <v>72</v>
      </c>
      <c r="H516" s="130" t="str">
        <f t="shared" si="91"/>
        <v>神器图纸2/首饰碎片5/烈焰玄铁5/火龙币46</v>
      </c>
    </row>
    <row r="517" spans="1:8" ht="15.75" x14ac:dyDescent="0.3">
      <c r="A517" s="50" t="s">
        <v>3169</v>
      </c>
      <c r="B517" s="50" t="s">
        <v>3214</v>
      </c>
      <c r="C517" s="51" t="s">
        <v>3221</v>
      </c>
      <c r="D517" s="50">
        <v>7</v>
      </c>
      <c r="E517" s="128"/>
      <c r="F517" s="50"/>
      <c r="G517" s="50">
        <v>84</v>
      </c>
      <c r="H517" s="130" t="str">
        <f t="shared" si="91"/>
        <v>神器图纸2/首饰碎片5/烈焰玄铁5/火龙币48</v>
      </c>
    </row>
    <row r="518" spans="1:8" ht="15.75" x14ac:dyDescent="0.3">
      <c r="A518" s="50" t="s">
        <v>3169</v>
      </c>
      <c r="B518" s="50" t="s">
        <v>3214</v>
      </c>
      <c r="C518" s="51" t="s">
        <v>3221</v>
      </c>
      <c r="D518" s="50">
        <v>8</v>
      </c>
      <c r="E518" s="128"/>
      <c r="F518" s="50"/>
      <c r="G518" s="50">
        <v>96</v>
      </c>
      <c r="H518" s="130" t="str">
        <f t="shared" si="91"/>
        <v>神器图纸2/首饰碎片5/烈焰玄铁5/火龙币50</v>
      </c>
    </row>
    <row r="519" spans="1:8" ht="15.75" x14ac:dyDescent="0.3">
      <c r="A519" s="50" t="s">
        <v>3169</v>
      </c>
      <c r="B519" s="50" t="s">
        <v>3214</v>
      </c>
      <c r="C519" s="51" t="s">
        <v>3221</v>
      </c>
      <c r="D519" s="50">
        <v>9</v>
      </c>
      <c r="E519" s="128"/>
      <c r="F519" s="50"/>
      <c r="G519" s="50">
        <v>108</v>
      </c>
      <c r="H519" s="130" t="str">
        <f t="shared" si="91"/>
        <v>神器图纸2/首饰碎片5/烈焰玄铁5/火龙币53</v>
      </c>
    </row>
    <row r="520" spans="1:8" ht="15.75" x14ac:dyDescent="0.3">
      <c r="A520" s="50" t="s">
        <v>3169</v>
      </c>
      <c r="B520" s="50" t="s">
        <v>3214</v>
      </c>
      <c r="C520" s="51" t="s">
        <v>3221</v>
      </c>
      <c r="D520" s="50">
        <v>10</v>
      </c>
      <c r="E520" s="128"/>
      <c r="F520" s="50"/>
      <c r="G520" s="50">
        <v>120</v>
      </c>
      <c r="H520" s="130"/>
    </row>
    <row r="521" spans="1:8" ht="15.75" x14ac:dyDescent="0.3">
      <c r="A521" s="50" t="s">
        <v>3169</v>
      </c>
      <c r="B521" s="50" t="s">
        <v>3214</v>
      </c>
      <c r="C521" s="51" t="s">
        <v>3222</v>
      </c>
      <c r="D521" s="50">
        <v>0</v>
      </c>
      <c r="E521" s="128"/>
      <c r="F521" s="50"/>
      <c r="G521" s="131"/>
      <c r="H521" s="130" t="str">
        <f>"神器图纸"&amp;Z3&amp;"/首饰碎片"&amp;AA3&amp;"/烈焰玄铁"&amp;AB3&amp;"/火龙币"&amp;AC3</f>
        <v>神器图纸1/首饰碎片3/烈焰玄铁3/火龙币32</v>
      </c>
    </row>
    <row r="522" spans="1:8" ht="15.75" x14ac:dyDescent="0.3">
      <c r="A522" s="50" t="s">
        <v>3169</v>
      </c>
      <c r="B522" s="50" t="s">
        <v>3214</v>
      </c>
      <c r="C522" s="51" t="s">
        <v>3222</v>
      </c>
      <c r="D522" s="50">
        <v>1</v>
      </c>
      <c r="E522" s="128"/>
      <c r="F522" s="50"/>
      <c r="G522" s="50">
        <v>13</v>
      </c>
      <c r="H522" s="130" t="str">
        <f t="shared" ref="H522:H530" si="92">"神器图纸"&amp;Z4&amp;"/首饰碎片"&amp;AA4&amp;"/烈焰玄铁"&amp;AB4&amp;"/火龙币"&amp;AC4</f>
        <v>神器图纸1/首饰碎片3/烈焰玄铁3/火龙币35</v>
      </c>
    </row>
    <row r="523" spans="1:8" ht="15.75" x14ac:dyDescent="0.3">
      <c r="A523" s="50" t="s">
        <v>3169</v>
      </c>
      <c r="B523" s="50" t="s">
        <v>3214</v>
      </c>
      <c r="C523" s="51" t="s">
        <v>3222</v>
      </c>
      <c r="D523" s="50">
        <v>2</v>
      </c>
      <c r="E523" s="128"/>
      <c r="F523" s="50"/>
      <c r="G523" s="50">
        <v>26</v>
      </c>
      <c r="H523" s="130" t="str">
        <f t="shared" si="92"/>
        <v>神器图纸1/首饰碎片4/烈焰玄铁4/火龙币37</v>
      </c>
    </row>
    <row r="524" spans="1:8" ht="15.75" x14ac:dyDescent="0.3">
      <c r="A524" s="50" t="s">
        <v>3169</v>
      </c>
      <c r="B524" s="50" t="s">
        <v>3214</v>
      </c>
      <c r="C524" s="51" t="s">
        <v>3222</v>
      </c>
      <c r="D524" s="50">
        <v>3</v>
      </c>
      <c r="E524" s="128"/>
      <c r="F524" s="50"/>
      <c r="G524" s="50">
        <v>39</v>
      </c>
      <c r="H524" s="130" t="str">
        <f t="shared" si="92"/>
        <v>神器图纸2/首饰碎片4/烈焰玄铁4/火龙币39</v>
      </c>
    </row>
    <row r="525" spans="1:8" ht="15.75" x14ac:dyDescent="0.3">
      <c r="A525" s="50" t="s">
        <v>3169</v>
      </c>
      <c r="B525" s="50" t="s">
        <v>3214</v>
      </c>
      <c r="C525" s="51" t="s">
        <v>3222</v>
      </c>
      <c r="D525" s="50">
        <v>4</v>
      </c>
      <c r="E525" s="128"/>
      <c r="F525" s="50"/>
      <c r="G525" s="50">
        <v>52</v>
      </c>
      <c r="H525" s="130" t="str">
        <f t="shared" si="92"/>
        <v>神器图纸2/首饰碎片4/烈焰玄铁4/火龙币41</v>
      </c>
    </row>
    <row r="526" spans="1:8" ht="15.75" x14ac:dyDescent="0.3">
      <c r="A526" s="50" t="s">
        <v>3169</v>
      </c>
      <c r="B526" s="50" t="s">
        <v>3214</v>
      </c>
      <c r="C526" s="51" t="s">
        <v>3222</v>
      </c>
      <c r="D526" s="50">
        <v>5</v>
      </c>
      <c r="E526" s="128"/>
      <c r="F526" s="50"/>
      <c r="G526" s="50">
        <v>65</v>
      </c>
      <c r="H526" s="130" t="str">
        <f t="shared" si="92"/>
        <v>神器图纸2/首饰碎片4/烈焰玄铁4/火龙币44</v>
      </c>
    </row>
    <row r="527" spans="1:8" ht="15.75" x14ac:dyDescent="0.3">
      <c r="A527" s="50" t="s">
        <v>3169</v>
      </c>
      <c r="B527" s="50" t="s">
        <v>3214</v>
      </c>
      <c r="C527" s="51" t="s">
        <v>3222</v>
      </c>
      <c r="D527" s="50">
        <v>6</v>
      </c>
      <c r="E527" s="128"/>
      <c r="F527" s="50"/>
      <c r="G527" s="50">
        <v>78</v>
      </c>
      <c r="H527" s="130" t="str">
        <f t="shared" si="92"/>
        <v>神器图纸2/首饰碎片5/烈焰玄铁5/火龙币46</v>
      </c>
    </row>
    <row r="528" spans="1:8" ht="15.75" x14ac:dyDescent="0.3">
      <c r="A528" s="50" t="s">
        <v>3169</v>
      </c>
      <c r="B528" s="50" t="s">
        <v>3214</v>
      </c>
      <c r="C528" s="51" t="s">
        <v>3222</v>
      </c>
      <c r="D528" s="50">
        <v>7</v>
      </c>
      <c r="E528" s="128"/>
      <c r="F528" s="50"/>
      <c r="G528" s="50">
        <v>91</v>
      </c>
      <c r="H528" s="130" t="str">
        <f t="shared" si="92"/>
        <v>神器图纸2/首饰碎片5/烈焰玄铁5/火龙币48</v>
      </c>
    </row>
    <row r="529" spans="1:8" ht="15.75" x14ac:dyDescent="0.3">
      <c r="A529" s="50" t="s">
        <v>3169</v>
      </c>
      <c r="B529" s="50" t="s">
        <v>3214</v>
      </c>
      <c r="C529" s="51" t="s">
        <v>3222</v>
      </c>
      <c r="D529" s="50">
        <v>8</v>
      </c>
      <c r="E529" s="128"/>
      <c r="F529" s="50"/>
      <c r="G529" s="50">
        <v>104</v>
      </c>
      <c r="H529" s="130" t="str">
        <f t="shared" si="92"/>
        <v>神器图纸2/首饰碎片5/烈焰玄铁5/火龙币50</v>
      </c>
    </row>
    <row r="530" spans="1:8" ht="15.75" x14ac:dyDescent="0.3">
      <c r="A530" s="50" t="s">
        <v>3169</v>
      </c>
      <c r="B530" s="50" t="s">
        <v>3214</v>
      </c>
      <c r="C530" s="51" t="s">
        <v>3222</v>
      </c>
      <c r="D530" s="50">
        <v>9</v>
      </c>
      <c r="E530" s="128"/>
      <c r="F530" s="50"/>
      <c r="G530" s="50">
        <v>117</v>
      </c>
      <c r="H530" s="130" t="str">
        <f t="shared" si="92"/>
        <v>神器图纸2/首饰碎片5/烈焰玄铁5/火龙币53</v>
      </c>
    </row>
    <row r="531" spans="1:8" ht="15.75" x14ac:dyDescent="0.3">
      <c r="A531" s="50" t="s">
        <v>3169</v>
      </c>
      <c r="B531" s="50" t="s">
        <v>3214</v>
      </c>
      <c r="C531" s="51" t="s">
        <v>3222</v>
      </c>
      <c r="D531" s="50">
        <v>10</v>
      </c>
      <c r="E531" s="128"/>
      <c r="F531" s="50"/>
      <c r="G531" s="50">
        <v>130</v>
      </c>
      <c r="H531" s="130"/>
    </row>
    <row r="532" spans="1:8" ht="15.75" x14ac:dyDescent="0.3">
      <c r="A532" s="50" t="s">
        <v>3169</v>
      </c>
      <c r="B532" s="50" t="s">
        <v>3214</v>
      </c>
      <c r="C532" s="51" t="s">
        <v>3223</v>
      </c>
      <c r="D532" s="50">
        <v>0</v>
      </c>
      <c r="E532" s="128"/>
      <c r="F532" s="50"/>
      <c r="G532" s="131"/>
      <c r="H532" s="130" t="str">
        <f>"神器图纸"&amp;Z3&amp;"/首饰碎片"&amp;AA3&amp;"/烈焰玄铁"&amp;AB3&amp;"/火龙币"&amp;AC3</f>
        <v>神器图纸1/首饰碎片3/烈焰玄铁3/火龙币32</v>
      </c>
    </row>
    <row r="533" spans="1:8" ht="15.75" x14ac:dyDescent="0.3">
      <c r="A533" s="50" t="s">
        <v>3169</v>
      </c>
      <c r="B533" s="50" t="s">
        <v>3214</v>
      </c>
      <c r="C533" s="51" t="s">
        <v>3223</v>
      </c>
      <c r="D533" s="50">
        <v>1</v>
      </c>
      <c r="E533" s="128"/>
      <c r="F533" s="50"/>
      <c r="G533" s="50">
        <v>14</v>
      </c>
      <c r="H533" s="130" t="str">
        <f t="shared" ref="H533:H541" si="93">"神器图纸"&amp;Z4&amp;"/首饰碎片"&amp;AA4&amp;"/烈焰玄铁"&amp;AB4&amp;"/火龙币"&amp;AC4</f>
        <v>神器图纸1/首饰碎片3/烈焰玄铁3/火龙币35</v>
      </c>
    </row>
    <row r="534" spans="1:8" ht="15.75" x14ac:dyDescent="0.3">
      <c r="A534" s="50" t="s">
        <v>3169</v>
      </c>
      <c r="B534" s="50" t="s">
        <v>3214</v>
      </c>
      <c r="C534" s="51" t="s">
        <v>3223</v>
      </c>
      <c r="D534" s="50">
        <v>2</v>
      </c>
      <c r="E534" s="128"/>
      <c r="F534" s="50"/>
      <c r="G534" s="50">
        <v>28</v>
      </c>
      <c r="H534" s="130" t="str">
        <f t="shared" si="93"/>
        <v>神器图纸1/首饰碎片4/烈焰玄铁4/火龙币37</v>
      </c>
    </row>
    <row r="535" spans="1:8" ht="15.75" x14ac:dyDescent="0.3">
      <c r="A535" s="50" t="s">
        <v>3169</v>
      </c>
      <c r="B535" s="50" t="s">
        <v>3214</v>
      </c>
      <c r="C535" s="51" t="s">
        <v>3223</v>
      </c>
      <c r="D535" s="50">
        <v>3</v>
      </c>
      <c r="E535" s="128"/>
      <c r="F535" s="50"/>
      <c r="G535" s="50">
        <v>42</v>
      </c>
      <c r="H535" s="130" t="str">
        <f t="shared" si="93"/>
        <v>神器图纸2/首饰碎片4/烈焰玄铁4/火龙币39</v>
      </c>
    </row>
    <row r="536" spans="1:8" ht="15.75" x14ac:dyDescent="0.3">
      <c r="A536" s="50" t="s">
        <v>3169</v>
      </c>
      <c r="B536" s="50" t="s">
        <v>3214</v>
      </c>
      <c r="C536" s="51" t="s">
        <v>3223</v>
      </c>
      <c r="D536" s="50">
        <v>4</v>
      </c>
      <c r="E536" s="128"/>
      <c r="F536" s="50"/>
      <c r="G536" s="50">
        <v>56</v>
      </c>
      <c r="H536" s="130" t="str">
        <f t="shared" si="93"/>
        <v>神器图纸2/首饰碎片4/烈焰玄铁4/火龙币41</v>
      </c>
    </row>
    <row r="537" spans="1:8" ht="15.75" x14ac:dyDescent="0.3">
      <c r="A537" s="50" t="s">
        <v>3169</v>
      </c>
      <c r="B537" s="50" t="s">
        <v>3214</v>
      </c>
      <c r="C537" s="51" t="s">
        <v>3223</v>
      </c>
      <c r="D537" s="50">
        <v>5</v>
      </c>
      <c r="E537" s="128"/>
      <c r="F537" s="50"/>
      <c r="G537" s="50">
        <v>70</v>
      </c>
      <c r="H537" s="130" t="str">
        <f t="shared" si="93"/>
        <v>神器图纸2/首饰碎片4/烈焰玄铁4/火龙币44</v>
      </c>
    </row>
    <row r="538" spans="1:8" ht="15.75" x14ac:dyDescent="0.3">
      <c r="A538" s="50" t="s">
        <v>3169</v>
      </c>
      <c r="B538" s="50" t="s">
        <v>3214</v>
      </c>
      <c r="C538" s="51" t="s">
        <v>3223</v>
      </c>
      <c r="D538" s="50">
        <v>6</v>
      </c>
      <c r="E538" s="128"/>
      <c r="F538" s="50"/>
      <c r="G538" s="50">
        <v>84</v>
      </c>
      <c r="H538" s="130" t="str">
        <f t="shared" si="93"/>
        <v>神器图纸2/首饰碎片5/烈焰玄铁5/火龙币46</v>
      </c>
    </row>
    <row r="539" spans="1:8" ht="15.75" x14ac:dyDescent="0.3">
      <c r="A539" s="50" t="s">
        <v>3169</v>
      </c>
      <c r="B539" s="50" t="s">
        <v>3214</v>
      </c>
      <c r="C539" s="51" t="s">
        <v>3223</v>
      </c>
      <c r="D539" s="50">
        <v>7</v>
      </c>
      <c r="E539" s="128"/>
      <c r="F539" s="50"/>
      <c r="G539" s="50">
        <v>98</v>
      </c>
      <c r="H539" s="130" t="str">
        <f t="shared" si="93"/>
        <v>神器图纸2/首饰碎片5/烈焰玄铁5/火龙币48</v>
      </c>
    </row>
    <row r="540" spans="1:8" ht="15.75" x14ac:dyDescent="0.3">
      <c r="A540" s="50" t="s">
        <v>3169</v>
      </c>
      <c r="B540" s="50" t="s">
        <v>3214</v>
      </c>
      <c r="C540" s="51" t="s">
        <v>3223</v>
      </c>
      <c r="D540" s="50">
        <v>8</v>
      </c>
      <c r="E540" s="128"/>
      <c r="F540" s="50"/>
      <c r="G540" s="50">
        <v>112</v>
      </c>
      <c r="H540" s="130" t="str">
        <f t="shared" si="93"/>
        <v>神器图纸2/首饰碎片5/烈焰玄铁5/火龙币50</v>
      </c>
    </row>
    <row r="541" spans="1:8" ht="15.75" x14ac:dyDescent="0.3">
      <c r="A541" s="50" t="s">
        <v>3169</v>
      </c>
      <c r="B541" s="50" t="s">
        <v>3214</v>
      </c>
      <c r="C541" s="51" t="s">
        <v>3223</v>
      </c>
      <c r="D541" s="50">
        <v>9</v>
      </c>
      <c r="E541" s="128"/>
      <c r="F541" s="50"/>
      <c r="G541" s="50">
        <v>126</v>
      </c>
      <c r="H541" s="130" t="str">
        <f t="shared" si="93"/>
        <v>神器图纸2/首饰碎片5/烈焰玄铁5/火龙币53</v>
      </c>
    </row>
    <row r="542" spans="1:8" ht="15.75" x14ac:dyDescent="0.3">
      <c r="A542" s="50" t="s">
        <v>3169</v>
      </c>
      <c r="B542" s="50" t="s">
        <v>3214</v>
      </c>
      <c r="C542" s="51" t="s">
        <v>3223</v>
      </c>
      <c r="D542" s="50">
        <v>10</v>
      </c>
      <c r="E542" s="128"/>
      <c r="F542" s="50"/>
      <c r="G542" s="50">
        <v>140</v>
      </c>
      <c r="H542" s="130"/>
    </row>
    <row r="543" spans="1:8" ht="15.75" x14ac:dyDescent="0.3">
      <c r="A543" s="50" t="s">
        <v>3169</v>
      </c>
      <c r="B543" s="50" t="s">
        <v>3214</v>
      </c>
      <c r="C543" s="51" t="s">
        <v>3224</v>
      </c>
      <c r="D543" s="50">
        <v>0</v>
      </c>
      <c r="E543" s="128"/>
      <c r="F543" s="50"/>
      <c r="G543" s="131"/>
      <c r="H543" s="130" t="str">
        <f>"神器图纸"&amp;Z3&amp;"/首饰碎片"&amp;AA3&amp;"/烈焰玄铁"&amp;AB3&amp;"/火龙币"&amp;AC3</f>
        <v>神器图纸1/首饰碎片3/烈焰玄铁3/火龙币32</v>
      </c>
    </row>
    <row r="544" spans="1:8" ht="15.75" x14ac:dyDescent="0.3">
      <c r="A544" s="50" t="s">
        <v>3169</v>
      </c>
      <c r="B544" s="50" t="s">
        <v>3214</v>
      </c>
      <c r="C544" s="51" t="s">
        <v>3224</v>
      </c>
      <c r="D544" s="50">
        <v>1</v>
      </c>
      <c r="E544" s="128"/>
      <c r="F544" s="50"/>
      <c r="G544" s="50">
        <v>15</v>
      </c>
      <c r="H544" s="130" t="str">
        <f t="shared" ref="H544:H552" si="94">"神器图纸"&amp;Z4&amp;"/首饰碎片"&amp;AA4&amp;"/烈焰玄铁"&amp;AB4&amp;"/火龙币"&amp;AC4</f>
        <v>神器图纸1/首饰碎片3/烈焰玄铁3/火龙币35</v>
      </c>
    </row>
    <row r="545" spans="1:8" ht="15.75" x14ac:dyDescent="0.3">
      <c r="A545" s="50" t="s">
        <v>3169</v>
      </c>
      <c r="B545" s="50" t="s">
        <v>3214</v>
      </c>
      <c r="C545" s="51" t="s">
        <v>3224</v>
      </c>
      <c r="D545" s="50">
        <v>2</v>
      </c>
      <c r="E545" s="128"/>
      <c r="F545" s="50"/>
      <c r="G545" s="50">
        <v>30</v>
      </c>
      <c r="H545" s="130" t="str">
        <f t="shared" si="94"/>
        <v>神器图纸1/首饰碎片4/烈焰玄铁4/火龙币37</v>
      </c>
    </row>
    <row r="546" spans="1:8" ht="15.75" x14ac:dyDescent="0.3">
      <c r="A546" s="50" t="s">
        <v>3169</v>
      </c>
      <c r="B546" s="50" t="s">
        <v>3214</v>
      </c>
      <c r="C546" s="51" t="s">
        <v>3224</v>
      </c>
      <c r="D546" s="50">
        <v>3</v>
      </c>
      <c r="E546" s="128"/>
      <c r="F546" s="50"/>
      <c r="G546" s="50">
        <v>45</v>
      </c>
      <c r="H546" s="130" t="str">
        <f t="shared" si="94"/>
        <v>神器图纸2/首饰碎片4/烈焰玄铁4/火龙币39</v>
      </c>
    </row>
    <row r="547" spans="1:8" ht="15.75" x14ac:dyDescent="0.3">
      <c r="A547" s="50" t="s">
        <v>3169</v>
      </c>
      <c r="B547" s="50" t="s">
        <v>3214</v>
      </c>
      <c r="C547" s="51" t="s">
        <v>3224</v>
      </c>
      <c r="D547" s="50">
        <v>4</v>
      </c>
      <c r="E547" s="128"/>
      <c r="F547" s="50"/>
      <c r="G547" s="50">
        <v>60</v>
      </c>
      <c r="H547" s="130" t="str">
        <f t="shared" si="94"/>
        <v>神器图纸2/首饰碎片4/烈焰玄铁4/火龙币41</v>
      </c>
    </row>
    <row r="548" spans="1:8" ht="15.75" x14ac:dyDescent="0.3">
      <c r="A548" s="50" t="s">
        <v>3169</v>
      </c>
      <c r="B548" s="50" t="s">
        <v>3214</v>
      </c>
      <c r="C548" s="51" t="s">
        <v>3224</v>
      </c>
      <c r="D548" s="50">
        <v>5</v>
      </c>
      <c r="E548" s="128"/>
      <c r="F548" s="50"/>
      <c r="G548" s="50">
        <v>75</v>
      </c>
      <c r="H548" s="130" t="str">
        <f t="shared" si="94"/>
        <v>神器图纸2/首饰碎片4/烈焰玄铁4/火龙币44</v>
      </c>
    </row>
    <row r="549" spans="1:8" ht="15.75" x14ac:dyDescent="0.3">
      <c r="A549" s="50" t="s">
        <v>3169</v>
      </c>
      <c r="B549" s="50" t="s">
        <v>3214</v>
      </c>
      <c r="C549" s="51" t="s">
        <v>3224</v>
      </c>
      <c r="D549" s="50">
        <v>6</v>
      </c>
      <c r="E549" s="128"/>
      <c r="F549" s="50"/>
      <c r="G549" s="50">
        <v>90</v>
      </c>
      <c r="H549" s="130" t="str">
        <f t="shared" si="94"/>
        <v>神器图纸2/首饰碎片5/烈焰玄铁5/火龙币46</v>
      </c>
    </row>
    <row r="550" spans="1:8" ht="15.75" x14ac:dyDescent="0.3">
      <c r="A550" s="50" t="s">
        <v>3169</v>
      </c>
      <c r="B550" s="50" t="s">
        <v>3214</v>
      </c>
      <c r="C550" s="51" t="s">
        <v>3224</v>
      </c>
      <c r="D550" s="50">
        <v>7</v>
      </c>
      <c r="E550" s="128"/>
      <c r="F550" s="50"/>
      <c r="G550" s="50">
        <v>105</v>
      </c>
      <c r="H550" s="130" t="str">
        <f t="shared" si="94"/>
        <v>神器图纸2/首饰碎片5/烈焰玄铁5/火龙币48</v>
      </c>
    </row>
    <row r="551" spans="1:8" ht="15.75" x14ac:dyDescent="0.3">
      <c r="A551" s="50" t="s">
        <v>3169</v>
      </c>
      <c r="B551" s="50" t="s">
        <v>3214</v>
      </c>
      <c r="C551" s="51" t="s">
        <v>3224</v>
      </c>
      <c r="D551" s="50">
        <v>8</v>
      </c>
      <c r="E551" s="128"/>
      <c r="F551" s="50"/>
      <c r="G551" s="50">
        <v>120</v>
      </c>
      <c r="H551" s="130" t="str">
        <f t="shared" si="94"/>
        <v>神器图纸2/首饰碎片5/烈焰玄铁5/火龙币50</v>
      </c>
    </row>
    <row r="552" spans="1:8" ht="15.75" x14ac:dyDescent="0.3">
      <c r="A552" s="50" t="s">
        <v>3169</v>
      </c>
      <c r="B552" s="50" t="s">
        <v>3214</v>
      </c>
      <c r="C552" s="51" t="s">
        <v>3224</v>
      </c>
      <c r="D552" s="50">
        <v>9</v>
      </c>
      <c r="E552" s="128"/>
      <c r="F552" s="50"/>
      <c r="G552" s="50">
        <v>135</v>
      </c>
      <c r="H552" s="130" t="str">
        <f t="shared" si="94"/>
        <v>神器图纸2/首饰碎片5/烈焰玄铁5/火龙币53</v>
      </c>
    </row>
    <row r="553" spans="1:8" ht="15.75" x14ac:dyDescent="0.3">
      <c r="A553" s="50" t="s">
        <v>3169</v>
      </c>
      <c r="B553" s="50" t="s">
        <v>3214</v>
      </c>
      <c r="C553" s="51" t="s">
        <v>3224</v>
      </c>
      <c r="D553" s="50">
        <v>10</v>
      </c>
      <c r="E553" s="128"/>
      <c r="F553" s="50"/>
      <c r="G553" s="50">
        <v>150</v>
      </c>
      <c r="H553" s="130"/>
    </row>
    <row r="554" spans="1:8" ht="15.75" x14ac:dyDescent="0.3">
      <c r="A554" s="53" t="s">
        <v>3169</v>
      </c>
      <c r="B554" s="53" t="s">
        <v>3225</v>
      </c>
      <c r="C554" s="54" t="s">
        <v>3226</v>
      </c>
      <c r="D554" s="53">
        <v>0</v>
      </c>
      <c r="E554" s="132"/>
      <c r="F554" s="53"/>
      <c r="G554" s="135"/>
      <c r="H554" s="134" t="str">
        <f>"神器图纸"&amp;Z3&amp;"/首饰碎片"&amp;AA3&amp;"/烈焰玄铁"&amp;AB3&amp;"/火龙币"&amp;AC3</f>
        <v>神器图纸1/首饰碎片3/烈焰玄铁3/火龙币32</v>
      </c>
    </row>
    <row r="555" spans="1:8" ht="15.75" x14ac:dyDescent="0.3">
      <c r="A555" s="53" t="s">
        <v>3169</v>
      </c>
      <c r="B555" s="53" t="s">
        <v>3225</v>
      </c>
      <c r="C555" s="54" t="s">
        <v>3226</v>
      </c>
      <c r="D555" s="53">
        <v>1</v>
      </c>
      <c r="E555" s="132"/>
      <c r="F555" s="53"/>
      <c r="G555" s="53">
        <v>6</v>
      </c>
      <c r="H555" s="134" t="str">
        <f t="shared" ref="H555:H563" si="95">"神器图纸"&amp;Z4&amp;"/首饰碎片"&amp;AA4&amp;"/烈焰玄铁"&amp;AB4&amp;"/火龙币"&amp;AC4</f>
        <v>神器图纸1/首饰碎片3/烈焰玄铁3/火龙币35</v>
      </c>
    </row>
    <row r="556" spans="1:8" ht="15.75" x14ac:dyDescent="0.3">
      <c r="A556" s="53" t="s">
        <v>3169</v>
      </c>
      <c r="B556" s="53" t="s">
        <v>3225</v>
      </c>
      <c r="C556" s="54" t="s">
        <v>3226</v>
      </c>
      <c r="D556" s="53">
        <v>2</v>
      </c>
      <c r="E556" s="132"/>
      <c r="F556" s="53"/>
      <c r="G556" s="53">
        <v>12</v>
      </c>
      <c r="H556" s="134" t="str">
        <f t="shared" si="95"/>
        <v>神器图纸1/首饰碎片4/烈焰玄铁4/火龙币37</v>
      </c>
    </row>
    <row r="557" spans="1:8" ht="15.75" x14ac:dyDescent="0.3">
      <c r="A557" s="53" t="s">
        <v>3169</v>
      </c>
      <c r="B557" s="53" t="s">
        <v>3225</v>
      </c>
      <c r="C557" s="54" t="s">
        <v>3226</v>
      </c>
      <c r="D557" s="53">
        <v>3</v>
      </c>
      <c r="E557" s="132"/>
      <c r="F557" s="53"/>
      <c r="G557" s="53">
        <v>18</v>
      </c>
      <c r="H557" s="134" t="str">
        <f t="shared" si="95"/>
        <v>神器图纸2/首饰碎片4/烈焰玄铁4/火龙币39</v>
      </c>
    </row>
    <row r="558" spans="1:8" ht="15.75" x14ac:dyDescent="0.3">
      <c r="A558" s="53" t="s">
        <v>3169</v>
      </c>
      <c r="B558" s="53" t="s">
        <v>3225</v>
      </c>
      <c r="C558" s="54" t="s">
        <v>3226</v>
      </c>
      <c r="D558" s="53">
        <v>4</v>
      </c>
      <c r="E558" s="132"/>
      <c r="F558" s="53"/>
      <c r="G558" s="53">
        <v>24</v>
      </c>
      <c r="H558" s="134" t="str">
        <f t="shared" si="95"/>
        <v>神器图纸2/首饰碎片4/烈焰玄铁4/火龙币41</v>
      </c>
    </row>
    <row r="559" spans="1:8" ht="15.75" x14ac:dyDescent="0.3">
      <c r="A559" s="53" t="s">
        <v>3169</v>
      </c>
      <c r="B559" s="53" t="s">
        <v>3225</v>
      </c>
      <c r="C559" s="54" t="s">
        <v>3226</v>
      </c>
      <c r="D559" s="53">
        <v>5</v>
      </c>
      <c r="E559" s="132"/>
      <c r="F559" s="53"/>
      <c r="G559" s="53">
        <v>30</v>
      </c>
      <c r="H559" s="134" t="str">
        <f t="shared" si="95"/>
        <v>神器图纸2/首饰碎片4/烈焰玄铁4/火龙币44</v>
      </c>
    </row>
    <row r="560" spans="1:8" ht="15.75" x14ac:dyDescent="0.3">
      <c r="A560" s="53" t="s">
        <v>3169</v>
      </c>
      <c r="B560" s="53" t="s">
        <v>3225</v>
      </c>
      <c r="C560" s="54" t="s">
        <v>3226</v>
      </c>
      <c r="D560" s="53">
        <v>6</v>
      </c>
      <c r="E560" s="132"/>
      <c r="F560" s="53"/>
      <c r="G560" s="53">
        <v>36</v>
      </c>
      <c r="H560" s="134" t="str">
        <f t="shared" si="95"/>
        <v>神器图纸2/首饰碎片5/烈焰玄铁5/火龙币46</v>
      </c>
    </row>
    <row r="561" spans="1:8" ht="15.75" x14ac:dyDescent="0.3">
      <c r="A561" s="53" t="s">
        <v>3169</v>
      </c>
      <c r="B561" s="53" t="s">
        <v>3225</v>
      </c>
      <c r="C561" s="54" t="s">
        <v>3226</v>
      </c>
      <c r="D561" s="53">
        <v>7</v>
      </c>
      <c r="E561" s="132"/>
      <c r="F561" s="53"/>
      <c r="G561" s="53">
        <v>42</v>
      </c>
      <c r="H561" s="134" t="str">
        <f t="shared" si="95"/>
        <v>神器图纸2/首饰碎片5/烈焰玄铁5/火龙币48</v>
      </c>
    </row>
    <row r="562" spans="1:8" ht="15.75" x14ac:dyDescent="0.3">
      <c r="A562" s="53" t="s">
        <v>3169</v>
      </c>
      <c r="B562" s="53" t="s">
        <v>3225</v>
      </c>
      <c r="C562" s="54" t="s">
        <v>3226</v>
      </c>
      <c r="D562" s="53">
        <v>8</v>
      </c>
      <c r="E562" s="132"/>
      <c r="F562" s="53"/>
      <c r="G562" s="53">
        <v>48</v>
      </c>
      <c r="H562" s="134" t="str">
        <f t="shared" si="95"/>
        <v>神器图纸2/首饰碎片5/烈焰玄铁5/火龙币50</v>
      </c>
    </row>
    <row r="563" spans="1:8" ht="15.75" x14ac:dyDescent="0.3">
      <c r="A563" s="53" t="s">
        <v>3169</v>
      </c>
      <c r="B563" s="53" t="s">
        <v>3225</v>
      </c>
      <c r="C563" s="54" t="s">
        <v>3226</v>
      </c>
      <c r="D563" s="53">
        <v>9</v>
      </c>
      <c r="E563" s="132"/>
      <c r="F563" s="53"/>
      <c r="G563" s="53">
        <v>54</v>
      </c>
      <c r="H563" s="134" t="str">
        <f t="shared" si="95"/>
        <v>神器图纸2/首饰碎片5/烈焰玄铁5/火龙币53</v>
      </c>
    </row>
    <row r="564" spans="1:8" ht="15.75" x14ac:dyDescent="0.3">
      <c r="A564" s="53" t="s">
        <v>3169</v>
      </c>
      <c r="B564" s="53" t="s">
        <v>3225</v>
      </c>
      <c r="C564" s="54" t="s">
        <v>3226</v>
      </c>
      <c r="D564" s="53">
        <v>10</v>
      </c>
      <c r="E564" s="132"/>
      <c r="F564" s="53"/>
      <c r="G564" s="53">
        <v>60</v>
      </c>
      <c r="H564" s="134"/>
    </row>
    <row r="565" spans="1:8" ht="15.75" x14ac:dyDescent="0.3">
      <c r="A565" s="53" t="s">
        <v>3169</v>
      </c>
      <c r="B565" s="53" t="s">
        <v>3225</v>
      </c>
      <c r="C565" s="54" t="s">
        <v>3227</v>
      </c>
      <c r="D565" s="53">
        <v>0</v>
      </c>
      <c r="E565" s="132"/>
      <c r="F565" s="53"/>
      <c r="G565" s="135"/>
      <c r="H565" s="134" t="str">
        <f>"神器图纸"&amp;Z3&amp;"/首饰碎片"&amp;AA3&amp;"/烈焰玄铁"&amp;AB3&amp;"/火龙币"&amp;AC3</f>
        <v>神器图纸1/首饰碎片3/烈焰玄铁3/火龙币32</v>
      </c>
    </row>
    <row r="566" spans="1:8" ht="15.75" x14ac:dyDescent="0.3">
      <c r="A566" s="53" t="s">
        <v>3169</v>
      </c>
      <c r="B566" s="53" t="s">
        <v>3225</v>
      </c>
      <c r="C566" s="54" t="s">
        <v>3227</v>
      </c>
      <c r="D566" s="53">
        <v>1</v>
      </c>
      <c r="E566" s="132"/>
      <c r="F566" s="53"/>
      <c r="G566" s="53">
        <v>7</v>
      </c>
      <c r="H566" s="134" t="str">
        <f t="shared" ref="H566:H574" si="96">"神器图纸"&amp;Z4&amp;"/首饰碎片"&amp;AA4&amp;"/烈焰玄铁"&amp;AB4&amp;"/火龙币"&amp;AC4</f>
        <v>神器图纸1/首饰碎片3/烈焰玄铁3/火龙币35</v>
      </c>
    </row>
    <row r="567" spans="1:8" ht="15.75" x14ac:dyDescent="0.3">
      <c r="A567" s="53" t="s">
        <v>3169</v>
      </c>
      <c r="B567" s="53" t="s">
        <v>3225</v>
      </c>
      <c r="C567" s="54" t="s">
        <v>3227</v>
      </c>
      <c r="D567" s="53">
        <v>2</v>
      </c>
      <c r="E567" s="132"/>
      <c r="F567" s="53"/>
      <c r="G567" s="53">
        <v>14</v>
      </c>
      <c r="H567" s="134" t="str">
        <f t="shared" si="96"/>
        <v>神器图纸1/首饰碎片4/烈焰玄铁4/火龙币37</v>
      </c>
    </row>
    <row r="568" spans="1:8" ht="15.75" x14ac:dyDescent="0.3">
      <c r="A568" s="53" t="s">
        <v>3169</v>
      </c>
      <c r="B568" s="53" t="s">
        <v>3225</v>
      </c>
      <c r="C568" s="54" t="s">
        <v>3227</v>
      </c>
      <c r="D568" s="53">
        <v>3</v>
      </c>
      <c r="E568" s="132"/>
      <c r="F568" s="53"/>
      <c r="G568" s="53">
        <v>21</v>
      </c>
      <c r="H568" s="134" t="str">
        <f t="shared" si="96"/>
        <v>神器图纸2/首饰碎片4/烈焰玄铁4/火龙币39</v>
      </c>
    </row>
    <row r="569" spans="1:8" ht="15.75" x14ac:dyDescent="0.3">
      <c r="A569" s="53" t="s">
        <v>3169</v>
      </c>
      <c r="B569" s="53" t="s">
        <v>3225</v>
      </c>
      <c r="C569" s="54" t="s">
        <v>3227</v>
      </c>
      <c r="D569" s="53">
        <v>4</v>
      </c>
      <c r="E569" s="132"/>
      <c r="F569" s="53"/>
      <c r="G569" s="53">
        <v>28</v>
      </c>
      <c r="H569" s="134" t="str">
        <f t="shared" si="96"/>
        <v>神器图纸2/首饰碎片4/烈焰玄铁4/火龙币41</v>
      </c>
    </row>
    <row r="570" spans="1:8" ht="15.75" x14ac:dyDescent="0.3">
      <c r="A570" s="53" t="s">
        <v>3169</v>
      </c>
      <c r="B570" s="53" t="s">
        <v>3225</v>
      </c>
      <c r="C570" s="54" t="s">
        <v>3227</v>
      </c>
      <c r="D570" s="53">
        <v>5</v>
      </c>
      <c r="E570" s="132"/>
      <c r="F570" s="53"/>
      <c r="G570" s="53">
        <v>35</v>
      </c>
      <c r="H570" s="134" t="str">
        <f t="shared" si="96"/>
        <v>神器图纸2/首饰碎片4/烈焰玄铁4/火龙币44</v>
      </c>
    </row>
    <row r="571" spans="1:8" ht="15.75" x14ac:dyDescent="0.3">
      <c r="A571" s="53" t="s">
        <v>3169</v>
      </c>
      <c r="B571" s="53" t="s">
        <v>3225</v>
      </c>
      <c r="C571" s="54" t="s">
        <v>3227</v>
      </c>
      <c r="D571" s="53">
        <v>6</v>
      </c>
      <c r="E571" s="132"/>
      <c r="F571" s="53"/>
      <c r="G571" s="53">
        <v>42</v>
      </c>
      <c r="H571" s="134" t="str">
        <f t="shared" si="96"/>
        <v>神器图纸2/首饰碎片5/烈焰玄铁5/火龙币46</v>
      </c>
    </row>
    <row r="572" spans="1:8" ht="15.75" x14ac:dyDescent="0.3">
      <c r="A572" s="53" t="s">
        <v>3169</v>
      </c>
      <c r="B572" s="53" t="s">
        <v>3225</v>
      </c>
      <c r="C572" s="54" t="s">
        <v>3227</v>
      </c>
      <c r="D572" s="53">
        <v>7</v>
      </c>
      <c r="E572" s="132"/>
      <c r="F572" s="53"/>
      <c r="G572" s="53">
        <v>49</v>
      </c>
      <c r="H572" s="134" t="str">
        <f t="shared" si="96"/>
        <v>神器图纸2/首饰碎片5/烈焰玄铁5/火龙币48</v>
      </c>
    </row>
    <row r="573" spans="1:8" ht="15.75" x14ac:dyDescent="0.3">
      <c r="A573" s="53" t="s">
        <v>3169</v>
      </c>
      <c r="B573" s="53" t="s">
        <v>3225</v>
      </c>
      <c r="C573" s="54" t="s">
        <v>3227</v>
      </c>
      <c r="D573" s="53">
        <v>8</v>
      </c>
      <c r="E573" s="132"/>
      <c r="F573" s="53"/>
      <c r="G573" s="53">
        <v>56</v>
      </c>
      <c r="H573" s="134" t="str">
        <f t="shared" si="96"/>
        <v>神器图纸2/首饰碎片5/烈焰玄铁5/火龙币50</v>
      </c>
    </row>
    <row r="574" spans="1:8" ht="15.75" x14ac:dyDescent="0.3">
      <c r="A574" s="53" t="s">
        <v>3169</v>
      </c>
      <c r="B574" s="53" t="s">
        <v>3225</v>
      </c>
      <c r="C574" s="54" t="s">
        <v>3227</v>
      </c>
      <c r="D574" s="53">
        <v>9</v>
      </c>
      <c r="E574" s="132"/>
      <c r="F574" s="53"/>
      <c r="G574" s="53">
        <v>63</v>
      </c>
      <c r="H574" s="134" t="str">
        <f t="shared" si="96"/>
        <v>神器图纸2/首饰碎片5/烈焰玄铁5/火龙币53</v>
      </c>
    </row>
    <row r="575" spans="1:8" ht="15.75" x14ac:dyDescent="0.3">
      <c r="A575" s="53" t="s">
        <v>3169</v>
      </c>
      <c r="B575" s="53" t="s">
        <v>3225</v>
      </c>
      <c r="C575" s="54" t="s">
        <v>3227</v>
      </c>
      <c r="D575" s="53">
        <v>10</v>
      </c>
      <c r="E575" s="132"/>
      <c r="F575" s="53"/>
      <c r="G575" s="53">
        <v>70</v>
      </c>
      <c r="H575" s="134"/>
    </row>
    <row r="576" spans="1:8" ht="15.75" x14ac:dyDescent="0.3">
      <c r="A576" s="53" t="s">
        <v>3169</v>
      </c>
      <c r="B576" s="53" t="s">
        <v>3225</v>
      </c>
      <c r="C576" s="54" t="s">
        <v>3228</v>
      </c>
      <c r="D576" s="53">
        <v>0</v>
      </c>
      <c r="E576" s="132"/>
      <c r="F576" s="53"/>
      <c r="G576" s="135"/>
      <c r="H576" s="134" t="str">
        <f>"神器图纸"&amp;Z3&amp;"/首饰碎片"&amp;AA3&amp;"/烈焰玄铁"&amp;AB3&amp;"/火龙币"&amp;AC3</f>
        <v>神器图纸1/首饰碎片3/烈焰玄铁3/火龙币32</v>
      </c>
    </row>
    <row r="577" spans="1:8" ht="15.75" x14ac:dyDescent="0.3">
      <c r="A577" s="53" t="s">
        <v>3169</v>
      </c>
      <c r="B577" s="53" t="s">
        <v>3225</v>
      </c>
      <c r="C577" s="54" t="s">
        <v>3228</v>
      </c>
      <c r="D577" s="53">
        <v>1</v>
      </c>
      <c r="E577" s="132"/>
      <c r="F577" s="53"/>
      <c r="G577" s="53">
        <v>8</v>
      </c>
      <c r="H577" s="134" t="str">
        <f t="shared" ref="H577:H585" si="97">"神器图纸"&amp;Z4&amp;"/首饰碎片"&amp;AA4&amp;"/烈焰玄铁"&amp;AB4&amp;"/火龙币"&amp;AC4</f>
        <v>神器图纸1/首饰碎片3/烈焰玄铁3/火龙币35</v>
      </c>
    </row>
    <row r="578" spans="1:8" ht="15.75" x14ac:dyDescent="0.3">
      <c r="A578" s="53" t="s">
        <v>3169</v>
      </c>
      <c r="B578" s="53" t="s">
        <v>3225</v>
      </c>
      <c r="C578" s="54" t="s">
        <v>3228</v>
      </c>
      <c r="D578" s="53">
        <v>2</v>
      </c>
      <c r="E578" s="132"/>
      <c r="F578" s="53"/>
      <c r="G578" s="53">
        <v>16</v>
      </c>
      <c r="H578" s="134" t="str">
        <f t="shared" si="97"/>
        <v>神器图纸1/首饰碎片4/烈焰玄铁4/火龙币37</v>
      </c>
    </row>
    <row r="579" spans="1:8" ht="15.75" x14ac:dyDescent="0.3">
      <c r="A579" s="53" t="s">
        <v>3169</v>
      </c>
      <c r="B579" s="53" t="s">
        <v>3225</v>
      </c>
      <c r="C579" s="54" t="s">
        <v>3228</v>
      </c>
      <c r="D579" s="53">
        <v>3</v>
      </c>
      <c r="E579" s="132"/>
      <c r="F579" s="53"/>
      <c r="G579" s="53">
        <v>24</v>
      </c>
      <c r="H579" s="134" t="str">
        <f t="shared" si="97"/>
        <v>神器图纸2/首饰碎片4/烈焰玄铁4/火龙币39</v>
      </c>
    </row>
    <row r="580" spans="1:8" ht="15.75" x14ac:dyDescent="0.3">
      <c r="A580" s="53" t="s">
        <v>3169</v>
      </c>
      <c r="B580" s="53" t="s">
        <v>3225</v>
      </c>
      <c r="C580" s="54" t="s">
        <v>3228</v>
      </c>
      <c r="D580" s="53">
        <v>4</v>
      </c>
      <c r="E580" s="132"/>
      <c r="F580" s="53"/>
      <c r="G580" s="53">
        <v>32</v>
      </c>
      <c r="H580" s="134" t="str">
        <f t="shared" si="97"/>
        <v>神器图纸2/首饰碎片4/烈焰玄铁4/火龙币41</v>
      </c>
    </row>
    <row r="581" spans="1:8" ht="15.75" x14ac:dyDescent="0.3">
      <c r="A581" s="53" t="s">
        <v>3169</v>
      </c>
      <c r="B581" s="53" t="s">
        <v>3225</v>
      </c>
      <c r="C581" s="54" t="s">
        <v>3228</v>
      </c>
      <c r="D581" s="53">
        <v>5</v>
      </c>
      <c r="E581" s="132"/>
      <c r="F581" s="53"/>
      <c r="G581" s="53">
        <v>40</v>
      </c>
      <c r="H581" s="134" t="str">
        <f t="shared" si="97"/>
        <v>神器图纸2/首饰碎片4/烈焰玄铁4/火龙币44</v>
      </c>
    </row>
    <row r="582" spans="1:8" ht="15.75" x14ac:dyDescent="0.3">
      <c r="A582" s="53" t="s">
        <v>3169</v>
      </c>
      <c r="B582" s="53" t="s">
        <v>3225</v>
      </c>
      <c r="C582" s="54" t="s">
        <v>3228</v>
      </c>
      <c r="D582" s="53">
        <v>6</v>
      </c>
      <c r="E582" s="132"/>
      <c r="F582" s="53"/>
      <c r="G582" s="53">
        <v>48</v>
      </c>
      <c r="H582" s="134" t="str">
        <f t="shared" si="97"/>
        <v>神器图纸2/首饰碎片5/烈焰玄铁5/火龙币46</v>
      </c>
    </row>
    <row r="583" spans="1:8" ht="15.75" x14ac:dyDescent="0.3">
      <c r="A583" s="53" t="s">
        <v>3169</v>
      </c>
      <c r="B583" s="53" t="s">
        <v>3225</v>
      </c>
      <c r="C583" s="54" t="s">
        <v>3228</v>
      </c>
      <c r="D583" s="53">
        <v>7</v>
      </c>
      <c r="E583" s="132"/>
      <c r="F583" s="53"/>
      <c r="G583" s="53">
        <v>56</v>
      </c>
      <c r="H583" s="134" t="str">
        <f t="shared" si="97"/>
        <v>神器图纸2/首饰碎片5/烈焰玄铁5/火龙币48</v>
      </c>
    </row>
    <row r="584" spans="1:8" ht="15.75" x14ac:dyDescent="0.3">
      <c r="A584" s="53" t="s">
        <v>3169</v>
      </c>
      <c r="B584" s="53" t="s">
        <v>3225</v>
      </c>
      <c r="C584" s="54" t="s">
        <v>3228</v>
      </c>
      <c r="D584" s="53">
        <v>8</v>
      </c>
      <c r="E584" s="132"/>
      <c r="F584" s="53"/>
      <c r="G584" s="53">
        <v>64</v>
      </c>
      <c r="H584" s="134" t="str">
        <f t="shared" si="97"/>
        <v>神器图纸2/首饰碎片5/烈焰玄铁5/火龙币50</v>
      </c>
    </row>
    <row r="585" spans="1:8" ht="15.75" x14ac:dyDescent="0.3">
      <c r="A585" s="53" t="s">
        <v>3169</v>
      </c>
      <c r="B585" s="53" t="s">
        <v>3225</v>
      </c>
      <c r="C585" s="54" t="s">
        <v>3228</v>
      </c>
      <c r="D585" s="53">
        <v>9</v>
      </c>
      <c r="E585" s="132"/>
      <c r="F585" s="53"/>
      <c r="G585" s="53">
        <v>72</v>
      </c>
      <c r="H585" s="134" t="str">
        <f t="shared" si="97"/>
        <v>神器图纸2/首饰碎片5/烈焰玄铁5/火龙币53</v>
      </c>
    </row>
    <row r="586" spans="1:8" ht="15.75" x14ac:dyDescent="0.3">
      <c r="A586" s="53" t="s">
        <v>3169</v>
      </c>
      <c r="B586" s="53" t="s">
        <v>3225</v>
      </c>
      <c r="C586" s="54" t="s">
        <v>3228</v>
      </c>
      <c r="D586" s="53">
        <v>10</v>
      </c>
      <c r="E586" s="132"/>
      <c r="F586" s="53"/>
      <c r="G586" s="53">
        <v>80</v>
      </c>
      <c r="H586" s="134"/>
    </row>
    <row r="587" spans="1:8" ht="15.75" x14ac:dyDescent="0.3">
      <c r="A587" s="53" t="s">
        <v>3169</v>
      </c>
      <c r="B587" s="53" t="s">
        <v>3225</v>
      </c>
      <c r="C587" s="54" t="s">
        <v>3229</v>
      </c>
      <c r="D587" s="53">
        <v>0</v>
      </c>
      <c r="E587" s="132"/>
      <c r="F587" s="53"/>
      <c r="G587" s="135"/>
      <c r="H587" s="134" t="str">
        <f>"神器图纸"&amp;Z3&amp;"/首饰碎片"&amp;AA3&amp;"/烈焰玄铁"&amp;AB3&amp;"/火龙币"&amp;AC3</f>
        <v>神器图纸1/首饰碎片3/烈焰玄铁3/火龙币32</v>
      </c>
    </row>
    <row r="588" spans="1:8" ht="15.75" x14ac:dyDescent="0.3">
      <c r="A588" s="53" t="s">
        <v>3169</v>
      </c>
      <c r="B588" s="53" t="s">
        <v>3225</v>
      </c>
      <c r="C588" s="54" t="s">
        <v>3229</v>
      </c>
      <c r="D588" s="53">
        <v>1</v>
      </c>
      <c r="E588" s="132"/>
      <c r="F588" s="53"/>
      <c r="G588" s="53">
        <v>9</v>
      </c>
      <c r="H588" s="134" t="str">
        <f t="shared" ref="H588:H596" si="98">"神器图纸"&amp;Z4&amp;"/首饰碎片"&amp;AA4&amp;"/烈焰玄铁"&amp;AB4&amp;"/火龙币"&amp;AC4</f>
        <v>神器图纸1/首饰碎片3/烈焰玄铁3/火龙币35</v>
      </c>
    </row>
    <row r="589" spans="1:8" ht="15.75" x14ac:dyDescent="0.3">
      <c r="A589" s="53" t="s">
        <v>3169</v>
      </c>
      <c r="B589" s="53" t="s">
        <v>3225</v>
      </c>
      <c r="C589" s="54" t="s">
        <v>3229</v>
      </c>
      <c r="D589" s="53">
        <v>2</v>
      </c>
      <c r="E589" s="132"/>
      <c r="F589" s="53"/>
      <c r="G589" s="53">
        <v>18</v>
      </c>
      <c r="H589" s="134" t="str">
        <f t="shared" si="98"/>
        <v>神器图纸1/首饰碎片4/烈焰玄铁4/火龙币37</v>
      </c>
    </row>
    <row r="590" spans="1:8" ht="15.75" x14ac:dyDescent="0.3">
      <c r="A590" s="53" t="s">
        <v>3169</v>
      </c>
      <c r="B590" s="53" t="s">
        <v>3225</v>
      </c>
      <c r="C590" s="54" t="s">
        <v>3229</v>
      </c>
      <c r="D590" s="53">
        <v>3</v>
      </c>
      <c r="E590" s="132"/>
      <c r="F590" s="53"/>
      <c r="G590" s="53">
        <v>27</v>
      </c>
      <c r="H590" s="134" t="str">
        <f t="shared" si="98"/>
        <v>神器图纸2/首饰碎片4/烈焰玄铁4/火龙币39</v>
      </c>
    </row>
    <row r="591" spans="1:8" ht="15.75" x14ac:dyDescent="0.3">
      <c r="A591" s="53" t="s">
        <v>3169</v>
      </c>
      <c r="B591" s="53" t="s">
        <v>3225</v>
      </c>
      <c r="C591" s="54" t="s">
        <v>3229</v>
      </c>
      <c r="D591" s="53">
        <v>4</v>
      </c>
      <c r="E591" s="132"/>
      <c r="F591" s="53"/>
      <c r="G591" s="53">
        <v>36</v>
      </c>
      <c r="H591" s="134" t="str">
        <f t="shared" si="98"/>
        <v>神器图纸2/首饰碎片4/烈焰玄铁4/火龙币41</v>
      </c>
    </row>
    <row r="592" spans="1:8" ht="15.75" x14ac:dyDescent="0.3">
      <c r="A592" s="53" t="s">
        <v>3169</v>
      </c>
      <c r="B592" s="53" t="s">
        <v>3225</v>
      </c>
      <c r="C592" s="54" t="s">
        <v>3229</v>
      </c>
      <c r="D592" s="53">
        <v>5</v>
      </c>
      <c r="E592" s="132"/>
      <c r="F592" s="53"/>
      <c r="G592" s="53">
        <v>45</v>
      </c>
      <c r="H592" s="134" t="str">
        <f t="shared" si="98"/>
        <v>神器图纸2/首饰碎片4/烈焰玄铁4/火龙币44</v>
      </c>
    </row>
    <row r="593" spans="1:8" ht="15.75" x14ac:dyDescent="0.3">
      <c r="A593" s="53" t="s">
        <v>3169</v>
      </c>
      <c r="B593" s="53" t="s">
        <v>3225</v>
      </c>
      <c r="C593" s="54" t="s">
        <v>3229</v>
      </c>
      <c r="D593" s="53">
        <v>6</v>
      </c>
      <c r="E593" s="132"/>
      <c r="F593" s="53"/>
      <c r="G593" s="53">
        <v>54</v>
      </c>
      <c r="H593" s="134" t="str">
        <f t="shared" si="98"/>
        <v>神器图纸2/首饰碎片5/烈焰玄铁5/火龙币46</v>
      </c>
    </row>
    <row r="594" spans="1:8" ht="15.75" x14ac:dyDescent="0.3">
      <c r="A594" s="53" t="s">
        <v>3169</v>
      </c>
      <c r="B594" s="53" t="s">
        <v>3225</v>
      </c>
      <c r="C594" s="54" t="s">
        <v>3229</v>
      </c>
      <c r="D594" s="53">
        <v>7</v>
      </c>
      <c r="E594" s="132"/>
      <c r="F594" s="53"/>
      <c r="G594" s="53">
        <v>63</v>
      </c>
      <c r="H594" s="134" t="str">
        <f t="shared" si="98"/>
        <v>神器图纸2/首饰碎片5/烈焰玄铁5/火龙币48</v>
      </c>
    </row>
    <row r="595" spans="1:8" ht="15.75" x14ac:dyDescent="0.3">
      <c r="A595" s="53" t="s">
        <v>3169</v>
      </c>
      <c r="B595" s="53" t="s">
        <v>3225</v>
      </c>
      <c r="C595" s="54" t="s">
        <v>3229</v>
      </c>
      <c r="D595" s="53">
        <v>8</v>
      </c>
      <c r="E595" s="132"/>
      <c r="F595" s="53"/>
      <c r="G595" s="53">
        <v>72</v>
      </c>
      <c r="H595" s="134" t="str">
        <f t="shared" si="98"/>
        <v>神器图纸2/首饰碎片5/烈焰玄铁5/火龙币50</v>
      </c>
    </row>
    <row r="596" spans="1:8" ht="15.75" x14ac:dyDescent="0.3">
      <c r="A596" s="53" t="s">
        <v>3169</v>
      </c>
      <c r="B596" s="53" t="s">
        <v>3225</v>
      </c>
      <c r="C596" s="54" t="s">
        <v>3229</v>
      </c>
      <c r="D596" s="53">
        <v>9</v>
      </c>
      <c r="E596" s="132"/>
      <c r="F596" s="53"/>
      <c r="G596" s="53">
        <v>81</v>
      </c>
      <c r="H596" s="134" t="str">
        <f t="shared" si="98"/>
        <v>神器图纸2/首饰碎片5/烈焰玄铁5/火龙币53</v>
      </c>
    </row>
    <row r="597" spans="1:8" ht="15.75" x14ac:dyDescent="0.3">
      <c r="A597" s="53" t="s">
        <v>3169</v>
      </c>
      <c r="B597" s="53" t="s">
        <v>3225</v>
      </c>
      <c r="C597" s="54" t="s">
        <v>3229</v>
      </c>
      <c r="D597" s="53">
        <v>10</v>
      </c>
      <c r="E597" s="132"/>
      <c r="F597" s="53"/>
      <c r="G597" s="53">
        <v>90</v>
      </c>
      <c r="H597" s="134"/>
    </row>
    <row r="598" spans="1:8" ht="15.75" x14ac:dyDescent="0.3">
      <c r="A598" s="53" t="s">
        <v>3169</v>
      </c>
      <c r="B598" s="53" t="s">
        <v>3225</v>
      </c>
      <c r="C598" s="54" t="s">
        <v>3230</v>
      </c>
      <c r="D598" s="53">
        <v>0</v>
      </c>
      <c r="E598" s="132"/>
      <c r="F598" s="53"/>
      <c r="G598" s="135"/>
      <c r="H598" s="134" t="str">
        <f>"神器图纸"&amp;Z3&amp;"/首饰碎片"&amp;AA3&amp;"/烈焰玄铁"&amp;AB3&amp;"/火龙币"&amp;AC3</f>
        <v>神器图纸1/首饰碎片3/烈焰玄铁3/火龙币32</v>
      </c>
    </row>
    <row r="599" spans="1:8" ht="15.75" x14ac:dyDescent="0.3">
      <c r="A599" s="53" t="s">
        <v>3169</v>
      </c>
      <c r="B599" s="53" t="s">
        <v>3225</v>
      </c>
      <c r="C599" s="54" t="s">
        <v>3230</v>
      </c>
      <c r="D599" s="53">
        <v>1</v>
      </c>
      <c r="E599" s="132"/>
      <c r="F599" s="53"/>
      <c r="G599" s="53">
        <v>10</v>
      </c>
      <c r="H599" s="134" t="str">
        <f t="shared" ref="H599:H607" si="99">"神器图纸"&amp;Z4&amp;"/首饰碎片"&amp;AA4&amp;"/烈焰玄铁"&amp;AB4&amp;"/火龙币"&amp;AC4</f>
        <v>神器图纸1/首饰碎片3/烈焰玄铁3/火龙币35</v>
      </c>
    </row>
    <row r="600" spans="1:8" ht="15.75" x14ac:dyDescent="0.3">
      <c r="A600" s="53" t="s">
        <v>3169</v>
      </c>
      <c r="B600" s="53" t="s">
        <v>3225</v>
      </c>
      <c r="C600" s="54" t="s">
        <v>3230</v>
      </c>
      <c r="D600" s="53">
        <v>2</v>
      </c>
      <c r="E600" s="132"/>
      <c r="F600" s="53"/>
      <c r="G600" s="53">
        <v>20</v>
      </c>
      <c r="H600" s="134" t="str">
        <f t="shared" si="99"/>
        <v>神器图纸1/首饰碎片4/烈焰玄铁4/火龙币37</v>
      </c>
    </row>
    <row r="601" spans="1:8" ht="15.75" x14ac:dyDescent="0.3">
      <c r="A601" s="53" t="s">
        <v>3169</v>
      </c>
      <c r="B601" s="53" t="s">
        <v>3225</v>
      </c>
      <c r="C601" s="54" t="s">
        <v>3230</v>
      </c>
      <c r="D601" s="53">
        <v>3</v>
      </c>
      <c r="E601" s="132"/>
      <c r="F601" s="53"/>
      <c r="G601" s="53">
        <v>30</v>
      </c>
      <c r="H601" s="134" t="str">
        <f t="shared" si="99"/>
        <v>神器图纸2/首饰碎片4/烈焰玄铁4/火龙币39</v>
      </c>
    </row>
    <row r="602" spans="1:8" ht="15.75" x14ac:dyDescent="0.3">
      <c r="A602" s="53" t="s">
        <v>3169</v>
      </c>
      <c r="B602" s="53" t="s">
        <v>3225</v>
      </c>
      <c r="C602" s="54" t="s">
        <v>3230</v>
      </c>
      <c r="D602" s="53">
        <v>4</v>
      </c>
      <c r="E602" s="132"/>
      <c r="F602" s="53"/>
      <c r="G602" s="53">
        <v>40</v>
      </c>
      <c r="H602" s="134" t="str">
        <f t="shared" si="99"/>
        <v>神器图纸2/首饰碎片4/烈焰玄铁4/火龙币41</v>
      </c>
    </row>
    <row r="603" spans="1:8" ht="15.75" x14ac:dyDescent="0.3">
      <c r="A603" s="53" t="s">
        <v>3169</v>
      </c>
      <c r="B603" s="53" t="s">
        <v>3225</v>
      </c>
      <c r="C603" s="54" t="s">
        <v>3230</v>
      </c>
      <c r="D603" s="53">
        <v>5</v>
      </c>
      <c r="E603" s="132"/>
      <c r="F603" s="53"/>
      <c r="G603" s="53">
        <v>50</v>
      </c>
      <c r="H603" s="134" t="str">
        <f t="shared" si="99"/>
        <v>神器图纸2/首饰碎片4/烈焰玄铁4/火龙币44</v>
      </c>
    </row>
    <row r="604" spans="1:8" ht="15.75" x14ac:dyDescent="0.3">
      <c r="A604" s="53" t="s">
        <v>3169</v>
      </c>
      <c r="B604" s="53" t="s">
        <v>3225</v>
      </c>
      <c r="C604" s="54" t="s">
        <v>3230</v>
      </c>
      <c r="D604" s="53">
        <v>6</v>
      </c>
      <c r="E604" s="132"/>
      <c r="F604" s="53"/>
      <c r="G604" s="53">
        <v>60</v>
      </c>
      <c r="H604" s="134" t="str">
        <f t="shared" si="99"/>
        <v>神器图纸2/首饰碎片5/烈焰玄铁5/火龙币46</v>
      </c>
    </row>
    <row r="605" spans="1:8" ht="15.75" x14ac:dyDescent="0.3">
      <c r="A605" s="53" t="s">
        <v>3169</v>
      </c>
      <c r="B605" s="53" t="s">
        <v>3225</v>
      </c>
      <c r="C605" s="54" t="s">
        <v>3230</v>
      </c>
      <c r="D605" s="53">
        <v>7</v>
      </c>
      <c r="E605" s="132"/>
      <c r="F605" s="53"/>
      <c r="G605" s="53">
        <v>70</v>
      </c>
      <c r="H605" s="134" t="str">
        <f t="shared" si="99"/>
        <v>神器图纸2/首饰碎片5/烈焰玄铁5/火龙币48</v>
      </c>
    </row>
    <row r="606" spans="1:8" ht="15.75" x14ac:dyDescent="0.3">
      <c r="A606" s="53" t="s">
        <v>3169</v>
      </c>
      <c r="B606" s="53" t="s">
        <v>3225</v>
      </c>
      <c r="C606" s="54" t="s">
        <v>3230</v>
      </c>
      <c r="D606" s="53">
        <v>8</v>
      </c>
      <c r="E606" s="132"/>
      <c r="F606" s="53"/>
      <c r="G606" s="53">
        <v>80</v>
      </c>
      <c r="H606" s="134" t="str">
        <f t="shared" si="99"/>
        <v>神器图纸2/首饰碎片5/烈焰玄铁5/火龙币50</v>
      </c>
    </row>
    <row r="607" spans="1:8" ht="15.75" x14ac:dyDescent="0.3">
      <c r="A607" s="53" t="s">
        <v>3169</v>
      </c>
      <c r="B607" s="53" t="s">
        <v>3225</v>
      </c>
      <c r="C607" s="54" t="s">
        <v>3230</v>
      </c>
      <c r="D607" s="53">
        <v>9</v>
      </c>
      <c r="E607" s="132"/>
      <c r="F607" s="53"/>
      <c r="G607" s="53">
        <v>90</v>
      </c>
      <c r="H607" s="134" t="str">
        <f t="shared" si="99"/>
        <v>神器图纸2/首饰碎片5/烈焰玄铁5/火龙币53</v>
      </c>
    </row>
    <row r="608" spans="1:8" ht="15.75" x14ac:dyDescent="0.3">
      <c r="A608" s="53" t="s">
        <v>3169</v>
      </c>
      <c r="B608" s="53" t="s">
        <v>3225</v>
      </c>
      <c r="C608" s="54" t="s">
        <v>3230</v>
      </c>
      <c r="D608" s="53">
        <v>10</v>
      </c>
      <c r="E608" s="132"/>
      <c r="F608" s="53"/>
      <c r="G608" s="53">
        <v>100</v>
      </c>
      <c r="H608" s="134"/>
    </row>
    <row r="609" spans="1:8" ht="15.75" x14ac:dyDescent="0.3">
      <c r="A609" s="53" t="s">
        <v>3169</v>
      </c>
      <c r="B609" s="53" t="s">
        <v>3225</v>
      </c>
      <c r="C609" s="54" t="s">
        <v>3231</v>
      </c>
      <c r="D609" s="53">
        <v>0</v>
      </c>
      <c r="E609" s="132"/>
      <c r="F609" s="53"/>
      <c r="G609" s="135"/>
      <c r="H609" s="134" t="str">
        <f>"神器图纸"&amp;Z3&amp;"/首饰碎片"&amp;AA3&amp;"/烈焰玄铁"&amp;AB3&amp;"/火龙币"&amp;AC3</f>
        <v>神器图纸1/首饰碎片3/烈焰玄铁3/火龙币32</v>
      </c>
    </row>
    <row r="610" spans="1:8" ht="15.75" x14ac:dyDescent="0.3">
      <c r="A610" s="53" t="s">
        <v>3169</v>
      </c>
      <c r="B610" s="53" t="s">
        <v>3225</v>
      </c>
      <c r="C610" s="54" t="s">
        <v>3231</v>
      </c>
      <c r="D610" s="53">
        <v>1</v>
      </c>
      <c r="E610" s="132"/>
      <c r="F610" s="53"/>
      <c r="G610" s="53">
        <v>11</v>
      </c>
      <c r="H610" s="134" t="str">
        <f t="shared" ref="H610:H618" si="100">"神器图纸"&amp;Z4&amp;"/首饰碎片"&amp;AA4&amp;"/烈焰玄铁"&amp;AB4&amp;"/火龙币"&amp;AC4</f>
        <v>神器图纸1/首饰碎片3/烈焰玄铁3/火龙币35</v>
      </c>
    </row>
    <row r="611" spans="1:8" ht="15.75" x14ac:dyDescent="0.3">
      <c r="A611" s="53" t="s">
        <v>3169</v>
      </c>
      <c r="B611" s="53" t="s">
        <v>3225</v>
      </c>
      <c r="C611" s="54" t="s">
        <v>3231</v>
      </c>
      <c r="D611" s="53">
        <v>2</v>
      </c>
      <c r="E611" s="132"/>
      <c r="F611" s="53"/>
      <c r="G611" s="53">
        <v>22</v>
      </c>
      <c r="H611" s="134" t="str">
        <f t="shared" si="100"/>
        <v>神器图纸1/首饰碎片4/烈焰玄铁4/火龙币37</v>
      </c>
    </row>
    <row r="612" spans="1:8" ht="15.75" x14ac:dyDescent="0.3">
      <c r="A612" s="53" t="s">
        <v>3169</v>
      </c>
      <c r="B612" s="53" t="s">
        <v>3225</v>
      </c>
      <c r="C612" s="54" t="s">
        <v>3231</v>
      </c>
      <c r="D612" s="53">
        <v>3</v>
      </c>
      <c r="E612" s="132"/>
      <c r="F612" s="53"/>
      <c r="G612" s="53">
        <v>33</v>
      </c>
      <c r="H612" s="134" t="str">
        <f t="shared" si="100"/>
        <v>神器图纸2/首饰碎片4/烈焰玄铁4/火龙币39</v>
      </c>
    </row>
    <row r="613" spans="1:8" ht="15.75" x14ac:dyDescent="0.3">
      <c r="A613" s="53" t="s">
        <v>3169</v>
      </c>
      <c r="B613" s="53" t="s">
        <v>3225</v>
      </c>
      <c r="C613" s="54" t="s">
        <v>3231</v>
      </c>
      <c r="D613" s="53">
        <v>4</v>
      </c>
      <c r="E613" s="132"/>
      <c r="F613" s="53"/>
      <c r="G613" s="53">
        <v>44</v>
      </c>
      <c r="H613" s="134" t="str">
        <f t="shared" si="100"/>
        <v>神器图纸2/首饰碎片4/烈焰玄铁4/火龙币41</v>
      </c>
    </row>
    <row r="614" spans="1:8" ht="15.75" x14ac:dyDescent="0.3">
      <c r="A614" s="53" t="s">
        <v>3169</v>
      </c>
      <c r="B614" s="53" t="s">
        <v>3225</v>
      </c>
      <c r="C614" s="54" t="s">
        <v>3231</v>
      </c>
      <c r="D614" s="53">
        <v>5</v>
      </c>
      <c r="E614" s="132"/>
      <c r="F614" s="53"/>
      <c r="G614" s="53">
        <v>55</v>
      </c>
      <c r="H614" s="134" t="str">
        <f t="shared" si="100"/>
        <v>神器图纸2/首饰碎片4/烈焰玄铁4/火龙币44</v>
      </c>
    </row>
    <row r="615" spans="1:8" ht="15.75" x14ac:dyDescent="0.3">
      <c r="A615" s="53" t="s">
        <v>3169</v>
      </c>
      <c r="B615" s="53" t="s">
        <v>3225</v>
      </c>
      <c r="C615" s="54" t="s">
        <v>3231</v>
      </c>
      <c r="D615" s="53">
        <v>6</v>
      </c>
      <c r="E615" s="132"/>
      <c r="F615" s="53"/>
      <c r="G615" s="53">
        <v>66</v>
      </c>
      <c r="H615" s="134" t="str">
        <f t="shared" si="100"/>
        <v>神器图纸2/首饰碎片5/烈焰玄铁5/火龙币46</v>
      </c>
    </row>
    <row r="616" spans="1:8" ht="15.75" x14ac:dyDescent="0.3">
      <c r="A616" s="53" t="s">
        <v>3169</v>
      </c>
      <c r="B616" s="53" t="s">
        <v>3225</v>
      </c>
      <c r="C616" s="54" t="s">
        <v>3231</v>
      </c>
      <c r="D616" s="53">
        <v>7</v>
      </c>
      <c r="E616" s="132"/>
      <c r="F616" s="53"/>
      <c r="G616" s="53">
        <v>77</v>
      </c>
      <c r="H616" s="134" t="str">
        <f t="shared" si="100"/>
        <v>神器图纸2/首饰碎片5/烈焰玄铁5/火龙币48</v>
      </c>
    </row>
    <row r="617" spans="1:8" ht="15.75" x14ac:dyDescent="0.3">
      <c r="A617" s="53" t="s">
        <v>3169</v>
      </c>
      <c r="B617" s="53" t="s">
        <v>3225</v>
      </c>
      <c r="C617" s="54" t="s">
        <v>3231</v>
      </c>
      <c r="D617" s="53">
        <v>8</v>
      </c>
      <c r="E617" s="132"/>
      <c r="F617" s="53"/>
      <c r="G617" s="53">
        <v>88</v>
      </c>
      <c r="H617" s="134" t="str">
        <f t="shared" si="100"/>
        <v>神器图纸2/首饰碎片5/烈焰玄铁5/火龙币50</v>
      </c>
    </row>
    <row r="618" spans="1:8" ht="15.75" x14ac:dyDescent="0.3">
      <c r="A618" s="53" t="s">
        <v>3169</v>
      </c>
      <c r="B618" s="53" t="s">
        <v>3225</v>
      </c>
      <c r="C618" s="54" t="s">
        <v>3231</v>
      </c>
      <c r="D618" s="53">
        <v>9</v>
      </c>
      <c r="E618" s="132"/>
      <c r="F618" s="53"/>
      <c r="G618" s="53">
        <v>99</v>
      </c>
      <c r="H618" s="134" t="str">
        <f t="shared" si="100"/>
        <v>神器图纸2/首饰碎片5/烈焰玄铁5/火龙币53</v>
      </c>
    </row>
    <row r="619" spans="1:8" ht="15.75" x14ac:dyDescent="0.3">
      <c r="A619" s="53" t="s">
        <v>3169</v>
      </c>
      <c r="B619" s="53" t="s">
        <v>3225</v>
      </c>
      <c r="C619" s="54" t="s">
        <v>3231</v>
      </c>
      <c r="D619" s="53">
        <v>10</v>
      </c>
      <c r="E619" s="132"/>
      <c r="F619" s="53"/>
      <c r="G619" s="53">
        <v>110</v>
      </c>
      <c r="H619" s="134"/>
    </row>
    <row r="620" spans="1:8" ht="15.75" x14ac:dyDescent="0.3">
      <c r="A620" s="53" t="s">
        <v>3169</v>
      </c>
      <c r="B620" s="53" t="s">
        <v>3225</v>
      </c>
      <c r="C620" s="54" t="s">
        <v>3232</v>
      </c>
      <c r="D620" s="53">
        <v>0</v>
      </c>
      <c r="E620" s="132"/>
      <c r="F620" s="53"/>
      <c r="G620" s="135"/>
      <c r="H620" s="134" t="str">
        <f>"神器图纸"&amp;Z3&amp;"/首饰碎片"&amp;AA3&amp;"/烈焰玄铁"&amp;AB3&amp;"/火龙币"&amp;AC3</f>
        <v>神器图纸1/首饰碎片3/烈焰玄铁3/火龙币32</v>
      </c>
    </row>
    <row r="621" spans="1:8" ht="15.75" x14ac:dyDescent="0.3">
      <c r="A621" s="53" t="s">
        <v>3169</v>
      </c>
      <c r="B621" s="53" t="s">
        <v>3225</v>
      </c>
      <c r="C621" s="54" t="s">
        <v>3232</v>
      </c>
      <c r="D621" s="53">
        <v>1</v>
      </c>
      <c r="E621" s="132"/>
      <c r="F621" s="53"/>
      <c r="G621" s="53">
        <v>12</v>
      </c>
      <c r="H621" s="134" t="str">
        <f t="shared" ref="H621:H629" si="101">"神器图纸"&amp;Z4&amp;"/首饰碎片"&amp;AA4&amp;"/烈焰玄铁"&amp;AB4&amp;"/火龙币"&amp;AC4</f>
        <v>神器图纸1/首饰碎片3/烈焰玄铁3/火龙币35</v>
      </c>
    </row>
    <row r="622" spans="1:8" ht="15.75" x14ac:dyDescent="0.3">
      <c r="A622" s="53" t="s">
        <v>3169</v>
      </c>
      <c r="B622" s="53" t="s">
        <v>3225</v>
      </c>
      <c r="C622" s="54" t="s">
        <v>3232</v>
      </c>
      <c r="D622" s="53">
        <v>2</v>
      </c>
      <c r="E622" s="132"/>
      <c r="F622" s="53"/>
      <c r="G622" s="53">
        <v>24</v>
      </c>
      <c r="H622" s="134" t="str">
        <f t="shared" si="101"/>
        <v>神器图纸1/首饰碎片4/烈焰玄铁4/火龙币37</v>
      </c>
    </row>
    <row r="623" spans="1:8" ht="15.75" x14ac:dyDescent="0.3">
      <c r="A623" s="53" t="s">
        <v>3169</v>
      </c>
      <c r="B623" s="53" t="s">
        <v>3225</v>
      </c>
      <c r="C623" s="54" t="s">
        <v>3232</v>
      </c>
      <c r="D623" s="53">
        <v>3</v>
      </c>
      <c r="E623" s="132"/>
      <c r="F623" s="53"/>
      <c r="G623" s="53">
        <v>36</v>
      </c>
      <c r="H623" s="134" t="str">
        <f t="shared" si="101"/>
        <v>神器图纸2/首饰碎片4/烈焰玄铁4/火龙币39</v>
      </c>
    </row>
    <row r="624" spans="1:8" ht="15.75" x14ac:dyDescent="0.3">
      <c r="A624" s="53" t="s">
        <v>3169</v>
      </c>
      <c r="B624" s="53" t="s">
        <v>3225</v>
      </c>
      <c r="C624" s="54" t="s">
        <v>3232</v>
      </c>
      <c r="D624" s="53">
        <v>4</v>
      </c>
      <c r="E624" s="132"/>
      <c r="F624" s="53"/>
      <c r="G624" s="53">
        <v>48</v>
      </c>
      <c r="H624" s="134" t="str">
        <f t="shared" si="101"/>
        <v>神器图纸2/首饰碎片4/烈焰玄铁4/火龙币41</v>
      </c>
    </row>
    <row r="625" spans="1:8" ht="15.75" x14ac:dyDescent="0.3">
      <c r="A625" s="53" t="s">
        <v>3169</v>
      </c>
      <c r="B625" s="53" t="s">
        <v>3225</v>
      </c>
      <c r="C625" s="54" t="s">
        <v>3232</v>
      </c>
      <c r="D625" s="53">
        <v>5</v>
      </c>
      <c r="E625" s="132"/>
      <c r="F625" s="53"/>
      <c r="G625" s="53">
        <v>60</v>
      </c>
      <c r="H625" s="134" t="str">
        <f t="shared" si="101"/>
        <v>神器图纸2/首饰碎片4/烈焰玄铁4/火龙币44</v>
      </c>
    </row>
    <row r="626" spans="1:8" ht="15.75" x14ac:dyDescent="0.3">
      <c r="A626" s="53" t="s">
        <v>3169</v>
      </c>
      <c r="B626" s="53" t="s">
        <v>3225</v>
      </c>
      <c r="C626" s="54" t="s">
        <v>3232</v>
      </c>
      <c r="D626" s="53">
        <v>6</v>
      </c>
      <c r="E626" s="132"/>
      <c r="F626" s="53"/>
      <c r="G626" s="53">
        <v>72</v>
      </c>
      <c r="H626" s="134" t="str">
        <f t="shared" si="101"/>
        <v>神器图纸2/首饰碎片5/烈焰玄铁5/火龙币46</v>
      </c>
    </row>
    <row r="627" spans="1:8" ht="15.75" x14ac:dyDescent="0.3">
      <c r="A627" s="53" t="s">
        <v>3169</v>
      </c>
      <c r="B627" s="53" t="s">
        <v>3225</v>
      </c>
      <c r="C627" s="54" t="s">
        <v>3232</v>
      </c>
      <c r="D627" s="53">
        <v>7</v>
      </c>
      <c r="E627" s="132"/>
      <c r="F627" s="53"/>
      <c r="G627" s="53">
        <v>84</v>
      </c>
      <c r="H627" s="134" t="str">
        <f t="shared" si="101"/>
        <v>神器图纸2/首饰碎片5/烈焰玄铁5/火龙币48</v>
      </c>
    </row>
    <row r="628" spans="1:8" ht="15.75" x14ac:dyDescent="0.3">
      <c r="A628" s="53" t="s">
        <v>3169</v>
      </c>
      <c r="B628" s="53" t="s">
        <v>3225</v>
      </c>
      <c r="C628" s="54" t="s">
        <v>3232</v>
      </c>
      <c r="D628" s="53">
        <v>8</v>
      </c>
      <c r="E628" s="132"/>
      <c r="F628" s="53"/>
      <c r="G628" s="53">
        <v>96</v>
      </c>
      <c r="H628" s="134" t="str">
        <f t="shared" si="101"/>
        <v>神器图纸2/首饰碎片5/烈焰玄铁5/火龙币50</v>
      </c>
    </row>
    <row r="629" spans="1:8" ht="15.75" x14ac:dyDescent="0.3">
      <c r="A629" s="53" t="s">
        <v>3169</v>
      </c>
      <c r="B629" s="53" t="s">
        <v>3225</v>
      </c>
      <c r="C629" s="54" t="s">
        <v>3232</v>
      </c>
      <c r="D629" s="53">
        <v>9</v>
      </c>
      <c r="E629" s="132"/>
      <c r="F629" s="53"/>
      <c r="G629" s="53">
        <v>108</v>
      </c>
      <c r="H629" s="134" t="str">
        <f t="shared" si="101"/>
        <v>神器图纸2/首饰碎片5/烈焰玄铁5/火龙币53</v>
      </c>
    </row>
    <row r="630" spans="1:8" ht="15.75" x14ac:dyDescent="0.3">
      <c r="A630" s="53" t="s">
        <v>3169</v>
      </c>
      <c r="B630" s="53" t="s">
        <v>3225</v>
      </c>
      <c r="C630" s="54" t="s">
        <v>3232</v>
      </c>
      <c r="D630" s="53">
        <v>10</v>
      </c>
      <c r="E630" s="132"/>
      <c r="F630" s="53"/>
      <c r="G630" s="53">
        <v>120</v>
      </c>
      <c r="H630" s="134"/>
    </row>
    <row r="631" spans="1:8" ht="15.75" x14ac:dyDescent="0.3">
      <c r="A631" s="53" t="s">
        <v>3169</v>
      </c>
      <c r="B631" s="53" t="s">
        <v>3225</v>
      </c>
      <c r="C631" s="54" t="s">
        <v>3233</v>
      </c>
      <c r="D631" s="53">
        <v>0</v>
      </c>
      <c r="E631" s="132"/>
      <c r="F631" s="53"/>
      <c r="G631" s="135"/>
      <c r="H631" s="134" t="str">
        <f>"神器图纸"&amp;Z3&amp;"/首饰碎片"&amp;AA3&amp;"/烈焰玄铁"&amp;AB3&amp;"/火龙币"&amp;AC3</f>
        <v>神器图纸1/首饰碎片3/烈焰玄铁3/火龙币32</v>
      </c>
    </row>
    <row r="632" spans="1:8" ht="15.75" x14ac:dyDescent="0.3">
      <c r="A632" s="53" t="s">
        <v>3169</v>
      </c>
      <c r="B632" s="53" t="s">
        <v>3225</v>
      </c>
      <c r="C632" s="54" t="s">
        <v>3233</v>
      </c>
      <c r="D632" s="53">
        <v>1</v>
      </c>
      <c r="E632" s="132"/>
      <c r="F632" s="53"/>
      <c r="G632" s="53">
        <v>13</v>
      </c>
      <c r="H632" s="134" t="str">
        <f t="shared" ref="H632:H640" si="102">"神器图纸"&amp;Z4&amp;"/首饰碎片"&amp;AA4&amp;"/烈焰玄铁"&amp;AB4&amp;"/火龙币"&amp;AC4</f>
        <v>神器图纸1/首饰碎片3/烈焰玄铁3/火龙币35</v>
      </c>
    </row>
    <row r="633" spans="1:8" ht="15.75" x14ac:dyDescent="0.3">
      <c r="A633" s="53" t="s">
        <v>3169</v>
      </c>
      <c r="B633" s="53" t="s">
        <v>3225</v>
      </c>
      <c r="C633" s="54" t="s">
        <v>3233</v>
      </c>
      <c r="D633" s="53">
        <v>2</v>
      </c>
      <c r="E633" s="132"/>
      <c r="F633" s="53"/>
      <c r="G633" s="53">
        <v>26</v>
      </c>
      <c r="H633" s="134" t="str">
        <f t="shared" si="102"/>
        <v>神器图纸1/首饰碎片4/烈焰玄铁4/火龙币37</v>
      </c>
    </row>
    <row r="634" spans="1:8" ht="15.75" x14ac:dyDescent="0.3">
      <c r="A634" s="53" t="s">
        <v>3169</v>
      </c>
      <c r="B634" s="53" t="s">
        <v>3225</v>
      </c>
      <c r="C634" s="54" t="s">
        <v>3233</v>
      </c>
      <c r="D634" s="53">
        <v>3</v>
      </c>
      <c r="E634" s="132"/>
      <c r="F634" s="53"/>
      <c r="G634" s="53">
        <v>39</v>
      </c>
      <c r="H634" s="134" t="str">
        <f t="shared" si="102"/>
        <v>神器图纸2/首饰碎片4/烈焰玄铁4/火龙币39</v>
      </c>
    </row>
    <row r="635" spans="1:8" ht="15.75" x14ac:dyDescent="0.3">
      <c r="A635" s="53" t="s">
        <v>3169</v>
      </c>
      <c r="B635" s="53" t="s">
        <v>3225</v>
      </c>
      <c r="C635" s="54" t="s">
        <v>3233</v>
      </c>
      <c r="D635" s="53">
        <v>4</v>
      </c>
      <c r="E635" s="132"/>
      <c r="F635" s="53"/>
      <c r="G635" s="53">
        <v>52</v>
      </c>
      <c r="H635" s="134" t="str">
        <f t="shared" si="102"/>
        <v>神器图纸2/首饰碎片4/烈焰玄铁4/火龙币41</v>
      </c>
    </row>
    <row r="636" spans="1:8" ht="15.75" x14ac:dyDescent="0.3">
      <c r="A636" s="53" t="s">
        <v>3169</v>
      </c>
      <c r="B636" s="53" t="s">
        <v>3225</v>
      </c>
      <c r="C636" s="54" t="s">
        <v>3233</v>
      </c>
      <c r="D636" s="53">
        <v>5</v>
      </c>
      <c r="E636" s="132"/>
      <c r="F636" s="53"/>
      <c r="G636" s="53">
        <v>65</v>
      </c>
      <c r="H636" s="134" t="str">
        <f t="shared" si="102"/>
        <v>神器图纸2/首饰碎片4/烈焰玄铁4/火龙币44</v>
      </c>
    </row>
    <row r="637" spans="1:8" ht="15.75" x14ac:dyDescent="0.3">
      <c r="A637" s="53" t="s">
        <v>3169</v>
      </c>
      <c r="B637" s="53" t="s">
        <v>3225</v>
      </c>
      <c r="C637" s="54" t="s">
        <v>3233</v>
      </c>
      <c r="D637" s="53">
        <v>6</v>
      </c>
      <c r="E637" s="132"/>
      <c r="F637" s="53"/>
      <c r="G637" s="53">
        <v>78</v>
      </c>
      <c r="H637" s="134" t="str">
        <f t="shared" si="102"/>
        <v>神器图纸2/首饰碎片5/烈焰玄铁5/火龙币46</v>
      </c>
    </row>
    <row r="638" spans="1:8" ht="15.75" x14ac:dyDescent="0.3">
      <c r="A638" s="53" t="s">
        <v>3169</v>
      </c>
      <c r="B638" s="53" t="s">
        <v>3225</v>
      </c>
      <c r="C638" s="54" t="s">
        <v>3233</v>
      </c>
      <c r="D638" s="53">
        <v>7</v>
      </c>
      <c r="E638" s="132"/>
      <c r="F638" s="53"/>
      <c r="G638" s="53">
        <v>91</v>
      </c>
      <c r="H638" s="134" t="str">
        <f t="shared" si="102"/>
        <v>神器图纸2/首饰碎片5/烈焰玄铁5/火龙币48</v>
      </c>
    </row>
    <row r="639" spans="1:8" ht="15.75" x14ac:dyDescent="0.3">
      <c r="A639" s="53" t="s">
        <v>3169</v>
      </c>
      <c r="B639" s="53" t="s">
        <v>3225</v>
      </c>
      <c r="C639" s="54" t="s">
        <v>3233</v>
      </c>
      <c r="D639" s="53">
        <v>8</v>
      </c>
      <c r="E639" s="132"/>
      <c r="F639" s="53"/>
      <c r="G639" s="53">
        <v>104</v>
      </c>
      <c r="H639" s="134" t="str">
        <f t="shared" si="102"/>
        <v>神器图纸2/首饰碎片5/烈焰玄铁5/火龙币50</v>
      </c>
    </row>
    <row r="640" spans="1:8" ht="15.75" x14ac:dyDescent="0.3">
      <c r="A640" s="53" t="s">
        <v>3169</v>
      </c>
      <c r="B640" s="53" t="s">
        <v>3225</v>
      </c>
      <c r="C640" s="54" t="s">
        <v>3233</v>
      </c>
      <c r="D640" s="53">
        <v>9</v>
      </c>
      <c r="E640" s="132"/>
      <c r="F640" s="53"/>
      <c r="G640" s="53">
        <v>117</v>
      </c>
      <c r="H640" s="134" t="str">
        <f t="shared" si="102"/>
        <v>神器图纸2/首饰碎片5/烈焰玄铁5/火龙币53</v>
      </c>
    </row>
    <row r="641" spans="1:8" ht="15.75" x14ac:dyDescent="0.3">
      <c r="A641" s="53" t="s">
        <v>3169</v>
      </c>
      <c r="B641" s="53" t="s">
        <v>3225</v>
      </c>
      <c r="C641" s="54" t="s">
        <v>3233</v>
      </c>
      <c r="D641" s="53">
        <v>10</v>
      </c>
      <c r="E641" s="132"/>
      <c r="F641" s="53"/>
      <c r="G641" s="53">
        <v>130</v>
      </c>
      <c r="H641" s="134"/>
    </row>
    <row r="642" spans="1:8" ht="15.75" x14ac:dyDescent="0.3">
      <c r="A642" s="53" t="s">
        <v>3169</v>
      </c>
      <c r="B642" s="53" t="s">
        <v>3225</v>
      </c>
      <c r="C642" s="54" t="s">
        <v>3234</v>
      </c>
      <c r="D642" s="53">
        <v>0</v>
      </c>
      <c r="E642" s="132"/>
      <c r="F642" s="53"/>
      <c r="G642" s="135"/>
      <c r="H642" s="134" t="str">
        <f>"神器图纸"&amp;Z3&amp;"/首饰碎片"&amp;AA3&amp;"/烈焰玄铁"&amp;AB3&amp;"/火龙币"&amp;AC3</f>
        <v>神器图纸1/首饰碎片3/烈焰玄铁3/火龙币32</v>
      </c>
    </row>
    <row r="643" spans="1:8" ht="15.75" x14ac:dyDescent="0.3">
      <c r="A643" s="53" t="s">
        <v>3169</v>
      </c>
      <c r="B643" s="53" t="s">
        <v>3225</v>
      </c>
      <c r="C643" s="54" t="s">
        <v>3234</v>
      </c>
      <c r="D643" s="53">
        <v>1</v>
      </c>
      <c r="E643" s="132"/>
      <c r="F643" s="53"/>
      <c r="G643" s="53">
        <v>14</v>
      </c>
      <c r="H643" s="134" t="str">
        <f t="shared" ref="H643:H651" si="103">"神器图纸"&amp;Z4&amp;"/首饰碎片"&amp;AA4&amp;"/烈焰玄铁"&amp;AB4&amp;"/火龙币"&amp;AC4</f>
        <v>神器图纸1/首饰碎片3/烈焰玄铁3/火龙币35</v>
      </c>
    </row>
    <row r="644" spans="1:8" ht="15.75" x14ac:dyDescent="0.3">
      <c r="A644" s="53" t="s">
        <v>3169</v>
      </c>
      <c r="B644" s="53" t="s">
        <v>3225</v>
      </c>
      <c r="C644" s="54" t="s">
        <v>3234</v>
      </c>
      <c r="D644" s="53">
        <v>2</v>
      </c>
      <c r="E644" s="132"/>
      <c r="F644" s="53"/>
      <c r="G644" s="53">
        <v>28</v>
      </c>
      <c r="H644" s="134" t="str">
        <f t="shared" si="103"/>
        <v>神器图纸1/首饰碎片4/烈焰玄铁4/火龙币37</v>
      </c>
    </row>
    <row r="645" spans="1:8" ht="15.75" x14ac:dyDescent="0.3">
      <c r="A645" s="53" t="s">
        <v>3169</v>
      </c>
      <c r="B645" s="53" t="s">
        <v>3225</v>
      </c>
      <c r="C645" s="54" t="s">
        <v>3234</v>
      </c>
      <c r="D645" s="53">
        <v>3</v>
      </c>
      <c r="E645" s="132"/>
      <c r="F645" s="53"/>
      <c r="G645" s="53">
        <v>42</v>
      </c>
      <c r="H645" s="134" t="str">
        <f t="shared" si="103"/>
        <v>神器图纸2/首饰碎片4/烈焰玄铁4/火龙币39</v>
      </c>
    </row>
    <row r="646" spans="1:8" ht="15.75" x14ac:dyDescent="0.3">
      <c r="A646" s="53" t="s">
        <v>3169</v>
      </c>
      <c r="B646" s="53" t="s">
        <v>3225</v>
      </c>
      <c r="C646" s="54" t="s">
        <v>3234</v>
      </c>
      <c r="D646" s="53">
        <v>4</v>
      </c>
      <c r="E646" s="132"/>
      <c r="F646" s="53"/>
      <c r="G646" s="53">
        <v>56</v>
      </c>
      <c r="H646" s="134" t="str">
        <f t="shared" si="103"/>
        <v>神器图纸2/首饰碎片4/烈焰玄铁4/火龙币41</v>
      </c>
    </row>
    <row r="647" spans="1:8" ht="15.75" x14ac:dyDescent="0.3">
      <c r="A647" s="53" t="s">
        <v>3169</v>
      </c>
      <c r="B647" s="53" t="s">
        <v>3225</v>
      </c>
      <c r="C647" s="54" t="s">
        <v>3234</v>
      </c>
      <c r="D647" s="53">
        <v>5</v>
      </c>
      <c r="E647" s="132"/>
      <c r="F647" s="53"/>
      <c r="G647" s="53">
        <v>70</v>
      </c>
      <c r="H647" s="134" t="str">
        <f t="shared" si="103"/>
        <v>神器图纸2/首饰碎片4/烈焰玄铁4/火龙币44</v>
      </c>
    </row>
    <row r="648" spans="1:8" ht="15.75" x14ac:dyDescent="0.3">
      <c r="A648" s="53" t="s">
        <v>3169</v>
      </c>
      <c r="B648" s="53" t="s">
        <v>3225</v>
      </c>
      <c r="C648" s="54" t="s">
        <v>3234</v>
      </c>
      <c r="D648" s="53">
        <v>6</v>
      </c>
      <c r="E648" s="132"/>
      <c r="F648" s="53"/>
      <c r="G648" s="53">
        <v>84</v>
      </c>
      <c r="H648" s="134" t="str">
        <f t="shared" si="103"/>
        <v>神器图纸2/首饰碎片5/烈焰玄铁5/火龙币46</v>
      </c>
    </row>
    <row r="649" spans="1:8" ht="15.75" x14ac:dyDescent="0.3">
      <c r="A649" s="53" t="s">
        <v>3169</v>
      </c>
      <c r="B649" s="53" t="s">
        <v>3225</v>
      </c>
      <c r="C649" s="54" t="s">
        <v>3234</v>
      </c>
      <c r="D649" s="53">
        <v>7</v>
      </c>
      <c r="E649" s="132"/>
      <c r="F649" s="53"/>
      <c r="G649" s="53">
        <v>98</v>
      </c>
      <c r="H649" s="134" t="str">
        <f t="shared" si="103"/>
        <v>神器图纸2/首饰碎片5/烈焰玄铁5/火龙币48</v>
      </c>
    </row>
    <row r="650" spans="1:8" ht="15.75" x14ac:dyDescent="0.3">
      <c r="A650" s="53" t="s">
        <v>3169</v>
      </c>
      <c r="B650" s="53" t="s">
        <v>3225</v>
      </c>
      <c r="C650" s="54" t="s">
        <v>3234</v>
      </c>
      <c r="D650" s="53">
        <v>8</v>
      </c>
      <c r="E650" s="132"/>
      <c r="F650" s="53"/>
      <c r="G650" s="53">
        <v>112</v>
      </c>
      <c r="H650" s="134" t="str">
        <f t="shared" si="103"/>
        <v>神器图纸2/首饰碎片5/烈焰玄铁5/火龙币50</v>
      </c>
    </row>
    <row r="651" spans="1:8" ht="15.75" x14ac:dyDescent="0.3">
      <c r="A651" s="53" t="s">
        <v>3169</v>
      </c>
      <c r="B651" s="53" t="s">
        <v>3225</v>
      </c>
      <c r="C651" s="54" t="s">
        <v>3234</v>
      </c>
      <c r="D651" s="53">
        <v>9</v>
      </c>
      <c r="E651" s="132"/>
      <c r="F651" s="53"/>
      <c r="G651" s="53">
        <v>126</v>
      </c>
      <c r="H651" s="134" t="str">
        <f t="shared" si="103"/>
        <v>神器图纸2/首饰碎片5/烈焰玄铁5/火龙币53</v>
      </c>
    </row>
    <row r="652" spans="1:8" ht="15.75" x14ac:dyDescent="0.3">
      <c r="A652" s="53" t="s">
        <v>3169</v>
      </c>
      <c r="B652" s="53" t="s">
        <v>3225</v>
      </c>
      <c r="C652" s="54" t="s">
        <v>3234</v>
      </c>
      <c r="D652" s="53">
        <v>10</v>
      </c>
      <c r="E652" s="132"/>
      <c r="F652" s="53"/>
      <c r="G652" s="53">
        <v>140</v>
      </c>
      <c r="H652" s="134"/>
    </row>
    <row r="653" spans="1:8" ht="15.75" x14ac:dyDescent="0.3">
      <c r="A653" s="53" t="s">
        <v>3169</v>
      </c>
      <c r="B653" s="53" t="s">
        <v>3225</v>
      </c>
      <c r="C653" s="54" t="s">
        <v>3235</v>
      </c>
      <c r="D653" s="53">
        <v>0</v>
      </c>
      <c r="E653" s="132"/>
      <c r="F653" s="53"/>
      <c r="G653" s="135"/>
      <c r="H653" s="134" t="str">
        <f>"神器图纸"&amp;Z3&amp;"/首饰碎片"&amp;AA3&amp;"/烈焰玄铁"&amp;AB3&amp;"/火龙币"&amp;AC3</f>
        <v>神器图纸1/首饰碎片3/烈焰玄铁3/火龙币32</v>
      </c>
    </row>
    <row r="654" spans="1:8" ht="15.75" x14ac:dyDescent="0.3">
      <c r="A654" s="53" t="s">
        <v>3169</v>
      </c>
      <c r="B654" s="53" t="s">
        <v>3225</v>
      </c>
      <c r="C654" s="54" t="s">
        <v>3235</v>
      </c>
      <c r="D654" s="53">
        <v>1</v>
      </c>
      <c r="E654" s="132"/>
      <c r="F654" s="53"/>
      <c r="G654" s="53">
        <v>15</v>
      </c>
      <c r="H654" s="134" t="str">
        <f t="shared" ref="H654:H662" si="104">"神器图纸"&amp;Z4&amp;"/首饰碎片"&amp;AA4&amp;"/烈焰玄铁"&amp;AB4&amp;"/火龙币"&amp;AC4</f>
        <v>神器图纸1/首饰碎片3/烈焰玄铁3/火龙币35</v>
      </c>
    </row>
    <row r="655" spans="1:8" ht="15.75" x14ac:dyDescent="0.3">
      <c r="A655" s="53" t="s">
        <v>3169</v>
      </c>
      <c r="B655" s="53" t="s">
        <v>3225</v>
      </c>
      <c r="C655" s="54" t="s">
        <v>3235</v>
      </c>
      <c r="D655" s="53">
        <v>2</v>
      </c>
      <c r="E655" s="132"/>
      <c r="F655" s="53"/>
      <c r="G655" s="53">
        <v>30</v>
      </c>
      <c r="H655" s="134" t="str">
        <f t="shared" si="104"/>
        <v>神器图纸1/首饰碎片4/烈焰玄铁4/火龙币37</v>
      </c>
    </row>
    <row r="656" spans="1:8" ht="15.75" x14ac:dyDescent="0.3">
      <c r="A656" s="53" t="s">
        <v>3169</v>
      </c>
      <c r="B656" s="53" t="s">
        <v>3225</v>
      </c>
      <c r="C656" s="54" t="s">
        <v>3235</v>
      </c>
      <c r="D656" s="53">
        <v>3</v>
      </c>
      <c r="E656" s="132"/>
      <c r="F656" s="53"/>
      <c r="G656" s="53">
        <v>45</v>
      </c>
      <c r="H656" s="134" t="str">
        <f t="shared" si="104"/>
        <v>神器图纸2/首饰碎片4/烈焰玄铁4/火龙币39</v>
      </c>
    </row>
    <row r="657" spans="1:8" ht="15.75" x14ac:dyDescent="0.3">
      <c r="A657" s="53" t="s">
        <v>3169</v>
      </c>
      <c r="B657" s="53" t="s">
        <v>3225</v>
      </c>
      <c r="C657" s="54" t="s">
        <v>3235</v>
      </c>
      <c r="D657" s="53">
        <v>4</v>
      </c>
      <c r="E657" s="132"/>
      <c r="F657" s="53"/>
      <c r="G657" s="53">
        <v>60</v>
      </c>
      <c r="H657" s="134" t="str">
        <f t="shared" si="104"/>
        <v>神器图纸2/首饰碎片4/烈焰玄铁4/火龙币41</v>
      </c>
    </row>
    <row r="658" spans="1:8" ht="15.75" x14ac:dyDescent="0.3">
      <c r="A658" s="53" t="s">
        <v>3169</v>
      </c>
      <c r="B658" s="53" t="s">
        <v>3225</v>
      </c>
      <c r="C658" s="54" t="s">
        <v>3235</v>
      </c>
      <c r="D658" s="53">
        <v>5</v>
      </c>
      <c r="E658" s="132"/>
      <c r="F658" s="53"/>
      <c r="G658" s="53">
        <v>75</v>
      </c>
      <c r="H658" s="134" t="str">
        <f t="shared" si="104"/>
        <v>神器图纸2/首饰碎片4/烈焰玄铁4/火龙币44</v>
      </c>
    </row>
    <row r="659" spans="1:8" ht="15.75" x14ac:dyDescent="0.3">
      <c r="A659" s="53" t="s">
        <v>3169</v>
      </c>
      <c r="B659" s="53" t="s">
        <v>3225</v>
      </c>
      <c r="C659" s="54" t="s">
        <v>3235</v>
      </c>
      <c r="D659" s="53">
        <v>6</v>
      </c>
      <c r="E659" s="132"/>
      <c r="F659" s="53"/>
      <c r="G659" s="53">
        <v>90</v>
      </c>
      <c r="H659" s="134" t="str">
        <f t="shared" si="104"/>
        <v>神器图纸2/首饰碎片5/烈焰玄铁5/火龙币46</v>
      </c>
    </row>
    <row r="660" spans="1:8" ht="15.75" x14ac:dyDescent="0.3">
      <c r="A660" s="53" t="s">
        <v>3169</v>
      </c>
      <c r="B660" s="53" t="s">
        <v>3225</v>
      </c>
      <c r="C660" s="54" t="s">
        <v>3235</v>
      </c>
      <c r="D660" s="53">
        <v>7</v>
      </c>
      <c r="E660" s="132"/>
      <c r="F660" s="53"/>
      <c r="G660" s="53">
        <v>105</v>
      </c>
      <c r="H660" s="134" t="str">
        <f t="shared" si="104"/>
        <v>神器图纸2/首饰碎片5/烈焰玄铁5/火龙币48</v>
      </c>
    </row>
    <row r="661" spans="1:8" ht="15.75" x14ac:dyDescent="0.3">
      <c r="A661" s="53" t="s">
        <v>3169</v>
      </c>
      <c r="B661" s="53" t="s">
        <v>3225</v>
      </c>
      <c r="C661" s="54" t="s">
        <v>3235</v>
      </c>
      <c r="D661" s="53">
        <v>8</v>
      </c>
      <c r="E661" s="132"/>
      <c r="F661" s="53"/>
      <c r="G661" s="53">
        <v>120</v>
      </c>
      <c r="H661" s="134" t="str">
        <f t="shared" si="104"/>
        <v>神器图纸2/首饰碎片5/烈焰玄铁5/火龙币50</v>
      </c>
    </row>
    <row r="662" spans="1:8" ht="15.75" x14ac:dyDescent="0.3">
      <c r="A662" s="53" t="s">
        <v>3169</v>
      </c>
      <c r="B662" s="53" t="s">
        <v>3225</v>
      </c>
      <c r="C662" s="54" t="s">
        <v>3235</v>
      </c>
      <c r="D662" s="53">
        <v>9</v>
      </c>
      <c r="E662" s="132"/>
      <c r="F662" s="53"/>
      <c r="G662" s="53">
        <v>135</v>
      </c>
      <c r="H662" s="134" t="str">
        <f t="shared" si="104"/>
        <v>神器图纸2/首饰碎片5/烈焰玄铁5/火龙币53</v>
      </c>
    </row>
    <row r="663" spans="1:8" ht="15.75" x14ac:dyDescent="0.3">
      <c r="A663" s="53" t="s">
        <v>3169</v>
      </c>
      <c r="B663" s="53" t="s">
        <v>3225</v>
      </c>
      <c r="C663" s="54" t="s">
        <v>3235</v>
      </c>
      <c r="D663" s="53">
        <v>10</v>
      </c>
      <c r="E663" s="132"/>
      <c r="F663" s="53"/>
      <c r="G663" s="53">
        <v>150</v>
      </c>
      <c r="H663" s="134"/>
    </row>
    <row r="664" spans="1:8" ht="15.75" x14ac:dyDescent="0.3">
      <c r="A664" s="35" t="s">
        <v>3169</v>
      </c>
      <c r="B664" s="35" t="s">
        <v>3236</v>
      </c>
      <c r="C664" s="41" t="s">
        <v>3237</v>
      </c>
      <c r="D664" s="35">
        <v>0</v>
      </c>
      <c r="E664" s="111"/>
      <c r="F664" s="35"/>
      <c r="G664" s="113"/>
      <c r="H664" s="37" t="str">
        <f>"神器图纸"&amp;Z3&amp;"/防具碎片"&amp;AA3&amp;"/烈焰玄铁"&amp;AB3&amp;"/火龙币"&amp;AC3</f>
        <v>神器图纸1/防具碎片3/烈焰玄铁3/火龙币32</v>
      </c>
    </row>
    <row r="665" spans="1:8" ht="15.75" x14ac:dyDescent="0.3">
      <c r="A665" s="35" t="s">
        <v>3169</v>
      </c>
      <c r="B665" s="35" t="s">
        <v>3236</v>
      </c>
      <c r="C665" s="41" t="s">
        <v>3237</v>
      </c>
      <c r="D665" s="35">
        <v>1</v>
      </c>
      <c r="E665" s="111"/>
      <c r="F665" s="35"/>
      <c r="G665" s="35">
        <v>4</v>
      </c>
      <c r="H665" s="37" t="str">
        <f t="shared" ref="H665:H673" si="105">"神器图纸"&amp;Z4&amp;"/防具碎片"&amp;AA4&amp;"/烈焰玄铁"&amp;AB4&amp;"/火龙币"&amp;AC4</f>
        <v>神器图纸1/防具碎片3/烈焰玄铁3/火龙币35</v>
      </c>
    </row>
    <row r="666" spans="1:8" ht="15.75" x14ac:dyDescent="0.3">
      <c r="A666" s="35" t="s">
        <v>3169</v>
      </c>
      <c r="B666" s="35" t="s">
        <v>3236</v>
      </c>
      <c r="C666" s="41" t="s">
        <v>3237</v>
      </c>
      <c r="D666" s="35">
        <v>2</v>
      </c>
      <c r="E666" s="111"/>
      <c r="F666" s="35"/>
      <c r="G666" s="35">
        <v>8</v>
      </c>
      <c r="H666" s="37" t="str">
        <f t="shared" si="105"/>
        <v>神器图纸1/防具碎片4/烈焰玄铁4/火龙币37</v>
      </c>
    </row>
    <row r="667" spans="1:8" ht="15.75" x14ac:dyDescent="0.3">
      <c r="A667" s="35" t="s">
        <v>3169</v>
      </c>
      <c r="B667" s="35" t="s">
        <v>3236</v>
      </c>
      <c r="C667" s="41" t="s">
        <v>3237</v>
      </c>
      <c r="D667" s="35">
        <v>3</v>
      </c>
      <c r="E667" s="111"/>
      <c r="F667" s="35"/>
      <c r="G667" s="35">
        <v>12</v>
      </c>
      <c r="H667" s="37" t="str">
        <f t="shared" si="105"/>
        <v>神器图纸2/防具碎片4/烈焰玄铁4/火龙币39</v>
      </c>
    </row>
    <row r="668" spans="1:8" ht="15.75" x14ac:dyDescent="0.3">
      <c r="A668" s="35" t="s">
        <v>3169</v>
      </c>
      <c r="B668" s="35" t="s">
        <v>3236</v>
      </c>
      <c r="C668" s="41" t="s">
        <v>3237</v>
      </c>
      <c r="D668" s="35">
        <v>4</v>
      </c>
      <c r="E668" s="111"/>
      <c r="F668" s="35"/>
      <c r="G668" s="35">
        <v>16</v>
      </c>
      <c r="H668" s="37" t="str">
        <f t="shared" si="105"/>
        <v>神器图纸2/防具碎片4/烈焰玄铁4/火龙币41</v>
      </c>
    </row>
    <row r="669" spans="1:8" ht="15.75" x14ac:dyDescent="0.3">
      <c r="A669" s="35" t="s">
        <v>3169</v>
      </c>
      <c r="B669" s="35" t="s">
        <v>3236</v>
      </c>
      <c r="C669" s="41" t="s">
        <v>3237</v>
      </c>
      <c r="D669" s="35">
        <v>5</v>
      </c>
      <c r="E669" s="111"/>
      <c r="F669" s="35"/>
      <c r="G669" s="35">
        <v>20</v>
      </c>
      <c r="H669" s="37" t="str">
        <f t="shared" si="105"/>
        <v>神器图纸2/防具碎片4/烈焰玄铁4/火龙币44</v>
      </c>
    </row>
    <row r="670" spans="1:8" ht="15.75" x14ac:dyDescent="0.3">
      <c r="A670" s="35" t="s">
        <v>3169</v>
      </c>
      <c r="B670" s="35" t="s">
        <v>3236</v>
      </c>
      <c r="C670" s="41" t="s">
        <v>3237</v>
      </c>
      <c r="D670" s="35">
        <v>6</v>
      </c>
      <c r="E670" s="111"/>
      <c r="F670" s="35"/>
      <c r="G670" s="35">
        <v>24</v>
      </c>
      <c r="H670" s="37" t="str">
        <f t="shared" si="105"/>
        <v>神器图纸2/防具碎片5/烈焰玄铁5/火龙币46</v>
      </c>
    </row>
    <row r="671" spans="1:8" ht="15.75" x14ac:dyDescent="0.3">
      <c r="A671" s="35" t="s">
        <v>3169</v>
      </c>
      <c r="B671" s="35" t="s">
        <v>3236</v>
      </c>
      <c r="C671" s="41" t="s">
        <v>3237</v>
      </c>
      <c r="D671" s="35">
        <v>7</v>
      </c>
      <c r="E671" s="111"/>
      <c r="F671" s="35"/>
      <c r="G671" s="35">
        <v>28</v>
      </c>
      <c r="H671" s="37" t="str">
        <f t="shared" si="105"/>
        <v>神器图纸2/防具碎片5/烈焰玄铁5/火龙币48</v>
      </c>
    </row>
    <row r="672" spans="1:8" ht="15.75" x14ac:dyDescent="0.3">
      <c r="A672" s="35" t="s">
        <v>3169</v>
      </c>
      <c r="B672" s="35" t="s">
        <v>3236</v>
      </c>
      <c r="C672" s="41" t="s">
        <v>3237</v>
      </c>
      <c r="D672" s="35">
        <v>8</v>
      </c>
      <c r="E672" s="111"/>
      <c r="F672" s="35"/>
      <c r="G672" s="35">
        <v>32</v>
      </c>
      <c r="H672" s="37" t="str">
        <f t="shared" si="105"/>
        <v>神器图纸2/防具碎片5/烈焰玄铁5/火龙币50</v>
      </c>
    </row>
    <row r="673" spans="1:8" ht="15.75" x14ac:dyDescent="0.3">
      <c r="A673" s="35" t="s">
        <v>3169</v>
      </c>
      <c r="B673" s="35" t="s">
        <v>3236</v>
      </c>
      <c r="C673" s="41" t="s">
        <v>3237</v>
      </c>
      <c r="D673" s="35">
        <v>9</v>
      </c>
      <c r="E673" s="111"/>
      <c r="F673" s="35"/>
      <c r="G673" s="35">
        <v>36</v>
      </c>
      <c r="H673" s="37" t="str">
        <f t="shared" si="105"/>
        <v>神器图纸2/防具碎片5/烈焰玄铁5/火龙币53</v>
      </c>
    </row>
    <row r="674" spans="1:8" ht="15.75" x14ac:dyDescent="0.3">
      <c r="A674" s="35" t="s">
        <v>3169</v>
      </c>
      <c r="B674" s="35" t="s">
        <v>3236</v>
      </c>
      <c r="C674" s="41" t="s">
        <v>3237</v>
      </c>
      <c r="D674" s="35">
        <v>10</v>
      </c>
      <c r="E674" s="111"/>
      <c r="F674" s="35"/>
      <c r="G674" s="35">
        <v>40</v>
      </c>
      <c r="H674" s="37"/>
    </row>
    <row r="675" spans="1:8" ht="15.75" x14ac:dyDescent="0.3">
      <c r="A675" s="35" t="s">
        <v>3169</v>
      </c>
      <c r="B675" s="35" t="s">
        <v>3236</v>
      </c>
      <c r="C675" s="41" t="s">
        <v>3238</v>
      </c>
      <c r="D675" s="35">
        <v>0</v>
      </c>
      <c r="E675" s="111"/>
      <c r="F675" s="35"/>
      <c r="G675" s="113"/>
      <c r="H675" s="37" t="str">
        <f>"神器图纸"&amp;Z3&amp;"/防具碎片"&amp;AA3&amp;"/烈焰玄铁"&amp;AB3&amp;"/火龙币"&amp;AC3</f>
        <v>神器图纸1/防具碎片3/烈焰玄铁3/火龙币32</v>
      </c>
    </row>
    <row r="676" spans="1:8" ht="15.75" x14ac:dyDescent="0.3">
      <c r="A676" s="35" t="s">
        <v>3169</v>
      </c>
      <c r="B676" s="35" t="s">
        <v>3236</v>
      </c>
      <c r="C676" s="41" t="s">
        <v>3238</v>
      </c>
      <c r="D676" s="35">
        <v>1</v>
      </c>
      <c r="E676" s="111"/>
      <c r="F676" s="35"/>
      <c r="G676" s="35">
        <v>5</v>
      </c>
      <c r="H676" s="37" t="str">
        <f t="shared" ref="H676:H684" si="106">"神器图纸"&amp;Z4&amp;"/防具碎片"&amp;AA4&amp;"/烈焰玄铁"&amp;AB4&amp;"/火龙币"&amp;AC4</f>
        <v>神器图纸1/防具碎片3/烈焰玄铁3/火龙币35</v>
      </c>
    </row>
    <row r="677" spans="1:8" ht="15.75" x14ac:dyDescent="0.3">
      <c r="A677" s="35" t="s">
        <v>3169</v>
      </c>
      <c r="B677" s="35" t="s">
        <v>3236</v>
      </c>
      <c r="C677" s="41" t="s">
        <v>3238</v>
      </c>
      <c r="D677" s="35">
        <v>2</v>
      </c>
      <c r="E677" s="111"/>
      <c r="F677" s="35"/>
      <c r="G677" s="35">
        <v>10</v>
      </c>
      <c r="H677" s="37" t="str">
        <f t="shared" si="106"/>
        <v>神器图纸1/防具碎片4/烈焰玄铁4/火龙币37</v>
      </c>
    </row>
    <row r="678" spans="1:8" ht="15.75" x14ac:dyDescent="0.3">
      <c r="A678" s="35" t="s">
        <v>3169</v>
      </c>
      <c r="B678" s="35" t="s">
        <v>3236</v>
      </c>
      <c r="C678" s="41" t="s">
        <v>3238</v>
      </c>
      <c r="D678" s="35">
        <v>3</v>
      </c>
      <c r="E678" s="111"/>
      <c r="F678" s="35"/>
      <c r="G678" s="35">
        <v>15</v>
      </c>
      <c r="H678" s="37" t="str">
        <f t="shared" si="106"/>
        <v>神器图纸2/防具碎片4/烈焰玄铁4/火龙币39</v>
      </c>
    </row>
    <row r="679" spans="1:8" ht="15.75" x14ac:dyDescent="0.3">
      <c r="A679" s="35" t="s">
        <v>3169</v>
      </c>
      <c r="B679" s="35" t="s">
        <v>3236</v>
      </c>
      <c r="C679" s="41" t="s">
        <v>3238</v>
      </c>
      <c r="D679" s="35">
        <v>4</v>
      </c>
      <c r="E679" s="111"/>
      <c r="F679" s="35"/>
      <c r="G679" s="35">
        <v>20</v>
      </c>
      <c r="H679" s="37" t="str">
        <f t="shared" si="106"/>
        <v>神器图纸2/防具碎片4/烈焰玄铁4/火龙币41</v>
      </c>
    </row>
    <row r="680" spans="1:8" ht="15.75" x14ac:dyDescent="0.3">
      <c r="A680" s="35" t="s">
        <v>3169</v>
      </c>
      <c r="B680" s="35" t="s">
        <v>3236</v>
      </c>
      <c r="C680" s="41" t="s">
        <v>3238</v>
      </c>
      <c r="D680" s="35">
        <v>5</v>
      </c>
      <c r="E680" s="111"/>
      <c r="F680" s="35"/>
      <c r="G680" s="35">
        <v>25</v>
      </c>
      <c r="H680" s="37" t="str">
        <f t="shared" si="106"/>
        <v>神器图纸2/防具碎片4/烈焰玄铁4/火龙币44</v>
      </c>
    </row>
    <row r="681" spans="1:8" ht="15.75" x14ac:dyDescent="0.3">
      <c r="A681" s="35" t="s">
        <v>3169</v>
      </c>
      <c r="B681" s="35" t="s">
        <v>3236</v>
      </c>
      <c r="C681" s="41" t="s">
        <v>3238</v>
      </c>
      <c r="D681" s="35">
        <v>6</v>
      </c>
      <c r="E681" s="111"/>
      <c r="F681" s="35"/>
      <c r="G681" s="35">
        <v>30</v>
      </c>
      <c r="H681" s="37" t="str">
        <f t="shared" si="106"/>
        <v>神器图纸2/防具碎片5/烈焰玄铁5/火龙币46</v>
      </c>
    </row>
    <row r="682" spans="1:8" ht="15.75" x14ac:dyDescent="0.3">
      <c r="A682" s="35" t="s">
        <v>3169</v>
      </c>
      <c r="B682" s="35" t="s">
        <v>3236</v>
      </c>
      <c r="C682" s="41" t="s">
        <v>3238</v>
      </c>
      <c r="D682" s="35">
        <v>7</v>
      </c>
      <c r="E682" s="111"/>
      <c r="F682" s="35"/>
      <c r="G682" s="35">
        <v>35</v>
      </c>
      <c r="H682" s="37" t="str">
        <f t="shared" si="106"/>
        <v>神器图纸2/防具碎片5/烈焰玄铁5/火龙币48</v>
      </c>
    </row>
    <row r="683" spans="1:8" ht="15.75" x14ac:dyDescent="0.3">
      <c r="A683" s="35" t="s">
        <v>3169</v>
      </c>
      <c r="B683" s="35" t="s">
        <v>3236</v>
      </c>
      <c r="C683" s="41" t="s">
        <v>3238</v>
      </c>
      <c r="D683" s="35">
        <v>8</v>
      </c>
      <c r="E683" s="111"/>
      <c r="F683" s="35"/>
      <c r="G683" s="35">
        <v>40</v>
      </c>
      <c r="H683" s="37" t="str">
        <f t="shared" si="106"/>
        <v>神器图纸2/防具碎片5/烈焰玄铁5/火龙币50</v>
      </c>
    </row>
    <row r="684" spans="1:8" ht="15.75" x14ac:dyDescent="0.3">
      <c r="A684" s="35" t="s">
        <v>3169</v>
      </c>
      <c r="B684" s="35" t="s">
        <v>3236</v>
      </c>
      <c r="C684" s="41" t="s">
        <v>3238</v>
      </c>
      <c r="D684" s="35">
        <v>9</v>
      </c>
      <c r="E684" s="111"/>
      <c r="F684" s="35"/>
      <c r="G684" s="35">
        <v>45</v>
      </c>
      <c r="H684" s="37" t="str">
        <f t="shared" si="106"/>
        <v>神器图纸2/防具碎片5/烈焰玄铁5/火龙币53</v>
      </c>
    </row>
    <row r="685" spans="1:8" ht="15.75" x14ac:dyDescent="0.3">
      <c r="A685" s="35" t="s">
        <v>3169</v>
      </c>
      <c r="B685" s="35" t="s">
        <v>3236</v>
      </c>
      <c r="C685" s="41" t="s">
        <v>3238</v>
      </c>
      <c r="D685" s="35">
        <v>10</v>
      </c>
      <c r="E685" s="111"/>
      <c r="F685" s="35"/>
      <c r="G685" s="35">
        <v>50</v>
      </c>
      <c r="H685" s="37"/>
    </row>
    <row r="686" spans="1:8" ht="15.75" x14ac:dyDescent="0.3">
      <c r="A686" s="35" t="s">
        <v>3169</v>
      </c>
      <c r="B686" s="35" t="s">
        <v>3236</v>
      </c>
      <c r="C686" s="41" t="s">
        <v>3239</v>
      </c>
      <c r="D686" s="35">
        <v>0</v>
      </c>
      <c r="E686" s="111"/>
      <c r="F686" s="35"/>
      <c r="G686" s="113"/>
      <c r="H686" s="37" t="str">
        <f>"神器图纸"&amp;Z3&amp;"/防具碎片"&amp;AA3&amp;"/烈焰玄铁"&amp;AB3&amp;"/火龙币"&amp;AC3</f>
        <v>神器图纸1/防具碎片3/烈焰玄铁3/火龙币32</v>
      </c>
    </row>
    <row r="687" spans="1:8" ht="15.75" x14ac:dyDescent="0.3">
      <c r="A687" s="35" t="s">
        <v>3169</v>
      </c>
      <c r="B687" s="35" t="s">
        <v>3236</v>
      </c>
      <c r="C687" s="41" t="s">
        <v>3239</v>
      </c>
      <c r="D687" s="35">
        <v>1</v>
      </c>
      <c r="E687" s="111"/>
      <c r="F687" s="35"/>
      <c r="G687" s="35">
        <v>6</v>
      </c>
      <c r="H687" s="37" t="str">
        <f t="shared" ref="H687:H695" si="107">"神器图纸"&amp;Z4&amp;"/防具碎片"&amp;AA4&amp;"/烈焰玄铁"&amp;AB4&amp;"/火龙币"&amp;AC4</f>
        <v>神器图纸1/防具碎片3/烈焰玄铁3/火龙币35</v>
      </c>
    </row>
    <row r="688" spans="1:8" ht="15.75" x14ac:dyDescent="0.3">
      <c r="A688" s="35" t="s">
        <v>3169</v>
      </c>
      <c r="B688" s="35" t="s">
        <v>3236</v>
      </c>
      <c r="C688" s="41" t="s">
        <v>3239</v>
      </c>
      <c r="D688" s="35">
        <v>2</v>
      </c>
      <c r="E688" s="111"/>
      <c r="F688" s="35"/>
      <c r="G688" s="35">
        <v>12</v>
      </c>
      <c r="H688" s="37" t="str">
        <f t="shared" si="107"/>
        <v>神器图纸1/防具碎片4/烈焰玄铁4/火龙币37</v>
      </c>
    </row>
    <row r="689" spans="1:8" ht="15.75" x14ac:dyDescent="0.3">
      <c r="A689" s="35" t="s">
        <v>3169</v>
      </c>
      <c r="B689" s="35" t="s">
        <v>3236</v>
      </c>
      <c r="C689" s="41" t="s">
        <v>3239</v>
      </c>
      <c r="D689" s="35">
        <v>3</v>
      </c>
      <c r="E689" s="111"/>
      <c r="F689" s="35"/>
      <c r="G689" s="35">
        <v>18</v>
      </c>
      <c r="H689" s="37" t="str">
        <f t="shared" si="107"/>
        <v>神器图纸2/防具碎片4/烈焰玄铁4/火龙币39</v>
      </c>
    </row>
    <row r="690" spans="1:8" ht="15.75" x14ac:dyDescent="0.3">
      <c r="A690" s="35" t="s">
        <v>3169</v>
      </c>
      <c r="B690" s="35" t="s">
        <v>3236</v>
      </c>
      <c r="C690" s="41" t="s">
        <v>3239</v>
      </c>
      <c r="D690" s="35">
        <v>4</v>
      </c>
      <c r="E690" s="111"/>
      <c r="F690" s="35"/>
      <c r="G690" s="35">
        <v>24</v>
      </c>
      <c r="H690" s="37" t="str">
        <f t="shared" si="107"/>
        <v>神器图纸2/防具碎片4/烈焰玄铁4/火龙币41</v>
      </c>
    </row>
    <row r="691" spans="1:8" ht="15.75" x14ac:dyDescent="0.3">
      <c r="A691" s="35" t="s">
        <v>3169</v>
      </c>
      <c r="B691" s="35" t="s">
        <v>3236</v>
      </c>
      <c r="C691" s="41" t="s">
        <v>3239</v>
      </c>
      <c r="D691" s="35">
        <v>5</v>
      </c>
      <c r="E691" s="111"/>
      <c r="F691" s="35"/>
      <c r="G691" s="35">
        <v>30</v>
      </c>
      <c r="H691" s="37" t="str">
        <f t="shared" si="107"/>
        <v>神器图纸2/防具碎片4/烈焰玄铁4/火龙币44</v>
      </c>
    </row>
    <row r="692" spans="1:8" ht="15.75" x14ac:dyDescent="0.3">
      <c r="A692" s="35" t="s">
        <v>3169</v>
      </c>
      <c r="B692" s="35" t="s">
        <v>3236</v>
      </c>
      <c r="C692" s="41" t="s">
        <v>3239</v>
      </c>
      <c r="D692" s="35">
        <v>6</v>
      </c>
      <c r="E692" s="111"/>
      <c r="F692" s="35"/>
      <c r="G692" s="35">
        <v>36</v>
      </c>
      <c r="H692" s="37" t="str">
        <f t="shared" si="107"/>
        <v>神器图纸2/防具碎片5/烈焰玄铁5/火龙币46</v>
      </c>
    </row>
    <row r="693" spans="1:8" ht="15.75" x14ac:dyDescent="0.3">
      <c r="A693" s="35" t="s">
        <v>3169</v>
      </c>
      <c r="B693" s="35" t="s">
        <v>3236</v>
      </c>
      <c r="C693" s="41" t="s">
        <v>3239</v>
      </c>
      <c r="D693" s="35">
        <v>7</v>
      </c>
      <c r="E693" s="111"/>
      <c r="F693" s="35"/>
      <c r="G693" s="35">
        <v>42</v>
      </c>
      <c r="H693" s="37" t="str">
        <f t="shared" si="107"/>
        <v>神器图纸2/防具碎片5/烈焰玄铁5/火龙币48</v>
      </c>
    </row>
    <row r="694" spans="1:8" ht="15.75" x14ac:dyDescent="0.3">
      <c r="A694" s="35" t="s">
        <v>3169</v>
      </c>
      <c r="B694" s="35" t="s">
        <v>3236</v>
      </c>
      <c r="C694" s="41" t="s">
        <v>3239</v>
      </c>
      <c r="D694" s="35">
        <v>8</v>
      </c>
      <c r="E694" s="111"/>
      <c r="F694" s="35"/>
      <c r="G694" s="35">
        <v>48</v>
      </c>
      <c r="H694" s="37" t="str">
        <f t="shared" si="107"/>
        <v>神器图纸2/防具碎片5/烈焰玄铁5/火龙币50</v>
      </c>
    </row>
    <row r="695" spans="1:8" ht="15.75" x14ac:dyDescent="0.3">
      <c r="A695" s="35" t="s">
        <v>3169</v>
      </c>
      <c r="B695" s="35" t="s">
        <v>3236</v>
      </c>
      <c r="C695" s="41" t="s">
        <v>3239</v>
      </c>
      <c r="D695" s="35">
        <v>9</v>
      </c>
      <c r="E695" s="111"/>
      <c r="F695" s="35"/>
      <c r="G695" s="35">
        <v>54</v>
      </c>
      <c r="H695" s="37" t="str">
        <f t="shared" si="107"/>
        <v>神器图纸2/防具碎片5/烈焰玄铁5/火龙币53</v>
      </c>
    </row>
    <row r="696" spans="1:8" ht="15.75" x14ac:dyDescent="0.3">
      <c r="A696" s="35" t="s">
        <v>3169</v>
      </c>
      <c r="B696" s="35" t="s">
        <v>3236</v>
      </c>
      <c r="C696" s="41" t="s">
        <v>3239</v>
      </c>
      <c r="D696" s="35">
        <v>10</v>
      </c>
      <c r="E696" s="111"/>
      <c r="F696" s="35"/>
      <c r="G696" s="35">
        <v>60</v>
      </c>
      <c r="H696" s="37"/>
    </row>
    <row r="697" spans="1:8" ht="15.75" x14ac:dyDescent="0.3">
      <c r="A697" s="35" t="s">
        <v>3169</v>
      </c>
      <c r="B697" s="35" t="s">
        <v>3236</v>
      </c>
      <c r="C697" s="41" t="s">
        <v>3240</v>
      </c>
      <c r="D697" s="35">
        <v>0</v>
      </c>
      <c r="E697" s="111"/>
      <c r="F697" s="35"/>
      <c r="G697" s="113"/>
      <c r="H697" s="37" t="str">
        <f>"神器图纸"&amp;Z3&amp;"/防具碎片"&amp;AA3&amp;"/烈焰玄铁"&amp;AB3&amp;"/火龙币"&amp;AC3</f>
        <v>神器图纸1/防具碎片3/烈焰玄铁3/火龙币32</v>
      </c>
    </row>
    <row r="698" spans="1:8" ht="15.75" x14ac:dyDescent="0.3">
      <c r="A698" s="35" t="s">
        <v>3169</v>
      </c>
      <c r="B698" s="35" t="s">
        <v>3236</v>
      </c>
      <c r="C698" s="41" t="s">
        <v>3240</v>
      </c>
      <c r="D698" s="35">
        <v>1</v>
      </c>
      <c r="E698" s="111"/>
      <c r="F698" s="35"/>
      <c r="G698" s="35">
        <v>7</v>
      </c>
      <c r="H698" s="37" t="str">
        <f t="shared" ref="H698:H706" si="108">"神器图纸"&amp;Z4&amp;"/防具碎片"&amp;AA4&amp;"/烈焰玄铁"&amp;AB4&amp;"/火龙币"&amp;AC4</f>
        <v>神器图纸1/防具碎片3/烈焰玄铁3/火龙币35</v>
      </c>
    </row>
    <row r="699" spans="1:8" ht="15.75" x14ac:dyDescent="0.3">
      <c r="A699" s="35" t="s">
        <v>3169</v>
      </c>
      <c r="B699" s="35" t="s">
        <v>3236</v>
      </c>
      <c r="C699" s="41" t="s">
        <v>3240</v>
      </c>
      <c r="D699" s="35">
        <v>2</v>
      </c>
      <c r="E699" s="111"/>
      <c r="F699" s="35"/>
      <c r="G699" s="35">
        <v>14</v>
      </c>
      <c r="H699" s="37" t="str">
        <f t="shared" si="108"/>
        <v>神器图纸1/防具碎片4/烈焰玄铁4/火龙币37</v>
      </c>
    </row>
    <row r="700" spans="1:8" ht="15.75" x14ac:dyDescent="0.3">
      <c r="A700" s="35" t="s">
        <v>3169</v>
      </c>
      <c r="B700" s="35" t="s">
        <v>3236</v>
      </c>
      <c r="C700" s="41" t="s">
        <v>3240</v>
      </c>
      <c r="D700" s="35">
        <v>3</v>
      </c>
      <c r="E700" s="111"/>
      <c r="F700" s="35"/>
      <c r="G700" s="35">
        <v>21</v>
      </c>
      <c r="H700" s="37" t="str">
        <f t="shared" si="108"/>
        <v>神器图纸2/防具碎片4/烈焰玄铁4/火龙币39</v>
      </c>
    </row>
    <row r="701" spans="1:8" ht="15.75" x14ac:dyDescent="0.3">
      <c r="A701" s="35" t="s">
        <v>3169</v>
      </c>
      <c r="B701" s="35" t="s">
        <v>3236</v>
      </c>
      <c r="C701" s="41" t="s">
        <v>3240</v>
      </c>
      <c r="D701" s="35">
        <v>4</v>
      </c>
      <c r="E701" s="111"/>
      <c r="F701" s="35"/>
      <c r="G701" s="35">
        <v>28</v>
      </c>
      <c r="H701" s="37" t="str">
        <f t="shared" si="108"/>
        <v>神器图纸2/防具碎片4/烈焰玄铁4/火龙币41</v>
      </c>
    </row>
    <row r="702" spans="1:8" ht="15.75" x14ac:dyDescent="0.3">
      <c r="A702" s="35" t="s">
        <v>3169</v>
      </c>
      <c r="B702" s="35" t="s">
        <v>3236</v>
      </c>
      <c r="C702" s="41" t="s">
        <v>3240</v>
      </c>
      <c r="D702" s="35">
        <v>5</v>
      </c>
      <c r="E702" s="111"/>
      <c r="F702" s="35"/>
      <c r="G702" s="35">
        <v>35</v>
      </c>
      <c r="H702" s="37" t="str">
        <f t="shared" si="108"/>
        <v>神器图纸2/防具碎片4/烈焰玄铁4/火龙币44</v>
      </c>
    </row>
    <row r="703" spans="1:8" ht="15.75" x14ac:dyDescent="0.3">
      <c r="A703" s="35" t="s">
        <v>3169</v>
      </c>
      <c r="B703" s="35" t="s">
        <v>3236</v>
      </c>
      <c r="C703" s="41" t="s">
        <v>3240</v>
      </c>
      <c r="D703" s="35">
        <v>6</v>
      </c>
      <c r="E703" s="111"/>
      <c r="F703" s="35"/>
      <c r="G703" s="35">
        <v>42</v>
      </c>
      <c r="H703" s="37" t="str">
        <f t="shared" si="108"/>
        <v>神器图纸2/防具碎片5/烈焰玄铁5/火龙币46</v>
      </c>
    </row>
    <row r="704" spans="1:8" ht="15.75" x14ac:dyDescent="0.3">
      <c r="A704" s="35" t="s">
        <v>3169</v>
      </c>
      <c r="B704" s="35" t="s">
        <v>3236</v>
      </c>
      <c r="C704" s="41" t="s">
        <v>3240</v>
      </c>
      <c r="D704" s="35">
        <v>7</v>
      </c>
      <c r="E704" s="111"/>
      <c r="F704" s="35"/>
      <c r="G704" s="35">
        <v>49</v>
      </c>
      <c r="H704" s="37" t="str">
        <f t="shared" si="108"/>
        <v>神器图纸2/防具碎片5/烈焰玄铁5/火龙币48</v>
      </c>
    </row>
    <row r="705" spans="1:8" ht="15.75" x14ac:dyDescent="0.3">
      <c r="A705" s="35" t="s">
        <v>3169</v>
      </c>
      <c r="B705" s="35" t="s">
        <v>3236</v>
      </c>
      <c r="C705" s="41" t="s">
        <v>3240</v>
      </c>
      <c r="D705" s="35">
        <v>8</v>
      </c>
      <c r="E705" s="111"/>
      <c r="F705" s="35"/>
      <c r="G705" s="35">
        <v>56</v>
      </c>
      <c r="H705" s="37" t="str">
        <f t="shared" si="108"/>
        <v>神器图纸2/防具碎片5/烈焰玄铁5/火龙币50</v>
      </c>
    </row>
    <row r="706" spans="1:8" ht="15.75" x14ac:dyDescent="0.3">
      <c r="A706" s="35" t="s">
        <v>3169</v>
      </c>
      <c r="B706" s="35" t="s">
        <v>3236</v>
      </c>
      <c r="C706" s="41" t="s">
        <v>3240</v>
      </c>
      <c r="D706" s="35">
        <v>9</v>
      </c>
      <c r="E706" s="111"/>
      <c r="F706" s="35"/>
      <c r="G706" s="35">
        <v>63</v>
      </c>
      <c r="H706" s="37" t="str">
        <f t="shared" si="108"/>
        <v>神器图纸2/防具碎片5/烈焰玄铁5/火龙币53</v>
      </c>
    </row>
    <row r="707" spans="1:8" ht="15.75" x14ac:dyDescent="0.3">
      <c r="A707" s="35" t="s">
        <v>3169</v>
      </c>
      <c r="B707" s="35" t="s">
        <v>3236</v>
      </c>
      <c r="C707" s="41" t="s">
        <v>3240</v>
      </c>
      <c r="D707" s="35">
        <v>10</v>
      </c>
      <c r="E707" s="111"/>
      <c r="F707" s="35"/>
      <c r="G707" s="35">
        <v>70</v>
      </c>
      <c r="H707" s="37"/>
    </row>
    <row r="708" spans="1:8" ht="15.75" x14ac:dyDescent="0.3">
      <c r="A708" s="35" t="s">
        <v>3169</v>
      </c>
      <c r="B708" s="35" t="s">
        <v>3236</v>
      </c>
      <c r="C708" s="41" t="s">
        <v>3241</v>
      </c>
      <c r="D708" s="35">
        <v>0</v>
      </c>
      <c r="E708" s="111"/>
      <c r="F708" s="35"/>
      <c r="G708" s="113"/>
      <c r="H708" s="37" t="str">
        <f>"神器图纸"&amp;Z3&amp;"/防具碎片"&amp;AA3&amp;"/烈焰玄铁"&amp;AB3&amp;"/火龙币"&amp;AC3</f>
        <v>神器图纸1/防具碎片3/烈焰玄铁3/火龙币32</v>
      </c>
    </row>
    <row r="709" spans="1:8" ht="15.75" x14ac:dyDescent="0.3">
      <c r="A709" s="35" t="s">
        <v>3169</v>
      </c>
      <c r="B709" s="35" t="s">
        <v>3236</v>
      </c>
      <c r="C709" s="41" t="s">
        <v>3241</v>
      </c>
      <c r="D709" s="35">
        <v>1</v>
      </c>
      <c r="E709" s="111"/>
      <c r="F709" s="35"/>
      <c r="G709" s="35">
        <v>8</v>
      </c>
      <c r="H709" s="37" t="str">
        <f t="shared" ref="H709:H717" si="109">"神器图纸"&amp;Z4&amp;"/防具碎片"&amp;AA4&amp;"/烈焰玄铁"&amp;AB4&amp;"/火龙币"&amp;AC4</f>
        <v>神器图纸1/防具碎片3/烈焰玄铁3/火龙币35</v>
      </c>
    </row>
    <row r="710" spans="1:8" ht="15.75" x14ac:dyDescent="0.3">
      <c r="A710" s="35" t="s">
        <v>3169</v>
      </c>
      <c r="B710" s="35" t="s">
        <v>3236</v>
      </c>
      <c r="C710" s="41" t="s">
        <v>3241</v>
      </c>
      <c r="D710" s="35">
        <v>2</v>
      </c>
      <c r="E710" s="111"/>
      <c r="F710" s="35"/>
      <c r="G710" s="35">
        <v>16</v>
      </c>
      <c r="H710" s="37" t="str">
        <f t="shared" si="109"/>
        <v>神器图纸1/防具碎片4/烈焰玄铁4/火龙币37</v>
      </c>
    </row>
    <row r="711" spans="1:8" ht="15.75" x14ac:dyDescent="0.3">
      <c r="A711" s="35" t="s">
        <v>3169</v>
      </c>
      <c r="B711" s="35" t="s">
        <v>3236</v>
      </c>
      <c r="C711" s="41" t="s">
        <v>3241</v>
      </c>
      <c r="D711" s="35">
        <v>3</v>
      </c>
      <c r="E711" s="111"/>
      <c r="F711" s="35"/>
      <c r="G711" s="35">
        <v>24</v>
      </c>
      <c r="H711" s="37" t="str">
        <f t="shared" si="109"/>
        <v>神器图纸2/防具碎片4/烈焰玄铁4/火龙币39</v>
      </c>
    </row>
    <row r="712" spans="1:8" ht="15.75" x14ac:dyDescent="0.3">
      <c r="A712" s="35" t="s">
        <v>3169</v>
      </c>
      <c r="B712" s="35" t="s">
        <v>3236</v>
      </c>
      <c r="C712" s="41" t="s">
        <v>3241</v>
      </c>
      <c r="D712" s="35">
        <v>4</v>
      </c>
      <c r="E712" s="111"/>
      <c r="F712" s="35"/>
      <c r="G712" s="35">
        <v>32</v>
      </c>
      <c r="H712" s="37" t="str">
        <f t="shared" si="109"/>
        <v>神器图纸2/防具碎片4/烈焰玄铁4/火龙币41</v>
      </c>
    </row>
    <row r="713" spans="1:8" ht="15.75" x14ac:dyDescent="0.3">
      <c r="A713" s="35" t="s">
        <v>3169</v>
      </c>
      <c r="B713" s="35" t="s">
        <v>3236</v>
      </c>
      <c r="C713" s="41" t="s">
        <v>3241</v>
      </c>
      <c r="D713" s="35">
        <v>5</v>
      </c>
      <c r="E713" s="111"/>
      <c r="F713" s="35"/>
      <c r="G713" s="35">
        <v>40</v>
      </c>
      <c r="H713" s="37" t="str">
        <f t="shared" si="109"/>
        <v>神器图纸2/防具碎片4/烈焰玄铁4/火龙币44</v>
      </c>
    </row>
    <row r="714" spans="1:8" ht="15.75" x14ac:dyDescent="0.3">
      <c r="A714" s="35" t="s">
        <v>3169</v>
      </c>
      <c r="B714" s="35" t="s">
        <v>3236</v>
      </c>
      <c r="C714" s="41" t="s">
        <v>3241</v>
      </c>
      <c r="D714" s="35">
        <v>6</v>
      </c>
      <c r="E714" s="111"/>
      <c r="F714" s="35"/>
      <c r="G714" s="35">
        <v>48</v>
      </c>
      <c r="H714" s="37" t="str">
        <f t="shared" si="109"/>
        <v>神器图纸2/防具碎片5/烈焰玄铁5/火龙币46</v>
      </c>
    </row>
    <row r="715" spans="1:8" ht="15.75" x14ac:dyDescent="0.3">
      <c r="A715" s="35" t="s">
        <v>3169</v>
      </c>
      <c r="B715" s="35" t="s">
        <v>3236</v>
      </c>
      <c r="C715" s="41" t="s">
        <v>3241</v>
      </c>
      <c r="D715" s="35">
        <v>7</v>
      </c>
      <c r="E715" s="111"/>
      <c r="F715" s="35"/>
      <c r="G715" s="35">
        <v>56</v>
      </c>
      <c r="H715" s="37" t="str">
        <f t="shared" si="109"/>
        <v>神器图纸2/防具碎片5/烈焰玄铁5/火龙币48</v>
      </c>
    </row>
    <row r="716" spans="1:8" ht="15.75" x14ac:dyDescent="0.3">
      <c r="A716" s="35" t="s">
        <v>3169</v>
      </c>
      <c r="B716" s="35" t="s">
        <v>3236</v>
      </c>
      <c r="C716" s="41" t="s">
        <v>3241</v>
      </c>
      <c r="D716" s="35">
        <v>8</v>
      </c>
      <c r="E716" s="111"/>
      <c r="F716" s="35"/>
      <c r="G716" s="35">
        <v>64</v>
      </c>
      <c r="H716" s="37" t="str">
        <f t="shared" si="109"/>
        <v>神器图纸2/防具碎片5/烈焰玄铁5/火龙币50</v>
      </c>
    </row>
    <row r="717" spans="1:8" ht="15.75" x14ac:dyDescent="0.3">
      <c r="A717" s="35" t="s">
        <v>3169</v>
      </c>
      <c r="B717" s="35" t="s">
        <v>3236</v>
      </c>
      <c r="C717" s="41" t="s">
        <v>3241</v>
      </c>
      <c r="D717" s="35">
        <v>9</v>
      </c>
      <c r="E717" s="111"/>
      <c r="F717" s="35"/>
      <c r="G717" s="35">
        <v>72</v>
      </c>
      <c r="H717" s="37" t="str">
        <f t="shared" si="109"/>
        <v>神器图纸2/防具碎片5/烈焰玄铁5/火龙币53</v>
      </c>
    </row>
    <row r="718" spans="1:8" ht="15.75" x14ac:dyDescent="0.3">
      <c r="A718" s="35" t="s">
        <v>3169</v>
      </c>
      <c r="B718" s="35" t="s">
        <v>3236</v>
      </c>
      <c r="C718" s="41" t="s">
        <v>3241</v>
      </c>
      <c r="D718" s="35">
        <v>10</v>
      </c>
      <c r="E718" s="111"/>
      <c r="F718" s="35"/>
      <c r="G718" s="35">
        <v>80</v>
      </c>
      <c r="H718" s="37"/>
    </row>
    <row r="719" spans="1:8" ht="15.75" x14ac:dyDescent="0.3">
      <c r="A719" s="35" t="s">
        <v>3169</v>
      </c>
      <c r="B719" s="35" t="s">
        <v>3236</v>
      </c>
      <c r="C719" s="41" t="s">
        <v>3242</v>
      </c>
      <c r="D719" s="35">
        <v>0</v>
      </c>
      <c r="E719" s="111"/>
      <c r="F719" s="35"/>
      <c r="G719" s="113"/>
      <c r="H719" s="37" t="str">
        <f>"神器图纸"&amp;Z3&amp;"/防具碎片"&amp;AA3&amp;"/烈焰玄铁"&amp;AB3&amp;"/火龙币"&amp;AC3</f>
        <v>神器图纸1/防具碎片3/烈焰玄铁3/火龙币32</v>
      </c>
    </row>
    <row r="720" spans="1:8" ht="15.75" x14ac:dyDescent="0.3">
      <c r="A720" s="35" t="s">
        <v>3169</v>
      </c>
      <c r="B720" s="35" t="s">
        <v>3236</v>
      </c>
      <c r="C720" s="41" t="s">
        <v>3242</v>
      </c>
      <c r="D720" s="35">
        <v>1</v>
      </c>
      <c r="E720" s="111"/>
      <c r="F720" s="35"/>
      <c r="G720" s="35">
        <v>9</v>
      </c>
      <c r="H720" s="37" t="str">
        <f t="shared" ref="H720:H728" si="110">"神器图纸"&amp;Z4&amp;"/防具碎片"&amp;AA4&amp;"/烈焰玄铁"&amp;AB4&amp;"/火龙币"&amp;AC4</f>
        <v>神器图纸1/防具碎片3/烈焰玄铁3/火龙币35</v>
      </c>
    </row>
    <row r="721" spans="1:8" ht="15.75" x14ac:dyDescent="0.3">
      <c r="A721" s="35" t="s">
        <v>3169</v>
      </c>
      <c r="B721" s="35" t="s">
        <v>3236</v>
      </c>
      <c r="C721" s="41" t="s">
        <v>3242</v>
      </c>
      <c r="D721" s="35">
        <v>2</v>
      </c>
      <c r="E721" s="111"/>
      <c r="F721" s="35"/>
      <c r="G721" s="35">
        <v>18</v>
      </c>
      <c r="H721" s="37" t="str">
        <f t="shared" si="110"/>
        <v>神器图纸1/防具碎片4/烈焰玄铁4/火龙币37</v>
      </c>
    </row>
    <row r="722" spans="1:8" ht="15.75" x14ac:dyDescent="0.3">
      <c r="A722" s="35" t="s">
        <v>3169</v>
      </c>
      <c r="B722" s="35" t="s">
        <v>3236</v>
      </c>
      <c r="C722" s="41" t="s">
        <v>3242</v>
      </c>
      <c r="D722" s="35">
        <v>3</v>
      </c>
      <c r="E722" s="111"/>
      <c r="F722" s="35"/>
      <c r="G722" s="35">
        <v>27</v>
      </c>
      <c r="H722" s="37" t="str">
        <f t="shared" si="110"/>
        <v>神器图纸2/防具碎片4/烈焰玄铁4/火龙币39</v>
      </c>
    </row>
    <row r="723" spans="1:8" ht="15.75" x14ac:dyDescent="0.3">
      <c r="A723" s="35" t="s">
        <v>3169</v>
      </c>
      <c r="B723" s="35" t="s">
        <v>3236</v>
      </c>
      <c r="C723" s="41" t="s">
        <v>3242</v>
      </c>
      <c r="D723" s="35">
        <v>4</v>
      </c>
      <c r="E723" s="111"/>
      <c r="F723" s="35"/>
      <c r="G723" s="35">
        <v>36</v>
      </c>
      <c r="H723" s="37" t="str">
        <f t="shared" si="110"/>
        <v>神器图纸2/防具碎片4/烈焰玄铁4/火龙币41</v>
      </c>
    </row>
    <row r="724" spans="1:8" ht="15.75" x14ac:dyDescent="0.3">
      <c r="A724" s="35" t="s">
        <v>3169</v>
      </c>
      <c r="B724" s="35" t="s">
        <v>3236</v>
      </c>
      <c r="C724" s="41" t="s">
        <v>3242</v>
      </c>
      <c r="D724" s="35">
        <v>5</v>
      </c>
      <c r="E724" s="111"/>
      <c r="F724" s="35"/>
      <c r="G724" s="35">
        <v>45</v>
      </c>
      <c r="H724" s="37" t="str">
        <f t="shared" si="110"/>
        <v>神器图纸2/防具碎片4/烈焰玄铁4/火龙币44</v>
      </c>
    </row>
    <row r="725" spans="1:8" ht="15.75" x14ac:dyDescent="0.3">
      <c r="A725" s="35" t="s">
        <v>3169</v>
      </c>
      <c r="B725" s="35" t="s">
        <v>3236</v>
      </c>
      <c r="C725" s="41" t="s">
        <v>3242</v>
      </c>
      <c r="D725" s="35">
        <v>6</v>
      </c>
      <c r="E725" s="111"/>
      <c r="F725" s="35"/>
      <c r="G725" s="35">
        <v>54</v>
      </c>
      <c r="H725" s="37" t="str">
        <f t="shared" si="110"/>
        <v>神器图纸2/防具碎片5/烈焰玄铁5/火龙币46</v>
      </c>
    </row>
    <row r="726" spans="1:8" ht="15.75" x14ac:dyDescent="0.3">
      <c r="A726" s="35" t="s">
        <v>3169</v>
      </c>
      <c r="B726" s="35" t="s">
        <v>3236</v>
      </c>
      <c r="C726" s="41" t="s">
        <v>3242</v>
      </c>
      <c r="D726" s="35">
        <v>7</v>
      </c>
      <c r="E726" s="111"/>
      <c r="F726" s="35"/>
      <c r="G726" s="35">
        <v>63</v>
      </c>
      <c r="H726" s="37" t="str">
        <f t="shared" si="110"/>
        <v>神器图纸2/防具碎片5/烈焰玄铁5/火龙币48</v>
      </c>
    </row>
    <row r="727" spans="1:8" ht="15.75" x14ac:dyDescent="0.3">
      <c r="A727" s="35" t="s">
        <v>3169</v>
      </c>
      <c r="B727" s="35" t="s">
        <v>3236</v>
      </c>
      <c r="C727" s="41" t="s">
        <v>3242</v>
      </c>
      <c r="D727" s="35">
        <v>8</v>
      </c>
      <c r="E727" s="111"/>
      <c r="F727" s="35"/>
      <c r="G727" s="35">
        <v>72</v>
      </c>
      <c r="H727" s="37" t="str">
        <f t="shared" si="110"/>
        <v>神器图纸2/防具碎片5/烈焰玄铁5/火龙币50</v>
      </c>
    </row>
    <row r="728" spans="1:8" ht="15.75" x14ac:dyDescent="0.3">
      <c r="A728" s="35" t="s">
        <v>3169</v>
      </c>
      <c r="B728" s="35" t="s">
        <v>3236</v>
      </c>
      <c r="C728" s="41" t="s">
        <v>3242</v>
      </c>
      <c r="D728" s="35">
        <v>9</v>
      </c>
      <c r="E728" s="111"/>
      <c r="F728" s="35"/>
      <c r="G728" s="35">
        <v>81</v>
      </c>
      <c r="H728" s="37" t="str">
        <f t="shared" si="110"/>
        <v>神器图纸2/防具碎片5/烈焰玄铁5/火龙币53</v>
      </c>
    </row>
    <row r="729" spans="1:8" ht="15.75" x14ac:dyDescent="0.3">
      <c r="A729" s="35" t="s">
        <v>3169</v>
      </c>
      <c r="B729" s="35" t="s">
        <v>3236</v>
      </c>
      <c r="C729" s="41" t="s">
        <v>3242</v>
      </c>
      <c r="D729" s="35">
        <v>10</v>
      </c>
      <c r="E729" s="111"/>
      <c r="F729" s="35"/>
      <c r="G729" s="35">
        <v>90</v>
      </c>
      <c r="H729" s="37"/>
    </row>
    <row r="730" spans="1:8" ht="15.75" x14ac:dyDescent="0.3">
      <c r="A730" s="35" t="s">
        <v>3169</v>
      </c>
      <c r="B730" s="35" t="s">
        <v>3236</v>
      </c>
      <c r="C730" s="41" t="s">
        <v>3243</v>
      </c>
      <c r="D730" s="35">
        <v>0</v>
      </c>
      <c r="E730" s="111"/>
      <c r="F730" s="35"/>
      <c r="G730" s="113"/>
      <c r="H730" s="37" t="str">
        <f>"神器图纸"&amp;Z3&amp;"/防具碎片"&amp;AA3&amp;"/烈焰玄铁"&amp;AB3&amp;"/火龙币"&amp;AC3</f>
        <v>神器图纸1/防具碎片3/烈焰玄铁3/火龙币32</v>
      </c>
    </row>
    <row r="731" spans="1:8" ht="15.75" x14ac:dyDescent="0.3">
      <c r="A731" s="35" t="s">
        <v>3169</v>
      </c>
      <c r="B731" s="35" t="s">
        <v>3236</v>
      </c>
      <c r="C731" s="41" t="s">
        <v>3243</v>
      </c>
      <c r="D731" s="35">
        <v>1</v>
      </c>
      <c r="E731" s="111"/>
      <c r="F731" s="35"/>
      <c r="G731" s="35">
        <v>10</v>
      </c>
      <c r="H731" s="37" t="str">
        <f t="shared" ref="H731:H739" si="111">"神器图纸"&amp;Z4&amp;"/防具碎片"&amp;AA4&amp;"/烈焰玄铁"&amp;AB4&amp;"/火龙币"&amp;AC4</f>
        <v>神器图纸1/防具碎片3/烈焰玄铁3/火龙币35</v>
      </c>
    </row>
    <row r="732" spans="1:8" ht="15.75" x14ac:dyDescent="0.3">
      <c r="A732" s="35" t="s">
        <v>3169</v>
      </c>
      <c r="B732" s="35" t="s">
        <v>3236</v>
      </c>
      <c r="C732" s="41" t="s">
        <v>3243</v>
      </c>
      <c r="D732" s="35">
        <v>2</v>
      </c>
      <c r="E732" s="111"/>
      <c r="F732" s="35"/>
      <c r="G732" s="35">
        <v>20</v>
      </c>
      <c r="H732" s="37" t="str">
        <f t="shared" si="111"/>
        <v>神器图纸1/防具碎片4/烈焰玄铁4/火龙币37</v>
      </c>
    </row>
    <row r="733" spans="1:8" ht="15.75" x14ac:dyDescent="0.3">
      <c r="A733" s="35" t="s">
        <v>3169</v>
      </c>
      <c r="B733" s="35" t="s">
        <v>3236</v>
      </c>
      <c r="C733" s="41" t="s">
        <v>3243</v>
      </c>
      <c r="D733" s="35">
        <v>3</v>
      </c>
      <c r="E733" s="111"/>
      <c r="F733" s="35"/>
      <c r="G733" s="35">
        <v>30</v>
      </c>
      <c r="H733" s="37" t="str">
        <f t="shared" si="111"/>
        <v>神器图纸2/防具碎片4/烈焰玄铁4/火龙币39</v>
      </c>
    </row>
    <row r="734" spans="1:8" ht="15.75" x14ac:dyDescent="0.3">
      <c r="A734" s="35" t="s">
        <v>3169</v>
      </c>
      <c r="B734" s="35" t="s">
        <v>3236</v>
      </c>
      <c r="C734" s="41" t="s">
        <v>3243</v>
      </c>
      <c r="D734" s="35">
        <v>4</v>
      </c>
      <c r="E734" s="111"/>
      <c r="F734" s="35"/>
      <c r="G734" s="35">
        <v>40</v>
      </c>
      <c r="H734" s="37" t="str">
        <f t="shared" si="111"/>
        <v>神器图纸2/防具碎片4/烈焰玄铁4/火龙币41</v>
      </c>
    </row>
    <row r="735" spans="1:8" ht="15.75" x14ac:dyDescent="0.3">
      <c r="A735" s="35" t="s">
        <v>3169</v>
      </c>
      <c r="B735" s="35" t="s">
        <v>3236</v>
      </c>
      <c r="C735" s="41" t="s">
        <v>3243</v>
      </c>
      <c r="D735" s="35">
        <v>5</v>
      </c>
      <c r="E735" s="111"/>
      <c r="F735" s="35"/>
      <c r="G735" s="35">
        <v>50</v>
      </c>
      <c r="H735" s="37" t="str">
        <f t="shared" si="111"/>
        <v>神器图纸2/防具碎片4/烈焰玄铁4/火龙币44</v>
      </c>
    </row>
    <row r="736" spans="1:8" ht="15.75" x14ac:dyDescent="0.3">
      <c r="A736" s="35" t="s">
        <v>3169</v>
      </c>
      <c r="B736" s="35" t="s">
        <v>3236</v>
      </c>
      <c r="C736" s="41" t="s">
        <v>3243</v>
      </c>
      <c r="D736" s="35">
        <v>6</v>
      </c>
      <c r="E736" s="111"/>
      <c r="F736" s="35"/>
      <c r="G736" s="35">
        <v>60</v>
      </c>
      <c r="H736" s="37" t="str">
        <f t="shared" si="111"/>
        <v>神器图纸2/防具碎片5/烈焰玄铁5/火龙币46</v>
      </c>
    </row>
    <row r="737" spans="1:8" ht="15.75" x14ac:dyDescent="0.3">
      <c r="A737" s="35" t="s">
        <v>3169</v>
      </c>
      <c r="B737" s="35" t="s">
        <v>3236</v>
      </c>
      <c r="C737" s="41" t="s">
        <v>3243</v>
      </c>
      <c r="D737" s="35">
        <v>7</v>
      </c>
      <c r="E737" s="111"/>
      <c r="F737" s="35"/>
      <c r="G737" s="35">
        <v>70</v>
      </c>
      <c r="H737" s="37" t="str">
        <f t="shared" si="111"/>
        <v>神器图纸2/防具碎片5/烈焰玄铁5/火龙币48</v>
      </c>
    </row>
    <row r="738" spans="1:8" ht="15.75" x14ac:dyDescent="0.3">
      <c r="A738" s="35" t="s">
        <v>3169</v>
      </c>
      <c r="B738" s="35" t="s">
        <v>3236</v>
      </c>
      <c r="C738" s="41" t="s">
        <v>3243</v>
      </c>
      <c r="D738" s="35">
        <v>8</v>
      </c>
      <c r="E738" s="111"/>
      <c r="F738" s="35"/>
      <c r="G738" s="35">
        <v>80</v>
      </c>
      <c r="H738" s="37" t="str">
        <f t="shared" si="111"/>
        <v>神器图纸2/防具碎片5/烈焰玄铁5/火龙币50</v>
      </c>
    </row>
    <row r="739" spans="1:8" ht="15.75" x14ac:dyDescent="0.3">
      <c r="A739" s="35" t="s">
        <v>3169</v>
      </c>
      <c r="B739" s="35" t="s">
        <v>3236</v>
      </c>
      <c r="C739" s="41" t="s">
        <v>3243</v>
      </c>
      <c r="D739" s="35">
        <v>9</v>
      </c>
      <c r="E739" s="111"/>
      <c r="F739" s="35"/>
      <c r="G739" s="35">
        <v>90</v>
      </c>
      <c r="H739" s="37" t="str">
        <f t="shared" si="111"/>
        <v>神器图纸2/防具碎片5/烈焰玄铁5/火龙币53</v>
      </c>
    </row>
    <row r="740" spans="1:8" ht="15.75" x14ac:dyDescent="0.3">
      <c r="A740" s="35" t="s">
        <v>3169</v>
      </c>
      <c r="B740" s="35" t="s">
        <v>3236</v>
      </c>
      <c r="C740" s="41" t="s">
        <v>3243</v>
      </c>
      <c r="D740" s="35">
        <v>10</v>
      </c>
      <c r="E740" s="111"/>
      <c r="F740" s="35"/>
      <c r="G740" s="35">
        <v>100</v>
      </c>
      <c r="H740" s="37"/>
    </row>
    <row r="741" spans="1:8" ht="15.75" x14ac:dyDescent="0.3">
      <c r="A741" s="35" t="s">
        <v>3169</v>
      </c>
      <c r="B741" s="35" t="s">
        <v>3236</v>
      </c>
      <c r="C741" s="41" t="s">
        <v>3244</v>
      </c>
      <c r="D741" s="35">
        <v>0</v>
      </c>
      <c r="E741" s="111"/>
      <c r="F741" s="35"/>
      <c r="G741" s="113"/>
      <c r="H741" s="37" t="str">
        <f>"神器图纸"&amp;Z3&amp;"/防具碎片"&amp;AA3&amp;"/烈焰玄铁"&amp;AB3&amp;"/火龙币"&amp;AC3</f>
        <v>神器图纸1/防具碎片3/烈焰玄铁3/火龙币32</v>
      </c>
    </row>
    <row r="742" spans="1:8" ht="15.75" x14ac:dyDescent="0.3">
      <c r="A742" s="35" t="s">
        <v>3169</v>
      </c>
      <c r="B742" s="35" t="s">
        <v>3236</v>
      </c>
      <c r="C742" s="41" t="s">
        <v>3244</v>
      </c>
      <c r="D742" s="35">
        <v>1</v>
      </c>
      <c r="E742" s="111"/>
      <c r="F742" s="35"/>
      <c r="G742" s="35">
        <v>11</v>
      </c>
      <c r="H742" s="37" t="str">
        <f t="shared" ref="H742:H750" si="112">"神器图纸"&amp;Z4&amp;"/防具碎片"&amp;AA4&amp;"/烈焰玄铁"&amp;AB4&amp;"/火龙币"&amp;AC4</f>
        <v>神器图纸1/防具碎片3/烈焰玄铁3/火龙币35</v>
      </c>
    </row>
    <row r="743" spans="1:8" ht="15.75" x14ac:dyDescent="0.3">
      <c r="A743" s="35" t="s">
        <v>3169</v>
      </c>
      <c r="B743" s="35" t="s">
        <v>3236</v>
      </c>
      <c r="C743" s="41" t="s">
        <v>3244</v>
      </c>
      <c r="D743" s="35">
        <v>2</v>
      </c>
      <c r="E743" s="111"/>
      <c r="F743" s="35"/>
      <c r="G743" s="35">
        <v>22</v>
      </c>
      <c r="H743" s="37" t="str">
        <f t="shared" si="112"/>
        <v>神器图纸1/防具碎片4/烈焰玄铁4/火龙币37</v>
      </c>
    </row>
    <row r="744" spans="1:8" ht="15.75" x14ac:dyDescent="0.3">
      <c r="A744" s="35" t="s">
        <v>3169</v>
      </c>
      <c r="B744" s="35" t="s">
        <v>3236</v>
      </c>
      <c r="C744" s="41" t="s">
        <v>3244</v>
      </c>
      <c r="D744" s="35">
        <v>3</v>
      </c>
      <c r="E744" s="111"/>
      <c r="F744" s="35"/>
      <c r="G744" s="35">
        <v>33</v>
      </c>
      <c r="H744" s="37" t="str">
        <f t="shared" si="112"/>
        <v>神器图纸2/防具碎片4/烈焰玄铁4/火龙币39</v>
      </c>
    </row>
    <row r="745" spans="1:8" ht="15.75" x14ac:dyDescent="0.3">
      <c r="A745" s="35" t="s">
        <v>3169</v>
      </c>
      <c r="B745" s="35" t="s">
        <v>3236</v>
      </c>
      <c r="C745" s="41" t="s">
        <v>3244</v>
      </c>
      <c r="D745" s="35">
        <v>4</v>
      </c>
      <c r="E745" s="111"/>
      <c r="F745" s="35"/>
      <c r="G745" s="35">
        <v>44</v>
      </c>
      <c r="H745" s="37" t="str">
        <f t="shared" si="112"/>
        <v>神器图纸2/防具碎片4/烈焰玄铁4/火龙币41</v>
      </c>
    </row>
    <row r="746" spans="1:8" ht="15.75" x14ac:dyDescent="0.3">
      <c r="A746" s="35" t="s">
        <v>3169</v>
      </c>
      <c r="B746" s="35" t="s">
        <v>3236</v>
      </c>
      <c r="C746" s="41" t="s">
        <v>3244</v>
      </c>
      <c r="D746" s="35">
        <v>5</v>
      </c>
      <c r="E746" s="111"/>
      <c r="F746" s="35"/>
      <c r="G746" s="35">
        <v>55</v>
      </c>
      <c r="H746" s="37" t="str">
        <f t="shared" si="112"/>
        <v>神器图纸2/防具碎片4/烈焰玄铁4/火龙币44</v>
      </c>
    </row>
    <row r="747" spans="1:8" ht="15.75" x14ac:dyDescent="0.3">
      <c r="A747" s="35" t="s">
        <v>3169</v>
      </c>
      <c r="B747" s="35" t="s">
        <v>3236</v>
      </c>
      <c r="C747" s="41" t="s">
        <v>3244</v>
      </c>
      <c r="D747" s="35">
        <v>6</v>
      </c>
      <c r="E747" s="111"/>
      <c r="F747" s="35"/>
      <c r="G747" s="35">
        <v>66</v>
      </c>
      <c r="H747" s="37" t="str">
        <f t="shared" si="112"/>
        <v>神器图纸2/防具碎片5/烈焰玄铁5/火龙币46</v>
      </c>
    </row>
    <row r="748" spans="1:8" ht="15.75" x14ac:dyDescent="0.3">
      <c r="A748" s="35" t="s">
        <v>3169</v>
      </c>
      <c r="B748" s="35" t="s">
        <v>3236</v>
      </c>
      <c r="C748" s="41" t="s">
        <v>3244</v>
      </c>
      <c r="D748" s="35">
        <v>7</v>
      </c>
      <c r="E748" s="111"/>
      <c r="F748" s="35"/>
      <c r="G748" s="35">
        <v>77</v>
      </c>
      <c r="H748" s="37" t="str">
        <f t="shared" si="112"/>
        <v>神器图纸2/防具碎片5/烈焰玄铁5/火龙币48</v>
      </c>
    </row>
    <row r="749" spans="1:8" ht="15.75" x14ac:dyDescent="0.3">
      <c r="A749" s="35" t="s">
        <v>3169</v>
      </c>
      <c r="B749" s="35" t="s">
        <v>3236</v>
      </c>
      <c r="C749" s="41" t="s">
        <v>3244</v>
      </c>
      <c r="D749" s="35">
        <v>8</v>
      </c>
      <c r="E749" s="111"/>
      <c r="F749" s="35"/>
      <c r="G749" s="35">
        <v>88</v>
      </c>
      <c r="H749" s="37" t="str">
        <f t="shared" si="112"/>
        <v>神器图纸2/防具碎片5/烈焰玄铁5/火龙币50</v>
      </c>
    </row>
    <row r="750" spans="1:8" ht="15.75" x14ac:dyDescent="0.3">
      <c r="A750" s="35" t="s">
        <v>3169</v>
      </c>
      <c r="B750" s="35" t="s">
        <v>3236</v>
      </c>
      <c r="C750" s="41" t="s">
        <v>3244</v>
      </c>
      <c r="D750" s="35">
        <v>9</v>
      </c>
      <c r="E750" s="111"/>
      <c r="F750" s="35"/>
      <c r="G750" s="35">
        <v>99</v>
      </c>
      <c r="H750" s="37" t="str">
        <f t="shared" si="112"/>
        <v>神器图纸2/防具碎片5/烈焰玄铁5/火龙币53</v>
      </c>
    </row>
    <row r="751" spans="1:8" ht="15.75" x14ac:dyDescent="0.3">
      <c r="A751" s="35" t="s">
        <v>3169</v>
      </c>
      <c r="B751" s="35" t="s">
        <v>3236</v>
      </c>
      <c r="C751" s="41" t="s">
        <v>3244</v>
      </c>
      <c r="D751" s="35">
        <v>10</v>
      </c>
      <c r="E751" s="111"/>
      <c r="F751" s="35"/>
      <c r="G751" s="35">
        <v>110</v>
      </c>
      <c r="H751" s="37"/>
    </row>
    <row r="752" spans="1:8" ht="15.75" x14ac:dyDescent="0.3">
      <c r="A752" s="35" t="s">
        <v>3169</v>
      </c>
      <c r="B752" s="35" t="s">
        <v>3236</v>
      </c>
      <c r="C752" s="41" t="s">
        <v>3245</v>
      </c>
      <c r="D752" s="35">
        <v>0</v>
      </c>
      <c r="E752" s="111"/>
      <c r="F752" s="35"/>
      <c r="G752" s="113"/>
      <c r="H752" s="37" t="str">
        <f>"神器图纸"&amp;Z3&amp;"/防具碎片"&amp;AA3&amp;"/烈焰玄铁"&amp;AB3&amp;"/火龙币"&amp;AC3</f>
        <v>神器图纸1/防具碎片3/烈焰玄铁3/火龙币32</v>
      </c>
    </row>
    <row r="753" spans="1:8" ht="15.75" x14ac:dyDescent="0.3">
      <c r="A753" s="35" t="s">
        <v>3169</v>
      </c>
      <c r="B753" s="35" t="s">
        <v>3236</v>
      </c>
      <c r="C753" s="41" t="s">
        <v>3245</v>
      </c>
      <c r="D753" s="35">
        <v>1</v>
      </c>
      <c r="E753" s="111"/>
      <c r="F753" s="35"/>
      <c r="G753" s="35">
        <v>12</v>
      </c>
      <c r="H753" s="37" t="str">
        <f t="shared" ref="H753:H761" si="113">"神器图纸"&amp;Z4&amp;"/防具碎片"&amp;AA4&amp;"/烈焰玄铁"&amp;AB4&amp;"/火龙币"&amp;AC4</f>
        <v>神器图纸1/防具碎片3/烈焰玄铁3/火龙币35</v>
      </c>
    </row>
    <row r="754" spans="1:8" ht="15.75" x14ac:dyDescent="0.3">
      <c r="A754" s="35" t="s">
        <v>3169</v>
      </c>
      <c r="B754" s="35" t="s">
        <v>3236</v>
      </c>
      <c r="C754" s="41" t="s">
        <v>3245</v>
      </c>
      <c r="D754" s="35">
        <v>2</v>
      </c>
      <c r="E754" s="111"/>
      <c r="F754" s="35"/>
      <c r="G754" s="35">
        <v>24</v>
      </c>
      <c r="H754" s="37" t="str">
        <f t="shared" si="113"/>
        <v>神器图纸1/防具碎片4/烈焰玄铁4/火龙币37</v>
      </c>
    </row>
    <row r="755" spans="1:8" ht="15.75" x14ac:dyDescent="0.3">
      <c r="A755" s="35" t="s">
        <v>3169</v>
      </c>
      <c r="B755" s="35" t="s">
        <v>3236</v>
      </c>
      <c r="C755" s="41" t="s">
        <v>3245</v>
      </c>
      <c r="D755" s="35">
        <v>3</v>
      </c>
      <c r="E755" s="111"/>
      <c r="F755" s="35"/>
      <c r="G755" s="35">
        <v>36</v>
      </c>
      <c r="H755" s="37" t="str">
        <f t="shared" si="113"/>
        <v>神器图纸2/防具碎片4/烈焰玄铁4/火龙币39</v>
      </c>
    </row>
    <row r="756" spans="1:8" ht="15.75" x14ac:dyDescent="0.3">
      <c r="A756" s="35" t="s">
        <v>3169</v>
      </c>
      <c r="B756" s="35" t="s">
        <v>3236</v>
      </c>
      <c r="C756" s="41" t="s">
        <v>3245</v>
      </c>
      <c r="D756" s="35">
        <v>4</v>
      </c>
      <c r="E756" s="111"/>
      <c r="F756" s="35"/>
      <c r="G756" s="35">
        <v>48</v>
      </c>
      <c r="H756" s="37" t="str">
        <f t="shared" si="113"/>
        <v>神器图纸2/防具碎片4/烈焰玄铁4/火龙币41</v>
      </c>
    </row>
    <row r="757" spans="1:8" ht="15.75" x14ac:dyDescent="0.3">
      <c r="A757" s="35" t="s">
        <v>3169</v>
      </c>
      <c r="B757" s="35" t="s">
        <v>3236</v>
      </c>
      <c r="C757" s="41" t="s">
        <v>3245</v>
      </c>
      <c r="D757" s="35">
        <v>5</v>
      </c>
      <c r="E757" s="111"/>
      <c r="F757" s="35"/>
      <c r="G757" s="35">
        <v>60</v>
      </c>
      <c r="H757" s="37" t="str">
        <f t="shared" si="113"/>
        <v>神器图纸2/防具碎片4/烈焰玄铁4/火龙币44</v>
      </c>
    </row>
    <row r="758" spans="1:8" ht="15.75" x14ac:dyDescent="0.3">
      <c r="A758" s="35" t="s">
        <v>3169</v>
      </c>
      <c r="B758" s="35" t="s">
        <v>3236</v>
      </c>
      <c r="C758" s="41" t="s">
        <v>3245</v>
      </c>
      <c r="D758" s="35">
        <v>6</v>
      </c>
      <c r="E758" s="111"/>
      <c r="F758" s="35"/>
      <c r="G758" s="35">
        <v>72</v>
      </c>
      <c r="H758" s="37" t="str">
        <f t="shared" si="113"/>
        <v>神器图纸2/防具碎片5/烈焰玄铁5/火龙币46</v>
      </c>
    </row>
    <row r="759" spans="1:8" ht="15.75" x14ac:dyDescent="0.3">
      <c r="A759" s="35" t="s">
        <v>3169</v>
      </c>
      <c r="B759" s="35" t="s">
        <v>3236</v>
      </c>
      <c r="C759" s="41" t="s">
        <v>3245</v>
      </c>
      <c r="D759" s="35">
        <v>7</v>
      </c>
      <c r="E759" s="111"/>
      <c r="F759" s="35"/>
      <c r="G759" s="35">
        <v>84</v>
      </c>
      <c r="H759" s="37" t="str">
        <f t="shared" si="113"/>
        <v>神器图纸2/防具碎片5/烈焰玄铁5/火龙币48</v>
      </c>
    </row>
    <row r="760" spans="1:8" ht="15.75" x14ac:dyDescent="0.3">
      <c r="A760" s="35" t="s">
        <v>3169</v>
      </c>
      <c r="B760" s="35" t="s">
        <v>3236</v>
      </c>
      <c r="C760" s="41" t="s">
        <v>3245</v>
      </c>
      <c r="D760" s="35">
        <v>8</v>
      </c>
      <c r="E760" s="111"/>
      <c r="F760" s="35"/>
      <c r="G760" s="35">
        <v>96</v>
      </c>
      <c r="H760" s="37" t="str">
        <f t="shared" si="113"/>
        <v>神器图纸2/防具碎片5/烈焰玄铁5/火龙币50</v>
      </c>
    </row>
    <row r="761" spans="1:8" ht="15.75" x14ac:dyDescent="0.3">
      <c r="A761" s="35" t="s">
        <v>3169</v>
      </c>
      <c r="B761" s="35" t="s">
        <v>3236</v>
      </c>
      <c r="C761" s="41" t="s">
        <v>3245</v>
      </c>
      <c r="D761" s="35">
        <v>9</v>
      </c>
      <c r="E761" s="111"/>
      <c r="F761" s="35"/>
      <c r="G761" s="35">
        <v>108</v>
      </c>
      <c r="H761" s="37" t="str">
        <f t="shared" si="113"/>
        <v>神器图纸2/防具碎片5/烈焰玄铁5/火龙币53</v>
      </c>
    </row>
    <row r="762" spans="1:8" ht="15.75" x14ac:dyDescent="0.3">
      <c r="A762" s="35" t="s">
        <v>3169</v>
      </c>
      <c r="B762" s="35" t="s">
        <v>3236</v>
      </c>
      <c r="C762" s="41" t="s">
        <v>3245</v>
      </c>
      <c r="D762" s="35">
        <v>10</v>
      </c>
      <c r="E762" s="111"/>
      <c r="F762" s="35"/>
      <c r="G762" s="35">
        <v>120</v>
      </c>
      <c r="H762" s="37"/>
    </row>
    <row r="763" spans="1:8" ht="15.75" x14ac:dyDescent="0.3">
      <c r="A763" s="35" t="s">
        <v>3169</v>
      </c>
      <c r="B763" s="35" t="s">
        <v>3236</v>
      </c>
      <c r="C763" s="41" t="s">
        <v>3246</v>
      </c>
      <c r="D763" s="35">
        <v>0</v>
      </c>
      <c r="E763" s="111"/>
      <c r="F763" s="35"/>
      <c r="G763" s="113"/>
      <c r="H763" s="37" t="str">
        <f>"神器图纸"&amp;Z3&amp;"/防具碎片"&amp;AA3&amp;"/烈焰玄铁"&amp;AB3&amp;"/火龙币"&amp;AC3</f>
        <v>神器图纸1/防具碎片3/烈焰玄铁3/火龙币32</v>
      </c>
    </row>
    <row r="764" spans="1:8" ht="15.75" x14ac:dyDescent="0.3">
      <c r="A764" s="35" t="s">
        <v>3169</v>
      </c>
      <c r="B764" s="35" t="s">
        <v>3236</v>
      </c>
      <c r="C764" s="41" t="s">
        <v>3246</v>
      </c>
      <c r="D764" s="35">
        <v>1</v>
      </c>
      <c r="E764" s="111"/>
      <c r="F764" s="35"/>
      <c r="G764" s="35">
        <v>13</v>
      </c>
      <c r="H764" s="37" t="str">
        <f t="shared" ref="H764:H772" si="114">"神器图纸"&amp;Z4&amp;"/防具碎片"&amp;AA4&amp;"/烈焰玄铁"&amp;AB4&amp;"/火龙币"&amp;AC4</f>
        <v>神器图纸1/防具碎片3/烈焰玄铁3/火龙币35</v>
      </c>
    </row>
    <row r="765" spans="1:8" ht="15.75" x14ac:dyDescent="0.3">
      <c r="A765" s="35" t="s">
        <v>3169</v>
      </c>
      <c r="B765" s="35" t="s">
        <v>3236</v>
      </c>
      <c r="C765" s="41" t="s">
        <v>3246</v>
      </c>
      <c r="D765" s="35">
        <v>2</v>
      </c>
      <c r="E765" s="111"/>
      <c r="F765" s="35"/>
      <c r="G765" s="35">
        <v>26</v>
      </c>
      <c r="H765" s="37" t="str">
        <f t="shared" si="114"/>
        <v>神器图纸1/防具碎片4/烈焰玄铁4/火龙币37</v>
      </c>
    </row>
    <row r="766" spans="1:8" ht="15.75" x14ac:dyDescent="0.3">
      <c r="A766" s="35" t="s">
        <v>3169</v>
      </c>
      <c r="B766" s="35" t="s">
        <v>3236</v>
      </c>
      <c r="C766" s="41" t="s">
        <v>3246</v>
      </c>
      <c r="D766" s="35">
        <v>3</v>
      </c>
      <c r="E766" s="111"/>
      <c r="F766" s="35"/>
      <c r="G766" s="35">
        <v>39</v>
      </c>
      <c r="H766" s="37" t="str">
        <f t="shared" si="114"/>
        <v>神器图纸2/防具碎片4/烈焰玄铁4/火龙币39</v>
      </c>
    </row>
    <row r="767" spans="1:8" ht="15.75" x14ac:dyDescent="0.3">
      <c r="A767" s="35" t="s">
        <v>3169</v>
      </c>
      <c r="B767" s="35" t="s">
        <v>3236</v>
      </c>
      <c r="C767" s="41" t="s">
        <v>3246</v>
      </c>
      <c r="D767" s="35">
        <v>4</v>
      </c>
      <c r="E767" s="111"/>
      <c r="F767" s="35"/>
      <c r="G767" s="35">
        <v>52</v>
      </c>
      <c r="H767" s="37" t="str">
        <f t="shared" si="114"/>
        <v>神器图纸2/防具碎片4/烈焰玄铁4/火龙币41</v>
      </c>
    </row>
    <row r="768" spans="1:8" ht="15.75" x14ac:dyDescent="0.3">
      <c r="A768" s="35" t="s">
        <v>3169</v>
      </c>
      <c r="B768" s="35" t="s">
        <v>3236</v>
      </c>
      <c r="C768" s="41" t="s">
        <v>3246</v>
      </c>
      <c r="D768" s="35">
        <v>5</v>
      </c>
      <c r="E768" s="111"/>
      <c r="F768" s="35"/>
      <c r="G768" s="35">
        <v>65</v>
      </c>
      <c r="H768" s="37" t="str">
        <f t="shared" si="114"/>
        <v>神器图纸2/防具碎片4/烈焰玄铁4/火龙币44</v>
      </c>
    </row>
    <row r="769" spans="1:8" ht="15.75" x14ac:dyDescent="0.3">
      <c r="A769" s="35" t="s">
        <v>3169</v>
      </c>
      <c r="B769" s="35" t="s">
        <v>3236</v>
      </c>
      <c r="C769" s="41" t="s">
        <v>3246</v>
      </c>
      <c r="D769" s="35">
        <v>6</v>
      </c>
      <c r="E769" s="111"/>
      <c r="F769" s="35"/>
      <c r="G769" s="35">
        <v>78</v>
      </c>
      <c r="H769" s="37" t="str">
        <f t="shared" si="114"/>
        <v>神器图纸2/防具碎片5/烈焰玄铁5/火龙币46</v>
      </c>
    </row>
    <row r="770" spans="1:8" ht="15.75" x14ac:dyDescent="0.3">
      <c r="A770" s="35" t="s">
        <v>3169</v>
      </c>
      <c r="B770" s="35" t="s">
        <v>3236</v>
      </c>
      <c r="C770" s="41" t="s">
        <v>3246</v>
      </c>
      <c r="D770" s="35">
        <v>7</v>
      </c>
      <c r="E770" s="111"/>
      <c r="F770" s="35"/>
      <c r="G770" s="35">
        <v>91</v>
      </c>
      <c r="H770" s="37" t="str">
        <f t="shared" si="114"/>
        <v>神器图纸2/防具碎片5/烈焰玄铁5/火龙币48</v>
      </c>
    </row>
    <row r="771" spans="1:8" ht="15.75" x14ac:dyDescent="0.3">
      <c r="A771" s="35" t="s">
        <v>3169</v>
      </c>
      <c r="B771" s="35" t="s">
        <v>3236</v>
      </c>
      <c r="C771" s="41" t="s">
        <v>3246</v>
      </c>
      <c r="D771" s="35">
        <v>8</v>
      </c>
      <c r="E771" s="111"/>
      <c r="F771" s="35"/>
      <c r="G771" s="35">
        <v>104</v>
      </c>
      <c r="H771" s="37" t="str">
        <f t="shared" si="114"/>
        <v>神器图纸2/防具碎片5/烈焰玄铁5/火龙币50</v>
      </c>
    </row>
    <row r="772" spans="1:8" ht="15.75" x14ac:dyDescent="0.3">
      <c r="A772" s="35" t="s">
        <v>3169</v>
      </c>
      <c r="B772" s="35" t="s">
        <v>3236</v>
      </c>
      <c r="C772" s="41" t="s">
        <v>3246</v>
      </c>
      <c r="D772" s="35">
        <v>9</v>
      </c>
      <c r="E772" s="111"/>
      <c r="F772" s="35"/>
      <c r="G772" s="35">
        <v>117</v>
      </c>
      <c r="H772" s="37" t="str">
        <f t="shared" si="114"/>
        <v>神器图纸2/防具碎片5/烈焰玄铁5/火龙币53</v>
      </c>
    </row>
    <row r="773" spans="1:8" ht="15.75" x14ac:dyDescent="0.3">
      <c r="A773" s="35" t="s">
        <v>3169</v>
      </c>
      <c r="B773" s="35" t="s">
        <v>3236</v>
      </c>
      <c r="C773" s="41" t="s">
        <v>3246</v>
      </c>
      <c r="D773" s="35">
        <v>10</v>
      </c>
      <c r="E773" s="111"/>
      <c r="F773" s="35"/>
      <c r="G773" s="35">
        <v>130</v>
      </c>
      <c r="H773" s="37"/>
    </row>
    <row r="774" spans="1:8" ht="15.75" x14ac:dyDescent="0.3">
      <c r="A774" s="44" t="s">
        <v>3169</v>
      </c>
      <c r="B774" s="44" t="s">
        <v>3247</v>
      </c>
      <c r="C774" s="45" t="s">
        <v>3248</v>
      </c>
      <c r="D774" s="44">
        <v>0</v>
      </c>
      <c r="E774" s="114"/>
      <c r="F774" s="44"/>
      <c r="G774" s="117"/>
      <c r="H774" s="116" t="str">
        <f>"神器图纸"&amp;Z3&amp;"/防具碎片"&amp;AA3&amp;"/烈焰玄铁"&amp;AB3&amp;"/火龙币"&amp;AC3</f>
        <v>神器图纸1/防具碎片3/烈焰玄铁3/火龙币32</v>
      </c>
    </row>
    <row r="775" spans="1:8" ht="15.75" x14ac:dyDescent="0.3">
      <c r="A775" s="44" t="s">
        <v>3169</v>
      </c>
      <c r="B775" s="44" t="s">
        <v>3247</v>
      </c>
      <c r="C775" s="45" t="s">
        <v>3248</v>
      </c>
      <c r="D775" s="44">
        <v>1</v>
      </c>
      <c r="E775" s="114"/>
      <c r="F775" s="44"/>
      <c r="G775" s="44">
        <v>4</v>
      </c>
      <c r="H775" s="116" t="str">
        <f t="shared" ref="H775:H783" si="115">"神器图纸"&amp;Z4&amp;"/防具碎片"&amp;AA4&amp;"/烈焰玄铁"&amp;AB4&amp;"/火龙币"&amp;AC4</f>
        <v>神器图纸1/防具碎片3/烈焰玄铁3/火龙币35</v>
      </c>
    </row>
    <row r="776" spans="1:8" ht="15.75" x14ac:dyDescent="0.3">
      <c r="A776" s="44" t="s">
        <v>3169</v>
      </c>
      <c r="B776" s="44" t="s">
        <v>3247</v>
      </c>
      <c r="C776" s="45" t="s">
        <v>3248</v>
      </c>
      <c r="D776" s="44">
        <v>2</v>
      </c>
      <c r="E776" s="114"/>
      <c r="F776" s="44"/>
      <c r="G776" s="44">
        <v>8</v>
      </c>
      <c r="H776" s="116" t="str">
        <f t="shared" si="115"/>
        <v>神器图纸1/防具碎片4/烈焰玄铁4/火龙币37</v>
      </c>
    </row>
    <row r="777" spans="1:8" ht="15.75" x14ac:dyDescent="0.3">
      <c r="A777" s="44" t="s">
        <v>3169</v>
      </c>
      <c r="B777" s="44" t="s">
        <v>3247</v>
      </c>
      <c r="C777" s="45" t="s">
        <v>3248</v>
      </c>
      <c r="D777" s="44">
        <v>3</v>
      </c>
      <c r="E777" s="114"/>
      <c r="F777" s="44"/>
      <c r="G777" s="44">
        <v>12</v>
      </c>
      <c r="H777" s="116" t="str">
        <f t="shared" si="115"/>
        <v>神器图纸2/防具碎片4/烈焰玄铁4/火龙币39</v>
      </c>
    </row>
    <row r="778" spans="1:8" ht="15.75" x14ac:dyDescent="0.3">
      <c r="A778" s="44" t="s">
        <v>3169</v>
      </c>
      <c r="B778" s="44" t="s">
        <v>3247</v>
      </c>
      <c r="C778" s="45" t="s">
        <v>3248</v>
      </c>
      <c r="D778" s="44">
        <v>4</v>
      </c>
      <c r="E778" s="114"/>
      <c r="F778" s="44"/>
      <c r="G778" s="44">
        <v>16</v>
      </c>
      <c r="H778" s="116" t="str">
        <f t="shared" si="115"/>
        <v>神器图纸2/防具碎片4/烈焰玄铁4/火龙币41</v>
      </c>
    </row>
    <row r="779" spans="1:8" ht="15.75" x14ac:dyDescent="0.3">
      <c r="A779" s="44" t="s">
        <v>3169</v>
      </c>
      <c r="B779" s="44" t="s">
        <v>3247</v>
      </c>
      <c r="C779" s="45" t="s">
        <v>3248</v>
      </c>
      <c r="D779" s="44">
        <v>5</v>
      </c>
      <c r="E779" s="114"/>
      <c r="F779" s="44"/>
      <c r="G779" s="44">
        <v>20</v>
      </c>
      <c r="H779" s="116" t="str">
        <f t="shared" si="115"/>
        <v>神器图纸2/防具碎片4/烈焰玄铁4/火龙币44</v>
      </c>
    </row>
    <row r="780" spans="1:8" ht="15.75" x14ac:dyDescent="0.3">
      <c r="A780" s="44" t="s">
        <v>3169</v>
      </c>
      <c r="B780" s="44" t="s">
        <v>3247</v>
      </c>
      <c r="C780" s="45" t="s">
        <v>3248</v>
      </c>
      <c r="D780" s="44">
        <v>6</v>
      </c>
      <c r="E780" s="114"/>
      <c r="F780" s="44"/>
      <c r="G780" s="44">
        <v>24</v>
      </c>
      <c r="H780" s="116" t="str">
        <f t="shared" si="115"/>
        <v>神器图纸2/防具碎片5/烈焰玄铁5/火龙币46</v>
      </c>
    </row>
    <row r="781" spans="1:8" ht="15.75" x14ac:dyDescent="0.3">
      <c r="A781" s="44" t="s">
        <v>3169</v>
      </c>
      <c r="B781" s="44" t="s">
        <v>3247</v>
      </c>
      <c r="C781" s="45" t="s">
        <v>3248</v>
      </c>
      <c r="D781" s="44">
        <v>7</v>
      </c>
      <c r="E781" s="114"/>
      <c r="F781" s="44"/>
      <c r="G781" s="44">
        <v>28</v>
      </c>
      <c r="H781" s="116" t="str">
        <f t="shared" si="115"/>
        <v>神器图纸2/防具碎片5/烈焰玄铁5/火龙币48</v>
      </c>
    </row>
    <row r="782" spans="1:8" ht="15.75" x14ac:dyDescent="0.3">
      <c r="A782" s="44" t="s">
        <v>3169</v>
      </c>
      <c r="B782" s="44" t="s">
        <v>3247</v>
      </c>
      <c r="C782" s="45" t="s">
        <v>3248</v>
      </c>
      <c r="D782" s="44">
        <v>8</v>
      </c>
      <c r="E782" s="114"/>
      <c r="F782" s="44"/>
      <c r="G782" s="44">
        <v>32</v>
      </c>
      <c r="H782" s="116" t="str">
        <f t="shared" si="115"/>
        <v>神器图纸2/防具碎片5/烈焰玄铁5/火龙币50</v>
      </c>
    </row>
    <row r="783" spans="1:8" ht="15.75" x14ac:dyDescent="0.3">
      <c r="A783" s="44" t="s">
        <v>3169</v>
      </c>
      <c r="B783" s="44" t="s">
        <v>3247</v>
      </c>
      <c r="C783" s="45" t="s">
        <v>3248</v>
      </c>
      <c r="D783" s="44">
        <v>9</v>
      </c>
      <c r="E783" s="114"/>
      <c r="F783" s="44"/>
      <c r="G783" s="44">
        <v>36</v>
      </c>
      <c r="H783" s="116" t="str">
        <f t="shared" si="115"/>
        <v>神器图纸2/防具碎片5/烈焰玄铁5/火龙币53</v>
      </c>
    </row>
    <row r="784" spans="1:8" ht="15.75" x14ac:dyDescent="0.3">
      <c r="A784" s="44" t="s">
        <v>3169</v>
      </c>
      <c r="B784" s="44" t="s">
        <v>3247</v>
      </c>
      <c r="C784" s="45" t="s">
        <v>3248</v>
      </c>
      <c r="D784" s="44">
        <v>10</v>
      </c>
      <c r="E784" s="114"/>
      <c r="F784" s="44"/>
      <c r="G784" s="44">
        <v>40</v>
      </c>
      <c r="H784" s="116"/>
    </row>
    <row r="785" spans="1:8" ht="15.75" x14ac:dyDescent="0.3">
      <c r="A785" s="44" t="s">
        <v>3169</v>
      </c>
      <c r="B785" s="44" t="s">
        <v>3247</v>
      </c>
      <c r="C785" s="45" t="s">
        <v>3249</v>
      </c>
      <c r="D785" s="44">
        <v>0</v>
      </c>
      <c r="E785" s="114"/>
      <c r="F785" s="44"/>
      <c r="G785" s="117"/>
      <c r="H785" s="116" t="str">
        <f>"神器图纸"&amp;Z3&amp;"/防具碎片"&amp;AA3&amp;"/烈焰玄铁"&amp;AB3&amp;"/火龙币"&amp;AC3</f>
        <v>神器图纸1/防具碎片3/烈焰玄铁3/火龙币32</v>
      </c>
    </row>
    <row r="786" spans="1:8" ht="15.75" x14ac:dyDescent="0.3">
      <c r="A786" s="44" t="s">
        <v>3169</v>
      </c>
      <c r="B786" s="44" t="s">
        <v>3247</v>
      </c>
      <c r="C786" s="45" t="s">
        <v>3249</v>
      </c>
      <c r="D786" s="44">
        <v>1</v>
      </c>
      <c r="E786" s="114"/>
      <c r="F786" s="44"/>
      <c r="G786" s="44">
        <v>5</v>
      </c>
      <c r="H786" s="116" t="str">
        <f t="shared" ref="H786:H794" si="116">"神器图纸"&amp;Z4&amp;"/防具碎片"&amp;AA4&amp;"/烈焰玄铁"&amp;AB4&amp;"/火龙币"&amp;AC4</f>
        <v>神器图纸1/防具碎片3/烈焰玄铁3/火龙币35</v>
      </c>
    </row>
    <row r="787" spans="1:8" ht="15.75" x14ac:dyDescent="0.3">
      <c r="A787" s="44" t="s">
        <v>3169</v>
      </c>
      <c r="B787" s="44" t="s">
        <v>3247</v>
      </c>
      <c r="C787" s="45" t="s">
        <v>3249</v>
      </c>
      <c r="D787" s="44">
        <v>2</v>
      </c>
      <c r="E787" s="114"/>
      <c r="F787" s="44"/>
      <c r="G787" s="44">
        <v>10</v>
      </c>
      <c r="H787" s="116" t="str">
        <f t="shared" si="116"/>
        <v>神器图纸1/防具碎片4/烈焰玄铁4/火龙币37</v>
      </c>
    </row>
    <row r="788" spans="1:8" ht="15.75" x14ac:dyDescent="0.3">
      <c r="A788" s="44" t="s">
        <v>3169</v>
      </c>
      <c r="B788" s="44" t="s">
        <v>3247</v>
      </c>
      <c r="C788" s="45" t="s">
        <v>3249</v>
      </c>
      <c r="D788" s="44">
        <v>3</v>
      </c>
      <c r="E788" s="114"/>
      <c r="F788" s="44"/>
      <c r="G788" s="44">
        <v>15</v>
      </c>
      <c r="H788" s="116" t="str">
        <f t="shared" si="116"/>
        <v>神器图纸2/防具碎片4/烈焰玄铁4/火龙币39</v>
      </c>
    </row>
    <row r="789" spans="1:8" ht="15.75" x14ac:dyDescent="0.3">
      <c r="A789" s="44" t="s">
        <v>3169</v>
      </c>
      <c r="B789" s="44" t="s">
        <v>3247</v>
      </c>
      <c r="C789" s="45" t="s">
        <v>3249</v>
      </c>
      <c r="D789" s="44">
        <v>4</v>
      </c>
      <c r="E789" s="114"/>
      <c r="F789" s="44"/>
      <c r="G789" s="44">
        <v>20</v>
      </c>
      <c r="H789" s="116" t="str">
        <f t="shared" si="116"/>
        <v>神器图纸2/防具碎片4/烈焰玄铁4/火龙币41</v>
      </c>
    </row>
    <row r="790" spans="1:8" ht="15.75" x14ac:dyDescent="0.3">
      <c r="A790" s="44" t="s">
        <v>3169</v>
      </c>
      <c r="B790" s="44" t="s">
        <v>3247</v>
      </c>
      <c r="C790" s="45" t="s">
        <v>3249</v>
      </c>
      <c r="D790" s="44">
        <v>5</v>
      </c>
      <c r="E790" s="114"/>
      <c r="F790" s="44"/>
      <c r="G790" s="44">
        <v>25</v>
      </c>
      <c r="H790" s="116" t="str">
        <f t="shared" si="116"/>
        <v>神器图纸2/防具碎片4/烈焰玄铁4/火龙币44</v>
      </c>
    </row>
    <row r="791" spans="1:8" ht="15.75" x14ac:dyDescent="0.3">
      <c r="A791" s="44" t="s">
        <v>3169</v>
      </c>
      <c r="B791" s="44" t="s">
        <v>3247</v>
      </c>
      <c r="C791" s="45" t="s">
        <v>3249</v>
      </c>
      <c r="D791" s="44">
        <v>6</v>
      </c>
      <c r="E791" s="114"/>
      <c r="F791" s="44"/>
      <c r="G791" s="44">
        <v>30</v>
      </c>
      <c r="H791" s="116" t="str">
        <f t="shared" si="116"/>
        <v>神器图纸2/防具碎片5/烈焰玄铁5/火龙币46</v>
      </c>
    </row>
    <row r="792" spans="1:8" ht="15.75" x14ac:dyDescent="0.3">
      <c r="A792" s="44" t="s">
        <v>3169</v>
      </c>
      <c r="B792" s="44" t="s">
        <v>3247</v>
      </c>
      <c r="C792" s="45" t="s">
        <v>3249</v>
      </c>
      <c r="D792" s="44">
        <v>7</v>
      </c>
      <c r="E792" s="114"/>
      <c r="F792" s="44"/>
      <c r="G792" s="44">
        <v>35</v>
      </c>
      <c r="H792" s="116" t="str">
        <f t="shared" si="116"/>
        <v>神器图纸2/防具碎片5/烈焰玄铁5/火龙币48</v>
      </c>
    </row>
    <row r="793" spans="1:8" ht="15.75" x14ac:dyDescent="0.3">
      <c r="A793" s="44" t="s">
        <v>3169</v>
      </c>
      <c r="B793" s="44" t="s">
        <v>3247</v>
      </c>
      <c r="C793" s="45" t="s">
        <v>3249</v>
      </c>
      <c r="D793" s="44">
        <v>8</v>
      </c>
      <c r="E793" s="114"/>
      <c r="F793" s="44"/>
      <c r="G793" s="44">
        <v>40</v>
      </c>
      <c r="H793" s="116" t="str">
        <f t="shared" si="116"/>
        <v>神器图纸2/防具碎片5/烈焰玄铁5/火龙币50</v>
      </c>
    </row>
    <row r="794" spans="1:8" ht="15.75" x14ac:dyDescent="0.3">
      <c r="A794" s="44" t="s">
        <v>3169</v>
      </c>
      <c r="B794" s="44" t="s">
        <v>3247</v>
      </c>
      <c r="C794" s="45" t="s">
        <v>3249</v>
      </c>
      <c r="D794" s="44">
        <v>9</v>
      </c>
      <c r="E794" s="114"/>
      <c r="F794" s="44"/>
      <c r="G794" s="44">
        <v>45</v>
      </c>
      <c r="H794" s="116" t="str">
        <f t="shared" si="116"/>
        <v>神器图纸2/防具碎片5/烈焰玄铁5/火龙币53</v>
      </c>
    </row>
    <row r="795" spans="1:8" ht="15.75" x14ac:dyDescent="0.3">
      <c r="A795" s="44" t="s">
        <v>3169</v>
      </c>
      <c r="B795" s="44" t="s">
        <v>3247</v>
      </c>
      <c r="C795" s="45" t="s">
        <v>3249</v>
      </c>
      <c r="D795" s="44">
        <v>10</v>
      </c>
      <c r="E795" s="114"/>
      <c r="F795" s="44"/>
      <c r="G795" s="44">
        <v>50</v>
      </c>
      <c r="H795" s="116"/>
    </row>
    <row r="796" spans="1:8" ht="15.75" x14ac:dyDescent="0.3">
      <c r="A796" s="44" t="s">
        <v>3169</v>
      </c>
      <c r="B796" s="44" t="s">
        <v>3247</v>
      </c>
      <c r="C796" s="45" t="s">
        <v>3250</v>
      </c>
      <c r="D796" s="44">
        <v>0</v>
      </c>
      <c r="E796" s="114"/>
      <c r="F796" s="44"/>
      <c r="G796" s="117"/>
      <c r="H796" s="116" t="str">
        <f>"神器图纸"&amp;Z3&amp;"/防具碎片"&amp;AA3&amp;"/烈焰玄铁"&amp;AB3&amp;"/火龙币"&amp;AC3</f>
        <v>神器图纸1/防具碎片3/烈焰玄铁3/火龙币32</v>
      </c>
    </row>
    <row r="797" spans="1:8" ht="15.75" x14ac:dyDescent="0.3">
      <c r="A797" s="44" t="s">
        <v>3169</v>
      </c>
      <c r="B797" s="44" t="s">
        <v>3247</v>
      </c>
      <c r="C797" s="45" t="s">
        <v>3250</v>
      </c>
      <c r="D797" s="44">
        <v>1</v>
      </c>
      <c r="E797" s="114"/>
      <c r="F797" s="44"/>
      <c r="G797" s="44">
        <v>6</v>
      </c>
      <c r="H797" s="116" t="str">
        <f t="shared" ref="H797:H805" si="117">"神器图纸"&amp;Z4&amp;"/防具碎片"&amp;AA4&amp;"/烈焰玄铁"&amp;AB4&amp;"/火龙币"&amp;AC4</f>
        <v>神器图纸1/防具碎片3/烈焰玄铁3/火龙币35</v>
      </c>
    </row>
    <row r="798" spans="1:8" ht="15.75" x14ac:dyDescent="0.3">
      <c r="A798" s="44" t="s">
        <v>3169</v>
      </c>
      <c r="B798" s="44" t="s">
        <v>3247</v>
      </c>
      <c r="C798" s="45" t="s">
        <v>3250</v>
      </c>
      <c r="D798" s="44">
        <v>2</v>
      </c>
      <c r="E798" s="114"/>
      <c r="F798" s="44"/>
      <c r="G798" s="44">
        <v>12</v>
      </c>
      <c r="H798" s="116" t="str">
        <f t="shared" si="117"/>
        <v>神器图纸1/防具碎片4/烈焰玄铁4/火龙币37</v>
      </c>
    </row>
    <row r="799" spans="1:8" ht="15.75" x14ac:dyDescent="0.3">
      <c r="A799" s="44" t="s">
        <v>3169</v>
      </c>
      <c r="B799" s="44" t="s">
        <v>3247</v>
      </c>
      <c r="C799" s="45" t="s">
        <v>3250</v>
      </c>
      <c r="D799" s="44">
        <v>3</v>
      </c>
      <c r="E799" s="114"/>
      <c r="F799" s="44"/>
      <c r="G799" s="44">
        <v>18</v>
      </c>
      <c r="H799" s="116" t="str">
        <f t="shared" si="117"/>
        <v>神器图纸2/防具碎片4/烈焰玄铁4/火龙币39</v>
      </c>
    </row>
    <row r="800" spans="1:8" ht="15.75" x14ac:dyDescent="0.3">
      <c r="A800" s="44" t="s">
        <v>3169</v>
      </c>
      <c r="B800" s="44" t="s">
        <v>3247</v>
      </c>
      <c r="C800" s="45" t="s">
        <v>3250</v>
      </c>
      <c r="D800" s="44">
        <v>4</v>
      </c>
      <c r="E800" s="114"/>
      <c r="F800" s="44"/>
      <c r="G800" s="44">
        <v>24</v>
      </c>
      <c r="H800" s="116" t="str">
        <f t="shared" si="117"/>
        <v>神器图纸2/防具碎片4/烈焰玄铁4/火龙币41</v>
      </c>
    </row>
    <row r="801" spans="1:8" ht="15.75" x14ac:dyDescent="0.3">
      <c r="A801" s="44" t="s">
        <v>3169</v>
      </c>
      <c r="B801" s="44" t="s">
        <v>3247</v>
      </c>
      <c r="C801" s="45" t="s">
        <v>3250</v>
      </c>
      <c r="D801" s="44">
        <v>5</v>
      </c>
      <c r="E801" s="114"/>
      <c r="F801" s="44"/>
      <c r="G801" s="44">
        <v>30</v>
      </c>
      <c r="H801" s="116" t="str">
        <f t="shared" si="117"/>
        <v>神器图纸2/防具碎片4/烈焰玄铁4/火龙币44</v>
      </c>
    </row>
    <row r="802" spans="1:8" ht="15.75" x14ac:dyDescent="0.3">
      <c r="A802" s="44" t="s">
        <v>3169</v>
      </c>
      <c r="B802" s="44" t="s">
        <v>3247</v>
      </c>
      <c r="C802" s="45" t="s">
        <v>3250</v>
      </c>
      <c r="D802" s="44">
        <v>6</v>
      </c>
      <c r="E802" s="114"/>
      <c r="F802" s="44"/>
      <c r="G802" s="44">
        <v>36</v>
      </c>
      <c r="H802" s="116" t="str">
        <f t="shared" si="117"/>
        <v>神器图纸2/防具碎片5/烈焰玄铁5/火龙币46</v>
      </c>
    </row>
    <row r="803" spans="1:8" ht="15.75" x14ac:dyDescent="0.3">
      <c r="A803" s="44" t="s">
        <v>3169</v>
      </c>
      <c r="B803" s="44" t="s">
        <v>3247</v>
      </c>
      <c r="C803" s="45" t="s">
        <v>3250</v>
      </c>
      <c r="D803" s="44">
        <v>7</v>
      </c>
      <c r="E803" s="114"/>
      <c r="F803" s="44"/>
      <c r="G803" s="44">
        <v>42</v>
      </c>
      <c r="H803" s="116" t="str">
        <f t="shared" si="117"/>
        <v>神器图纸2/防具碎片5/烈焰玄铁5/火龙币48</v>
      </c>
    </row>
    <row r="804" spans="1:8" ht="15.75" x14ac:dyDescent="0.3">
      <c r="A804" s="44" t="s">
        <v>3169</v>
      </c>
      <c r="B804" s="44" t="s">
        <v>3247</v>
      </c>
      <c r="C804" s="45" t="s">
        <v>3250</v>
      </c>
      <c r="D804" s="44">
        <v>8</v>
      </c>
      <c r="E804" s="114"/>
      <c r="F804" s="44"/>
      <c r="G804" s="44">
        <v>48</v>
      </c>
      <c r="H804" s="116" t="str">
        <f t="shared" si="117"/>
        <v>神器图纸2/防具碎片5/烈焰玄铁5/火龙币50</v>
      </c>
    </row>
    <row r="805" spans="1:8" ht="15.75" x14ac:dyDescent="0.3">
      <c r="A805" s="44" t="s">
        <v>3169</v>
      </c>
      <c r="B805" s="44" t="s">
        <v>3247</v>
      </c>
      <c r="C805" s="45" t="s">
        <v>3250</v>
      </c>
      <c r="D805" s="44">
        <v>9</v>
      </c>
      <c r="E805" s="114"/>
      <c r="F805" s="44"/>
      <c r="G805" s="44">
        <v>54</v>
      </c>
      <c r="H805" s="116" t="str">
        <f t="shared" si="117"/>
        <v>神器图纸2/防具碎片5/烈焰玄铁5/火龙币53</v>
      </c>
    </row>
    <row r="806" spans="1:8" ht="15.75" x14ac:dyDescent="0.3">
      <c r="A806" s="44" t="s">
        <v>3169</v>
      </c>
      <c r="B806" s="44" t="s">
        <v>3247</v>
      </c>
      <c r="C806" s="45" t="s">
        <v>3250</v>
      </c>
      <c r="D806" s="44">
        <v>10</v>
      </c>
      <c r="E806" s="114"/>
      <c r="F806" s="44"/>
      <c r="G806" s="44">
        <v>60</v>
      </c>
      <c r="H806" s="116"/>
    </row>
    <row r="807" spans="1:8" ht="15.75" x14ac:dyDescent="0.3">
      <c r="A807" s="44" t="s">
        <v>3169</v>
      </c>
      <c r="B807" s="44" t="s">
        <v>3247</v>
      </c>
      <c r="C807" s="45" t="s">
        <v>3251</v>
      </c>
      <c r="D807" s="44">
        <v>0</v>
      </c>
      <c r="E807" s="114"/>
      <c r="F807" s="44"/>
      <c r="G807" s="117"/>
      <c r="H807" s="116" t="str">
        <f>"神器图纸"&amp;Z3&amp;"/防具碎片"&amp;AA3&amp;"/烈焰玄铁"&amp;AB3&amp;"/火龙币"&amp;AC3</f>
        <v>神器图纸1/防具碎片3/烈焰玄铁3/火龙币32</v>
      </c>
    </row>
    <row r="808" spans="1:8" ht="15.75" x14ac:dyDescent="0.3">
      <c r="A808" s="44" t="s">
        <v>3169</v>
      </c>
      <c r="B808" s="44" t="s">
        <v>3247</v>
      </c>
      <c r="C808" s="45" t="s">
        <v>3251</v>
      </c>
      <c r="D808" s="44">
        <v>1</v>
      </c>
      <c r="E808" s="114"/>
      <c r="F808" s="44"/>
      <c r="G808" s="44">
        <v>7</v>
      </c>
      <c r="H808" s="116" t="str">
        <f t="shared" ref="H808:H816" si="118">"神器图纸"&amp;Z4&amp;"/防具碎片"&amp;AA4&amp;"/烈焰玄铁"&amp;AB4&amp;"/火龙币"&amp;AC4</f>
        <v>神器图纸1/防具碎片3/烈焰玄铁3/火龙币35</v>
      </c>
    </row>
    <row r="809" spans="1:8" ht="15.75" x14ac:dyDescent="0.3">
      <c r="A809" s="44" t="s">
        <v>3169</v>
      </c>
      <c r="B809" s="44" t="s">
        <v>3247</v>
      </c>
      <c r="C809" s="45" t="s">
        <v>3251</v>
      </c>
      <c r="D809" s="44">
        <v>2</v>
      </c>
      <c r="E809" s="114"/>
      <c r="F809" s="44"/>
      <c r="G809" s="44">
        <v>14</v>
      </c>
      <c r="H809" s="116" t="str">
        <f t="shared" si="118"/>
        <v>神器图纸1/防具碎片4/烈焰玄铁4/火龙币37</v>
      </c>
    </row>
    <row r="810" spans="1:8" ht="15.75" x14ac:dyDescent="0.3">
      <c r="A810" s="44" t="s">
        <v>3169</v>
      </c>
      <c r="B810" s="44" t="s">
        <v>3247</v>
      </c>
      <c r="C810" s="45" t="s">
        <v>3251</v>
      </c>
      <c r="D810" s="44">
        <v>3</v>
      </c>
      <c r="E810" s="114"/>
      <c r="F810" s="44"/>
      <c r="G810" s="44">
        <v>21</v>
      </c>
      <c r="H810" s="116" t="str">
        <f t="shared" si="118"/>
        <v>神器图纸2/防具碎片4/烈焰玄铁4/火龙币39</v>
      </c>
    </row>
    <row r="811" spans="1:8" ht="15.75" x14ac:dyDescent="0.3">
      <c r="A811" s="44" t="s">
        <v>3169</v>
      </c>
      <c r="B811" s="44" t="s">
        <v>3247</v>
      </c>
      <c r="C811" s="45" t="s">
        <v>3251</v>
      </c>
      <c r="D811" s="44">
        <v>4</v>
      </c>
      <c r="E811" s="114"/>
      <c r="F811" s="44"/>
      <c r="G811" s="44">
        <v>28</v>
      </c>
      <c r="H811" s="116" t="str">
        <f t="shared" si="118"/>
        <v>神器图纸2/防具碎片4/烈焰玄铁4/火龙币41</v>
      </c>
    </row>
    <row r="812" spans="1:8" ht="15.75" x14ac:dyDescent="0.3">
      <c r="A812" s="44" t="s">
        <v>3169</v>
      </c>
      <c r="B812" s="44" t="s">
        <v>3247</v>
      </c>
      <c r="C812" s="45" t="s">
        <v>3251</v>
      </c>
      <c r="D812" s="44">
        <v>5</v>
      </c>
      <c r="E812" s="114"/>
      <c r="F812" s="44"/>
      <c r="G812" s="44">
        <v>35</v>
      </c>
      <c r="H812" s="116" t="str">
        <f t="shared" si="118"/>
        <v>神器图纸2/防具碎片4/烈焰玄铁4/火龙币44</v>
      </c>
    </row>
    <row r="813" spans="1:8" ht="15.75" x14ac:dyDescent="0.3">
      <c r="A813" s="44" t="s">
        <v>3169</v>
      </c>
      <c r="B813" s="44" t="s">
        <v>3247</v>
      </c>
      <c r="C813" s="45" t="s">
        <v>3251</v>
      </c>
      <c r="D813" s="44">
        <v>6</v>
      </c>
      <c r="E813" s="114"/>
      <c r="F813" s="44"/>
      <c r="G813" s="44">
        <v>42</v>
      </c>
      <c r="H813" s="116" t="str">
        <f t="shared" si="118"/>
        <v>神器图纸2/防具碎片5/烈焰玄铁5/火龙币46</v>
      </c>
    </row>
    <row r="814" spans="1:8" ht="15.75" x14ac:dyDescent="0.3">
      <c r="A814" s="44" t="s">
        <v>3169</v>
      </c>
      <c r="B814" s="44" t="s">
        <v>3247</v>
      </c>
      <c r="C814" s="45" t="s">
        <v>3251</v>
      </c>
      <c r="D814" s="44">
        <v>7</v>
      </c>
      <c r="E814" s="114"/>
      <c r="F814" s="44"/>
      <c r="G814" s="44">
        <v>49</v>
      </c>
      <c r="H814" s="116" t="str">
        <f t="shared" si="118"/>
        <v>神器图纸2/防具碎片5/烈焰玄铁5/火龙币48</v>
      </c>
    </row>
    <row r="815" spans="1:8" ht="15.75" x14ac:dyDescent="0.3">
      <c r="A815" s="44" t="s">
        <v>3169</v>
      </c>
      <c r="B815" s="44" t="s">
        <v>3247</v>
      </c>
      <c r="C815" s="45" t="s">
        <v>3251</v>
      </c>
      <c r="D815" s="44">
        <v>8</v>
      </c>
      <c r="E815" s="114"/>
      <c r="F815" s="44"/>
      <c r="G815" s="44">
        <v>56</v>
      </c>
      <c r="H815" s="116" t="str">
        <f t="shared" si="118"/>
        <v>神器图纸2/防具碎片5/烈焰玄铁5/火龙币50</v>
      </c>
    </row>
    <row r="816" spans="1:8" ht="15.75" x14ac:dyDescent="0.3">
      <c r="A816" s="44" t="s">
        <v>3169</v>
      </c>
      <c r="B816" s="44" t="s">
        <v>3247</v>
      </c>
      <c r="C816" s="45" t="s">
        <v>3251</v>
      </c>
      <c r="D816" s="44">
        <v>9</v>
      </c>
      <c r="E816" s="114"/>
      <c r="F816" s="44"/>
      <c r="G816" s="44">
        <v>63</v>
      </c>
      <c r="H816" s="116" t="str">
        <f t="shared" si="118"/>
        <v>神器图纸2/防具碎片5/烈焰玄铁5/火龙币53</v>
      </c>
    </row>
    <row r="817" spans="1:8" ht="15.75" x14ac:dyDescent="0.3">
      <c r="A817" s="44" t="s">
        <v>3169</v>
      </c>
      <c r="B817" s="44" t="s">
        <v>3247</v>
      </c>
      <c r="C817" s="45" t="s">
        <v>3251</v>
      </c>
      <c r="D817" s="44">
        <v>10</v>
      </c>
      <c r="E817" s="114"/>
      <c r="F817" s="44"/>
      <c r="G817" s="44">
        <v>70</v>
      </c>
      <c r="H817" s="116"/>
    </row>
    <row r="818" spans="1:8" ht="15.75" x14ac:dyDescent="0.3">
      <c r="A818" s="44" t="s">
        <v>3169</v>
      </c>
      <c r="B818" s="44" t="s">
        <v>3247</v>
      </c>
      <c r="C818" s="45" t="s">
        <v>3252</v>
      </c>
      <c r="D818" s="44">
        <v>0</v>
      </c>
      <c r="E818" s="114"/>
      <c r="F818" s="44"/>
      <c r="G818" s="117"/>
      <c r="H818" s="116" t="str">
        <f>"神器图纸"&amp;Z3&amp;"/防具碎片"&amp;AA3&amp;"/烈焰玄铁"&amp;AB3&amp;"/火龙币"&amp;AC3</f>
        <v>神器图纸1/防具碎片3/烈焰玄铁3/火龙币32</v>
      </c>
    </row>
    <row r="819" spans="1:8" ht="15.75" x14ac:dyDescent="0.3">
      <c r="A819" s="44" t="s">
        <v>3169</v>
      </c>
      <c r="B819" s="44" t="s">
        <v>3247</v>
      </c>
      <c r="C819" s="45" t="s">
        <v>3252</v>
      </c>
      <c r="D819" s="44">
        <v>1</v>
      </c>
      <c r="E819" s="114"/>
      <c r="F819" s="44"/>
      <c r="G819" s="44">
        <v>8</v>
      </c>
      <c r="H819" s="116" t="str">
        <f t="shared" ref="H819:H827" si="119">"神器图纸"&amp;Z4&amp;"/防具碎片"&amp;AA4&amp;"/烈焰玄铁"&amp;AB4&amp;"/火龙币"&amp;AC4</f>
        <v>神器图纸1/防具碎片3/烈焰玄铁3/火龙币35</v>
      </c>
    </row>
    <row r="820" spans="1:8" ht="15.75" x14ac:dyDescent="0.3">
      <c r="A820" s="44" t="s">
        <v>3169</v>
      </c>
      <c r="B820" s="44" t="s">
        <v>3247</v>
      </c>
      <c r="C820" s="45" t="s">
        <v>3252</v>
      </c>
      <c r="D820" s="44">
        <v>2</v>
      </c>
      <c r="E820" s="114"/>
      <c r="F820" s="44"/>
      <c r="G820" s="44">
        <v>16</v>
      </c>
      <c r="H820" s="116" t="str">
        <f t="shared" si="119"/>
        <v>神器图纸1/防具碎片4/烈焰玄铁4/火龙币37</v>
      </c>
    </row>
    <row r="821" spans="1:8" ht="15.75" x14ac:dyDescent="0.3">
      <c r="A821" s="44" t="s">
        <v>3169</v>
      </c>
      <c r="B821" s="44" t="s">
        <v>3247</v>
      </c>
      <c r="C821" s="45" t="s">
        <v>3252</v>
      </c>
      <c r="D821" s="44">
        <v>3</v>
      </c>
      <c r="E821" s="114"/>
      <c r="F821" s="44"/>
      <c r="G821" s="44">
        <v>24</v>
      </c>
      <c r="H821" s="116" t="str">
        <f t="shared" si="119"/>
        <v>神器图纸2/防具碎片4/烈焰玄铁4/火龙币39</v>
      </c>
    </row>
    <row r="822" spans="1:8" ht="15.75" x14ac:dyDescent="0.3">
      <c r="A822" s="44" t="s">
        <v>3169</v>
      </c>
      <c r="B822" s="44" t="s">
        <v>3247</v>
      </c>
      <c r="C822" s="45" t="s">
        <v>3252</v>
      </c>
      <c r="D822" s="44">
        <v>4</v>
      </c>
      <c r="E822" s="114"/>
      <c r="F822" s="44"/>
      <c r="G822" s="44">
        <v>32</v>
      </c>
      <c r="H822" s="116" t="str">
        <f t="shared" si="119"/>
        <v>神器图纸2/防具碎片4/烈焰玄铁4/火龙币41</v>
      </c>
    </row>
    <row r="823" spans="1:8" ht="15.75" x14ac:dyDescent="0.3">
      <c r="A823" s="44" t="s">
        <v>3169</v>
      </c>
      <c r="B823" s="44" t="s">
        <v>3247</v>
      </c>
      <c r="C823" s="45" t="s">
        <v>3252</v>
      </c>
      <c r="D823" s="44">
        <v>5</v>
      </c>
      <c r="E823" s="114"/>
      <c r="F823" s="44"/>
      <c r="G823" s="44">
        <v>40</v>
      </c>
      <c r="H823" s="116" t="str">
        <f t="shared" si="119"/>
        <v>神器图纸2/防具碎片4/烈焰玄铁4/火龙币44</v>
      </c>
    </row>
    <row r="824" spans="1:8" ht="15.75" x14ac:dyDescent="0.3">
      <c r="A824" s="44" t="s">
        <v>3169</v>
      </c>
      <c r="B824" s="44" t="s">
        <v>3247</v>
      </c>
      <c r="C824" s="45" t="s">
        <v>3252</v>
      </c>
      <c r="D824" s="44">
        <v>6</v>
      </c>
      <c r="E824" s="114"/>
      <c r="F824" s="44"/>
      <c r="G824" s="44">
        <v>48</v>
      </c>
      <c r="H824" s="116" t="str">
        <f t="shared" si="119"/>
        <v>神器图纸2/防具碎片5/烈焰玄铁5/火龙币46</v>
      </c>
    </row>
    <row r="825" spans="1:8" ht="15.75" x14ac:dyDescent="0.3">
      <c r="A825" s="44" t="s">
        <v>3169</v>
      </c>
      <c r="B825" s="44" t="s">
        <v>3247</v>
      </c>
      <c r="C825" s="45" t="s">
        <v>3252</v>
      </c>
      <c r="D825" s="44">
        <v>7</v>
      </c>
      <c r="E825" s="114"/>
      <c r="F825" s="44"/>
      <c r="G825" s="44">
        <v>56</v>
      </c>
      <c r="H825" s="116" t="str">
        <f t="shared" si="119"/>
        <v>神器图纸2/防具碎片5/烈焰玄铁5/火龙币48</v>
      </c>
    </row>
    <row r="826" spans="1:8" ht="15.75" x14ac:dyDescent="0.3">
      <c r="A826" s="44" t="s">
        <v>3169</v>
      </c>
      <c r="B826" s="44" t="s">
        <v>3247</v>
      </c>
      <c r="C826" s="45" t="s">
        <v>3252</v>
      </c>
      <c r="D826" s="44">
        <v>8</v>
      </c>
      <c r="E826" s="114"/>
      <c r="F826" s="44"/>
      <c r="G826" s="44">
        <v>64</v>
      </c>
      <c r="H826" s="116" t="str">
        <f t="shared" si="119"/>
        <v>神器图纸2/防具碎片5/烈焰玄铁5/火龙币50</v>
      </c>
    </row>
    <row r="827" spans="1:8" ht="15.75" x14ac:dyDescent="0.3">
      <c r="A827" s="44" t="s">
        <v>3169</v>
      </c>
      <c r="B827" s="44" t="s">
        <v>3247</v>
      </c>
      <c r="C827" s="45" t="s">
        <v>3252</v>
      </c>
      <c r="D827" s="44">
        <v>9</v>
      </c>
      <c r="E827" s="114"/>
      <c r="F827" s="44"/>
      <c r="G827" s="44">
        <v>72</v>
      </c>
      <c r="H827" s="116" t="str">
        <f t="shared" si="119"/>
        <v>神器图纸2/防具碎片5/烈焰玄铁5/火龙币53</v>
      </c>
    </row>
    <row r="828" spans="1:8" ht="15.75" x14ac:dyDescent="0.3">
      <c r="A828" s="44" t="s">
        <v>3169</v>
      </c>
      <c r="B828" s="44" t="s">
        <v>3247</v>
      </c>
      <c r="C828" s="45" t="s">
        <v>3252</v>
      </c>
      <c r="D828" s="44">
        <v>10</v>
      </c>
      <c r="E828" s="114"/>
      <c r="F828" s="44"/>
      <c r="G828" s="44">
        <v>80</v>
      </c>
      <c r="H828" s="116"/>
    </row>
    <row r="829" spans="1:8" ht="15.75" x14ac:dyDescent="0.3">
      <c r="A829" s="44" t="s">
        <v>3169</v>
      </c>
      <c r="B829" s="44" t="s">
        <v>3247</v>
      </c>
      <c r="C829" s="45" t="s">
        <v>3253</v>
      </c>
      <c r="D829" s="44">
        <v>0</v>
      </c>
      <c r="E829" s="114"/>
      <c r="F829" s="44"/>
      <c r="G829" s="117"/>
      <c r="H829" s="116" t="str">
        <f>"神器图纸"&amp;Z3&amp;"/防具碎片"&amp;AA3&amp;"/烈焰玄铁"&amp;AB3&amp;"/火龙币"&amp;AC3</f>
        <v>神器图纸1/防具碎片3/烈焰玄铁3/火龙币32</v>
      </c>
    </row>
    <row r="830" spans="1:8" ht="15.75" x14ac:dyDescent="0.3">
      <c r="A830" s="44" t="s">
        <v>3169</v>
      </c>
      <c r="B830" s="44" t="s">
        <v>3247</v>
      </c>
      <c r="C830" s="45" t="s">
        <v>3253</v>
      </c>
      <c r="D830" s="44">
        <v>1</v>
      </c>
      <c r="E830" s="114"/>
      <c r="F830" s="44"/>
      <c r="G830" s="44">
        <v>9</v>
      </c>
      <c r="H830" s="116" t="str">
        <f t="shared" ref="H830:H838" si="120">"神器图纸"&amp;Z4&amp;"/防具碎片"&amp;AA4&amp;"/烈焰玄铁"&amp;AB4&amp;"/火龙币"&amp;AC4</f>
        <v>神器图纸1/防具碎片3/烈焰玄铁3/火龙币35</v>
      </c>
    </row>
    <row r="831" spans="1:8" ht="15.75" x14ac:dyDescent="0.3">
      <c r="A831" s="44" t="s">
        <v>3169</v>
      </c>
      <c r="B831" s="44" t="s">
        <v>3247</v>
      </c>
      <c r="C831" s="45" t="s">
        <v>3253</v>
      </c>
      <c r="D831" s="44">
        <v>2</v>
      </c>
      <c r="E831" s="114"/>
      <c r="F831" s="44"/>
      <c r="G831" s="44">
        <v>18</v>
      </c>
      <c r="H831" s="116" t="str">
        <f t="shared" si="120"/>
        <v>神器图纸1/防具碎片4/烈焰玄铁4/火龙币37</v>
      </c>
    </row>
    <row r="832" spans="1:8" ht="15.75" x14ac:dyDescent="0.3">
      <c r="A832" s="44" t="s">
        <v>3169</v>
      </c>
      <c r="B832" s="44" t="s">
        <v>3247</v>
      </c>
      <c r="C832" s="45" t="s">
        <v>3253</v>
      </c>
      <c r="D832" s="44">
        <v>3</v>
      </c>
      <c r="E832" s="114"/>
      <c r="F832" s="44"/>
      <c r="G832" s="44">
        <v>27</v>
      </c>
      <c r="H832" s="116" t="str">
        <f t="shared" si="120"/>
        <v>神器图纸2/防具碎片4/烈焰玄铁4/火龙币39</v>
      </c>
    </row>
    <row r="833" spans="1:8" ht="15.75" x14ac:dyDescent="0.3">
      <c r="A833" s="44" t="s">
        <v>3169</v>
      </c>
      <c r="B833" s="44" t="s">
        <v>3247</v>
      </c>
      <c r="C833" s="45" t="s">
        <v>3253</v>
      </c>
      <c r="D833" s="44">
        <v>4</v>
      </c>
      <c r="E833" s="114"/>
      <c r="F833" s="44"/>
      <c r="G833" s="44">
        <v>36</v>
      </c>
      <c r="H833" s="116" t="str">
        <f t="shared" si="120"/>
        <v>神器图纸2/防具碎片4/烈焰玄铁4/火龙币41</v>
      </c>
    </row>
    <row r="834" spans="1:8" ht="15.75" x14ac:dyDescent="0.3">
      <c r="A834" s="44" t="s">
        <v>3169</v>
      </c>
      <c r="B834" s="44" t="s">
        <v>3247</v>
      </c>
      <c r="C834" s="45" t="s">
        <v>3253</v>
      </c>
      <c r="D834" s="44">
        <v>5</v>
      </c>
      <c r="E834" s="114"/>
      <c r="F834" s="44"/>
      <c r="G834" s="44">
        <v>45</v>
      </c>
      <c r="H834" s="116" t="str">
        <f t="shared" si="120"/>
        <v>神器图纸2/防具碎片4/烈焰玄铁4/火龙币44</v>
      </c>
    </row>
    <row r="835" spans="1:8" ht="15.75" x14ac:dyDescent="0.3">
      <c r="A835" s="44" t="s">
        <v>3169</v>
      </c>
      <c r="B835" s="44" t="s">
        <v>3247</v>
      </c>
      <c r="C835" s="45" t="s">
        <v>3253</v>
      </c>
      <c r="D835" s="44">
        <v>6</v>
      </c>
      <c r="E835" s="114"/>
      <c r="F835" s="44"/>
      <c r="G835" s="44">
        <v>54</v>
      </c>
      <c r="H835" s="116" t="str">
        <f t="shared" si="120"/>
        <v>神器图纸2/防具碎片5/烈焰玄铁5/火龙币46</v>
      </c>
    </row>
    <row r="836" spans="1:8" ht="15.75" x14ac:dyDescent="0.3">
      <c r="A836" s="44" t="s">
        <v>3169</v>
      </c>
      <c r="B836" s="44" t="s">
        <v>3247</v>
      </c>
      <c r="C836" s="45" t="s">
        <v>3253</v>
      </c>
      <c r="D836" s="44">
        <v>7</v>
      </c>
      <c r="E836" s="114"/>
      <c r="F836" s="44"/>
      <c r="G836" s="44">
        <v>63</v>
      </c>
      <c r="H836" s="116" t="str">
        <f t="shared" si="120"/>
        <v>神器图纸2/防具碎片5/烈焰玄铁5/火龙币48</v>
      </c>
    </row>
    <row r="837" spans="1:8" ht="15.75" x14ac:dyDescent="0.3">
      <c r="A837" s="44" t="s">
        <v>3169</v>
      </c>
      <c r="B837" s="44" t="s">
        <v>3247</v>
      </c>
      <c r="C837" s="45" t="s">
        <v>3253</v>
      </c>
      <c r="D837" s="44">
        <v>8</v>
      </c>
      <c r="E837" s="114"/>
      <c r="F837" s="44"/>
      <c r="G837" s="44">
        <v>72</v>
      </c>
      <c r="H837" s="116" t="str">
        <f t="shared" si="120"/>
        <v>神器图纸2/防具碎片5/烈焰玄铁5/火龙币50</v>
      </c>
    </row>
    <row r="838" spans="1:8" ht="15.75" x14ac:dyDescent="0.3">
      <c r="A838" s="44" t="s">
        <v>3169</v>
      </c>
      <c r="B838" s="44" t="s">
        <v>3247</v>
      </c>
      <c r="C838" s="45" t="s">
        <v>3253</v>
      </c>
      <c r="D838" s="44">
        <v>9</v>
      </c>
      <c r="E838" s="114"/>
      <c r="F838" s="44"/>
      <c r="G838" s="44">
        <v>81</v>
      </c>
      <c r="H838" s="116" t="str">
        <f t="shared" si="120"/>
        <v>神器图纸2/防具碎片5/烈焰玄铁5/火龙币53</v>
      </c>
    </row>
    <row r="839" spans="1:8" ht="15.75" x14ac:dyDescent="0.3">
      <c r="A839" s="44" t="s">
        <v>3169</v>
      </c>
      <c r="B839" s="44" t="s">
        <v>3247</v>
      </c>
      <c r="C839" s="45" t="s">
        <v>3253</v>
      </c>
      <c r="D839" s="44">
        <v>10</v>
      </c>
      <c r="E839" s="114"/>
      <c r="F839" s="44"/>
      <c r="G839" s="44">
        <v>90</v>
      </c>
      <c r="H839" s="116"/>
    </row>
    <row r="840" spans="1:8" ht="15.75" x14ac:dyDescent="0.3">
      <c r="A840" s="44" t="s">
        <v>3169</v>
      </c>
      <c r="B840" s="44" t="s">
        <v>3247</v>
      </c>
      <c r="C840" s="45" t="s">
        <v>3254</v>
      </c>
      <c r="D840" s="44">
        <v>0</v>
      </c>
      <c r="E840" s="114"/>
      <c r="F840" s="44"/>
      <c r="G840" s="117"/>
      <c r="H840" s="116" t="str">
        <f>"神器图纸"&amp;Z3&amp;"/防具碎片"&amp;AA3&amp;"/烈焰玄铁"&amp;AB3&amp;"/火龙币"&amp;AC3</f>
        <v>神器图纸1/防具碎片3/烈焰玄铁3/火龙币32</v>
      </c>
    </row>
    <row r="841" spans="1:8" ht="15.75" x14ac:dyDescent="0.3">
      <c r="A841" s="44" t="s">
        <v>3169</v>
      </c>
      <c r="B841" s="44" t="s">
        <v>3247</v>
      </c>
      <c r="C841" s="45" t="s">
        <v>3254</v>
      </c>
      <c r="D841" s="44">
        <v>1</v>
      </c>
      <c r="E841" s="114"/>
      <c r="F841" s="44"/>
      <c r="G841" s="44">
        <v>10</v>
      </c>
      <c r="H841" s="116" t="str">
        <f t="shared" ref="H841:H849" si="121">"神器图纸"&amp;Z4&amp;"/防具碎片"&amp;AA4&amp;"/烈焰玄铁"&amp;AB4&amp;"/火龙币"&amp;AC4</f>
        <v>神器图纸1/防具碎片3/烈焰玄铁3/火龙币35</v>
      </c>
    </row>
    <row r="842" spans="1:8" ht="15.75" x14ac:dyDescent="0.3">
      <c r="A842" s="44" t="s">
        <v>3169</v>
      </c>
      <c r="B842" s="44" t="s">
        <v>3247</v>
      </c>
      <c r="C842" s="45" t="s">
        <v>3254</v>
      </c>
      <c r="D842" s="44">
        <v>2</v>
      </c>
      <c r="E842" s="114"/>
      <c r="F842" s="44"/>
      <c r="G842" s="44">
        <v>20</v>
      </c>
      <c r="H842" s="116" t="str">
        <f t="shared" si="121"/>
        <v>神器图纸1/防具碎片4/烈焰玄铁4/火龙币37</v>
      </c>
    </row>
    <row r="843" spans="1:8" ht="15.75" x14ac:dyDescent="0.3">
      <c r="A843" s="44" t="s">
        <v>3169</v>
      </c>
      <c r="B843" s="44" t="s">
        <v>3247</v>
      </c>
      <c r="C843" s="45" t="s">
        <v>3254</v>
      </c>
      <c r="D843" s="44">
        <v>3</v>
      </c>
      <c r="E843" s="114"/>
      <c r="F843" s="44"/>
      <c r="G843" s="44">
        <v>30</v>
      </c>
      <c r="H843" s="116" t="str">
        <f t="shared" si="121"/>
        <v>神器图纸2/防具碎片4/烈焰玄铁4/火龙币39</v>
      </c>
    </row>
    <row r="844" spans="1:8" ht="15.75" x14ac:dyDescent="0.3">
      <c r="A844" s="44" t="s">
        <v>3169</v>
      </c>
      <c r="B844" s="44" t="s">
        <v>3247</v>
      </c>
      <c r="C844" s="45" t="s">
        <v>3254</v>
      </c>
      <c r="D844" s="44">
        <v>4</v>
      </c>
      <c r="E844" s="114"/>
      <c r="F844" s="44"/>
      <c r="G844" s="44">
        <v>40</v>
      </c>
      <c r="H844" s="116" t="str">
        <f t="shared" si="121"/>
        <v>神器图纸2/防具碎片4/烈焰玄铁4/火龙币41</v>
      </c>
    </row>
    <row r="845" spans="1:8" ht="15.75" x14ac:dyDescent="0.3">
      <c r="A845" s="44" t="s">
        <v>3169</v>
      </c>
      <c r="B845" s="44" t="s">
        <v>3247</v>
      </c>
      <c r="C845" s="45" t="s">
        <v>3254</v>
      </c>
      <c r="D845" s="44">
        <v>5</v>
      </c>
      <c r="E845" s="114"/>
      <c r="F845" s="44"/>
      <c r="G845" s="44">
        <v>50</v>
      </c>
      <c r="H845" s="116" t="str">
        <f t="shared" si="121"/>
        <v>神器图纸2/防具碎片4/烈焰玄铁4/火龙币44</v>
      </c>
    </row>
    <row r="846" spans="1:8" ht="15.75" x14ac:dyDescent="0.3">
      <c r="A846" s="44" t="s">
        <v>3169</v>
      </c>
      <c r="B846" s="44" t="s">
        <v>3247</v>
      </c>
      <c r="C846" s="45" t="s">
        <v>3254</v>
      </c>
      <c r="D846" s="44">
        <v>6</v>
      </c>
      <c r="E846" s="114"/>
      <c r="F846" s="44"/>
      <c r="G846" s="44">
        <v>60</v>
      </c>
      <c r="H846" s="116" t="str">
        <f t="shared" si="121"/>
        <v>神器图纸2/防具碎片5/烈焰玄铁5/火龙币46</v>
      </c>
    </row>
    <row r="847" spans="1:8" ht="15.75" x14ac:dyDescent="0.3">
      <c r="A847" s="44" t="s">
        <v>3169</v>
      </c>
      <c r="B847" s="44" t="s">
        <v>3247</v>
      </c>
      <c r="C847" s="45" t="s">
        <v>3254</v>
      </c>
      <c r="D847" s="44">
        <v>7</v>
      </c>
      <c r="E847" s="114"/>
      <c r="F847" s="44"/>
      <c r="G847" s="44">
        <v>70</v>
      </c>
      <c r="H847" s="116" t="str">
        <f t="shared" si="121"/>
        <v>神器图纸2/防具碎片5/烈焰玄铁5/火龙币48</v>
      </c>
    </row>
    <row r="848" spans="1:8" ht="15.75" x14ac:dyDescent="0.3">
      <c r="A848" s="44" t="s">
        <v>3169</v>
      </c>
      <c r="B848" s="44" t="s">
        <v>3247</v>
      </c>
      <c r="C848" s="45" t="s">
        <v>3254</v>
      </c>
      <c r="D848" s="44">
        <v>8</v>
      </c>
      <c r="E848" s="114"/>
      <c r="F848" s="44"/>
      <c r="G848" s="44">
        <v>80</v>
      </c>
      <c r="H848" s="116" t="str">
        <f t="shared" si="121"/>
        <v>神器图纸2/防具碎片5/烈焰玄铁5/火龙币50</v>
      </c>
    </row>
    <row r="849" spans="1:8" ht="15.75" x14ac:dyDescent="0.3">
      <c r="A849" s="44" t="s">
        <v>3169</v>
      </c>
      <c r="B849" s="44" t="s">
        <v>3247</v>
      </c>
      <c r="C849" s="45" t="s">
        <v>3254</v>
      </c>
      <c r="D849" s="44">
        <v>9</v>
      </c>
      <c r="E849" s="114"/>
      <c r="F849" s="44"/>
      <c r="G849" s="44">
        <v>90</v>
      </c>
      <c r="H849" s="116" t="str">
        <f t="shared" si="121"/>
        <v>神器图纸2/防具碎片5/烈焰玄铁5/火龙币53</v>
      </c>
    </row>
    <row r="850" spans="1:8" ht="15.75" x14ac:dyDescent="0.3">
      <c r="A850" s="44" t="s">
        <v>3169</v>
      </c>
      <c r="B850" s="44" t="s">
        <v>3247</v>
      </c>
      <c r="C850" s="45" t="s">
        <v>3254</v>
      </c>
      <c r="D850" s="44">
        <v>10</v>
      </c>
      <c r="E850" s="114"/>
      <c r="F850" s="44"/>
      <c r="G850" s="44">
        <v>100</v>
      </c>
      <c r="H850" s="116"/>
    </row>
    <row r="851" spans="1:8" ht="15.75" x14ac:dyDescent="0.3">
      <c r="A851" s="44" t="s">
        <v>3169</v>
      </c>
      <c r="B851" s="44" t="s">
        <v>3247</v>
      </c>
      <c r="C851" s="45" t="s">
        <v>3255</v>
      </c>
      <c r="D851" s="44">
        <v>0</v>
      </c>
      <c r="E851" s="114"/>
      <c r="F851" s="44"/>
      <c r="G851" s="117"/>
      <c r="H851" s="116" t="str">
        <f>"神器图纸"&amp;Z3&amp;"/防具碎片"&amp;AA3&amp;"/烈焰玄铁"&amp;AB3&amp;"/火龙币"&amp;AC3</f>
        <v>神器图纸1/防具碎片3/烈焰玄铁3/火龙币32</v>
      </c>
    </row>
    <row r="852" spans="1:8" ht="15.75" x14ac:dyDescent="0.3">
      <c r="A852" s="44" t="s">
        <v>3169</v>
      </c>
      <c r="B852" s="44" t="s">
        <v>3247</v>
      </c>
      <c r="C852" s="45" t="s">
        <v>3255</v>
      </c>
      <c r="D852" s="44">
        <v>1</v>
      </c>
      <c r="E852" s="114"/>
      <c r="F852" s="44"/>
      <c r="G852" s="44">
        <v>11</v>
      </c>
      <c r="H852" s="116" t="str">
        <f t="shared" ref="H852:H860" si="122">"神器图纸"&amp;Z4&amp;"/防具碎片"&amp;AA4&amp;"/烈焰玄铁"&amp;AB4&amp;"/火龙币"&amp;AC4</f>
        <v>神器图纸1/防具碎片3/烈焰玄铁3/火龙币35</v>
      </c>
    </row>
    <row r="853" spans="1:8" ht="15.75" x14ac:dyDescent="0.3">
      <c r="A853" s="44" t="s">
        <v>3169</v>
      </c>
      <c r="B853" s="44" t="s">
        <v>3247</v>
      </c>
      <c r="C853" s="45" t="s">
        <v>3255</v>
      </c>
      <c r="D853" s="44">
        <v>2</v>
      </c>
      <c r="E853" s="114"/>
      <c r="F853" s="44"/>
      <c r="G853" s="44">
        <v>22</v>
      </c>
      <c r="H853" s="116" t="str">
        <f t="shared" si="122"/>
        <v>神器图纸1/防具碎片4/烈焰玄铁4/火龙币37</v>
      </c>
    </row>
    <row r="854" spans="1:8" ht="15.75" x14ac:dyDescent="0.3">
      <c r="A854" s="44" t="s">
        <v>3169</v>
      </c>
      <c r="B854" s="44" t="s">
        <v>3247</v>
      </c>
      <c r="C854" s="45" t="s">
        <v>3255</v>
      </c>
      <c r="D854" s="44">
        <v>3</v>
      </c>
      <c r="E854" s="114"/>
      <c r="F854" s="44"/>
      <c r="G854" s="44">
        <v>33</v>
      </c>
      <c r="H854" s="116" t="str">
        <f t="shared" si="122"/>
        <v>神器图纸2/防具碎片4/烈焰玄铁4/火龙币39</v>
      </c>
    </row>
    <row r="855" spans="1:8" ht="15.75" x14ac:dyDescent="0.3">
      <c r="A855" s="44" t="s">
        <v>3169</v>
      </c>
      <c r="B855" s="44" t="s">
        <v>3247</v>
      </c>
      <c r="C855" s="45" t="s">
        <v>3255</v>
      </c>
      <c r="D855" s="44">
        <v>4</v>
      </c>
      <c r="E855" s="114"/>
      <c r="F855" s="44"/>
      <c r="G855" s="44">
        <v>44</v>
      </c>
      <c r="H855" s="116" t="str">
        <f t="shared" si="122"/>
        <v>神器图纸2/防具碎片4/烈焰玄铁4/火龙币41</v>
      </c>
    </row>
    <row r="856" spans="1:8" ht="15.75" x14ac:dyDescent="0.3">
      <c r="A856" s="44" t="s">
        <v>3169</v>
      </c>
      <c r="B856" s="44" t="s">
        <v>3247</v>
      </c>
      <c r="C856" s="45" t="s">
        <v>3255</v>
      </c>
      <c r="D856" s="44">
        <v>5</v>
      </c>
      <c r="E856" s="114"/>
      <c r="F856" s="44"/>
      <c r="G856" s="44">
        <v>55</v>
      </c>
      <c r="H856" s="116" t="str">
        <f t="shared" si="122"/>
        <v>神器图纸2/防具碎片4/烈焰玄铁4/火龙币44</v>
      </c>
    </row>
    <row r="857" spans="1:8" ht="15.75" x14ac:dyDescent="0.3">
      <c r="A857" s="44" t="s">
        <v>3169</v>
      </c>
      <c r="B857" s="44" t="s">
        <v>3247</v>
      </c>
      <c r="C857" s="45" t="s">
        <v>3255</v>
      </c>
      <c r="D857" s="44">
        <v>6</v>
      </c>
      <c r="E857" s="114"/>
      <c r="F857" s="44"/>
      <c r="G857" s="44">
        <v>66</v>
      </c>
      <c r="H857" s="116" t="str">
        <f t="shared" si="122"/>
        <v>神器图纸2/防具碎片5/烈焰玄铁5/火龙币46</v>
      </c>
    </row>
    <row r="858" spans="1:8" ht="15.75" x14ac:dyDescent="0.3">
      <c r="A858" s="44" t="s">
        <v>3169</v>
      </c>
      <c r="B858" s="44" t="s">
        <v>3247</v>
      </c>
      <c r="C858" s="45" t="s">
        <v>3255</v>
      </c>
      <c r="D858" s="44">
        <v>7</v>
      </c>
      <c r="E858" s="114"/>
      <c r="F858" s="44"/>
      <c r="G858" s="44">
        <v>77</v>
      </c>
      <c r="H858" s="116" t="str">
        <f t="shared" si="122"/>
        <v>神器图纸2/防具碎片5/烈焰玄铁5/火龙币48</v>
      </c>
    </row>
    <row r="859" spans="1:8" ht="15.75" x14ac:dyDescent="0.3">
      <c r="A859" s="44" t="s">
        <v>3169</v>
      </c>
      <c r="B859" s="44" t="s">
        <v>3247</v>
      </c>
      <c r="C859" s="45" t="s">
        <v>3255</v>
      </c>
      <c r="D859" s="44">
        <v>8</v>
      </c>
      <c r="E859" s="114"/>
      <c r="F859" s="44"/>
      <c r="G859" s="44">
        <v>88</v>
      </c>
      <c r="H859" s="116" t="str">
        <f t="shared" si="122"/>
        <v>神器图纸2/防具碎片5/烈焰玄铁5/火龙币50</v>
      </c>
    </row>
    <row r="860" spans="1:8" ht="15.75" x14ac:dyDescent="0.3">
      <c r="A860" s="44" t="s">
        <v>3169</v>
      </c>
      <c r="B860" s="44" t="s">
        <v>3247</v>
      </c>
      <c r="C860" s="45" t="s">
        <v>3255</v>
      </c>
      <c r="D860" s="44">
        <v>9</v>
      </c>
      <c r="E860" s="114"/>
      <c r="F860" s="44"/>
      <c r="G860" s="44">
        <v>99</v>
      </c>
      <c r="H860" s="116" t="str">
        <f t="shared" si="122"/>
        <v>神器图纸2/防具碎片5/烈焰玄铁5/火龙币53</v>
      </c>
    </row>
    <row r="861" spans="1:8" ht="15.75" x14ac:dyDescent="0.3">
      <c r="A861" s="44" t="s">
        <v>3169</v>
      </c>
      <c r="B861" s="44" t="s">
        <v>3247</v>
      </c>
      <c r="C861" s="45" t="s">
        <v>3255</v>
      </c>
      <c r="D861" s="44">
        <v>10</v>
      </c>
      <c r="E861" s="114"/>
      <c r="F861" s="44"/>
      <c r="G861" s="44">
        <v>110</v>
      </c>
      <c r="H861" s="116"/>
    </row>
    <row r="862" spans="1:8" ht="15.75" x14ac:dyDescent="0.3">
      <c r="A862" s="44" t="s">
        <v>3169</v>
      </c>
      <c r="B862" s="44" t="s">
        <v>3247</v>
      </c>
      <c r="C862" s="45" t="s">
        <v>3256</v>
      </c>
      <c r="D862" s="44">
        <v>0</v>
      </c>
      <c r="E862" s="114"/>
      <c r="F862" s="44"/>
      <c r="G862" s="117"/>
      <c r="H862" s="116" t="str">
        <f>"神器图纸"&amp;Z3&amp;"/防具碎片"&amp;AA3&amp;"/烈焰玄铁"&amp;AB3&amp;"/火龙币"&amp;AC3</f>
        <v>神器图纸1/防具碎片3/烈焰玄铁3/火龙币32</v>
      </c>
    </row>
    <row r="863" spans="1:8" ht="15.75" x14ac:dyDescent="0.3">
      <c r="A863" s="44" t="s">
        <v>3169</v>
      </c>
      <c r="B863" s="44" t="s">
        <v>3247</v>
      </c>
      <c r="C863" s="45" t="s">
        <v>3256</v>
      </c>
      <c r="D863" s="44">
        <v>1</v>
      </c>
      <c r="E863" s="114"/>
      <c r="F863" s="44"/>
      <c r="G863" s="44">
        <v>12</v>
      </c>
      <c r="H863" s="116" t="str">
        <f t="shared" ref="H863:H871" si="123">"神器图纸"&amp;Z4&amp;"/防具碎片"&amp;AA4&amp;"/烈焰玄铁"&amp;AB4&amp;"/火龙币"&amp;AC4</f>
        <v>神器图纸1/防具碎片3/烈焰玄铁3/火龙币35</v>
      </c>
    </row>
    <row r="864" spans="1:8" ht="15.75" x14ac:dyDescent="0.3">
      <c r="A864" s="44" t="s">
        <v>3169</v>
      </c>
      <c r="B864" s="44" t="s">
        <v>3247</v>
      </c>
      <c r="C864" s="45" t="s">
        <v>3256</v>
      </c>
      <c r="D864" s="44">
        <v>2</v>
      </c>
      <c r="E864" s="114"/>
      <c r="F864" s="44"/>
      <c r="G864" s="44">
        <v>24</v>
      </c>
      <c r="H864" s="116" t="str">
        <f t="shared" si="123"/>
        <v>神器图纸1/防具碎片4/烈焰玄铁4/火龙币37</v>
      </c>
    </row>
    <row r="865" spans="1:8" ht="15.75" x14ac:dyDescent="0.3">
      <c r="A865" s="44" t="s">
        <v>3169</v>
      </c>
      <c r="B865" s="44" t="s">
        <v>3247</v>
      </c>
      <c r="C865" s="45" t="s">
        <v>3256</v>
      </c>
      <c r="D865" s="44">
        <v>3</v>
      </c>
      <c r="E865" s="114"/>
      <c r="F865" s="44"/>
      <c r="G865" s="44">
        <v>36</v>
      </c>
      <c r="H865" s="116" t="str">
        <f t="shared" si="123"/>
        <v>神器图纸2/防具碎片4/烈焰玄铁4/火龙币39</v>
      </c>
    </row>
    <row r="866" spans="1:8" ht="15.75" x14ac:dyDescent="0.3">
      <c r="A866" s="44" t="s">
        <v>3169</v>
      </c>
      <c r="B866" s="44" t="s">
        <v>3247</v>
      </c>
      <c r="C866" s="45" t="s">
        <v>3256</v>
      </c>
      <c r="D866" s="44">
        <v>4</v>
      </c>
      <c r="E866" s="114"/>
      <c r="F866" s="44"/>
      <c r="G866" s="44">
        <v>48</v>
      </c>
      <c r="H866" s="116" t="str">
        <f t="shared" si="123"/>
        <v>神器图纸2/防具碎片4/烈焰玄铁4/火龙币41</v>
      </c>
    </row>
    <row r="867" spans="1:8" ht="15.75" x14ac:dyDescent="0.3">
      <c r="A867" s="44" t="s">
        <v>3169</v>
      </c>
      <c r="B867" s="44" t="s">
        <v>3247</v>
      </c>
      <c r="C867" s="45" t="s">
        <v>3256</v>
      </c>
      <c r="D867" s="44">
        <v>5</v>
      </c>
      <c r="E867" s="114"/>
      <c r="F867" s="44"/>
      <c r="G867" s="44">
        <v>60</v>
      </c>
      <c r="H867" s="116" t="str">
        <f t="shared" si="123"/>
        <v>神器图纸2/防具碎片4/烈焰玄铁4/火龙币44</v>
      </c>
    </row>
    <row r="868" spans="1:8" ht="15.75" x14ac:dyDescent="0.3">
      <c r="A868" s="44" t="s">
        <v>3169</v>
      </c>
      <c r="B868" s="44" t="s">
        <v>3247</v>
      </c>
      <c r="C868" s="45" t="s">
        <v>3256</v>
      </c>
      <c r="D868" s="44">
        <v>6</v>
      </c>
      <c r="E868" s="114"/>
      <c r="F868" s="44"/>
      <c r="G868" s="44">
        <v>72</v>
      </c>
      <c r="H868" s="116" t="str">
        <f t="shared" si="123"/>
        <v>神器图纸2/防具碎片5/烈焰玄铁5/火龙币46</v>
      </c>
    </row>
    <row r="869" spans="1:8" ht="15.75" x14ac:dyDescent="0.3">
      <c r="A869" s="44" t="s">
        <v>3169</v>
      </c>
      <c r="B869" s="44" t="s">
        <v>3247</v>
      </c>
      <c r="C869" s="45" t="s">
        <v>3256</v>
      </c>
      <c r="D869" s="44">
        <v>7</v>
      </c>
      <c r="E869" s="114"/>
      <c r="F869" s="44"/>
      <c r="G869" s="44">
        <v>84</v>
      </c>
      <c r="H869" s="116" t="str">
        <f t="shared" si="123"/>
        <v>神器图纸2/防具碎片5/烈焰玄铁5/火龙币48</v>
      </c>
    </row>
    <row r="870" spans="1:8" ht="15.75" x14ac:dyDescent="0.3">
      <c r="A870" s="44" t="s">
        <v>3169</v>
      </c>
      <c r="B870" s="44" t="s">
        <v>3247</v>
      </c>
      <c r="C870" s="45" t="s">
        <v>3256</v>
      </c>
      <c r="D870" s="44">
        <v>8</v>
      </c>
      <c r="E870" s="114"/>
      <c r="F870" s="44"/>
      <c r="G870" s="44">
        <v>96</v>
      </c>
      <c r="H870" s="116" t="str">
        <f t="shared" si="123"/>
        <v>神器图纸2/防具碎片5/烈焰玄铁5/火龙币50</v>
      </c>
    </row>
    <row r="871" spans="1:8" ht="15.75" x14ac:dyDescent="0.3">
      <c r="A871" s="44" t="s">
        <v>3169</v>
      </c>
      <c r="B871" s="44" t="s">
        <v>3247</v>
      </c>
      <c r="C871" s="45" t="s">
        <v>3256</v>
      </c>
      <c r="D871" s="44">
        <v>9</v>
      </c>
      <c r="E871" s="114"/>
      <c r="F871" s="44"/>
      <c r="G871" s="44">
        <v>108</v>
      </c>
      <c r="H871" s="116" t="str">
        <f t="shared" si="123"/>
        <v>神器图纸2/防具碎片5/烈焰玄铁5/火龙币53</v>
      </c>
    </row>
    <row r="872" spans="1:8" ht="15.75" x14ac:dyDescent="0.3">
      <c r="A872" s="44" t="s">
        <v>3169</v>
      </c>
      <c r="B872" s="44" t="s">
        <v>3247</v>
      </c>
      <c r="C872" s="45" t="s">
        <v>3256</v>
      </c>
      <c r="D872" s="44">
        <v>10</v>
      </c>
      <c r="E872" s="114"/>
      <c r="F872" s="44"/>
      <c r="G872" s="44">
        <v>120</v>
      </c>
      <c r="H872" s="116"/>
    </row>
    <row r="873" spans="1:8" ht="15.75" x14ac:dyDescent="0.3">
      <c r="A873" s="44" t="s">
        <v>3169</v>
      </c>
      <c r="B873" s="44" t="s">
        <v>3247</v>
      </c>
      <c r="C873" s="45" t="s">
        <v>3257</v>
      </c>
      <c r="D873" s="44">
        <v>0</v>
      </c>
      <c r="E873" s="114"/>
      <c r="F873" s="44"/>
      <c r="G873" s="117"/>
      <c r="H873" s="116" t="str">
        <f>"神器图纸"&amp;Z3&amp;"/防具碎片"&amp;AA3&amp;"/烈焰玄铁"&amp;AB3&amp;"/火龙币"&amp;AC3</f>
        <v>神器图纸1/防具碎片3/烈焰玄铁3/火龙币32</v>
      </c>
    </row>
    <row r="874" spans="1:8" ht="15.75" x14ac:dyDescent="0.3">
      <c r="A874" s="44" t="s">
        <v>3169</v>
      </c>
      <c r="B874" s="44" t="s">
        <v>3247</v>
      </c>
      <c r="C874" s="45" t="s">
        <v>3257</v>
      </c>
      <c r="D874" s="44">
        <v>1</v>
      </c>
      <c r="E874" s="114"/>
      <c r="F874" s="44"/>
      <c r="G874" s="44">
        <v>13</v>
      </c>
      <c r="H874" s="116" t="str">
        <f t="shared" ref="H874:H882" si="124">"神器图纸"&amp;Z4&amp;"/防具碎片"&amp;AA4&amp;"/烈焰玄铁"&amp;AB4&amp;"/火龙币"&amp;AC4</f>
        <v>神器图纸1/防具碎片3/烈焰玄铁3/火龙币35</v>
      </c>
    </row>
    <row r="875" spans="1:8" ht="15.75" x14ac:dyDescent="0.3">
      <c r="A875" s="44" t="s">
        <v>3169</v>
      </c>
      <c r="B875" s="44" t="s">
        <v>3247</v>
      </c>
      <c r="C875" s="45" t="s">
        <v>3257</v>
      </c>
      <c r="D875" s="44">
        <v>2</v>
      </c>
      <c r="E875" s="114"/>
      <c r="F875" s="44"/>
      <c r="G875" s="44">
        <v>26</v>
      </c>
      <c r="H875" s="116" t="str">
        <f t="shared" si="124"/>
        <v>神器图纸1/防具碎片4/烈焰玄铁4/火龙币37</v>
      </c>
    </row>
    <row r="876" spans="1:8" ht="15.75" x14ac:dyDescent="0.3">
      <c r="A876" s="44" t="s">
        <v>3169</v>
      </c>
      <c r="B876" s="44" t="s">
        <v>3247</v>
      </c>
      <c r="C876" s="45" t="s">
        <v>3257</v>
      </c>
      <c r="D876" s="44">
        <v>3</v>
      </c>
      <c r="E876" s="114"/>
      <c r="F876" s="44"/>
      <c r="G876" s="44">
        <v>39</v>
      </c>
      <c r="H876" s="116" t="str">
        <f t="shared" si="124"/>
        <v>神器图纸2/防具碎片4/烈焰玄铁4/火龙币39</v>
      </c>
    </row>
    <row r="877" spans="1:8" ht="15.75" x14ac:dyDescent="0.3">
      <c r="A877" s="44" t="s">
        <v>3169</v>
      </c>
      <c r="B877" s="44" t="s">
        <v>3247</v>
      </c>
      <c r="C877" s="45" t="s">
        <v>3257</v>
      </c>
      <c r="D877" s="44">
        <v>4</v>
      </c>
      <c r="E877" s="114"/>
      <c r="F877" s="44"/>
      <c r="G877" s="44">
        <v>52</v>
      </c>
      <c r="H877" s="116" t="str">
        <f t="shared" si="124"/>
        <v>神器图纸2/防具碎片4/烈焰玄铁4/火龙币41</v>
      </c>
    </row>
    <row r="878" spans="1:8" ht="15.75" x14ac:dyDescent="0.3">
      <c r="A878" s="44" t="s">
        <v>3169</v>
      </c>
      <c r="B878" s="44" t="s">
        <v>3247</v>
      </c>
      <c r="C878" s="45" t="s">
        <v>3257</v>
      </c>
      <c r="D878" s="44">
        <v>5</v>
      </c>
      <c r="E878" s="114"/>
      <c r="F878" s="44"/>
      <c r="G878" s="44">
        <v>65</v>
      </c>
      <c r="H878" s="116" t="str">
        <f t="shared" si="124"/>
        <v>神器图纸2/防具碎片4/烈焰玄铁4/火龙币44</v>
      </c>
    </row>
    <row r="879" spans="1:8" ht="15.75" x14ac:dyDescent="0.3">
      <c r="A879" s="44" t="s">
        <v>3169</v>
      </c>
      <c r="B879" s="44" t="s">
        <v>3247</v>
      </c>
      <c r="C879" s="45" t="s">
        <v>3257</v>
      </c>
      <c r="D879" s="44">
        <v>6</v>
      </c>
      <c r="E879" s="114"/>
      <c r="F879" s="44"/>
      <c r="G879" s="44">
        <v>78</v>
      </c>
      <c r="H879" s="116" t="str">
        <f t="shared" si="124"/>
        <v>神器图纸2/防具碎片5/烈焰玄铁5/火龙币46</v>
      </c>
    </row>
    <row r="880" spans="1:8" ht="15.75" x14ac:dyDescent="0.3">
      <c r="A880" s="44" t="s">
        <v>3169</v>
      </c>
      <c r="B880" s="44" t="s">
        <v>3247</v>
      </c>
      <c r="C880" s="45" t="s">
        <v>3257</v>
      </c>
      <c r="D880" s="44">
        <v>7</v>
      </c>
      <c r="E880" s="114"/>
      <c r="F880" s="44"/>
      <c r="G880" s="44">
        <v>91</v>
      </c>
      <c r="H880" s="116" t="str">
        <f t="shared" si="124"/>
        <v>神器图纸2/防具碎片5/烈焰玄铁5/火龙币48</v>
      </c>
    </row>
    <row r="881" spans="1:8" ht="15.75" x14ac:dyDescent="0.3">
      <c r="A881" s="44" t="s">
        <v>3169</v>
      </c>
      <c r="B881" s="44" t="s">
        <v>3247</v>
      </c>
      <c r="C881" s="45" t="s">
        <v>3257</v>
      </c>
      <c r="D881" s="44">
        <v>8</v>
      </c>
      <c r="E881" s="114"/>
      <c r="F881" s="44"/>
      <c r="G881" s="44">
        <v>104</v>
      </c>
      <c r="H881" s="116" t="str">
        <f t="shared" si="124"/>
        <v>神器图纸2/防具碎片5/烈焰玄铁5/火龙币50</v>
      </c>
    </row>
    <row r="882" spans="1:8" ht="15.75" x14ac:dyDescent="0.3">
      <c r="A882" s="44" t="s">
        <v>3169</v>
      </c>
      <c r="B882" s="44" t="s">
        <v>3247</v>
      </c>
      <c r="C882" s="45" t="s">
        <v>3257</v>
      </c>
      <c r="D882" s="44">
        <v>9</v>
      </c>
      <c r="E882" s="114"/>
      <c r="F882" s="44"/>
      <c r="G882" s="44">
        <v>117</v>
      </c>
      <c r="H882" s="116" t="str">
        <f t="shared" si="124"/>
        <v>神器图纸2/防具碎片5/烈焰玄铁5/火龙币53</v>
      </c>
    </row>
    <row r="883" spans="1:8" ht="15.75" x14ac:dyDescent="0.3">
      <c r="A883" s="44" t="s">
        <v>3169</v>
      </c>
      <c r="B883" s="44" t="s">
        <v>3247</v>
      </c>
      <c r="C883" s="45" t="s">
        <v>3257</v>
      </c>
      <c r="D883" s="44">
        <v>10</v>
      </c>
      <c r="E883" s="114"/>
      <c r="F883" s="44"/>
      <c r="G883" s="44">
        <v>130</v>
      </c>
      <c r="H883" s="116"/>
    </row>
    <row r="884" spans="1:8" ht="15.75" x14ac:dyDescent="0.3">
      <c r="A884" s="47" t="s">
        <v>3169</v>
      </c>
      <c r="B884" s="47" t="s">
        <v>3258</v>
      </c>
      <c r="C884" s="48" t="s">
        <v>3259</v>
      </c>
      <c r="D884" s="47">
        <v>0</v>
      </c>
      <c r="E884" s="118"/>
      <c r="F884" s="47"/>
      <c r="G884" s="121"/>
      <c r="H884" s="120" t="str">
        <f>"神器图纸"&amp;Z3&amp;"/防具碎片"&amp;AA3&amp;"/烈焰玄铁"&amp;AB3&amp;"/火龙币"&amp;AC3</f>
        <v>神器图纸1/防具碎片3/烈焰玄铁3/火龙币32</v>
      </c>
    </row>
    <row r="885" spans="1:8" ht="15.75" x14ac:dyDescent="0.3">
      <c r="A885" s="47" t="s">
        <v>3169</v>
      </c>
      <c r="B885" s="47" t="s">
        <v>3258</v>
      </c>
      <c r="C885" s="48" t="s">
        <v>3259</v>
      </c>
      <c r="D885" s="47">
        <v>1</v>
      </c>
      <c r="E885" s="118"/>
      <c r="F885" s="47"/>
      <c r="G885" s="47">
        <v>6</v>
      </c>
      <c r="H885" s="120" t="str">
        <f t="shared" ref="H885:H893" si="125">"神器图纸"&amp;Z4&amp;"/防具碎片"&amp;AA4&amp;"/烈焰玄铁"&amp;AB4&amp;"/火龙币"&amp;AC4</f>
        <v>神器图纸1/防具碎片3/烈焰玄铁3/火龙币35</v>
      </c>
    </row>
    <row r="886" spans="1:8" ht="15.75" x14ac:dyDescent="0.3">
      <c r="A886" s="47" t="s">
        <v>3169</v>
      </c>
      <c r="B886" s="47" t="s">
        <v>3258</v>
      </c>
      <c r="C886" s="48" t="s">
        <v>3259</v>
      </c>
      <c r="D886" s="47">
        <v>2</v>
      </c>
      <c r="E886" s="118"/>
      <c r="F886" s="47"/>
      <c r="G886" s="47">
        <v>12</v>
      </c>
      <c r="H886" s="120" t="str">
        <f t="shared" si="125"/>
        <v>神器图纸1/防具碎片4/烈焰玄铁4/火龙币37</v>
      </c>
    </row>
    <row r="887" spans="1:8" ht="15.75" x14ac:dyDescent="0.3">
      <c r="A887" s="47" t="s">
        <v>3169</v>
      </c>
      <c r="B887" s="47" t="s">
        <v>3258</v>
      </c>
      <c r="C887" s="48" t="s">
        <v>3259</v>
      </c>
      <c r="D887" s="47">
        <v>3</v>
      </c>
      <c r="E887" s="118"/>
      <c r="F887" s="47"/>
      <c r="G887" s="47">
        <v>18</v>
      </c>
      <c r="H887" s="120" t="str">
        <f t="shared" si="125"/>
        <v>神器图纸2/防具碎片4/烈焰玄铁4/火龙币39</v>
      </c>
    </row>
    <row r="888" spans="1:8" ht="15.75" x14ac:dyDescent="0.3">
      <c r="A888" s="47" t="s">
        <v>3169</v>
      </c>
      <c r="B888" s="47" t="s">
        <v>3258</v>
      </c>
      <c r="C888" s="48" t="s">
        <v>3259</v>
      </c>
      <c r="D888" s="47">
        <v>4</v>
      </c>
      <c r="E888" s="118"/>
      <c r="F888" s="47"/>
      <c r="G888" s="47">
        <v>24</v>
      </c>
      <c r="H888" s="120" t="str">
        <f t="shared" si="125"/>
        <v>神器图纸2/防具碎片4/烈焰玄铁4/火龙币41</v>
      </c>
    </row>
    <row r="889" spans="1:8" ht="15.75" x14ac:dyDescent="0.3">
      <c r="A889" s="47" t="s">
        <v>3169</v>
      </c>
      <c r="B889" s="47" t="s">
        <v>3258</v>
      </c>
      <c r="C889" s="48" t="s">
        <v>3259</v>
      </c>
      <c r="D889" s="47">
        <v>5</v>
      </c>
      <c r="E889" s="118"/>
      <c r="F889" s="47"/>
      <c r="G889" s="47">
        <v>30</v>
      </c>
      <c r="H889" s="120" t="str">
        <f t="shared" si="125"/>
        <v>神器图纸2/防具碎片4/烈焰玄铁4/火龙币44</v>
      </c>
    </row>
    <row r="890" spans="1:8" ht="15.75" x14ac:dyDescent="0.3">
      <c r="A890" s="47" t="s">
        <v>3169</v>
      </c>
      <c r="B890" s="47" t="s">
        <v>3258</v>
      </c>
      <c r="C890" s="48" t="s">
        <v>3259</v>
      </c>
      <c r="D890" s="47">
        <v>6</v>
      </c>
      <c r="E890" s="118"/>
      <c r="F890" s="47"/>
      <c r="G890" s="47">
        <v>36</v>
      </c>
      <c r="H890" s="120" t="str">
        <f t="shared" si="125"/>
        <v>神器图纸2/防具碎片5/烈焰玄铁5/火龙币46</v>
      </c>
    </row>
    <row r="891" spans="1:8" ht="15.75" x14ac:dyDescent="0.3">
      <c r="A891" s="47" t="s">
        <v>3169</v>
      </c>
      <c r="B891" s="47" t="s">
        <v>3258</v>
      </c>
      <c r="C891" s="48" t="s">
        <v>3259</v>
      </c>
      <c r="D891" s="47">
        <v>7</v>
      </c>
      <c r="E891" s="118"/>
      <c r="F891" s="47"/>
      <c r="G891" s="47">
        <v>42</v>
      </c>
      <c r="H891" s="120" t="str">
        <f t="shared" si="125"/>
        <v>神器图纸2/防具碎片5/烈焰玄铁5/火龙币48</v>
      </c>
    </row>
    <row r="892" spans="1:8" ht="15.75" x14ac:dyDescent="0.3">
      <c r="A892" s="47" t="s">
        <v>3169</v>
      </c>
      <c r="B892" s="47" t="s">
        <v>3258</v>
      </c>
      <c r="C892" s="48" t="s">
        <v>3259</v>
      </c>
      <c r="D892" s="47">
        <v>8</v>
      </c>
      <c r="E892" s="118"/>
      <c r="F892" s="47"/>
      <c r="G892" s="47">
        <v>48</v>
      </c>
      <c r="H892" s="120" t="str">
        <f t="shared" si="125"/>
        <v>神器图纸2/防具碎片5/烈焰玄铁5/火龙币50</v>
      </c>
    </row>
    <row r="893" spans="1:8" ht="15.75" x14ac:dyDescent="0.3">
      <c r="A893" s="47" t="s">
        <v>3169</v>
      </c>
      <c r="B893" s="47" t="s">
        <v>3258</v>
      </c>
      <c r="C893" s="48" t="s">
        <v>3259</v>
      </c>
      <c r="D893" s="47">
        <v>9</v>
      </c>
      <c r="E893" s="118"/>
      <c r="F893" s="47"/>
      <c r="G893" s="47">
        <v>54</v>
      </c>
      <c r="H893" s="120" t="str">
        <f t="shared" si="125"/>
        <v>神器图纸2/防具碎片5/烈焰玄铁5/火龙币53</v>
      </c>
    </row>
    <row r="894" spans="1:8" ht="15.75" x14ac:dyDescent="0.3">
      <c r="A894" s="47" t="s">
        <v>3169</v>
      </c>
      <c r="B894" s="47" t="s">
        <v>3258</v>
      </c>
      <c r="C894" s="48" t="s">
        <v>3259</v>
      </c>
      <c r="D894" s="47">
        <v>10</v>
      </c>
      <c r="E894" s="118"/>
      <c r="F894" s="47"/>
      <c r="G894" s="47">
        <v>60</v>
      </c>
      <c r="H894" s="120"/>
    </row>
    <row r="895" spans="1:8" ht="15.75" x14ac:dyDescent="0.3">
      <c r="A895" s="47" t="s">
        <v>3169</v>
      </c>
      <c r="B895" s="47" t="s">
        <v>3258</v>
      </c>
      <c r="C895" s="48" t="s">
        <v>3260</v>
      </c>
      <c r="D895" s="47">
        <v>0</v>
      </c>
      <c r="E895" s="118"/>
      <c r="F895" s="47"/>
      <c r="G895" s="121"/>
      <c r="H895" s="120" t="str">
        <f>"神器图纸"&amp;Z3&amp;"/防具碎片"&amp;AA3&amp;"/烈焰玄铁"&amp;AB3&amp;"/火龙币"&amp;AC3</f>
        <v>神器图纸1/防具碎片3/烈焰玄铁3/火龙币32</v>
      </c>
    </row>
    <row r="896" spans="1:8" ht="15.75" x14ac:dyDescent="0.3">
      <c r="A896" s="47" t="s">
        <v>3169</v>
      </c>
      <c r="B896" s="47" t="s">
        <v>3258</v>
      </c>
      <c r="C896" s="48" t="s">
        <v>3260</v>
      </c>
      <c r="D896" s="47">
        <v>1</v>
      </c>
      <c r="E896" s="118"/>
      <c r="F896" s="47"/>
      <c r="G896" s="47">
        <v>7</v>
      </c>
      <c r="H896" s="120" t="str">
        <f t="shared" ref="H896:H904" si="126">"神器图纸"&amp;Z4&amp;"/防具碎片"&amp;AA4&amp;"/烈焰玄铁"&amp;AB4&amp;"/火龙币"&amp;AC4</f>
        <v>神器图纸1/防具碎片3/烈焰玄铁3/火龙币35</v>
      </c>
    </row>
    <row r="897" spans="1:8" ht="15.75" x14ac:dyDescent="0.3">
      <c r="A897" s="47" t="s">
        <v>3169</v>
      </c>
      <c r="B897" s="47" t="s">
        <v>3258</v>
      </c>
      <c r="C897" s="48" t="s">
        <v>3260</v>
      </c>
      <c r="D897" s="47">
        <v>2</v>
      </c>
      <c r="E897" s="118"/>
      <c r="F897" s="47"/>
      <c r="G897" s="47">
        <v>14</v>
      </c>
      <c r="H897" s="120" t="str">
        <f t="shared" si="126"/>
        <v>神器图纸1/防具碎片4/烈焰玄铁4/火龙币37</v>
      </c>
    </row>
    <row r="898" spans="1:8" ht="15.75" x14ac:dyDescent="0.3">
      <c r="A898" s="47" t="s">
        <v>3169</v>
      </c>
      <c r="B898" s="47" t="s">
        <v>3258</v>
      </c>
      <c r="C898" s="48" t="s">
        <v>3260</v>
      </c>
      <c r="D898" s="47">
        <v>3</v>
      </c>
      <c r="E898" s="118"/>
      <c r="F898" s="47"/>
      <c r="G898" s="47">
        <v>21</v>
      </c>
      <c r="H898" s="120" t="str">
        <f t="shared" si="126"/>
        <v>神器图纸2/防具碎片4/烈焰玄铁4/火龙币39</v>
      </c>
    </row>
    <row r="899" spans="1:8" ht="15.75" x14ac:dyDescent="0.3">
      <c r="A899" s="47" t="s">
        <v>3169</v>
      </c>
      <c r="B899" s="47" t="s">
        <v>3258</v>
      </c>
      <c r="C899" s="48" t="s">
        <v>3260</v>
      </c>
      <c r="D899" s="47">
        <v>4</v>
      </c>
      <c r="E899" s="118"/>
      <c r="F899" s="47"/>
      <c r="G899" s="47">
        <v>28</v>
      </c>
      <c r="H899" s="120" t="str">
        <f t="shared" si="126"/>
        <v>神器图纸2/防具碎片4/烈焰玄铁4/火龙币41</v>
      </c>
    </row>
    <row r="900" spans="1:8" ht="15.75" x14ac:dyDescent="0.3">
      <c r="A900" s="47" t="s">
        <v>3169</v>
      </c>
      <c r="B900" s="47" t="s">
        <v>3258</v>
      </c>
      <c r="C900" s="48" t="s">
        <v>3260</v>
      </c>
      <c r="D900" s="47">
        <v>5</v>
      </c>
      <c r="E900" s="118"/>
      <c r="F900" s="47"/>
      <c r="G900" s="47">
        <v>35</v>
      </c>
      <c r="H900" s="120" t="str">
        <f t="shared" si="126"/>
        <v>神器图纸2/防具碎片4/烈焰玄铁4/火龙币44</v>
      </c>
    </row>
    <row r="901" spans="1:8" ht="15.75" x14ac:dyDescent="0.3">
      <c r="A901" s="47" t="s">
        <v>3169</v>
      </c>
      <c r="B901" s="47" t="s">
        <v>3258</v>
      </c>
      <c r="C901" s="48" t="s">
        <v>3260</v>
      </c>
      <c r="D901" s="47">
        <v>6</v>
      </c>
      <c r="E901" s="118"/>
      <c r="F901" s="47"/>
      <c r="G901" s="47">
        <v>42</v>
      </c>
      <c r="H901" s="120" t="str">
        <f t="shared" si="126"/>
        <v>神器图纸2/防具碎片5/烈焰玄铁5/火龙币46</v>
      </c>
    </row>
    <row r="902" spans="1:8" ht="15.75" x14ac:dyDescent="0.3">
      <c r="A902" s="47" t="s">
        <v>3169</v>
      </c>
      <c r="B902" s="47" t="s">
        <v>3258</v>
      </c>
      <c r="C902" s="48" t="s">
        <v>3260</v>
      </c>
      <c r="D902" s="47">
        <v>7</v>
      </c>
      <c r="E902" s="118"/>
      <c r="F902" s="47"/>
      <c r="G902" s="47">
        <v>49</v>
      </c>
      <c r="H902" s="120" t="str">
        <f t="shared" si="126"/>
        <v>神器图纸2/防具碎片5/烈焰玄铁5/火龙币48</v>
      </c>
    </row>
    <row r="903" spans="1:8" ht="15.75" x14ac:dyDescent="0.3">
      <c r="A903" s="47" t="s">
        <v>3169</v>
      </c>
      <c r="B903" s="47" t="s">
        <v>3258</v>
      </c>
      <c r="C903" s="48" t="s">
        <v>3260</v>
      </c>
      <c r="D903" s="47">
        <v>8</v>
      </c>
      <c r="E903" s="118"/>
      <c r="F903" s="47"/>
      <c r="G903" s="47">
        <v>56</v>
      </c>
      <c r="H903" s="120" t="str">
        <f t="shared" si="126"/>
        <v>神器图纸2/防具碎片5/烈焰玄铁5/火龙币50</v>
      </c>
    </row>
    <row r="904" spans="1:8" ht="15.75" x14ac:dyDescent="0.3">
      <c r="A904" s="47" t="s">
        <v>3169</v>
      </c>
      <c r="B904" s="47" t="s">
        <v>3258</v>
      </c>
      <c r="C904" s="48" t="s">
        <v>3260</v>
      </c>
      <c r="D904" s="47">
        <v>9</v>
      </c>
      <c r="E904" s="118"/>
      <c r="F904" s="47"/>
      <c r="G904" s="47">
        <v>63</v>
      </c>
      <c r="H904" s="120" t="str">
        <f t="shared" si="126"/>
        <v>神器图纸2/防具碎片5/烈焰玄铁5/火龙币53</v>
      </c>
    </row>
    <row r="905" spans="1:8" ht="15.75" x14ac:dyDescent="0.3">
      <c r="A905" s="47" t="s">
        <v>3169</v>
      </c>
      <c r="B905" s="47" t="s">
        <v>3258</v>
      </c>
      <c r="C905" s="48" t="s">
        <v>3260</v>
      </c>
      <c r="D905" s="47">
        <v>10</v>
      </c>
      <c r="E905" s="118"/>
      <c r="F905" s="47"/>
      <c r="G905" s="47">
        <v>70</v>
      </c>
      <c r="H905" s="120"/>
    </row>
    <row r="906" spans="1:8" ht="15.75" x14ac:dyDescent="0.3">
      <c r="A906" s="47" t="s">
        <v>3169</v>
      </c>
      <c r="B906" s="47" t="s">
        <v>3258</v>
      </c>
      <c r="C906" s="48" t="s">
        <v>3261</v>
      </c>
      <c r="D906" s="47">
        <v>0</v>
      </c>
      <c r="E906" s="118"/>
      <c r="F906" s="47"/>
      <c r="G906" s="121"/>
      <c r="H906" s="120" t="str">
        <f>"神器图纸"&amp;Z3&amp;"/防具碎片"&amp;AA3&amp;"/烈焰玄铁"&amp;AB3&amp;"/火龙币"&amp;AC3</f>
        <v>神器图纸1/防具碎片3/烈焰玄铁3/火龙币32</v>
      </c>
    </row>
    <row r="907" spans="1:8" ht="15.75" x14ac:dyDescent="0.3">
      <c r="A907" s="47" t="s">
        <v>3169</v>
      </c>
      <c r="B907" s="47" t="s">
        <v>3258</v>
      </c>
      <c r="C907" s="48" t="s">
        <v>3261</v>
      </c>
      <c r="D907" s="47">
        <v>1</v>
      </c>
      <c r="E907" s="118"/>
      <c r="F907" s="47"/>
      <c r="G907" s="47">
        <v>8</v>
      </c>
      <c r="H907" s="120" t="str">
        <f t="shared" ref="H907:H915" si="127">"神器图纸"&amp;Z4&amp;"/防具碎片"&amp;AA4&amp;"/烈焰玄铁"&amp;AB4&amp;"/火龙币"&amp;AC4</f>
        <v>神器图纸1/防具碎片3/烈焰玄铁3/火龙币35</v>
      </c>
    </row>
    <row r="908" spans="1:8" ht="15.75" x14ac:dyDescent="0.3">
      <c r="A908" s="47" t="s">
        <v>3169</v>
      </c>
      <c r="B908" s="47" t="s">
        <v>3258</v>
      </c>
      <c r="C908" s="48" t="s">
        <v>3261</v>
      </c>
      <c r="D908" s="47">
        <v>2</v>
      </c>
      <c r="E908" s="118"/>
      <c r="F908" s="47"/>
      <c r="G908" s="47">
        <v>16</v>
      </c>
      <c r="H908" s="120" t="str">
        <f t="shared" si="127"/>
        <v>神器图纸1/防具碎片4/烈焰玄铁4/火龙币37</v>
      </c>
    </row>
    <row r="909" spans="1:8" ht="15.75" x14ac:dyDescent="0.3">
      <c r="A909" s="47" t="s">
        <v>3169</v>
      </c>
      <c r="B909" s="47" t="s">
        <v>3258</v>
      </c>
      <c r="C909" s="48" t="s">
        <v>3261</v>
      </c>
      <c r="D909" s="47">
        <v>3</v>
      </c>
      <c r="E909" s="118"/>
      <c r="F909" s="47"/>
      <c r="G909" s="47">
        <v>24</v>
      </c>
      <c r="H909" s="120" t="str">
        <f t="shared" si="127"/>
        <v>神器图纸2/防具碎片4/烈焰玄铁4/火龙币39</v>
      </c>
    </row>
    <row r="910" spans="1:8" ht="15.75" x14ac:dyDescent="0.3">
      <c r="A910" s="47" t="s">
        <v>3169</v>
      </c>
      <c r="B910" s="47" t="s">
        <v>3258</v>
      </c>
      <c r="C910" s="48" t="s">
        <v>3261</v>
      </c>
      <c r="D910" s="47">
        <v>4</v>
      </c>
      <c r="E910" s="118"/>
      <c r="F910" s="47"/>
      <c r="G910" s="47">
        <v>32</v>
      </c>
      <c r="H910" s="120" t="str">
        <f t="shared" si="127"/>
        <v>神器图纸2/防具碎片4/烈焰玄铁4/火龙币41</v>
      </c>
    </row>
    <row r="911" spans="1:8" ht="15.75" x14ac:dyDescent="0.3">
      <c r="A911" s="47" t="s">
        <v>3169</v>
      </c>
      <c r="B911" s="47" t="s">
        <v>3258</v>
      </c>
      <c r="C911" s="48" t="s">
        <v>3261</v>
      </c>
      <c r="D911" s="47">
        <v>5</v>
      </c>
      <c r="E911" s="118"/>
      <c r="F911" s="47"/>
      <c r="G911" s="47">
        <v>40</v>
      </c>
      <c r="H911" s="120" t="str">
        <f t="shared" si="127"/>
        <v>神器图纸2/防具碎片4/烈焰玄铁4/火龙币44</v>
      </c>
    </row>
    <row r="912" spans="1:8" ht="15.75" x14ac:dyDescent="0.3">
      <c r="A912" s="47" t="s">
        <v>3169</v>
      </c>
      <c r="B912" s="47" t="s">
        <v>3258</v>
      </c>
      <c r="C912" s="48" t="s">
        <v>3261</v>
      </c>
      <c r="D912" s="47">
        <v>6</v>
      </c>
      <c r="E912" s="118"/>
      <c r="F912" s="47"/>
      <c r="G912" s="47">
        <v>48</v>
      </c>
      <c r="H912" s="120" t="str">
        <f t="shared" si="127"/>
        <v>神器图纸2/防具碎片5/烈焰玄铁5/火龙币46</v>
      </c>
    </row>
    <row r="913" spans="1:8" ht="15.75" x14ac:dyDescent="0.3">
      <c r="A913" s="47" t="s">
        <v>3169</v>
      </c>
      <c r="B913" s="47" t="s">
        <v>3258</v>
      </c>
      <c r="C913" s="48" t="s">
        <v>3261</v>
      </c>
      <c r="D913" s="47">
        <v>7</v>
      </c>
      <c r="E913" s="118"/>
      <c r="F913" s="47"/>
      <c r="G913" s="47">
        <v>56</v>
      </c>
      <c r="H913" s="120" t="str">
        <f t="shared" si="127"/>
        <v>神器图纸2/防具碎片5/烈焰玄铁5/火龙币48</v>
      </c>
    </row>
    <row r="914" spans="1:8" ht="15.75" x14ac:dyDescent="0.3">
      <c r="A914" s="47" t="s">
        <v>3169</v>
      </c>
      <c r="B914" s="47" t="s">
        <v>3258</v>
      </c>
      <c r="C914" s="48" t="s">
        <v>3261</v>
      </c>
      <c r="D914" s="47">
        <v>8</v>
      </c>
      <c r="E914" s="118"/>
      <c r="F914" s="47"/>
      <c r="G914" s="47">
        <v>64</v>
      </c>
      <c r="H914" s="120" t="str">
        <f t="shared" si="127"/>
        <v>神器图纸2/防具碎片5/烈焰玄铁5/火龙币50</v>
      </c>
    </row>
    <row r="915" spans="1:8" ht="15.75" x14ac:dyDescent="0.3">
      <c r="A915" s="47" t="s">
        <v>3169</v>
      </c>
      <c r="B915" s="47" t="s">
        <v>3258</v>
      </c>
      <c r="C915" s="48" t="s">
        <v>3261</v>
      </c>
      <c r="D915" s="47">
        <v>9</v>
      </c>
      <c r="E915" s="118"/>
      <c r="F915" s="47"/>
      <c r="G915" s="47">
        <v>72</v>
      </c>
      <c r="H915" s="120" t="str">
        <f t="shared" si="127"/>
        <v>神器图纸2/防具碎片5/烈焰玄铁5/火龙币53</v>
      </c>
    </row>
    <row r="916" spans="1:8" ht="15.75" x14ac:dyDescent="0.3">
      <c r="A916" s="47" t="s">
        <v>3169</v>
      </c>
      <c r="B916" s="47" t="s">
        <v>3258</v>
      </c>
      <c r="C916" s="48" t="s">
        <v>3261</v>
      </c>
      <c r="D916" s="47">
        <v>10</v>
      </c>
      <c r="E916" s="118"/>
      <c r="F916" s="47"/>
      <c r="G916" s="47">
        <v>80</v>
      </c>
      <c r="H916" s="120"/>
    </row>
    <row r="917" spans="1:8" ht="15.75" x14ac:dyDescent="0.3">
      <c r="A917" s="47" t="s">
        <v>3169</v>
      </c>
      <c r="B917" s="47" t="s">
        <v>3258</v>
      </c>
      <c r="C917" s="48" t="s">
        <v>3262</v>
      </c>
      <c r="D917" s="47">
        <v>0</v>
      </c>
      <c r="E917" s="118"/>
      <c r="F917" s="47"/>
      <c r="G917" s="121"/>
      <c r="H917" s="120" t="str">
        <f>"神器图纸"&amp;Z3&amp;"/防具碎片"&amp;AA3&amp;"/烈焰玄铁"&amp;AB3&amp;"/火龙币"&amp;AC3</f>
        <v>神器图纸1/防具碎片3/烈焰玄铁3/火龙币32</v>
      </c>
    </row>
    <row r="918" spans="1:8" ht="15.75" x14ac:dyDescent="0.3">
      <c r="A918" s="47" t="s">
        <v>3169</v>
      </c>
      <c r="B918" s="47" t="s">
        <v>3258</v>
      </c>
      <c r="C918" s="48" t="s">
        <v>3262</v>
      </c>
      <c r="D918" s="47">
        <v>1</v>
      </c>
      <c r="E918" s="118"/>
      <c r="F918" s="47"/>
      <c r="G918" s="47">
        <v>9</v>
      </c>
      <c r="H918" s="120" t="str">
        <f t="shared" ref="H918:H926" si="128">"神器图纸"&amp;Z4&amp;"/防具碎片"&amp;AA4&amp;"/烈焰玄铁"&amp;AB4&amp;"/火龙币"&amp;AC4</f>
        <v>神器图纸1/防具碎片3/烈焰玄铁3/火龙币35</v>
      </c>
    </row>
    <row r="919" spans="1:8" ht="15.75" x14ac:dyDescent="0.3">
      <c r="A919" s="47" t="s">
        <v>3169</v>
      </c>
      <c r="B919" s="47" t="s">
        <v>3258</v>
      </c>
      <c r="C919" s="48" t="s">
        <v>3262</v>
      </c>
      <c r="D919" s="47">
        <v>2</v>
      </c>
      <c r="E919" s="118"/>
      <c r="F919" s="47"/>
      <c r="G919" s="47">
        <v>18</v>
      </c>
      <c r="H919" s="120" t="str">
        <f t="shared" si="128"/>
        <v>神器图纸1/防具碎片4/烈焰玄铁4/火龙币37</v>
      </c>
    </row>
    <row r="920" spans="1:8" ht="15.75" x14ac:dyDescent="0.3">
      <c r="A920" s="47" t="s">
        <v>3169</v>
      </c>
      <c r="B920" s="47" t="s">
        <v>3258</v>
      </c>
      <c r="C920" s="48" t="s">
        <v>3262</v>
      </c>
      <c r="D920" s="47">
        <v>3</v>
      </c>
      <c r="E920" s="118"/>
      <c r="F920" s="47"/>
      <c r="G920" s="47">
        <v>27</v>
      </c>
      <c r="H920" s="120" t="str">
        <f t="shared" si="128"/>
        <v>神器图纸2/防具碎片4/烈焰玄铁4/火龙币39</v>
      </c>
    </row>
    <row r="921" spans="1:8" ht="15.75" x14ac:dyDescent="0.3">
      <c r="A921" s="47" t="s">
        <v>3169</v>
      </c>
      <c r="B921" s="47" t="s">
        <v>3258</v>
      </c>
      <c r="C921" s="48" t="s">
        <v>3262</v>
      </c>
      <c r="D921" s="47">
        <v>4</v>
      </c>
      <c r="E921" s="118"/>
      <c r="F921" s="47"/>
      <c r="G921" s="47">
        <v>36</v>
      </c>
      <c r="H921" s="120" t="str">
        <f t="shared" si="128"/>
        <v>神器图纸2/防具碎片4/烈焰玄铁4/火龙币41</v>
      </c>
    </row>
    <row r="922" spans="1:8" ht="15.75" x14ac:dyDescent="0.3">
      <c r="A922" s="47" t="s">
        <v>3169</v>
      </c>
      <c r="B922" s="47" t="s">
        <v>3258</v>
      </c>
      <c r="C922" s="48" t="s">
        <v>3262</v>
      </c>
      <c r="D922" s="47">
        <v>5</v>
      </c>
      <c r="E922" s="118"/>
      <c r="F922" s="47"/>
      <c r="G922" s="47">
        <v>45</v>
      </c>
      <c r="H922" s="120" t="str">
        <f t="shared" si="128"/>
        <v>神器图纸2/防具碎片4/烈焰玄铁4/火龙币44</v>
      </c>
    </row>
    <row r="923" spans="1:8" ht="15.75" x14ac:dyDescent="0.3">
      <c r="A923" s="47" t="s">
        <v>3169</v>
      </c>
      <c r="B923" s="47" t="s">
        <v>3258</v>
      </c>
      <c r="C923" s="48" t="s">
        <v>3262</v>
      </c>
      <c r="D923" s="47">
        <v>6</v>
      </c>
      <c r="E923" s="118"/>
      <c r="F923" s="47"/>
      <c r="G923" s="47">
        <v>54</v>
      </c>
      <c r="H923" s="120" t="str">
        <f t="shared" si="128"/>
        <v>神器图纸2/防具碎片5/烈焰玄铁5/火龙币46</v>
      </c>
    </row>
    <row r="924" spans="1:8" ht="15.75" x14ac:dyDescent="0.3">
      <c r="A924" s="47" t="s">
        <v>3169</v>
      </c>
      <c r="B924" s="47" t="s">
        <v>3258</v>
      </c>
      <c r="C924" s="48" t="s">
        <v>3262</v>
      </c>
      <c r="D924" s="47">
        <v>7</v>
      </c>
      <c r="E924" s="118"/>
      <c r="F924" s="47"/>
      <c r="G924" s="47">
        <v>63</v>
      </c>
      <c r="H924" s="120" t="str">
        <f t="shared" si="128"/>
        <v>神器图纸2/防具碎片5/烈焰玄铁5/火龙币48</v>
      </c>
    </row>
    <row r="925" spans="1:8" ht="15.75" x14ac:dyDescent="0.3">
      <c r="A925" s="47" t="s">
        <v>3169</v>
      </c>
      <c r="B925" s="47" t="s">
        <v>3258</v>
      </c>
      <c r="C925" s="48" t="s">
        <v>3262</v>
      </c>
      <c r="D925" s="47">
        <v>8</v>
      </c>
      <c r="E925" s="118"/>
      <c r="F925" s="47"/>
      <c r="G925" s="47">
        <v>72</v>
      </c>
      <c r="H925" s="120" t="str">
        <f t="shared" si="128"/>
        <v>神器图纸2/防具碎片5/烈焰玄铁5/火龙币50</v>
      </c>
    </row>
    <row r="926" spans="1:8" ht="15.75" x14ac:dyDescent="0.3">
      <c r="A926" s="47" t="s">
        <v>3169</v>
      </c>
      <c r="B926" s="47" t="s">
        <v>3258</v>
      </c>
      <c r="C926" s="48" t="s">
        <v>3262</v>
      </c>
      <c r="D926" s="47">
        <v>9</v>
      </c>
      <c r="E926" s="118"/>
      <c r="F926" s="47"/>
      <c r="G926" s="47">
        <v>81</v>
      </c>
      <c r="H926" s="120" t="str">
        <f t="shared" si="128"/>
        <v>神器图纸2/防具碎片5/烈焰玄铁5/火龙币53</v>
      </c>
    </row>
    <row r="927" spans="1:8" ht="15.75" x14ac:dyDescent="0.3">
      <c r="A927" s="47" t="s">
        <v>3169</v>
      </c>
      <c r="B927" s="47" t="s">
        <v>3258</v>
      </c>
      <c r="C927" s="48" t="s">
        <v>3262</v>
      </c>
      <c r="D927" s="47">
        <v>10</v>
      </c>
      <c r="E927" s="118"/>
      <c r="F927" s="47"/>
      <c r="G927" s="47">
        <v>90</v>
      </c>
      <c r="H927" s="120"/>
    </row>
    <row r="928" spans="1:8" ht="15.75" x14ac:dyDescent="0.3">
      <c r="A928" s="47" t="s">
        <v>3169</v>
      </c>
      <c r="B928" s="47" t="s">
        <v>3258</v>
      </c>
      <c r="C928" s="48" t="s">
        <v>3263</v>
      </c>
      <c r="D928" s="47">
        <v>0</v>
      </c>
      <c r="E928" s="118"/>
      <c r="F928" s="47"/>
      <c r="G928" s="121"/>
      <c r="H928" s="120" t="str">
        <f>"神器图纸"&amp;Z3&amp;"/防具碎片"&amp;AA3&amp;"/烈焰玄铁"&amp;AB3&amp;"/火龙币"&amp;AC3</f>
        <v>神器图纸1/防具碎片3/烈焰玄铁3/火龙币32</v>
      </c>
    </row>
    <row r="929" spans="1:8" ht="15.75" x14ac:dyDescent="0.3">
      <c r="A929" s="47" t="s">
        <v>3169</v>
      </c>
      <c r="B929" s="47" t="s">
        <v>3258</v>
      </c>
      <c r="C929" s="48" t="s">
        <v>3263</v>
      </c>
      <c r="D929" s="47">
        <v>1</v>
      </c>
      <c r="E929" s="118"/>
      <c r="F929" s="47"/>
      <c r="G929" s="47">
        <v>10</v>
      </c>
      <c r="H929" s="120" t="str">
        <f t="shared" ref="H929:H937" si="129">"神器图纸"&amp;Z4&amp;"/防具碎片"&amp;AA4&amp;"/烈焰玄铁"&amp;AB4&amp;"/火龙币"&amp;AC4</f>
        <v>神器图纸1/防具碎片3/烈焰玄铁3/火龙币35</v>
      </c>
    </row>
    <row r="930" spans="1:8" ht="15.75" x14ac:dyDescent="0.3">
      <c r="A930" s="47" t="s">
        <v>3169</v>
      </c>
      <c r="B930" s="47" t="s">
        <v>3258</v>
      </c>
      <c r="C930" s="48" t="s">
        <v>3263</v>
      </c>
      <c r="D930" s="47">
        <v>2</v>
      </c>
      <c r="E930" s="118"/>
      <c r="F930" s="47"/>
      <c r="G930" s="47">
        <v>20</v>
      </c>
      <c r="H930" s="120" t="str">
        <f t="shared" si="129"/>
        <v>神器图纸1/防具碎片4/烈焰玄铁4/火龙币37</v>
      </c>
    </row>
    <row r="931" spans="1:8" ht="15.75" x14ac:dyDescent="0.3">
      <c r="A931" s="47" t="s">
        <v>3169</v>
      </c>
      <c r="B931" s="47" t="s">
        <v>3258</v>
      </c>
      <c r="C931" s="48" t="s">
        <v>3263</v>
      </c>
      <c r="D931" s="47">
        <v>3</v>
      </c>
      <c r="E931" s="118"/>
      <c r="F931" s="47"/>
      <c r="G931" s="47">
        <v>30</v>
      </c>
      <c r="H931" s="120" t="str">
        <f t="shared" si="129"/>
        <v>神器图纸2/防具碎片4/烈焰玄铁4/火龙币39</v>
      </c>
    </row>
    <row r="932" spans="1:8" ht="15.75" x14ac:dyDescent="0.3">
      <c r="A932" s="47" t="s">
        <v>3169</v>
      </c>
      <c r="B932" s="47" t="s">
        <v>3258</v>
      </c>
      <c r="C932" s="48" t="s">
        <v>3263</v>
      </c>
      <c r="D932" s="47">
        <v>4</v>
      </c>
      <c r="E932" s="118"/>
      <c r="F932" s="47"/>
      <c r="G932" s="47">
        <v>40</v>
      </c>
      <c r="H932" s="120" t="str">
        <f t="shared" si="129"/>
        <v>神器图纸2/防具碎片4/烈焰玄铁4/火龙币41</v>
      </c>
    </row>
    <row r="933" spans="1:8" ht="15.75" x14ac:dyDescent="0.3">
      <c r="A933" s="47" t="s">
        <v>3169</v>
      </c>
      <c r="B933" s="47" t="s">
        <v>3258</v>
      </c>
      <c r="C933" s="48" t="s">
        <v>3263</v>
      </c>
      <c r="D933" s="47">
        <v>5</v>
      </c>
      <c r="E933" s="118"/>
      <c r="F933" s="47"/>
      <c r="G933" s="47">
        <v>50</v>
      </c>
      <c r="H933" s="120" t="str">
        <f t="shared" si="129"/>
        <v>神器图纸2/防具碎片4/烈焰玄铁4/火龙币44</v>
      </c>
    </row>
    <row r="934" spans="1:8" ht="15.75" x14ac:dyDescent="0.3">
      <c r="A934" s="47" t="s">
        <v>3169</v>
      </c>
      <c r="B934" s="47" t="s">
        <v>3258</v>
      </c>
      <c r="C934" s="48" t="s">
        <v>3263</v>
      </c>
      <c r="D934" s="47">
        <v>6</v>
      </c>
      <c r="E934" s="118"/>
      <c r="F934" s="47"/>
      <c r="G934" s="47">
        <v>60</v>
      </c>
      <c r="H934" s="120" t="str">
        <f t="shared" si="129"/>
        <v>神器图纸2/防具碎片5/烈焰玄铁5/火龙币46</v>
      </c>
    </row>
    <row r="935" spans="1:8" ht="15.75" x14ac:dyDescent="0.3">
      <c r="A935" s="47" t="s">
        <v>3169</v>
      </c>
      <c r="B935" s="47" t="s">
        <v>3258</v>
      </c>
      <c r="C935" s="48" t="s">
        <v>3263</v>
      </c>
      <c r="D935" s="47">
        <v>7</v>
      </c>
      <c r="E935" s="118"/>
      <c r="F935" s="47"/>
      <c r="G935" s="47">
        <v>70</v>
      </c>
      <c r="H935" s="120" t="str">
        <f t="shared" si="129"/>
        <v>神器图纸2/防具碎片5/烈焰玄铁5/火龙币48</v>
      </c>
    </row>
    <row r="936" spans="1:8" ht="15.75" x14ac:dyDescent="0.3">
      <c r="A936" s="47" t="s">
        <v>3169</v>
      </c>
      <c r="B936" s="47" t="s">
        <v>3258</v>
      </c>
      <c r="C936" s="48" t="s">
        <v>3263</v>
      </c>
      <c r="D936" s="47">
        <v>8</v>
      </c>
      <c r="E936" s="118"/>
      <c r="F936" s="47"/>
      <c r="G936" s="47">
        <v>80</v>
      </c>
      <c r="H936" s="120" t="str">
        <f t="shared" si="129"/>
        <v>神器图纸2/防具碎片5/烈焰玄铁5/火龙币50</v>
      </c>
    </row>
    <row r="937" spans="1:8" ht="15.75" x14ac:dyDescent="0.3">
      <c r="A937" s="47" t="s">
        <v>3169</v>
      </c>
      <c r="B937" s="47" t="s">
        <v>3258</v>
      </c>
      <c r="C937" s="48" t="s">
        <v>3263</v>
      </c>
      <c r="D937" s="47">
        <v>9</v>
      </c>
      <c r="E937" s="118"/>
      <c r="F937" s="47"/>
      <c r="G937" s="47">
        <v>90</v>
      </c>
      <c r="H937" s="120" t="str">
        <f t="shared" si="129"/>
        <v>神器图纸2/防具碎片5/烈焰玄铁5/火龙币53</v>
      </c>
    </row>
    <row r="938" spans="1:8" ht="15.75" x14ac:dyDescent="0.3">
      <c r="A938" s="47" t="s">
        <v>3169</v>
      </c>
      <c r="B938" s="47" t="s">
        <v>3258</v>
      </c>
      <c r="C938" s="48" t="s">
        <v>3263</v>
      </c>
      <c r="D938" s="47">
        <v>10</v>
      </c>
      <c r="E938" s="118"/>
      <c r="F938" s="47"/>
      <c r="G938" s="47">
        <v>100</v>
      </c>
      <c r="H938" s="120"/>
    </row>
    <row r="939" spans="1:8" ht="15.75" x14ac:dyDescent="0.3">
      <c r="A939" s="47" t="s">
        <v>3169</v>
      </c>
      <c r="B939" s="47" t="s">
        <v>3258</v>
      </c>
      <c r="C939" s="48" t="s">
        <v>3264</v>
      </c>
      <c r="D939" s="47">
        <v>0</v>
      </c>
      <c r="E939" s="118"/>
      <c r="F939" s="47"/>
      <c r="G939" s="121"/>
      <c r="H939" s="120" t="str">
        <f>"神器图纸"&amp;Z3&amp;"/防具碎片"&amp;AA3&amp;"/烈焰玄铁"&amp;AB3&amp;"/火龙币"&amp;AC3</f>
        <v>神器图纸1/防具碎片3/烈焰玄铁3/火龙币32</v>
      </c>
    </row>
    <row r="940" spans="1:8" ht="15.75" x14ac:dyDescent="0.3">
      <c r="A940" s="47" t="s">
        <v>3169</v>
      </c>
      <c r="B940" s="47" t="s">
        <v>3258</v>
      </c>
      <c r="C940" s="48" t="s">
        <v>3264</v>
      </c>
      <c r="D940" s="47">
        <v>1</v>
      </c>
      <c r="E940" s="118"/>
      <c r="F940" s="47"/>
      <c r="G940" s="47">
        <v>11</v>
      </c>
      <c r="H940" s="120" t="str">
        <f t="shared" ref="H940:H948" si="130">"神器图纸"&amp;Z4&amp;"/防具碎片"&amp;AA4&amp;"/烈焰玄铁"&amp;AB4&amp;"/火龙币"&amp;AC4</f>
        <v>神器图纸1/防具碎片3/烈焰玄铁3/火龙币35</v>
      </c>
    </row>
    <row r="941" spans="1:8" ht="15.75" x14ac:dyDescent="0.3">
      <c r="A941" s="47" t="s">
        <v>3169</v>
      </c>
      <c r="B941" s="47" t="s">
        <v>3258</v>
      </c>
      <c r="C941" s="48" t="s">
        <v>3264</v>
      </c>
      <c r="D941" s="47">
        <v>2</v>
      </c>
      <c r="E941" s="118"/>
      <c r="F941" s="47"/>
      <c r="G941" s="47">
        <v>22</v>
      </c>
      <c r="H941" s="120" t="str">
        <f t="shared" si="130"/>
        <v>神器图纸1/防具碎片4/烈焰玄铁4/火龙币37</v>
      </c>
    </row>
    <row r="942" spans="1:8" ht="15.75" x14ac:dyDescent="0.3">
      <c r="A942" s="47" t="s">
        <v>3169</v>
      </c>
      <c r="B942" s="47" t="s">
        <v>3258</v>
      </c>
      <c r="C942" s="48" t="s">
        <v>3264</v>
      </c>
      <c r="D942" s="47">
        <v>3</v>
      </c>
      <c r="E942" s="118"/>
      <c r="F942" s="47"/>
      <c r="G942" s="47">
        <v>33</v>
      </c>
      <c r="H942" s="120" t="str">
        <f t="shared" si="130"/>
        <v>神器图纸2/防具碎片4/烈焰玄铁4/火龙币39</v>
      </c>
    </row>
    <row r="943" spans="1:8" ht="15.75" x14ac:dyDescent="0.3">
      <c r="A943" s="47" t="s">
        <v>3169</v>
      </c>
      <c r="B943" s="47" t="s">
        <v>3258</v>
      </c>
      <c r="C943" s="48" t="s">
        <v>3264</v>
      </c>
      <c r="D943" s="47">
        <v>4</v>
      </c>
      <c r="E943" s="118"/>
      <c r="F943" s="47"/>
      <c r="G943" s="47">
        <v>44</v>
      </c>
      <c r="H943" s="120" t="str">
        <f t="shared" si="130"/>
        <v>神器图纸2/防具碎片4/烈焰玄铁4/火龙币41</v>
      </c>
    </row>
    <row r="944" spans="1:8" ht="15.75" x14ac:dyDescent="0.3">
      <c r="A944" s="47" t="s">
        <v>3169</v>
      </c>
      <c r="B944" s="47" t="s">
        <v>3258</v>
      </c>
      <c r="C944" s="48" t="s">
        <v>3264</v>
      </c>
      <c r="D944" s="47">
        <v>5</v>
      </c>
      <c r="E944" s="118"/>
      <c r="F944" s="47"/>
      <c r="G944" s="47">
        <v>55</v>
      </c>
      <c r="H944" s="120" t="str">
        <f t="shared" si="130"/>
        <v>神器图纸2/防具碎片4/烈焰玄铁4/火龙币44</v>
      </c>
    </row>
    <row r="945" spans="1:8" ht="15.75" x14ac:dyDescent="0.3">
      <c r="A945" s="47" t="s">
        <v>3169</v>
      </c>
      <c r="B945" s="47" t="s">
        <v>3258</v>
      </c>
      <c r="C945" s="48" t="s">
        <v>3264</v>
      </c>
      <c r="D945" s="47">
        <v>6</v>
      </c>
      <c r="E945" s="118"/>
      <c r="F945" s="47"/>
      <c r="G945" s="47">
        <v>66</v>
      </c>
      <c r="H945" s="120" t="str">
        <f t="shared" si="130"/>
        <v>神器图纸2/防具碎片5/烈焰玄铁5/火龙币46</v>
      </c>
    </row>
    <row r="946" spans="1:8" ht="15.75" x14ac:dyDescent="0.3">
      <c r="A946" s="47" t="s">
        <v>3169</v>
      </c>
      <c r="B946" s="47" t="s">
        <v>3258</v>
      </c>
      <c r="C946" s="48" t="s">
        <v>3264</v>
      </c>
      <c r="D946" s="47">
        <v>7</v>
      </c>
      <c r="E946" s="118"/>
      <c r="F946" s="47"/>
      <c r="G946" s="47">
        <v>77</v>
      </c>
      <c r="H946" s="120" t="str">
        <f t="shared" si="130"/>
        <v>神器图纸2/防具碎片5/烈焰玄铁5/火龙币48</v>
      </c>
    </row>
    <row r="947" spans="1:8" ht="15.75" x14ac:dyDescent="0.3">
      <c r="A947" s="47" t="s">
        <v>3169</v>
      </c>
      <c r="B947" s="47" t="s">
        <v>3258</v>
      </c>
      <c r="C947" s="48" t="s">
        <v>3264</v>
      </c>
      <c r="D947" s="47">
        <v>8</v>
      </c>
      <c r="E947" s="118"/>
      <c r="F947" s="47"/>
      <c r="G947" s="47">
        <v>88</v>
      </c>
      <c r="H947" s="120" t="str">
        <f t="shared" si="130"/>
        <v>神器图纸2/防具碎片5/烈焰玄铁5/火龙币50</v>
      </c>
    </row>
    <row r="948" spans="1:8" ht="15.75" x14ac:dyDescent="0.3">
      <c r="A948" s="47" t="s">
        <v>3169</v>
      </c>
      <c r="B948" s="47" t="s">
        <v>3258</v>
      </c>
      <c r="C948" s="48" t="s">
        <v>3264</v>
      </c>
      <c r="D948" s="47">
        <v>9</v>
      </c>
      <c r="E948" s="118"/>
      <c r="F948" s="47"/>
      <c r="G948" s="47">
        <v>99</v>
      </c>
      <c r="H948" s="120" t="str">
        <f t="shared" si="130"/>
        <v>神器图纸2/防具碎片5/烈焰玄铁5/火龙币53</v>
      </c>
    </row>
    <row r="949" spans="1:8" ht="15.75" x14ac:dyDescent="0.3">
      <c r="A949" s="47" t="s">
        <v>3169</v>
      </c>
      <c r="B949" s="47" t="s">
        <v>3258</v>
      </c>
      <c r="C949" s="48" t="s">
        <v>3264</v>
      </c>
      <c r="D949" s="47">
        <v>10</v>
      </c>
      <c r="E949" s="118"/>
      <c r="F949" s="47"/>
      <c r="G949" s="47">
        <v>110</v>
      </c>
      <c r="H949" s="120"/>
    </row>
    <row r="950" spans="1:8" ht="15.75" x14ac:dyDescent="0.3">
      <c r="A950" s="47" t="s">
        <v>3169</v>
      </c>
      <c r="B950" s="47" t="s">
        <v>3258</v>
      </c>
      <c r="C950" s="48" t="s">
        <v>3265</v>
      </c>
      <c r="D950" s="47">
        <v>0</v>
      </c>
      <c r="E950" s="118"/>
      <c r="F950" s="47"/>
      <c r="G950" s="121"/>
      <c r="H950" s="120" t="str">
        <f>"神器图纸"&amp;Z3&amp;"/防具碎片"&amp;AA3&amp;"/烈焰玄铁"&amp;AB3&amp;"/火龙币"&amp;AC3</f>
        <v>神器图纸1/防具碎片3/烈焰玄铁3/火龙币32</v>
      </c>
    </row>
    <row r="951" spans="1:8" ht="15.75" x14ac:dyDescent="0.3">
      <c r="A951" s="47" t="s">
        <v>3169</v>
      </c>
      <c r="B951" s="47" t="s">
        <v>3258</v>
      </c>
      <c r="C951" s="48" t="s">
        <v>3265</v>
      </c>
      <c r="D951" s="47">
        <v>1</v>
      </c>
      <c r="E951" s="118"/>
      <c r="F951" s="47"/>
      <c r="G951" s="47">
        <v>12</v>
      </c>
      <c r="H951" s="120" t="str">
        <f t="shared" ref="H951:H959" si="131">"神器图纸"&amp;Z4&amp;"/防具碎片"&amp;AA4&amp;"/烈焰玄铁"&amp;AB4&amp;"/火龙币"&amp;AC4</f>
        <v>神器图纸1/防具碎片3/烈焰玄铁3/火龙币35</v>
      </c>
    </row>
    <row r="952" spans="1:8" ht="15.75" x14ac:dyDescent="0.3">
      <c r="A952" s="47" t="s">
        <v>3169</v>
      </c>
      <c r="B952" s="47" t="s">
        <v>3258</v>
      </c>
      <c r="C952" s="48" t="s">
        <v>3265</v>
      </c>
      <c r="D952" s="47">
        <v>2</v>
      </c>
      <c r="E952" s="118"/>
      <c r="F952" s="47"/>
      <c r="G952" s="47">
        <v>24</v>
      </c>
      <c r="H952" s="120" t="str">
        <f t="shared" si="131"/>
        <v>神器图纸1/防具碎片4/烈焰玄铁4/火龙币37</v>
      </c>
    </row>
    <row r="953" spans="1:8" ht="15.75" x14ac:dyDescent="0.3">
      <c r="A953" s="47" t="s">
        <v>3169</v>
      </c>
      <c r="B953" s="47" t="s">
        <v>3258</v>
      </c>
      <c r="C953" s="48" t="s">
        <v>3265</v>
      </c>
      <c r="D953" s="47">
        <v>3</v>
      </c>
      <c r="E953" s="118"/>
      <c r="F953" s="47"/>
      <c r="G953" s="47">
        <v>36</v>
      </c>
      <c r="H953" s="120" t="str">
        <f t="shared" si="131"/>
        <v>神器图纸2/防具碎片4/烈焰玄铁4/火龙币39</v>
      </c>
    </row>
    <row r="954" spans="1:8" ht="15.75" x14ac:dyDescent="0.3">
      <c r="A954" s="47" t="s">
        <v>3169</v>
      </c>
      <c r="B954" s="47" t="s">
        <v>3258</v>
      </c>
      <c r="C954" s="48" t="s">
        <v>3265</v>
      </c>
      <c r="D954" s="47">
        <v>4</v>
      </c>
      <c r="E954" s="118"/>
      <c r="F954" s="47"/>
      <c r="G954" s="47">
        <v>48</v>
      </c>
      <c r="H954" s="120" t="str">
        <f t="shared" si="131"/>
        <v>神器图纸2/防具碎片4/烈焰玄铁4/火龙币41</v>
      </c>
    </row>
    <row r="955" spans="1:8" ht="15.75" x14ac:dyDescent="0.3">
      <c r="A955" s="47" t="s">
        <v>3169</v>
      </c>
      <c r="B955" s="47" t="s">
        <v>3258</v>
      </c>
      <c r="C955" s="48" t="s">
        <v>3265</v>
      </c>
      <c r="D955" s="47">
        <v>5</v>
      </c>
      <c r="E955" s="118"/>
      <c r="F955" s="47"/>
      <c r="G955" s="47">
        <v>60</v>
      </c>
      <c r="H955" s="120" t="str">
        <f t="shared" si="131"/>
        <v>神器图纸2/防具碎片4/烈焰玄铁4/火龙币44</v>
      </c>
    </row>
    <row r="956" spans="1:8" ht="15.75" x14ac:dyDescent="0.3">
      <c r="A956" s="47" t="s">
        <v>3169</v>
      </c>
      <c r="B956" s="47" t="s">
        <v>3258</v>
      </c>
      <c r="C956" s="48" t="s">
        <v>3265</v>
      </c>
      <c r="D956" s="47">
        <v>6</v>
      </c>
      <c r="E956" s="118"/>
      <c r="F956" s="47"/>
      <c r="G956" s="47">
        <v>72</v>
      </c>
      <c r="H956" s="120" t="str">
        <f t="shared" si="131"/>
        <v>神器图纸2/防具碎片5/烈焰玄铁5/火龙币46</v>
      </c>
    </row>
    <row r="957" spans="1:8" ht="15.75" x14ac:dyDescent="0.3">
      <c r="A957" s="47" t="s">
        <v>3169</v>
      </c>
      <c r="B957" s="47" t="s">
        <v>3258</v>
      </c>
      <c r="C957" s="48" t="s">
        <v>3265</v>
      </c>
      <c r="D957" s="47">
        <v>7</v>
      </c>
      <c r="E957" s="118"/>
      <c r="F957" s="47"/>
      <c r="G957" s="47">
        <v>84</v>
      </c>
      <c r="H957" s="120" t="str">
        <f t="shared" si="131"/>
        <v>神器图纸2/防具碎片5/烈焰玄铁5/火龙币48</v>
      </c>
    </row>
    <row r="958" spans="1:8" ht="15.75" x14ac:dyDescent="0.3">
      <c r="A958" s="47" t="s">
        <v>3169</v>
      </c>
      <c r="B958" s="47" t="s">
        <v>3258</v>
      </c>
      <c r="C958" s="48" t="s">
        <v>3265</v>
      </c>
      <c r="D958" s="47">
        <v>8</v>
      </c>
      <c r="E958" s="118"/>
      <c r="F958" s="47"/>
      <c r="G958" s="47">
        <v>96</v>
      </c>
      <c r="H958" s="120" t="str">
        <f t="shared" si="131"/>
        <v>神器图纸2/防具碎片5/烈焰玄铁5/火龙币50</v>
      </c>
    </row>
    <row r="959" spans="1:8" ht="15.75" x14ac:dyDescent="0.3">
      <c r="A959" s="47" t="s">
        <v>3169</v>
      </c>
      <c r="B959" s="47" t="s">
        <v>3258</v>
      </c>
      <c r="C959" s="48" t="s">
        <v>3265</v>
      </c>
      <c r="D959" s="47">
        <v>9</v>
      </c>
      <c r="E959" s="118"/>
      <c r="F959" s="47"/>
      <c r="G959" s="47">
        <v>108</v>
      </c>
      <c r="H959" s="120" t="str">
        <f t="shared" si="131"/>
        <v>神器图纸2/防具碎片5/烈焰玄铁5/火龙币53</v>
      </c>
    </row>
    <row r="960" spans="1:8" ht="15.75" x14ac:dyDescent="0.3">
      <c r="A960" s="47" t="s">
        <v>3169</v>
      </c>
      <c r="B960" s="47" t="s">
        <v>3258</v>
      </c>
      <c r="C960" s="48" t="s">
        <v>3265</v>
      </c>
      <c r="D960" s="47">
        <v>10</v>
      </c>
      <c r="E960" s="118"/>
      <c r="F960" s="47"/>
      <c r="G960" s="47">
        <v>120</v>
      </c>
      <c r="H960" s="120"/>
    </row>
    <row r="961" spans="1:8" ht="15.75" x14ac:dyDescent="0.3">
      <c r="A961" s="47" t="s">
        <v>3169</v>
      </c>
      <c r="B961" s="47" t="s">
        <v>3258</v>
      </c>
      <c r="C961" s="48" t="s">
        <v>3266</v>
      </c>
      <c r="D961" s="47">
        <v>0</v>
      </c>
      <c r="E961" s="118"/>
      <c r="F961" s="47"/>
      <c r="G961" s="121"/>
      <c r="H961" s="120" t="str">
        <f>"神器图纸"&amp;Z3&amp;"/防具碎片"&amp;AA3&amp;"/烈焰玄铁"&amp;AB3&amp;"/火龙币"&amp;AC3</f>
        <v>神器图纸1/防具碎片3/烈焰玄铁3/火龙币32</v>
      </c>
    </row>
    <row r="962" spans="1:8" ht="15.75" x14ac:dyDescent="0.3">
      <c r="A962" s="47" t="s">
        <v>3169</v>
      </c>
      <c r="B962" s="47" t="s">
        <v>3258</v>
      </c>
      <c r="C962" s="48" t="s">
        <v>3266</v>
      </c>
      <c r="D962" s="47">
        <v>1</v>
      </c>
      <c r="E962" s="118"/>
      <c r="F962" s="47"/>
      <c r="G962" s="47">
        <v>13</v>
      </c>
      <c r="H962" s="120" t="str">
        <f t="shared" ref="H962:H970" si="132">"神器图纸"&amp;Z4&amp;"/防具碎片"&amp;AA4&amp;"/烈焰玄铁"&amp;AB4&amp;"/火龙币"&amp;AC4</f>
        <v>神器图纸1/防具碎片3/烈焰玄铁3/火龙币35</v>
      </c>
    </row>
    <row r="963" spans="1:8" ht="15.75" x14ac:dyDescent="0.3">
      <c r="A963" s="47" t="s">
        <v>3169</v>
      </c>
      <c r="B963" s="47" t="s">
        <v>3258</v>
      </c>
      <c r="C963" s="48" t="s">
        <v>3266</v>
      </c>
      <c r="D963" s="47">
        <v>2</v>
      </c>
      <c r="E963" s="118"/>
      <c r="F963" s="47"/>
      <c r="G963" s="47">
        <v>26</v>
      </c>
      <c r="H963" s="120" t="str">
        <f t="shared" si="132"/>
        <v>神器图纸1/防具碎片4/烈焰玄铁4/火龙币37</v>
      </c>
    </row>
    <row r="964" spans="1:8" ht="15.75" x14ac:dyDescent="0.3">
      <c r="A964" s="47" t="s">
        <v>3169</v>
      </c>
      <c r="B964" s="47" t="s">
        <v>3258</v>
      </c>
      <c r="C964" s="48" t="s">
        <v>3266</v>
      </c>
      <c r="D964" s="47">
        <v>3</v>
      </c>
      <c r="E964" s="118"/>
      <c r="F964" s="47"/>
      <c r="G964" s="47">
        <v>39</v>
      </c>
      <c r="H964" s="120" t="str">
        <f t="shared" si="132"/>
        <v>神器图纸2/防具碎片4/烈焰玄铁4/火龙币39</v>
      </c>
    </row>
    <row r="965" spans="1:8" ht="15.75" x14ac:dyDescent="0.3">
      <c r="A965" s="47" t="s">
        <v>3169</v>
      </c>
      <c r="B965" s="47" t="s">
        <v>3258</v>
      </c>
      <c r="C965" s="48" t="s">
        <v>3266</v>
      </c>
      <c r="D965" s="47">
        <v>4</v>
      </c>
      <c r="E965" s="118"/>
      <c r="F965" s="47"/>
      <c r="G965" s="47">
        <v>52</v>
      </c>
      <c r="H965" s="120" t="str">
        <f t="shared" si="132"/>
        <v>神器图纸2/防具碎片4/烈焰玄铁4/火龙币41</v>
      </c>
    </row>
    <row r="966" spans="1:8" ht="15.75" x14ac:dyDescent="0.3">
      <c r="A966" s="47" t="s">
        <v>3169</v>
      </c>
      <c r="B966" s="47" t="s">
        <v>3258</v>
      </c>
      <c r="C966" s="48" t="s">
        <v>3266</v>
      </c>
      <c r="D966" s="47">
        <v>5</v>
      </c>
      <c r="E966" s="118"/>
      <c r="F966" s="47"/>
      <c r="G966" s="47">
        <v>65</v>
      </c>
      <c r="H966" s="120" t="str">
        <f t="shared" si="132"/>
        <v>神器图纸2/防具碎片4/烈焰玄铁4/火龙币44</v>
      </c>
    </row>
    <row r="967" spans="1:8" ht="15.75" x14ac:dyDescent="0.3">
      <c r="A967" s="47" t="s">
        <v>3169</v>
      </c>
      <c r="B967" s="47" t="s">
        <v>3258</v>
      </c>
      <c r="C967" s="48" t="s">
        <v>3266</v>
      </c>
      <c r="D967" s="47">
        <v>6</v>
      </c>
      <c r="E967" s="118"/>
      <c r="F967" s="47"/>
      <c r="G967" s="47">
        <v>78</v>
      </c>
      <c r="H967" s="120" t="str">
        <f t="shared" si="132"/>
        <v>神器图纸2/防具碎片5/烈焰玄铁5/火龙币46</v>
      </c>
    </row>
    <row r="968" spans="1:8" ht="15.75" x14ac:dyDescent="0.3">
      <c r="A968" s="47" t="s">
        <v>3169</v>
      </c>
      <c r="B968" s="47" t="s">
        <v>3258</v>
      </c>
      <c r="C968" s="48" t="s">
        <v>3266</v>
      </c>
      <c r="D968" s="47">
        <v>7</v>
      </c>
      <c r="E968" s="118"/>
      <c r="F968" s="47"/>
      <c r="G968" s="47">
        <v>91</v>
      </c>
      <c r="H968" s="120" t="str">
        <f t="shared" si="132"/>
        <v>神器图纸2/防具碎片5/烈焰玄铁5/火龙币48</v>
      </c>
    </row>
    <row r="969" spans="1:8" ht="15.75" x14ac:dyDescent="0.3">
      <c r="A969" s="47" t="s">
        <v>3169</v>
      </c>
      <c r="B969" s="47" t="s">
        <v>3258</v>
      </c>
      <c r="C969" s="48" t="s">
        <v>3266</v>
      </c>
      <c r="D969" s="47">
        <v>8</v>
      </c>
      <c r="E969" s="118"/>
      <c r="F969" s="47"/>
      <c r="G969" s="47">
        <v>104</v>
      </c>
      <c r="H969" s="120" t="str">
        <f t="shared" si="132"/>
        <v>神器图纸2/防具碎片5/烈焰玄铁5/火龙币50</v>
      </c>
    </row>
    <row r="970" spans="1:8" ht="15.75" x14ac:dyDescent="0.3">
      <c r="A970" s="47" t="s">
        <v>3169</v>
      </c>
      <c r="B970" s="47" t="s">
        <v>3258</v>
      </c>
      <c r="C970" s="48" t="s">
        <v>3266</v>
      </c>
      <c r="D970" s="47">
        <v>9</v>
      </c>
      <c r="E970" s="118"/>
      <c r="F970" s="47"/>
      <c r="G970" s="47">
        <v>117</v>
      </c>
      <c r="H970" s="120" t="str">
        <f t="shared" si="132"/>
        <v>神器图纸2/防具碎片5/烈焰玄铁5/火龙币53</v>
      </c>
    </row>
    <row r="971" spans="1:8" ht="15.75" x14ac:dyDescent="0.3">
      <c r="A971" s="47" t="s">
        <v>3169</v>
      </c>
      <c r="B971" s="47" t="s">
        <v>3258</v>
      </c>
      <c r="C971" s="48" t="s">
        <v>3266</v>
      </c>
      <c r="D971" s="47">
        <v>10</v>
      </c>
      <c r="E971" s="118"/>
      <c r="F971" s="47"/>
      <c r="G971" s="47">
        <v>130</v>
      </c>
      <c r="H971" s="120"/>
    </row>
    <row r="972" spans="1:8" ht="15.75" x14ac:dyDescent="0.3">
      <c r="A972" s="47" t="s">
        <v>3169</v>
      </c>
      <c r="B972" s="47" t="s">
        <v>3258</v>
      </c>
      <c r="C972" s="48" t="s">
        <v>3267</v>
      </c>
      <c r="D972" s="47">
        <v>0</v>
      </c>
      <c r="E972" s="118"/>
      <c r="F972" s="47"/>
      <c r="G972" s="121"/>
      <c r="H972" s="120" t="str">
        <f>"神器图纸"&amp;Z3&amp;"/防具碎片"&amp;AA3&amp;"/烈焰玄铁"&amp;AB3&amp;"/火龙币"&amp;AC3</f>
        <v>神器图纸1/防具碎片3/烈焰玄铁3/火龙币32</v>
      </c>
    </row>
    <row r="973" spans="1:8" ht="15.75" x14ac:dyDescent="0.3">
      <c r="A973" s="47" t="s">
        <v>3169</v>
      </c>
      <c r="B973" s="47" t="s">
        <v>3258</v>
      </c>
      <c r="C973" s="48" t="s">
        <v>3267</v>
      </c>
      <c r="D973" s="47">
        <v>1</v>
      </c>
      <c r="E973" s="118"/>
      <c r="F973" s="47"/>
      <c r="G973" s="47">
        <v>14</v>
      </c>
      <c r="H973" s="120" t="str">
        <f t="shared" ref="H973:H981" si="133">"神器图纸"&amp;Z4&amp;"/防具碎片"&amp;AA4&amp;"/烈焰玄铁"&amp;AB4&amp;"/火龙币"&amp;AC4</f>
        <v>神器图纸1/防具碎片3/烈焰玄铁3/火龙币35</v>
      </c>
    </row>
    <row r="974" spans="1:8" ht="15.75" x14ac:dyDescent="0.3">
      <c r="A974" s="47" t="s">
        <v>3169</v>
      </c>
      <c r="B974" s="47" t="s">
        <v>3258</v>
      </c>
      <c r="C974" s="48" t="s">
        <v>3267</v>
      </c>
      <c r="D974" s="47">
        <v>2</v>
      </c>
      <c r="E974" s="118"/>
      <c r="F974" s="47"/>
      <c r="G974" s="47">
        <v>28</v>
      </c>
      <c r="H974" s="120" t="str">
        <f t="shared" si="133"/>
        <v>神器图纸1/防具碎片4/烈焰玄铁4/火龙币37</v>
      </c>
    </row>
    <row r="975" spans="1:8" ht="15.75" x14ac:dyDescent="0.3">
      <c r="A975" s="47" t="s">
        <v>3169</v>
      </c>
      <c r="B975" s="47" t="s">
        <v>3258</v>
      </c>
      <c r="C975" s="48" t="s">
        <v>3267</v>
      </c>
      <c r="D975" s="47">
        <v>3</v>
      </c>
      <c r="E975" s="118"/>
      <c r="F975" s="47"/>
      <c r="G975" s="47">
        <v>42</v>
      </c>
      <c r="H975" s="120" t="str">
        <f t="shared" si="133"/>
        <v>神器图纸2/防具碎片4/烈焰玄铁4/火龙币39</v>
      </c>
    </row>
    <row r="976" spans="1:8" ht="15.75" x14ac:dyDescent="0.3">
      <c r="A976" s="47" t="s">
        <v>3169</v>
      </c>
      <c r="B976" s="47" t="s">
        <v>3258</v>
      </c>
      <c r="C976" s="48" t="s">
        <v>3267</v>
      </c>
      <c r="D976" s="47">
        <v>4</v>
      </c>
      <c r="E976" s="118"/>
      <c r="F976" s="47"/>
      <c r="G976" s="47">
        <v>56</v>
      </c>
      <c r="H976" s="120" t="str">
        <f t="shared" si="133"/>
        <v>神器图纸2/防具碎片4/烈焰玄铁4/火龙币41</v>
      </c>
    </row>
    <row r="977" spans="1:8" ht="15.75" x14ac:dyDescent="0.3">
      <c r="A977" s="47" t="s">
        <v>3169</v>
      </c>
      <c r="B977" s="47" t="s">
        <v>3258</v>
      </c>
      <c r="C977" s="48" t="s">
        <v>3267</v>
      </c>
      <c r="D977" s="47">
        <v>5</v>
      </c>
      <c r="E977" s="118"/>
      <c r="F977" s="47"/>
      <c r="G977" s="47">
        <v>70</v>
      </c>
      <c r="H977" s="120" t="str">
        <f t="shared" si="133"/>
        <v>神器图纸2/防具碎片4/烈焰玄铁4/火龙币44</v>
      </c>
    </row>
    <row r="978" spans="1:8" ht="15.75" x14ac:dyDescent="0.3">
      <c r="A978" s="47" t="s">
        <v>3169</v>
      </c>
      <c r="B978" s="47" t="s">
        <v>3258</v>
      </c>
      <c r="C978" s="48" t="s">
        <v>3267</v>
      </c>
      <c r="D978" s="47">
        <v>6</v>
      </c>
      <c r="E978" s="118"/>
      <c r="F978" s="47"/>
      <c r="G978" s="47">
        <v>84</v>
      </c>
      <c r="H978" s="120" t="str">
        <f t="shared" si="133"/>
        <v>神器图纸2/防具碎片5/烈焰玄铁5/火龙币46</v>
      </c>
    </row>
    <row r="979" spans="1:8" ht="15.75" x14ac:dyDescent="0.3">
      <c r="A979" s="47" t="s">
        <v>3169</v>
      </c>
      <c r="B979" s="47" t="s">
        <v>3258</v>
      </c>
      <c r="C979" s="48" t="s">
        <v>3267</v>
      </c>
      <c r="D979" s="47">
        <v>7</v>
      </c>
      <c r="E979" s="118"/>
      <c r="F979" s="47"/>
      <c r="G979" s="47">
        <v>98</v>
      </c>
      <c r="H979" s="120" t="str">
        <f t="shared" si="133"/>
        <v>神器图纸2/防具碎片5/烈焰玄铁5/火龙币48</v>
      </c>
    </row>
    <row r="980" spans="1:8" ht="15.75" x14ac:dyDescent="0.3">
      <c r="A980" s="47" t="s">
        <v>3169</v>
      </c>
      <c r="B980" s="47" t="s">
        <v>3258</v>
      </c>
      <c r="C980" s="48" t="s">
        <v>3267</v>
      </c>
      <c r="D980" s="47">
        <v>8</v>
      </c>
      <c r="E980" s="118"/>
      <c r="F980" s="47"/>
      <c r="G980" s="47">
        <v>112</v>
      </c>
      <c r="H980" s="120" t="str">
        <f t="shared" si="133"/>
        <v>神器图纸2/防具碎片5/烈焰玄铁5/火龙币50</v>
      </c>
    </row>
    <row r="981" spans="1:8" ht="15.75" x14ac:dyDescent="0.3">
      <c r="A981" s="47" t="s">
        <v>3169</v>
      </c>
      <c r="B981" s="47" t="s">
        <v>3258</v>
      </c>
      <c r="C981" s="48" t="s">
        <v>3267</v>
      </c>
      <c r="D981" s="47">
        <v>9</v>
      </c>
      <c r="E981" s="118"/>
      <c r="F981" s="47"/>
      <c r="G981" s="47">
        <v>126</v>
      </c>
      <c r="H981" s="120" t="str">
        <f t="shared" si="133"/>
        <v>神器图纸2/防具碎片5/烈焰玄铁5/火龙币53</v>
      </c>
    </row>
    <row r="982" spans="1:8" ht="15.75" x14ac:dyDescent="0.3">
      <c r="A982" s="47" t="s">
        <v>3169</v>
      </c>
      <c r="B982" s="47" t="s">
        <v>3258</v>
      </c>
      <c r="C982" s="48" t="s">
        <v>3267</v>
      </c>
      <c r="D982" s="47">
        <v>10</v>
      </c>
      <c r="E982" s="118"/>
      <c r="F982" s="47"/>
      <c r="G982" s="47">
        <v>140</v>
      </c>
      <c r="H982" s="120"/>
    </row>
    <row r="983" spans="1:8" ht="15.75" x14ac:dyDescent="0.3">
      <c r="A983" s="47" t="s">
        <v>3169</v>
      </c>
      <c r="B983" s="47" t="s">
        <v>3258</v>
      </c>
      <c r="C983" s="48" t="s">
        <v>3268</v>
      </c>
      <c r="D983" s="47">
        <v>0</v>
      </c>
      <c r="E983" s="118"/>
      <c r="F983" s="47"/>
      <c r="G983" s="121"/>
      <c r="H983" s="120" t="str">
        <f>"神器图纸"&amp;Z3&amp;"/防具碎片"&amp;AA3&amp;"/烈焰玄铁"&amp;AB3&amp;"/火龙币"&amp;AC3</f>
        <v>神器图纸1/防具碎片3/烈焰玄铁3/火龙币32</v>
      </c>
    </row>
    <row r="984" spans="1:8" ht="15.75" x14ac:dyDescent="0.3">
      <c r="A984" s="47" t="s">
        <v>3169</v>
      </c>
      <c r="B984" s="47" t="s">
        <v>3258</v>
      </c>
      <c r="C984" s="48" t="s">
        <v>3268</v>
      </c>
      <c r="D984" s="47">
        <v>1</v>
      </c>
      <c r="E984" s="118"/>
      <c r="F984" s="47"/>
      <c r="G984" s="47">
        <v>15</v>
      </c>
      <c r="H984" s="120" t="str">
        <f t="shared" ref="H984:H992" si="134">"神器图纸"&amp;Z4&amp;"/防具碎片"&amp;AA4&amp;"/烈焰玄铁"&amp;AB4&amp;"/火龙币"&amp;AC4</f>
        <v>神器图纸1/防具碎片3/烈焰玄铁3/火龙币35</v>
      </c>
    </row>
    <row r="985" spans="1:8" ht="15.75" x14ac:dyDescent="0.3">
      <c r="A985" s="47" t="s">
        <v>3169</v>
      </c>
      <c r="B985" s="47" t="s">
        <v>3258</v>
      </c>
      <c r="C985" s="48" t="s">
        <v>3268</v>
      </c>
      <c r="D985" s="47">
        <v>2</v>
      </c>
      <c r="E985" s="118"/>
      <c r="F985" s="47"/>
      <c r="G985" s="47">
        <v>30</v>
      </c>
      <c r="H985" s="120" t="str">
        <f t="shared" si="134"/>
        <v>神器图纸1/防具碎片4/烈焰玄铁4/火龙币37</v>
      </c>
    </row>
    <row r="986" spans="1:8" ht="15.75" x14ac:dyDescent="0.3">
      <c r="A986" s="47" t="s">
        <v>3169</v>
      </c>
      <c r="B986" s="47" t="s">
        <v>3258</v>
      </c>
      <c r="C986" s="48" t="s">
        <v>3268</v>
      </c>
      <c r="D986" s="47">
        <v>3</v>
      </c>
      <c r="E986" s="118"/>
      <c r="F986" s="47"/>
      <c r="G986" s="47">
        <v>45</v>
      </c>
      <c r="H986" s="120" t="str">
        <f t="shared" si="134"/>
        <v>神器图纸2/防具碎片4/烈焰玄铁4/火龙币39</v>
      </c>
    </row>
    <row r="987" spans="1:8" ht="15.75" x14ac:dyDescent="0.3">
      <c r="A987" s="47" t="s">
        <v>3169</v>
      </c>
      <c r="B987" s="47" t="s">
        <v>3258</v>
      </c>
      <c r="C987" s="48" t="s">
        <v>3268</v>
      </c>
      <c r="D987" s="47">
        <v>4</v>
      </c>
      <c r="E987" s="118"/>
      <c r="F987" s="47"/>
      <c r="G987" s="47">
        <v>60</v>
      </c>
      <c r="H987" s="120" t="str">
        <f t="shared" si="134"/>
        <v>神器图纸2/防具碎片4/烈焰玄铁4/火龙币41</v>
      </c>
    </row>
    <row r="988" spans="1:8" ht="15.75" x14ac:dyDescent="0.3">
      <c r="A988" s="47" t="s">
        <v>3169</v>
      </c>
      <c r="B988" s="47" t="s">
        <v>3258</v>
      </c>
      <c r="C988" s="48" t="s">
        <v>3268</v>
      </c>
      <c r="D988" s="47">
        <v>5</v>
      </c>
      <c r="E988" s="118"/>
      <c r="F988" s="47"/>
      <c r="G988" s="47">
        <v>75</v>
      </c>
      <c r="H988" s="120" t="str">
        <f t="shared" si="134"/>
        <v>神器图纸2/防具碎片4/烈焰玄铁4/火龙币44</v>
      </c>
    </row>
    <row r="989" spans="1:8" ht="15.75" x14ac:dyDescent="0.3">
      <c r="A989" s="47" t="s">
        <v>3169</v>
      </c>
      <c r="B989" s="47" t="s">
        <v>3258</v>
      </c>
      <c r="C989" s="48" t="s">
        <v>3268</v>
      </c>
      <c r="D989" s="47">
        <v>6</v>
      </c>
      <c r="E989" s="118"/>
      <c r="F989" s="47"/>
      <c r="G989" s="47">
        <v>90</v>
      </c>
      <c r="H989" s="120" t="str">
        <f t="shared" si="134"/>
        <v>神器图纸2/防具碎片5/烈焰玄铁5/火龙币46</v>
      </c>
    </row>
    <row r="990" spans="1:8" ht="15.75" x14ac:dyDescent="0.3">
      <c r="A990" s="47" t="s">
        <v>3169</v>
      </c>
      <c r="B990" s="47" t="s">
        <v>3258</v>
      </c>
      <c r="C990" s="48" t="s">
        <v>3268</v>
      </c>
      <c r="D990" s="47">
        <v>7</v>
      </c>
      <c r="E990" s="118"/>
      <c r="F990" s="47"/>
      <c r="G990" s="47">
        <v>105</v>
      </c>
      <c r="H990" s="120" t="str">
        <f t="shared" si="134"/>
        <v>神器图纸2/防具碎片5/烈焰玄铁5/火龙币48</v>
      </c>
    </row>
    <row r="991" spans="1:8" ht="15.75" x14ac:dyDescent="0.3">
      <c r="A991" s="47" t="s">
        <v>3169</v>
      </c>
      <c r="B991" s="47" t="s">
        <v>3258</v>
      </c>
      <c r="C991" s="48" t="s">
        <v>3268</v>
      </c>
      <c r="D991" s="47">
        <v>8</v>
      </c>
      <c r="E991" s="118"/>
      <c r="F991" s="47"/>
      <c r="G991" s="47">
        <v>120</v>
      </c>
      <c r="H991" s="120" t="str">
        <f t="shared" si="134"/>
        <v>神器图纸2/防具碎片5/烈焰玄铁5/火龙币50</v>
      </c>
    </row>
    <row r="992" spans="1:8" ht="15.75" x14ac:dyDescent="0.3">
      <c r="A992" s="47" t="s">
        <v>3169</v>
      </c>
      <c r="B992" s="47" t="s">
        <v>3258</v>
      </c>
      <c r="C992" s="48" t="s">
        <v>3268</v>
      </c>
      <c r="D992" s="47">
        <v>9</v>
      </c>
      <c r="E992" s="118"/>
      <c r="F992" s="47"/>
      <c r="G992" s="47">
        <v>135</v>
      </c>
      <c r="H992" s="120" t="str">
        <f t="shared" si="134"/>
        <v>神器图纸2/防具碎片5/烈焰玄铁5/火龙币53</v>
      </c>
    </row>
    <row r="993" spans="1:8" ht="15.75" x14ac:dyDescent="0.3">
      <c r="A993" s="47" t="s">
        <v>3169</v>
      </c>
      <c r="B993" s="47" t="s">
        <v>3258</v>
      </c>
      <c r="C993" s="48" t="s">
        <v>3268</v>
      </c>
      <c r="D993" s="47">
        <v>10</v>
      </c>
      <c r="E993" s="118"/>
      <c r="F993" s="47"/>
      <c r="G993" s="47">
        <v>150</v>
      </c>
      <c r="H993" s="120"/>
    </row>
  </sheetData>
  <mergeCells count="4">
    <mergeCell ref="I1:S1"/>
    <mergeCell ref="T1:U1"/>
    <mergeCell ref="V1:Y1"/>
    <mergeCell ref="Z1:AC1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93DB5-CEF5-489A-BDDF-989DBEBFE2F1}">
  <dimension ref="A2:I11"/>
  <sheetViews>
    <sheetView workbookViewId="0">
      <selection activeCell="D5" sqref="D5"/>
    </sheetView>
  </sheetViews>
  <sheetFormatPr defaultRowHeight="14.25" x14ac:dyDescent="0.2"/>
  <cols>
    <col min="3" max="3" width="63.625" customWidth="1"/>
    <col min="4" max="4" width="76.625" customWidth="1"/>
  </cols>
  <sheetData>
    <row r="2" spans="1:9" s="31" customFormat="1" ht="18" x14ac:dyDescent="0.2">
      <c r="A2" s="21" t="s">
        <v>50</v>
      </c>
      <c r="B2" s="21" t="s">
        <v>54</v>
      </c>
      <c r="C2" s="21" t="s">
        <v>77</v>
      </c>
      <c r="D2" s="21" t="s">
        <v>61</v>
      </c>
      <c r="F2" s="18" t="s">
        <v>37</v>
      </c>
      <c r="G2" s="18" t="s">
        <v>38</v>
      </c>
      <c r="H2" s="18" t="s">
        <v>3</v>
      </c>
      <c r="I2" s="18" t="s">
        <v>2</v>
      </c>
    </row>
    <row r="3" spans="1:9" ht="15.75" x14ac:dyDescent="0.3">
      <c r="A3" s="66" t="s">
        <v>42</v>
      </c>
      <c r="B3" s="26" t="s">
        <v>3274</v>
      </c>
      <c r="C3" s="66" t="s">
        <v>3275</v>
      </c>
      <c r="D3" s="66">
        <v>0</v>
      </c>
    </row>
    <row r="4" spans="1:9" ht="15.75" x14ac:dyDescent="0.3">
      <c r="A4" s="66" t="s">
        <v>42</v>
      </c>
      <c r="B4" s="26" t="s">
        <v>3276</v>
      </c>
      <c r="C4" s="66" t="s">
        <v>3277</v>
      </c>
      <c r="D4" s="66" t="s">
        <v>3278</v>
      </c>
    </row>
    <row r="5" spans="1:9" ht="15.75" x14ac:dyDescent="0.3">
      <c r="A5" s="66" t="s">
        <v>42</v>
      </c>
      <c r="B5" s="26" t="s">
        <v>3279</v>
      </c>
      <c r="C5" s="66" t="s">
        <v>3280</v>
      </c>
      <c r="D5" s="66" t="s">
        <v>3281</v>
      </c>
    </row>
    <row r="6" spans="1:9" ht="15.75" x14ac:dyDescent="0.3">
      <c r="A6" s="66" t="s">
        <v>42</v>
      </c>
      <c r="B6" s="26" t="s">
        <v>3282</v>
      </c>
      <c r="C6" s="66" t="s">
        <v>3283</v>
      </c>
      <c r="D6" s="66" t="s">
        <v>3284</v>
      </c>
    </row>
    <row r="7" spans="1:9" ht="15.75" x14ac:dyDescent="0.3">
      <c r="A7" s="66" t="s">
        <v>42</v>
      </c>
      <c r="B7" s="26" t="s">
        <v>3285</v>
      </c>
      <c r="C7" s="66" t="s">
        <v>3286</v>
      </c>
      <c r="D7" s="66" t="s">
        <v>3287</v>
      </c>
    </row>
    <row r="8" spans="1:9" ht="15.75" x14ac:dyDescent="0.3">
      <c r="A8" s="66" t="s">
        <v>42</v>
      </c>
      <c r="B8" s="26" t="s">
        <v>3288</v>
      </c>
      <c r="C8" s="66" t="s">
        <v>3289</v>
      </c>
      <c r="D8" s="66" t="s">
        <v>3290</v>
      </c>
    </row>
    <row r="9" spans="1:9" ht="15.75" x14ac:dyDescent="0.3">
      <c r="A9" s="66" t="s">
        <v>42</v>
      </c>
      <c r="B9" s="26" t="s">
        <v>3291</v>
      </c>
      <c r="C9" s="66" t="s">
        <v>3292</v>
      </c>
      <c r="D9" s="66" t="s">
        <v>3293</v>
      </c>
    </row>
    <row r="10" spans="1:9" ht="15.75" x14ac:dyDescent="0.3">
      <c r="A10" s="66" t="s">
        <v>42</v>
      </c>
      <c r="B10" s="26" t="s">
        <v>3294</v>
      </c>
      <c r="C10" s="66" t="s">
        <v>3295</v>
      </c>
      <c r="D10" s="66" t="s">
        <v>3296</v>
      </c>
    </row>
    <row r="11" spans="1:9" ht="15.75" x14ac:dyDescent="0.3">
      <c r="A11" s="66" t="s">
        <v>42</v>
      </c>
      <c r="B11" s="26" t="s">
        <v>3297</v>
      </c>
      <c r="C11" s="66" t="s">
        <v>3280</v>
      </c>
      <c r="D11" s="66" t="s">
        <v>3298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1179-4908-436E-A485-CE00612F573F}">
  <dimension ref="A1:P13"/>
  <sheetViews>
    <sheetView workbookViewId="0">
      <selection activeCell="O10" sqref="O10"/>
    </sheetView>
  </sheetViews>
  <sheetFormatPr defaultRowHeight="14.25" x14ac:dyDescent="0.2"/>
  <cols>
    <col min="15" max="15" width="11.25" bestFit="1" customWidth="1"/>
    <col min="16" max="16" width="15.375" bestFit="1" customWidth="1"/>
  </cols>
  <sheetData>
    <row r="1" spans="1:16" ht="15" x14ac:dyDescent="0.2">
      <c r="A1" s="319" t="s">
        <v>44</v>
      </c>
      <c r="B1" s="319"/>
      <c r="C1" s="319"/>
      <c r="D1" s="321" t="s">
        <v>2686</v>
      </c>
      <c r="E1" s="321"/>
      <c r="F1" s="321"/>
      <c r="G1" s="321"/>
      <c r="H1" s="321"/>
      <c r="I1" s="321"/>
      <c r="J1" s="321"/>
      <c r="K1" s="321"/>
      <c r="L1" s="322"/>
      <c r="M1" s="315" t="s">
        <v>44</v>
      </c>
      <c r="N1" s="316"/>
      <c r="O1" s="321" t="s">
        <v>3443</v>
      </c>
      <c r="P1" s="321"/>
    </row>
    <row r="2" spans="1:16" ht="15" x14ac:dyDescent="0.2">
      <c r="A2" s="320"/>
      <c r="B2" s="320"/>
      <c r="C2" s="320"/>
      <c r="D2" s="323" t="s">
        <v>55</v>
      </c>
      <c r="E2" s="143" t="s">
        <v>3300</v>
      </c>
      <c r="F2" s="143" t="s">
        <v>3301</v>
      </c>
      <c r="G2" s="321" t="s">
        <v>3302</v>
      </c>
      <c r="H2" s="321"/>
      <c r="I2" s="321" t="s">
        <v>3303</v>
      </c>
      <c r="J2" s="321"/>
      <c r="K2" s="321" t="s">
        <v>3304</v>
      </c>
      <c r="L2" s="322"/>
      <c r="M2" s="317"/>
      <c r="N2" s="318"/>
      <c r="O2" s="321"/>
      <c r="P2" s="321"/>
    </row>
    <row r="3" spans="1:16" ht="15" x14ac:dyDescent="0.2">
      <c r="A3" s="143" t="s">
        <v>55</v>
      </c>
      <c r="B3" s="210" t="s">
        <v>3</v>
      </c>
      <c r="C3" s="210" t="s">
        <v>2</v>
      </c>
      <c r="D3" s="324"/>
      <c r="E3" s="143" t="s">
        <v>3</v>
      </c>
      <c r="F3" s="143" t="s">
        <v>2</v>
      </c>
      <c r="G3" s="143" t="s">
        <v>3</v>
      </c>
      <c r="H3" s="144" t="s">
        <v>2690</v>
      </c>
      <c r="I3" s="143" t="s">
        <v>2</v>
      </c>
      <c r="J3" s="144" t="s">
        <v>2269</v>
      </c>
      <c r="K3" s="144" t="s">
        <v>3305</v>
      </c>
      <c r="L3" s="185" t="s">
        <v>2688</v>
      </c>
      <c r="M3" s="143" t="s">
        <v>3</v>
      </c>
      <c r="N3" s="143" t="s">
        <v>2</v>
      </c>
      <c r="O3" s="143" t="s">
        <v>3428</v>
      </c>
      <c r="P3" s="143" t="s">
        <v>3441</v>
      </c>
    </row>
    <row r="4" spans="1:16" ht="16.5" x14ac:dyDescent="0.3">
      <c r="A4" s="10">
        <v>1</v>
      </c>
      <c r="B4" s="165">
        <f t="shared" ref="B4:B12" si="0">INT(M4/10)</f>
        <v>4</v>
      </c>
      <c r="C4" s="165">
        <f t="shared" ref="C4:C12" si="1">INT(N4/10)</f>
        <v>4</v>
      </c>
      <c r="D4" s="10">
        <v>1</v>
      </c>
      <c r="E4" s="8">
        <f t="shared" ref="E4:E13" si="2">3/4*B4</f>
        <v>3</v>
      </c>
      <c r="F4" s="8">
        <f t="shared" ref="F4:F13" si="3">3/4*C4</f>
        <v>3</v>
      </c>
      <c r="G4" s="8">
        <f t="shared" ref="G4:G13" si="4">1/4*B4</f>
        <v>1</v>
      </c>
      <c r="H4" s="142">
        <f>ROUND(1/5*H13,0)</f>
        <v>1</v>
      </c>
      <c r="I4" s="8">
        <f t="shared" ref="I4:I13" si="5">1/4*C4</f>
        <v>1</v>
      </c>
      <c r="J4" s="142">
        <f>ROUND(1/5*J13,0)</f>
        <v>1</v>
      </c>
      <c r="K4" s="142">
        <f>ROUND(1/10*K13,0)</f>
        <v>1</v>
      </c>
      <c r="L4" s="142">
        <f>ROUND(1/10*L13,0)</f>
        <v>1</v>
      </c>
      <c r="M4" s="8">
        <f>INT($A4/$A$13*M$13)</f>
        <v>40</v>
      </c>
      <c r="N4" s="8">
        <f t="shared" ref="N4:N10" si="6">INT($A4/$A$13*N$13)</f>
        <v>40</v>
      </c>
      <c r="O4" s="8">
        <f>M4*(属性价值参考!C$7+属性价值参考!C$8)+宝石镶嵌!N4*(属性价值参考!C$9+属性价值参考!C$10+属性价值参考!C$11+属性价值参考!C$12)</f>
        <v>6192</v>
      </c>
      <c r="P4" s="8">
        <f>11*(H4*属性价值参考!C$27+J4*属性价值参考!C$24+K4*属性价值参考!C$16+L4*属性价值参考!C$26)</f>
        <v>7292.9999999999991</v>
      </c>
    </row>
    <row r="5" spans="1:16" ht="16.5" x14ac:dyDescent="0.3">
      <c r="A5" s="10">
        <v>2</v>
      </c>
      <c r="B5" s="165">
        <f t="shared" si="0"/>
        <v>8</v>
      </c>
      <c r="C5" s="165">
        <f t="shared" si="1"/>
        <v>8</v>
      </c>
      <c r="D5" s="10">
        <v>2</v>
      </c>
      <c r="E5" s="8">
        <f t="shared" si="2"/>
        <v>6</v>
      </c>
      <c r="F5" s="8">
        <f t="shared" si="3"/>
        <v>6</v>
      </c>
      <c r="G5" s="8">
        <f t="shared" si="4"/>
        <v>2</v>
      </c>
      <c r="H5" s="142">
        <f>ROUND(1/5*H13,0)</f>
        <v>1</v>
      </c>
      <c r="I5" s="8">
        <f t="shared" si="5"/>
        <v>2</v>
      </c>
      <c r="J5" s="142">
        <f>ROUND(1/5*J13,0)</f>
        <v>1</v>
      </c>
      <c r="K5" s="142">
        <f>ROUND(2/10*K13,0)</f>
        <v>2</v>
      </c>
      <c r="L5" s="142">
        <f>ROUND(2/10*L13,0)</f>
        <v>2</v>
      </c>
      <c r="M5" s="8">
        <f t="shared" ref="M5:M11" si="7">INT($A5/$A$13*M$13)</f>
        <v>80</v>
      </c>
      <c r="N5" s="8">
        <f t="shared" si="6"/>
        <v>80</v>
      </c>
      <c r="O5" s="8">
        <f>M5*(属性价值参考!C$7+属性价值参考!C$8)+宝石镶嵌!N5*(属性价值参考!C$9+属性价值参考!C$10+属性价值参考!C$11+属性价值参考!C$12)</f>
        <v>12384</v>
      </c>
      <c r="P5" s="8">
        <f>11*(H5*属性价值参考!C$27+J5*属性价值参考!C$24+K5*属性价值参考!C$16+L5*属性价值参考!C$26)</f>
        <v>8883.6</v>
      </c>
    </row>
    <row r="6" spans="1:16" ht="16.5" x14ac:dyDescent="0.3">
      <c r="A6" s="10">
        <v>3</v>
      </c>
      <c r="B6" s="165">
        <f t="shared" si="0"/>
        <v>12</v>
      </c>
      <c r="C6" s="165">
        <f t="shared" si="1"/>
        <v>12</v>
      </c>
      <c r="D6" s="10">
        <v>3</v>
      </c>
      <c r="E6" s="8">
        <f t="shared" si="2"/>
        <v>9</v>
      </c>
      <c r="F6" s="8">
        <f t="shared" si="3"/>
        <v>9</v>
      </c>
      <c r="G6" s="8">
        <f t="shared" si="4"/>
        <v>3</v>
      </c>
      <c r="H6" s="142">
        <f>ROUND(2/5*H13,0)</f>
        <v>2</v>
      </c>
      <c r="I6" s="8">
        <f t="shared" si="5"/>
        <v>3</v>
      </c>
      <c r="J6" s="142">
        <f>ROUND(2/5*J13,0)</f>
        <v>2</v>
      </c>
      <c r="K6" s="142">
        <f>ROUND(3/10*K13,0)</f>
        <v>3</v>
      </c>
      <c r="L6" s="142">
        <f>ROUND(3/10*L13,0)</f>
        <v>3</v>
      </c>
      <c r="M6" s="8">
        <f t="shared" si="7"/>
        <v>120</v>
      </c>
      <c r="N6" s="8">
        <f t="shared" si="6"/>
        <v>120</v>
      </c>
      <c r="O6" s="8">
        <f>M6*(属性价值参考!C$7+属性价值参考!C$8)+宝石镶嵌!N6*(属性价值参考!C$9+属性价值参考!C$10+属性价值参考!C$11+属性价值参考!C$12)</f>
        <v>18576</v>
      </c>
      <c r="P6" s="8">
        <f>11*(H6*属性价值参考!C$27+J6*属性价值参考!C$24+K6*属性价值参考!C$16+L6*属性价值参考!C$26)</f>
        <v>16176.599999999999</v>
      </c>
    </row>
    <row r="7" spans="1:16" ht="16.5" x14ac:dyDescent="0.3">
      <c r="A7" s="10">
        <v>4</v>
      </c>
      <c r="B7" s="165">
        <f t="shared" si="0"/>
        <v>16</v>
      </c>
      <c r="C7" s="165">
        <f t="shared" si="1"/>
        <v>16</v>
      </c>
      <c r="D7" s="10">
        <v>4</v>
      </c>
      <c r="E7" s="8">
        <f t="shared" si="2"/>
        <v>12</v>
      </c>
      <c r="F7" s="8">
        <f t="shared" si="3"/>
        <v>12</v>
      </c>
      <c r="G7" s="8">
        <f t="shared" si="4"/>
        <v>4</v>
      </c>
      <c r="H7" s="142">
        <f>ROUND(2/5*H13,0)</f>
        <v>2</v>
      </c>
      <c r="I7" s="8">
        <f t="shared" si="5"/>
        <v>4</v>
      </c>
      <c r="J7" s="142">
        <f>ROUND(2/5*J13,0)</f>
        <v>2</v>
      </c>
      <c r="K7" s="142">
        <f>ROUND(4/10*K13,0)</f>
        <v>4</v>
      </c>
      <c r="L7" s="142">
        <f>ROUND(4/10*L13,0)</f>
        <v>4</v>
      </c>
      <c r="M7" s="8">
        <f t="shared" si="7"/>
        <v>160</v>
      </c>
      <c r="N7" s="8">
        <f t="shared" si="6"/>
        <v>160</v>
      </c>
      <c r="O7" s="8">
        <f>M7*(属性价值参考!C$7+属性价值参考!C$8)+宝石镶嵌!N7*(属性价值参考!C$9+属性价值参考!C$10+属性价值参考!C$11+属性价值参考!C$12)</f>
        <v>24768</v>
      </c>
      <c r="P7" s="8">
        <f>11*(H7*属性价值参考!C$27+J7*属性价值参考!C$24+K7*属性价值参考!C$16+L7*属性价值参考!C$26)</f>
        <v>17767.2</v>
      </c>
    </row>
    <row r="8" spans="1:16" ht="16.5" x14ac:dyDescent="0.3">
      <c r="A8" s="10">
        <v>5</v>
      </c>
      <c r="B8" s="165">
        <f t="shared" si="0"/>
        <v>20</v>
      </c>
      <c r="C8" s="165">
        <f t="shared" si="1"/>
        <v>20</v>
      </c>
      <c r="D8" s="10">
        <v>5</v>
      </c>
      <c r="E8" s="8">
        <f t="shared" si="2"/>
        <v>15</v>
      </c>
      <c r="F8" s="8">
        <f t="shared" si="3"/>
        <v>15</v>
      </c>
      <c r="G8" s="8">
        <f t="shared" si="4"/>
        <v>5</v>
      </c>
      <c r="H8" s="142">
        <f>ROUND(3/5*H13,0)</f>
        <v>3</v>
      </c>
      <c r="I8" s="8">
        <f t="shared" si="5"/>
        <v>5</v>
      </c>
      <c r="J8" s="142">
        <f>ROUND(3/5*J13,0)</f>
        <v>3</v>
      </c>
      <c r="K8" s="142">
        <f>ROUND(5/10*K13,0)</f>
        <v>5</v>
      </c>
      <c r="L8" s="142">
        <f>ROUND(5/10*L13,0)</f>
        <v>5</v>
      </c>
      <c r="M8" s="8">
        <f t="shared" si="7"/>
        <v>200</v>
      </c>
      <c r="N8" s="8">
        <f t="shared" si="6"/>
        <v>200</v>
      </c>
      <c r="O8" s="8">
        <f>M8*(属性价值参考!C$7+属性价值参考!C$8)+宝石镶嵌!N8*(属性价值参考!C$9+属性价值参考!C$10+属性价值参考!C$11+属性价值参考!C$12)</f>
        <v>30960</v>
      </c>
      <c r="P8" s="8">
        <f>11*(H8*属性价值参考!C$27+J8*属性价值参考!C$24+K8*属性价值参考!C$16+L8*属性价值参考!C$26)</f>
        <v>25060.199999999997</v>
      </c>
    </row>
    <row r="9" spans="1:16" ht="16.5" x14ac:dyDescent="0.3">
      <c r="A9" s="10">
        <v>6</v>
      </c>
      <c r="B9" s="165">
        <f t="shared" si="0"/>
        <v>24</v>
      </c>
      <c r="C9" s="165">
        <f t="shared" si="1"/>
        <v>24</v>
      </c>
      <c r="D9" s="10">
        <v>6</v>
      </c>
      <c r="E9" s="8">
        <f t="shared" si="2"/>
        <v>18</v>
      </c>
      <c r="F9" s="8">
        <f t="shared" si="3"/>
        <v>18</v>
      </c>
      <c r="G9" s="8">
        <f t="shared" si="4"/>
        <v>6</v>
      </c>
      <c r="H9" s="142">
        <f>ROUND(3/5*H13,0)</f>
        <v>3</v>
      </c>
      <c r="I9" s="8">
        <f t="shared" si="5"/>
        <v>6</v>
      </c>
      <c r="J9" s="142">
        <f>ROUND(3/5*J13,0)</f>
        <v>3</v>
      </c>
      <c r="K9" s="142">
        <f>ROUND(6/10*K13,0)</f>
        <v>6</v>
      </c>
      <c r="L9" s="142">
        <f>ROUND(6/10*L13,0)</f>
        <v>6</v>
      </c>
      <c r="M9" s="8">
        <f t="shared" si="7"/>
        <v>240</v>
      </c>
      <c r="N9" s="8">
        <f t="shared" si="6"/>
        <v>240</v>
      </c>
      <c r="O9" s="8">
        <f>M9*(属性价值参考!C$7+属性价值参考!C$8)+宝石镶嵌!N9*(属性价值参考!C$9+属性价值参考!C$10+属性价值参考!C$11+属性价值参考!C$12)</f>
        <v>37152</v>
      </c>
      <c r="P9" s="8">
        <f>11*(H9*属性价值参考!C$27+J9*属性价值参考!C$24+K9*属性价值参考!C$16+L9*属性价值参考!C$26)</f>
        <v>26650.799999999996</v>
      </c>
    </row>
    <row r="10" spans="1:16" ht="16.5" x14ac:dyDescent="0.3">
      <c r="A10" s="10">
        <v>7</v>
      </c>
      <c r="B10" s="165">
        <f t="shared" si="0"/>
        <v>28</v>
      </c>
      <c r="C10" s="165">
        <f t="shared" si="1"/>
        <v>28</v>
      </c>
      <c r="D10" s="10">
        <v>7</v>
      </c>
      <c r="E10" s="8">
        <f t="shared" si="2"/>
        <v>21</v>
      </c>
      <c r="F10" s="8">
        <f t="shared" si="3"/>
        <v>21</v>
      </c>
      <c r="G10" s="8">
        <f t="shared" si="4"/>
        <v>7</v>
      </c>
      <c r="H10" s="142">
        <f>ROUND(4/5*H13,0)</f>
        <v>4</v>
      </c>
      <c r="I10" s="8">
        <f t="shared" si="5"/>
        <v>7</v>
      </c>
      <c r="J10" s="142">
        <f>ROUND(4/5*J13,0)</f>
        <v>4</v>
      </c>
      <c r="K10" s="142">
        <f>ROUND(7/10*K13,0)</f>
        <v>7</v>
      </c>
      <c r="L10" s="142">
        <f>ROUND(7/10*L13,0)</f>
        <v>7</v>
      </c>
      <c r="M10" s="8">
        <f t="shared" si="7"/>
        <v>280</v>
      </c>
      <c r="N10" s="8">
        <f t="shared" si="6"/>
        <v>280</v>
      </c>
      <c r="O10" s="8">
        <f>M10*(属性价值参考!C$7+属性价值参考!C$8)+宝石镶嵌!N10*(属性价值参考!C$9+属性价值参考!C$10+属性价值参考!C$11+属性价值参考!C$12)</f>
        <v>43344</v>
      </c>
      <c r="P10" s="8">
        <f>11*(H10*属性价值参考!C$27+J10*属性价值参考!C$24+K10*属性价值参考!C$16+L10*属性价值参考!C$26)</f>
        <v>33943.799999999996</v>
      </c>
    </row>
    <row r="11" spans="1:16" ht="16.5" x14ac:dyDescent="0.3">
      <c r="A11" s="10">
        <v>8</v>
      </c>
      <c r="B11" s="165">
        <f t="shared" si="0"/>
        <v>32</v>
      </c>
      <c r="C11" s="165">
        <f t="shared" si="1"/>
        <v>32</v>
      </c>
      <c r="D11" s="10">
        <v>8</v>
      </c>
      <c r="E11" s="8">
        <f t="shared" si="2"/>
        <v>24</v>
      </c>
      <c r="F11" s="8">
        <f t="shared" si="3"/>
        <v>24</v>
      </c>
      <c r="G11" s="8">
        <f t="shared" si="4"/>
        <v>8</v>
      </c>
      <c r="H11" s="142">
        <f>ROUND(4/5*H13,0)</f>
        <v>4</v>
      </c>
      <c r="I11" s="8">
        <f t="shared" si="5"/>
        <v>8</v>
      </c>
      <c r="J11" s="142">
        <f>ROUND(4/5*J13,0)</f>
        <v>4</v>
      </c>
      <c r="K11" s="142">
        <f>ROUND(8/10*K13,0)</f>
        <v>8</v>
      </c>
      <c r="L11" s="142">
        <f>ROUND(8/10*L13,0)</f>
        <v>8</v>
      </c>
      <c r="M11" s="8">
        <f t="shared" si="7"/>
        <v>320</v>
      </c>
      <c r="N11" s="8">
        <f>INT($A11/$A$13*N$13)</f>
        <v>320</v>
      </c>
      <c r="O11" s="8">
        <f>M11*(属性价值参考!C$7+属性价值参考!C$8)+宝石镶嵌!N11*(属性价值参考!C$9+属性价值参考!C$10+属性价值参考!C$11+属性价值参考!C$12)</f>
        <v>49536</v>
      </c>
      <c r="P11" s="8">
        <f>11*(H11*属性价值参考!C$27+J11*属性价值参考!C$24+K11*属性价值参考!C$16+L11*属性价值参考!C$26)</f>
        <v>35534.400000000001</v>
      </c>
    </row>
    <row r="12" spans="1:16" ht="16.5" x14ac:dyDescent="0.3">
      <c r="A12" s="10">
        <v>9</v>
      </c>
      <c r="B12" s="165">
        <f t="shared" si="0"/>
        <v>36</v>
      </c>
      <c r="C12" s="165">
        <f t="shared" si="1"/>
        <v>36</v>
      </c>
      <c r="D12" s="10">
        <v>9</v>
      </c>
      <c r="E12" s="8">
        <f t="shared" si="2"/>
        <v>27</v>
      </c>
      <c r="F12" s="8">
        <f t="shared" si="3"/>
        <v>27</v>
      </c>
      <c r="G12" s="8">
        <f t="shared" si="4"/>
        <v>9</v>
      </c>
      <c r="H12" s="142">
        <f>ROUND(H13,0)</f>
        <v>5</v>
      </c>
      <c r="I12" s="8">
        <f t="shared" si="5"/>
        <v>9</v>
      </c>
      <c r="J12" s="142">
        <f>ROUND(J13,0)</f>
        <v>5</v>
      </c>
      <c r="K12" s="142">
        <f>ROUND(9/10*K13,0)</f>
        <v>9</v>
      </c>
      <c r="L12" s="142">
        <f>ROUND(9/10*L13,0)</f>
        <v>9</v>
      </c>
      <c r="M12" s="8">
        <f>INT($A12/$A$13*M$13)</f>
        <v>360</v>
      </c>
      <c r="N12" s="8">
        <f>INT($A12/$A$13*N$13)</f>
        <v>360</v>
      </c>
      <c r="O12" s="8">
        <f>M12*(属性价值参考!C$7+属性价值参考!C$8)+宝石镶嵌!N12*(属性价值参考!C$9+属性价值参考!C$10+属性价值参考!C$11+属性价值参考!C$12)</f>
        <v>55728.000000000007</v>
      </c>
      <c r="P12" s="8">
        <f>11*(H12*属性价值参考!C$27+J12*属性价值参考!C$24+K12*属性价值参考!C$16+L12*属性价值参考!C$26)</f>
        <v>42827.399999999994</v>
      </c>
    </row>
    <row r="13" spans="1:16" ht="16.5" x14ac:dyDescent="0.3">
      <c r="A13" s="10">
        <v>10</v>
      </c>
      <c r="B13" s="165">
        <f>INT(M13/10)</f>
        <v>40</v>
      </c>
      <c r="C13" s="165">
        <f>INT(N13/10)</f>
        <v>40</v>
      </c>
      <c r="D13" s="10">
        <v>10</v>
      </c>
      <c r="E13" s="8">
        <f t="shared" si="2"/>
        <v>30</v>
      </c>
      <c r="F13" s="8">
        <f t="shared" si="3"/>
        <v>30</v>
      </c>
      <c r="G13" s="8">
        <f t="shared" si="4"/>
        <v>10</v>
      </c>
      <c r="H13" s="142">
        <f>参数调整!V17/11</f>
        <v>5</v>
      </c>
      <c r="I13" s="8">
        <f t="shared" si="5"/>
        <v>10</v>
      </c>
      <c r="J13" s="142">
        <f>参数调整!AI17/11</f>
        <v>5</v>
      </c>
      <c r="K13" s="142">
        <f>参数调整!X17/11</f>
        <v>10</v>
      </c>
      <c r="L13" s="186">
        <f>参数调整!AE17/11</f>
        <v>10</v>
      </c>
      <c r="M13" s="8">
        <f>养成属性分配!BA31</f>
        <v>400</v>
      </c>
      <c r="N13" s="8">
        <f>养成属性分配!BB31</f>
        <v>400</v>
      </c>
      <c r="O13" s="8">
        <f>M13*(属性价值参考!C$7+属性价值参考!C$8)+宝石镶嵌!N13*(属性价值参考!C$9+属性价值参考!C$10+属性价值参考!C$11+属性价值参考!C$12)</f>
        <v>61920</v>
      </c>
      <c r="P13" s="8">
        <f>11*(H13*属性价值参考!C$27+J13*属性价值参考!C$24+K13*属性价值参考!C$16+L13*属性价值参考!C$26)</f>
        <v>44418</v>
      </c>
    </row>
  </sheetData>
  <mergeCells count="8">
    <mergeCell ref="M1:N2"/>
    <mergeCell ref="A1:C2"/>
    <mergeCell ref="O1:P2"/>
    <mergeCell ref="G2:H2"/>
    <mergeCell ref="I2:J2"/>
    <mergeCell ref="K2:L2"/>
    <mergeCell ref="D1:L1"/>
    <mergeCell ref="D2:D3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AA2F-B023-4A9E-ADA2-259B0C841B48}">
  <dimension ref="A1:BF30"/>
  <sheetViews>
    <sheetView workbookViewId="0">
      <selection activeCell="AT20" sqref="AT20"/>
    </sheetView>
  </sheetViews>
  <sheetFormatPr defaultRowHeight="16.5" x14ac:dyDescent="0.3"/>
  <cols>
    <col min="1" max="1" width="9.75" style="12" customWidth="1"/>
    <col min="2" max="2" width="9.75" style="12" bestFit="1" customWidth="1"/>
    <col min="3" max="5" width="11.125" style="12" bestFit="1" customWidth="1"/>
    <col min="6" max="8" width="9.75" style="12" bestFit="1" customWidth="1"/>
    <col min="9" max="9" width="14.125" style="12" bestFit="1" customWidth="1"/>
    <col min="10" max="11" width="7.75" style="12" bestFit="1" customWidth="1"/>
    <col min="12" max="13" width="5.75" style="12" bestFit="1" customWidth="1"/>
    <col min="14" max="17" width="7.75" style="12" bestFit="1" customWidth="1"/>
    <col min="18" max="19" width="5.75" style="12" bestFit="1" customWidth="1"/>
    <col min="20" max="21" width="7.75" style="12" bestFit="1" customWidth="1"/>
    <col min="22" max="22" width="9.75" style="12" bestFit="1" customWidth="1"/>
    <col min="23" max="23" width="31.875" style="12" bestFit="1" customWidth="1"/>
    <col min="24" max="29" width="9" style="12"/>
    <col min="30" max="30" width="11.875" style="12" bestFit="1" customWidth="1"/>
    <col min="31" max="31" width="16.375" style="12" bestFit="1" customWidth="1"/>
    <col min="32" max="35" width="10.375" style="12" bestFit="1" customWidth="1"/>
    <col min="36" max="36" width="9" style="12"/>
    <col min="37" max="40" width="9.25" style="12" bestFit="1" customWidth="1"/>
    <col min="41" max="41" width="10.875" style="12" bestFit="1" customWidth="1"/>
    <col min="42" max="16384" width="9" style="12"/>
  </cols>
  <sheetData>
    <row r="1" spans="1:58" x14ac:dyDescent="0.3">
      <c r="A1" s="12" t="s">
        <v>3745</v>
      </c>
    </row>
    <row r="2" spans="1:58" ht="18" x14ac:dyDescent="0.3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3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B4" si="0">INT(3/150*AA30)</f>
        <v>0</v>
      </c>
      <c r="AB4" s="226">
        <f t="shared" si="0"/>
        <v>0</v>
      </c>
      <c r="AC4" s="226">
        <f t="shared" ref="AC4" si="1">INT(3/150*AC30)</f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2">ROUND(1*1/27*AK30,0)</f>
        <v>0</v>
      </c>
      <c r="AL4" s="229">
        <f t="shared" si="2"/>
        <v>0</v>
      </c>
      <c r="AM4" s="229">
        <f t="shared" si="2"/>
        <v>0</v>
      </c>
      <c r="AN4" s="229">
        <f t="shared" si="2"/>
        <v>0</v>
      </c>
      <c r="AO4" s="229">
        <f t="shared" si="2"/>
        <v>0</v>
      </c>
      <c r="AP4" s="229">
        <f t="shared" si="2"/>
        <v>0</v>
      </c>
      <c r="AQ4" s="229">
        <f t="shared" si="2"/>
        <v>0</v>
      </c>
      <c r="AR4" s="229">
        <f t="shared" si="2"/>
        <v>0</v>
      </c>
      <c r="AS4" s="229">
        <f t="shared" si="2"/>
        <v>0</v>
      </c>
      <c r="AT4" s="229">
        <f t="shared" si="2"/>
        <v>0</v>
      </c>
      <c r="AU4" s="229">
        <f t="shared" si="2"/>
        <v>0</v>
      </c>
      <c r="AV4" s="229">
        <f t="shared" si="2"/>
        <v>0</v>
      </c>
      <c r="AW4" s="229">
        <f t="shared" si="2"/>
        <v>0</v>
      </c>
      <c r="AX4" s="229">
        <f t="shared" si="2"/>
        <v>0</v>
      </c>
      <c r="AY4" s="229">
        <f t="shared" si="2"/>
        <v>0</v>
      </c>
      <c r="AZ4" s="229">
        <f t="shared" si="2"/>
        <v>0</v>
      </c>
      <c r="BA4" s="229">
        <f t="shared" si="2"/>
        <v>0</v>
      </c>
      <c r="BB4" s="229">
        <f t="shared" si="2"/>
        <v>0</v>
      </c>
      <c r="BC4" s="229">
        <f t="shared" si="2"/>
        <v>0</v>
      </c>
      <c r="BD4" s="229">
        <f t="shared" si="2"/>
        <v>0</v>
      </c>
      <c r="BE4" s="229">
        <f t="shared" si="2"/>
        <v>0</v>
      </c>
      <c r="BF4" s="229">
        <f t="shared" si="2"/>
        <v>0</v>
      </c>
    </row>
    <row r="5" spans="1:58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J30" si="3">Z5</f>
        <v>0</v>
      </c>
      <c r="K5" s="8">
        <f t="shared" ref="K5:K30" si="4">AA5</f>
        <v>0</v>
      </c>
      <c r="L5" s="8">
        <f t="shared" ref="L5:L30" si="5">0.5*AB5</f>
        <v>0</v>
      </c>
      <c r="M5" s="8">
        <f t="shared" ref="M5:M30" si="6">AB5</f>
        <v>0</v>
      </c>
      <c r="N5" s="8">
        <f t="shared" ref="N5:N30" si="7">0.5*AB5</f>
        <v>0</v>
      </c>
      <c r="O5" s="8">
        <f t="shared" ref="O5:O30" si="8">AB5</f>
        <v>0</v>
      </c>
      <c r="P5" s="8">
        <f t="shared" ref="P5:P30" si="9">0.5*AB5</f>
        <v>0</v>
      </c>
      <c r="Q5" s="8">
        <f t="shared" ref="Q5:Q30" si="10">AB5</f>
        <v>0</v>
      </c>
      <c r="R5" s="8">
        <f t="shared" ref="R5:R30" si="11">0.5*AC5</f>
        <v>0</v>
      </c>
      <c r="S5" s="8">
        <f t="shared" ref="S5:S30" si="12">AC5</f>
        <v>0</v>
      </c>
      <c r="T5" s="8">
        <f t="shared" ref="T5:T30" si="13">0.5*AC5</f>
        <v>0</v>
      </c>
      <c r="U5" s="8">
        <f t="shared" ref="U5:U30" si="14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B5" si="15">INT(4.5/150*AA30)</f>
        <v>0</v>
      </c>
      <c r="AB5" s="226">
        <f t="shared" si="15"/>
        <v>0</v>
      </c>
      <c r="AC5" s="226">
        <f t="shared" ref="AC5" si="16">INT(4.5/150*AC30)</f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7">X5</f>
        <v>2</v>
      </c>
      <c r="AK5" s="229">
        <f t="shared" ref="AK5:BF5" si="18">ROUND(2*1/27*AK30,0)</f>
        <v>0</v>
      </c>
      <c r="AL5" s="229">
        <f t="shared" si="18"/>
        <v>0</v>
      </c>
      <c r="AM5" s="229">
        <f t="shared" si="18"/>
        <v>0</v>
      </c>
      <c r="AN5" s="229">
        <f t="shared" si="18"/>
        <v>0</v>
      </c>
      <c r="AO5" s="229">
        <f t="shared" si="18"/>
        <v>0</v>
      </c>
      <c r="AP5" s="229">
        <f t="shared" si="18"/>
        <v>0</v>
      </c>
      <c r="AQ5" s="229">
        <f t="shared" si="18"/>
        <v>0</v>
      </c>
      <c r="AR5" s="229">
        <f t="shared" si="18"/>
        <v>0</v>
      </c>
      <c r="AS5" s="229">
        <f t="shared" si="18"/>
        <v>0</v>
      </c>
      <c r="AT5" s="229">
        <f t="shared" si="18"/>
        <v>0</v>
      </c>
      <c r="AU5" s="229">
        <f t="shared" si="18"/>
        <v>0</v>
      </c>
      <c r="AV5" s="229">
        <f t="shared" si="18"/>
        <v>0</v>
      </c>
      <c r="AW5" s="229">
        <f t="shared" si="18"/>
        <v>0</v>
      </c>
      <c r="AX5" s="229">
        <f t="shared" si="18"/>
        <v>0</v>
      </c>
      <c r="AY5" s="229">
        <f t="shared" si="18"/>
        <v>0</v>
      </c>
      <c r="AZ5" s="229">
        <f t="shared" si="18"/>
        <v>0</v>
      </c>
      <c r="BA5" s="229">
        <f t="shared" si="18"/>
        <v>0</v>
      </c>
      <c r="BB5" s="229">
        <f t="shared" si="18"/>
        <v>0</v>
      </c>
      <c r="BC5" s="229">
        <f t="shared" si="18"/>
        <v>0</v>
      </c>
      <c r="BD5" s="229">
        <f t="shared" si="18"/>
        <v>0</v>
      </c>
      <c r="BE5" s="229">
        <f t="shared" si="18"/>
        <v>0</v>
      </c>
      <c r="BF5" s="229">
        <f t="shared" si="18"/>
        <v>0</v>
      </c>
    </row>
    <row r="6" spans="1:58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3"/>
        <v>0</v>
      </c>
      <c r="K6" s="8">
        <f t="shared" si="4"/>
        <v>0</v>
      </c>
      <c r="L6" s="8">
        <f t="shared" si="5"/>
        <v>0</v>
      </c>
      <c r="M6" s="8">
        <f t="shared" si="6"/>
        <v>0</v>
      </c>
      <c r="N6" s="8">
        <f t="shared" si="7"/>
        <v>0</v>
      </c>
      <c r="O6" s="8">
        <f t="shared" si="8"/>
        <v>0</v>
      </c>
      <c r="P6" s="8">
        <f t="shared" si="9"/>
        <v>0</v>
      </c>
      <c r="Q6" s="8">
        <f t="shared" si="10"/>
        <v>0</v>
      </c>
      <c r="R6" s="8">
        <f t="shared" si="11"/>
        <v>0</v>
      </c>
      <c r="S6" s="8">
        <f t="shared" si="12"/>
        <v>0</v>
      </c>
      <c r="T6" s="8">
        <f t="shared" si="13"/>
        <v>0</v>
      </c>
      <c r="U6" s="8">
        <f t="shared" si="14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B6" si="19">INT(6/150*AA30)</f>
        <v>0</v>
      </c>
      <c r="AB6" s="226">
        <f t="shared" si="19"/>
        <v>0</v>
      </c>
      <c r="AC6" s="226">
        <f t="shared" ref="AC6" si="20">INT(6/150*AC30)</f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7"/>
        <v>3</v>
      </c>
      <c r="AK6" s="229">
        <f t="shared" ref="AK6:BF6" si="21">ROUND(3*1/27*AK30,0)</f>
        <v>0</v>
      </c>
      <c r="AL6" s="229">
        <f t="shared" si="21"/>
        <v>0</v>
      </c>
      <c r="AM6" s="229">
        <f t="shared" si="21"/>
        <v>0</v>
      </c>
      <c r="AN6" s="229">
        <f t="shared" si="21"/>
        <v>0</v>
      </c>
      <c r="AO6" s="229">
        <f t="shared" si="21"/>
        <v>0</v>
      </c>
      <c r="AP6" s="229">
        <f t="shared" si="21"/>
        <v>0</v>
      </c>
      <c r="AQ6" s="229">
        <f t="shared" si="21"/>
        <v>0</v>
      </c>
      <c r="AR6" s="229">
        <f t="shared" si="21"/>
        <v>0</v>
      </c>
      <c r="AS6" s="229">
        <f t="shared" si="21"/>
        <v>0</v>
      </c>
      <c r="AT6" s="229">
        <f t="shared" si="21"/>
        <v>0</v>
      </c>
      <c r="AU6" s="229">
        <f t="shared" si="21"/>
        <v>0</v>
      </c>
      <c r="AV6" s="229">
        <f t="shared" si="21"/>
        <v>0</v>
      </c>
      <c r="AW6" s="229">
        <f t="shared" si="21"/>
        <v>0</v>
      </c>
      <c r="AX6" s="229">
        <f t="shared" si="21"/>
        <v>0</v>
      </c>
      <c r="AY6" s="229">
        <f t="shared" si="21"/>
        <v>0</v>
      </c>
      <c r="AZ6" s="229">
        <f t="shared" si="21"/>
        <v>0</v>
      </c>
      <c r="BA6" s="229">
        <f t="shared" si="21"/>
        <v>0</v>
      </c>
      <c r="BB6" s="229">
        <f t="shared" si="21"/>
        <v>0</v>
      </c>
      <c r="BC6" s="229">
        <f t="shared" si="21"/>
        <v>0</v>
      </c>
      <c r="BD6" s="229">
        <f t="shared" si="21"/>
        <v>0</v>
      </c>
      <c r="BE6" s="229">
        <f t="shared" si="21"/>
        <v>0</v>
      </c>
      <c r="BF6" s="229">
        <f t="shared" si="21"/>
        <v>0</v>
      </c>
    </row>
    <row r="7" spans="1:58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3"/>
        <v>0</v>
      </c>
      <c r="K7" s="8">
        <f t="shared" si="4"/>
        <v>0</v>
      </c>
      <c r="L7" s="8">
        <f t="shared" si="5"/>
        <v>0</v>
      </c>
      <c r="M7" s="8">
        <f t="shared" si="6"/>
        <v>0</v>
      </c>
      <c r="N7" s="8">
        <f t="shared" si="7"/>
        <v>0</v>
      </c>
      <c r="O7" s="8">
        <f t="shared" si="8"/>
        <v>0</v>
      </c>
      <c r="P7" s="8">
        <f t="shared" si="9"/>
        <v>0</v>
      </c>
      <c r="Q7" s="8">
        <f t="shared" si="10"/>
        <v>0</v>
      </c>
      <c r="R7" s="8">
        <f t="shared" si="11"/>
        <v>0</v>
      </c>
      <c r="S7" s="8">
        <f t="shared" si="12"/>
        <v>0</v>
      </c>
      <c r="T7" s="8">
        <f t="shared" si="13"/>
        <v>0</v>
      </c>
      <c r="U7" s="8">
        <f t="shared" si="14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B7" si="22">INT(7.5/150*AA30)</f>
        <v>0</v>
      </c>
      <c r="AB7" s="226">
        <f t="shared" si="22"/>
        <v>0</v>
      </c>
      <c r="AC7" s="226">
        <f t="shared" ref="AC7" si="23">INT(7.5/150*AC30)</f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7"/>
        <v>4</v>
      </c>
      <c r="AK7" s="229">
        <f t="shared" ref="AK7:BF7" si="24">ROUND(4*1/27*AK30,0)</f>
        <v>0</v>
      </c>
      <c r="AL7" s="229">
        <f t="shared" si="24"/>
        <v>0</v>
      </c>
      <c r="AM7" s="229">
        <f t="shared" si="24"/>
        <v>0</v>
      </c>
      <c r="AN7" s="229">
        <f t="shared" si="24"/>
        <v>0</v>
      </c>
      <c r="AO7" s="229">
        <f t="shared" si="24"/>
        <v>0</v>
      </c>
      <c r="AP7" s="229">
        <f t="shared" si="24"/>
        <v>0</v>
      </c>
      <c r="AQ7" s="229">
        <f t="shared" si="24"/>
        <v>0</v>
      </c>
      <c r="AR7" s="229">
        <f t="shared" si="24"/>
        <v>0</v>
      </c>
      <c r="AS7" s="229">
        <f t="shared" si="24"/>
        <v>0</v>
      </c>
      <c r="AT7" s="229">
        <f t="shared" si="24"/>
        <v>0</v>
      </c>
      <c r="AU7" s="229">
        <f t="shared" si="24"/>
        <v>0</v>
      </c>
      <c r="AV7" s="229">
        <f t="shared" si="24"/>
        <v>0</v>
      </c>
      <c r="AW7" s="229">
        <f t="shared" si="24"/>
        <v>0</v>
      </c>
      <c r="AX7" s="229">
        <f t="shared" si="24"/>
        <v>0</v>
      </c>
      <c r="AY7" s="229">
        <f t="shared" si="24"/>
        <v>0</v>
      </c>
      <c r="AZ7" s="229">
        <f t="shared" si="24"/>
        <v>0</v>
      </c>
      <c r="BA7" s="229">
        <f t="shared" si="24"/>
        <v>0</v>
      </c>
      <c r="BB7" s="229">
        <f t="shared" si="24"/>
        <v>0</v>
      </c>
      <c r="BC7" s="229">
        <f t="shared" si="24"/>
        <v>0</v>
      </c>
      <c r="BD7" s="229">
        <f t="shared" si="24"/>
        <v>0</v>
      </c>
      <c r="BE7" s="229">
        <f t="shared" si="24"/>
        <v>0</v>
      </c>
      <c r="BF7" s="229">
        <f t="shared" si="24"/>
        <v>0</v>
      </c>
    </row>
    <row r="8" spans="1:58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3"/>
        <v>0</v>
      </c>
      <c r="K8" s="8">
        <f t="shared" si="4"/>
        <v>0</v>
      </c>
      <c r="L8" s="8">
        <f t="shared" si="5"/>
        <v>0</v>
      </c>
      <c r="M8" s="8">
        <f t="shared" si="6"/>
        <v>0</v>
      </c>
      <c r="N8" s="8">
        <f t="shared" si="7"/>
        <v>0</v>
      </c>
      <c r="O8" s="8">
        <f t="shared" si="8"/>
        <v>0</v>
      </c>
      <c r="P8" s="8">
        <f t="shared" si="9"/>
        <v>0</v>
      </c>
      <c r="Q8" s="8">
        <f t="shared" si="10"/>
        <v>0</v>
      </c>
      <c r="R8" s="8">
        <f t="shared" si="11"/>
        <v>0</v>
      </c>
      <c r="S8" s="8">
        <f t="shared" si="12"/>
        <v>0</v>
      </c>
      <c r="T8" s="8">
        <f t="shared" si="13"/>
        <v>0</v>
      </c>
      <c r="U8" s="8">
        <f t="shared" si="14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B8" si="25">INT(9.75/150*AA30)</f>
        <v>0</v>
      </c>
      <c r="AB8" s="226">
        <f t="shared" si="25"/>
        <v>0</v>
      </c>
      <c r="AC8" s="226">
        <f t="shared" ref="AC8" si="26">INT(9.75/150*AC30)</f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7"/>
        <v>5</v>
      </c>
      <c r="AK8" s="229">
        <f t="shared" ref="AK8:BF8" si="27">ROUND(5*1/27*AK30,0)</f>
        <v>0</v>
      </c>
      <c r="AL8" s="229">
        <f t="shared" si="27"/>
        <v>0</v>
      </c>
      <c r="AM8" s="229">
        <f t="shared" si="27"/>
        <v>0</v>
      </c>
      <c r="AN8" s="229">
        <f t="shared" si="27"/>
        <v>0</v>
      </c>
      <c r="AO8" s="229">
        <f t="shared" si="27"/>
        <v>0</v>
      </c>
      <c r="AP8" s="229">
        <f t="shared" si="27"/>
        <v>0</v>
      </c>
      <c r="AQ8" s="229">
        <f t="shared" si="27"/>
        <v>0</v>
      </c>
      <c r="AR8" s="229">
        <f t="shared" si="27"/>
        <v>0</v>
      </c>
      <c r="AS8" s="229">
        <f t="shared" si="27"/>
        <v>0</v>
      </c>
      <c r="AT8" s="229">
        <f t="shared" si="27"/>
        <v>0</v>
      </c>
      <c r="AU8" s="229">
        <f t="shared" si="27"/>
        <v>0</v>
      </c>
      <c r="AV8" s="229">
        <f t="shared" si="27"/>
        <v>0</v>
      </c>
      <c r="AW8" s="229">
        <f t="shared" si="27"/>
        <v>0</v>
      </c>
      <c r="AX8" s="229">
        <f t="shared" si="27"/>
        <v>0</v>
      </c>
      <c r="AY8" s="229">
        <f t="shared" si="27"/>
        <v>0</v>
      </c>
      <c r="AZ8" s="229">
        <f t="shared" si="27"/>
        <v>0</v>
      </c>
      <c r="BA8" s="229">
        <f t="shared" si="27"/>
        <v>0</v>
      </c>
      <c r="BB8" s="229">
        <f t="shared" si="27"/>
        <v>0</v>
      </c>
      <c r="BC8" s="229">
        <f t="shared" si="27"/>
        <v>0</v>
      </c>
      <c r="BD8" s="229">
        <f t="shared" si="27"/>
        <v>0</v>
      </c>
      <c r="BE8" s="229">
        <f t="shared" si="27"/>
        <v>0</v>
      </c>
      <c r="BF8" s="229">
        <f t="shared" si="27"/>
        <v>0</v>
      </c>
    </row>
    <row r="9" spans="1:58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3"/>
        <v>0</v>
      </c>
      <c r="K9" s="8">
        <f t="shared" si="4"/>
        <v>0</v>
      </c>
      <c r="L9" s="8">
        <f t="shared" si="5"/>
        <v>0</v>
      </c>
      <c r="M9" s="8">
        <f t="shared" si="6"/>
        <v>0</v>
      </c>
      <c r="N9" s="8">
        <f t="shared" si="7"/>
        <v>0</v>
      </c>
      <c r="O9" s="8">
        <f t="shared" si="8"/>
        <v>0</v>
      </c>
      <c r="P9" s="8">
        <f t="shared" si="9"/>
        <v>0</v>
      </c>
      <c r="Q9" s="8">
        <f t="shared" si="10"/>
        <v>0</v>
      </c>
      <c r="R9" s="8">
        <f t="shared" si="11"/>
        <v>0</v>
      </c>
      <c r="S9" s="8">
        <f t="shared" si="12"/>
        <v>0</v>
      </c>
      <c r="T9" s="8">
        <f t="shared" si="13"/>
        <v>0</v>
      </c>
      <c r="U9" s="8">
        <f t="shared" si="14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B9" si="28">INT(12/150*AA30)</f>
        <v>0</v>
      </c>
      <c r="AB9" s="226">
        <f t="shared" si="28"/>
        <v>0</v>
      </c>
      <c r="AC9" s="226">
        <f t="shared" ref="AC9" si="29">INT(12/150*AC30)</f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7"/>
        <v>6</v>
      </c>
      <c r="AK9" s="229">
        <f t="shared" ref="AK9:BF9" si="30">ROUND(6*1/27*AK30,0)</f>
        <v>0</v>
      </c>
      <c r="AL9" s="229">
        <f t="shared" si="30"/>
        <v>0</v>
      </c>
      <c r="AM9" s="229">
        <f t="shared" si="30"/>
        <v>0</v>
      </c>
      <c r="AN9" s="229">
        <f t="shared" si="30"/>
        <v>0</v>
      </c>
      <c r="AO9" s="229">
        <f t="shared" si="30"/>
        <v>0</v>
      </c>
      <c r="AP9" s="229">
        <f t="shared" si="30"/>
        <v>0</v>
      </c>
      <c r="AQ9" s="229">
        <f t="shared" si="30"/>
        <v>0</v>
      </c>
      <c r="AR9" s="229">
        <f t="shared" si="30"/>
        <v>0</v>
      </c>
      <c r="AS9" s="229">
        <f t="shared" si="30"/>
        <v>0</v>
      </c>
      <c r="AT9" s="229">
        <f t="shared" si="30"/>
        <v>0</v>
      </c>
      <c r="AU9" s="229">
        <f t="shared" si="30"/>
        <v>0</v>
      </c>
      <c r="AV9" s="229">
        <f t="shared" si="30"/>
        <v>0</v>
      </c>
      <c r="AW9" s="229">
        <f t="shared" si="30"/>
        <v>0</v>
      </c>
      <c r="AX9" s="229">
        <f t="shared" si="30"/>
        <v>0</v>
      </c>
      <c r="AY9" s="229">
        <f t="shared" si="30"/>
        <v>0</v>
      </c>
      <c r="AZ9" s="229">
        <f t="shared" si="30"/>
        <v>0</v>
      </c>
      <c r="BA9" s="229">
        <f t="shared" si="30"/>
        <v>0</v>
      </c>
      <c r="BB9" s="229">
        <f t="shared" si="30"/>
        <v>0</v>
      </c>
      <c r="BC9" s="229">
        <f t="shared" si="30"/>
        <v>0</v>
      </c>
      <c r="BD9" s="229">
        <f t="shared" si="30"/>
        <v>0</v>
      </c>
      <c r="BE9" s="229">
        <f t="shared" si="30"/>
        <v>0</v>
      </c>
      <c r="BF9" s="229">
        <f t="shared" si="30"/>
        <v>0</v>
      </c>
    </row>
    <row r="10" spans="1:58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3"/>
        <v>0</v>
      </c>
      <c r="K10" s="8">
        <f t="shared" si="4"/>
        <v>0</v>
      </c>
      <c r="L10" s="8">
        <f t="shared" si="5"/>
        <v>0</v>
      </c>
      <c r="M10" s="8">
        <f t="shared" si="6"/>
        <v>0</v>
      </c>
      <c r="N10" s="8">
        <f t="shared" si="7"/>
        <v>0</v>
      </c>
      <c r="O10" s="8">
        <f t="shared" si="8"/>
        <v>0</v>
      </c>
      <c r="P10" s="8">
        <f t="shared" si="9"/>
        <v>0</v>
      </c>
      <c r="Q10" s="8">
        <f t="shared" si="10"/>
        <v>0</v>
      </c>
      <c r="R10" s="8">
        <f t="shared" si="11"/>
        <v>0</v>
      </c>
      <c r="S10" s="8">
        <f t="shared" si="12"/>
        <v>0</v>
      </c>
      <c r="T10" s="8">
        <f t="shared" si="13"/>
        <v>0</v>
      </c>
      <c r="U10" s="8">
        <f t="shared" si="14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B10" si="31">INT(14.25/150*AA30)</f>
        <v>0</v>
      </c>
      <c r="AB10" s="226">
        <f t="shared" si="31"/>
        <v>0</v>
      </c>
      <c r="AC10" s="226">
        <f t="shared" ref="AC10" si="32">INT(14.25/150*AC30)</f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7"/>
        <v>7</v>
      </c>
      <c r="AK10" s="229">
        <f t="shared" ref="AK10:BF10" si="33">ROUND(7*1/27*AK30,0)</f>
        <v>0</v>
      </c>
      <c r="AL10" s="229">
        <f t="shared" si="33"/>
        <v>0</v>
      </c>
      <c r="AM10" s="229">
        <f t="shared" si="33"/>
        <v>0</v>
      </c>
      <c r="AN10" s="229">
        <f t="shared" si="33"/>
        <v>0</v>
      </c>
      <c r="AO10" s="229">
        <f t="shared" si="33"/>
        <v>0</v>
      </c>
      <c r="AP10" s="229">
        <f t="shared" si="33"/>
        <v>0</v>
      </c>
      <c r="AQ10" s="229">
        <f t="shared" si="33"/>
        <v>0</v>
      </c>
      <c r="AR10" s="229">
        <f t="shared" si="33"/>
        <v>0</v>
      </c>
      <c r="AS10" s="229">
        <f t="shared" si="33"/>
        <v>0</v>
      </c>
      <c r="AT10" s="229">
        <f t="shared" si="33"/>
        <v>0</v>
      </c>
      <c r="AU10" s="229">
        <f t="shared" si="33"/>
        <v>0</v>
      </c>
      <c r="AV10" s="229">
        <f t="shared" si="33"/>
        <v>0</v>
      </c>
      <c r="AW10" s="229">
        <f t="shared" si="33"/>
        <v>0</v>
      </c>
      <c r="AX10" s="229">
        <f t="shared" si="33"/>
        <v>0</v>
      </c>
      <c r="AY10" s="229">
        <f t="shared" si="33"/>
        <v>0</v>
      </c>
      <c r="AZ10" s="229">
        <f t="shared" si="33"/>
        <v>0</v>
      </c>
      <c r="BA10" s="229">
        <f t="shared" si="33"/>
        <v>0</v>
      </c>
      <c r="BB10" s="229">
        <f t="shared" si="33"/>
        <v>0</v>
      </c>
      <c r="BC10" s="229">
        <f t="shared" si="33"/>
        <v>0</v>
      </c>
      <c r="BD10" s="229">
        <f t="shared" si="33"/>
        <v>0</v>
      </c>
      <c r="BE10" s="229">
        <f t="shared" si="33"/>
        <v>0</v>
      </c>
      <c r="BF10" s="229">
        <f t="shared" si="33"/>
        <v>0</v>
      </c>
    </row>
    <row r="11" spans="1:58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3"/>
        <v>0</v>
      </c>
      <c r="K11" s="8">
        <f t="shared" si="4"/>
        <v>0</v>
      </c>
      <c r="L11" s="8">
        <f t="shared" si="5"/>
        <v>0</v>
      </c>
      <c r="M11" s="8">
        <f t="shared" si="6"/>
        <v>0</v>
      </c>
      <c r="N11" s="8">
        <f t="shared" si="7"/>
        <v>0</v>
      </c>
      <c r="O11" s="8">
        <f t="shared" si="8"/>
        <v>0</v>
      </c>
      <c r="P11" s="8">
        <f t="shared" si="9"/>
        <v>0</v>
      </c>
      <c r="Q11" s="8">
        <f t="shared" si="10"/>
        <v>0</v>
      </c>
      <c r="R11" s="8">
        <f t="shared" si="11"/>
        <v>0</v>
      </c>
      <c r="S11" s="8">
        <f t="shared" si="12"/>
        <v>0</v>
      </c>
      <c r="T11" s="8">
        <f t="shared" si="13"/>
        <v>0</v>
      </c>
      <c r="U11" s="8">
        <f t="shared" si="14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B11" si="34">INT(16.5/150*AA30)</f>
        <v>0</v>
      </c>
      <c r="AB11" s="226">
        <f t="shared" si="34"/>
        <v>0</v>
      </c>
      <c r="AC11" s="226">
        <f t="shared" ref="AC11" si="35">INT(16.5/150*AC30)</f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7"/>
        <v>8</v>
      </c>
      <c r="AK11" s="229">
        <f t="shared" ref="AK11:BF11" si="36">ROUND(8*1/27*AK30,0)</f>
        <v>0</v>
      </c>
      <c r="AL11" s="229">
        <f t="shared" si="36"/>
        <v>0</v>
      </c>
      <c r="AM11" s="229">
        <f t="shared" si="36"/>
        <v>0</v>
      </c>
      <c r="AN11" s="229">
        <f t="shared" si="36"/>
        <v>0</v>
      </c>
      <c r="AO11" s="229">
        <f t="shared" si="36"/>
        <v>0</v>
      </c>
      <c r="AP11" s="229">
        <f t="shared" si="36"/>
        <v>0</v>
      </c>
      <c r="AQ11" s="229">
        <f t="shared" si="36"/>
        <v>0</v>
      </c>
      <c r="AR11" s="229">
        <f t="shared" si="36"/>
        <v>0</v>
      </c>
      <c r="AS11" s="229">
        <f t="shared" si="36"/>
        <v>0</v>
      </c>
      <c r="AT11" s="229">
        <f t="shared" si="36"/>
        <v>0</v>
      </c>
      <c r="AU11" s="229">
        <f t="shared" si="36"/>
        <v>0</v>
      </c>
      <c r="AV11" s="229">
        <f t="shared" si="36"/>
        <v>0</v>
      </c>
      <c r="AW11" s="229">
        <f t="shared" si="36"/>
        <v>0</v>
      </c>
      <c r="AX11" s="229">
        <f t="shared" si="36"/>
        <v>0</v>
      </c>
      <c r="AY11" s="229">
        <f t="shared" si="36"/>
        <v>0</v>
      </c>
      <c r="AZ11" s="229">
        <f t="shared" si="36"/>
        <v>0</v>
      </c>
      <c r="BA11" s="229">
        <f t="shared" si="36"/>
        <v>0</v>
      </c>
      <c r="BB11" s="229">
        <f t="shared" si="36"/>
        <v>0</v>
      </c>
      <c r="BC11" s="229">
        <f t="shared" si="36"/>
        <v>0</v>
      </c>
      <c r="BD11" s="229">
        <f t="shared" si="36"/>
        <v>0</v>
      </c>
      <c r="BE11" s="229">
        <f t="shared" si="36"/>
        <v>0</v>
      </c>
      <c r="BF11" s="229">
        <f t="shared" si="36"/>
        <v>0</v>
      </c>
    </row>
    <row r="12" spans="1:58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3"/>
        <v>0</v>
      </c>
      <c r="K12" s="8">
        <f t="shared" si="4"/>
        <v>0</v>
      </c>
      <c r="L12" s="8">
        <f t="shared" si="5"/>
        <v>0</v>
      </c>
      <c r="M12" s="8">
        <f t="shared" si="6"/>
        <v>0</v>
      </c>
      <c r="N12" s="8">
        <f t="shared" si="7"/>
        <v>0</v>
      </c>
      <c r="O12" s="8">
        <f t="shared" si="8"/>
        <v>0</v>
      </c>
      <c r="P12" s="8">
        <f t="shared" si="9"/>
        <v>0</v>
      </c>
      <c r="Q12" s="8">
        <f t="shared" si="10"/>
        <v>0</v>
      </c>
      <c r="R12" s="8">
        <f t="shared" si="11"/>
        <v>0</v>
      </c>
      <c r="S12" s="8">
        <f t="shared" si="12"/>
        <v>0</v>
      </c>
      <c r="T12" s="8">
        <f t="shared" si="13"/>
        <v>0</v>
      </c>
      <c r="U12" s="8">
        <f t="shared" si="14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B12" si="37">INT(21/150*AA30)</f>
        <v>0</v>
      </c>
      <c r="AB12" s="226">
        <f t="shared" si="37"/>
        <v>0</v>
      </c>
      <c r="AC12" s="226">
        <f t="shared" ref="AC12" si="38">INT(21/150*AC30)</f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7"/>
        <v>9</v>
      </c>
      <c r="AK12" s="229">
        <f t="shared" ref="AK12:BF12" si="39">ROUND(9*1/27*AK30,0)</f>
        <v>0</v>
      </c>
      <c r="AL12" s="229">
        <f t="shared" si="39"/>
        <v>0</v>
      </c>
      <c r="AM12" s="229">
        <f t="shared" si="39"/>
        <v>0</v>
      </c>
      <c r="AN12" s="229">
        <f t="shared" si="39"/>
        <v>0</v>
      </c>
      <c r="AO12" s="229">
        <f t="shared" si="39"/>
        <v>0</v>
      </c>
      <c r="AP12" s="229">
        <f t="shared" si="39"/>
        <v>0</v>
      </c>
      <c r="AQ12" s="229">
        <f t="shared" si="39"/>
        <v>0</v>
      </c>
      <c r="AR12" s="229">
        <f t="shared" si="39"/>
        <v>0</v>
      </c>
      <c r="AS12" s="229">
        <f t="shared" si="39"/>
        <v>0</v>
      </c>
      <c r="AT12" s="229">
        <f t="shared" si="39"/>
        <v>0</v>
      </c>
      <c r="AU12" s="229">
        <f t="shared" si="39"/>
        <v>0</v>
      </c>
      <c r="AV12" s="229">
        <f t="shared" si="39"/>
        <v>0</v>
      </c>
      <c r="AW12" s="229">
        <f t="shared" si="39"/>
        <v>0</v>
      </c>
      <c r="AX12" s="229">
        <f t="shared" si="39"/>
        <v>0</v>
      </c>
      <c r="AY12" s="229">
        <f t="shared" si="39"/>
        <v>0</v>
      </c>
      <c r="AZ12" s="229">
        <f t="shared" si="39"/>
        <v>0</v>
      </c>
      <c r="BA12" s="229">
        <f t="shared" si="39"/>
        <v>0</v>
      </c>
      <c r="BB12" s="229">
        <f t="shared" si="39"/>
        <v>0</v>
      </c>
      <c r="BC12" s="229">
        <f t="shared" si="39"/>
        <v>0</v>
      </c>
      <c r="BD12" s="229">
        <f t="shared" si="39"/>
        <v>0</v>
      </c>
      <c r="BE12" s="229">
        <f t="shared" si="39"/>
        <v>0</v>
      </c>
      <c r="BF12" s="229">
        <f t="shared" si="39"/>
        <v>0</v>
      </c>
    </row>
    <row r="13" spans="1:58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3"/>
        <v>0</v>
      </c>
      <c r="K13" s="8">
        <f t="shared" si="4"/>
        <v>0</v>
      </c>
      <c r="L13" s="8">
        <f t="shared" si="5"/>
        <v>0</v>
      </c>
      <c r="M13" s="8">
        <f t="shared" si="6"/>
        <v>0</v>
      </c>
      <c r="N13" s="8">
        <f t="shared" si="7"/>
        <v>0</v>
      </c>
      <c r="O13" s="8">
        <f t="shared" si="8"/>
        <v>0</v>
      </c>
      <c r="P13" s="8">
        <f t="shared" si="9"/>
        <v>0</v>
      </c>
      <c r="Q13" s="8">
        <f t="shared" si="10"/>
        <v>0</v>
      </c>
      <c r="R13" s="8">
        <f t="shared" si="11"/>
        <v>0</v>
      </c>
      <c r="S13" s="8">
        <f t="shared" si="12"/>
        <v>0</v>
      </c>
      <c r="T13" s="8">
        <f t="shared" si="13"/>
        <v>0</v>
      </c>
      <c r="U13" s="8">
        <f t="shared" si="14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B13" si="40">INT(27/150*AA30)</f>
        <v>0</v>
      </c>
      <c r="AB13" s="226">
        <f t="shared" si="40"/>
        <v>0</v>
      </c>
      <c r="AC13" s="226">
        <f t="shared" ref="AC13" si="41">INT(27/150*AC30)</f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7"/>
        <v>10</v>
      </c>
      <c r="AK13" s="229">
        <f t="shared" ref="AK13:BF13" si="42">ROUND(10*1/27*AK30,0)</f>
        <v>0</v>
      </c>
      <c r="AL13" s="229">
        <f t="shared" si="42"/>
        <v>0</v>
      </c>
      <c r="AM13" s="229">
        <f t="shared" si="42"/>
        <v>0</v>
      </c>
      <c r="AN13" s="229">
        <f t="shared" si="42"/>
        <v>0</v>
      </c>
      <c r="AO13" s="229">
        <f t="shared" si="42"/>
        <v>0</v>
      </c>
      <c r="AP13" s="229">
        <f t="shared" si="42"/>
        <v>0</v>
      </c>
      <c r="AQ13" s="229">
        <f t="shared" si="42"/>
        <v>0</v>
      </c>
      <c r="AR13" s="229">
        <f t="shared" si="42"/>
        <v>0</v>
      </c>
      <c r="AS13" s="229">
        <f t="shared" si="42"/>
        <v>0</v>
      </c>
      <c r="AT13" s="229">
        <f t="shared" si="42"/>
        <v>0</v>
      </c>
      <c r="AU13" s="229">
        <f t="shared" si="42"/>
        <v>0</v>
      </c>
      <c r="AV13" s="229">
        <f t="shared" si="42"/>
        <v>0</v>
      </c>
      <c r="AW13" s="229">
        <f t="shared" si="42"/>
        <v>0</v>
      </c>
      <c r="AX13" s="229">
        <f t="shared" si="42"/>
        <v>0</v>
      </c>
      <c r="AY13" s="229">
        <f t="shared" si="42"/>
        <v>0</v>
      </c>
      <c r="AZ13" s="229">
        <f t="shared" si="42"/>
        <v>0</v>
      </c>
      <c r="BA13" s="229">
        <f t="shared" si="42"/>
        <v>0</v>
      </c>
      <c r="BB13" s="229">
        <f t="shared" si="42"/>
        <v>0</v>
      </c>
      <c r="BC13" s="229">
        <f t="shared" si="42"/>
        <v>0</v>
      </c>
      <c r="BD13" s="229">
        <f t="shared" si="42"/>
        <v>0</v>
      </c>
      <c r="BE13" s="229">
        <f t="shared" si="42"/>
        <v>0</v>
      </c>
      <c r="BF13" s="229">
        <f t="shared" si="42"/>
        <v>0</v>
      </c>
    </row>
    <row r="14" spans="1:58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3"/>
        <v>0</v>
      </c>
      <c r="K14" s="8">
        <f t="shared" si="4"/>
        <v>0</v>
      </c>
      <c r="L14" s="8">
        <f t="shared" si="5"/>
        <v>0</v>
      </c>
      <c r="M14" s="8">
        <f t="shared" si="6"/>
        <v>0</v>
      </c>
      <c r="N14" s="8">
        <f t="shared" si="7"/>
        <v>0</v>
      </c>
      <c r="O14" s="8">
        <f t="shared" si="8"/>
        <v>0</v>
      </c>
      <c r="P14" s="8">
        <f t="shared" si="9"/>
        <v>0</v>
      </c>
      <c r="Q14" s="8">
        <f t="shared" si="10"/>
        <v>0</v>
      </c>
      <c r="R14" s="8">
        <f t="shared" si="11"/>
        <v>0</v>
      </c>
      <c r="S14" s="8">
        <f t="shared" si="12"/>
        <v>0</v>
      </c>
      <c r="T14" s="8">
        <f t="shared" si="13"/>
        <v>0</v>
      </c>
      <c r="U14" s="8">
        <f t="shared" si="14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B14" si="43">INT(33/150*AA30)</f>
        <v>0</v>
      </c>
      <c r="AB14" s="226">
        <f t="shared" si="43"/>
        <v>0</v>
      </c>
      <c r="AC14" s="226">
        <f t="shared" ref="AC14" si="44">INT(33/150*AC30)</f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7"/>
        <v>11</v>
      </c>
      <c r="AK14" s="229">
        <f t="shared" ref="AK14:BF14" si="45">ROUND(11*1/27*AK30,0)</f>
        <v>0</v>
      </c>
      <c r="AL14" s="229">
        <f t="shared" si="45"/>
        <v>0</v>
      </c>
      <c r="AM14" s="229">
        <f t="shared" si="45"/>
        <v>0</v>
      </c>
      <c r="AN14" s="229">
        <f t="shared" si="45"/>
        <v>0</v>
      </c>
      <c r="AO14" s="229">
        <f t="shared" si="45"/>
        <v>0</v>
      </c>
      <c r="AP14" s="229">
        <f t="shared" si="45"/>
        <v>0</v>
      </c>
      <c r="AQ14" s="229">
        <f t="shared" si="45"/>
        <v>0</v>
      </c>
      <c r="AR14" s="229">
        <f t="shared" si="45"/>
        <v>0</v>
      </c>
      <c r="AS14" s="229">
        <f t="shared" si="45"/>
        <v>0</v>
      </c>
      <c r="AT14" s="229">
        <f t="shared" si="45"/>
        <v>0</v>
      </c>
      <c r="AU14" s="229">
        <f t="shared" si="45"/>
        <v>0</v>
      </c>
      <c r="AV14" s="229">
        <f t="shared" si="45"/>
        <v>0</v>
      </c>
      <c r="AW14" s="229">
        <f t="shared" si="45"/>
        <v>0</v>
      </c>
      <c r="AX14" s="229">
        <f t="shared" si="45"/>
        <v>0</v>
      </c>
      <c r="AY14" s="229">
        <f t="shared" si="45"/>
        <v>0</v>
      </c>
      <c r="AZ14" s="229">
        <f t="shared" si="45"/>
        <v>0</v>
      </c>
      <c r="BA14" s="229">
        <f t="shared" si="45"/>
        <v>0</v>
      </c>
      <c r="BB14" s="229">
        <f t="shared" si="45"/>
        <v>0</v>
      </c>
      <c r="BC14" s="229">
        <f t="shared" si="45"/>
        <v>0</v>
      </c>
      <c r="BD14" s="229">
        <f t="shared" si="45"/>
        <v>0</v>
      </c>
      <c r="BE14" s="229">
        <f t="shared" si="45"/>
        <v>0</v>
      </c>
      <c r="BF14" s="229">
        <f t="shared" si="45"/>
        <v>0</v>
      </c>
    </row>
    <row r="15" spans="1:58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3"/>
        <v>0</v>
      </c>
      <c r="K15" s="8">
        <f t="shared" si="4"/>
        <v>0</v>
      </c>
      <c r="L15" s="8">
        <f t="shared" si="5"/>
        <v>0</v>
      </c>
      <c r="M15" s="8">
        <f t="shared" si="6"/>
        <v>0</v>
      </c>
      <c r="N15" s="8">
        <f t="shared" si="7"/>
        <v>0</v>
      </c>
      <c r="O15" s="8">
        <f t="shared" si="8"/>
        <v>0</v>
      </c>
      <c r="P15" s="8">
        <f t="shared" si="9"/>
        <v>0</v>
      </c>
      <c r="Q15" s="8">
        <f t="shared" si="10"/>
        <v>0</v>
      </c>
      <c r="R15" s="8">
        <f t="shared" si="11"/>
        <v>0</v>
      </c>
      <c r="S15" s="8">
        <f t="shared" si="12"/>
        <v>0</v>
      </c>
      <c r="T15" s="8">
        <f t="shared" si="13"/>
        <v>0</v>
      </c>
      <c r="U15" s="8">
        <f t="shared" si="14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B15" si="46">INT(38.25/150*AA30)</f>
        <v>0</v>
      </c>
      <c r="AB15" s="226">
        <f t="shared" si="46"/>
        <v>0</v>
      </c>
      <c r="AC15" s="226">
        <f t="shared" ref="AC15" si="47">INT(38.25/150*AC30)</f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7"/>
        <v>12</v>
      </c>
      <c r="AK15" s="229">
        <f t="shared" ref="AK15:BF15" si="48">ROUND(12*1/27*AK30,0)</f>
        <v>0</v>
      </c>
      <c r="AL15" s="229">
        <f t="shared" si="48"/>
        <v>0</v>
      </c>
      <c r="AM15" s="229">
        <f t="shared" si="48"/>
        <v>0</v>
      </c>
      <c r="AN15" s="229">
        <f t="shared" si="48"/>
        <v>0</v>
      </c>
      <c r="AO15" s="229">
        <f t="shared" si="48"/>
        <v>0</v>
      </c>
      <c r="AP15" s="229">
        <f t="shared" si="48"/>
        <v>0</v>
      </c>
      <c r="AQ15" s="229">
        <f t="shared" si="48"/>
        <v>0</v>
      </c>
      <c r="AR15" s="229">
        <f t="shared" si="48"/>
        <v>0</v>
      </c>
      <c r="AS15" s="229">
        <f t="shared" si="48"/>
        <v>0</v>
      </c>
      <c r="AT15" s="229">
        <f t="shared" si="48"/>
        <v>0</v>
      </c>
      <c r="AU15" s="229">
        <f t="shared" si="48"/>
        <v>0</v>
      </c>
      <c r="AV15" s="229">
        <f t="shared" si="48"/>
        <v>0</v>
      </c>
      <c r="AW15" s="229">
        <f t="shared" si="48"/>
        <v>0</v>
      </c>
      <c r="AX15" s="229">
        <f t="shared" si="48"/>
        <v>0</v>
      </c>
      <c r="AY15" s="229">
        <f t="shared" si="48"/>
        <v>0</v>
      </c>
      <c r="AZ15" s="229">
        <f t="shared" si="48"/>
        <v>0</v>
      </c>
      <c r="BA15" s="229">
        <f t="shared" si="48"/>
        <v>0</v>
      </c>
      <c r="BB15" s="229">
        <f t="shared" si="48"/>
        <v>0</v>
      </c>
      <c r="BC15" s="229">
        <f t="shared" si="48"/>
        <v>0</v>
      </c>
      <c r="BD15" s="229">
        <f t="shared" si="48"/>
        <v>0</v>
      </c>
      <c r="BE15" s="229">
        <f t="shared" si="48"/>
        <v>0</v>
      </c>
      <c r="BF15" s="229">
        <f t="shared" si="48"/>
        <v>0</v>
      </c>
    </row>
    <row r="16" spans="1:58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3"/>
        <v>0</v>
      </c>
      <c r="K16" s="8">
        <f t="shared" si="4"/>
        <v>0</v>
      </c>
      <c r="L16" s="8">
        <f t="shared" si="5"/>
        <v>0</v>
      </c>
      <c r="M16" s="8">
        <f t="shared" si="6"/>
        <v>0</v>
      </c>
      <c r="N16" s="8">
        <f t="shared" si="7"/>
        <v>0</v>
      </c>
      <c r="O16" s="8">
        <f t="shared" si="8"/>
        <v>0</v>
      </c>
      <c r="P16" s="8">
        <f t="shared" si="9"/>
        <v>0</v>
      </c>
      <c r="Q16" s="8">
        <f t="shared" si="10"/>
        <v>0</v>
      </c>
      <c r="R16" s="8">
        <f t="shared" si="11"/>
        <v>0</v>
      </c>
      <c r="S16" s="8">
        <f t="shared" si="12"/>
        <v>0</v>
      </c>
      <c r="T16" s="8">
        <f t="shared" si="13"/>
        <v>0</v>
      </c>
      <c r="U16" s="8">
        <f t="shared" si="14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B16" si="49">INT(43.5/150*AA30)</f>
        <v>0</v>
      </c>
      <c r="AB16" s="226">
        <f t="shared" si="49"/>
        <v>0</v>
      </c>
      <c r="AC16" s="226">
        <f t="shared" ref="AC16" si="50">INT(43.5/150*AC30)</f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7"/>
        <v>13</v>
      </c>
      <c r="AK16" s="229">
        <f t="shared" ref="AK16:BF16" si="51">ROUND(13*1/27*AK30,0)</f>
        <v>0</v>
      </c>
      <c r="AL16" s="229">
        <f t="shared" si="51"/>
        <v>0</v>
      </c>
      <c r="AM16" s="229">
        <f t="shared" si="51"/>
        <v>0</v>
      </c>
      <c r="AN16" s="229">
        <f t="shared" si="51"/>
        <v>0</v>
      </c>
      <c r="AO16" s="229">
        <f t="shared" si="51"/>
        <v>0</v>
      </c>
      <c r="AP16" s="229">
        <f t="shared" si="51"/>
        <v>0</v>
      </c>
      <c r="AQ16" s="229">
        <f t="shared" si="51"/>
        <v>0</v>
      </c>
      <c r="AR16" s="229">
        <f t="shared" si="51"/>
        <v>0</v>
      </c>
      <c r="AS16" s="229">
        <f t="shared" si="51"/>
        <v>0</v>
      </c>
      <c r="AT16" s="229">
        <f t="shared" si="51"/>
        <v>0</v>
      </c>
      <c r="AU16" s="229">
        <f t="shared" si="51"/>
        <v>0</v>
      </c>
      <c r="AV16" s="229">
        <f t="shared" si="51"/>
        <v>0</v>
      </c>
      <c r="AW16" s="229">
        <f t="shared" si="51"/>
        <v>0</v>
      </c>
      <c r="AX16" s="229">
        <f t="shared" si="51"/>
        <v>0</v>
      </c>
      <c r="AY16" s="229">
        <f t="shared" si="51"/>
        <v>0</v>
      </c>
      <c r="AZ16" s="229">
        <f t="shared" si="51"/>
        <v>0</v>
      </c>
      <c r="BA16" s="229">
        <f t="shared" si="51"/>
        <v>0</v>
      </c>
      <c r="BB16" s="229">
        <f t="shared" si="51"/>
        <v>0</v>
      </c>
      <c r="BC16" s="229">
        <f t="shared" si="51"/>
        <v>0</v>
      </c>
      <c r="BD16" s="229">
        <f t="shared" si="51"/>
        <v>0</v>
      </c>
      <c r="BE16" s="229">
        <f t="shared" si="51"/>
        <v>0</v>
      </c>
      <c r="BF16" s="229">
        <f t="shared" si="51"/>
        <v>0</v>
      </c>
    </row>
    <row r="17" spans="1:58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3"/>
        <v>0</v>
      </c>
      <c r="K17" s="8">
        <f t="shared" si="4"/>
        <v>0</v>
      </c>
      <c r="L17" s="8">
        <f t="shared" si="5"/>
        <v>0</v>
      </c>
      <c r="M17" s="8">
        <f t="shared" si="6"/>
        <v>0</v>
      </c>
      <c r="N17" s="8">
        <f t="shared" si="7"/>
        <v>0</v>
      </c>
      <c r="O17" s="8">
        <f t="shared" si="8"/>
        <v>0</v>
      </c>
      <c r="P17" s="8">
        <f t="shared" si="9"/>
        <v>0</v>
      </c>
      <c r="Q17" s="8">
        <f t="shared" si="10"/>
        <v>0</v>
      </c>
      <c r="R17" s="8">
        <f t="shared" si="11"/>
        <v>0</v>
      </c>
      <c r="S17" s="8">
        <f t="shared" si="12"/>
        <v>0</v>
      </c>
      <c r="T17" s="8">
        <f t="shared" si="13"/>
        <v>0</v>
      </c>
      <c r="U17" s="8">
        <f t="shared" si="14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B17" si="52">INT(48/150*AA30)</f>
        <v>0</v>
      </c>
      <c r="AB17" s="226">
        <f t="shared" si="52"/>
        <v>0</v>
      </c>
      <c r="AC17" s="226">
        <f t="shared" ref="AC17" si="53">INT(48/150*AC30)</f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7"/>
        <v>14</v>
      </c>
      <c r="AK17" s="229">
        <f t="shared" ref="AK17:BF17" si="54">ROUND(14*1/27*AK30,0)</f>
        <v>0</v>
      </c>
      <c r="AL17" s="229">
        <f t="shared" si="54"/>
        <v>0</v>
      </c>
      <c r="AM17" s="229">
        <f t="shared" si="54"/>
        <v>0</v>
      </c>
      <c r="AN17" s="229">
        <f t="shared" si="54"/>
        <v>0</v>
      </c>
      <c r="AO17" s="229">
        <f t="shared" si="54"/>
        <v>0</v>
      </c>
      <c r="AP17" s="229">
        <f t="shared" si="54"/>
        <v>0</v>
      </c>
      <c r="AQ17" s="229">
        <f t="shared" si="54"/>
        <v>0</v>
      </c>
      <c r="AR17" s="229">
        <f t="shared" si="54"/>
        <v>0</v>
      </c>
      <c r="AS17" s="229">
        <f t="shared" si="54"/>
        <v>0</v>
      </c>
      <c r="AT17" s="229">
        <f t="shared" si="54"/>
        <v>0</v>
      </c>
      <c r="AU17" s="229">
        <f t="shared" si="54"/>
        <v>0</v>
      </c>
      <c r="AV17" s="229">
        <f t="shared" si="54"/>
        <v>0</v>
      </c>
      <c r="AW17" s="229">
        <f t="shared" si="54"/>
        <v>0</v>
      </c>
      <c r="AX17" s="229">
        <f t="shared" si="54"/>
        <v>0</v>
      </c>
      <c r="AY17" s="229">
        <f t="shared" si="54"/>
        <v>0</v>
      </c>
      <c r="AZ17" s="229">
        <f t="shared" si="54"/>
        <v>0</v>
      </c>
      <c r="BA17" s="229">
        <f t="shared" si="54"/>
        <v>0</v>
      </c>
      <c r="BB17" s="229">
        <f t="shared" si="54"/>
        <v>0</v>
      </c>
      <c r="BC17" s="229">
        <f t="shared" si="54"/>
        <v>0</v>
      </c>
      <c r="BD17" s="229">
        <f t="shared" si="54"/>
        <v>0</v>
      </c>
      <c r="BE17" s="229">
        <f t="shared" si="54"/>
        <v>0</v>
      </c>
      <c r="BF17" s="229">
        <f t="shared" si="54"/>
        <v>0</v>
      </c>
    </row>
    <row r="18" spans="1:58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3"/>
        <v>0</v>
      </c>
      <c r="K18" s="8">
        <f t="shared" si="4"/>
        <v>0</v>
      </c>
      <c r="L18" s="8">
        <f t="shared" si="5"/>
        <v>0</v>
      </c>
      <c r="M18" s="8">
        <f t="shared" si="6"/>
        <v>0</v>
      </c>
      <c r="N18" s="8">
        <f t="shared" si="7"/>
        <v>0</v>
      </c>
      <c r="O18" s="8">
        <f t="shared" si="8"/>
        <v>0</v>
      </c>
      <c r="P18" s="8">
        <f t="shared" si="9"/>
        <v>0</v>
      </c>
      <c r="Q18" s="8">
        <f t="shared" si="10"/>
        <v>0</v>
      </c>
      <c r="R18" s="8">
        <f t="shared" si="11"/>
        <v>0</v>
      </c>
      <c r="S18" s="8">
        <f t="shared" si="12"/>
        <v>0</v>
      </c>
      <c r="T18" s="8">
        <f t="shared" si="13"/>
        <v>0</v>
      </c>
      <c r="U18" s="8">
        <f t="shared" si="14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B18" si="55">INT(52.5/150*AA30)</f>
        <v>0</v>
      </c>
      <c r="AB18" s="226">
        <f t="shared" si="55"/>
        <v>0</v>
      </c>
      <c r="AC18" s="226">
        <f t="shared" ref="AC18" si="56">INT(52.5/150*AC30)</f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7"/>
        <v>15</v>
      </c>
      <c r="AK18" s="229">
        <f t="shared" ref="AK18:BF18" si="57">ROUND(15*1/27*AK30,0)</f>
        <v>0</v>
      </c>
      <c r="AL18" s="229">
        <f t="shared" si="57"/>
        <v>0</v>
      </c>
      <c r="AM18" s="229">
        <f t="shared" si="57"/>
        <v>0</v>
      </c>
      <c r="AN18" s="229">
        <f t="shared" si="57"/>
        <v>0</v>
      </c>
      <c r="AO18" s="229">
        <f t="shared" si="57"/>
        <v>0</v>
      </c>
      <c r="AP18" s="229">
        <f t="shared" si="57"/>
        <v>0</v>
      </c>
      <c r="AQ18" s="229">
        <f t="shared" si="57"/>
        <v>0</v>
      </c>
      <c r="AR18" s="229">
        <f t="shared" si="57"/>
        <v>0</v>
      </c>
      <c r="AS18" s="229">
        <f t="shared" si="57"/>
        <v>0</v>
      </c>
      <c r="AT18" s="229">
        <f t="shared" si="57"/>
        <v>0</v>
      </c>
      <c r="AU18" s="229">
        <f t="shared" si="57"/>
        <v>0</v>
      </c>
      <c r="AV18" s="229">
        <f t="shared" si="57"/>
        <v>0</v>
      </c>
      <c r="AW18" s="229">
        <f t="shared" si="57"/>
        <v>0</v>
      </c>
      <c r="AX18" s="229">
        <f t="shared" si="57"/>
        <v>0</v>
      </c>
      <c r="AY18" s="229">
        <f t="shared" si="57"/>
        <v>0</v>
      </c>
      <c r="AZ18" s="229">
        <f t="shared" si="57"/>
        <v>0</v>
      </c>
      <c r="BA18" s="229">
        <f t="shared" si="57"/>
        <v>0</v>
      </c>
      <c r="BB18" s="229">
        <f t="shared" si="57"/>
        <v>0</v>
      </c>
      <c r="BC18" s="229">
        <f t="shared" si="57"/>
        <v>0</v>
      </c>
      <c r="BD18" s="229">
        <f t="shared" si="57"/>
        <v>0</v>
      </c>
      <c r="BE18" s="229">
        <f t="shared" si="57"/>
        <v>0</v>
      </c>
      <c r="BF18" s="229">
        <f t="shared" si="57"/>
        <v>0</v>
      </c>
    </row>
    <row r="19" spans="1:58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3"/>
        <v>0</v>
      </c>
      <c r="K19" s="8">
        <f t="shared" si="4"/>
        <v>0</v>
      </c>
      <c r="L19" s="8">
        <f t="shared" si="5"/>
        <v>0</v>
      </c>
      <c r="M19" s="8">
        <f t="shared" si="6"/>
        <v>0</v>
      </c>
      <c r="N19" s="8">
        <f t="shared" si="7"/>
        <v>0</v>
      </c>
      <c r="O19" s="8">
        <f t="shared" si="8"/>
        <v>0</v>
      </c>
      <c r="P19" s="8">
        <f t="shared" si="9"/>
        <v>0</v>
      </c>
      <c r="Q19" s="8">
        <f t="shared" si="10"/>
        <v>0</v>
      </c>
      <c r="R19" s="8">
        <f t="shared" si="11"/>
        <v>0</v>
      </c>
      <c r="S19" s="8">
        <f t="shared" si="12"/>
        <v>0</v>
      </c>
      <c r="T19" s="8">
        <f t="shared" si="13"/>
        <v>0</v>
      </c>
      <c r="U19" s="8">
        <f t="shared" si="14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B19" si="58">INT(56.25/150*AA30)</f>
        <v>0</v>
      </c>
      <c r="AB19" s="226">
        <f t="shared" si="58"/>
        <v>0</v>
      </c>
      <c r="AC19" s="226">
        <f t="shared" ref="AC19" si="59">INT(56.25/150*AC30)</f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7"/>
        <v>16</v>
      </c>
      <c r="AK19" s="229">
        <f t="shared" ref="AK19:BF19" si="60">ROUND(16*1/27*AK30,0)</f>
        <v>0</v>
      </c>
      <c r="AL19" s="229">
        <f t="shared" si="60"/>
        <v>0</v>
      </c>
      <c r="AM19" s="229">
        <f t="shared" si="60"/>
        <v>0</v>
      </c>
      <c r="AN19" s="229">
        <f t="shared" si="60"/>
        <v>0</v>
      </c>
      <c r="AO19" s="229">
        <f t="shared" si="60"/>
        <v>0</v>
      </c>
      <c r="AP19" s="229">
        <f t="shared" si="60"/>
        <v>0</v>
      </c>
      <c r="AQ19" s="229">
        <f t="shared" si="60"/>
        <v>0</v>
      </c>
      <c r="AR19" s="229">
        <f t="shared" si="60"/>
        <v>0</v>
      </c>
      <c r="AS19" s="229">
        <f t="shared" si="60"/>
        <v>0</v>
      </c>
      <c r="AT19" s="229">
        <f t="shared" si="60"/>
        <v>0</v>
      </c>
      <c r="AU19" s="229">
        <f t="shared" si="60"/>
        <v>0</v>
      </c>
      <c r="AV19" s="229">
        <f t="shared" si="60"/>
        <v>0</v>
      </c>
      <c r="AW19" s="229">
        <f t="shared" si="60"/>
        <v>0</v>
      </c>
      <c r="AX19" s="229">
        <f t="shared" si="60"/>
        <v>0</v>
      </c>
      <c r="AY19" s="229">
        <f t="shared" si="60"/>
        <v>0</v>
      </c>
      <c r="AZ19" s="229">
        <f t="shared" si="60"/>
        <v>0</v>
      </c>
      <c r="BA19" s="229">
        <f t="shared" si="60"/>
        <v>0</v>
      </c>
      <c r="BB19" s="229">
        <f t="shared" si="60"/>
        <v>0</v>
      </c>
      <c r="BC19" s="229">
        <f t="shared" si="60"/>
        <v>0</v>
      </c>
      <c r="BD19" s="229">
        <f t="shared" si="60"/>
        <v>0</v>
      </c>
      <c r="BE19" s="229">
        <f t="shared" si="60"/>
        <v>0</v>
      </c>
      <c r="BF19" s="229">
        <f t="shared" si="60"/>
        <v>0</v>
      </c>
    </row>
    <row r="20" spans="1:58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3"/>
        <v>0</v>
      </c>
      <c r="K20" s="8">
        <f t="shared" si="4"/>
        <v>0</v>
      </c>
      <c r="L20" s="8">
        <f t="shared" si="5"/>
        <v>0</v>
      </c>
      <c r="M20" s="8">
        <f t="shared" si="6"/>
        <v>0</v>
      </c>
      <c r="N20" s="8">
        <f t="shared" si="7"/>
        <v>0</v>
      </c>
      <c r="O20" s="8">
        <f t="shared" si="8"/>
        <v>0</v>
      </c>
      <c r="P20" s="8">
        <f t="shared" si="9"/>
        <v>0</v>
      </c>
      <c r="Q20" s="8">
        <f t="shared" si="10"/>
        <v>0</v>
      </c>
      <c r="R20" s="8">
        <f t="shared" si="11"/>
        <v>0</v>
      </c>
      <c r="S20" s="8">
        <f t="shared" si="12"/>
        <v>0</v>
      </c>
      <c r="T20" s="8">
        <f t="shared" si="13"/>
        <v>0</v>
      </c>
      <c r="U20" s="8">
        <f t="shared" si="14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B20" si="61">INT(60/150*AA30)</f>
        <v>0</v>
      </c>
      <c r="AB20" s="226">
        <f t="shared" si="61"/>
        <v>0</v>
      </c>
      <c r="AC20" s="226">
        <f t="shared" ref="AC20" si="62">INT(60/150*AC30)</f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7"/>
        <v>17</v>
      </c>
      <c r="AK20" s="229">
        <f t="shared" ref="AK20:BF20" si="63">ROUND(17*1/27*AK30,0)</f>
        <v>0</v>
      </c>
      <c r="AL20" s="229">
        <f t="shared" si="63"/>
        <v>0</v>
      </c>
      <c r="AM20" s="229">
        <f t="shared" si="63"/>
        <v>0</v>
      </c>
      <c r="AN20" s="229">
        <f t="shared" si="63"/>
        <v>0</v>
      </c>
      <c r="AO20" s="229">
        <f t="shared" si="63"/>
        <v>0</v>
      </c>
      <c r="AP20" s="229">
        <f t="shared" si="63"/>
        <v>0</v>
      </c>
      <c r="AQ20" s="229">
        <f t="shared" si="63"/>
        <v>0</v>
      </c>
      <c r="AR20" s="229">
        <f t="shared" si="63"/>
        <v>0</v>
      </c>
      <c r="AS20" s="229">
        <f t="shared" si="63"/>
        <v>0</v>
      </c>
      <c r="AT20" s="229">
        <f t="shared" si="63"/>
        <v>0</v>
      </c>
      <c r="AU20" s="229">
        <f t="shared" si="63"/>
        <v>0</v>
      </c>
      <c r="AV20" s="229">
        <f t="shared" si="63"/>
        <v>0</v>
      </c>
      <c r="AW20" s="229">
        <f t="shared" si="63"/>
        <v>0</v>
      </c>
      <c r="AX20" s="229">
        <f t="shared" si="63"/>
        <v>0</v>
      </c>
      <c r="AY20" s="229">
        <f t="shared" si="63"/>
        <v>0</v>
      </c>
      <c r="AZ20" s="229">
        <f t="shared" si="63"/>
        <v>0</v>
      </c>
      <c r="BA20" s="229">
        <f t="shared" si="63"/>
        <v>0</v>
      </c>
      <c r="BB20" s="229">
        <f t="shared" si="63"/>
        <v>0</v>
      </c>
      <c r="BC20" s="229">
        <f t="shared" si="63"/>
        <v>0</v>
      </c>
      <c r="BD20" s="229">
        <f t="shared" si="63"/>
        <v>0</v>
      </c>
      <c r="BE20" s="229">
        <f t="shared" si="63"/>
        <v>0</v>
      </c>
      <c r="BF20" s="229">
        <f t="shared" si="63"/>
        <v>0</v>
      </c>
    </row>
    <row r="21" spans="1:58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3"/>
        <v>0</v>
      </c>
      <c r="K21" s="8">
        <f t="shared" si="4"/>
        <v>0</v>
      </c>
      <c r="L21" s="8">
        <f t="shared" si="5"/>
        <v>0</v>
      </c>
      <c r="M21" s="8">
        <f t="shared" si="6"/>
        <v>0</v>
      </c>
      <c r="N21" s="8">
        <f t="shared" si="7"/>
        <v>0</v>
      </c>
      <c r="O21" s="8">
        <f t="shared" si="8"/>
        <v>0</v>
      </c>
      <c r="P21" s="8">
        <f t="shared" si="9"/>
        <v>0</v>
      </c>
      <c r="Q21" s="8">
        <f t="shared" si="10"/>
        <v>0</v>
      </c>
      <c r="R21" s="8">
        <f t="shared" si="11"/>
        <v>0</v>
      </c>
      <c r="S21" s="8">
        <f t="shared" si="12"/>
        <v>0</v>
      </c>
      <c r="T21" s="8">
        <f t="shared" si="13"/>
        <v>0</v>
      </c>
      <c r="U21" s="8">
        <f t="shared" si="14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B21" si="64">INT(66/150*AA30)</f>
        <v>0</v>
      </c>
      <c r="AB21" s="226">
        <f t="shared" si="64"/>
        <v>0</v>
      </c>
      <c r="AC21" s="226">
        <f t="shared" ref="AC21" si="65">INT(66/150*AC30)</f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7"/>
        <v>18</v>
      </c>
      <c r="AK21" s="229">
        <f t="shared" ref="AK21:BF21" si="66">ROUND(18*1/27*AK30,0)</f>
        <v>0</v>
      </c>
      <c r="AL21" s="229">
        <f t="shared" si="66"/>
        <v>0</v>
      </c>
      <c r="AM21" s="229">
        <f t="shared" si="66"/>
        <v>0</v>
      </c>
      <c r="AN21" s="229">
        <f t="shared" si="66"/>
        <v>0</v>
      </c>
      <c r="AO21" s="229">
        <f t="shared" si="66"/>
        <v>0</v>
      </c>
      <c r="AP21" s="229">
        <f t="shared" si="66"/>
        <v>0</v>
      </c>
      <c r="AQ21" s="229">
        <f t="shared" si="66"/>
        <v>0</v>
      </c>
      <c r="AR21" s="229">
        <f t="shared" si="66"/>
        <v>0</v>
      </c>
      <c r="AS21" s="229">
        <f t="shared" si="66"/>
        <v>0</v>
      </c>
      <c r="AT21" s="229">
        <f t="shared" si="66"/>
        <v>0</v>
      </c>
      <c r="AU21" s="229">
        <f t="shared" si="66"/>
        <v>0</v>
      </c>
      <c r="AV21" s="229">
        <f t="shared" si="66"/>
        <v>0</v>
      </c>
      <c r="AW21" s="229">
        <f t="shared" si="66"/>
        <v>0</v>
      </c>
      <c r="AX21" s="229">
        <f t="shared" si="66"/>
        <v>0</v>
      </c>
      <c r="AY21" s="229">
        <f t="shared" si="66"/>
        <v>0</v>
      </c>
      <c r="AZ21" s="229">
        <f t="shared" si="66"/>
        <v>0</v>
      </c>
      <c r="BA21" s="229">
        <f t="shared" si="66"/>
        <v>0</v>
      </c>
      <c r="BB21" s="229">
        <f t="shared" si="66"/>
        <v>0</v>
      </c>
      <c r="BC21" s="229">
        <f t="shared" si="66"/>
        <v>0</v>
      </c>
      <c r="BD21" s="229">
        <f t="shared" si="66"/>
        <v>0</v>
      </c>
      <c r="BE21" s="229">
        <f t="shared" si="66"/>
        <v>0</v>
      </c>
      <c r="BF21" s="229">
        <f t="shared" si="66"/>
        <v>0</v>
      </c>
    </row>
    <row r="22" spans="1:58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3"/>
        <v>0</v>
      </c>
      <c r="K22" s="8">
        <f t="shared" si="4"/>
        <v>0</v>
      </c>
      <c r="L22" s="8">
        <f t="shared" si="5"/>
        <v>0</v>
      </c>
      <c r="M22" s="8">
        <f t="shared" si="6"/>
        <v>0</v>
      </c>
      <c r="N22" s="8">
        <f t="shared" si="7"/>
        <v>0</v>
      </c>
      <c r="O22" s="8">
        <f t="shared" si="8"/>
        <v>0</v>
      </c>
      <c r="P22" s="8">
        <f t="shared" si="9"/>
        <v>0</v>
      </c>
      <c r="Q22" s="8">
        <f t="shared" si="10"/>
        <v>0</v>
      </c>
      <c r="R22" s="8">
        <f t="shared" si="11"/>
        <v>0</v>
      </c>
      <c r="S22" s="8">
        <f t="shared" si="12"/>
        <v>0</v>
      </c>
      <c r="T22" s="8">
        <f t="shared" si="13"/>
        <v>0</v>
      </c>
      <c r="U22" s="8">
        <f t="shared" si="14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B22" si="67">INT(72/150*AA30)</f>
        <v>0</v>
      </c>
      <c r="AB22" s="226">
        <f t="shared" si="67"/>
        <v>0</v>
      </c>
      <c r="AC22" s="226">
        <f t="shared" ref="AC22" si="68">INT(72/150*AC30)</f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7"/>
        <v>19</v>
      </c>
      <c r="AK22" s="229">
        <f t="shared" ref="AK22:BF22" si="69">ROUND(19*1/27*AK30,0)</f>
        <v>0</v>
      </c>
      <c r="AL22" s="229">
        <f t="shared" si="69"/>
        <v>0</v>
      </c>
      <c r="AM22" s="229">
        <f t="shared" si="69"/>
        <v>0</v>
      </c>
      <c r="AN22" s="229">
        <f t="shared" si="69"/>
        <v>0</v>
      </c>
      <c r="AO22" s="229">
        <f t="shared" si="69"/>
        <v>0</v>
      </c>
      <c r="AP22" s="229">
        <f t="shared" si="69"/>
        <v>0</v>
      </c>
      <c r="AQ22" s="229">
        <f t="shared" si="69"/>
        <v>0</v>
      </c>
      <c r="AR22" s="229">
        <f t="shared" si="69"/>
        <v>0</v>
      </c>
      <c r="AS22" s="229">
        <f t="shared" si="69"/>
        <v>0</v>
      </c>
      <c r="AT22" s="229">
        <f t="shared" si="69"/>
        <v>0</v>
      </c>
      <c r="AU22" s="229">
        <f t="shared" si="69"/>
        <v>0</v>
      </c>
      <c r="AV22" s="229">
        <f t="shared" si="69"/>
        <v>0</v>
      </c>
      <c r="AW22" s="229">
        <f t="shared" si="69"/>
        <v>0</v>
      </c>
      <c r="AX22" s="229">
        <f t="shared" si="69"/>
        <v>0</v>
      </c>
      <c r="AY22" s="229">
        <f t="shared" si="69"/>
        <v>0</v>
      </c>
      <c r="AZ22" s="229">
        <f t="shared" si="69"/>
        <v>0</v>
      </c>
      <c r="BA22" s="229">
        <f t="shared" si="69"/>
        <v>0</v>
      </c>
      <c r="BB22" s="229">
        <f t="shared" si="69"/>
        <v>0</v>
      </c>
      <c r="BC22" s="229">
        <f t="shared" si="69"/>
        <v>0</v>
      </c>
      <c r="BD22" s="229">
        <f t="shared" si="69"/>
        <v>0</v>
      </c>
      <c r="BE22" s="229">
        <f t="shared" si="69"/>
        <v>0</v>
      </c>
      <c r="BF22" s="229">
        <f t="shared" si="69"/>
        <v>0</v>
      </c>
    </row>
    <row r="23" spans="1:58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3"/>
        <v>0</v>
      </c>
      <c r="K23" s="8">
        <f t="shared" si="4"/>
        <v>0</v>
      </c>
      <c r="L23" s="8">
        <f t="shared" si="5"/>
        <v>0</v>
      </c>
      <c r="M23" s="8">
        <f t="shared" si="6"/>
        <v>0</v>
      </c>
      <c r="N23" s="8">
        <f t="shared" si="7"/>
        <v>0</v>
      </c>
      <c r="O23" s="8">
        <f t="shared" si="8"/>
        <v>0</v>
      </c>
      <c r="P23" s="8">
        <f t="shared" si="9"/>
        <v>0</v>
      </c>
      <c r="Q23" s="8">
        <f t="shared" si="10"/>
        <v>0</v>
      </c>
      <c r="R23" s="8">
        <f t="shared" si="11"/>
        <v>0</v>
      </c>
      <c r="S23" s="8">
        <f t="shared" si="12"/>
        <v>0</v>
      </c>
      <c r="T23" s="8">
        <f t="shared" si="13"/>
        <v>0</v>
      </c>
      <c r="U23" s="8">
        <f t="shared" si="14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70">INT(79.5/150*AA30)</f>
        <v>0</v>
      </c>
      <c r="AB23" s="226">
        <f t="shared" si="7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7"/>
        <v>20</v>
      </c>
      <c r="AK23" s="229">
        <f t="shared" ref="AK23:BF23" si="71">ROUND(20*1/27*AK30,0)</f>
        <v>0</v>
      </c>
      <c r="AL23" s="229">
        <f t="shared" si="71"/>
        <v>0</v>
      </c>
      <c r="AM23" s="229">
        <f t="shared" si="71"/>
        <v>0</v>
      </c>
      <c r="AN23" s="229">
        <f t="shared" si="71"/>
        <v>0</v>
      </c>
      <c r="AO23" s="229">
        <f t="shared" si="71"/>
        <v>0</v>
      </c>
      <c r="AP23" s="229">
        <f t="shared" si="71"/>
        <v>0</v>
      </c>
      <c r="AQ23" s="229">
        <f t="shared" si="71"/>
        <v>0</v>
      </c>
      <c r="AR23" s="229">
        <f t="shared" si="71"/>
        <v>0</v>
      </c>
      <c r="AS23" s="229">
        <f t="shared" si="71"/>
        <v>0</v>
      </c>
      <c r="AT23" s="229">
        <f t="shared" si="71"/>
        <v>0</v>
      </c>
      <c r="AU23" s="229">
        <f t="shared" si="71"/>
        <v>0</v>
      </c>
      <c r="AV23" s="229">
        <f t="shared" si="71"/>
        <v>0</v>
      </c>
      <c r="AW23" s="229">
        <f t="shared" si="71"/>
        <v>0</v>
      </c>
      <c r="AX23" s="229">
        <f t="shared" si="71"/>
        <v>0</v>
      </c>
      <c r="AY23" s="229">
        <f t="shared" si="71"/>
        <v>0</v>
      </c>
      <c r="AZ23" s="229">
        <f t="shared" si="71"/>
        <v>0</v>
      </c>
      <c r="BA23" s="229">
        <f t="shared" si="71"/>
        <v>0</v>
      </c>
      <c r="BB23" s="229">
        <f t="shared" si="71"/>
        <v>0</v>
      </c>
      <c r="BC23" s="229">
        <f t="shared" si="71"/>
        <v>0</v>
      </c>
      <c r="BD23" s="229">
        <f t="shared" si="71"/>
        <v>0</v>
      </c>
      <c r="BE23" s="229">
        <f t="shared" si="71"/>
        <v>0</v>
      </c>
      <c r="BF23" s="229">
        <f t="shared" si="71"/>
        <v>0</v>
      </c>
    </row>
    <row r="24" spans="1:58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3"/>
        <v>0</v>
      </c>
      <c r="K24" s="8">
        <f t="shared" si="4"/>
        <v>0</v>
      </c>
      <c r="L24" s="8">
        <f t="shared" si="5"/>
        <v>0</v>
      </c>
      <c r="M24" s="8">
        <f t="shared" si="6"/>
        <v>0</v>
      </c>
      <c r="N24" s="8">
        <f t="shared" si="7"/>
        <v>0</v>
      </c>
      <c r="O24" s="8">
        <f t="shared" si="8"/>
        <v>0</v>
      </c>
      <c r="P24" s="8">
        <f t="shared" si="9"/>
        <v>0</v>
      </c>
      <c r="Q24" s="8">
        <f t="shared" si="10"/>
        <v>0</v>
      </c>
      <c r="R24" s="8">
        <f t="shared" si="11"/>
        <v>0</v>
      </c>
      <c r="S24" s="8">
        <f t="shared" si="12"/>
        <v>0</v>
      </c>
      <c r="T24" s="8">
        <f t="shared" si="13"/>
        <v>0</v>
      </c>
      <c r="U24" s="8">
        <f t="shared" si="14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B24" si="72">INT(87/150*AA30)</f>
        <v>0</v>
      </c>
      <c r="AB24" s="226">
        <f t="shared" si="72"/>
        <v>0</v>
      </c>
      <c r="AC24" s="226">
        <f t="shared" ref="AC24" si="73">INT(87/150*AC30)</f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7"/>
        <v>21</v>
      </c>
      <c r="AK24" s="229">
        <f t="shared" ref="AK24:BF24" si="74">ROUND(21*1/27*AK30,0)</f>
        <v>0</v>
      </c>
      <c r="AL24" s="229">
        <f t="shared" si="74"/>
        <v>0</v>
      </c>
      <c r="AM24" s="229">
        <f t="shared" si="74"/>
        <v>0</v>
      </c>
      <c r="AN24" s="229">
        <f t="shared" si="74"/>
        <v>0</v>
      </c>
      <c r="AO24" s="229">
        <f t="shared" si="74"/>
        <v>0</v>
      </c>
      <c r="AP24" s="229">
        <f t="shared" si="74"/>
        <v>0</v>
      </c>
      <c r="AQ24" s="229">
        <f t="shared" si="74"/>
        <v>0</v>
      </c>
      <c r="AR24" s="229">
        <f t="shared" si="74"/>
        <v>0</v>
      </c>
      <c r="AS24" s="229">
        <f t="shared" si="74"/>
        <v>0</v>
      </c>
      <c r="AT24" s="229">
        <f t="shared" si="74"/>
        <v>0</v>
      </c>
      <c r="AU24" s="229">
        <f t="shared" si="74"/>
        <v>0</v>
      </c>
      <c r="AV24" s="229">
        <f t="shared" si="74"/>
        <v>0</v>
      </c>
      <c r="AW24" s="229">
        <f t="shared" si="74"/>
        <v>0</v>
      </c>
      <c r="AX24" s="229">
        <f t="shared" si="74"/>
        <v>0</v>
      </c>
      <c r="AY24" s="229">
        <f t="shared" si="74"/>
        <v>0</v>
      </c>
      <c r="AZ24" s="229">
        <f t="shared" si="74"/>
        <v>0</v>
      </c>
      <c r="BA24" s="229">
        <f t="shared" si="74"/>
        <v>0</v>
      </c>
      <c r="BB24" s="229">
        <f t="shared" si="74"/>
        <v>0</v>
      </c>
      <c r="BC24" s="229">
        <f t="shared" si="74"/>
        <v>0</v>
      </c>
      <c r="BD24" s="229">
        <f t="shared" si="74"/>
        <v>0</v>
      </c>
      <c r="BE24" s="229">
        <f t="shared" si="74"/>
        <v>0</v>
      </c>
      <c r="BF24" s="229">
        <f t="shared" si="74"/>
        <v>0</v>
      </c>
    </row>
    <row r="25" spans="1:58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3"/>
        <v>0</v>
      </c>
      <c r="K25" s="8">
        <f t="shared" si="4"/>
        <v>0</v>
      </c>
      <c r="L25" s="8">
        <f t="shared" si="5"/>
        <v>0</v>
      </c>
      <c r="M25" s="8">
        <f t="shared" si="6"/>
        <v>0</v>
      </c>
      <c r="N25" s="8">
        <f t="shared" si="7"/>
        <v>0</v>
      </c>
      <c r="O25" s="8">
        <f t="shared" si="8"/>
        <v>0</v>
      </c>
      <c r="P25" s="8">
        <f t="shared" si="9"/>
        <v>0</v>
      </c>
      <c r="Q25" s="8">
        <f t="shared" si="10"/>
        <v>0</v>
      </c>
      <c r="R25" s="8">
        <f t="shared" si="11"/>
        <v>0</v>
      </c>
      <c r="S25" s="8">
        <f t="shared" si="12"/>
        <v>0</v>
      </c>
      <c r="T25" s="8">
        <f t="shared" si="13"/>
        <v>0</v>
      </c>
      <c r="U25" s="8">
        <f t="shared" si="14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B25" si="75">INT(96/150*AA30)</f>
        <v>0</v>
      </c>
      <c r="AB25" s="226">
        <f t="shared" si="75"/>
        <v>0</v>
      </c>
      <c r="AC25" s="226">
        <f t="shared" ref="AC25" si="76">INT(96/150*AC30)</f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7"/>
        <v>22</v>
      </c>
      <c r="AK25" s="229">
        <f t="shared" ref="AK25:BF25" si="77">ROUND(22*1/27*AK30,0)</f>
        <v>0</v>
      </c>
      <c r="AL25" s="229">
        <f t="shared" si="77"/>
        <v>0</v>
      </c>
      <c r="AM25" s="229">
        <f t="shared" si="77"/>
        <v>0</v>
      </c>
      <c r="AN25" s="229">
        <f t="shared" si="77"/>
        <v>0</v>
      </c>
      <c r="AO25" s="229">
        <f t="shared" si="77"/>
        <v>0</v>
      </c>
      <c r="AP25" s="229">
        <f t="shared" si="77"/>
        <v>0</v>
      </c>
      <c r="AQ25" s="229">
        <f t="shared" si="77"/>
        <v>0</v>
      </c>
      <c r="AR25" s="229">
        <f t="shared" si="77"/>
        <v>0</v>
      </c>
      <c r="AS25" s="229">
        <f t="shared" si="77"/>
        <v>0</v>
      </c>
      <c r="AT25" s="229">
        <f t="shared" si="77"/>
        <v>0</v>
      </c>
      <c r="AU25" s="229">
        <f t="shared" si="77"/>
        <v>0</v>
      </c>
      <c r="AV25" s="229">
        <f t="shared" si="77"/>
        <v>0</v>
      </c>
      <c r="AW25" s="229">
        <f t="shared" si="77"/>
        <v>0</v>
      </c>
      <c r="AX25" s="229">
        <f t="shared" si="77"/>
        <v>0</v>
      </c>
      <c r="AY25" s="229">
        <f t="shared" si="77"/>
        <v>0</v>
      </c>
      <c r="AZ25" s="229">
        <f t="shared" si="77"/>
        <v>0</v>
      </c>
      <c r="BA25" s="229">
        <f t="shared" si="77"/>
        <v>0</v>
      </c>
      <c r="BB25" s="229">
        <f t="shared" si="77"/>
        <v>0</v>
      </c>
      <c r="BC25" s="229">
        <f t="shared" si="77"/>
        <v>0</v>
      </c>
      <c r="BD25" s="229">
        <f t="shared" si="77"/>
        <v>0</v>
      </c>
      <c r="BE25" s="229">
        <f t="shared" si="77"/>
        <v>0</v>
      </c>
      <c r="BF25" s="229">
        <f t="shared" si="77"/>
        <v>0</v>
      </c>
    </row>
    <row r="26" spans="1:58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3"/>
        <v>0</v>
      </c>
      <c r="K26" s="8">
        <f t="shared" si="4"/>
        <v>0</v>
      </c>
      <c r="L26" s="8">
        <f t="shared" si="5"/>
        <v>0</v>
      </c>
      <c r="M26" s="8">
        <f t="shared" si="6"/>
        <v>0</v>
      </c>
      <c r="N26" s="8">
        <f t="shared" si="7"/>
        <v>0</v>
      </c>
      <c r="O26" s="8">
        <f t="shared" si="8"/>
        <v>0</v>
      </c>
      <c r="P26" s="8">
        <f t="shared" si="9"/>
        <v>0</v>
      </c>
      <c r="Q26" s="8">
        <f t="shared" si="10"/>
        <v>0</v>
      </c>
      <c r="R26" s="8">
        <f t="shared" si="11"/>
        <v>0</v>
      </c>
      <c r="S26" s="8">
        <f t="shared" si="12"/>
        <v>0</v>
      </c>
      <c r="T26" s="8">
        <f t="shared" si="13"/>
        <v>0</v>
      </c>
      <c r="U26" s="8">
        <f t="shared" si="14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B26" si="78">INT(105/150*AA30)</f>
        <v>0</v>
      </c>
      <c r="AB26" s="226">
        <f t="shared" si="78"/>
        <v>0</v>
      </c>
      <c r="AC26" s="226">
        <f t="shared" ref="AC26" si="79">INT(105/150*AC30)</f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7"/>
        <v>23</v>
      </c>
      <c r="AK26" s="229">
        <f t="shared" ref="AK26:BF26" si="80">ROUND(23*1/27*AK30,0)</f>
        <v>0</v>
      </c>
      <c r="AL26" s="229">
        <f t="shared" si="80"/>
        <v>0</v>
      </c>
      <c r="AM26" s="229">
        <f t="shared" si="80"/>
        <v>0</v>
      </c>
      <c r="AN26" s="229">
        <f t="shared" si="80"/>
        <v>0</v>
      </c>
      <c r="AO26" s="229">
        <f t="shared" si="80"/>
        <v>0</v>
      </c>
      <c r="AP26" s="229">
        <f t="shared" si="80"/>
        <v>0</v>
      </c>
      <c r="AQ26" s="229">
        <f t="shared" si="80"/>
        <v>0</v>
      </c>
      <c r="AR26" s="229">
        <f t="shared" si="80"/>
        <v>0</v>
      </c>
      <c r="AS26" s="229">
        <f t="shared" si="80"/>
        <v>0</v>
      </c>
      <c r="AT26" s="229">
        <f t="shared" si="80"/>
        <v>0</v>
      </c>
      <c r="AU26" s="229">
        <f t="shared" si="80"/>
        <v>0</v>
      </c>
      <c r="AV26" s="229">
        <f t="shared" si="80"/>
        <v>0</v>
      </c>
      <c r="AW26" s="229">
        <f t="shared" si="80"/>
        <v>0</v>
      </c>
      <c r="AX26" s="229">
        <f t="shared" si="80"/>
        <v>0</v>
      </c>
      <c r="AY26" s="229">
        <f t="shared" si="80"/>
        <v>0</v>
      </c>
      <c r="AZ26" s="229">
        <f t="shared" si="80"/>
        <v>0</v>
      </c>
      <c r="BA26" s="229">
        <f t="shared" si="80"/>
        <v>0</v>
      </c>
      <c r="BB26" s="229">
        <f t="shared" si="80"/>
        <v>0</v>
      </c>
      <c r="BC26" s="229">
        <f t="shared" si="80"/>
        <v>0</v>
      </c>
      <c r="BD26" s="229">
        <f t="shared" si="80"/>
        <v>0</v>
      </c>
      <c r="BE26" s="229">
        <f t="shared" si="80"/>
        <v>0</v>
      </c>
      <c r="BF26" s="229">
        <f t="shared" si="80"/>
        <v>0</v>
      </c>
    </row>
    <row r="27" spans="1:58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3"/>
        <v>0</v>
      </c>
      <c r="K27" s="8">
        <f t="shared" si="4"/>
        <v>0</v>
      </c>
      <c r="L27" s="8">
        <f t="shared" si="5"/>
        <v>0</v>
      </c>
      <c r="M27" s="8">
        <f t="shared" si="6"/>
        <v>0</v>
      </c>
      <c r="N27" s="8">
        <f t="shared" si="7"/>
        <v>0</v>
      </c>
      <c r="O27" s="8">
        <f t="shared" si="8"/>
        <v>0</v>
      </c>
      <c r="P27" s="8">
        <f t="shared" si="9"/>
        <v>0</v>
      </c>
      <c r="Q27" s="8">
        <f t="shared" si="10"/>
        <v>0</v>
      </c>
      <c r="R27" s="8">
        <f t="shared" si="11"/>
        <v>0</v>
      </c>
      <c r="S27" s="8">
        <f t="shared" si="12"/>
        <v>0</v>
      </c>
      <c r="T27" s="8">
        <f t="shared" si="13"/>
        <v>0</v>
      </c>
      <c r="U27" s="8">
        <f t="shared" si="14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B27" si="81">INT(112.5/150*AA30)</f>
        <v>0</v>
      </c>
      <c r="AB27" s="226">
        <f t="shared" si="81"/>
        <v>0</v>
      </c>
      <c r="AC27" s="226">
        <f t="shared" ref="AC27" si="82">INT(112.5/150*AC30)</f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7"/>
        <v>24</v>
      </c>
      <c r="AK27" s="229">
        <f t="shared" ref="AK27:BF27" si="83">ROUND(24*1/27*AK30,0)</f>
        <v>0</v>
      </c>
      <c r="AL27" s="229">
        <f t="shared" si="83"/>
        <v>0</v>
      </c>
      <c r="AM27" s="229">
        <f t="shared" si="83"/>
        <v>0</v>
      </c>
      <c r="AN27" s="229">
        <f t="shared" si="83"/>
        <v>0</v>
      </c>
      <c r="AO27" s="229">
        <f t="shared" si="83"/>
        <v>0</v>
      </c>
      <c r="AP27" s="229">
        <f t="shared" si="83"/>
        <v>0</v>
      </c>
      <c r="AQ27" s="229">
        <f t="shared" si="83"/>
        <v>0</v>
      </c>
      <c r="AR27" s="229">
        <f t="shared" si="83"/>
        <v>0</v>
      </c>
      <c r="AS27" s="229">
        <f t="shared" si="83"/>
        <v>0</v>
      </c>
      <c r="AT27" s="229">
        <f t="shared" si="83"/>
        <v>0</v>
      </c>
      <c r="AU27" s="229">
        <f t="shared" si="83"/>
        <v>0</v>
      </c>
      <c r="AV27" s="229">
        <f t="shared" si="83"/>
        <v>0</v>
      </c>
      <c r="AW27" s="229">
        <f t="shared" si="83"/>
        <v>0</v>
      </c>
      <c r="AX27" s="229">
        <f t="shared" si="83"/>
        <v>0</v>
      </c>
      <c r="AY27" s="229">
        <f t="shared" si="83"/>
        <v>0</v>
      </c>
      <c r="AZ27" s="229">
        <f t="shared" si="83"/>
        <v>0</v>
      </c>
      <c r="BA27" s="229">
        <f t="shared" si="83"/>
        <v>0</v>
      </c>
      <c r="BB27" s="229">
        <f t="shared" si="83"/>
        <v>0</v>
      </c>
      <c r="BC27" s="229">
        <f t="shared" si="83"/>
        <v>0</v>
      </c>
      <c r="BD27" s="229">
        <f t="shared" si="83"/>
        <v>0</v>
      </c>
      <c r="BE27" s="229">
        <f t="shared" si="83"/>
        <v>0</v>
      </c>
      <c r="BF27" s="229">
        <f t="shared" si="83"/>
        <v>0</v>
      </c>
    </row>
    <row r="28" spans="1:58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3"/>
        <v>0</v>
      </c>
      <c r="K28" s="8">
        <f t="shared" si="4"/>
        <v>0</v>
      </c>
      <c r="L28" s="8">
        <f t="shared" si="5"/>
        <v>0</v>
      </c>
      <c r="M28" s="8">
        <f t="shared" si="6"/>
        <v>0</v>
      </c>
      <c r="N28" s="8">
        <f t="shared" si="7"/>
        <v>0</v>
      </c>
      <c r="O28" s="8">
        <f t="shared" si="8"/>
        <v>0</v>
      </c>
      <c r="P28" s="8">
        <f t="shared" si="9"/>
        <v>0</v>
      </c>
      <c r="Q28" s="8">
        <f t="shared" si="10"/>
        <v>0</v>
      </c>
      <c r="R28" s="8">
        <f t="shared" si="11"/>
        <v>0</v>
      </c>
      <c r="S28" s="8">
        <f t="shared" si="12"/>
        <v>0</v>
      </c>
      <c r="T28" s="8">
        <f t="shared" si="13"/>
        <v>0</v>
      </c>
      <c r="U28" s="8">
        <f t="shared" si="14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B28" si="84">INT(120/150*AA30)</f>
        <v>0</v>
      </c>
      <c r="AB28" s="226">
        <f t="shared" si="84"/>
        <v>0</v>
      </c>
      <c r="AC28" s="226">
        <f t="shared" ref="AC28" si="85">INT(120/150*AC30)</f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7"/>
        <v>25</v>
      </c>
      <c r="AK28" s="229">
        <f t="shared" ref="AK28:BF28" si="86">ROUND(25*1/27*AK30,0)</f>
        <v>0</v>
      </c>
      <c r="AL28" s="229">
        <f t="shared" si="86"/>
        <v>0</v>
      </c>
      <c r="AM28" s="229">
        <f t="shared" si="86"/>
        <v>0</v>
      </c>
      <c r="AN28" s="229">
        <f t="shared" si="86"/>
        <v>0</v>
      </c>
      <c r="AO28" s="229">
        <f t="shared" si="86"/>
        <v>0</v>
      </c>
      <c r="AP28" s="229">
        <f t="shared" si="86"/>
        <v>0</v>
      </c>
      <c r="AQ28" s="229">
        <f t="shared" si="86"/>
        <v>0</v>
      </c>
      <c r="AR28" s="229">
        <f t="shared" si="86"/>
        <v>0</v>
      </c>
      <c r="AS28" s="229">
        <f t="shared" si="86"/>
        <v>0</v>
      </c>
      <c r="AT28" s="229">
        <f t="shared" si="86"/>
        <v>0</v>
      </c>
      <c r="AU28" s="229">
        <f t="shared" si="86"/>
        <v>0</v>
      </c>
      <c r="AV28" s="229">
        <f t="shared" si="86"/>
        <v>0</v>
      </c>
      <c r="AW28" s="229">
        <f t="shared" si="86"/>
        <v>0</v>
      </c>
      <c r="AX28" s="229">
        <f t="shared" si="86"/>
        <v>0</v>
      </c>
      <c r="AY28" s="229">
        <f t="shared" si="86"/>
        <v>0</v>
      </c>
      <c r="AZ28" s="229">
        <f t="shared" si="86"/>
        <v>0</v>
      </c>
      <c r="BA28" s="229">
        <f t="shared" si="86"/>
        <v>0</v>
      </c>
      <c r="BB28" s="229">
        <f t="shared" si="86"/>
        <v>0</v>
      </c>
      <c r="BC28" s="229">
        <f t="shared" si="86"/>
        <v>0</v>
      </c>
      <c r="BD28" s="229">
        <f t="shared" si="86"/>
        <v>0</v>
      </c>
      <c r="BE28" s="229">
        <f t="shared" si="86"/>
        <v>0</v>
      </c>
      <c r="BF28" s="229">
        <f t="shared" si="86"/>
        <v>0</v>
      </c>
    </row>
    <row r="29" spans="1:58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3"/>
        <v>0</v>
      </c>
      <c r="K29" s="8">
        <f t="shared" si="4"/>
        <v>0</v>
      </c>
      <c r="L29" s="8">
        <f t="shared" si="5"/>
        <v>0</v>
      </c>
      <c r="M29" s="8">
        <f t="shared" si="6"/>
        <v>0</v>
      </c>
      <c r="N29" s="8">
        <f t="shared" si="7"/>
        <v>0</v>
      </c>
      <c r="O29" s="8">
        <f t="shared" si="8"/>
        <v>0</v>
      </c>
      <c r="P29" s="8">
        <f t="shared" si="9"/>
        <v>0</v>
      </c>
      <c r="Q29" s="8">
        <f t="shared" si="10"/>
        <v>0</v>
      </c>
      <c r="R29" s="8">
        <f t="shared" si="11"/>
        <v>0</v>
      </c>
      <c r="S29" s="8">
        <f t="shared" si="12"/>
        <v>0</v>
      </c>
      <c r="T29" s="8">
        <f t="shared" si="13"/>
        <v>0</v>
      </c>
      <c r="U29" s="8">
        <f t="shared" si="14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8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7"/>
        <v>26</v>
      </c>
      <c r="AK29" s="229">
        <f t="shared" ref="AK29:BF29" si="88">ROUND(26*1/27*AK30,0)</f>
        <v>0</v>
      </c>
      <c r="AL29" s="229">
        <f t="shared" si="88"/>
        <v>0</v>
      </c>
      <c r="AM29" s="229">
        <f t="shared" si="88"/>
        <v>0</v>
      </c>
      <c r="AN29" s="229">
        <f t="shared" si="88"/>
        <v>0</v>
      </c>
      <c r="AO29" s="229">
        <f t="shared" si="88"/>
        <v>0</v>
      </c>
      <c r="AP29" s="229">
        <f t="shared" si="88"/>
        <v>0</v>
      </c>
      <c r="AQ29" s="229">
        <f t="shared" si="88"/>
        <v>0</v>
      </c>
      <c r="AR29" s="229">
        <f t="shared" si="88"/>
        <v>0</v>
      </c>
      <c r="AS29" s="229">
        <f t="shared" si="88"/>
        <v>0</v>
      </c>
      <c r="AT29" s="229">
        <f t="shared" si="88"/>
        <v>0</v>
      </c>
      <c r="AU29" s="229">
        <f t="shared" si="88"/>
        <v>0</v>
      </c>
      <c r="AV29" s="229">
        <f t="shared" si="88"/>
        <v>0</v>
      </c>
      <c r="AW29" s="229">
        <f t="shared" si="88"/>
        <v>0</v>
      </c>
      <c r="AX29" s="229">
        <f t="shared" si="88"/>
        <v>0</v>
      </c>
      <c r="AY29" s="229">
        <f t="shared" si="88"/>
        <v>0</v>
      </c>
      <c r="AZ29" s="229">
        <f t="shared" si="88"/>
        <v>0</v>
      </c>
      <c r="BA29" s="229">
        <f t="shared" si="88"/>
        <v>0</v>
      </c>
      <c r="BB29" s="229">
        <f t="shared" si="88"/>
        <v>0</v>
      </c>
      <c r="BC29" s="229">
        <f t="shared" si="88"/>
        <v>0</v>
      </c>
      <c r="BD29" s="229">
        <f t="shared" si="88"/>
        <v>0</v>
      </c>
      <c r="BE29" s="229">
        <f t="shared" si="88"/>
        <v>0</v>
      </c>
      <c r="BF29" s="229">
        <f t="shared" si="88"/>
        <v>0</v>
      </c>
    </row>
    <row r="30" spans="1:58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 t="shared" si="3"/>
        <v>0</v>
      </c>
      <c r="K30" s="8">
        <f t="shared" si="4"/>
        <v>0</v>
      </c>
      <c r="L30" s="8">
        <f t="shared" si="5"/>
        <v>0</v>
      </c>
      <c r="M30" s="8">
        <f t="shared" si="6"/>
        <v>0</v>
      </c>
      <c r="N30" s="8">
        <f t="shared" si="7"/>
        <v>0</v>
      </c>
      <c r="O30" s="8">
        <f t="shared" si="8"/>
        <v>0</v>
      </c>
      <c r="P30" s="8">
        <f t="shared" si="9"/>
        <v>0</v>
      </c>
      <c r="Q30" s="8">
        <f t="shared" si="10"/>
        <v>0</v>
      </c>
      <c r="R30" s="8">
        <f t="shared" si="11"/>
        <v>0</v>
      </c>
      <c r="S30" s="8">
        <f t="shared" si="12"/>
        <v>0</v>
      </c>
      <c r="T30" s="8">
        <f t="shared" si="13"/>
        <v>0</v>
      </c>
      <c r="U30" s="8">
        <f t="shared" si="14"/>
        <v>0</v>
      </c>
      <c r="V30" s="8"/>
      <c r="W30" s="8"/>
      <c r="X30" s="8">
        <v>27</v>
      </c>
      <c r="Y30" s="8">
        <f>材料产出!C30</f>
        <v>7</v>
      </c>
      <c r="Z30" s="8">
        <f>养成属性分配!BC31</f>
        <v>0</v>
      </c>
      <c r="AA30" s="8">
        <f>养成属性分配!BD31</f>
        <v>0</v>
      </c>
      <c r="AB30" s="8">
        <f>养成属性分配!BE31</f>
        <v>0</v>
      </c>
      <c r="AC30" s="8">
        <f>养成属性分配!BF31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7"/>
        <v>27</v>
      </c>
      <c r="AK30" s="229">
        <f>参数调整!V18</f>
        <v>0</v>
      </c>
      <c r="AL30" s="229">
        <f>参数调整!W18</f>
        <v>0</v>
      </c>
      <c r="AM30" s="229">
        <f>参数调整!X18</f>
        <v>0</v>
      </c>
      <c r="AN30" s="229">
        <f>参数调整!Y18</f>
        <v>0</v>
      </c>
      <c r="AO30" s="229">
        <f>参数调整!Z18</f>
        <v>0</v>
      </c>
      <c r="AP30" s="229">
        <f>参数调整!AA18</f>
        <v>0</v>
      </c>
      <c r="AQ30" s="229">
        <f>参数调整!AB18</f>
        <v>0</v>
      </c>
      <c r="AR30" s="229">
        <f>参数调整!AC18</f>
        <v>0</v>
      </c>
      <c r="AS30" s="229">
        <f>参数调整!AD18</f>
        <v>0</v>
      </c>
      <c r="AT30" s="229">
        <f>参数调整!AE18</f>
        <v>0</v>
      </c>
      <c r="AU30" s="229">
        <f>参数调整!AF18</f>
        <v>0</v>
      </c>
      <c r="AV30" s="229">
        <f>参数调整!AG18</f>
        <v>0</v>
      </c>
      <c r="AW30" s="229">
        <f>参数调整!AH18</f>
        <v>0</v>
      </c>
      <c r="AX30" s="229">
        <f>参数调整!AI18</f>
        <v>0</v>
      </c>
      <c r="AY30" s="229">
        <f>参数调整!AJ18</f>
        <v>0</v>
      </c>
      <c r="AZ30" s="229">
        <f>参数调整!AK18</f>
        <v>0</v>
      </c>
      <c r="BA30" s="229">
        <f>参数调整!AL18</f>
        <v>0</v>
      </c>
      <c r="BB30" s="229">
        <f>参数调整!AM18</f>
        <v>0</v>
      </c>
      <c r="BC30" s="229">
        <f>参数调整!AN18</f>
        <v>0</v>
      </c>
      <c r="BD30" s="229">
        <f>参数调整!AO18</f>
        <v>0</v>
      </c>
      <c r="BE30" s="229">
        <f>参数调整!AP18</f>
        <v>0</v>
      </c>
      <c r="BF30" s="229">
        <f>参数调整!AQ18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8620-C577-4A49-B14A-AA977227A101}">
  <dimension ref="A1:BF30"/>
  <sheetViews>
    <sheetView topLeftCell="AI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养成属性分配!BG31</f>
        <v>0</v>
      </c>
      <c r="AA30" s="8">
        <f>养成属性分配!BH31</f>
        <v>0</v>
      </c>
      <c r="AB30" s="8">
        <f>养成属性分配!BI31</f>
        <v>0</v>
      </c>
      <c r="AC30" s="8">
        <f>养成属性分配!BJ31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参数调整!V19</f>
        <v>0</v>
      </c>
      <c r="AL30" s="229">
        <f>参数调整!W19</f>
        <v>0</v>
      </c>
      <c r="AM30" s="229">
        <f>参数调整!X19</f>
        <v>0</v>
      </c>
      <c r="AN30" s="229">
        <f>参数调整!Y19</f>
        <v>0</v>
      </c>
      <c r="AO30" s="229">
        <f>参数调整!Z19</f>
        <v>0</v>
      </c>
      <c r="AP30" s="229">
        <f>参数调整!AA19</f>
        <v>0</v>
      </c>
      <c r="AQ30" s="229">
        <f>参数调整!AB19</f>
        <v>0</v>
      </c>
      <c r="AR30" s="229">
        <f>参数调整!AC19</f>
        <v>0</v>
      </c>
      <c r="AS30" s="229">
        <f>参数调整!AD19</f>
        <v>0</v>
      </c>
      <c r="AT30" s="229">
        <f>参数调整!AE19</f>
        <v>0</v>
      </c>
      <c r="AU30" s="229">
        <f>参数调整!AF19</f>
        <v>0</v>
      </c>
      <c r="AV30" s="229">
        <f>参数调整!AG19</f>
        <v>0</v>
      </c>
      <c r="AW30" s="229">
        <f>参数调整!AH19</f>
        <v>0</v>
      </c>
      <c r="AX30" s="229">
        <f>参数调整!AI19</f>
        <v>0</v>
      </c>
      <c r="AY30" s="229">
        <f>参数调整!AJ19</f>
        <v>0</v>
      </c>
      <c r="AZ30" s="229">
        <f>参数调整!AK19</f>
        <v>0</v>
      </c>
      <c r="BA30" s="229">
        <f>参数调整!AL19</f>
        <v>0</v>
      </c>
      <c r="BB30" s="229">
        <f>参数调整!AM19</f>
        <v>0</v>
      </c>
      <c r="BC30" s="229">
        <f>参数调整!AN19</f>
        <v>0</v>
      </c>
      <c r="BD30" s="229">
        <f>参数调整!AO19</f>
        <v>0</v>
      </c>
      <c r="BE30" s="229">
        <f>参数调整!AP19</f>
        <v>0</v>
      </c>
      <c r="BF30" s="229">
        <f>参数调整!AQ19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2B82-FF7B-42D6-B1E5-E3F955BFAA48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养成属性分配!BK31</f>
        <v>0</v>
      </c>
      <c r="AA30" s="8">
        <f>养成属性分配!BL31</f>
        <v>0</v>
      </c>
      <c r="AB30" s="8">
        <f>养成属性分配!BM31</f>
        <v>0</v>
      </c>
      <c r="AC30" s="8">
        <f>养成属性分配!BN31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参数调整!V20</f>
        <v>0</v>
      </c>
      <c r="AL30" s="229">
        <f>参数调整!W20</f>
        <v>0</v>
      </c>
      <c r="AM30" s="229">
        <f>参数调整!X20</f>
        <v>0</v>
      </c>
      <c r="AN30" s="229">
        <f>参数调整!Y20</f>
        <v>0</v>
      </c>
      <c r="AO30" s="229">
        <f>参数调整!Z20</f>
        <v>0</v>
      </c>
      <c r="AP30" s="229">
        <f>参数调整!AA20</f>
        <v>0</v>
      </c>
      <c r="AQ30" s="229">
        <f>参数调整!AB20</f>
        <v>0</v>
      </c>
      <c r="AR30" s="229">
        <f>参数调整!AC20</f>
        <v>0</v>
      </c>
      <c r="AS30" s="229">
        <f>参数调整!AD20</f>
        <v>0</v>
      </c>
      <c r="AT30" s="229">
        <f>参数调整!AE20</f>
        <v>0</v>
      </c>
      <c r="AU30" s="229">
        <f>参数调整!AF20</f>
        <v>0</v>
      </c>
      <c r="AV30" s="229">
        <f>参数调整!AG20</f>
        <v>0</v>
      </c>
      <c r="AW30" s="229">
        <f>参数调整!AH20</f>
        <v>0</v>
      </c>
      <c r="AX30" s="229">
        <f>参数调整!AI20</f>
        <v>0</v>
      </c>
      <c r="AY30" s="229">
        <f>参数调整!AJ20</f>
        <v>0</v>
      </c>
      <c r="AZ30" s="229">
        <f>参数调整!AK20</f>
        <v>0</v>
      </c>
      <c r="BA30" s="229">
        <f>参数调整!AL20</f>
        <v>0</v>
      </c>
      <c r="BB30" s="229">
        <f>参数调整!AM20</f>
        <v>0</v>
      </c>
      <c r="BC30" s="229">
        <f>参数调整!AN20</f>
        <v>0</v>
      </c>
      <c r="BD30" s="229">
        <f>参数调整!AO20</f>
        <v>0</v>
      </c>
      <c r="BE30" s="229">
        <f>参数调整!AP20</f>
        <v>0</v>
      </c>
      <c r="BF30" s="229">
        <f>参数调整!AQ20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B1E5-9AFB-47FD-814A-218E61568FC0}">
  <dimension ref="A1:BF30"/>
  <sheetViews>
    <sheetView topLeftCell="AI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养成属性分配!BO31</f>
        <v>0</v>
      </c>
      <c r="AA30" s="8">
        <f>养成属性分配!BP31</f>
        <v>0</v>
      </c>
      <c r="AB30" s="8">
        <f>养成属性分配!BQ31</f>
        <v>0</v>
      </c>
      <c r="AC30" s="8">
        <f>养成属性分配!BR31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参数调整!V21</f>
        <v>0</v>
      </c>
      <c r="AL30" s="229">
        <f>参数调整!W21</f>
        <v>0</v>
      </c>
      <c r="AM30" s="229">
        <f>参数调整!X21</f>
        <v>0</v>
      </c>
      <c r="AN30" s="229">
        <f>参数调整!Y21</f>
        <v>0</v>
      </c>
      <c r="AO30" s="229">
        <f>参数调整!Z21</f>
        <v>0</v>
      </c>
      <c r="AP30" s="229">
        <f>参数调整!AA21</f>
        <v>0</v>
      </c>
      <c r="AQ30" s="229">
        <f>参数调整!AB21</f>
        <v>0</v>
      </c>
      <c r="AR30" s="229">
        <f>参数调整!AC21</f>
        <v>0</v>
      </c>
      <c r="AS30" s="229">
        <f>参数调整!AD21</f>
        <v>0</v>
      </c>
      <c r="AT30" s="229">
        <f>参数调整!AE21</f>
        <v>0</v>
      </c>
      <c r="AU30" s="229">
        <f>参数调整!AF21</f>
        <v>0</v>
      </c>
      <c r="AV30" s="229">
        <f>参数调整!AG21</f>
        <v>0</v>
      </c>
      <c r="AW30" s="229">
        <f>参数调整!AH21</f>
        <v>0</v>
      </c>
      <c r="AX30" s="229">
        <f>参数调整!AI21</f>
        <v>0</v>
      </c>
      <c r="AY30" s="229">
        <f>参数调整!AJ21</f>
        <v>0</v>
      </c>
      <c r="AZ30" s="229">
        <f>参数调整!AK21</f>
        <v>0</v>
      </c>
      <c r="BA30" s="229">
        <f>参数调整!AL21</f>
        <v>0</v>
      </c>
      <c r="BB30" s="229">
        <f>参数调整!AM21</f>
        <v>0</v>
      </c>
      <c r="BC30" s="229">
        <f>参数调整!AN21</f>
        <v>0</v>
      </c>
      <c r="BD30" s="229">
        <f>参数调整!AO21</f>
        <v>0</v>
      </c>
      <c r="BE30" s="229">
        <f>参数调整!AP21</f>
        <v>0</v>
      </c>
      <c r="BF30" s="229">
        <f>参数调整!AQ21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0A906-ACB4-4C43-BA36-F5CCA7A15A4D}">
  <dimension ref="A1:BF30"/>
  <sheetViews>
    <sheetView topLeftCell="AI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养成属性分配!BS31</f>
        <v>0</v>
      </c>
      <c r="AA30" s="8">
        <f>养成属性分配!BT31</f>
        <v>0</v>
      </c>
      <c r="AB30" s="8">
        <f>养成属性分配!BU31</f>
        <v>0</v>
      </c>
      <c r="AC30" s="8">
        <f>养成属性分配!BV31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参数调整!V22</f>
        <v>0</v>
      </c>
      <c r="AL30" s="229">
        <f>参数调整!W22</f>
        <v>0</v>
      </c>
      <c r="AM30" s="229">
        <f>参数调整!X22</f>
        <v>0</v>
      </c>
      <c r="AN30" s="229">
        <f>参数调整!Y22</f>
        <v>0</v>
      </c>
      <c r="AO30" s="229">
        <f>参数调整!Z22</f>
        <v>0</v>
      </c>
      <c r="AP30" s="229">
        <f>参数调整!AA22</f>
        <v>0</v>
      </c>
      <c r="AQ30" s="229">
        <f>参数调整!AB22</f>
        <v>0</v>
      </c>
      <c r="AR30" s="229">
        <f>参数调整!AC22</f>
        <v>0</v>
      </c>
      <c r="AS30" s="229">
        <f>参数调整!AD22</f>
        <v>0</v>
      </c>
      <c r="AT30" s="229">
        <f>参数调整!AE22</f>
        <v>0</v>
      </c>
      <c r="AU30" s="229">
        <f>参数调整!AF22</f>
        <v>0</v>
      </c>
      <c r="AV30" s="229">
        <f>参数调整!AG22</f>
        <v>0</v>
      </c>
      <c r="AW30" s="229">
        <f>参数调整!AH22</f>
        <v>0</v>
      </c>
      <c r="AX30" s="229">
        <f>参数调整!AI22</f>
        <v>0</v>
      </c>
      <c r="AY30" s="229">
        <f>参数调整!AJ22</f>
        <v>0</v>
      </c>
      <c r="AZ30" s="229">
        <f>参数调整!AK22</f>
        <v>0</v>
      </c>
      <c r="BA30" s="229">
        <f>参数调整!AL22</f>
        <v>0</v>
      </c>
      <c r="BB30" s="229">
        <f>参数调整!AM22</f>
        <v>0</v>
      </c>
      <c r="BC30" s="229">
        <f>参数调整!AN22</f>
        <v>0</v>
      </c>
      <c r="BD30" s="229">
        <f>参数调整!AO22</f>
        <v>0</v>
      </c>
      <c r="BE30" s="229">
        <f>参数调整!AP22</f>
        <v>0</v>
      </c>
      <c r="BF30" s="229">
        <f>参数调整!AQ22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5AF6C-062D-4D93-9D86-6A87865FCC0B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养成属性分配!BW31</f>
        <v>0</v>
      </c>
      <c r="AA30" s="8">
        <f>养成属性分配!BX31</f>
        <v>0</v>
      </c>
      <c r="AB30" s="8">
        <f>养成属性分配!BY31</f>
        <v>0</v>
      </c>
      <c r="AC30" s="8">
        <f>养成属性分配!BZ31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参数调整!V23</f>
        <v>0</v>
      </c>
      <c r="AL30" s="229">
        <f>参数调整!W23</f>
        <v>0</v>
      </c>
      <c r="AM30" s="229">
        <f>参数调整!X23</f>
        <v>0</v>
      </c>
      <c r="AN30" s="229">
        <f>参数调整!Y23</f>
        <v>0</v>
      </c>
      <c r="AO30" s="229">
        <f>参数调整!Z23</f>
        <v>0</v>
      </c>
      <c r="AP30" s="229">
        <f>参数调整!AA23</f>
        <v>0</v>
      </c>
      <c r="AQ30" s="229">
        <f>参数调整!AB23</f>
        <v>0</v>
      </c>
      <c r="AR30" s="229">
        <f>参数调整!AC23</f>
        <v>0</v>
      </c>
      <c r="AS30" s="229">
        <f>参数调整!AD23</f>
        <v>0</v>
      </c>
      <c r="AT30" s="229">
        <f>参数调整!AE23</f>
        <v>0</v>
      </c>
      <c r="AU30" s="229">
        <f>参数调整!AF23</f>
        <v>0</v>
      </c>
      <c r="AV30" s="229">
        <f>参数调整!AG23</f>
        <v>0</v>
      </c>
      <c r="AW30" s="229">
        <f>参数调整!AH23</f>
        <v>0</v>
      </c>
      <c r="AX30" s="229">
        <f>参数调整!AI23</f>
        <v>0</v>
      </c>
      <c r="AY30" s="229">
        <f>参数调整!AJ23</f>
        <v>0</v>
      </c>
      <c r="AZ30" s="229">
        <f>参数调整!AK23</f>
        <v>0</v>
      </c>
      <c r="BA30" s="229">
        <f>参数调整!AL23</f>
        <v>0</v>
      </c>
      <c r="BB30" s="229">
        <f>参数调整!AM23</f>
        <v>0</v>
      </c>
      <c r="BC30" s="229">
        <f>参数调整!AN23</f>
        <v>0</v>
      </c>
      <c r="BD30" s="229">
        <f>参数调整!AO23</f>
        <v>0</v>
      </c>
      <c r="BE30" s="229">
        <f>参数调整!AP23</f>
        <v>0</v>
      </c>
      <c r="BF30" s="229">
        <f>参数调整!AQ23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78C1-B2B5-4023-A958-01743DD78FF3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养成属性分配!CA31</f>
        <v>0</v>
      </c>
      <c r="AA30" s="8">
        <f>养成属性分配!CB31</f>
        <v>0</v>
      </c>
      <c r="AB30" s="8">
        <f>养成属性分配!CC31</f>
        <v>0</v>
      </c>
      <c r="AC30" s="8">
        <f>养成属性分配!CD31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参数调整!V24</f>
        <v>0</v>
      </c>
      <c r="AL30" s="229">
        <f>参数调整!W24</f>
        <v>0</v>
      </c>
      <c r="AM30" s="229">
        <f>参数调整!X24</f>
        <v>0</v>
      </c>
      <c r="AN30" s="229">
        <f>参数调整!Y24</f>
        <v>0</v>
      </c>
      <c r="AO30" s="229">
        <f>参数调整!Z24</f>
        <v>0</v>
      </c>
      <c r="AP30" s="229">
        <f>参数调整!AA24</f>
        <v>0</v>
      </c>
      <c r="AQ30" s="229">
        <f>参数调整!AB24</f>
        <v>0</v>
      </c>
      <c r="AR30" s="229">
        <f>参数调整!AC24</f>
        <v>0</v>
      </c>
      <c r="AS30" s="229">
        <f>参数调整!AD24</f>
        <v>0</v>
      </c>
      <c r="AT30" s="229">
        <f>参数调整!AE24</f>
        <v>0</v>
      </c>
      <c r="AU30" s="229">
        <f>参数调整!AF24</f>
        <v>0</v>
      </c>
      <c r="AV30" s="229">
        <f>参数调整!AG24</f>
        <v>0</v>
      </c>
      <c r="AW30" s="229">
        <f>参数调整!AH24</f>
        <v>0</v>
      </c>
      <c r="AX30" s="229">
        <f>参数调整!AI24</f>
        <v>0</v>
      </c>
      <c r="AY30" s="229">
        <f>参数调整!AJ24</f>
        <v>0</v>
      </c>
      <c r="AZ30" s="229">
        <f>参数调整!AK24</f>
        <v>0</v>
      </c>
      <c r="BA30" s="229">
        <f>参数调整!AL24</f>
        <v>0</v>
      </c>
      <c r="BB30" s="229">
        <f>参数调整!AM24</f>
        <v>0</v>
      </c>
      <c r="BC30" s="229">
        <f>参数调整!AN24</f>
        <v>0</v>
      </c>
      <c r="BD30" s="229">
        <f>参数调整!AO24</f>
        <v>0</v>
      </c>
      <c r="BE30" s="229">
        <f>参数调整!AP24</f>
        <v>0</v>
      </c>
      <c r="BF30" s="229">
        <f>参数调整!AQ24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37644-F4AE-494B-8F7D-FAE470A28015}">
  <dimension ref="A1:BF30"/>
  <sheetViews>
    <sheetView topLeftCell="AJ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养成属性分配!CE31</f>
        <v>0</v>
      </c>
      <c r="AA30" s="8">
        <f>养成属性分配!CF31</f>
        <v>0</v>
      </c>
      <c r="AB30" s="8">
        <f>养成属性分配!CG31</f>
        <v>0</v>
      </c>
      <c r="AC30" s="8">
        <f>养成属性分配!CH31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参数调整!V25</f>
        <v>0</v>
      </c>
      <c r="AL30" s="229">
        <f>参数调整!W25</f>
        <v>0</v>
      </c>
      <c r="AM30" s="229">
        <f>参数调整!X25</f>
        <v>0</v>
      </c>
      <c r="AN30" s="229">
        <f>参数调整!Y25</f>
        <v>0</v>
      </c>
      <c r="AO30" s="229">
        <f>参数调整!Z25</f>
        <v>0</v>
      </c>
      <c r="AP30" s="229">
        <f>参数调整!AA25</f>
        <v>0</v>
      </c>
      <c r="AQ30" s="229">
        <f>参数调整!AB25</f>
        <v>0</v>
      </c>
      <c r="AR30" s="229">
        <f>参数调整!AC25</f>
        <v>0</v>
      </c>
      <c r="AS30" s="229">
        <f>参数调整!AD25</f>
        <v>0</v>
      </c>
      <c r="AT30" s="229">
        <f>参数调整!AE25</f>
        <v>0</v>
      </c>
      <c r="AU30" s="229">
        <f>参数调整!AF25</f>
        <v>0</v>
      </c>
      <c r="AV30" s="229">
        <f>参数调整!AG25</f>
        <v>0</v>
      </c>
      <c r="AW30" s="229">
        <f>参数调整!AH25</f>
        <v>0</v>
      </c>
      <c r="AX30" s="229">
        <f>参数调整!AI25</f>
        <v>0</v>
      </c>
      <c r="AY30" s="229">
        <f>参数调整!AJ25</f>
        <v>0</v>
      </c>
      <c r="AZ30" s="229">
        <f>参数调整!AK25</f>
        <v>0</v>
      </c>
      <c r="BA30" s="229">
        <f>参数调整!AL25</f>
        <v>0</v>
      </c>
      <c r="BB30" s="229">
        <f>参数调整!AM25</f>
        <v>0</v>
      </c>
      <c r="BC30" s="229">
        <f>参数调整!AN25</f>
        <v>0</v>
      </c>
      <c r="BD30" s="229">
        <f>参数调整!AO25</f>
        <v>0</v>
      </c>
      <c r="BE30" s="229">
        <f>参数调整!AP25</f>
        <v>0</v>
      </c>
      <c r="BF30" s="229">
        <f>参数调整!AQ25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49D7-F227-4450-B42B-6ECB6AC4F4BA}">
  <dimension ref="A1:BF30"/>
  <sheetViews>
    <sheetView topLeftCell="AJ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养成属性分配!CI31</f>
        <v>0</v>
      </c>
      <c r="AA30" s="8">
        <f>养成属性分配!CJ31</f>
        <v>0</v>
      </c>
      <c r="AB30" s="8">
        <f>养成属性分配!CK31</f>
        <v>0</v>
      </c>
      <c r="AC30" s="8">
        <f>养成属性分配!CL31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参数调整!V26</f>
        <v>0</v>
      </c>
      <c r="AL30" s="229">
        <f>参数调整!W26</f>
        <v>0</v>
      </c>
      <c r="AM30" s="229">
        <f>参数调整!X26</f>
        <v>0</v>
      </c>
      <c r="AN30" s="229">
        <f>参数调整!Y26</f>
        <v>0</v>
      </c>
      <c r="AO30" s="229">
        <f>参数调整!Z26</f>
        <v>0</v>
      </c>
      <c r="AP30" s="229">
        <f>参数调整!AA26</f>
        <v>0</v>
      </c>
      <c r="AQ30" s="229">
        <f>参数调整!AB26</f>
        <v>0</v>
      </c>
      <c r="AR30" s="229">
        <f>参数调整!AC26</f>
        <v>0</v>
      </c>
      <c r="AS30" s="229">
        <f>参数调整!AD26</f>
        <v>0</v>
      </c>
      <c r="AT30" s="229">
        <f>参数调整!AE26</f>
        <v>0</v>
      </c>
      <c r="AU30" s="229">
        <f>参数调整!AF26</f>
        <v>0</v>
      </c>
      <c r="AV30" s="229">
        <f>参数调整!AG26</f>
        <v>0</v>
      </c>
      <c r="AW30" s="229">
        <f>参数调整!AH26</f>
        <v>0</v>
      </c>
      <c r="AX30" s="229">
        <f>参数调整!AI26</f>
        <v>0</v>
      </c>
      <c r="AY30" s="229">
        <f>参数调整!AJ26</f>
        <v>0</v>
      </c>
      <c r="AZ30" s="229">
        <f>参数调整!AK26</f>
        <v>0</v>
      </c>
      <c r="BA30" s="229">
        <f>参数调整!AL26</f>
        <v>0</v>
      </c>
      <c r="BB30" s="229">
        <f>参数调整!AM26</f>
        <v>0</v>
      </c>
      <c r="BC30" s="229">
        <f>参数调整!AN26</f>
        <v>0</v>
      </c>
      <c r="BD30" s="229">
        <f>参数调整!AO26</f>
        <v>0</v>
      </c>
      <c r="BE30" s="229">
        <f>参数调整!AP26</f>
        <v>0</v>
      </c>
      <c r="BF30" s="229">
        <f>参数调整!AQ26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2DD0-FA47-456B-9656-515B083A3AEA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养成属性分配!CM31</f>
        <v>0</v>
      </c>
      <c r="AA30" s="8">
        <f>养成属性分配!CN31</f>
        <v>0</v>
      </c>
      <c r="AB30" s="8">
        <f>养成属性分配!CO31</f>
        <v>0</v>
      </c>
      <c r="AC30" s="8">
        <f>养成属性分配!CP31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参数调整!V27</f>
        <v>0</v>
      </c>
      <c r="AL30" s="229">
        <f>参数调整!W27</f>
        <v>0</v>
      </c>
      <c r="AM30" s="229">
        <f>参数调整!X27</f>
        <v>0</v>
      </c>
      <c r="AN30" s="229">
        <f>参数调整!Y27</f>
        <v>0</v>
      </c>
      <c r="AO30" s="229">
        <f>参数调整!Z27</f>
        <v>0</v>
      </c>
      <c r="AP30" s="229">
        <f>参数调整!AA27</f>
        <v>0</v>
      </c>
      <c r="AQ30" s="229">
        <f>参数调整!AB27</f>
        <v>0</v>
      </c>
      <c r="AR30" s="229">
        <f>参数调整!AC27</f>
        <v>0</v>
      </c>
      <c r="AS30" s="229">
        <f>参数调整!AD27</f>
        <v>0</v>
      </c>
      <c r="AT30" s="229">
        <f>参数调整!AE27</f>
        <v>0</v>
      </c>
      <c r="AU30" s="229">
        <f>参数调整!AF27</f>
        <v>0</v>
      </c>
      <c r="AV30" s="229">
        <f>参数调整!AG27</f>
        <v>0</v>
      </c>
      <c r="AW30" s="229">
        <f>参数调整!AH27</f>
        <v>0</v>
      </c>
      <c r="AX30" s="229">
        <f>参数调整!AI27</f>
        <v>0</v>
      </c>
      <c r="AY30" s="229">
        <f>参数调整!AJ27</f>
        <v>0</v>
      </c>
      <c r="AZ30" s="229">
        <f>参数调整!AK27</f>
        <v>0</v>
      </c>
      <c r="BA30" s="229">
        <f>参数调整!AL27</f>
        <v>0</v>
      </c>
      <c r="BB30" s="229">
        <f>参数调整!AM27</f>
        <v>0</v>
      </c>
      <c r="BC30" s="229">
        <f>参数调整!AN27</f>
        <v>0</v>
      </c>
      <c r="BD30" s="229">
        <f>参数调整!AO27</f>
        <v>0</v>
      </c>
      <c r="BE30" s="229">
        <f>参数调整!AP27</f>
        <v>0</v>
      </c>
      <c r="BF30" s="229">
        <f>参数调整!AQ27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DD06-1E69-4D18-87C8-56FE6C0AB318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养成属性分配!CQ31</f>
        <v>0</v>
      </c>
      <c r="AA30" s="8">
        <f>养成属性分配!CR31</f>
        <v>0</v>
      </c>
      <c r="AB30" s="8">
        <f>养成属性分配!CS31</f>
        <v>0</v>
      </c>
      <c r="AC30" s="8">
        <f>养成属性分配!CT31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参数调整!V28</f>
        <v>0</v>
      </c>
      <c r="AL30" s="229">
        <f>参数调整!W28</f>
        <v>0</v>
      </c>
      <c r="AM30" s="229">
        <f>参数调整!X28</f>
        <v>0</v>
      </c>
      <c r="AN30" s="229">
        <f>参数调整!Y28</f>
        <v>0</v>
      </c>
      <c r="AO30" s="229">
        <f>参数调整!Z28</f>
        <v>0</v>
      </c>
      <c r="AP30" s="229">
        <f>参数调整!AA28</f>
        <v>0</v>
      </c>
      <c r="AQ30" s="229">
        <f>参数调整!AB28</f>
        <v>0</v>
      </c>
      <c r="AR30" s="229">
        <f>参数调整!AC28</f>
        <v>0</v>
      </c>
      <c r="AS30" s="229">
        <f>参数调整!AD28</f>
        <v>0</v>
      </c>
      <c r="AT30" s="229">
        <f>参数调整!AE28</f>
        <v>0</v>
      </c>
      <c r="AU30" s="229">
        <f>参数调整!AF28</f>
        <v>0</v>
      </c>
      <c r="AV30" s="229">
        <f>参数调整!AG28</f>
        <v>0</v>
      </c>
      <c r="AW30" s="229">
        <f>参数调整!AH28</f>
        <v>0</v>
      </c>
      <c r="AX30" s="229">
        <f>参数调整!AI28</f>
        <v>0</v>
      </c>
      <c r="AY30" s="229">
        <f>参数调整!AJ28</f>
        <v>0</v>
      </c>
      <c r="AZ30" s="229">
        <f>参数调整!AK28</f>
        <v>0</v>
      </c>
      <c r="BA30" s="229">
        <f>参数调整!AL28</f>
        <v>0</v>
      </c>
      <c r="BB30" s="229">
        <f>参数调整!AM28</f>
        <v>0</v>
      </c>
      <c r="BC30" s="229">
        <f>参数调整!AN28</f>
        <v>0</v>
      </c>
      <c r="BD30" s="229">
        <f>参数调整!AO28</f>
        <v>0</v>
      </c>
      <c r="BE30" s="229">
        <f>参数调整!AP28</f>
        <v>0</v>
      </c>
      <c r="BF30" s="229">
        <f>参数调整!AQ28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C557-B4F5-498B-BB83-EB35D8FA91E4}">
  <dimension ref="A1:BF30"/>
  <sheetViews>
    <sheetView topLeftCell="AH3" workbookViewId="0">
      <selection activeCell="AK4" sqref="AK4:BF30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养成属性分配!CU31</f>
        <v>0</v>
      </c>
      <c r="AA30" s="8">
        <f>养成属性分配!CV31</f>
        <v>0</v>
      </c>
      <c r="AB30" s="8">
        <f>养成属性分配!CW31</f>
        <v>0</v>
      </c>
      <c r="AC30" s="8">
        <f>养成属性分配!CX31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参数调整!V29</f>
        <v>0</v>
      </c>
      <c r="AL30" s="229">
        <f>参数调整!W29</f>
        <v>0</v>
      </c>
      <c r="AM30" s="229">
        <f>参数调整!X29</f>
        <v>0</v>
      </c>
      <c r="AN30" s="229">
        <f>参数调整!Y29</f>
        <v>0</v>
      </c>
      <c r="AO30" s="229">
        <f>参数调整!Z29</f>
        <v>0</v>
      </c>
      <c r="AP30" s="229">
        <f>参数调整!AA29</f>
        <v>0</v>
      </c>
      <c r="AQ30" s="229">
        <f>参数调整!AB29</f>
        <v>0</v>
      </c>
      <c r="AR30" s="229">
        <f>参数调整!AC29</f>
        <v>0</v>
      </c>
      <c r="AS30" s="229">
        <f>参数调整!AD29</f>
        <v>0</v>
      </c>
      <c r="AT30" s="229">
        <f>参数调整!AE29</f>
        <v>0</v>
      </c>
      <c r="AU30" s="229">
        <f>参数调整!AF29</f>
        <v>0</v>
      </c>
      <c r="AV30" s="229">
        <f>参数调整!AG29</f>
        <v>0</v>
      </c>
      <c r="AW30" s="229">
        <f>参数调整!AH29</f>
        <v>0</v>
      </c>
      <c r="AX30" s="229">
        <f>参数调整!AI29</f>
        <v>0</v>
      </c>
      <c r="AY30" s="229">
        <f>参数调整!AJ29</f>
        <v>0</v>
      </c>
      <c r="AZ30" s="229">
        <f>参数调整!AK29</f>
        <v>0</v>
      </c>
      <c r="BA30" s="229">
        <f>参数调整!AL29</f>
        <v>0</v>
      </c>
      <c r="BB30" s="229">
        <f>参数调整!AM29</f>
        <v>0</v>
      </c>
      <c r="BC30" s="229">
        <f>参数调整!AN29</f>
        <v>0</v>
      </c>
      <c r="BD30" s="229">
        <f>参数调整!AO29</f>
        <v>0</v>
      </c>
      <c r="BE30" s="229">
        <f>参数调整!AP29</f>
        <v>0</v>
      </c>
      <c r="BF30" s="229">
        <f>参数调整!AQ29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57A4-790B-45AE-8A6F-A72E40C26E43}">
  <dimension ref="A1:BF30"/>
  <sheetViews>
    <sheetView topLeftCell="AI13" workbookViewId="0">
      <selection activeCell="BB34" sqref="BB34"/>
    </sheetView>
  </sheetViews>
  <sheetFormatPr defaultRowHeight="14.25" x14ac:dyDescent="0.2"/>
  <sheetData>
    <row r="1" spans="1:58" ht="16.5" x14ac:dyDescent="0.3">
      <c r="A1" s="12" t="s">
        <v>3745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306" t="s">
        <v>3723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8"/>
      <c r="V2" s="21" t="s">
        <v>3306</v>
      </c>
      <c r="W2" s="95" t="s">
        <v>3724</v>
      </c>
      <c r="X2" s="325" t="s">
        <v>3167</v>
      </c>
      <c r="Y2" s="325"/>
      <c r="Z2" s="325"/>
      <c r="AA2" s="325"/>
      <c r="AB2" s="325"/>
      <c r="AC2" s="325"/>
      <c r="AD2" s="325" t="s">
        <v>3443</v>
      </c>
      <c r="AE2" s="325"/>
      <c r="AF2" s="326" t="s">
        <v>3452</v>
      </c>
      <c r="AG2" s="326"/>
      <c r="AH2" s="326"/>
      <c r="AI2" s="326"/>
      <c r="AJ2" s="327" t="s">
        <v>3306</v>
      </c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2272</v>
      </c>
      <c r="M3" s="21" t="s">
        <v>2273</v>
      </c>
      <c r="N3" s="21" t="s">
        <v>2274</v>
      </c>
      <c r="O3" s="21" t="s">
        <v>2275</v>
      </c>
      <c r="P3" s="21" t="s">
        <v>67</v>
      </c>
      <c r="Q3" s="21" t="s">
        <v>72</v>
      </c>
      <c r="R3" s="21" t="s">
        <v>2276</v>
      </c>
      <c r="S3" s="21" t="s">
        <v>2277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3468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3428</v>
      </c>
      <c r="AE3" s="205" t="s">
        <v>3441</v>
      </c>
      <c r="AF3" s="227" t="s">
        <v>3447</v>
      </c>
      <c r="AG3" s="227" t="s">
        <v>3447</v>
      </c>
      <c r="AH3" s="227" t="s">
        <v>3447</v>
      </c>
      <c r="AI3" s="227" t="s">
        <v>3447</v>
      </c>
      <c r="AJ3" s="229" t="s">
        <v>55</v>
      </c>
      <c r="AK3" s="229" t="s">
        <v>2690</v>
      </c>
      <c r="AL3" s="229" t="s">
        <v>3002</v>
      </c>
      <c r="AM3" s="229" t="s">
        <v>2268</v>
      </c>
      <c r="AN3" s="229" t="s">
        <v>1919</v>
      </c>
      <c r="AO3" s="229" t="s">
        <v>3314</v>
      </c>
      <c r="AP3" s="229" t="s">
        <v>1920</v>
      </c>
      <c r="AQ3" s="229" t="s">
        <v>1921</v>
      </c>
      <c r="AR3" s="229" t="s">
        <v>1923</v>
      </c>
      <c r="AS3" s="229" t="s">
        <v>1924</v>
      </c>
      <c r="AT3" s="229" t="s">
        <v>3315</v>
      </c>
      <c r="AU3" s="229" t="s">
        <v>3316</v>
      </c>
      <c r="AV3" s="229" t="s">
        <v>3317</v>
      </c>
      <c r="AW3" s="229" t="s">
        <v>3318</v>
      </c>
      <c r="AX3" s="229" t="s">
        <v>3312</v>
      </c>
      <c r="AY3" s="229" t="s">
        <v>2264</v>
      </c>
      <c r="AZ3" s="229" t="s">
        <v>3319</v>
      </c>
      <c r="BA3" s="229" t="s">
        <v>2265</v>
      </c>
      <c r="BB3" s="229" t="s">
        <v>2266</v>
      </c>
      <c r="BC3" s="229" t="s">
        <v>3320</v>
      </c>
      <c r="BD3" s="229" t="s">
        <v>3321</v>
      </c>
      <c r="BE3" s="229" t="s">
        <v>3308</v>
      </c>
      <c r="BF3" s="229" t="s">
        <v>3322</v>
      </c>
    </row>
    <row r="4" spans="1:58" ht="16.5" x14ac:dyDescent="0.3">
      <c r="A4" s="8" t="s">
        <v>3643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f t="shared" ref="AK4:BF4" si="1">ROUND(1*1/27*AK30,0)</f>
        <v>0</v>
      </c>
      <c r="AL4" s="229">
        <f t="shared" si="1"/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</row>
    <row r="5" spans="1:58" ht="16.5" x14ac:dyDescent="0.3">
      <c r="A5" s="8" t="s">
        <v>3643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2">Z5</f>
        <v>0</v>
      </c>
      <c r="K5" s="8">
        <f t="shared" si="2"/>
        <v>0</v>
      </c>
      <c r="L5" s="8">
        <f t="shared" ref="L5:L30" si="3">0.5*AB5</f>
        <v>0</v>
      </c>
      <c r="M5" s="8">
        <f t="shared" ref="M5:M30" si="4">AB5</f>
        <v>0</v>
      </c>
      <c r="N5" s="8">
        <f t="shared" ref="N5:N30" si="5">0.5*AB5</f>
        <v>0</v>
      </c>
      <c r="O5" s="8">
        <f t="shared" ref="O5:O30" si="6">AB5</f>
        <v>0</v>
      </c>
      <c r="P5" s="8">
        <f t="shared" ref="P5:P30" si="7">0.5*AB5</f>
        <v>0</v>
      </c>
      <c r="Q5" s="8">
        <f t="shared" ref="Q5:Q30" si="8">AB5</f>
        <v>0</v>
      </c>
      <c r="R5" s="8">
        <f t="shared" ref="R5:R30" si="9">0.5*AC5</f>
        <v>0</v>
      </c>
      <c r="S5" s="8">
        <f t="shared" ref="S5:S30" si="10">AC5</f>
        <v>0</v>
      </c>
      <c r="T5" s="8">
        <f t="shared" ref="T5:T30" si="11">0.5*AC5</f>
        <v>0</v>
      </c>
      <c r="U5" s="8">
        <f t="shared" ref="U5:U30" si="12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3">INT(4.5/150*AA30)</f>
        <v>0</v>
      </c>
      <c r="AB5" s="226">
        <f t="shared" si="13"/>
        <v>0</v>
      </c>
      <c r="AC5" s="226">
        <f t="shared" si="13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4">X5</f>
        <v>2</v>
      </c>
      <c r="AK5" s="229">
        <f t="shared" ref="AK5:BF5" si="15">ROUND(2*1/27*AK30,0)</f>
        <v>0</v>
      </c>
      <c r="AL5" s="229">
        <f t="shared" si="15"/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</row>
    <row r="6" spans="1:58" ht="16.5" x14ac:dyDescent="0.3">
      <c r="A6" s="8" t="s">
        <v>3643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2"/>
        <v>0</v>
      </c>
      <c r="L6" s="8">
        <f t="shared" si="3"/>
        <v>0</v>
      </c>
      <c r="M6" s="8">
        <f t="shared" si="4"/>
        <v>0</v>
      </c>
      <c r="N6" s="8">
        <f t="shared" si="5"/>
        <v>0</v>
      </c>
      <c r="O6" s="8">
        <f t="shared" si="6"/>
        <v>0</v>
      </c>
      <c r="P6" s="8">
        <f t="shared" si="7"/>
        <v>0</v>
      </c>
      <c r="Q6" s="8">
        <f t="shared" si="8"/>
        <v>0</v>
      </c>
      <c r="R6" s="8">
        <f t="shared" si="9"/>
        <v>0</v>
      </c>
      <c r="S6" s="8">
        <f t="shared" si="10"/>
        <v>0</v>
      </c>
      <c r="T6" s="8">
        <f t="shared" si="11"/>
        <v>0</v>
      </c>
      <c r="U6" s="8">
        <f t="shared" si="12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6">INT(6/150*AA30)</f>
        <v>0</v>
      </c>
      <c r="AB6" s="226">
        <f t="shared" si="16"/>
        <v>0</v>
      </c>
      <c r="AC6" s="226">
        <f t="shared" si="16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4"/>
        <v>3</v>
      </c>
      <c r="AK6" s="229">
        <f t="shared" ref="AK6:BF6" si="17">ROUND(3*1/27*AK30,0)</f>
        <v>0</v>
      </c>
      <c r="AL6" s="229">
        <f t="shared" si="17"/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</row>
    <row r="7" spans="1:58" ht="16.5" x14ac:dyDescent="0.3">
      <c r="A7" s="8" t="s">
        <v>3643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2"/>
        <v>0</v>
      </c>
      <c r="L7" s="8">
        <f t="shared" si="3"/>
        <v>0</v>
      </c>
      <c r="M7" s="8">
        <f t="shared" si="4"/>
        <v>0</v>
      </c>
      <c r="N7" s="8">
        <f t="shared" si="5"/>
        <v>0</v>
      </c>
      <c r="O7" s="8">
        <f t="shared" si="6"/>
        <v>0</v>
      </c>
      <c r="P7" s="8">
        <f t="shared" si="7"/>
        <v>0</v>
      </c>
      <c r="Q7" s="8">
        <f t="shared" si="8"/>
        <v>0</v>
      </c>
      <c r="R7" s="8">
        <f t="shared" si="9"/>
        <v>0</v>
      </c>
      <c r="S7" s="8">
        <f t="shared" si="10"/>
        <v>0</v>
      </c>
      <c r="T7" s="8">
        <f t="shared" si="11"/>
        <v>0</v>
      </c>
      <c r="U7" s="8">
        <f t="shared" si="12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8">INT(7.5/150*AA30)</f>
        <v>0</v>
      </c>
      <c r="AB7" s="226">
        <f t="shared" si="18"/>
        <v>0</v>
      </c>
      <c r="AC7" s="226">
        <f t="shared" si="18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4"/>
        <v>4</v>
      </c>
      <c r="AK7" s="229">
        <f t="shared" ref="AK7:BF7" si="19">ROUND(4*1/27*AK30,0)</f>
        <v>0</v>
      </c>
      <c r="AL7" s="229">
        <f t="shared" si="19"/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</row>
    <row r="8" spans="1:58" ht="16.5" x14ac:dyDescent="0.3">
      <c r="A8" s="8" t="s">
        <v>3643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2"/>
        <v>0</v>
      </c>
      <c r="L8" s="8">
        <f t="shared" si="3"/>
        <v>0</v>
      </c>
      <c r="M8" s="8">
        <f t="shared" si="4"/>
        <v>0</v>
      </c>
      <c r="N8" s="8">
        <f t="shared" si="5"/>
        <v>0</v>
      </c>
      <c r="O8" s="8">
        <f t="shared" si="6"/>
        <v>0</v>
      </c>
      <c r="P8" s="8">
        <f t="shared" si="7"/>
        <v>0</v>
      </c>
      <c r="Q8" s="8">
        <f t="shared" si="8"/>
        <v>0</v>
      </c>
      <c r="R8" s="8">
        <f t="shared" si="9"/>
        <v>0</v>
      </c>
      <c r="S8" s="8">
        <f t="shared" si="10"/>
        <v>0</v>
      </c>
      <c r="T8" s="8">
        <f t="shared" si="11"/>
        <v>0</v>
      </c>
      <c r="U8" s="8">
        <f t="shared" si="12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20">INT(9.75/150*AA30)</f>
        <v>0</v>
      </c>
      <c r="AB8" s="226">
        <f t="shared" si="20"/>
        <v>0</v>
      </c>
      <c r="AC8" s="226">
        <f t="shared" si="20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4"/>
        <v>5</v>
      </c>
      <c r="AK8" s="229">
        <f t="shared" ref="AK8:BF8" si="21">ROUND(5*1/27*AK30,0)</f>
        <v>0</v>
      </c>
      <c r="AL8" s="229">
        <f t="shared" si="21"/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</row>
    <row r="9" spans="1:58" ht="16.5" x14ac:dyDescent="0.3">
      <c r="A9" s="8" t="s">
        <v>3643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2"/>
        <v>0</v>
      </c>
      <c r="L9" s="8">
        <f t="shared" si="3"/>
        <v>0</v>
      </c>
      <c r="M9" s="8">
        <f t="shared" si="4"/>
        <v>0</v>
      </c>
      <c r="N9" s="8">
        <f t="shared" si="5"/>
        <v>0</v>
      </c>
      <c r="O9" s="8">
        <f t="shared" si="6"/>
        <v>0</v>
      </c>
      <c r="P9" s="8">
        <f t="shared" si="7"/>
        <v>0</v>
      </c>
      <c r="Q9" s="8">
        <f t="shared" si="8"/>
        <v>0</v>
      </c>
      <c r="R9" s="8">
        <f t="shared" si="9"/>
        <v>0</v>
      </c>
      <c r="S9" s="8">
        <f t="shared" si="10"/>
        <v>0</v>
      </c>
      <c r="T9" s="8">
        <f t="shared" si="11"/>
        <v>0</v>
      </c>
      <c r="U9" s="8">
        <f t="shared" si="12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22">INT(12/150*AA30)</f>
        <v>0</v>
      </c>
      <c r="AB9" s="226">
        <f t="shared" si="22"/>
        <v>0</v>
      </c>
      <c r="AC9" s="226">
        <f t="shared" si="22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4"/>
        <v>6</v>
      </c>
      <c r="AK9" s="229">
        <f t="shared" ref="AK9:BF9" si="23">ROUND(6*1/27*AK30,0)</f>
        <v>0</v>
      </c>
      <c r="AL9" s="229">
        <f t="shared" si="23"/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</row>
    <row r="10" spans="1:58" ht="16.5" x14ac:dyDescent="0.3">
      <c r="A10" s="8" t="s">
        <v>3643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2"/>
        <v>0</v>
      </c>
      <c r="L10" s="8">
        <f t="shared" si="3"/>
        <v>0</v>
      </c>
      <c r="M10" s="8">
        <f t="shared" si="4"/>
        <v>0</v>
      </c>
      <c r="N10" s="8">
        <f t="shared" si="5"/>
        <v>0</v>
      </c>
      <c r="O10" s="8">
        <f t="shared" si="6"/>
        <v>0</v>
      </c>
      <c r="P10" s="8">
        <f t="shared" si="7"/>
        <v>0</v>
      </c>
      <c r="Q10" s="8">
        <f t="shared" si="8"/>
        <v>0</v>
      </c>
      <c r="R10" s="8">
        <f t="shared" si="9"/>
        <v>0</v>
      </c>
      <c r="S10" s="8">
        <f t="shared" si="10"/>
        <v>0</v>
      </c>
      <c r="T10" s="8">
        <f t="shared" si="11"/>
        <v>0</v>
      </c>
      <c r="U10" s="8">
        <f t="shared" si="12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24">INT(14.25/150*AA30)</f>
        <v>0</v>
      </c>
      <c r="AB10" s="226">
        <f t="shared" si="24"/>
        <v>0</v>
      </c>
      <c r="AC10" s="226">
        <f t="shared" si="24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4"/>
        <v>7</v>
      </c>
      <c r="AK10" s="229">
        <f t="shared" ref="AK10:BF10" si="25">ROUND(7*1/27*AK30,0)</f>
        <v>0</v>
      </c>
      <c r="AL10" s="229">
        <f t="shared" si="25"/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</row>
    <row r="11" spans="1:58" ht="16.5" x14ac:dyDescent="0.3">
      <c r="A11" s="8" t="s">
        <v>3643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2"/>
        <v>0</v>
      </c>
      <c r="L11" s="8">
        <f t="shared" si="3"/>
        <v>0</v>
      </c>
      <c r="M11" s="8">
        <f t="shared" si="4"/>
        <v>0</v>
      </c>
      <c r="N11" s="8">
        <f t="shared" si="5"/>
        <v>0</v>
      </c>
      <c r="O11" s="8">
        <f t="shared" si="6"/>
        <v>0</v>
      </c>
      <c r="P11" s="8">
        <f t="shared" si="7"/>
        <v>0</v>
      </c>
      <c r="Q11" s="8">
        <f t="shared" si="8"/>
        <v>0</v>
      </c>
      <c r="R11" s="8">
        <f t="shared" si="9"/>
        <v>0</v>
      </c>
      <c r="S11" s="8">
        <f t="shared" si="10"/>
        <v>0</v>
      </c>
      <c r="T11" s="8">
        <f t="shared" si="11"/>
        <v>0</v>
      </c>
      <c r="U11" s="8">
        <f t="shared" si="12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26">INT(16.5/150*AA30)</f>
        <v>0</v>
      </c>
      <c r="AB11" s="226">
        <f t="shared" si="26"/>
        <v>0</v>
      </c>
      <c r="AC11" s="226">
        <f t="shared" si="26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4"/>
        <v>8</v>
      </c>
      <c r="AK11" s="229">
        <f t="shared" ref="AK11:BF11" si="27">ROUND(8*1/27*AK30,0)</f>
        <v>0</v>
      </c>
      <c r="AL11" s="229">
        <f t="shared" si="27"/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</row>
    <row r="12" spans="1:58" ht="16.5" x14ac:dyDescent="0.3">
      <c r="A12" s="8" t="s">
        <v>3643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2"/>
        <v>0</v>
      </c>
      <c r="L12" s="8">
        <f t="shared" si="3"/>
        <v>0</v>
      </c>
      <c r="M12" s="8">
        <f t="shared" si="4"/>
        <v>0</v>
      </c>
      <c r="N12" s="8">
        <f t="shared" si="5"/>
        <v>0</v>
      </c>
      <c r="O12" s="8">
        <f t="shared" si="6"/>
        <v>0</v>
      </c>
      <c r="P12" s="8">
        <f t="shared" si="7"/>
        <v>0</v>
      </c>
      <c r="Q12" s="8">
        <f t="shared" si="8"/>
        <v>0</v>
      </c>
      <c r="R12" s="8">
        <f t="shared" si="9"/>
        <v>0</v>
      </c>
      <c r="S12" s="8">
        <f t="shared" si="10"/>
        <v>0</v>
      </c>
      <c r="T12" s="8">
        <f t="shared" si="11"/>
        <v>0</v>
      </c>
      <c r="U12" s="8">
        <f t="shared" si="12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8">INT(21/150*AA30)</f>
        <v>0</v>
      </c>
      <c r="AB12" s="226">
        <f t="shared" si="28"/>
        <v>0</v>
      </c>
      <c r="AC12" s="226">
        <f t="shared" si="28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4"/>
        <v>9</v>
      </c>
      <c r="AK12" s="229">
        <f t="shared" ref="AK12:BF12" si="29">ROUND(9*1/27*AK30,0)</f>
        <v>0</v>
      </c>
      <c r="AL12" s="229">
        <f t="shared" si="29"/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</row>
    <row r="13" spans="1:58" ht="16.5" x14ac:dyDescent="0.3">
      <c r="A13" s="8" t="s">
        <v>3643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2"/>
        <v>0</v>
      </c>
      <c r="L13" s="8">
        <f t="shared" si="3"/>
        <v>0</v>
      </c>
      <c r="M13" s="8">
        <f t="shared" si="4"/>
        <v>0</v>
      </c>
      <c r="N13" s="8">
        <f t="shared" si="5"/>
        <v>0</v>
      </c>
      <c r="O13" s="8">
        <f t="shared" si="6"/>
        <v>0</v>
      </c>
      <c r="P13" s="8">
        <f t="shared" si="7"/>
        <v>0</v>
      </c>
      <c r="Q13" s="8">
        <f t="shared" si="8"/>
        <v>0</v>
      </c>
      <c r="R13" s="8">
        <f t="shared" si="9"/>
        <v>0</v>
      </c>
      <c r="S13" s="8">
        <f t="shared" si="10"/>
        <v>0</v>
      </c>
      <c r="T13" s="8">
        <f t="shared" si="11"/>
        <v>0</v>
      </c>
      <c r="U13" s="8">
        <f t="shared" si="12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30">INT(27/150*AA30)</f>
        <v>0</v>
      </c>
      <c r="AB13" s="226">
        <f t="shared" si="30"/>
        <v>0</v>
      </c>
      <c r="AC13" s="226">
        <f t="shared" si="30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4"/>
        <v>10</v>
      </c>
      <c r="AK13" s="229">
        <f t="shared" ref="AK13:BF13" si="31">ROUND(10*1/27*AK30,0)</f>
        <v>0</v>
      </c>
      <c r="AL13" s="229">
        <f t="shared" si="31"/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</row>
    <row r="14" spans="1:58" ht="16.5" x14ac:dyDescent="0.3">
      <c r="A14" s="8" t="s">
        <v>3643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2"/>
        <v>0</v>
      </c>
      <c r="L14" s="8">
        <f t="shared" si="3"/>
        <v>0</v>
      </c>
      <c r="M14" s="8">
        <f t="shared" si="4"/>
        <v>0</v>
      </c>
      <c r="N14" s="8">
        <f t="shared" si="5"/>
        <v>0</v>
      </c>
      <c r="O14" s="8">
        <f t="shared" si="6"/>
        <v>0</v>
      </c>
      <c r="P14" s="8">
        <f t="shared" si="7"/>
        <v>0</v>
      </c>
      <c r="Q14" s="8">
        <f t="shared" si="8"/>
        <v>0</v>
      </c>
      <c r="R14" s="8">
        <f t="shared" si="9"/>
        <v>0</v>
      </c>
      <c r="S14" s="8">
        <f t="shared" si="10"/>
        <v>0</v>
      </c>
      <c r="T14" s="8">
        <f t="shared" si="11"/>
        <v>0</v>
      </c>
      <c r="U14" s="8">
        <f t="shared" si="12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32">INT(33/150*AA30)</f>
        <v>0</v>
      </c>
      <c r="AB14" s="226">
        <f t="shared" si="32"/>
        <v>0</v>
      </c>
      <c r="AC14" s="226">
        <f t="shared" si="3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4"/>
        <v>11</v>
      </c>
      <c r="AK14" s="229">
        <f t="shared" ref="AK14:BF14" si="33">ROUND(11*1/27*AK30,0)</f>
        <v>0</v>
      </c>
      <c r="AL14" s="229">
        <f t="shared" si="33"/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</row>
    <row r="15" spans="1:58" ht="16.5" x14ac:dyDescent="0.3">
      <c r="A15" s="8" t="s">
        <v>3643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2"/>
        <v>0</v>
      </c>
      <c r="L15" s="8">
        <f t="shared" si="3"/>
        <v>0</v>
      </c>
      <c r="M15" s="8">
        <f t="shared" si="4"/>
        <v>0</v>
      </c>
      <c r="N15" s="8">
        <f t="shared" si="5"/>
        <v>0</v>
      </c>
      <c r="O15" s="8">
        <f t="shared" si="6"/>
        <v>0</v>
      </c>
      <c r="P15" s="8">
        <f t="shared" si="7"/>
        <v>0</v>
      </c>
      <c r="Q15" s="8">
        <f t="shared" si="8"/>
        <v>0</v>
      </c>
      <c r="R15" s="8">
        <f t="shared" si="9"/>
        <v>0</v>
      </c>
      <c r="S15" s="8">
        <f t="shared" si="10"/>
        <v>0</v>
      </c>
      <c r="T15" s="8">
        <f t="shared" si="11"/>
        <v>0</v>
      </c>
      <c r="U15" s="8">
        <f t="shared" si="12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34">INT(38.25/150*AA30)</f>
        <v>0</v>
      </c>
      <c r="AB15" s="226">
        <f t="shared" si="34"/>
        <v>0</v>
      </c>
      <c r="AC15" s="226">
        <f t="shared" si="34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4"/>
        <v>12</v>
      </c>
      <c r="AK15" s="229">
        <f t="shared" ref="AK15:BF15" si="35">ROUND(12*1/27*AK30,0)</f>
        <v>0</v>
      </c>
      <c r="AL15" s="229">
        <f t="shared" si="35"/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</row>
    <row r="16" spans="1:58" ht="16.5" x14ac:dyDescent="0.3">
      <c r="A16" s="8" t="s">
        <v>3643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2"/>
        <v>0</v>
      </c>
      <c r="L16" s="8">
        <f t="shared" si="3"/>
        <v>0</v>
      </c>
      <c r="M16" s="8">
        <f t="shared" si="4"/>
        <v>0</v>
      </c>
      <c r="N16" s="8">
        <f t="shared" si="5"/>
        <v>0</v>
      </c>
      <c r="O16" s="8">
        <f t="shared" si="6"/>
        <v>0</v>
      </c>
      <c r="P16" s="8">
        <f t="shared" si="7"/>
        <v>0</v>
      </c>
      <c r="Q16" s="8">
        <f t="shared" si="8"/>
        <v>0</v>
      </c>
      <c r="R16" s="8">
        <f t="shared" si="9"/>
        <v>0</v>
      </c>
      <c r="S16" s="8">
        <f t="shared" si="10"/>
        <v>0</v>
      </c>
      <c r="T16" s="8">
        <f t="shared" si="11"/>
        <v>0</v>
      </c>
      <c r="U16" s="8">
        <f t="shared" si="12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36">INT(43.5/150*AA30)</f>
        <v>0</v>
      </c>
      <c r="AB16" s="226">
        <f t="shared" si="36"/>
        <v>0</v>
      </c>
      <c r="AC16" s="226">
        <f t="shared" si="36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4"/>
        <v>13</v>
      </c>
      <c r="AK16" s="229">
        <f t="shared" ref="AK16:BF16" si="37">ROUND(13*1/27*AK30,0)</f>
        <v>0</v>
      </c>
      <c r="AL16" s="229">
        <f t="shared" si="37"/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</row>
    <row r="17" spans="1:58" ht="16.5" x14ac:dyDescent="0.3">
      <c r="A17" s="8" t="s">
        <v>3643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2"/>
        <v>0</v>
      </c>
      <c r="L17" s="8">
        <f t="shared" si="3"/>
        <v>0</v>
      </c>
      <c r="M17" s="8">
        <f t="shared" si="4"/>
        <v>0</v>
      </c>
      <c r="N17" s="8">
        <f t="shared" si="5"/>
        <v>0</v>
      </c>
      <c r="O17" s="8">
        <f t="shared" si="6"/>
        <v>0</v>
      </c>
      <c r="P17" s="8">
        <f t="shared" si="7"/>
        <v>0</v>
      </c>
      <c r="Q17" s="8">
        <f t="shared" si="8"/>
        <v>0</v>
      </c>
      <c r="R17" s="8">
        <f t="shared" si="9"/>
        <v>0</v>
      </c>
      <c r="S17" s="8">
        <f t="shared" si="10"/>
        <v>0</v>
      </c>
      <c r="T17" s="8">
        <f t="shared" si="11"/>
        <v>0</v>
      </c>
      <c r="U17" s="8">
        <f t="shared" si="12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38">INT(48/150*AA30)</f>
        <v>0</v>
      </c>
      <c r="AB17" s="226">
        <f t="shared" si="38"/>
        <v>0</v>
      </c>
      <c r="AC17" s="226">
        <f t="shared" si="38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4"/>
        <v>14</v>
      </c>
      <c r="AK17" s="229">
        <f t="shared" ref="AK17:BF17" si="39">ROUND(14*1/27*AK30,0)</f>
        <v>0</v>
      </c>
      <c r="AL17" s="229">
        <f t="shared" si="39"/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</row>
    <row r="18" spans="1:58" ht="16.5" x14ac:dyDescent="0.3">
      <c r="A18" s="8" t="s">
        <v>3643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2"/>
        <v>0</v>
      </c>
      <c r="L18" s="8">
        <f t="shared" si="3"/>
        <v>0</v>
      </c>
      <c r="M18" s="8">
        <f t="shared" si="4"/>
        <v>0</v>
      </c>
      <c r="N18" s="8">
        <f t="shared" si="5"/>
        <v>0</v>
      </c>
      <c r="O18" s="8">
        <f t="shared" si="6"/>
        <v>0</v>
      </c>
      <c r="P18" s="8">
        <f t="shared" si="7"/>
        <v>0</v>
      </c>
      <c r="Q18" s="8">
        <f t="shared" si="8"/>
        <v>0</v>
      </c>
      <c r="R18" s="8">
        <f t="shared" si="9"/>
        <v>0</v>
      </c>
      <c r="S18" s="8">
        <f t="shared" si="10"/>
        <v>0</v>
      </c>
      <c r="T18" s="8">
        <f t="shared" si="11"/>
        <v>0</v>
      </c>
      <c r="U18" s="8">
        <f t="shared" si="12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40">INT(52.5/150*AA30)</f>
        <v>0</v>
      </c>
      <c r="AB18" s="226">
        <f t="shared" si="40"/>
        <v>0</v>
      </c>
      <c r="AC18" s="226">
        <f t="shared" si="40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4"/>
        <v>15</v>
      </c>
      <c r="AK18" s="229">
        <f t="shared" ref="AK18:BF18" si="41">ROUND(15*1/27*AK30,0)</f>
        <v>0</v>
      </c>
      <c r="AL18" s="229">
        <f t="shared" si="41"/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</row>
    <row r="19" spans="1:58" ht="16.5" x14ac:dyDescent="0.3">
      <c r="A19" s="8" t="s">
        <v>3643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2"/>
        <v>0</v>
      </c>
      <c r="L19" s="8">
        <f t="shared" si="3"/>
        <v>0</v>
      </c>
      <c r="M19" s="8">
        <f t="shared" si="4"/>
        <v>0</v>
      </c>
      <c r="N19" s="8">
        <f t="shared" si="5"/>
        <v>0</v>
      </c>
      <c r="O19" s="8">
        <f t="shared" si="6"/>
        <v>0</v>
      </c>
      <c r="P19" s="8">
        <f t="shared" si="7"/>
        <v>0</v>
      </c>
      <c r="Q19" s="8">
        <f t="shared" si="8"/>
        <v>0</v>
      </c>
      <c r="R19" s="8">
        <f t="shared" si="9"/>
        <v>0</v>
      </c>
      <c r="S19" s="8">
        <f t="shared" si="10"/>
        <v>0</v>
      </c>
      <c r="T19" s="8">
        <f t="shared" si="11"/>
        <v>0</v>
      </c>
      <c r="U19" s="8">
        <f t="shared" si="12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42">INT(56.25/150*AA30)</f>
        <v>0</v>
      </c>
      <c r="AB19" s="226">
        <f t="shared" si="42"/>
        <v>0</v>
      </c>
      <c r="AC19" s="226">
        <f t="shared" si="42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4"/>
        <v>16</v>
      </c>
      <c r="AK19" s="229">
        <f t="shared" ref="AK19:BF19" si="43">ROUND(16*1/27*AK30,0)</f>
        <v>0</v>
      </c>
      <c r="AL19" s="229">
        <f t="shared" si="43"/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</row>
    <row r="20" spans="1:58" ht="16.5" x14ac:dyDescent="0.3">
      <c r="A20" s="8" t="s">
        <v>3643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2"/>
        <v>0</v>
      </c>
      <c r="L20" s="8">
        <f t="shared" si="3"/>
        <v>0</v>
      </c>
      <c r="M20" s="8">
        <f t="shared" si="4"/>
        <v>0</v>
      </c>
      <c r="N20" s="8">
        <f t="shared" si="5"/>
        <v>0</v>
      </c>
      <c r="O20" s="8">
        <f t="shared" si="6"/>
        <v>0</v>
      </c>
      <c r="P20" s="8">
        <f t="shared" si="7"/>
        <v>0</v>
      </c>
      <c r="Q20" s="8">
        <f t="shared" si="8"/>
        <v>0</v>
      </c>
      <c r="R20" s="8">
        <f t="shared" si="9"/>
        <v>0</v>
      </c>
      <c r="S20" s="8">
        <f t="shared" si="10"/>
        <v>0</v>
      </c>
      <c r="T20" s="8">
        <f t="shared" si="11"/>
        <v>0</v>
      </c>
      <c r="U20" s="8">
        <f t="shared" si="12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44">INT(60/150*AA30)</f>
        <v>0</v>
      </c>
      <c r="AB20" s="226">
        <f t="shared" si="44"/>
        <v>0</v>
      </c>
      <c r="AC20" s="226">
        <f t="shared" si="44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4"/>
        <v>17</v>
      </c>
      <c r="AK20" s="229">
        <f t="shared" ref="AK20:BF20" si="45">ROUND(17*1/27*AK30,0)</f>
        <v>0</v>
      </c>
      <c r="AL20" s="229">
        <f t="shared" si="45"/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</row>
    <row r="21" spans="1:58" ht="16.5" x14ac:dyDescent="0.3">
      <c r="A21" s="8" t="s">
        <v>3643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2"/>
        <v>0</v>
      </c>
      <c r="L21" s="8">
        <f t="shared" si="3"/>
        <v>0</v>
      </c>
      <c r="M21" s="8">
        <f t="shared" si="4"/>
        <v>0</v>
      </c>
      <c r="N21" s="8">
        <f t="shared" si="5"/>
        <v>0</v>
      </c>
      <c r="O21" s="8">
        <f t="shared" si="6"/>
        <v>0</v>
      </c>
      <c r="P21" s="8">
        <f t="shared" si="7"/>
        <v>0</v>
      </c>
      <c r="Q21" s="8">
        <f t="shared" si="8"/>
        <v>0</v>
      </c>
      <c r="R21" s="8">
        <f t="shared" si="9"/>
        <v>0</v>
      </c>
      <c r="S21" s="8">
        <f t="shared" si="10"/>
        <v>0</v>
      </c>
      <c r="T21" s="8">
        <f t="shared" si="11"/>
        <v>0</v>
      </c>
      <c r="U21" s="8">
        <f t="shared" si="12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46">INT(66/150*AA30)</f>
        <v>0</v>
      </c>
      <c r="AB21" s="226">
        <f t="shared" si="46"/>
        <v>0</v>
      </c>
      <c r="AC21" s="226">
        <f t="shared" si="46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4"/>
        <v>18</v>
      </c>
      <c r="AK21" s="229">
        <f t="shared" ref="AK21:BF21" si="47">ROUND(18*1/27*AK30,0)</f>
        <v>0</v>
      </c>
      <c r="AL21" s="229">
        <f t="shared" si="47"/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</row>
    <row r="22" spans="1:58" ht="16.5" x14ac:dyDescent="0.3">
      <c r="A22" s="8" t="s">
        <v>3643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2"/>
        <v>0</v>
      </c>
      <c r="L22" s="8">
        <f t="shared" si="3"/>
        <v>0</v>
      </c>
      <c r="M22" s="8">
        <f t="shared" si="4"/>
        <v>0</v>
      </c>
      <c r="N22" s="8">
        <f t="shared" si="5"/>
        <v>0</v>
      </c>
      <c r="O22" s="8">
        <f t="shared" si="6"/>
        <v>0</v>
      </c>
      <c r="P22" s="8">
        <f t="shared" si="7"/>
        <v>0</v>
      </c>
      <c r="Q22" s="8">
        <f t="shared" si="8"/>
        <v>0</v>
      </c>
      <c r="R22" s="8">
        <f t="shared" si="9"/>
        <v>0</v>
      </c>
      <c r="S22" s="8">
        <f t="shared" si="10"/>
        <v>0</v>
      </c>
      <c r="T22" s="8">
        <f t="shared" si="11"/>
        <v>0</v>
      </c>
      <c r="U22" s="8">
        <f t="shared" si="12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48">INT(72/150*AA30)</f>
        <v>0</v>
      </c>
      <c r="AB22" s="226">
        <f t="shared" si="48"/>
        <v>0</v>
      </c>
      <c r="AC22" s="226">
        <f t="shared" si="48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4"/>
        <v>19</v>
      </c>
      <c r="AK22" s="229">
        <f t="shared" ref="AK22:BF22" si="49">ROUND(19*1/27*AK30,0)</f>
        <v>0</v>
      </c>
      <c r="AL22" s="229">
        <f t="shared" si="49"/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</row>
    <row r="23" spans="1:58" ht="16.5" x14ac:dyDescent="0.3">
      <c r="A23" s="8" t="s">
        <v>3643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2"/>
        <v>0</v>
      </c>
      <c r="L23" s="8">
        <f t="shared" si="3"/>
        <v>0</v>
      </c>
      <c r="M23" s="8">
        <f t="shared" si="4"/>
        <v>0</v>
      </c>
      <c r="N23" s="8">
        <f t="shared" si="5"/>
        <v>0</v>
      </c>
      <c r="O23" s="8">
        <f t="shared" si="6"/>
        <v>0</v>
      </c>
      <c r="P23" s="8">
        <f t="shared" si="7"/>
        <v>0</v>
      </c>
      <c r="Q23" s="8">
        <f t="shared" si="8"/>
        <v>0</v>
      </c>
      <c r="R23" s="8">
        <f t="shared" si="9"/>
        <v>0</v>
      </c>
      <c r="S23" s="8">
        <f t="shared" si="10"/>
        <v>0</v>
      </c>
      <c r="T23" s="8">
        <f t="shared" si="11"/>
        <v>0</v>
      </c>
      <c r="U23" s="8">
        <f t="shared" si="12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0">INT(79.5/150*AA30)</f>
        <v>0</v>
      </c>
      <c r="AB23" s="226">
        <f t="shared" si="50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4"/>
        <v>20</v>
      </c>
      <c r="AK23" s="229">
        <f t="shared" ref="AK23:BF23" si="51">ROUND(20*1/27*AK30,0)</f>
        <v>0</v>
      </c>
      <c r="AL23" s="229">
        <f t="shared" si="51"/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</row>
    <row r="24" spans="1:58" ht="16.5" x14ac:dyDescent="0.3">
      <c r="A24" s="8" t="s">
        <v>3643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2"/>
        <v>0</v>
      </c>
      <c r="L24" s="8">
        <f t="shared" si="3"/>
        <v>0</v>
      </c>
      <c r="M24" s="8">
        <f t="shared" si="4"/>
        <v>0</v>
      </c>
      <c r="N24" s="8">
        <f t="shared" si="5"/>
        <v>0</v>
      </c>
      <c r="O24" s="8">
        <f t="shared" si="6"/>
        <v>0</v>
      </c>
      <c r="P24" s="8">
        <f t="shared" si="7"/>
        <v>0</v>
      </c>
      <c r="Q24" s="8">
        <f t="shared" si="8"/>
        <v>0</v>
      </c>
      <c r="R24" s="8">
        <f t="shared" si="9"/>
        <v>0</v>
      </c>
      <c r="S24" s="8">
        <f t="shared" si="10"/>
        <v>0</v>
      </c>
      <c r="T24" s="8">
        <f t="shared" si="11"/>
        <v>0</v>
      </c>
      <c r="U24" s="8">
        <f t="shared" si="12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52">INT(87/150*AA30)</f>
        <v>0</v>
      </c>
      <c r="AB24" s="226">
        <f t="shared" si="52"/>
        <v>0</v>
      </c>
      <c r="AC24" s="226">
        <f t="shared" si="5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4"/>
        <v>21</v>
      </c>
      <c r="AK24" s="229">
        <f t="shared" ref="AK24:BF24" si="53">ROUND(21*1/27*AK30,0)</f>
        <v>0</v>
      </c>
      <c r="AL24" s="229">
        <f t="shared" si="53"/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</row>
    <row r="25" spans="1:58" ht="16.5" x14ac:dyDescent="0.3">
      <c r="A25" s="8" t="s">
        <v>3643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2"/>
        <v>0</v>
      </c>
      <c r="L25" s="8">
        <f t="shared" si="3"/>
        <v>0</v>
      </c>
      <c r="M25" s="8">
        <f t="shared" si="4"/>
        <v>0</v>
      </c>
      <c r="N25" s="8">
        <f t="shared" si="5"/>
        <v>0</v>
      </c>
      <c r="O25" s="8">
        <f t="shared" si="6"/>
        <v>0</v>
      </c>
      <c r="P25" s="8">
        <f t="shared" si="7"/>
        <v>0</v>
      </c>
      <c r="Q25" s="8">
        <f t="shared" si="8"/>
        <v>0</v>
      </c>
      <c r="R25" s="8">
        <f t="shared" si="9"/>
        <v>0</v>
      </c>
      <c r="S25" s="8">
        <f t="shared" si="10"/>
        <v>0</v>
      </c>
      <c r="T25" s="8">
        <f t="shared" si="11"/>
        <v>0</v>
      </c>
      <c r="U25" s="8">
        <f t="shared" si="12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54">INT(96/150*AA30)</f>
        <v>0</v>
      </c>
      <c r="AB25" s="226">
        <f t="shared" si="54"/>
        <v>0</v>
      </c>
      <c r="AC25" s="226">
        <f t="shared" si="54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4"/>
        <v>22</v>
      </c>
      <c r="AK25" s="229">
        <f t="shared" ref="AK25:BF25" si="55">ROUND(22*1/27*AK30,0)</f>
        <v>0</v>
      </c>
      <c r="AL25" s="229">
        <f t="shared" si="55"/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</row>
    <row r="26" spans="1:58" ht="16.5" x14ac:dyDescent="0.3">
      <c r="A26" s="8" t="s">
        <v>3643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2"/>
        <v>0</v>
      </c>
      <c r="L26" s="8">
        <f t="shared" si="3"/>
        <v>0</v>
      </c>
      <c r="M26" s="8">
        <f t="shared" si="4"/>
        <v>0</v>
      </c>
      <c r="N26" s="8">
        <f t="shared" si="5"/>
        <v>0</v>
      </c>
      <c r="O26" s="8">
        <f t="shared" si="6"/>
        <v>0</v>
      </c>
      <c r="P26" s="8">
        <f t="shared" si="7"/>
        <v>0</v>
      </c>
      <c r="Q26" s="8">
        <f t="shared" si="8"/>
        <v>0</v>
      </c>
      <c r="R26" s="8">
        <f t="shared" si="9"/>
        <v>0</v>
      </c>
      <c r="S26" s="8">
        <f t="shared" si="10"/>
        <v>0</v>
      </c>
      <c r="T26" s="8">
        <f t="shared" si="11"/>
        <v>0</v>
      </c>
      <c r="U26" s="8">
        <f t="shared" si="12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56">INT(105/150*AA30)</f>
        <v>0</v>
      </c>
      <c r="AB26" s="226">
        <f t="shared" si="56"/>
        <v>0</v>
      </c>
      <c r="AC26" s="226">
        <f t="shared" si="56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4"/>
        <v>23</v>
      </c>
      <c r="AK26" s="229">
        <f t="shared" ref="AK26:BF26" si="57">ROUND(23*1/27*AK30,0)</f>
        <v>0</v>
      </c>
      <c r="AL26" s="229">
        <f t="shared" si="57"/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</row>
    <row r="27" spans="1:58" ht="16.5" x14ac:dyDescent="0.3">
      <c r="A27" s="8" t="s">
        <v>3643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2"/>
        <v>0</v>
      </c>
      <c r="L27" s="8">
        <f t="shared" si="3"/>
        <v>0</v>
      </c>
      <c r="M27" s="8">
        <f t="shared" si="4"/>
        <v>0</v>
      </c>
      <c r="N27" s="8">
        <f t="shared" si="5"/>
        <v>0</v>
      </c>
      <c r="O27" s="8">
        <f t="shared" si="6"/>
        <v>0</v>
      </c>
      <c r="P27" s="8">
        <f t="shared" si="7"/>
        <v>0</v>
      </c>
      <c r="Q27" s="8">
        <f t="shared" si="8"/>
        <v>0</v>
      </c>
      <c r="R27" s="8">
        <f t="shared" si="9"/>
        <v>0</v>
      </c>
      <c r="S27" s="8">
        <f t="shared" si="10"/>
        <v>0</v>
      </c>
      <c r="T27" s="8">
        <f t="shared" si="11"/>
        <v>0</v>
      </c>
      <c r="U27" s="8">
        <f t="shared" si="12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58">INT(112.5/150*AA30)</f>
        <v>0</v>
      </c>
      <c r="AB27" s="226">
        <f t="shared" si="58"/>
        <v>0</v>
      </c>
      <c r="AC27" s="226">
        <f t="shared" si="58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4"/>
        <v>24</v>
      </c>
      <c r="AK27" s="229">
        <f t="shared" ref="AK27:BF27" si="59">ROUND(24*1/27*AK30,0)</f>
        <v>0</v>
      </c>
      <c r="AL27" s="229">
        <f t="shared" si="59"/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</row>
    <row r="28" spans="1:58" ht="16.5" x14ac:dyDescent="0.3">
      <c r="A28" s="8" t="s">
        <v>3643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2"/>
        <v>0</v>
      </c>
      <c r="L28" s="8">
        <f t="shared" si="3"/>
        <v>0</v>
      </c>
      <c r="M28" s="8">
        <f t="shared" si="4"/>
        <v>0</v>
      </c>
      <c r="N28" s="8">
        <f t="shared" si="5"/>
        <v>0</v>
      </c>
      <c r="O28" s="8">
        <f t="shared" si="6"/>
        <v>0</v>
      </c>
      <c r="P28" s="8">
        <f t="shared" si="7"/>
        <v>0</v>
      </c>
      <c r="Q28" s="8">
        <f t="shared" si="8"/>
        <v>0</v>
      </c>
      <c r="R28" s="8">
        <f t="shared" si="9"/>
        <v>0</v>
      </c>
      <c r="S28" s="8">
        <f t="shared" si="10"/>
        <v>0</v>
      </c>
      <c r="T28" s="8">
        <f t="shared" si="11"/>
        <v>0</v>
      </c>
      <c r="U28" s="8">
        <f t="shared" si="12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60">INT(120/150*AA30)</f>
        <v>0</v>
      </c>
      <c r="AB28" s="226">
        <f t="shared" si="60"/>
        <v>0</v>
      </c>
      <c r="AC28" s="226">
        <f t="shared" si="60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4"/>
        <v>25</v>
      </c>
      <c r="AK28" s="229">
        <f t="shared" ref="AK28:BF28" si="61">ROUND(25*1/27*AK30,0)</f>
        <v>0</v>
      </c>
      <c r="AL28" s="229">
        <f t="shared" si="61"/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</row>
    <row r="29" spans="1:58" ht="16.5" x14ac:dyDescent="0.3">
      <c r="A29" s="8" t="s">
        <v>3643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2"/>
        <v>0</v>
      </c>
      <c r="L29" s="8">
        <f t="shared" si="3"/>
        <v>0</v>
      </c>
      <c r="M29" s="8">
        <f t="shared" si="4"/>
        <v>0</v>
      </c>
      <c r="N29" s="8">
        <f t="shared" si="5"/>
        <v>0</v>
      </c>
      <c r="O29" s="8">
        <f t="shared" si="6"/>
        <v>0</v>
      </c>
      <c r="P29" s="8">
        <f t="shared" si="7"/>
        <v>0</v>
      </c>
      <c r="Q29" s="8">
        <f t="shared" si="8"/>
        <v>0</v>
      </c>
      <c r="R29" s="8">
        <f t="shared" si="9"/>
        <v>0</v>
      </c>
      <c r="S29" s="8">
        <f t="shared" si="10"/>
        <v>0</v>
      </c>
      <c r="T29" s="8">
        <f t="shared" si="11"/>
        <v>0</v>
      </c>
      <c r="U29" s="8">
        <f t="shared" si="12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4"/>
        <v>26</v>
      </c>
      <c r="AK29" s="229">
        <f t="shared" ref="AK29:BF29" si="63">ROUND(26*1/27*AK30,0)</f>
        <v>0</v>
      </c>
      <c r="AL29" s="229">
        <f t="shared" si="63"/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</row>
    <row r="30" spans="1:58" ht="16.5" x14ac:dyDescent="0.3">
      <c r="A30" s="8" t="s">
        <v>3643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2"/>
        <v>0</v>
      </c>
      <c r="L30" s="8">
        <f t="shared" si="3"/>
        <v>0</v>
      </c>
      <c r="M30" s="8">
        <f t="shared" si="4"/>
        <v>0</v>
      </c>
      <c r="N30" s="8">
        <f t="shared" si="5"/>
        <v>0</v>
      </c>
      <c r="O30" s="8">
        <f t="shared" si="6"/>
        <v>0</v>
      </c>
      <c r="P30" s="8">
        <f t="shared" si="7"/>
        <v>0</v>
      </c>
      <c r="Q30" s="8">
        <f t="shared" si="8"/>
        <v>0</v>
      </c>
      <c r="R30" s="8">
        <f t="shared" si="9"/>
        <v>0</v>
      </c>
      <c r="S30" s="8">
        <f t="shared" si="10"/>
        <v>0</v>
      </c>
      <c r="T30" s="8">
        <f t="shared" si="11"/>
        <v>0</v>
      </c>
      <c r="U30" s="8">
        <f t="shared" si="12"/>
        <v>0</v>
      </c>
      <c r="V30" s="8"/>
      <c r="W30" s="8"/>
      <c r="X30" s="8">
        <v>27</v>
      </c>
      <c r="Y30" s="8">
        <f>材料产出!C30</f>
        <v>7</v>
      </c>
      <c r="Z30" s="8">
        <f>养成属性分配!CY31</f>
        <v>0</v>
      </c>
      <c r="AA30" s="8">
        <f>养成属性分配!CZ31</f>
        <v>0</v>
      </c>
      <c r="AB30" s="8">
        <f>养成属性分配!DA31</f>
        <v>0</v>
      </c>
      <c r="AC30" s="8">
        <f>养成属性分配!DB31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4"/>
        <v>27</v>
      </c>
      <c r="AK30" s="229">
        <f>参数调整!V30</f>
        <v>0</v>
      </c>
      <c r="AL30" s="229">
        <f>参数调整!W30</f>
        <v>0</v>
      </c>
      <c r="AM30" s="229">
        <f>参数调整!X30</f>
        <v>0</v>
      </c>
      <c r="AN30" s="229">
        <f>参数调整!Y30</f>
        <v>0</v>
      </c>
      <c r="AO30" s="229">
        <f>参数调整!Z30</f>
        <v>0</v>
      </c>
      <c r="AP30" s="229">
        <f>参数调整!AA30</f>
        <v>0</v>
      </c>
      <c r="AQ30" s="229">
        <f>参数调整!AB30</f>
        <v>0</v>
      </c>
      <c r="AR30" s="229">
        <f>参数调整!AC30</f>
        <v>0</v>
      </c>
      <c r="AS30" s="229">
        <f>参数调整!AD30</f>
        <v>0</v>
      </c>
      <c r="AT30" s="229">
        <f>参数调整!AE30</f>
        <v>0</v>
      </c>
      <c r="AU30" s="229">
        <f>参数调整!AF30</f>
        <v>0</v>
      </c>
      <c r="AV30" s="229">
        <f>参数调整!AG30</f>
        <v>0</v>
      </c>
      <c r="AW30" s="229">
        <f>参数调整!AH30</f>
        <v>0</v>
      </c>
      <c r="AX30" s="229">
        <f>参数调整!AI30</f>
        <v>0</v>
      </c>
      <c r="AY30" s="229">
        <f>参数调整!AJ30</f>
        <v>0</v>
      </c>
      <c r="AZ30" s="229">
        <f>参数调整!AK30</f>
        <v>0</v>
      </c>
      <c r="BA30" s="229">
        <f>参数调整!AL30</f>
        <v>0</v>
      </c>
      <c r="BB30" s="229">
        <f>参数调整!AM30</f>
        <v>0</v>
      </c>
      <c r="BC30" s="229">
        <f>参数调整!AN30</f>
        <v>0</v>
      </c>
      <c r="BD30" s="229">
        <f>参数调整!AO30</f>
        <v>0</v>
      </c>
      <c r="BE30" s="229">
        <f>参数调整!AP30</f>
        <v>0</v>
      </c>
      <c r="BF30" s="229">
        <f>参数调整!AQ30</f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数值表使用指南</vt:lpstr>
      <vt:lpstr>参数调整</vt:lpstr>
      <vt:lpstr>怪物掉落配置方案</vt:lpstr>
      <vt:lpstr>怪物配置</vt:lpstr>
      <vt:lpstr>基本属性</vt:lpstr>
      <vt:lpstr>养成属性分配</vt:lpstr>
      <vt:lpstr>材料产出</vt:lpstr>
      <vt:lpstr>属性价值参考</vt:lpstr>
      <vt:lpstr>伤害计算</vt:lpstr>
      <vt:lpstr>升级</vt:lpstr>
      <vt:lpstr>官印</vt:lpstr>
      <vt:lpstr>官职</vt:lpstr>
      <vt:lpstr>转生</vt:lpstr>
      <vt:lpstr>基本装备</vt:lpstr>
      <vt:lpstr>龙魂炼体</vt:lpstr>
      <vt:lpstr>附件合成</vt:lpstr>
      <vt:lpstr>特戒</vt:lpstr>
      <vt:lpstr>星座装备</vt:lpstr>
      <vt:lpstr>装备强化</vt:lpstr>
      <vt:lpstr>装备注灵</vt:lpstr>
      <vt:lpstr>火龙元神</vt:lpstr>
      <vt:lpstr>天尊洗炼</vt:lpstr>
      <vt:lpstr>称号</vt:lpstr>
      <vt:lpstr>宝石镶嵌</vt:lpstr>
      <vt:lpstr>新养成线1</vt:lpstr>
      <vt:lpstr>新养成线2</vt:lpstr>
      <vt:lpstr>新养成线3</vt:lpstr>
      <vt:lpstr>新养成线4</vt:lpstr>
      <vt:lpstr>新养成线5</vt:lpstr>
      <vt:lpstr>新养成线6</vt:lpstr>
      <vt:lpstr>新养成线7</vt:lpstr>
      <vt:lpstr>新养成线8</vt:lpstr>
      <vt:lpstr>新养成线9</vt:lpstr>
      <vt:lpstr>新养成线10</vt:lpstr>
      <vt:lpstr>新养成线11</vt:lpstr>
      <vt:lpstr>新养成线12</vt:lpstr>
      <vt:lpstr>新养成线13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2023-09-15T02:54:32Z</dcterms:modified>
</cp:coreProperties>
</file>